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3.xml" ContentType="application/vnd.openxmlformats-officedocument.spreadsheetml.comments+xml"/>
  <Override PartName="/xl/pivotTables/pivotTable3.xml" ContentType="application/vnd.openxmlformats-officedocument.spreadsheetml.pivotTable+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I:\DataExchange\DE2014-15\Summary Data\"/>
    </mc:Choice>
  </mc:AlternateContent>
  <bookViews>
    <workbookView xWindow="-15" yWindow="-15" windowWidth="10800" windowHeight="9750"/>
  </bookViews>
  <sheets>
    <sheet name="113. NEW Distrib by purp sum" sheetId="52" r:id="rId1"/>
    <sheet name="OLD Distrib by purpose sum" sheetId="67" r:id="rId2"/>
    <sheet name="114. NEW Distrib by purpose" sheetId="53" r:id="rId3"/>
    <sheet name="OLD Distrib by purpose" sheetId="66" r:id="rId4"/>
    <sheet name="115. NEW Distrib by source" sheetId="21" r:id="rId5"/>
    <sheet name="OLD Distrib by source" sheetId="65" r:id="rId6"/>
    <sheet name="116-131b NEW Amounts per FTE" sheetId="22" r:id="rId7"/>
    <sheet name="OLD Amounts per FTE" sheetId="64" r:id="rId8"/>
    <sheet name="Amounts Pivot Table" sheetId="55" r:id="rId9"/>
    <sheet name="Distrib pivot table" sheetId="51" r:id="rId10"/>
    <sheet name="SFA Data for Highlights" sheetId="59" r:id="rId11"/>
    <sheet name="Amounts Pivot Table Fact Book" sheetId="68" r:id="rId12"/>
    <sheet name="Funding Data" sheetId="8" r:id="rId13"/>
    <sheet name="Format Amounts" sheetId="61" r:id="rId14"/>
    <sheet name="Format Dist" sheetId="60" r:id="rId15"/>
  </sheets>
  <externalReferences>
    <externalReference r:id="rId16"/>
  </externalReferences>
  <definedNames>
    <definedName name="\a">#N/A</definedName>
    <definedName name="\c">#N/A</definedName>
    <definedName name="\s">#N/A</definedName>
    <definedName name="\x">#N/A</definedName>
    <definedName name="\z">#N/A</definedName>
    <definedName name="_xlnm._FilterDatabase" localSheetId="12" hidden="1">'Funding Data'!$1:$1</definedName>
    <definedName name="NEWYEAR" localSheetId="7">#REF!</definedName>
    <definedName name="NEWYEAR" localSheetId="3">#REF!</definedName>
    <definedName name="NEWYEAR" localSheetId="1">#REF!</definedName>
    <definedName name="NEWYEAR" localSheetId="5">#REF!</definedName>
    <definedName name="_xlnm.Print_Area" localSheetId="0">'113. NEW Distrib by purp sum'!$A$1:$T$24</definedName>
    <definedName name="_xlnm.Print_Area" localSheetId="2">'114. NEW Distrib by purpose'!$A$7:$T$61</definedName>
    <definedName name="_xlnm.Print_Area" localSheetId="4">'115. NEW Distrib by source'!$R$1:$AG$36</definedName>
    <definedName name="_xlnm.Print_Area" localSheetId="6">'116-131b NEW Amounts per FTE'!$A$1:$K$517</definedName>
    <definedName name="_xlnm.Print_Area" localSheetId="9">'Distrib pivot table'!$E$4:$T$139</definedName>
    <definedName name="_xlnm.Print_Area" localSheetId="7">'OLD Amounts per FTE'!$A$1:$K$503</definedName>
    <definedName name="_xlnm.Print_Area" localSheetId="3">'OLD Distrib by purpose'!$A$5:$T$58</definedName>
    <definedName name="_xlnm.Print_Area" localSheetId="1">'OLD Distrib by purpose sum'!$A$1:$T$22</definedName>
    <definedName name="_xlnm.Print_Area" localSheetId="5">'OLD Distrib by source'!$R$1:$AG$34</definedName>
    <definedName name="_xlnm.Print_Area" localSheetId="10">'SFA Data for Highlights'!$A$1:$T$140</definedName>
    <definedName name="_xlnm.Print_Titles" localSheetId="2">'114. NEW Distrib by purpose'!$1:$6</definedName>
    <definedName name="_xlnm.Print_Titles" localSheetId="9">'Distrib pivot table'!$A:$D,'Distrib pivot table'!$1:$3</definedName>
    <definedName name="_xlnm.Print_Titles" localSheetId="12">'Funding Data'!#REF!</definedName>
    <definedName name="_xlnm.Print_Titles" localSheetId="3">'OLD Distrib by purpose'!$1:$4</definedName>
  </definedNames>
  <calcPr calcId="162913"/>
  <pivotCaches>
    <pivotCache cacheId="2" r:id="rId17"/>
    <pivotCache cacheId="3" r:id="rId18"/>
  </pivotCaches>
</workbook>
</file>

<file path=xl/calcChain.xml><?xml version="1.0" encoding="utf-8"?>
<calcChain xmlns="http://schemas.openxmlformats.org/spreadsheetml/2006/main">
  <c r="S23" i="59" l="1"/>
  <c r="AI11" i="8" l="1"/>
  <c r="AJ11" i="8"/>
  <c r="AI12" i="8"/>
  <c r="AJ12" i="8"/>
  <c r="AI13" i="8"/>
  <c r="AJ13" i="8"/>
  <c r="AI14" i="8"/>
  <c r="AJ14" i="8"/>
  <c r="AI15" i="8"/>
  <c r="AJ15" i="8"/>
  <c r="AI16" i="8"/>
  <c r="AJ16" i="8"/>
  <c r="AI17" i="8"/>
  <c r="AJ17" i="8"/>
  <c r="AI18" i="8"/>
  <c r="AJ18" i="8"/>
  <c r="AI19" i="8"/>
  <c r="AJ19" i="8"/>
  <c r="AI20" i="8"/>
  <c r="AJ20" i="8"/>
  <c r="AI21" i="8"/>
  <c r="AJ21" i="8"/>
  <c r="AI22" i="8"/>
  <c r="AJ22" i="8"/>
  <c r="AI23" i="8"/>
  <c r="AJ23" i="8"/>
  <c r="AI24" i="8"/>
  <c r="AJ24" i="8"/>
  <c r="AI25" i="8"/>
  <c r="AJ25" i="8"/>
  <c r="AI26" i="8"/>
  <c r="AJ26" i="8"/>
  <c r="AI27" i="8"/>
  <c r="AJ27" i="8"/>
  <c r="AI28" i="8"/>
  <c r="AJ28" i="8"/>
  <c r="AI29" i="8"/>
  <c r="AJ29" i="8"/>
  <c r="AI30" i="8"/>
  <c r="AJ30" i="8"/>
  <c r="AI31" i="8"/>
  <c r="AJ31" i="8"/>
  <c r="AI32" i="8"/>
  <c r="AJ32" i="8"/>
  <c r="AI33" i="8"/>
  <c r="AJ33" i="8"/>
  <c r="AI34" i="8"/>
  <c r="AJ34" i="8"/>
  <c r="AI35" i="8"/>
  <c r="AJ35" i="8"/>
  <c r="AI36" i="8"/>
  <c r="AJ36" i="8"/>
  <c r="AI37" i="8"/>
  <c r="AJ37" i="8"/>
  <c r="AI38" i="8"/>
  <c r="AJ38" i="8"/>
  <c r="AI39" i="8"/>
  <c r="AJ39" i="8"/>
  <c r="AI40" i="8"/>
  <c r="AJ40" i="8"/>
  <c r="AI41" i="8"/>
  <c r="AJ41" i="8"/>
  <c r="AI42" i="8"/>
  <c r="AJ42" i="8"/>
  <c r="AI43" i="8"/>
  <c r="AJ43" i="8"/>
  <c r="AI44" i="8"/>
  <c r="AJ44" i="8"/>
  <c r="AI45" i="8"/>
  <c r="AJ45" i="8"/>
  <c r="AI46" i="8"/>
  <c r="AJ46" i="8"/>
  <c r="AI47" i="8"/>
  <c r="AJ47" i="8"/>
  <c r="AI48" i="8"/>
  <c r="AJ48" i="8"/>
  <c r="AI49" i="8"/>
  <c r="AJ49" i="8"/>
  <c r="AI50" i="8"/>
  <c r="AJ50" i="8"/>
  <c r="AI51" i="8"/>
  <c r="AJ51" i="8"/>
  <c r="AI52" i="8"/>
  <c r="AJ52" i="8"/>
  <c r="AI53" i="8"/>
  <c r="AJ53" i="8"/>
  <c r="AI54" i="8"/>
  <c r="AJ54" i="8"/>
  <c r="AI55" i="8"/>
  <c r="AJ55" i="8"/>
  <c r="AI56" i="8"/>
  <c r="AJ56" i="8"/>
  <c r="AI57" i="8"/>
  <c r="AJ57" i="8"/>
  <c r="AI58" i="8"/>
  <c r="AJ58" i="8"/>
  <c r="AI59" i="8"/>
  <c r="AJ59" i="8"/>
  <c r="AI60" i="8"/>
  <c r="AJ60" i="8"/>
  <c r="AI61" i="8"/>
  <c r="AJ61" i="8"/>
  <c r="AI62" i="8"/>
  <c r="AJ62" i="8"/>
  <c r="AI63" i="8"/>
  <c r="AJ63" i="8"/>
  <c r="AI64" i="8"/>
  <c r="AJ64" i="8"/>
  <c r="AI65" i="8"/>
  <c r="AJ65" i="8"/>
  <c r="AI66" i="8"/>
  <c r="AJ66" i="8"/>
  <c r="AI67" i="8"/>
  <c r="AJ67" i="8"/>
  <c r="AI68" i="8"/>
  <c r="AJ68" i="8"/>
  <c r="AI69" i="8"/>
  <c r="AJ69" i="8"/>
  <c r="AI70" i="8"/>
  <c r="AJ70" i="8"/>
  <c r="AI71" i="8"/>
  <c r="AJ71" i="8"/>
  <c r="AI72" i="8"/>
  <c r="AJ72" i="8"/>
  <c r="AI73" i="8"/>
  <c r="AJ73" i="8"/>
  <c r="AI74" i="8"/>
  <c r="AJ74" i="8"/>
  <c r="AI75" i="8"/>
  <c r="AJ75" i="8"/>
  <c r="AI76" i="8"/>
  <c r="AJ76" i="8"/>
  <c r="AI77" i="8"/>
  <c r="AJ77" i="8"/>
  <c r="AI78" i="8"/>
  <c r="AJ78" i="8"/>
  <c r="AI79" i="8"/>
  <c r="AJ79" i="8"/>
  <c r="AI80" i="8"/>
  <c r="AJ80" i="8"/>
  <c r="AI81" i="8"/>
  <c r="AJ81" i="8"/>
  <c r="AI82" i="8"/>
  <c r="AJ82" i="8"/>
  <c r="AI83" i="8"/>
  <c r="AJ83" i="8"/>
  <c r="AI84" i="8"/>
  <c r="AJ84" i="8"/>
  <c r="AI85" i="8"/>
  <c r="AJ85" i="8"/>
  <c r="AI86" i="8"/>
  <c r="AJ86" i="8"/>
  <c r="AI87" i="8"/>
  <c r="AJ87" i="8"/>
  <c r="AI88" i="8"/>
  <c r="AJ88" i="8"/>
  <c r="AI89" i="8"/>
  <c r="AJ89" i="8"/>
  <c r="AI90" i="8"/>
  <c r="AJ90" i="8"/>
  <c r="AI91" i="8"/>
  <c r="AJ91" i="8"/>
  <c r="AI92" i="8"/>
  <c r="AJ92" i="8"/>
  <c r="AI93" i="8"/>
  <c r="AJ93" i="8"/>
  <c r="AI94" i="8"/>
  <c r="AJ94" i="8"/>
  <c r="AI95" i="8"/>
  <c r="AJ95" i="8"/>
  <c r="AI96" i="8"/>
  <c r="AJ96" i="8"/>
  <c r="AI97" i="8"/>
  <c r="AJ97" i="8"/>
  <c r="AI98" i="8"/>
  <c r="AJ98" i="8"/>
  <c r="AI99" i="8"/>
  <c r="AJ99" i="8"/>
  <c r="AI100" i="8"/>
  <c r="AJ100" i="8"/>
  <c r="AI101" i="8"/>
  <c r="AJ101" i="8"/>
  <c r="AI102" i="8"/>
  <c r="AJ102" i="8"/>
  <c r="AI103" i="8"/>
  <c r="AJ103" i="8"/>
  <c r="AI104" i="8"/>
  <c r="AJ104" i="8"/>
  <c r="AI105" i="8"/>
  <c r="AJ105" i="8"/>
  <c r="AI106" i="8"/>
  <c r="AJ106" i="8"/>
  <c r="AI107" i="8"/>
  <c r="AJ107" i="8"/>
  <c r="AI108" i="8"/>
  <c r="AJ108" i="8"/>
  <c r="AI109" i="8"/>
  <c r="AJ109" i="8"/>
  <c r="AI110" i="8"/>
  <c r="AJ110" i="8"/>
  <c r="AI111" i="8"/>
  <c r="AJ111" i="8"/>
  <c r="AI112" i="8"/>
  <c r="AJ112" i="8"/>
  <c r="AI113" i="8"/>
  <c r="AJ113" i="8"/>
  <c r="AI114" i="8"/>
  <c r="AJ114" i="8"/>
  <c r="AI115" i="8"/>
  <c r="AJ115" i="8"/>
  <c r="AI116" i="8"/>
  <c r="AJ116" i="8"/>
  <c r="AI117" i="8"/>
  <c r="AJ117" i="8"/>
  <c r="AI118" i="8"/>
  <c r="AJ118" i="8"/>
  <c r="AI119" i="8"/>
  <c r="AJ119" i="8"/>
  <c r="AI120" i="8"/>
  <c r="AJ120" i="8"/>
  <c r="AI121" i="8"/>
  <c r="AJ121" i="8"/>
  <c r="AI122" i="8"/>
  <c r="AJ122" i="8"/>
  <c r="AI123" i="8"/>
  <c r="AJ123" i="8"/>
  <c r="AI124" i="8"/>
  <c r="AJ124" i="8"/>
  <c r="AI125" i="8"/>
  <c r="AJ125" i="8"/>
  <c r="AI126" i="8"/>
  <c r="AJ126" i="8"/>
  <c r="AI127" i="8"/>
  <c r="AJ127" i="8"/>
  <c r="AI128" i="8"/>
  <c r="AJ128" i="8"/>
  <c r="AI129" i="8"/>
  <c r="AJ129" i="8"/>
  <c r="AI130" i="8"/>
  <c r="AJ130" i="8"/>
  <c r="AI131" i="8"/>
  <c r="AJ131" i="8"/>
  <c r="AI132" i="8"/>
  <c r="AJ132" i="8"/>
  <c r="AI133" i="8"/>
  <c r="AJ133" i="8"/>
  <c r="AI134" i="8"/>
  <c r="AJ134" i="8"/>
  <c r="AI135" i="8"/>
  <c r="AJ135" i="8"/>
  <c r="AI136" i="8"/>
  <c r="AJ136" i="8"/>
  <c r="AI137" i="8"/>
  <c r="AJ137" i="8"/>
  <c r="AI138" i="8"/>
  <c r="AJ138" i="8"/>
  <c r="AI139" i="8"/>
  <c r="AJ139" i="8"/>
  <c r="AI140" i="8"/>
  <c r="AJ140" i="8"/>
  <c r="AI141" i="8"/>
  <c r="AJ141" i="8"/>
  <c r="AI142" i="8"/>
  <c r="AJ142" i="8"/>
  <c r="AI143" i="8"/>
  <c r="AJ143" i="8"/>
  <c r="AI144" i="8"/>
  <c r="AJ144" i="8"/>
  <c r="AI145" i="8"/>
  <c r="AJ145" i="8"/>
  <c r="AI146" i="8"/>
  <c r="AJ146" i="8"/>
  <c r="AI147" i="8"/>
  <c r="AJ147" i="8"/>
  <c r="AI148" i="8"/>
  <c r="AJ148" i="8"/>
  <c r="AI149" i="8"/>
  <c r="AJ149" i="8"/>
  <c r="AI150" i="8"/>
  <c r="AJ150" i="8"/>
  <c r="AI151" i="8"/>
  <c r="AJ151" i="8"/>
  <c r="AI152" i="8"/>
  <c r="AJ152" i="8"/>
  <c r="AI153" i="8"/>
  <c r="AJ153" i="8"/>
  <c r="AI154" i="8"/>
  <c r="AJ154" i="8"/>
  <c r="AI155" i="8"/>
  <c r="AJ155" i="8"/>
  <c r="AI156" i="8"/>
  <c r="AJ156" i="8"/>
  <c r="AI157" i="8"/>
  <c r="AJ157" i="8"/>
  <c r="AI158" i="8"/>
  <c r="AJ158" i="8"/>
  <c r="AI159" i="8"/>
  <c r="AJ159" i="8"/>
  <c r="AI160" i="8"/>
  <c r="AJ160" i="8"/>
  <c r="AI161" i="8"/>
  <c r="AJ161" i="8"/>
  <c r="AI162" i="8"/>
  <c r="AJ162" i="8"/>
  <c r="AI163" i="8"/>
  <c r="AJ163" i="8"/>
  <c r="AI164" i="8"/>
  <c r="AJ164" i="8"/>
  <c r="AI165" i="8"/>
  <c r="AJ165" i="8"/>
  <c r="AI166" i="8"/>
  <c r="AJ166" i="8"/>
  <c r="AI167" i="8"/>
  <c r="AJ167" i="8"/>
  <c r="AI168" i="8"/>
  <c r="AJ168" i="8"/>
  <c r="AI169" i="8"/>
  <c r="AJ169" i="8"/>
  <c r="AI170" i="8"/>
  <c r="AJ170" i="8"/>
  <c r="AI171" i="8"/>
  <c r="AJ171" i="8"/>
  <c r="AI172" i="8"/>
  <c r="AJ172" i="8"/>
  <c r="AI173" i="8"/>
  <c r="AJ173" i="8"/>
  <c r="AI174" i="8"/>
  <c r="AJ174" i="8"/>
  <c r="AI175" i="8"/>
  <c r="AJ175" i="8"/>
  <c r="AI176" i="8"/>
  <c r="AJ176" i="8"/>
  <c r="AI177" i="8"/>
  <c r="AJ177" i="8"/>
  <c r="AI178" i="8"/>
  <c r="AJ178" i="8"/>
  <c r="AI179" i="8"/>
  <c r="AJ179" i="8"/>
  <c r="AI180" i="8"/>
  <c r="AJ180" i="8"/>
  <c r="AI181" i="8"/>
  <c r="AJ181" i="8"/>
  <c r="AI182" i="8"/>
  <c r="AJ182" i="8"/>
  <c r="AI183" i="8"/>
  <c r="AJ183" i="8"/>
  <c r="AI184" i="8"/>
  <c r="AJ184" i="8"/>
  <c r="AI185" i="8"/>
  <c r="AJ185" i="8"/>
  <c r="AI186" i="8"/>
  <c r="AJ186" i="8"/>
  <c r="AI187" i="8"/>
  <c r="AJ187" i="8"/>
  <c r="AI188" i="8"/>
  <c r="AJ188" i="8"/>
  <c r="AI189" i="8"/>
  <c r="AJ189" i="8"/>
  <c r="AI190" i="8"/>
  <c r="AJ190" i="8"/>
  <c r="AI191" i="8"/>
  <c r="AJ191" i="8"/>
  <c r="AI192" i="8"/>
  <c r="AJ192" i="8"/>
  <c r="AI193" i="8"/>
  <c r="AJ193" i="8"/>
  <c r="AI194" i="8"/>
  <c r="AJ194" i="8"/>
  <c r="AI195" i="8"/>
  <c r="AJ195" i="8"/>
  <c r="AI196" i="8"/>
  <c r="AJ196" i="8"/>
  <c r="AI197" i="8"/>
  <c r="AJ197" i="8"/>
  <c r="AI198" i="8"/>
  <c r="AJ198" i="8"/>
  <c r="AI199" i="8"/>
  <c r="AJ199" i="8"/>
  <c r="AI200" i="8"/>
  <c r="AJ200" i="8"/>
  <c r="AI201" i="8"/>
  <c r="AJ201" i="8"/>
  <c r="AI202" i="8"/>
  <c r="AJ202" i="8"/>
  <c r="AI203" i="8"/>
  <c r="AJ203" i="8"/>
  <c r="AI204" i="8"/>
  <c r="AJ204" i="8"/>
  <c r="AI205" i="8"/>
  <c r="AJ205" i="8"/>
  <c r="AI206" i="8"/>
  <c r="AJ206" i="8"/>
  <c r="AI207" i="8"/>
  <c r="AJ207" i="8"/>
  <c r="AI208" i="8"/>
  <c r="AJ208" i="8"/>
  <c r="AI209" i="8"/>
  <c r="AJ209" i="8"/>
  <c r="AI210" i="8"/>
  <c r="AJ210" i="8"/>
  <c r="AI211" i="8"/>
  <c r="AJ211" i="8"/>
  <c r="AI212" i="8"/>
  <c r="AJ212" i="8"/>
  <c r="AI213" i="8"/>
  <c r="AJ213" i="8"/>
  <c r="AI214" i="8"/>
  <c r="AJ214" i="8"/>
  <c r="AI215" i="8"/>
  <c r="AJ215" i="8"/>
  <c r="AI216" i="8"/>
  <c r="AJ216" i="8"/>
  <c r="AI217" i="8"/>
  <c r="AJ217" i="8"/>
  <c r="AI218" i="8"/>
  <c r="AJ218" i="8"/>
  <c r="AI219" i="8"/>
  <c r="AJ219" i="8"/>
  <c r="AI220" i="8"/>
  <c r="AJ220" i="8"/>
  <c r="AI221" i="8"/>
  <c r="AJ221" i="8"/>
  <c r="AI222" i="8"/>
  <c r="AJ222" i="8"/>
  <c r="AI223" i="8"/>
  <c r="AJ223" i="8"/>
  <c r="AI224" i="8"/>
  <c r="AJ224" i="8"/>
  <c r="AI225" i="8"/>
  <c r="AJ225" i="8"/>
  <c r="AI226" i="8"/>
  <c r="AJ226" i="8"/>
  <c r="AI227" i="8"/>
  <c r="AJ227" i="8"/>
  <c r="AI228" i="8"/>
  <c r="AJ228" i="8"/>
  <c r="AI229" i="8"/>
  <c r="AJ229" i="8"/>
  <c r="AI230" i="8"/>
  <c r="AJ230" i="8"/>
  <c r="AI231" i="8"/>
  <c r="AJ231" i="8"/>
  <c r="AI232" i="8"/>
  <c r="AJ232" i="8"/>
  <c r="AI233" i="8"/>
  <c r="AJ233" i="8"/>
  <c r="AI234" i="8"/>
  <c r="AJ234" i="8"/>
  <c r="AI235" i="8"/>
  <c r="AJ235" i="8"/>
  <c r="AI236" i="8"/>
  <c r="AJ236" i="8"/>
  <c r="AI237" i="8"/>
  <c r="AJ237" i="8"/>
  <c r="AI238" i="8"/>
  <c r="AJ238" i="8"/>
  <c r="AI239" i="8"/>
  <c r="AJ239" i="8"/>
  <c r="AI240" i="8"/>
  <c r="AJ240" i="8"/>
  <c r="AI241" i="8"/>
  <c r="AJ241" i="8"/>
  <c r="AI242" i="8"/>
  <c r="AJ242" i="8"/>
  <c r="AI243" i="8"/>
  <c r="AJ243" i="8"/>
  <c r="AI244" i="8"/>
  <c r="AJ244" i="8"/>
  <c r="AI245" i="8"/>
  <c r="AJ245" i="8"/>
  <c r="AI246" i="8"/>
  <c r="AJ246" i="8"/>
  <c r="AI247" i="8"/>
  <c r="AJ247" i="8"/>
  <c r="AI248" i="8"/>
  <c r="AJ248" i="8"/>
  <c r="AI249" i="8"/>
  <c r="AJ249" i="8"/>
  <c r="AI250" i="8"/>
  <c r="AJ250" i="8"/>
  <c r="AI251" i="8"/>
  <c r="AJ251" i="8"/>
  <c r="AI252" i="8"/>
  <c r="AJ252" i="8"/>
  <c r="AI253" i="8"/>
  <c r="AJ253" i="8"/>
  <c r="AI254" i="8"/>
  <c r="AJ254" i="8"/>
  <c r="AI255" i="8"/>
  <c r="AJ255" i="8"/>
  <c r="AI256" i="8"/>
  <c r="AJ256" i="8"/>
  <c r="AI257" i="8"/>
  <c r="AJ257" i="8"/>
  <c r="AI258" i="8"/>
  <c r="AJ258" i="8"/>
  <c r="AI259" i="8"/>
  <c r="AJ259" i="8"/>
  <c r="AI260" i="8"/>
  <c r="AJ260" i="8"/>
  <c r="AI261" i="8"/>
  <c r="AJ261" i="8"/>
  <c r="AI262" i="8"/>
  <c r="AJ262" i="8"/>
  <c r="AI263" i="8"/>
  <c r="AJ263" i="8"/>
  <c r="AI264" i="8"/>
  <c r="AJ264" i="8"/>
  <c r="AI265" i="8"/>
  <c r="AJ265" i="8"/>
  <c r="AI266" i="8"/>
  <c r="AJ266" i="8"/>
  <c r="AI267" i="8"/>
  <c r="AJ267" i="8"/>
  <c r="AI268" i="8"/>
  <c r="AJ268" i="8"/>
  <c r="AI269" i="8"/>
  <c r="AJ269" i="8"/>
  <c r="AI270" i="8"/>
  <c r="AJ270" i="8"/>
  <c r="AI271" i="8"/>
  <c r="AJ271" i="8"/>
  <c r="AI272" i="8"/>
  <c r="AJ272" i="8"/>
  <c r="AI273" i="8"/>
  <c r="AJ273" i="8"/>
  <c r="AI274" i="8"/>
  <c r="AJ274" i="8"/>
  <c r="AI275" i="8"/>
  <c r="AJ275" i="8"/>
  <c r="AI276" i="8"/>
  <c r="AJ276" i="8"/>
  <c r="AI277" i="8"/>
  <c r="AJ277" i="8"/>
  <c r="AI278" i="8"/>
  <c r="AJ278" i="8"/>
  <c r="AI279" i="8"/>
  <c r="AJ279" i="8"/>
  <c r="AI280" i="8"/>
  <c r="AJ280" i="8"/>
  <c r="AI281" i="8"/>
  <c r="AJ281" i="8"/>
  <c r="AI282" i="8"/>
  <c r="AJ282" i="8"/>
  <c r="AI283" i="8"/>
  <c r="AJ283" i="8"/>
  <c r="AI284" i="8"/>
  <c r="AJ284" i="8"/>
  <c r="AI285" i="8"/>
  <c r="AJ285" i="8"/>
  <c r="AI286" i="8"/>
  <c r="AJ286" i="8"/>
  <c r="AI287" i="8"/>
  <c r="AJ287" i="8"/>
  <c r="AI288" i="8"/>
  <c r="AJ288" i="8"/>
  <c r="AI289" i="8"/>
  <c r="AJ289" i="8"/>
  <c r="AI290" i="8"/>
  <c r="AJ290" i="8"/>
  <c r="AI291" i="8"/>
  <c r="AJ291" i="8"/>
  <c r="AI292" i="8"/>
  <c r="AJ292" i="8"/>
  <c r="AI293" i="8"/>
  <c r="AJ293" i="8"/>
  <c r="AI294" i="8"/>
  <c r="AJ294" i="8"/>
  <c r="AI295" i="8"/>
  <c r="AJ295" i="8"/>
  <c r="AI296" i="8"/>
  <c r="AJ296" i="8"/>
  <c r="AI297" i="8"/>
  <c r="AJ297" i="8"/>
  <c r="AI298" i="8"/>
  <c r="AJ298" i="8"/>
  <c r="AI299" i="8"/>
  <c r="AJ299" i="8"/>
  <c r="AI300" i="8"/>
  <c r="AJ300" i="8"/>
  <c r="AI301" i="8"/>
  <c r="AJ301" i="8"/>
  <c r="AI302" i="8"/>
  <c r="AJ302" i="8"/>
  <c r="AI303" i="8"/>
  <c r="AJ303" i="8"/>
  <c r="AI304" i="8"/>
  <c r="AJ304" i="8"/>
  <c r="AI305" i="8"/>
  <c r="AJ305" i="8"/>
  <c r="AI306" i="8"/>
  <c r="AJ306" i="8"/>
  <c r="AI307" i="8"/>
  <c r="AJ307" i="8"/>
  <c r="AI308" i="8"/>
  <c r="AJ308" i="8"/>
  <c r="AI309" i="8"/>
  <c r="AJ309" i="8"/>
  <c r="AI310" i="8"/>
  <c r="AJ310" i="8"/>
  <c r="AI311" i="8"/>
  <c r="AJ311" i="8"/>
  <c r="AI312" i="8"/>
  <c r="AJ312" i="8"/>
  <c r="AI313" i="8"/>
  <c r="AJ313" i="8"/>
  <c r="AI314" i="8"/>
  <c r="AJ314" i="8"/>
  <c r="AI315" i="8"/>
  <c r="AJ315" i="8"/>
  <c r="AI316" i="8"/>
  <c r="AJ316" i="8"/>
  <c r="AI317" i="8"/>
  <c r="AJ317" i="8"/>
  <c r="AI318" i="8"/>
  <c r="AJ318" i="8"/>
  <c r="AI319" i="8"/>
  <c r="AJ319" i="8"/>
  <c r="AI320" i="8"/>
  <c r="AJ320" i="8"/>
  <c r="AI321" i="8"/>
  <c r="AJ321" i="8"/>
  <c r="AI322" i="8"/>
  <c r="AJ322" i="8"/>
  <c r="AI323" i="8"/>
  <c r="AJ323" i="8"/>
  <c r="AI324" i="8"/>
  <c r="AJ324" i="8"/>
  <c r="AI325" i="8"/>
  <c r="AJ325" i="8"/>
  <c r="AI326" i="8"/>
  <c r="AJ326" i="8"/>
  <c r="AI327" i="8"/>
  <c r="AJ327" i="8"/>
  <c r="AI328" i="8"/>
  <c r="AJ328" i="8"/>
  <c r="AI329" i="8"/>
  <c r="AJ329" i="8"/>
  <c r="AI330" i="8"/>
  <c r="AJ330" i="8"/>
  <c r="AI331" i="8"/>
  <c r="AJ331" i="8"/>
  <c r="AI332" i="8"/>
  <c r="AJ332" i="8"/>
  <c r="AI333" i="8"/>
  <c r="AJ333" i="8"/>
  <c r="AI334" i="8"/>
  <c r="AJ334" i="8"/>
  <c r="AI335" i="8"/>
  <c r="AJ335" i="8"/>
  <c r="AI336" i="8"/>
  <c r="AJ336" i="8"/>
  <c r="AI337" i="8"/>
  <c r="AJ337" i="8"/>
  <c r="AI338" i="8"/>
  <c r="AJ338" i="8"/>
  <c r="AI339" i="8"/>
  <c r="AJ339" i="8"/>
  <c r="AI340" i="8"/>
  <c r="AJ340" i="8"/>
  <c r="AI341" i="8"/>
  <c r="AJ341" i="8"/>
  <c r="AI342" i="8"/>
  <c r="AJ342" i="8"/>
  <c r="AI343" i="8"/>
  <c r="AJ343" i="8"/>
  <c r="AI344" i="8"/>
  <c r="AJ344" i="8"/>
  <c r="AI345" i="8"/>
  <c r="AJ345" i="8"/>
  <c r="AI346" i="8"/>
  <c r="AJ346" i="8"/>
  <c r="AI347" i="8"/>
  <c r="AJ347" i="8"/>
  <c r="AI348" i="8"/>
  <c r="AJ348" i="8"/>
  <c r="AI349" i="8"/>
  <c r="AJ349" i="8"/>
  <c r="AI350" i="8"/>
  <c r="AJ350" i="8"/>
  <c r="AI351" i="8"/>
  <c r="AJ351" i="8"/>
  <c r="AI352" i="8"/>
  <c r="AJ352" i="8"/>
  <c r="AI353" i="8"/>
  <c r="AJ353" i="8"/>
  <c r="AI354" i="8"/>
  <c r="AJ354" i="8"/>
  <c r="AI355" i="8"/>
  <c r="AJ355" i="8"/>
  <c r="AI356" i="8"/>
  <c r="AJ356" i="8"/>
  <c r="AI357" i="8"/>
  <c r="AJ357" i="8"/>
  <c r="AI358" i="8"/>
  <c r="AJ358" i="8"/>
  <c r="AI359" i="8"/>
  <c r="AJ359" i="8"/>
  <c r="AI360" i="8"/>
  <c r="AJ360" i="8"/>
  <c r="AI361" i="8"/>
  <c r="AJ361" i="8"/>
  <c r="AI362" i="8"/>
  <c r="AJ362" i="8"/>
  <c r="AI363" i="8"/>
  <c r="AJ363" i="8"/>
  <c r="AI364" i="8"/>
  <c r="AJ364" i="8"/>
  <c r="AI365" i="8"/>
  <c r="AJ365" i="8"/>
  <c r="AI366" i="8"/>
  <c r="AJ366" i="8"/>
  <c r="AI367" i="8"/>
  <c r="AJ367" i="8"/>
  <c r="AI368" i="8"/>
  <c r="AJ368" i="8"/>
  <c r="AI369" i="8"/>
  <c r="AJ369" i="8"/>
  <c r="AI370" i="8"/>
  <c r="AJ370" i="8"/>
  <c r="AI371" i="8"/>
  <c r="AJ371" i="8"/>
  <c r="AI372" i="8"/>
  <c r="AJ372" i="8"/>
  <c r="AI373" i="8"/>
  <c r="AJ373" i="8"/>
  <c r="AI374" i="8"/>
  <c r="AJ374" i="8"/>
  <c r="AI375" i="8"/>
  <c r="AJ375" i="8"/>
  <c r="AI376" i="8"/>
  <c r="AJ376" i="8"/>
  <c r="AI377" i="8"/>
  <c r="AJ377" i="8"/>
  <c r="AI378" i="8"/>
  <c r="AJ378" i="8"/>
  <c r="AI379" i="8"/>
  <c r="AJ379" i="8"/>
  <c r="AI380" i="8"/>
  <c r="AJ380" i="8"/>
  <c r="AI381" i="8"/>
  <c r="AJ381" i="8"/>
  <c r="AI382" i="8"/>
  <c r="AJ382" i="8"/>
  <c r="AI383" i="8"/>
  <c r="AJ383" i="8"/>
  <c r="AI384" i="8"/>
  <c r="AJ384" i="8"/>
  <c r="AI385" i="8"/>
  <c r="AJ385" i="8"/>
  <c r="AI386" i="8"/>
  <c r="AJ386" i="8"/>
  <c r="AI387" i="8"/>
  <c r="AJ387" i="8"/>
  <c r="AI388" i="8"/>
  <c r="AJ388" i="8"/>
  <c r="AI389" i="8"/>
  <c r="AJ389" i="8"/>
  <c r="AI390" i="8"/>
  <c r="AJ390" i="8"/>
  <c r="AI391" i="8"/>
  <c r="AJ391" i="8"/>
  <c r="AI392" i="8"/>
  <c r="AJ392" i="8"/>
  <c r="AI393" i="8"/>
  <c r="AJ393" i="8"/>
  <c r="AI394" i="8"/>
  <c r="AJ394" i="8"/>
  <c r="AI395" i="8"/>
  <c r="AJ395" i="8"/>
  <c r="AI396" i="8"/>
  <c r="AJ396" i="8"/>
  <c r="AI397" i="8"/>
  <c r="AJ397" i="8"/>
  <c r="AI398" i="8"/>
  <c r="AJ398" i="8"/>
  <c r="AI399" i="8"/>
  <c r="AJ399" i="8"/>
  <c r="AI400" i="8"/>
  <c r="AJ400" i="8"/>
  <c r="AI401" i="8"/>
  <c r="AJ401" i="8"/>
  <c r="AI402" i="8"/>
  <c r="AJ402" i="8"/>
  <c r="AI403" i="8"/>
  <c r="AJ403" i="8"/>
  <c r="AI404" i="8"/>
  <c r="AJ404" i="8"/>
  <c r="AI405" i="8"/>
  <c r="AJ405" i="8"/>
  <c r="AI406" i="8"/>
  <c r="AJ406" i="8"/>
  <c r="AI407" i="8"/>
  <c r="AJ407" i="8"/>
  <c r="AI408" i="8"/>
  <c r="AJ408" i="8"/>
  <c r="AI409" i="8"/>
  <c r="AJ409" i="8"/>
  <c r="AI410" i="8"/>
  <c r="AJ410" i="8"/>
  <c r="AI411" i="8"/>
  <c r="AJ411" i="8"/>
  <c r="AI412" i="8"/>
  <c r="AJ412" i="8"/>
  <c r="AI413" i="8"/>
  <c r="AJ413" i="8"/>
  <c r="AI414" i="8"/>
  <c r="AJ414" i="8"/>
  <c r="AI415" i="8"/>
  <c r="AJ415" i="8"/>
  <c r="AI416" i="8"/>
  <c r="AJ416" i="8"/>
  <c r="AI417" i="8"/>
  <c r="AJ417" i="8"/>
  <c r="AI418" i="8"/>
  <c r="AJ418" i="8"/>
  <c r="AI419" i="8"/>
  <c r="AJ419" i="8"/>
  <c r="AI420" i="8"/>
  <c r="AJ420" i="8"/>
  <c r="AI421" i="8"/>
  <c r="AJ421" i="8"/>
  <c r="AI422" i="8"/>
  <c r="AJ422" i="8"/>
  <c r="AI423" i="8"/>
  <c r="AJ423" i="8"/>
  <c r="AI424" i="8"/>
  <c r="AJ424" i="8"/>
  <c r="AI425" i="8"/>
  <c r="AJ425" i="8"/>
  <c r="AI426" i="8"/>
  <c r="AJ426" i="8"/>
  <c r="AI427" i="8"/>
  <c r="AJ427" i="8"/>
  <c r="AI428" i="8"/>
  <c r="AJ428" i="8"/>
  <c r="AI429" i="8"/>
  <c r="AJ429" i="8"/>
  <c r="AI430" i="8"/>
  <c r="AJ430" i="8"/>
  <c r="AI431" i="8"/>
  <c r="AJ431" i="8"/>
  <c r="AI432" i="8"/>
  <c r="AJ432" i="8"/>
  <c r="AI433" i="8"/>
  <c r="AJ433" i="8"/>
  <c r="AI434" i="8"/>
  <c r="AJ434" i="8"/>
  <c r="AI435" i="8"/>
  <c r="AJ435" i="8"/>
  <c r="AI436" i="8"/>
  <c r="AJ436" i="8"/>
  <c r="AI437" i="8"/>
  <c r="AJ437" i="8"/>
  <c r="AI438" i="8"/>
  <c r="AJ438" i="8"/>
  <c r="AI439" i="8"/>
  <c r="AJ439" i="8"/>
  <c r="AI440" i="8"/>
  <c r="AJ440" i="8"/>
  <c r="AI441" i="8"/>
  <c r="AJ441" i="8"/>
  <c r="AI442" i="8"/>
  <c r="AJ442" i="8"/>
  <c r="AI443" i="8"/>
  <c r="AJ443" i="8"/>
  <c r="AI444" i="8"/>
  <c r="AJ444" i="8"/>
  <c r="AI445" i="8"/>
  <c r="AJ445" i="8"/>
  <c r="AI446" i="8"/>
  <c r="AJ446" i="8"/>
  <c r="AI447" i="8"/>
  <c r="AJ447" i="8"/>
  <c r="AI448" i="8"/>
  <c r="AJ448" i="8"/>
  <c r="AI449" i="8"/>
  <c r="AJ449" i="8"/>
  <c r="AI450" i="8"/>
  <c r="AJ450" i="8"/>
  <c r="AI451" i="8"/>
  <c r="AJ451" i="8"/>
  <c r="AI452" i="8"/>
  <c r="AJ452" i="8"/>
  <c r="AI453" i="8"/>
  <c r="AJ453" i="8"/>
  <c r="AI454" i="8"/>
  <c r="AJ454" i="8"/>
  <c r="AI455" i="8"/>
  <c r="AJ455" i="8"/>
  <c r="AI456" i="8"/>
  <c r="AJ456" i="8"/>
  <c r="AI457" i="8"/>
  <c r="AJ457" i="8"/>
  <c r="AI458" i="8"/>
  <c r="AJ458" i="8"/>
  <c r="AI459" i="8"/>
  <c r="AJ459" i="8"/>
  <c r="AI460" i="8"/>
  <c r="AJ460" i="8"/>
  <c r="AI461" i="8"/>
  <c r="AJ461" i="8"/>
  <c r="AI462" i="8"/>
  <c r="AJ462" i="8"/>
  <c r="AI463" i="8"/>
  <c r="AJ463" i="8"/>
  <c r="AI464" i="8"/>
  <c r="AJ464" i="8"/>
  <c r="AI465" i="8"/>
  <c r="AJ465" i="8"/>
  <c r="AI466" i="8"/>
  <c r="AJ466" i="8"/>
  <c r="AI467" i="8"/>
  <c r="AJ467" i="8"/>
  <c r="AI468" i="8"/>
  <c r="AJ468" i="8"/>
  <c r="AI469" i="8"/>
  <c r="AJ469" i="8"/>
  <c r="AI470" i="8"/>
  <c r="AJ470" i="8"/>
  <c r="AI471" i="8"/>
  <c r="AJ471" i="8"/>
  <c r="AI472" i="8"/>
  <c r="AJ472" i="8"/>
  <c r="AI473" i="8"/>
  <c r="AJ473" i="8"/>
  <c r="AI474" i="8"/>
  <c r="AJ474" i="8"/>
  <c r="AI475" i="8"/>
  <c r="AJ475" i="8"/>
  <c r="AI476" i="8"/>
  <c r="AJ476" i="8"/>
  <c r="AI477" i="8"/>
  <c r="AJ477" i="8"/>
  <c r="AI478" i="8"/>
  <c r="AJ478" i="8"/>
  <c r="AI479" i="8"/>
  <c r="AJ479" i="8"/>
  <c r="AI480" i="8"/>
  <c r="AJ480" i="8"/>
  <c r="AI481" i="8"/>
  <c r="AJ481" i="8"/>
  <c r="AI482" i="8"/>
  <c r="AJ482" i="8"/>
  <c r="AI483" i="8"/>
  <c r="AJ483" i="8"/>
  <c r="AI484" i="8"/>
  <c r="AJ484" i="8"/>
  <c r="AI485" i="8"/>
  <c r="AJ485" i="8"/>
  <c r="AI486" i="8"/>
  <c r="AJ486" i="8"/>
  <c r="AI487" i="8"/>
  <c r="AJ487" i="8"/>
  <c r="AI488" i="8"/>
  <c r="AJ488" i="8"/>
  <c r="AI489" i="8"/>
  <c r="AJ489" i="8"/>
  <c r="AI490" i="8"/>
  <c r="AJ490" i="8"/>
  <c r="AI491" i="8"/>
  <c r="AJ491" i="8"/>
  <c r="AI492" i="8"/>
  <c r="AJ492" i="8"/>
  <c r="AI493" i="8"/>
  <c r="AJ493" i="8"/>
  <c r="AI494" i="8"/>
  <c r="AJ494" i="8"/>
  <c r="AI495" i="8"/>
  <c r="AJ495" i="8"/>
  <c r="AI496" i="8"/>
  <c r="AJ496" i="8"/>
  <c r="AI497" i="8"/>
  <c r="AJ497" i="8"/>
  <c r="AI498" i="8"/>
  <c r="AJ498" i="8"/>
  <c r="AI499" i="8"/>
  <c r="AJ499" i="8"/>
  <c r="AI500" i="8"/>
  <c r="AJ500" i="8"/>
  <c r="AI501" i="8"/>
  <c r="AJ501" i="8"/>
  <c r="AI502" i="8"/>
  <c r="AJ502" i="8"/>
  <c r="AI503" i="8"/>
  <c r="AJ503" i="8"/>
  <c r="AI504" i="8"/>
  <c r="AJ504" i="8"/>
  <c r="AI505" i="8"/>
  <c r="AJ505" i="8"/>
  <c r="AI506" i="8"/>
  <c r="AJ506" i="8"/>
  <c r="AI507" i="8"/>
  <c r="AJ507" i="8"/>
  <c r="AI508" i="8"/>
  <c r="AJ508" i="8"/>
  <c r="AI509" i="8"/>
  <c r="AJ509" i="8"/>
  <c r="AI510" i="8"/>
  <c r="AJ510" i="8"/>
  <c r="AI511" i="8"/>
  <c r="AJ511" i="8"/>
  <c r="AI512" i="8"/>
  <c r="AJ512" i="8"/>
  <c r="AI513" i="8"/>
  <c r="AJ513" i="8"/>
  <c r="AI514" i="8"/>
  <c r="AJ514" i="8"/>
  <c r="AI515" i="8"/>
  <c r="AJ515" i="8"/>
  <c r="AI516" i="8"/>
  <c r="AJ516" i="8"/>
  <c r="AI517" i="8"/>
  <c r="AJ517" i="8"/>
  <c r="AI518" i="8"/>
  <c r="AJ518" i="8"/>
  <c r="AI519" i="8"/>
  <c r="AJ519" i="8"/>
  <c r="AI520" i="8"/>
  <c r="AJ520" i="8"/>
  <c r="AI521" i="8"/>
  <c r="AJ521" i="8"/>
  <c r="AI522" i="8"/>
  <c r="AJ522" i="8"/>
  <c r="AI523" i="8"/>
  <c r="AJ523" i="8"/>
  <c r="AI524" i="8"/>
  <c r="AJ524" i="8"/>
  <c r="AI525" i="8"/>
  <c r="AJ525" i="8"/>
  <c r="AI526" i="8"/>
  <c r="AJ526" i="8"/>
  <c r="AI527" i="8"/>
  <c r="AJ527" i="8"/>
  <c r="AI528" i="8"/>
  <c r="AJ528" i="8"/>
  <c r="AI529" i="8"/>
  <c r="AJ529" i="8"/>
  <c r="AI530" i="8"/>
  <c r="AJ530" i="8"/>
  <c r="AI531" i="8"/>
  <c r="AJ531" i="8"/>
  <c r="AI532" i="8"/>
  <c r="AJ532" i="8"/>
  <c r="AI533" i="8"/>
  <c r="AJ533" i="8"/>
  <c r="AI534" i="8"/>
  <c r="AJ534" i="8"/>
  <c r="AI535" i="8"/>
  <c r="AJ535" i="8"/>
  <c r="AI536" i="8"/>
  <c r="AJ536" i="8"/>
  <c r="AI537" i="8"/>
  <c r="AJ537" i="8"/>
  <c r="AI538" i="8"/>
  <c r="AJ538" i="8"/>
  <c r="AI539" i="8"/>
  <c r="AJ539" i="8"/>
  <c r="AI540" i="8"/>
  <c r="AJ540" i="8"/>
  <c r="AI541" i="8"/>
  <c r="AJ541" i="8"/>
  <c r="AI542" i="8"/>
  <c r="AJ542" i="8"/>
  <c r="AI543" i="8"/>
  <c r="AJ543" i="8"/>
  <c r="AI544" i="8"/>
  <c r="AJ544" i="8"/>
  <c r="AI545" i="8"/>
  <c r="AJ545" i="8"/>
  <c r="AI546" i="8"/>
  <c r="AJ546" i="8"/>
  <c r="AI547" i="8"/>
  <c r="AJ547" i="8"/>
  <c r="AI548" i="8"/>
  <c r="AJ548" i="8"/>
  <c r="AI549" i="8"/>
  <c r="AJ549" i="8"/>
  <c r="AI550" i="8"/>
  <c r="AJ550" i="8"/>
  <c r="AI551" i="8"/>
  <c r="AJ551" i="8"/>
  <c r="AI552" i="8"/>
  <c r="AJ552" i="8"/>
  <c r="AI553" i="8"/>
  <c r="AJ553" i="8"/>
  <c r="AI554" i="8"/>
  <c r="AJ554" i="8"/>
  <c r="AI555" i="8"/>
  <c r="AJ555" i="8"/>
  <c r="AI556" i="8"/>
  <c r="AJ556" i="8"/>
  <c r="AI557" i="8"/>
  <c r="AJ557" i="8"/>
  <c r="AI558" i="8"/>
  <c r="AJ558" i="8"/>
  <c r="AI559" i="8"/>
  <c r="AJ559" i="8"/>
  <c r="AI560" i="8"/>
  <c r="AJ560" i="8"/>
  <c r="AI561" i="8"/>
  <c r="AJ561" i="8"/>
  <c r="AI562" i="8"/>
  <c r="AJ562" i="8"/>
  <c r="AI563" i="8"/>
  <c r="AJ563" i="8"/>
  <c r="AI564" i="8"/>
  <c r="AJ564" i="8"/>
  <c r="AI565" i="8"/>
  <c r="AJ565" i="8"/>
  <c r="AI566" i="8"/>
  <c r="AJ566" i="8"/>
  <c r="AI567" i="8"/>
  <c r="AJ567" i="8"/>
  <c r="AI568" i="8"/>
  <c r="AJ568" i="8"/>
  <c r="AI569" i="8"/>
  <c r="AJ569" i="8"/>
  <c r="AI570" i="8"/>
  <c r="AJ570" i="8"/>
  <c r="AI571" i="8"/>
  <c r="AJ571" i="8"/>
  <c r="AI572" i="8"/>
  <c r="AJ572" i="8"/>
  <c r="AI573" i="8"/>
  <c r="AJ573" i="8"/>
  <c r="AI574" i="8"/>
  <c r="AJ574" i="8"/>
  <c r="AI575" i="8"/>
  <c r="AJ575" i="8"/>
  <c r="AI576" i="8"/>
  <c r="AJ576" i="8"/>
  <c r="AI577" i="8"/>
  <c r="AJ577" i="8"/>
  <c r="AI578" i="8"/>
  <c r="AJ578" i="8"/>
  <c r="AI579" i="8"/>
  <c r="AJ579" i="8"/>
  <c r="AI580" i="8"/>
  <c r="AJ580" i="8"/>
  <c r="AI581" i="8"/>
  <c r="AJ581" i="8"/>
  <c r="AI582" i="8"/>
  <c r="AJ582" i="8"/>
  <c r="AI583" i="8"/>
  <c r="AJ583" i="8"/>
  <c r="AI584" i="8"/>
  <c r="AJ584" i="8"/>
  <c r="AI585" i="8"/>
  <c r="AJ585" i="8"/>
  <c r="AI586" i="8"/>
  <c r="AJ586" i="8"/>
  <c r="AI587" i="8"/>
  <c r="AJ587" i="8"/>
  <c r="AI588" i="8"/>
  <c r="AJ588" i="8"/>
  <c r="AI589" i="8"/>
  <c r="AJ589" i="8"/>
  <c r="AI590" i="8"/>
  <c r="AJ590" i="8"/>
  <c r="AI591" i="8"/>
  <c r="AJ591" i="8"/>
  <c r="AI592" i="8"/>
  <c r="AJ592" i="8"/>
  <c r="AI593" i="8"/>
  <c r="AJ593" i="8"/>
  <c r="AI594" i="8"/>
  <c r="AJ594" i="8"/>
  <c r="AI595" i="8"/>
  <c r="AJ595" i="8"/>
  <c r="AI596" i="8"/>
  <c r="AJ596" i="8"/>
  <c r="AI597" i="8"/>
  <c r="AJ597" i="8"/>
  <c r="AI598" i="8"/>
  <c r="AJ598" i="8"/>
  <c r="AI599" i="8"/>
  <c r="AJ599" i="8"/>
  <c r="AI600" i="8"/>
  <c r="AJ600" i="8"/>
  <c r="AI601" i="8"/>
  <c r="AJ601" i="8"/>
  <c r="AI602" i="8"/>
  <c r="AJ602" i="8"/>
  <c r="AI603" i="8"/>
  <c r="AJ603" i="8"/>
  <c r="AI604" i="8"/>
  <c r="AJ604" i="8"/>
  <c r="AI605" i="8"/>
  <c r="AJ605" i="8"/>
  <c r="AI606" i="8"/>
  <c r="AJ606" i="8"/>
  <c r="AI607" i="8"/>
  <c r="AJ607" i="8"/>
  <c r="AI608" i="8"/>
  <c r="AJ608" i="8"/>
  <c r="AI609" i="8"/>
  <c r="AJ609" i="8"/>
  <c r="AI610" i="8"/>
  <c r="AJ610" i="8"/>
  <c r="AI611" i="8"/>
  <c r="AJ611" i="8"/>
  <c r="AI612" i="8"/>
  <c r="AJ612" i="8"/>
  <c r="AI613" i="8"/>
  <c r="AJ613" i="8"/>
  <c r="AI614" i="8"/>
  <c r="AJ614" i="8"/>
  <c r="AI615" i="8"/>
  <c r="AJ615" i="8"/>
  <c r="AI616" i="8"/>
  <c r="AJ616" i="8"/>
  <c r="AI617" i="8"/>
  <c r="AJ617" i="8"/>
  <c r="AI618" i="8"/>
  <c r="AJ618" i="8"/>
  <c r="AI619" i="8"/>
  <c r="AJ619" i="8"/>
  <c r="AI620" i="8"/>
  <c r="AJ620" i="8"/>
  <c r="AI621" i="8"/>
  <c r="AJ621" i="8"/>
  <c r="AI622" i="8"/>
  <c r="AJ622" i="8"/>
  <c r="AI623" i="8"/>
  <c r="AJ623" i="8"/>
  <c r="AI624" i="8"/>
  <c r="AJ624" i="8"/>
  <c r="AI625" i="8"/>
  <c r="AJ625" i="8"/>
  <c r="AI626" i="8"/>
  <c r="AJ626" i="8"/>
  <c r="AI627" i="8"/>
  <c r="AJ627" i="8"/>
  <c r="AI628" i="8"/>
  <c r="AJ628" i="8"/>
  <c r="AI629" i="8"/>
  <c r="AJ629" i="8"/>
  <c r="AI630" i="8"/>
  <c r="AJ630" i="8"/>
  <c r="AI631" i="8"/>
  <c r="AJ631" i="8"/>
  <c r="AI632" i="8"/>
  <c r="AJ632" i="8"/>
  <c r="AI633" i="8"/>
  <c r="AJ633" i="8"/>
  <c r="AI634" i="8"/>
  <c r="AJ634" i="8"/>
  <c r="AI635" i="8"/>
  <c r="AJ635" i="8"/>
  <c r="AI636" i="8"/>
  <c r="AJ636" i="8"/>
  <c r="AI637" i="8"/>
  <c r="AJ637" i="8"/>
  <c r="AI638" i="8"/>
  <c r="AJ638" i="8"/>
  <c r="AI639" i="8"/>
  <c r="AJ639" i="8"/>
  <c r="AI640" i="8"/>
  <c r="AJ640" i="8"/>
  <c r="AI641" i="8"/>
  <c r="AJ641" i="8"/>
  <c r="AI642" i="8"/>
  <c r="AJ642" i="8"/>
  <c r="AI643" i="8"/>
  <c r="AJ643" i="8"/>
  <c r="AI644" i="8"/>
  <c r="AJ644" i="8"/>
  <c r="AI645" i="8"/>
  <c r="AJ645" i="8"/>
  <c r="AI646" i="8"/>
  <c r="AJ646" i="8"/>
  <c r="AI647" i="8"/>
  <c r="AJ647" i="8"/>
  <c r="AI648" i="8"/>
  <c r="AJ648" i="8"/>
  <c r="AI649" i="8"/>
  <c r="AJ649" i="8"/>
  <c r="AI650" i="8"/>
  <c r="AJ650" i="8"/>
  <c r="AI651" i="8"/>
  <c r="AJ651" i="8"/>
  <c r="AI652" i="8"/>
  <c r="AJ652" i="8"/>
  <c r="AI653" i="8"/>
  <c r="AJ653" i="8"/>
  <c r="AI654" i="8"/>
  <c r="AJ654" i="8"/>
  <c r="AI655" i="8"/>
  <c r="AJ655" i="8"/>
  <c r="AI656" i="8"/>
  <c r="AJ656" i="8"/>
  <c r="AI657" i="8"/>
  <c r="AJ657" i="8"/>
  <c r="AI658" i="8"/>
  <c r="AJ658" i="8"/>
  <c r="AI659" i="8"/>
  <c r="AJ659" i="8"/>
  <c r="AI660" i="8"/>
  <c r="AJ660" i="8"/>
  <c r="AI661" i="8"/>
  <c r="AJ661" i="8"/>
  <c r="AI662" i="8"/>
  <c r="AJ662" i="8"/>
  <c r="AI663" i="8"/>
  <c r="AJ663" i="8"/>
  <c r="AI664" i="8"/>
  <c r="AJ664" i="8"/>
  <c r="AI665" i="8"/>
  <c r="AJ665" i="8"/>
  <c r="AI666" i="8"/>
  <c r="AJ666" i="8"/>
  <c r="AI667" i="8"/>
  <c r="AJ667" i="8"/>
  <c r="AI668" i="8"/>
  <c r="AJ668" i="8"/>
  <c r="AI669" i="8"/>
  <c r="AJ669" i="8"/>
  <c r="AI670" i="8"/>
  <c r="AJ670" i="8"/>
  <c r="AI671" i="8"/>
  <c r="AJ671" i="8"/>
  <c r="AI672" i="8"/>
  <c r="AJ672" i="8"/>
  <c r="AI673" i="8"/>
  <c r="AJ673" i="8"/>
  <c r="AI674" i="8"/>
  <c r="AJ674" i="8"/>
  <c r="AI675" i="8"/>
  <c r="AJ675" i="8"/>
  <c r="AI676" i="8"/>
  <c r="AJ676" i="8"/>
  <c r="AI677" i="8"/>
  <c r="AJ677" i="8"/>
  <c r="AI678" i="8"/>
  <c r="AJ678" i="8"/>
  <c r="AI679" i="8"/>
  <c r="AJ679" i="8"/>
  <c r="AI680" i="8"/>
  <c r="AJ680" i="8"/>
  <c r="AI681" i="8"/>
  <c r="AJ681" i="8"/>
  <c r="AI682" i="8"/>
  <c r="AJ682" i="8"/>
  <c r="AI683" i="8"/>
  <c r="AJ683" i="8"/>
  <c r="AI684" i="8"/>
  <c r="AJ684" i="8"/>
  <c r="AI685" i="8"/>
  <c r="AJ685" i="8"/>
  <c r="AI686" i="8"/>
  <c r="AJ686" i="8"/>
  <c r="AI687" i="8"/>
  <c r="AJ687" i="8"/>
  <c r="AI688" i="8"/>
  <c r="AJ688" i="8"/>
  <c r="AI689" i="8"/>
  <c r="AJ689" i="8"/>
  <c r="AI690" i="8"/>
  <c r="AJ690" i="8"/>
  <c r="AI691" i="8"/>
  <c r="AJ691" i="8"/>
  <c r="AI692" i="8"/>
  <c r="AJ692" i="8"/>
  <c r="AI693" i="8"/>
  <c r="AJ693" i="8"/>
  <c r="AI694" i="8"/>
  <c r="AJ694" i="8"/>
  <c r="AI695" i="8"/>
  <c r="AJ695" i="8"/>
  <c r="AI696" i="8"/>
  <c r="AJ696" i="8"/>
  <c r="AI697" i="8"/>
  <c r="AJ697" i="8"/>
  <c r="AI698" i="8"/>
  <c r="AJ698" i="8"/>
  <c r="AI699" i="8"/>
  <c r="AJ699" i="8"/>
  <c r="AI700" i="8"/>
  <c r="AJ700" i="8"/>
  <c r="AI701" i="8"/>
  <c r="AJ701" i="8"/>
  <c r="AI702" i="8"/>
  <c r="AJ702" i="8"/>
  <c r="AI703" i="8"/>
  <c r="AJ703" i="8"/>
  <c r="AI704" i="8"/>
  <c r="AJ704" i="8"/>
  <c r="AI705" i="8"/>
  <c r="AJ705" i="8"/>
  <c r="AI706" i="8"/>
  <c r="AJ706" i="8"/>
  <c r="AI707" i="8"/>
  <c r="AJ707" i="8"/>
  <c r="AI708" i="8"/>
  <c r="AJ708" i="8"/>
  <c r="AI709" i="8"/>
  <c r="AJ709" i="8"/>
  <c r="AI710" i="8"/>
  <c r="AJ710" i="8"/>
  <c r="AI711" i="8"/>
  <c r="AJ711" i="8"/>
  <c r="AI712" i="8"/>
  <c r="AJ712" i="8"/>
  <c r="AI713" i="8"/>
  <c r="AJ713" i="8"/>
  <c r="AI714" i="8"/>
  <c r="AJ714" i="8"/>
  <c r="AI715" i="8"/>
  <c r="AJ715" i="8"/>
  <c r="AI716" i="8"/>
  <c r="AJ716" i="8"/>
  <c r="AI717" i="8"/>
  <c r="AJ717" i="8"/>
  <c r="AI718" i="8"/>
  <c r="AJ718" i="8"/>
  <c r="AI719" i="8"/>
  <c r="AJ719" i="8"/>
  <c r="AI720" i="8"/>
  <c r="AJ720" i="8"/>
  <c r="AI721" i="8"/>
  <c r="AJ721" i="8"/>
  <c r="AI722" i="8"/>
  <c r="AJ722" i="8"/>
  <c r="AI723" i="8"/>
  <c r="AJ723" i="8"/>
  <c r="AI724" i="8"/>
  <c r="AJ724" i="8"/>
  <c r="AI725" i="8"/>
  <c r="AJ725" i="8"/>
  <c r="AI726" i="8"/>
  <c r="AJ726" i="8"/>
  <c r="AI727" i="8"/>
  <c r="AJ727" i="8"/>
  <c r="AI728" i="8"/>
  <c r="AJ728" i="8"/>
  <c r="AI729" i="8"/>
  <c r="AJ729" i="8"/>
  <c r="AI730" i="8"/>
  <c r="AJ730" i="8"/>
  <c r="AI731" i="8"/>
  <c r="AJ731" i="8"/>
  <c r="AI732" i="8"/>
  <c r="AJ732" i="8"/>
  <c r="AI733" i="8"/>
  <c r="AJ733" i="8"/>
  <c r="AI734" i="8"/>
  <c r="AJ734" i="8"/>
  <c r="AI735" i="8"/>
  <c r="AJ735" i="8"/>
  <c r="AI736" i="8"/>
  <c r="AJ736" i="8"/>
  <c r="AI737" i="8"/>
  <c r="AJ737" i="8"/>
  <c r="AI738" i="8"/>
  <c r="AJ738" i="8"/>
  <c r="AI739" i="8"/>
  <c r="AJ739" i="8"/>
  <c r="AI740" i="8"/>
  <c r="AJ740" i="8"/>
  <c r="AI741" i="8"/>
  <c r="AJ741" i="8"/>
  <c r="AI742" i="8"/>
  <c r="AJ742" i="8"/>
  <c r="AI743" i="8"/>
  <c r="AJ743" i="8"/>
  <c r="AI744" i="8"/>
  <c r="AJ744" i="8"/>
  <c r="AI745" i="8"/>
  <c r="AJ745" i="8"/>
  <c r="AI746" i="8"/>
  <c r="AJ746" i="8"/>
  <c r="AI747" i="8"/>
  <c r="AJ747" i="8"/>
  <c r="AI748" i="8"/>
  <c r="AJ748" i="8"/>
  <c r="AI749" i="8"/>
  <c r="AJ749" i="8"/>
  <c r="AI750" i="8"/>
  <c r="AJ750" i="8"/>
  <c r="AI751" i="8"/>
  <c r="AJ751" i="8"/>
  <c r="AI752" i="8"/>
  <c r="AJ752" i="8"/>
  <c r="AI753" i="8"/>
  <c r="AJ753" i="8"/>
  <c r="AI754" i="8"/>
  <c r="AJ754" i="8"/>
  <c r="AI755" i="8"/>
  <c r="AJ755" i="8"/>
  <c r="AI756" i="8"/>
  <c r="AJ756" i="8"/>
  <c r="AI757" i="8"/>
  <c r="AJ757" i="8"/>
  <c r="AI758" i="8"/>
  <c r="AJ758" i="8"/>
  <c r="AI759" i="8"/>
  <c r="AJ759" i="8"/>
  <c r="AI760" i="8"/>
  <c r="AJ760" i="8"/>
  <c r="AI761" i="8"/>
  <c r="AJ761" i="8"/>
  <c r="AI762" i="8"/>
  <c r="AJ762" i="8"/>
  <c r="AI763" i="8"/>
  <c r="AJ763" i="8"/>
  <c r="AI764" i="8"/>
  <c r="AJ764" i="8"/>
  <c r="AI765" i="8"/>
  <c r="AJ765" i="8"/>
  <c r="AI766" i="8"/>
  <c r="AJ766" i="8"/>
  <c r="AI767" i="8"/>
  <c r="AJ767" i="8"/>
  <c r="AI768" i="8"/>
  <c r="AJ768" i="8"/>
  <c r="AI769" i="8"/>
  <c r="AJ769" i="8"/>
  <c r="AI770" i="8"/>
  <c r="AJ770" i="8"/>
  <c r="AI771" i="8"/>
  <c r="AJ771" i="8"/>
  <c r="AI772" i="8"/>
  <c r="AJ772" i="8"/>
  <c r="AI773" i="8"/>
  <c r="AJ773" i="8"/>
  <c r="AI774" i="8"/>
  <c r="AJ774" i="8"/>
  <c r="AI775" i="8"/>
  <c r="AJ775" i="8"/>
  <c r="AI776" i="8"/>
  <c r="AJ776" i="8"/>
  <c r="AI777" i="8"/>
  <c r="AJ777" i="8"/>
  <c r="AI778" i="8"/>
  <c r="AJ778" i="8"/>
  <c r="AI779" i="8"/>
  <c r="AJ779" i="8"/>
  <c r="AI780" i="8"/>
  <c r="AJ780" i="8"/>
  <c r="AI781" i="8"/>
  <c r="AJ781" i="8"/>
  <c r="AI782" i="8"/>
  <c r="AJ782" i="8"/>
  <c r="AI783" i="8"/>
  <c r="AJ783" i="8"/>
  <c r="AI784" i="8"/>
  <c r="AJ784" i="8"/>
  <c r="AI785" i="8"/>
  <c r="AJ785" i="8"/>
  <c r="AI786" i="8"/>
  <c r="AJ786" i="8"/>
  <c r="AI787" i="8"/>
  <c r="AJ787" i="8"/>
  <c r="AI788" i="8"/>
  <c r="AJ788" i="8"/>
  <c r="AI789" i="8"/>
  <c r="AJ789" i="8"/>
  <c r="AI790" i="8"/>
  <c r="AJ790" i="8"/>
  <c r="AI791" i="8"/>
  <c r="AJ791" i="8"/>
  <c r="AI792" i="8"/>
  <c r="AJ792" i="8"/>
  <c r="AI793" i="8"/>
  <c r="AJ793" i="8"/>
  <c r="AI794" i="8"/>
  <c r="AJ794" i="8"/>
  <c r="AI795" i="8"/>
  <c r="AJ795" i="8"/>
  <c r="AI796" i="8"/>
  <c r="AJ796" i="8"/>
  <c r="AI797" i="8"/>
  <c r="AJ797" i="8"/>
  <c r="AI798" i="8"/>
  <c r="AJ798" i="8"/>
  <c r="AI799" i="8"/>
  <c r="AJ799" i="8"/>
  <c r="AI800" i="8"/>
  <c r="AJ800" i="8"/>
  <c r="AI801" i="8"/>
  <c r="AJ801" i="8"/>
  <c r="AI802" i="8"/>
  <c r="AJ802" i="8"/>
  <c r="AI803" i="8"/>
  <c r="AJ803" i="8"/>
  <c r="AI804" i="8"/>
  <c r="AJ804" i="8"/>
  <c r="AI805" i="8"/>
  <c r="AJ805" i="8"/>
  <c r="AI806" i="8"/>
  <c r="AJ806" i="8"/>
  <c r="AI807" i="8"/>
  <c r="AJ807" i="8"/>
  <c r="AI808" i="8"/>
  <c r="AJ808" i="8"/>
  <c r="AI809" i="8"/>
  <c r="AJ809" i="8"/>
  <c r="AI810" i="8"/>
  <c r="AJ810" i="8"/>
  <c r="AI811" i="8"/>
  <c r="AJ811" i="8"/>
  <c r="AI812" i="8"/>
  <c r="AJ812" i="8"/>
  <c r="AI813" i="8"/>
  <c r="AJ813" i="8"/>
  <c r="AI814" i="8"/>
  <c r="AJ814" i="8"/>
  <c r="AI815" i="8"/>
  <c r="AJ815" i="8"/>
  <c r="AI816" i="8"/>
  <c r="AJ816" i="8"/>
  <c r="AI817" i="8"/>
  <c r="AJ817" i="8"/>
  <c r="AI818" i="8"/>
  <c r="AJ818" i="8"/>
  <c r="AI819" i="8"/>
  <c r="AJ819" i="8"/>
  <c r="AI820" i="8"/>
  <c r="AJ820" i="8"/>
  <c r="AI821" i="8"/>
  <c r="AJ821" i="8"/>
  <c r="AI822" i="8"/>
  <c r="AJ822" i="8"/>
  <c r="AI823" i="8"/>
  <c r="AJ823" i="8"/>
  <c r="AI824" i="8"/>
  <c r="AJ824" i="8"/>
  <c r="AI825" i="8"/>
  <c r="AJ825" i="8"/>
  <c r="AI826" i="8"/>
  <c r="AJ826" i="8"/>
  <c r="AI827" i="8"/>
  <c r="AJ827" i="8"/>
  <c r="AI828" i="8"/>
  <c r="AJ828" i="8"/>
  <c r="AI829" i="8"/>
  <c r="AJ829" i="8"/>
  <c r="AI830" i="8"/>
  <c r="AJ830" i="8"/>
  <c r="AI831" i="8"/>
  <c r="AJ831" i="8"/>
  <c r="AI832" i="8"/>
  <c r="AJ832" i="8"/>
  <c r="AI833" i="8"/>
  <c r="AJ833" i="8"/>
  <c r="AI834" i="8"/>
  <c r="AJ834" i="8"/>
  <c r="AI835" i="8"/>
  <c r="AJ835" i="8"/>
  <c r="AI836" i="8"/>
  <c r="AJ836" i="8"/>
  <c r="AI837" i="8"/>
  <c r="AJ837" i="8"/>
  <c r="AI838" i="8"/>
  <c r="AJ838" i="8"/>
  <c r="AI839" i="8"/>
  <c r="AJ839" i="8"/>
  <c r="AI840" i="8"/>
  <c r="AJ840" i="8"/>
  <c r="AI841" i="8"/>
  <c r="AJ841" i="8"/>
  <c r="AI842" i="8"/>
  <c r="AJ842" i="8"/>
  <c r="AI843" i="8"/>
  <c r="AJ843" i="8"/>
  <c r="AI844" i="8"/>
  <c r="AJ844" i="8"/>
  <c r="AI845" i="8"/>
  <c r="AJ845" i="8"/>
  <c r="AI846" i="8"/>
  <c r="AJ846" i="8"/>
  <c r="AI847" i="8"/>
  <c r="AJ847" i="8"/>
  <c r="AI848" i="8"/>
  <c r="AJ848" i="8"/>
  <c r="AI849" i="8"/>
  <c r="AJ849" i="8"/>
  <c r="AI850" i="8"/>
  <c r="AJ850" i="8"/>
  <c r="AI851" i="8"/>
  <c r="AJ851" i="8"/>
  <c r="AI852" i="8"/>
  <c r="AJ852" i="8"/>
  <c r="AI853" i="8"/>
  <c r="AJ853" i="8"/>
  <c r="AI854" i="8"/>
  <c r="AJ854" i="8"/>
  <c r="AI855" i="8"/>
  <c r="AJ855" i="8"/>
  <c r="AI856" i="8"/>
  <c r="AJ856" i="8"/>
  <c r="AI857" i="8"/>
  <c r="AJ857" i="8"/>
  <c r="AI858" i="8"/>
  <c r="AJ858" i="8"/>
  <c r="AI859" i="8"/>
  <c r="AJ859" i="8"/>
  <c r="AI860" i="8"/>
  <c r="AJ860" i="8"/>
  <c r="AI861" i="8"/>
  <c r="AJ861" i="8"/>
  <c r="AI862" i="8"/>
  <c r="AJ862" i="8"/>
  <c r="AI863" i="8"/>
  <c r="AJ863" i="8"/>
  <c r="AI864" i="8"/>
  <c r="AJ864" i="8"/>
  <c r="AI865" i="8"/>
  <c r="AJ865" i="8"/>
  <c r="AI866" i="8"/>
  <c r="AJ866" i="8"/>
  <c r="AI867" i="8"/>
  <c r="AJ867" i="8"/>
  <c r="AI868" i="8"/>
  <c r="AJ868" i="8"/>
  <c r="AI869" i="8"/>
  <c r="AJ869" i="8"/>
  <c r="AI870" i="8"/>
  <c r="AJ870" i="8"/>
  <c r="AI871" i="8"/>
  <c r="AJ871" i="8"/>
  <c r="AI872" i="8"/>
  <c r="AJ872" i="8"/>
  <c r="AI873" i="8"/>
  <c r="AJ873" i="8"/>
  <c r="AI874" i="8"/>
  <c r="AJ874" i="8"/>
  <c r="AI875" i="8"/>
  <c r="AJ875" i="8"/>
  <c r="AI876" i="8"/>
  <c r="AJ876" i="8"/>
  <c r="AI877" i="8"/>
  <c r="AJ877" i="8"/>
  <c r="AI878" i="8"/>
  <c r="AJ878" i="8"/>
  <c r="AI879" i="8"/>
  <c r="AJ879" i="8"/>
  <c r="AI880" i="8"/>
  <c r="AJ880" i="8"/>
  <c r="AI881" i="8"/>
  <c r="AJ881" i="8"/>
  <c r="AI882" i="8"/>
  <c r="AJ882" i="8"/>
  <c r="AI883" i="8"/>
  <c r="AJ883" i="8"/>
  <c r="AI884" i="8"/>
  <c r="AJ884" i="8"/>
  <c r="AI885" i="8"/>
  <c r="AJ885" i="8"/>
  <c r="AI886" i="8"/>
  <c r="AJ886" i="8"/>
  <c r="AI887" i="8"/>
  <c r="AJ887" i="8"/>
  <c r="AI888" i="8"/>
  <c r="AJ888" i="8"/>
  <c r="AI889" i="8"/>
  <c r="AJ889" i="8"/>
  <c r="AI890" i="8"/>
  <c r="AJ890" i="8"/>
  <c r="AI891" i="8"/>
  <c r="AJ891" i="8"/>
  <c r="AI892" i="8"/>
  <c r="AJ892" i="8"/>
  <c r="AI893" i="8"/>
  <c r="AJ893" i="8"/>
  <c r="AI894" i="8"/>
  <c r="AJ894" i="8"/>
  <c r="AI895" i="8"/>
  <c r="AJ895" i="8"/>
  <c r="AI896" i="8"/>
  <c r="AJ896" i="8"/>
  <c r="AI897" i="8"/>
  <c r="AJ897" i="8"/>
  <c r="AI898" i="8"/>
  <c r="AJ898" i="8"/>
  <c r="AI899" i="8"/>
  <c r="AJ899" i="8"/>
  <c r="AI900" i="8"/>
  <c r="AJ900" i="8"/>
  <c r="AI901" i="8"/>
  <c r="AJ901" i="8"/>
  <c r="AI902" i="8"/>
  <c r="AJ902" i="8"/>
  <c r="AI903" i="8"/>
  <c r="AJ903" i="8"/>
  <c r="AI904" i="8"/>
  <c r="AJ904" i="8"/>
  <c r="AI905" i="8"/>
  <c r="AJ905" i="8"/>
  <c r="AI906" i="8"/>
  <c r="AJ906" i="8"/>
  <c r="AI907" i="8"/>
  <c r="AJ907" i="8"/>
  <c r="AI908" i="8"/>
  <c r="AJ908" i="8"/>
  <c r="AI909" i="8"/>
  <c r="AJ909" i="8"/>
  <c r="AI910" i="8"/>
  <c r="AJ910" i="8"/>
  <c r="AI911" i="8"/>
  <c r="AJ911" i="8"/>
  <c r="AI912" i="8"/>
  <c r="AJ912" i="8"/>
  <c r="AI913" i="8"/>
  <c r="AJ913" i="8"/>
  <c r="AI914" i="8"/>
  <c r="AJ914" i="8"/>
  <c r="AI915" i="8"/>
  <c r="AJ915" i="8"/>
  <c r="AI916" i="8"/>
  <c r="AJ916" i="8"/>
  <c r="AI917" i="8"/>
  <c r="AJ917" i="8"/>
  <c r="AI918" i="8"/>
  <c r="AJ918" i="8"/>
  <c r="AI919" i="8"/>
  <c r="AJ919" i="8"/>
  <c r="AI920" i="8"/>
  <c r="AJ920" i="8"/>
  <c r="AI921" i="8"/>
  <c r="AJ921" i="8"/>
  <c r="AI922" i="8"/>
  <c r="AJ922" i="8"/>
  <c r="AI923" i="8"/>
  <c r="AJ923" i="8"/>
  <c r="AI924" i="8"/>
  <c r="AJ924" i="8"/>
  <c r="AI925" i="8"/>
  <c r="AJ925" i="8"/>
  <c r="AI926" i="8"/>
  <c r="AJ926" i="8"/>
  <c r="AI927" i="8"/>
  <c r="AJ927" i="8"/>
  <c r="AI928" i="8"/>
  <c r="AJ928" i="8"/>
  <c r="AI929" i="8"/>
  <c r="AJ929" i="8"/>
  <c r="AI930" i="8"/>
  <c r="AJ930" i="8"/>
  <c r="AI931" i="8"/>
  <c r="AJ931" i="8"/>
  <c r="AI932" i="8"/>
  <c r="AJ932" i="8"/>
  <c r="AI933" i="8"/>
  <c r="AJ933" i="8"/>
  <c r="AI934" i="8"/>
  <c r="AJ934" i="8"/>
  <c r="AI935" i="8"/>
  <c r="AJ935" i="8"/>
  <c r="AI936" i="8"/>
  <c r="AJ936" i="8"/>
  <c r="AI937" i="8"/>
  <c r="AJ937" i="8"/>
  <c r="AI938" i="8"/>
  <c r="AJ938" i="8"/>
  <c r="AI939" i="8"/>
  <c r="AJ939" i="8"/>
  <c r="AI940" i="8"/>
  <c r="AJ940" i="8"/>
  <c r="AI941" i="8"/>
  <c r="AJ941" i="8"/>
  <c r="AI942" i="8"/>
  <c r="AJ942" i="8"/>
  <c r="AI943" i="8"/>
  <c r="AJ943" i="8"/>
  <c r="AI944" i="8"/>
  <c r="AJ944" i="8"/>
  <c r="AI945" i="8"/>
  <c r="AJ945" i="8"/>
  <c r="AI946" i="8"/>
  <c r="AJ946" i="8"/>
  <c r="AI947" i="8"/>
  <c r="AJ947" i="8"/>
  <c r="AI948" i="8"/>
  <c r="AJ948" i="8"/>
  <c r="AI949" i="8"/>
  <c r="AJ949" i="8"/>
  <c r="AI950" i="8"/>
  <c r="AJ950" i="8"/>
  <c r="AI951" i="8"/>
  <c r="AJ951" i="8"/>
  <c r="AI952" i="8"/>
  <c r="AJ952" i="8"/>
  <c r="AI953" i="8"/>
  <c r="AJ953" i="8"/>
  <c r="AI954" i="8"/>
  <c r="AJ954" i="8"/>
  <c r="AI955" i="8"/>
  <c r="AJ955" i="8"/>
  <c r="AI956" i="8"/>
  <c r="AJ956" i="8"/>
  <c r="AI957" i="8"/>
  <c r="AJ957" i="8"/>
  <c r="AI958" i="8"/>
  <c r="AJ958" i="8"/>
  <c r="AI959" i="8"/>
  <c r="AJ959" i="8"/>
  <c r="AI960" i="8"/>
  <c r="AJ960" i="8"/>
  <c r="AI961" i="8"/>
  <c r="AJ961" i="8"/>
  <c r="AI962" i="8"/>
  <c r="AJ962" i="8"/>
  <c r="AI963" i="8"/>
  <c r="AJ963" i="8"/>
  <c r="AI964" i="8"/>
  <c r="AJ964" i="8"/>
  <c r="AI965" i="8"/>
  <c r="AJ965" i="8"/>
  <c r="AI966" i="8"/>
  <c r="AJ966" i="8"/>
  <c r="AI967" i="8"/>
  <c r="AJ967" i="8"/>
  <c r="AI968" i="8"/>
  <c r="AJ968" i="8"/>
  <c r="AI969" i="8"/>
  <c r="AJ969" i="8"/>
  <c r="AI970" i="8"/>
  <c r="AJ970" i="8"/>
  <c r="AI971" i="8"/>
  <c r="AJ971" i="8"/>
  <c r="AI972" i="8"/>
  <c r="AJ972" i="8"/>
  <c r="AI973" i="8"/>
  <c r="AJ973" i="8"/>
  <c r="AI974" i="8"/>
  <c r="AJ974" i="8"/>
  <c r="AI975" i="8"/>
  <c r="AJ975" i="8"/>
  <c r="AI976" i="8"/>
  <c r="AJ976" i="8"/>
  <c r="AI977" i="8"/>
  <c r="AJ977" i="8"/>
  <c r="AI978" i="8"/>
  <c r="AJ978" i="8"/>
  <c r="AI979" i="8"/>
  <c r="AJ979" i="8"/>
  <c r="AI980" i="8"/>
  <c r="AJ980" i="8"/>
  <c r="AI981" i="8"/>
  <c r="AJ981" i="8"/>
  <c r="AI982" i="8"/>
  <c r="AJ982" i="8"/>
  <c r="AI983" i="8"/>
  <c r="AJ983" i="8"/>
  <c r="AI984" i="8"/>
  <c r="AJ984" i="8"/>
  <c r="AI985" i="8"/>
  <c r="AJ985" i="8"/>
  <c r="AI986" i="8"/>
  <c r="AJ986" i="8"/>
  <c r="AI987" i="8"/>
  <c r="AJ987" i="8"/>
  <c r="AI988" i="8"/>
  <c r="AJ988" i="8"/>
  <c r="AI989" i="8"/>
  <c r="AJ989" i="8"/>
  <c r="AI990" i="8"/>
  <c r="AJ990" i="8"/>
  <c r="AI991" i="8"/>
  <c r="AJ991" i="8"/>
  <c r="AI992" i="8"/>
  <c r="AJ992" i="8"/>
  <c r="AI993" i="8"/>
  <c r="AJ993" i="8"/>
  <c r="AI994" i="8"/>
  <c r="AJ994" i="8"/>
  <c r="AI995" i="8"/>
  <c r="AJ995" i="8"/>
  <c r="AI996" i="8"/>
  <c r="AJ996" i="8"/>
  <c r="AI997" i="8"/>
  <c r="AJ997" i="8"/>
  <c r="AI998" i="8"/>
  <c r="AJ998" i="8"/>
  <c r="AI999" i="8"/>
  <c r="AJ999" i="8"/>
  <c r="AI1000" i="8"/>
  <c r="AJ1000" i="8"/>
  <c r="AI1001" i="8"/>
  <c r="AJ1001" i="8"/>
  <c r="AI1002" i="8"/>
  <c r="AJ1002" i="8"/>
  <c r="AI1003" i="8"/>
  <c r="AJ1003" i="8"/>
  <c r="AI1004" i="8"/>
  <c r="AJ1004" i="8"/>
  <c r="AI1005" i="8"/>
  <c r="AJ1005" i="8"/>
  <c r="AI1006" i="8"/>
  <c r="AJ1006" i="8"/>
  <c r="AI1007" i="8"/>
  <c r="AJ1007" i="8"/>
  <c r="AI1008" i="8"/>
  <c r="AJ1008" i="8"/>
  <c r="AI1009" i="8"/>
  <c r="AJ1009" i="8"/>
  <c r="AI1010" i="8"/>
  <c r="AJ1010" i="8"/>
  <c r="AI1011" i="8"/>
  <c r="AJ1011" i="8"/>
  <c r="AI1012" i="8"/>
  <c r="AJ1012" i="8"/>
  <c r="AI1013" i="8"/>
  <c r="AJ1013" i="8"/>
  <c r="AI1014" i="8"/>
  <c r="AJ1014" i="8"/>
  <c r="AI1015" i="8"/>
  <c r="AJ1015" i="8"/>
  <c r="AI1016" i="8"/>
  <c r="AJ1016" i="8"/>
  <c r="AI1017" i="8"/>
  <c r="AJ1017" i="8"/>
  <c r="AI1018" i="8"/>
  <c r="AJ1018" i="8"/>
  <c r="AI1019" i="8"/>
  <c r="AJ1019" i="8"/>
  <c r="AI1020" i="8"/>
  <c r="AJ1020" i="8"/>
  <c r="AI1021" i="8"/>
  <c r="AJ1021" i="8"/>
  <c r="AI1022" i="8"/>
  <c r="AJ1022" i="8"/>
  <c r="AI1023" i="8"/>
  <c r="AJ1023" i="8"/>
  <c r="AI1024" i="8"/>
  <c r="AJ1024" i="8"/>
  <c r="AI1025" i="8"/>
  <c r="AJ1025" i="8"/>
  <c r="AI1026" i="8"/>
  <c r="AJ1026" i="8"/>
  <c r="AI1027" i="8"/>
  <c r="AJ1027" i="8"/>
  <c r="AI1028" i="8"/>
  <c r="AJ1028" i="8"/>
  <c r="AI1029" i="8"/>
  <c r="AJ1029" i="8"/>
  <c r="AI1030" i="8"/>
  <c r="AJ1030" i="8"/>
  <c r="AI1031" i="8"/>
  <c r="AJ1031" i="8"/>
  <c r="AI1032" i="8"/>
  <c r="AJ1032" i="8"/>
  <c r="AI1033" i="8"/>
  <c r="AJ1033" i="8"/>
  <c r="AI1034" i="8"/>
  <c r="AJ1034" i="8"/>
  <c r="AI1035" i="8"/>
  <c r="AJ1035" i="8"/>
  <c r="AI1036" i="8"/>
  <c r="AJ1036" i="8"/>
  <c r="AI1037" i="8"/>
  <c r="AJ1037" i="8"/>
  <c r="AI1038" i="8"/>
  <c r="AJ1038" i="8"/>
  <c r="AI1039" i="8"/>
  <c r="AJ1039" i="8"/>
  <c r="AI1040" i="8"/>
  <c r="AJ1040" i="8"/>
  <c r="AI1041" i="8"/>
  <c r="AJ1041" i="8"/>
  <c r="AI1042" i="8"/>
  <c r="AJ1042" i="8"/>
  <c r="AI1043" i="8"/>
  <c r="AJ1043" i="8"/>
  <c r="AI1044" i="8"/>
  <c r="AJ1044" i="8"/>
  <c r="AI1045" i="8"/>
  <c r="AJ1045" i="8"/>
  <c r="AI1046" i="8"/>
  <c r="AJ1046" i="8"/>
  <c r="AI1047" i="8"/>
  <c r="AJ1047" i="8"/>
  <c r="AI1048" i="8"/>
  <c r="AJ1048" i="8"/>
  <c r="AI1049" i="8"/>
  <c r="AJ1049" i="8"/>
  <c r="AI1050" i="8"/>
  <c r="AJ1050" i="8"/>
  <c r="AI1051" i="8"/>
  <c r="AJ1051" i="8"/>
  <c r="AI1052" i="8"/>
  <c r="AJ1052" i="8"/>
  <c r="AI1053" i="8"/>
  <c r="AJ1053" i="8"/>
  <c r="AI1054" i="8"/>
  <c r="AJ1054" i="8"/>
  <c r="AI1055" i="8"/>
  <c r="AJ1055" i="8"/>
  <c r="AI1056" i="8"/>
  <c r="AJ1056" i="8"/>
  <c r="AI1057" i="8"/>
  <c r="AJ1057" i="8"/>
  <c r="AI1058" i="8"/>
  <c r="AJ1058" i="8"/>
  <c r="AI1059" i="8"/>
  <c r="AJ1059" i="8"/>
  <c r="AI1060" i="8"/>
  <c r="AJ1060" i="8"/>
  <c r="AI1061" i="8"/>
  <c r="AJ1061" i="8"/>
  <c r="AI1062" i="8"/>
  <c r="AJ1062" i="8"/>
  <c r="AI1063" i="8"/>
  <c r="AJ1063" i="8"/>
  <c r="AI1064" i="8"/>
  <c r="AJ1064" i="8"/>
  <c r="AI1065" i="8"/>
  <c r="AJ1065" i="8"/>
  <c r="AI1066" i="8"/>
  <c r="AJ1066" i="8"/>
  <c r="AI1067" i="8"/>
  <c r="AJ1067" i="8"/>
  <c r="AI1068" i="8"/>
  <c r="AJ1068" i="8"/>
  <c r="AI1069" i="8"/>
  <c r="AJ1069" i="8"/>
  <c r="AI1070" i="8"/>
  <c r="AJ1070" i="8"/>
  <c r="AI1071" i="8"/>
  <c r="AJ1071" i="8"/>
  <c r="AI1072" i="8"/>
  <c r="AJ1072" i="8"/>
  <c r="AI1073" i="8"/>
  <c r="AJ1073" i="8"/>
  <c r="AI1074" i="8"/>
  <c r="AJ1074" i="8"/>
  <c r="AI1075" i="8"/>
  <c r="AJ1075" i="8"/>
  <c r="AI1076" i="8"/>
  <c r="AJ1076" i="8"/>
  <c r="AI1077" i="8"/>
  <c r="AJ1077" i="8"/>
  <c r="AI1078" i="8"/>
  <c r="AJ1078" i="8"/>
  <c r="AI1079" i="8"/>
  <c r="AJ1079" i="8"/>
  <c r="AI1080" i="8"/>
  <c r="AJ1080" i="8"/>
  <c r="AI1081" i="8"/>
  <c r="AJ1081" i="8"/>
  <c r="AI1082" i="8"/>
  <c r="AJ1082" i="8"/>
  <c r="AI1083" i="8"/>
  <c r="AJ1083" i="8"/>
  <c r="AI1084" i="8"/>
  <c r="AJ1084" i="8"/>
  <c r="AI1085" i="8"/>
  <c r="AJ1085" i="8"/>
  <c r="AI1086" i="8"/>
  <c r="AJ1086" i="8"/>
  <c r="AI1087" i="8"/>
  <c r="AJ1087" i="8"/>
  <c r="AI1088" i="8"/>
  <c r="AJ1088" i="8"/>
  <c r="AI1089" i="8"/>
  <c r="AJ1089" i="8"/>
  <c r="AI1090" i="8"/>
  <c r="AJ1090" i="8"/>
  <c r="AI1091" i="8"/>
  <c r="AJ1091" i="8"/>
  <c r="AI1092" i="8"/>
  <c r="AJ1092" i="8"/>
  <c r="AI1093" i="8"/>
  <c r="AJ1093" i="8"/>
  <c r="AI1094" i="8"/>
  <c r="AJ1094" i="8"/>
  <c r="AI1095" i="8"/>
  <c r="AJ1095" i="8"/>
  <c r="AI1096" i="8"/>
  <c r="AJ1096" i="8"/>
  <c r="AI1097" i="8"/>
  <c r="AJ1097" i="8"/>
  <c r="AI1098" i="8"/>
  <c r="AJ1098" i="8"/>
  <c r="AI1099" i="8"/>
  <c r="AJ1099" i="8"/>
  <c r="AI1100" i="8"/>
  <c r="AJ1100" i="8"/>
  <c r="AI1101" i="8"/>
  <c r="AJ1101" i="8"/>
  <c r="AI1102" i="8"/>
  <c r="AJ1102" i="8"/>
  <c r="AI1103" i="8"/>
  <c r="AJ1103" i="8"/>
  <c r="AI1104" i="8"/>
  <c r="AJ1104" i="8"/>
  <c r="AI1105" i="8"/>
  <c r="AJ1105" i="8"/>
  <c r="AI1106" i="8"/>
  <c r="AJ1106" i="8"/>
  <c r="AI1107" i="8"/>
  <c r="AJ1107" i="8"/>
  <c r="AI1108" i="8"/>
  <c r="AJ1108" i="8"/>
  <c r="AI1109" i="8"/>
  <c r="AJ1109" i="8"/>
  <c r="AI1110" i="8"/>
  <c r="AJ1110" i="8"/>
  <c r="AI1111" i="8"/>
  <c r="AJ1111" i="8"/>
  <c r="AI1112" i="8"/>
  <c r="AJ1112" i="8"/>
  <c r="AI1113" i="8"/>
  <c r="AJ1113" i="8"/>
  <c r="AI1114" i="8"/>
  <c r="AJ1114" i="8"/>
  <c r="AI1115" i="8"/>
  <c r="AJ1115" i="8"/>
  <c r="AI1116" i="8"/>
  <c r="AJ1116" i="8"/>
  <c r="AI1117" i="8"/>
  <c r="AJ1117" i="8"/>
  <c r="AI1118" i="8"/>
  <c r="AJ1118" i="8"/>
  <c r="AI1119" i="8"/>
  <c r="AJ1119" i="8"/>
  <c r="AI1120" i="8"/>
  <c r="AJ1120" i="8"/>
  <c r="AI1121" i="8"/>
  <c r="AJ1121" i="8"/>
  <c r="AI1122" i="8"/>
  <c r="AJ1122" i="8"/>
  <c r="AI1123" i="8"/>
  <c r="AJ1123" i="8"/>
  <c r="AI1124" i="8"/>
  <c r="AJ1124" i="8"/>
  <c r="AI1125" i="8"/>
  <c r="AJ1125" i="8"/>
  <c r="AI1126" i="8"/>
  <c r="AJ1126" i="8"/>
  <c r="AI1127" i="8"/>
  <c r="AJ1127" i="8"/>
  <c r="AI1128" i="8"/>
  <c r="AJ1128" i="8"/>
  <c r="AI1129" i="8"/>
  <c r="AJ1129" i="8"/>
  <c r="AI1130" i="8"/>
  <c r="AJ1130" i="8"/>
  <c r="AI1131" i="8"/>
  <c r="AJ1131" i="8"/>
  <c r="AI1132" i="8"/>
  <c r="AJ1132" i="8"/>
  <c r="AI1133" i="8"/>
  <c r="AJ1133" i="8"/>
  <c r="AI1134" i="8"/>
  <c r="AJ1134" i="8"/>
  <c r="AI1135" i="8"/>
  <c r="AJ1135" i="8"/>
  <c r="AI1136" i="8"/>
  <c r="AJ1136" i="8"/>
  <c r="AI1137" i="8"/>
  <c r="AJ1137" i="8"/>
  <c r="AI1138" i="8"/>
  <c r="AJ1138" i="8"/>
  <c r="AI1139" i="8"/>
  <c r="AJ1139" i="8"/>
  <c r="AI1140" i="8"/>
  <c r="AJ1140" i="8"/>
  <c r="AI1141" i="8"/>
  <c r="AJ1141" i="8"/>
  <c r="AI1142" i="8"/>
  <c r="AJ1142" i="8"/>
  <c r="AI1143" i="8"/>
  <c r="AJ1143" i="8"/>
  <c r="AI1144" i="8"/>
  <c r="AJ1144" i="8"/>
  <c r="AI1145" i="8"/>
  <c r="AJ1145" i="8"/>
  <c r="AI1146" i="8"/>
  <c r="AJ1146" i="8"/>
  <c r="AI1147" i="8"/>
  <c r="AJ1147" i="8"/>
  <c r="AI1148" i="8"/>
  <c r="AJ1148" i="8"/>
  <c r="AI1149" i="8"/>
  <c r="AJ1149" i="8"/>
  <c r="AI1150" i="8"/>
  <c r="AJ1150" i="8"/>
  <c r="AI1151" i="8"/>
  <c r="AJ1151" i="8"/>
  <c r="AI1152" i="8"/>
  <c r="AJ1152" i="8"/>
  <c r="AI1153" i="8"/>
  <c r="AJ1153" i="8"/>
  <c r="AI1154" i="8"/>
  <c r="AJ1154" i="8"/>
  <c r="AI1155" i="8"/>
  <c r="AJ1155" i="8"/>
  <c r="AI1156" i="8"/>
  <c r="AJ1156" i="8"/>
  <c r="AI1157" i="8"/>
  <c r="AJ1157" i="8"/>
  <c r="AI1158" i="8"/>
  <c r="AJ1158" i="8"/>
  <c r="AI1159" i="8"/>
  <c r="AJ1159" i="8"/>
  <c r="AI1160" i="8"/>
  <c r="AJ1160" i="8"/>
  <c r="AI1161" i="8"/>
  <c r="AJ1161" i="8"/>
  <c r="AI1162" i="8"/>
  <c r="AJ1162" i="8"/>
  <c r="AI1163" i="8"/>
  <c r="AJ1163" i="8"/>
  <c r="AI1164" i="8"/>
  <c r="AJ1164" i="8"/>
  <c r="AI1165" i="8"/>
  <c r="AJ1165" i="8"/>
  <c r="AI1166" i="8"/>
  <c r="AJ1166" i="8"/>
  <c r="AI1167" i="8"/>
  <c r="AJ1167" i="8"/>
  <c r="AI1168" i="8"/>
  <c r="AJ1168" i="8"/>
  <c r="AI1169" i="8"/>
  <c r="AJ1169" i="8"/>
  <c r="AI1170" i="8"/>
  <c r="AJ1170" i="8"/>
  <c r="AI1171" i="8"/>
  <c r="AJ1171" i="8"/>
  <c r="AI1172" i="8"/>
  <c r="AJ1172" i="8"/>
  <c r="AI1173" i="8"/>
  <c r="AJ1173" i="8"/>
  <c r="AI1174" i="8"/>
  <c r="AJ1174" i="8"/>
  <c r="AI1175" i="8"/>
  <c r="AJ1175" i="8"/>
  <c r="AI1176" i="8"/>
  <c r="AJ1176" i="8"/>
  <c r="AI1177" i="8"/>
  <c r="AJ1177" i="8"/>
  <c r="AI1178" i="8"/>
  <c r="AJ1178" i="8"/>
  <c r="AI1179" i="8"/>
  <c r="AJ1179" i="8"/>
  <c r="AI1180" i="8"/>
  <c r="AJ1180" i="8"/>
  <c r="AI1181" i="8"/>
  <c r="AJ1181" i="8"/>
  <c r="AI1182" i="8"/>
  <c r="AJ1182" i="8"/>
  <c r="AI1183" i="8"/>
  <c r="AJ1183" i="8"/>
  <c r="AI1184" i="8"/>
  <c r="AJ1184" i="8"/>
  <c r="AI1185" i="8"/>
  <c r="AJ1185" i="8"/>
  <c r="AI1186" i="8"/>
  <c r="AJ1186" i="8"/>
  <c r="AI1187" i="8"/>
  <c r="AJ1187" i="8"/>
  <c r="AI1188" i="8"/>
  <c r="AJ1188" i="8"/>
  <c r="AI1189" i="8"/>
  <c r="AJ1189" i="8"/>
  <c r="AI1190" i="8"/>
  <c r="AJ1190" i="8"/>
  <c r="AI1191" i="8"/>
  <c r="AJ1191" i="8"/>
  <c r="AI1192" i="8"/>
  <c r="AJ1192" i="8"/>
  <c r="AI1193" i="8"/>
  <c r="AJ1193" i="8"/>
  <c r="AI1194" i="8"/>
  <c r="AJ1194" i="8"/>
  <c r="AI1195" i="8"/>
  <c r="AJ1195" i="8"/>
  <c r="AI1196" i="8"/>
  <c r="AJ1196" i="8"/>
  <c r="AI1197" i="8"/>
  <c r="AJ1197" i="8"/>
  <c r="AI1198" i="8"/>
  <c r="AJ1198" i="8"/>
  <c r="AI1199" i="8"/>
  <c r="AJ1199" i="8"/>
  <c r="AI1200" i="8"/>
  <c r="AJ1200" i="8"/>
  <c r="AI1201" i="8"/>
  <c r="AJ1201" i="8"/>
  <c r="AI1202" i="8"/>
  <c r="AJ1202" i="8"/>
  <c r="AI1203" i="8"/>
  <c r="AJ1203" i="8"/>
  <c r="AI1204" i="8"/>
  <c r="AJ1204" i="8"/>
  <c r="AI1205" i="8"/>
  <c r="AJ1205" i="8"/>
  <c r="AI1206" i="8"/>
  <c r="AJ1206" i="8"/>
  <c r="AI1207" i="8"/>
  <c r="AJ1207" i="8"/>
  <c r="AI1208" i="8"/>
  <c r="AJ1208" i="8"/>
  <c r="AI1209" i="8"/>
  <c r="AJ1209" i="8"/>
  <c r="AI1210" i="8"/>
  <c r="AJ1210" i="8"/>
  <c r="AI1211" i="8"/>
  <c r="AJ1211" i="8"/>
  <c r="AI1212" i="8"/>
  <c r="AJ1212" i="8"/>
  <c r="AI1213" i="8"/>
  <c r="AJ1213" i="8"/>
  <c r="AI1214" i="8"/>
  <c r="AJ1214" i="8"/>
  <c r="AI1215" i="8"/>
  <c r="AJ1215" i="8"/>
  <c r="AI1216" i="8"/>
  <c r="AJ1216" i="8"/>
  <c r="AI1217" i="8"/>
  <c r="AJ1217" i="8"/>
  <c r="AI1218" i="8"/>
  <c r="AJ1218" i="8"/>
  <c r="AI1219" i="8"/>
  <c r="AJ1219" i="8"/>
  <c r="AI1220" i="8"/>
  <c r="AJ1220" i="8"/>
  <c r="AI1221" i="8"/>
  <c r="AJ1221" i="8"/>
  <c r="AI1222" i="8"/>
  <c r="AJ1222" i="8"/>
  <c r="AI1223" i="8"/>
  <c r="AJ1223" i="8"/>
  <c r="AI1224" i="8"/>
  <c r="AJ1224" i="8"/>
  <c r="AI1225" i="8"/>
  <c r="AJ1225" i="8"/>
  <c r="AI1226" i="8"/>
  <c r="AJ1226" i="8"/>
  <c r="AI1227" i="8"/>
  <c r="AJ1227" i="8"/>
  <c r="AI1228" i="8"/>
  <c r="AJ1228" i="8"/>
  <c r="AI1229" i="8"/>
  <c r="AJ1229" i="8"/>
  <c r="AI1230" i="8"/>
  <c r="AJ1230" i="8"/>
  <c r="AI1231" i="8"/>
  <c r="AJ1231" i="8"/>
  <c r="AI1232" i="8"/>
  <c r="AJ1232" i="8"/>
  <c r="AI1233" i="8"/>
  <c r="AJ1233" i="8"/>
  <c r="AI1234" i="8"/>
  <c r="AJ1234" i="8"/>
  <c r="AI1235" i="8"/>
  <c r="AJ1235" i="8"/>
  <c r="AI1236" i="8"/>
  <c r="AJ1236" i="8"/>
  <c r="AI1237" i="8"/>
  <c r="AJ1237" i="8"/>
  <c r="AI1238" i="8"/>
  <c r="AJ1238" i="8"/>
  <c r="AI1239" i="8"/>
  <c r="AJ1239" i="8"/>
  <c r="AI1240" i="8"/>
  <c r="AJ1240" i="8"/>
  <c r="AI1241" i="8"/>
  <c r="AJ1241" i="8"/>
  <c r="AI1242" i="8"/>
  <c r="AJ1242" i="8"/>
  <c r="AI1243" i="8"/>
  <c r="AJ1243" i="8"/>
  <c r="AI1244" i="8"/>
  <c r="AJ1244" i="8"/>
  <c r="AI1245" i="8"/>
  <c r="AJ1245" i="8"/>
  <c r="AI1246" i="8"/>
  <c r="AJ1246" i="8"/>
  <c r="AI1247" i="8"/>
  <c r="AJ1247" i="8"/>
  <c r="AI1248" i="8"/>
  <c r="AJ1248" i="8"/>
  <c r="AI1249" i="8"/>
  <c r="AJ1249" i="8"/>
  <c r="AI1250" i="8"/>
  <c r="AJ1250" i="8"/>
  <c r="AI1251" i="8"/>
  <c r="AJ1251" i="8"/>
  <c r="AI1252" i="8"/>
  <c r="AJ1252" i="8"/>
  <c r="AI1253" i="8"/>
  <c r="AJ1253" i="8"/>
  <c r="AI1254" i="8"/>
  <c r="AJ1254" i="8"/>
  <c r="AI1255" i="8"/>
  <c r="AJ1255" i="8"/>
  <c r="AI1256" i="8"/>
  <c r="AJ1256" i="8"/>
  <c r="AI1257" i="8"/>
  <c r="AJ1257" i="8"/>
  <c r="AI1258" i="8"/>
  <c r="AJ1258" i="8"/>
  <c r="AI1259" i="8"/>
  <c r="AJ1259" i="8"/>
  <c r="AI1260" i="8"/>
  <c r="AJ1260" i="8"/>
  <c r="AI1261" i="8"/>
  <c r="AJ1261" i="8"/>
  <c r="AI1262" i="8"/>
  <c r="AJ1262" i="8"/>
  <c r="AI1263" i="8"/>
  <c r="AJ1263" i="8"/>
  <c r="AI1264" i="8"/>
  <c r="AJ1264" i="8"/>
  <c r="AI1265" i="8"/>
  <c r="AJ1265" i="8"/>
  <c r="AI1266" i="8"/>
  <c r="AJ1266" i="8"/>
  <c r="AI1267" i="8"/>
  <c r="AJ1267" i="8"/>
  <c r="AI1268" i="8"/>
  <c r="AJ1268" i="8"/>
  <c r="AI1269" i="8"/>
  <c r="AJ1269" i="8"/>
  <c r="AI1270" i="8"/>
  <c r="AJ1270" i="8"/>
  <c r="AI1271" i="8"/>
  <c r="AJ1271" i="8"/>
  <c r="AI1272" i="8"/>
  <c r="AJ1272" i="8"/>
  <c r="AI1273" i="8"/>
  <c r="AJ1273" i="8"/>
  <c r="AI1274" i="8"/>
  <c r="AJ1274" i="8"/>
  <c r="AI1275" i="8"/>
  <c r="AJ1275" i="8"/>
  <c r="AI1276" i="8"/>
  <c r="AJ1276" i="8"/>
  <c r="AI1277" i="8"/>
  <c r="AJ1277" i="8"/>
  <c r="AI1278" i="8"/>
  <c r="AJ1278" i="8"/>
  <c r="AI1279" i="8"/>
  <c r="AJ1279" i="8"/>
  <c r="AI1280" i="8"/>
  <c r="AJ1280" i="8"/>
  <c r="AI1281" i="8"/>
  <c r="AJ1281" i="8"/>
  <c r="AI1282" i="8"/>
  <c r="AJ1282" i="8"/>
  <c r="AI1283" i="8"/>
  <c r="AJ1283" i="8"/>
  <c r="AI1284" i="8"/>
  <c r="AJ1284" i="8"/>
  <c r="AI1285" i="8"/>
  <c r="AJ1285" i="8"/>
  <c r="AI1286" i="8"/>
  <c r="AJ1286" i="8"/>
  <c r="AI1287" i="8"/>
  <c r="AJ1287" i="8"/>
  <c r="AI1288" i="8"/>
  <c r="AJ1288" i="8"/>
  <c r="AI1289" i="8"/>
  <c r="AJ1289" i="8"/>
  <c r="AI1290" i="8"/>
  <c r="AJ1290" i="8"/>
  <c r="AI1291" i="8"/>
  <c r="AJ1291" i="8"/>
  <c r="AI1292" i="8"/>
  <c r="AJ1292" i="8"/>
  <c r="AI1293" i="8"/>
  <c r="AJ1293" i="8"/>
  <c r="AI1294" i="8"/>
  <c r="AJ1294" i="8"/>
  <c r="AI1295" i="8"/>
  <c r="AJ1295" i="8"/>
  <c r="AI1296" i="8"/>
  <c r="AJ1296" i="8"/>
  <c r="AI1297" i="8"/>
  <c r="AJ1297" i="8"/>
  <c r="AI1298" i="8"/>
  <c r="AJ1298" i="8"/>
  <c r="AI1299" i="8"/>
  <c r="AJ1299" i="8"/>
  <c r="AI1300" i="8"/>
  <c r="AJ1300" i="8"/>
  <c r="AI1301" i="8"/>
  <c r="AJ1301" i="8"/>
  <c r="AI1302" i="8"/>
  <c r="AJ1302" i="8"/>
  <c r="AI1303" i="8"/>
  <c r="AJ1303" i="8"/>
  <c r="AI1304" i="8"/>
  <c r="AJ1304" i="8"/>
  <c r="AI1305" i="8"/>
  <c r="AJ1305" i="8"/>
  <c r="AI1306" i="8"/>
  <c r="AJ1306" i="8"/>
  <c r="AI1307" i="8"/>
  <c r="AJ1307" i="8"/>
  <c r="AI1308" i="8"/>
  <c r="AJ1308" i="8"/>
  <c r="AI1309" i="8"/>
  <c r="AJ1309" i="8"/>
  <c r="AI1310" i="8"/>
  <c r="AJ1310" i="8"/>
  <c r="AI1311" i="8"/>
  <c r="AJ1311" i="8"/>
  <c r="AI1312" i="8"/>
  <c r="AJ1312" i="8"/>
  <c r="AI1313" i="8"/>
  <c r="AJ1313" i="8"/>
  <c r="AI1314" i="8"/>
  <c r="AJ1314" i="8"/>
  <c r="AI1315" i="8"/>
  <c r="AJ1315" i="8"/>
  <c r="AI1316" i="8"/>
  <c r="AJ1316" i="8"/>
  <c r="AI1317" i="8"/>
  <c r="AJ1317" i="8"/>
  <c r="AI1318" i="8"/>
  <c r="AJ1318" i="8"/>
  <c r="AI1319" i="8"/>
  <c r="AJ1319" i="8"/>
  <c r="AI1320" i="8"/>
  <c r="AJ1320" i="8"/>
  <c r="AI1321" i="8"/>
  <c r="AJ1321" i="8"/>
  <c r="AI1322" i="8"/>
  <c r="AJ1322" i="8"/>
  <c r="AI1323" i="8"/>
  <c r="AJ1323" i="8"/>
  <c r="AI1324" i="8"/>
  <c r="AJ1324" i="8"/>
  <c r="AI1325" i="8"/>
  <c r="AJ1325" i="8"/>
  <c r="AI1326" i="8"/>
  <c r="AJ1326" i="8"/>
  <c r="AI1327" i="8"/>
  <c r="AJ1327" i="8"/>
  <c r="AI1328" i="8"/>
  <c r="AJ1328" i="8"/>
  <c r="AI1329" i="8"/>
  <c r="AJ1329" i="8"/>
  <c r="AI1330" i="8"/>
  <c r="AJ1330" i="8"/>
  <c r="AI1331" i="8"/>
  <c r="AJ1331" i="8"/>
  <c r="AI1332" i="8"/>
  <c r="AJ1332" i="8"/>
  <c r="AI1333" i="8"/>
  <c r="AJ1333" i="8"/>
  <c r="AI1334" i="8"/>
  <c r="AJ1334" i="8"/>
  <c r="AI1335" i="8"/>
  <c r="AJ1335" i="8"/>
  <c r="AI1336" i="8"/>
  <c r="AJ1336" i="8"/>
  <c r="AI1337" i="8"/>
  <c r="AJ1337" i="8"/>
  <c r="AI1338" i="8"/>
  <c r="AJ1338" i="8"/>
  <c r="AI1339" i="8"/>
  <c r="AJ1339" i="8"/>
  <c r="AI1340" i="8"/>
  <c r="AJ1340" i="8"/>
  <c r="AI1341" i="8"/>
  <c r="AJ1341" i="8"/>
  <c r="AI1342" i="8"/>
  <c r="AJ1342" i="8"/>
  <c r="AI1343" i="8"/>
  <c r="AJ1343" i="8"/>
  <c r="AI1344" i="8"/>
  <c r="AJ1344" i="8"/>
  <c r="AI1345" i="8"/>
  <c r="AJ1345" i="8"/>
  <c r="AI1346" i="8"/>
  <c r="AJ1346" i="8"/>
  <c r="AI1347" i="8"/>
  <c r="AJ1347" i="8"/>
  <c r="AI1348" i="8"/>
  <c r="AJ1348" i="8"/>
  <c r="AI1349" i="8"/>
  <c r="AJ1349" i="8"/>
  <c r="AI1350" i="8"/>
  <c r="AJ1350" i="8"/>
  <c r="AI1351" i="8"/>
  <c r="AJ1351" i="8"/>
  <c r="AI1352" i="8"/>
  <c r="AJ1352" i="8"/>
  <c r="AI1353" i="8"/>
  <c r="AJ1353" i="8"/>
  <c r="AI1354" i="8"/>
  <c r="AJ1354" i="8"/>
  <c r="AI1355" i="8"/>
  <c r="AJ1355" i="8"/>
  <c r="AI1356" i="8"/>
  <c r="AJ1356" i="8"/>
  <c r="AI1357" i="8"/>
  <c r="AJ1357" i="8"/>
  <c r="AI1358" i="8"/>
  <c r="AJ1358" i="8"/>
  <c r="AI1359" i="8"/>
  <c r="AJ1359" i="8"/>
  <c r="AI1360" i="8"/>
  <c r="AJ1360" i="8"/>
  <c r="AI1361" i="8"/>
  <c r="AJ1361" i="8"/>
  <c r="AI1362" i="8"/>
  <c r="AJ1362" i="8"/>
  <c r="AI1363" i="8"/>
  <c r="AJ1363" i="8"/>
  <c r="AI1364" i="8"/>
  <c r="AJ1364" i="8"/>
  <c r="AI1365" i="8"/>
  <c r="AJ1365" i="8"/>
  <c r="AI1366" i="8"/>
  <c r="AJ1366" i="8"/>
  <c r="AI1367" i="8"/>
  <c r="AJ1367" i="8"/>
  <c r="AI1368" i="8"/>
  <c r="AJ1368" i="8"/>
  <c r="AI1369" i="8"/>
  <c r="AJ1369" i="8"/>
  <c r="AI1370" i="8"/>
  <c r="AJ1370" i="8"/>
  <c r="AI1371" i="8"/>
  <c r="AJ1371" i="8"/>
  <c r="AI1372" i="8"/>
  <c r="AJ1372" i="8"/>
  <c r="AI1373" i="8"/>
  <c r="AJ1373" i="8"/>
  <c r="AI1374" i="8"/>
  <c r="AJ1374" i="8"/>
  <c r="AI1375" i="8"/>
  <c r="AJ1375" i="8"/>
  <c r="AI1376" i="8"/>
  <c r="AJ1376" i="8"/>
  <c r="AI1377" i="8"/>
  <c r="AJ1377" i="8"/>
  <c r="AI1378" i="8"/>
  <c r="AJ1378" i="8"/>
  <c r="AI1379" i="8"/>
  <c r="AJ1379" i="8"/>
  <c r="AI1380" i="8"/>
  <c r="AJ1380" i="8"/>
  <c r="AI1381" i="8"/>
  <c r="AJ1381" i="8"/>
  <c r="AI1382" i="8"/>
  <c r="AJ1382" i="8"/>
  <c r="AI1383" i="8"/>
  <c r="AJ1383" i="8"/>
  <c r="AI1384" i="8"/>
  <c r="AJ1384" i="8"/>
  <c r="AI1385" i="8"/>
  <c r="AJ1385" i="8"/>
  <c r="AI1386" i="8"/>
  <c r="AJ1386" i="8"/>
  <c r="AI1387" i="8"/>
  <c r="AJ1387" i="8"/>
  <c r="AI1388" i="8"/>
  <c r="AJ1388" i="8"/>
  <c r="AI1389" i="8"/>
  <c r="AJ1389" i="8"/>
  <c r="AI1390" i="8"/>
  <c r="AJ1390" i="8"/>
  <c r="AI1391" i="8"/>
  <c r="AJ1391" i="8"/>
  <c r="AI1392" i="8"/>
  <c r="AJ1392" i="8"/>
  <c r="AI1393" i="8"/>
  <c r="AJ1393" i="8"/>
  <c r="AI1394" i="8"/>
  <c r="AJ1394" i="8"/>
  <c r="AI1395" i="8"/>
  <c r="AJ1395" i="8"/>
  <c r="AI1396" i="8"/>
  <c r="AJ1396" i="8"/>
  <c r="AI1397" i="8"/>
  <c r="AJ1397" i="8"/>
  <c r="AI1398" i="8"/>
  <c r="AJ1398" i="8"/>
  <c r="AI1399" i="8"/>
  <c r="AJ1399" i="8"/>
  <c r="AI1400" i="8"/>
  <c r="AJ1400" i="8"/>
  <c r="AI1401" i="8"/>
  <c r="AJ1401" i="8"/>
  <c r="AI1402" i="8"/>
  <c r="AJ1402" i="8"/>
  <c r="AI1403" i="8"/>
  <c r="AJ1403" i="8"/>
  <c r="AI1404" i="8"/>
  <c r="AJ1404" i="8"/>
  <c r="AI1405" i="8"/>
  <c r="AJ1405" i="8"/>
  <c r="AI1406" i="8"/>
  <c r="AJ1406" i="8"/>
  <c r="AI1407" i="8"/>
  <c r="AJ1407" i="8"/>
  <c r="AI1408" i="8"/>
  <c r="AJ1408" i="8"/>
  <c r="AI1409" i="8"/>
  <c r="AJ1409" i="8"/>
  <c r="AI1410" i="8"/>
  <c r="AJ1410" i="8"/>
  <c r="AI1411" i="8"/>
  <c r="AJ1411" i="8"/>
  <c r="AI1412" i="8"/>
  <c r="AJ1412" i="8"/>
  <c r="AI1413" i="8"/>
  <c r="AJ1413" i="8"/>
  <c r="AI1414" i="8"/>
  <c r="AJ1414" i="8"/>
  <c r="AI1415" i="8"/>
  <c r="AJ1415" i="8"/>
  <c r="AI1416" i="8"/>
  <c r="AJ1416" i="8"/>
  <c r="AI1417" i="8"/>
  <c r="AJ1417" i="8"/>
  <c r="AI1418" i="8"/>
  <c r="AJ1418" i="8"/>
  <c r="AI1419" i="8"/>
  <c r="AJ1419" i="8"/>
  <c r="AI1420" i="8"/>
  <c r="AJ1420" i="8"/>
  <c r="AI1421" i="8"/>
  <c r="AJ1421" i="8"/>
  <c r="AI1422" i="8"/>
  <c r="AJ1422" i="8"/>
  <c r="AI1423" i="8"/>
  <c r="AJ1423" i="8"/>
  <c r="AI1424" i="8"/>
  <c r="AJ1424" i="8"/>
  <c r="AI1425" i="8"/>
  <c r="AJ1425" i="8"/>
  <c r="AI1426" i="8"/>
  <c r="AJ1426" i="8"/>
  <c r="AI1427" i="8"/>
  <c r="AJ1427" i="8"/>
  <c r="AI1428" i="8"/>
  <c r="AJ1428" i="8"/>
  <c r="AI1429" i="8"/>
  <c r="AJ1429" i="8"/>
  <c r="AI1430" i="8"/>
  <c r="AJ1430" i="8"/>
  <c r="AI1431" i="8"/>
  <c r="AJ1431" i="8"/>
  <c r="AI1432" i="8"/>
  <c r="AJ1432" i="8"/>
  <c r="AI1433" i="8"/>
  <c r="AJ1433" i="8"/>
  <c r="AI1434" i="8"/>
  <c r="AJ1434" i="8"/>
  <c r="AI1435" i="8"/>
  <c r="AJ1435" i="8"/>
  <c r="AI1436" i="8"/>
  <c r="AJ1436" i="8"/>
  <c r="AI1437" i="8"/>
  <c r="AJ1437" i="8"/>
  <c r="AI1438" i="8"/>
  <c r="AJ1438" i="8"/>
  <c r="AI1439" i="8"/>
  <c r="AJ1439" i="8"/>
  <c r="AI1440" i="8"/>
  <c r="AJ1440" i="8"/>
  <c r="AI1441" i="8"/>
  <c r="AJ1441" i="8"/>
  <c r="AI1442" i="8"/>
  <c r="AJ1442" i="8"/>
  <c r="AI1443" i="8"/>
  <c r="AJ1443" i="8"/>
  <c r="AI1444" i="8"/>
  <c r="AJ1444" i="8"/>
  <c r="AI1445" i="8"/>
  <c r="AJ1445" i="8"/>
  <c r="AI1446" i="8"/>
  <c r="AJ1446" i="8"/>
  <c r="AI1447" i="8"/>
  <c r="AJ1447" i="8"/>
  <c r="AI1448" i="8"/>
  <c r="AJ1448" i="8"/>
  <c r="AI1449" i="8"/>
  <c r="AJ1449" i="8"/>
  <c r="AI1450" i="8"/>
  <c r="AJ1450" i="8"/>
  <c r="AI1451" i="8"/>
  <c r="AJ1451" i="8"/>
  <c r="AI1452" i="8"/>
  <c r="AJ1452" i="8"/>
  <c r="AI1453" i="8"/>
  <c r="AJ1453" i="8"/>
  <c r="AI1454" i="8"/>
  <c r="AJ1454" i="8"/>
  <c r="AI1455" i="8"/>
  <c r="AJ1455" i="8"/>
  <c r="AI1456" i="8"/>
  <c r="AJ1456" i="8"/>
  <c r="AI1457" i="8"/>
  <c r="AJ1457" i="8"/>
  <c r="AI1458" i="8"/>
  <c r="AJ1458" i="8"/>
  <c r="AI1459" i="8"/>
  <c r="AJ1459" i="8"/>
  <c r="AI1460" i="8"/>
  <c r="AJ1460" i="8"/>
  <c r="AI1461" i="8"/>
  <c r="AJ1461" i="8"/>
  <c r="AI1462" i="8"/>
  <c r="AJ1462" i="8"/>
  <c r="AI1463" i="8"/>
  <c r="AJ1463" i="8"/>
  <c r="AI1464" i="8"/>
  <c r="AJ1464" i="8"/>
  <c r="AI1465" i="8"/>
  <c r="AJ1465" i="8"/>
  <c r="AI1466" i="8"/>
  <c r="AJ1466" i="8"/>
  <c r="AI1467" i="8"/>
  <c r="AJ1467" i="8"/>
  <c r="AI1468" i="8"/>
  <c r="AJ1468" i="8"/>
  <c r="AI1469" i="8"/>
  <c r="AJ1469" i="8"/>
  <c r="AI1470" i="8"/>
  <c r="AJ1470" i="8"/>
  <c r="AI1471" i="8"/>
  <c r="AJ1471" i="8"/>
  <c r="AI1472" i="8"/>
  <c r="AJ1472" i="8"/>
  <c r="AI1473" i="8"/>
  <c r="AJ1473" i="8"/>
  <c r="AI1474" i="8"/>
  <c r="AJ1474" i="8"/>
  <c r="AI1475" i="8"/>
  <c r="AJ1475" i="8"/>
  <c r="AI1476" i="8"/>
  <c r="AJ1476" i="8"/>
  <c r="AI1477" i="8"/>
  <c r="AJ1477" i="8"/>
  <c r="AI1478" i="8"/>
  <c r="AJ1478" i="8"/>
  <c r="AI1479" i="8"/>
  <c r="AJ1479" i="8"/>
  <c r="AI1480" i="8"/>
  <c r="AJ1480" i="8"/>
  <c r="AI1481" i="8"/>
  <c r="AJ1481" i="8"/>
  <c r="AI1482" i="8"/>
  <c r="AJ1482" i="8"/>
  <c r="AI1483" i="8"/>
  <c r="AJ1483" i="8"/>
  <c r="AI1484" i="8"/>
  <c r="AJ1484" i="8"/>
  <c r="AI1485" i="8"/>
  <c r="AJ1485" i="8"/>
  <c r="AI1486" i="8"/>
  <c r="AJ1486" i="8"/>
  <c r="AI1487" i="8"/>
  <c r="AJ1487" i="8"/>
  <c r="AI1488" i="8"/>
  <c r="AJ1488" i="8"/>
  <c r="AI1489" i="8"/>
  <c r="AJ1489" i="8"/>
  <c r="AI1490" i="8"/>
  <c r="AJ1490" i="8"/>
  <c r="AI1491" i="8"/>
  <c r="AJ1491" i="8"/>
  <c r="AI1492" i="8"/>
  <c r="AJ1492" i="8"/>
  <c r="AI1493" i="8"/>
  <c r="AJ1493" i="8"/>
  <c r="AI1494" i="8"/>
  <c r="AJ1494" i="8"/>
  <c r="AI1495" i="8"/>
  <c r="AJ1495" i="8"/>
  <c r="AI1496" i="8"/>
  <c r="AJ1496" i="8"/>
  <c r="AI1497" i="8"/>
  <c r="AJ1497" i="8"/>
  <c r="AI1498" i="8"/>
  <c r="AJ1498" i="8"/>
  <c r="AI1499" i="8"/>
  <c r="AJ1499" i="8"/>
  <c r="AI1500" i="8"/>
  <c r="AJ1500" i="8"/>
  <c r="AI1501" i="8"/>
  <c r="AJ1501" i="8"/>
  <c r="AI1502" i="8"/>
  <c r="AJ1502" i="8"/>
  <c r="AI1503" i="8"/>
  <c r="AJ1503" i="8"/>
  <c r="AI1504" i="8"/>
  <c r="AJ1504" i="8"/>
  <c r="AI1505" i="8"/>
  <c r="AJ1505" i="8"/>
  <c r="AI1506" i="8"/>
  <c r="AJ1506" i="8"/>
  <c r="AI1507" i="8"/>
  <c r="AJ1507" i="8"/>
  <c r="AI1508" i="8"/>
  <c r="AJ1508" i="8"/>
  <c r="AI1509" i="8"/>
  <c r="AJ1509" i="8"/>
  <c r="AI1510" i="8"/>
  <c r="AJ1510" i="8"/>
  <c r="AI1511" i="8"/>
  <c r="AJ1511" i="8"/>
  <c r="AI1512" i="8"/>
  <c r="AJ1512" i="8"/>
  <c r="AI1513" i="8"/>
  <c r="AJ1513" i="8"/>
  <c r="AI1514" i="8"/>
  <c r="AJ1514" i="8"/>
  <c r="AI1515" i="8"/>
  <c r="AJ1515" i="8"/>
  <c r="AI1516" i="8"/>
  <c r="AJ1516" i="8"/>
  <c r="AI1517" i="8"/>
  <c r="AJ1517" i="8"/>
  <c r="AI1518" i="8"/>
  <c r="AJ1518" i="8"/>
  <c r="AI1519" i="8"/>
  <c r="AJ1519" i="8"/>
  <c r="AI1520" i="8"/>
  <c r="AJ1520" i="8"/>
  <c r="AI1521" i="8"/>
  <c r="AJ1521" i="8"/>
  <c r="AI1522" i="8"/>
  <c r="AJ1522" i="8"/>
  <c r="AI1523" i="8"/>
  <c r="AJ1523" i="8"/>
  <c r="AI1524" i="8"/>
  <c r="AJ1524" i="8"/>
  <c r="AI1525" i="8"/>
  <c r="AJ1525" i="8"/>
  <c r="AI1526" i="8"/>
  <c r="AJ1526" i="8"/>
  <c r="AI1527" i="8"/>
  <c r="AJ1527" i="8"/>
  <c r="AI1528" i="8"/>
  <c r="AJ1528" i="8"/>
  <c r="AI1529" i="8"/>
  <c r="AJ1529" i="8"/>
  <c r="AI1530" i="8"/>
  <c r="AJ1530" i="8"/>
  <c r="AI1531" i="8"/>
  <c r="AJ1531" i="8"/>
  <c r="AI1532" i="8"/>
  <c r="AJ1532" i="8"/>
  <c r="AI1533" i="8"/>
  <c r="AJ1533" i="8"/>
  <c r="AI1534" i="8"/>
  <c r="AJ1534" i="8"/>
  <c r="AI1535" i="8"/>
  <c r="AJ1535" i="8"/>
  <c r="AI1536" i="8"/>
  <c r="AJ1536" i="8"/>
  <c r="AI1537" i="8"/>
  <c r="AJ1537" i="8"/>
  <c r="AI1538" i="8"/>
  <c r="AJ1538" i="8"/>
  <c r="AI1539" i="8"/>
  <c r="AJ1539" i="8"/>
  <c r="AI1540" i="8"/>
  <c r="AJ1540" i="8"/>
  <c r="AI1541" i="8"/>
  <c r="AJ1541" i="8"/>
  <c r="AI1542" i="8"/>
  <c r="AJ1542" i="8"/>
  <c r="AI1543" i="8"/>
  <c r="AJ1543" i="8"/>
  <c r="AI1544" i="8"/>
  <c r="AJ1544" i="8"/>
  <c r="AI1545" i="8"/>
  <c r="AJ1545" i="8"/>
  <c r="AI1546" i="8"/>
  <c r="AJ1546" i="8"/>
  <c r="AI1547" i="8"/>
  <c r="AJ1547" i="8"/>
  <c r="AI1548" i="8"/>
  <c r="AJ1548" i="8"/>
  <c r="AI1549" i="8"/>
  <c r="AJ1549" i="8"/>
  <c r="AI1550" i="8"/>
  <c r="AJ1550" i="8"/>
  <c r="AI1551" i="8"/>
  <c r="AJ1551" i="8"/>
  <c r="AI1552" i="8"/>
  <c r="AJ1552" i="8"/>
  <c r="AI1553" i="8"/>
  <c r="AJ1553" i="8"/>
  <c r="AI1554" i="8"/>
  <c r="AJ1554" i="8"/>
  <c r="AI1555" i="8"/>
  <c r="AJ1555" i="8"/>
  <c r="AI1556" i="8"/>
  <c r="AJ1556" i="8"/>
  <c r="AI1557" i="8"/>
  <c r="AJ1557" i="8"/>
  <c r="AI1558" i="8"/>
  <c r="AJ1558" i="8"/>
  <c r="AI1559" i="8"/>
  <c r="AJ1559" i="8"/>
  <c r="AI1560" i="8"/>
  <c r="AJ1560" i="8"/>
  <c r="AI1561" i="8"/>
  <c r="AJ1561" i="8"/>
  <c r="AI1562" i="8"/>
  <c r="AJ1562" i="8"/>
  <c r="AI1563" i="8"/>
  <c r="AJ1563" i="8"/>
  <c r="AI1564" i="8"/>
  <c r="AJ1564" i="8"/>
  <c r="AI1565" i="8"/>
  <c r="AJ1565" i="8"/>
  <c r="AI1566" i="8"/>
  <c r="AJ1566" i="8"/>
  <c r="AI1567" i="8"/>
  <c r="AJ1567" i="8"/>
  <c r="AI1568" i="8"/>
  <c r="AJ1568" i="8"/>
  <c r="AI1569" i="8"/>
  <c r="AJ1569" i="8"/>
  <c r="AI1570" i="8"/>
  <c r="AJ1570" i="8"/>
  <c r="AI1571" i="8"/>
  <c r="AJ1571" i="8"/>
  <c r="AI1572" i="8"/>
  <c r="AJ1572" i="8"/>
  <c r="AI1573" i="8"/>
  <c r="AJ1573" i="8"/>
  <c r="AI1574" i="8"/>
  <c r="AJ1574" i="8"/>
  <c r="AI1575" i="8"/>
  <c r="AJ1575" i="8"/>
  <c r="AI1576" i="8"/>
  <c r="AJ1576" i="8"/>
  <c r="AI1577" i="8"/>
  <c r="AJ1577" i="8"/>
  <c r="AI1578" i="8"/>
  <c r="AJ1578" i="8"/>
  <c r="AI1579" i="8"/>
  <c r="AJ1579" i="8"/>
  <c r="AI1580" i="8"/>
  <c r="AJ1580" i="8"/>
  <c r="AI1581" i="8"/>
  <c r="AJ1581" i="8"/>
  <c r="AI1582" i="8"/>
  <c r="AJ1582" i="8"/>
  <c r="AI1583" i="8"/>
  <c r="AJ1583" i="8"/>
  <c r="AI1584" i="8"/>
  <c r="AJ1584" i="8"/>
  <c r="AI1585" i="8"/>
  <c r="AJ1585" i="8"/>
  <c r="AI1586" i="8"/>
  <c r="AJ1586" i="8"/>
  <c r="AI1587" i="8"/>
  <c r="AJ1587" i="8"/>
  <c r="AI1588" i="8"/>
  <c r="AJ1588" i="8"/>
  <c r="AI1589" i="8"/>
  <c r="AJ1589" i="8"/>
  <c r="AI1590" i="8"/>
  <c r="AJ1590" i="8"/>
  <c r="AI1591" i="8"/>
  <c r="AJ1591" i="8"/>
  <c r="AI1592" i="8"/>
  <c r="AJ1592" i="8"/>
  <c r="AI1593" i="8"/>
  <c r="AJ1593" i="8"/>
  <c r="AI1594" i="8"/>
  <c r="AJ1594" i="8"/>
  <c r="AI1595" i="8"/>
  <c r="AJ1595" i="8"/>
  <c r="AI1596" i="8"/>
  <c r="AJ1596" i="8"/>
  <c r="AI1597" i="8"/>
  <c r="AJ1597" i="8"/>
  <c r="AI1598" i="8"/>
  <c r="AJ1598" i="8"/>
  <c r="AI1599" i="8"/>
  <c r="AJ1599" i="8"/>
  <c r="AI1600" i="8"/>
  <c r="AJ1600" i="8"/>
  <c r="AI1601" i="8"/>
  <c r="AJ1601" i="8"/>
  <c r="AI1602" i="8"/>
  <c r="AJ1602" i="8"/>
  <c r="AI1603" i="8"/>
  <c r="AJ1603" i="8"/>
  <c r="AI1604" i="8"/>
  <c r="AJ1604" i="8"/>
  <c r="AI1605" i="8"/>
  <c r="AJ1605" i="8"/>
  <c r="AI1606" i="8"/>
  <c r="AJ1606" i="8"/>
  <c r="AI1607" i="8"/>
  <c r="AJ1607" i="8"/>
  <c r="AI1608" i="8"/>
  <c r="AJ1608" i="8"/>
  <c r="AI1609" i="8"/>
  <c r="AJ1609" i="8"/>
  <c r="AI1610" i="8"/>
  <c r="AJ1610" i="8"/>
  <c r="AI1611" i="8"/>
  <c r="AJ1611" i="8"/>
  <c r="AI1612" i="8"/>
  <c r="AJ1612" i="8"/>
  <c r="AI1613" i="8"/>
  <c r="AJ1613" i="8"/>
  <c r="AI1614" i="8"/>
  <c r="AJ1614" i="8"/>
  <c r="AI1615" i="8"/>
  <c r="AJ1615" i="8"/>
  <c r="AI1616" i="8"/>
  <c r="AJ1616" i="8"/>
  <c r="AI1617" i="8"/>
  <c r="AJ1617" i="8"/>
  <c r="AI1618" i="8"/>
  <c r="AJ1618" i="8"/>
  <c r="AI1619" i="8"/>
  <c r="AJ1619" i="8"/>
  <c r="AI1620" i="8"/>
  <c r="AJ1620" i="8"/>
  <c r="AI1621" i="8"/>
  <c r="AJ1621" i="8"/>
  <c r="AI1622" i="8"/>
  <c r="AJ1622" i="8"/>
  <c r="AI1623" i="8"/>
  <c r="AJ1623" i="8"/>
  <c r="AI1624" i="8"/>
  <c r="AJ1624" i="8"/>
  <c r="AI1625" i="8"/>
  <c r="AJ1625" i="8"/>
  <c r="AI1626" i="8"/>
  <c r="AJ1626" i="8"/>
  <c r="AI1627" i="8"/>
  <c r="AJ1627" i="8"/>
  <c r="AI1628" i="8"/>
  <c r="AJ1628" i="8"/>
  <c r="AI1629" i="8"/>
  <c r="AJ1629" i="8"/>
  <c r="AI1630" i="8"/>
  <c r="AJ1630" i="8"/>
  <c r="AI1631" i="8"/>
  <c r="AJ1631" i="8"/>
  <c r="AI1632" i="8"/>
  <c r="AJ1632" i="8"/>
  <c r="AI1633" i="8"/>
  <c r="AJ1633" i="8"/>
  <c r="AI1634" i="8"/>
  <c r="AJ1634" i="8"/>
  <c r="AI1635" i="8"/>
  <c r="AJ1635" i="8"/>
  <c r="AI1636" i="8"/>
  <c r="AJ1636" i="8"/>
  <c r="AI1637" i="8"/>
  <c r="AJ1637" i="8"/>
  <c r="AI1638" i="8"/>
  <c r="AJ1638" i="8"/>
  <c r="AI1639" i="8"/>
  <c r="AJ1639" i="8"/>
  <c r="AI1640" i="8"/>
  <c r="AJ1640" i="8"/>
  <c r="AI1641" i="8"/>
  <c r="AJ1641" i="8"/>
  <c r="AI1642" i="8"/>
  <c r="AJ1642" i="8"/>
  <c r="AI1643" i="8"/>
  <c r="AJ1643" i="8"/>
  <c r="AI1644" i="8"/>
  <c r="AJ1644" i="8"/>
  <c r="AI1645" i="8"/>
  <c r="AJ1645" i="8"/>
  <c r="AI1646" i="8"/>
  <c r="AJ1646" i="8"/>
  <c r="AI1647" i="8"/>
  <c r="AJ1647" i="8"/>
  <c r="AI1648" i="8"/>
  <c r="AJ1648" i="8"/>
  <c r="AI1649" i="8"/>
  <c r="AJ1649" i="8"/>
  <c r="AI1650" i="8"/>
  <c r="AJ1650" i="8"/>
  <c r="AI1651" i="8"/>
  <c r="AJ1651" i="8"/>
  <c r="AI1652" i="8"/>
  <c r="AJ1652" i="8"/>
  <c r="AI1653" i="8"/>
  <c r="AJ1653" i="8"/>
  <c r="AI1654" i="8"/>
  <c r="AJ1654" i="8"/>
  <c r="AI1655" i="8"/>
  <c r="AJ1655" i="8"/>
  <c r="AI1656" i="8"/>
  <c r="AJ1656" i="8"/>
  <c r="AI1657" i="8"/>
  <c r="AJ1657" i="8"/>
  <c r="AI1658" i="8"/>
  <c r="AJ1658" i="8"/>
  <c r="AI1659" i="8"/>
  <c r="AJ1659" i="8"/>
  <c r="AI1660" i="8"/>
  <c r="AJ1660" i="8"/>
  <c r="AI1661" i="8"/>
  <c r="AJ1661" i="8"/>
  <c r="AI1662" i="8"/>
  <c r="AJ1662" i="8"/>
  <c r="AI1663" i="8"/>
  <c r="AJ1663" i="8"/>
  <c r="AI1664" i="8"/>
  <c r="AJ1664" i="8"/>
  <c r="AI1665" i="8"/>
  <c r="AJ1665" i="8"/>
  <c r="AI1666" i="8"/>
  <c r="AJ1666" i="8"/>
  <c r="AI1667" i="8"/>
  <c r="AJ1667" i="8"/>
  <c r="AI1668" i="8"/>
  <c r="AJ1668" i="8"/>
  <c r="AI1669" i="8"/>
  <c r="AJ1669" i="8"/>
  <c r="AI1670" i="8"/>
  <c r="AJ1670" i="8"/>
  <c r="AI1671" i="8"/>
  <c r="AJ1671" i="8"/>
  <c r="AI1672" i="8"/>
  <c r="AJ1672" i="8"/>
  <c r="AI1673" i="8"/>
  <c r="AJ1673" i="8"/>
  <c r="AI1674" i="8"/>
  <c r="AJ1674" i="8"/>
  <c r="AI1675" i="8"/>
  <c r="AJ1675" i="8"/>
  <c r="AI1676" i="8"/>
  <c r="AJ1676" i="8"/>
  <c r="AI1677" i="8"/>
  <c r="AJ1677" i="8"/>
  <c r="AI1678" i="8"/>
  <c r="AJ1678" i="8"/>
  <c r="AI1679" i="8"/>
  <c r="AJ1679" i="8"/>
  <c r="AI1680" i="8"/>
  <c r="AJ1680" i="8"/>
  <c r="AI1681" i="8"/>
  <c r="AJ1681" i="8"/>
  <c r="AI1682" i="8"/>
  <c r="AJ1682" i="8"/>
  <c r="AI1683" i="8"/>
  <c r="AJ1683" i="8"/>
  <c r="AI1684" i="8"/>
  <c r="AJ1684" i="8"/>
  <c r="AI1685" i="8"/>
  <c r="AJ1685" i="8"/>
  <c r="AI1686" i="8"/>
  <c r="AJ1686" i="8"/>
  <c r="AI1687" i="8"/>
  <c r="AJ1687" i="8"/>
  <c r="AI1688" i="8"/>
  <c r="AJ1688" i="8"/>
  <c r="AI1689" i="8"/>
  <c r="AJ1689" i="8"/>
  <c r="AI1690" i="8"/>
  <c r="AJ1690" i="8"/>
  <c r="AI1691" i="8"/>
  <c r="AJ1691" i="8"/>
  <c r="AI1692" i="8"/>
  <c r="AJ1692" i="8"/>
  <c r="AI1693" i="8"/>
  <c r="AJ1693" i="8"/>
  <c r="AI1694" i="8"/>
  <c r="AJ1694" i="8"/>
  <c r="AI1695" i="8"/>
  <c r="AJ1695" i="8"/>
  <c r="AI1696" i="8"/>
  <c r="AJ1696" i="8"/>
  <c r="AI1697" i="8"/>
  <c r="AJ1697" i="8"/>
  <c r="AI1698" i="8"/>
  <c r="AJ1698" i="8"/>
  <c r="AI1699" i="8"/>
  <c r="AJ1699" i="8"/>
  <c r="AI1700" i="8"/>
  <c r="AJ1700" i="8"/>
  <c r="AI1701" i="8"/>
  <c r="AJ1701" i="8"/>
  <c r="AI1702" i="8"/>
  <c r="AJ1702" i="8"/>
  <c r="AI1703" i="8"/>
  <c r="AJ1703" i="8"/>
  <c r="AI1704" i="8"/>
  <c r="AJ1704" i="8"/>
  <c r="AI1705" i="8"/>
  <c r="AJ1705" i="8"/>
  <c r="AI1706" i="8"/>
  <c r="AJ1706" i="8"/>
  <c r="AI1707" i="8"/>
  <c r="AJ1707" i="8"/>
  <c r="AI1708" i="8"/>
  <c r="AJ1708" i="8"/>
  <c r="AI1709" i="8"/>
  <c r="AJ1709" i="8"/>
  <c r="AI1710" i="8"/>
  <c r="AJ1710" i="8"/>
  <c r="AI1711" i="8"/>
  <c r="AJ1711" i="8"/>
  <c r="AI1712" i="8"/>
  <c r="AJ1712" i="8"/>
  <c r="AI1713" i="8"/>
  <c r="AJ1713" i="8"/>
  <c r="AI1714" i="8"/>
  <c r="AJ1714" i="8"/>
  <c r="AI1715" i="8"/>
  <c r="AJ1715" i="8"/>
  <c r="AI1716" i="8"/>
  <c r="AJ1716" i="8"/>
  <c r="AI1717" i="8"/>
  <c r="AJ1717" i="8"/>
  <c r="AI1718" i="8"/>
  <c r="AJ1718" i="8"/>
  <c r="AI1719" i="8"/>
  <c r="AJ1719" i="8"/>
  <c r="AI1720" i="8"/>
  <c r="AJ1720" i="8"/>
  <c r="AI1721" i="8"/>
  <c r="AJ1721" i="8"/>
  <c r="AI1722" i="8"/>
  <c r="AJ1722" i="8"/>
  <c r="AI1723" i="8"/>
  <c r="AJ1723" i="8"/>
  <c r="AI1724" i="8"/>
  <c r="AJ1724" i="8"/>
  <c r="AI1725" i="8"/>
  <c r="AJ1725" i="8"/>
  <c r="AI1726" i="8"/>
  <c r="AJ1726" i="8"/>
  <c r="AI1727" i="8"/>
  <c r="AJ1727" i="8"/>
  <c r="AI1728" i="8"/>
  <c r="AJ1728" i="8"/>
  <c r="AI1729" i="8"/>
  <c r="AJ1729" i="8"/>
  <c r="AI1730" i="8"/>
  <c r="AJ1730" i="8"/>
  <c r="AI1731" i="8"/>
  <c r="AJ1731" i="8"/>
  <c r="AI1732" i="8"/>
  <c r="AJ1732" i="8"/>
  <c r="AI1733" i="8"/>
  <c r="AJ1733" i="8"/>
  <c r="AI1734" i="8"/>
  <c r="AJ1734" i="8"/>
  <c r="AI1735" i="8"/>
  <c r="AJ1735" i="8"/>
  <c r="AI1736" i="8"/>
  <c r="AJ1736" i="8"/>
  <c r="AI1737" i="8"/>
  <c r="AJ1737" i="8"/>
  <c r="AI1738" i="8"/>
  <c r="AJ1738" i="8"/>
  <c r="AI1739" i="8"/>
  <c r="AJ1739" i="8"/>
  <c r="AI1740" i="8"/>
  <c r="AJ1740" i="8"/>
  <c r="AI1741" i="8"/>
  <c r="AJ1741" i="8"/>
  <c r="AI1742" i="8"/>
  <c r="AJ1742" i="8"/>
  <c r="AI1743" i="8"/>
  <c r="AJ1743" i="8"/>
  <c r="AI1744" i="8"/>
  <c r="AJ1744" i="8"/>
  <c r="AI1745" i="8"/>
  <c r="AJ1745" i="8"/>
  <c r="AI1746" i="8"/>
  <c r="AJ1746" i="8"/>
  <c r="AI1747" i="8"/>
  <c r="AJ1747" i="8"/>
  <c r="AI1748" i="8"/>
  <c r="AJ1748" i="8"/>
  <c r="AI1749" i="8"/>
  <c r="AJ1749" i="8"/>
  <c r="AI1750" i="8"/>
  <c r="AJ1750" i="8"/>
  <c r="AI1751" i="8"/>
  <c r="AJ1751" i="8"/>
  <c r="AI1752" i="8"/>
  <c r="AJ1752" i="8"/>
  <c r="AI1753" i="8"/>
  <c r="AJ1753" i="8"/>
  <c r="AI1754" i="8"/>
  <c r="AJ1754" i="8"/>
  <c r="AI1755" i="8"/>
  <c r="AJ1755" i="8"/>
  <c r="AI1756" i="8"/>
  <c r="AJ1756" i="8"/>
  <c r="AI1757" i="8"/>
  <c r="AJ1757" i="8"/>
  <c r="AI1758" i="8"/>
  <c r="AJ1758" i="8"/>
  <c r="AI1759" i="8"/>
  <c r="AJ1759" i="8"/>
  <c r="AI1760" i="8"/>
  <c r="AJ1760" i="8"/>
  <c r="AI1761" i="8"/>
  <c r="AJ1761" i="8"/>
  <c r="AI1762" i="8"/>
  <c r="AJ1762" i="8"/>
  <c r="AI1763" i="8"/>
  <c r="AJ1763" i="8"/>
  <c r="AI1764" i="8"/>
  <c r="AJ1764" i="8"/>
  <c r="AI1765" i="8"/>
  <c r="AJ1765" i="8"/>
  <c r="AI1766" i="8"/>
  <c r="AJ1766" i="8"/>
  <c r="AI1767" i="8"/>
  <c r="AJ1767" i="8"/>
  <c r="AI1768" i="8"/>
  <c r="AJ1768" i="8"/>
  <c r="AI1769" i="8"/>
  <c r="AJ1769" i="8"/>
  <c r="AI1770" i="8"/>
  <c r="AJ1770" i="8"/>
  <c r="AI1771" i="8"/>
  <c r="AJ1771" i="8"/>
  <c r="AI1772" i="8"/>
  <c r="AJ1772" i="8"/>
  <c r="AI1773" i="8"/>
  <c r="AJ1773" i="8"/>
  <c r="AI1774" i="8"/>
  <c r="AJ1774" i="8"/>
  <c r="AI1775" i="8"/>
  <c r="AJ1775" i="8"/>
  <c r="AI1776" i="8"/>
  <c r="AJ1776" i="8"/>
  <c r="AI1777" i="8"/>
  <c r="AJ1777" i="8"/>
  <c r="AI1778" i="8"/>
  <c r="AJ1778" i="8"/>
  <c r="AI1779" i="8"/>
  <c r="AJ1779" i="8"/>
  <c r="AI1780" i="8"/>
  <c r="AJ1780" i="8"/>
  <c r="AI1781" i="8"/>
  <c r="AJ1781" i="8"/>
  <c r="AI1782" i="8"/>
  <c r="AJ1782" i="8"/>
  <c r="AI1783" i="8"/>
  <c r="AJ1783" i="8"/>
  <c r="AI1784" i="8"/>
  <c r="AJ1784" i="8"/>
  <c r="AI1785" i="8"/>
  <c r="AJ1785" i="8"/>
  <c r="AI1786" i="8"/>
  <c r="AJ1786" i="8"/>
  <c r="AI1787" i="8"/>
  <c r="AJ1787" i="8"/>
  <c r="AI1788" i="8"/>
  <c r="AJ1788" i="8"/>
  <c r="AI1789" i="8"/>
  <c r="AJ1789" i="8"/>
  <c r="AI1790" i="8"/>
  <c r="AJ1790" i="8"/>
  <c r="AI1791" i="8"/>
  <c r="AJ1791" i="8"/>
  <c r="AI1792" i="8"/>
  <c r="AJ1792" i="8"/>
  <c r="AI1793" i="8"/>
  <c r="AJ1793" i="8"/>
  <c r="AI1794" i="8"/>
  <c r="AJ1794" i="8"/>
  <c r="AI1795" i="8"/>
  <c r="AJ1795" i="8"/>
  <c r="AI1796" i="8"/>
  <c r="AJ1796" i="8"/>
  <c r="AI1797" i="8"/>
  <c r="AJ1797" i="8"/>
  <c r="AI1798" i="8"/>
  <c r="AJ1798" i="8"/>
  <c r="AI1799" i="8"/>
  <c r="AJ1799" i="8"/>
  <c r="AI1800" i="8"/>
  <c r="AJ1800" i="8"/>
  <c r="AI1801" i="8"/>
  <c r="AJ1801" i="8"/>
  <c r="AI1802" i="8"/>
  <c r="AJ1802" i="8"/>
  <c r="AI1803" i="8"/>
  <c r="AJ1803" i="8"/>
  <c r="AI1804" i="8"/>
  <c r="AJ1804" i="8"/>
  <c r="AI1805" i="8"/>
  <c r="AJ1805" i="8"/>
  <c r="AI1806" i="8"/>
  <c r="AJ1806" i="8"/>
  <c r="AI1807" i="8"/>
  <c r="AJ1807" i="8"/>
  <c r="AI1808" i="8"/>
  <c r="AJ1808" i="8"/>
  <c r="AI1809" i="8"/>
  <c r="AJ1809" i="8"/>
  <c r="AI1810" i="8"/>
  <c r="AJ1810" i="8"/>
  <c r="AI1811" i="8"/>
  <c r="AJ1811" i="8"/>
  <c r="AI1812" i="8"/>
  <c r="AJ1812" i="8"/>
  <c r="AI1813" i="8"/>
  <c r="AJ1813" i="8"/>
  <c r="AI1814" i="8"/>
  <c r="AJ1814" i="8"/>
  <c r="AI1815" i="8"/>
  <c r="AJ1815" i="8"/>
  <c r="AI1816" i="8"/>
  <c r="AJ1816" i="8"/>
  <c r="AI1817" i="8"/>
  <c r="AJ1817" i="8"/>
  <c r="AI1818" i="8"/>
  <c r="AJ1818" i="8"/>
  <c r="AI1819" i="8"/>
  <c r="AJ1819" i="8"/>
  <c r="AI1820" i="8"/>
  <c r="AJ1820" i="8"/>
  <c r="AI1821" i="8"/>
  <c r="AJ1821" i="8"/>
  <c r="AI1822" i="8"/>
  <c r="AJ1822" i="8"/>
  <c r="AI1823" i="8"/>
  <c r="AJ1823" i="8"/>
  <c r="AI1824" i="8"/>
  <c r="AJ1824" i="8"/>
  <c r="AI1825" i="8"/>
  <c r="AJ1825" i="8"/>
  <c r="AI1826" i="8"/>
  <c r="AJ1826" i="8"/>
  <c r="AI1827" i="8"/>
  <c r="AJ1827" i="8"/>
  <c r="AI1828" i="8"/>
  <c r="AJ1828" i="8"/>
  <c r="AI1829" i="8"/>
  <c r="AJ1829" i="8"/>
  <c r="AI1830" i="8"/>
  <c r="AJ1830" i="8"/>
  <c r="AI1831" i="8"/>
  <c r="AJ1831" i="8"/>
  <c r="AI1832" i="8"/>
  <c r="AJ1832" i="8"/>
  <c r="AI1833" i="8"/>
  <c r="AJ1833" i="8"/>
  <c r="AI1834" i="8"/>
  <c r="AJ1834" i="8"/>
  <c r="AI1835" i="8"/>
  <c r="AJ1835" i="8"/>
  <c r="AI1836" i="8"/>
  <c r="AJ1836" i="8"/>
  <c r="AI1837" i="8"/>
  <c r="AJ1837" i="8"/>
  <c r="AI1838" i="8"/>
  <c r="AJ1838" i="8"/>
  <c r="AI1839" i="8"/>
  <c r="AJ1839" i="8"/>
  <c r="AI1840" i="8"/>
  <c r="AJ1840" i="8"/>
  <c r="AI1841" i="8"/>
  <c r="AJ1841" i="8"/>
  <c r="AI1842" i="8"/>
  <c r="AJ1842" i="8"/>
  <c r="AI1843" i="8"/>
  <c r="AJ1843" i="8"/>
  <c r="AI1844" i="8"/>
  <c r="AJ1844" i="8"/>
  <c r="AI1845" i="8"/>
  <c r="AJ1845" i="8"/>
  <c r="AI1846" i="8"/>
  <c r="AJ1846" i="8"/>
  <c r="AI1847" i="8"/>
  <c r="AJ1847" i="8"/>
  <c r="AI1848" i="8"/>
  <c r="AJ1848" i="8"/>
  <c r="AI1849" i="8"/>
  <c r="AJ1849" i="8"/>
  <c r="AI1850" i="8"/>
  <c r="AJ1850" i="8"/>
  <c r="AI1851" i="8"/>
  <c r="AJ1851" i="8"/>
  <c r="AI1852" i="8"/>
  <c r="AJ1852" i="8"/>
  <c r="AI1853" i="8"/>
  <c r="AJ1853" i="8"/>
  <c r="AI1854" i="8"/>
  <c r="AJ1854" i="8"/>
  <c r="AI1855" i="8"/>
  <c r="AJ1855" i="8"/>
  <c r="AI1856" i="8"/>
  <c r="AJ1856" i="8"/>
  <c r="AI1857" i="8"/>
  <c r="AJ1857" i="8"/>
  <c r="AI1858" i="8"/>
  <c r="AJ1858" i="8"/>
  <c r="AI1859" i="8"/>
  <c r="AJ1859" i="8"/>
  <c r="AI1860" i="8"/>
  <c r="AJ1860" i="8"/>
  <c r="AI1861" i="8"/>
  <c r="AJ1861" i="8"/>
  <c r="AI1862" i="8"/>
  <c r="AJ1862" i="8"/>
  <c r="AI1863" i="8"/>
  <c r="AJ1863" i="8"/>
  <c r="AI1864" i="8"/>
  <c r="AJ1864" i="8"/>
  <c r="AI1865" i="8"/>
  <c r="AJ1865" i="8"/>
  <c r="AI1866" i="8"/>
  <c r="AJ1866" i="8"/>
  <c r="AI1867" i="8"/>
  <c r="AJ1867" i="8"/>
  <c r="AI1868" i="8"/>
  <c r="AJ1868" i="8"/>
  <c r="AI1869" i="8"/>
  <c r="AJ1869" i="8"/>
  <c r="AI1870" i="8"/>
  <c r="AJ1870" i="8"/>
  <c r="AI1871" i="8"/>
  <c r="AJ1871" i="8"/>
  <c r="AI1872" i="8"/>
  <c r="AJ1872" i="8"/>
  <c r="AI1873" i="8"/>
  <c r="AJ1873" i="8"/>
  <c r="AI1874" i="8"/>
  <c r="AJ1874" i="8"/>
  <c r="AI1875" i="8"/>
  <c r="AJ1875" i="8"/>
  <c r="AI1876" i="8"/>
  <c r="AJ1876" i="8"/>
  <c r="AI1877" i="8"/>
  <c r="AJ1877" i="8"/>
  <c r="AI1878" i="8"/>
  <c r="AJ1878" i="8"/>
  <c r="AI1879" i="8"/>
  <c r="AJ1879" i="8"/>
  <c r="AI1880" i="8"/>
  <c r="AJ1880" i="8"/>
  <c r="AI1881" i="8"/>
  <c r="AJ1881" i="8"/>
  <c r="AI1882" i="8"/>
  <c r="AJ1882" i="8"/>
  <c r="AI1883" i="8"/>
  <c r="AJ1883" i="8"/>
  <c r="AI1884" i="8"/>
  <c r="AJ1884" i="8"/>
  <c r="AI1885" i="8"/>
  <c r="AJ1885" i="8"/>
  <c r="AI1886" i="8"/>
  <c r="AJ1886" i="8"/>
  <c r="AI1887" i="8"/>
  <c r="AJ1887" i="8"/>
  <c r="AI1888" i="8"/>
  <c r="AJ1888" i="8"/>
  <c r="AI1889" i="8"/>
  <c r="AJ1889" i="8"/>
  <c r="AI1890" i="8"/>
  <c r="AJ1890" i="8"/>
  <c r="AI1891" i="8"/>
  <c r="AJ1891" i="8"/>
  <c r="AI1892" i="8"/>
  <c r="AJ1892" i="8"/>
  <c r="AI1893" i="8"/>
  <c r="AJ1893" i="8"/>
  <c r="AI1894" i="8"/>
  <c r="AJ1894" i="8"/>
  <c r="AI1895" i="8"/>
  <c r="AJ1895" i="8"/>
  <c r="AI1896" i="8"/>
  <c r="AJ1896" i="8"/>
  <c r="AI1897" i="8"/>
  <c r="AJ1897" i="8"/>
  <c r="AI1898" i="8"/>
  <c r="AJ1898" i="8"/>
  <c r="AI1899" i="8"/>
  <c r="AJ1899" i="8"/>
  <c r="AI1900" i="8"/>
  <c r="AJ1900" i="8"/>
  <c r="AI1901" i="8"/>
  <c r="AJ1901" i="8"/>
  <c r="AI1902" i="8"/>
  <c r="AJ1902" i="8"/>
  <c r="AI1903" i="8"/>
  <c r="AJ1903" i="8"/>
  <c r="AI1904" i="8"/>
  <c r="AJ1904" i="8"/>
  <c r="AI1905" i="8"/>
  <c r="AJ1905" i="8"/>
  <c r="AI1906" i="8"/>
  <c r="AJ1906" i="8"/>
  <c r="AI1907" i="8"/>
  <c r="AJ1907" i="8"/>
  <c r="AI1908" i="8"/>
  <c r="AJ1908" i="8"/>
  <c r="AI1909" i="8"/>
  <c r="AJ1909" i="8"/>
  <c r="AI1910" i="8"/>
  <c r="AJ1910" i="8"/>
  <c r="AI1911" i="8"/>
  <c r="AJ1911" i="8"/>
  <c r="AI1912" i="8"/>
  <c r="AJ1912" i="8"/>
  <c r="AI1913" i="8"/>
  <c r="AJ1913" i="8"/>
  <c r="AI1914" i="8"/>
  <c r="AJ1914" i="8"/>
  <c r="AI1915" i="8"/>
  <c r="AJ1915" i="8"/>
  <c r="AI1916" i="8"/>
  <c r="AJ1916" i="8"/>
  <c r="AI1917" i="8"/>
  <c r="AJ1917" i="8"/>
  <c r="AI1918" i="8"/>
  <c r="AJ1918" i="8"/>
  <c r="AI1919" i="8"/>
  <c r="AJ1919" i="8"/>
  <c r="AI1920" i="8"/>
  <c r="AJ1920" i="8"/>
  <c r="AI1921" i="8"/>
  <c r="AJ1921" i="8"/>
  <c r="AI1922" i="8"/>
  <c r="AJ1922" i="8"/>
  <c r="AI1923" i="8"/>
  <c r="AJ1923" i="8"/>
  <c r="AI1924" i="8"/>
  <c r="AJ1924" i="8"/>
  <c r="AI1925" i="8"/>
  <c r="AJ1925" i="8"/>
  <c r="AI1926" i="8"/>
  <c r="AJ1926" i="8"/>
  <c r="AI1927" i="8"/>
  <c r="AJ1927" i="8"/>
  <c r="AI1928" i="8"/>
  <c r="AJ1928" i="8"/>
  <c r="AI1929" i="8"/>
  <c r="AJ1929" i="8"/>
  <c r="AI1930" i="8"/>
  <c r="AJ1930" i="8"/>
  <c r="AI1931" i="8"/>
  <c r="AJ1931" i="8"/>
  <c r="AI1932" i="8"/>
  <c r="AJ1932" i="8"/>
  <c r="AI1933" i="8"/>
  <c r="AJ1933" i="8"/>
  <c r="AI1934" i="8"/>
  <c r="AJ1934" i="8"/>
  <c r="AI1935" i="8"/>
  <c r="AJ1935" i="8"/>
  <c r="AI1936" i="8"/>
  <c r="AJ1936" i="8"/>
  <c r="AI1937" i="8"/>
  <c r="AJ1937" i="8"/>
  <c r="AI1938" i="8"/>
  <c r="AJ1938" i="8"/>
  <c r="AI1939" i="8"/>
  <c r="AJ1939" i="8"/>
  <c r="AI1940" i="8"/>
  <c r="AJ1940" i="8"/>
  <c r="AI1941" i="8"/>
  <c r="AJ1941" i="8"/>
  <c r="AI1942" i="8"/>
  <c r="AJ1942" i="8"/>
  <c r="AI1943" i="8"/>
  <c r="AJ1943" i="8"/>
  <c r="AI1944" i="8"/>
  <c r="AJ1944" i="8"/>
  <c r="AI1945" i="8"/>
  <c r="AJ1945" i="8"/>
  <c r="AI1946" i="8"/>
  <c r="AJ1946" i="8"/>
  <c r="AI1947" i="8"/>
  <c r="AJ1947" i="8"/>
  <c r="AI1948" i="8"/>
  <c r="AJ1948" i="8"/>
  <c r="AI1949" i="8"/>
  <c r="AJ1949" i="8"/>
  <c r="AI1950" i="8"/>
  <c r="AJ1950" i="8"/>
  <c r="AI1951" i="8"/>
  <c r="AJ1951" i="8"/>
  <c r="AI1952" i="8"/>
  <c r="AJ1952" i="8"/>
  <c r="AI1953" i="8"/>
  <c r="AJ1953" i="8"/>
  <c r="AI1954" i="8"/>
  <c r="AJ1954" i="8"/>
  <c r="AI1955" i="8"/>
  <c r="AJ1955" i="8"/>
  <c r="AI1956" i="8"/>
  <c r="AJ1956" i="8"/>
  <c r="AI1957" i="8"/>
  <c r="AJ1957" i="8"/>
  <c r="AI1958" i="8"/>
  <c r="AJ1958" i="8"/>
  <c r="AI1959" i="8"/>
  <c r="AJ1959" i="8"/>
  <c r="AI1960" i="8"/>
  <c r="AJ1960" i="8"/>
  <c r="AI1961" i="8"/>
  <c r="AJ1961" i="8"/>
  <c r="AI1962" i="8"/>
  <c r="AJ1962" i="8"/>
  <c r="AI1963" i="8"/>
  <c r="AJ1963" i="8"/>
  <c r="AI1964" i="8"/>
  <c r="AJ1964" i="8"/>
  <c r="AI1965" i="8"/>
  <c r="AJ1965" i="8"/>
  <c r="AI1966" i="8"/>
  <c r="AJ1966" i="8"/>
  <c r="AI1967" i="8"/>
  <c r="AJ1967" i="8"/>
  <c r="AI1968" i="8"/>
  <c r="AJ1968" i="8"/>
  <c r="AI1969" i="8"/>
  <c r="AJ1969" i="8"/>
  <c r="AI1970" i="8"/>
  <c r="AJ1970" i="8"/>
  <c r="AI1971" i="8"/>
  <c r="AJ1971" i="8"/>
  <c r="AI1972" i="8"/>
  <c r="AJ1972" i="8"/>
  <c r="AI1973" i="8"/>
  <c r="AJ1973" i="8"/>
  <c r="AI1974" i="8"/>
  <c r="AJ1974" i="8"/>
  <c r="AI1975" i="8"/>
  <c r="AJ1975" i="8"/>
  <c r="AI1976" i="8"/>
  <c r="AJ1976" i="8"/>
  <c r="AI1977" i="8"/>
  <c r="AJ1977" i="8"/>
  <c r="AI1978" i="8"/>
  <c r="AJ1978" i="8"/>
  <c r="AI1979" i="8"/>
  <c r="AJ1979" i="8"/>
  <c r="AI1980" i="8"/>
  <c r="AJ1980" i="8"/>
  <c r="AI1981" i="8"/>
  <c r="AJ1981" i="8"/>
  <c r="AI1982" i="8"/>
  <c r="AJ1982" i="8"/>
  <c r="AI1983" i="8"/>
  <c r="AJ1983" i="8"/>
  <c r="AI1984" i="8"/>
  <c r="AJ1984" i="8"/>
  <c r="AI1985" i="8"/>
  <c r="AJ1985" i="8"/>
  <c r="AI1986" i="8"/>
  <c r="AJ1986" i="8"/>
  <c r="AI1987" i="8"/>
  <c r="AJ1987" i="8"/>
  <c r="AI1988" i="8"/>
  <c r="AJ1988" i="8"/>
  <c r="AI1989" i="8"/>
  <c r="AJ1989" i="8"/>
  <c r="AI1990" i="8"/>
  <c r="AJ1990" i="8"/>
  <c r="AI1991" i="8"/>
  <c r="AJ1991" i="8"/>
  <c r="AI1992" i="8"/>
  <c r="AJ1992" i="8"/>
  <c r="AI1993" i="8"/>
  <c r="AJ1993" i="8"/>
  <c r="AI1994" i="8"/>
  <c r="AJ1994" i="8"/>
  <c r="AI1995" i="8"/>
  <c r="AJ1995" i="8"/>
  <c r="AI1996" i="8"/>
  <c r="AJ1996" i="8"/>
  <c r="AI1997" i="8"/>
  <c r="AJ1997" i="8"/>
  <c r="AI1998" i="8"/>
  <c r="AJ1998" i="8"/>
  <c r="AI1999" i="8"/>
  <c r="AJ1999" i="8"/>
  <c r="AI2000" i="8"/>
  <c r="AJ2000" i="8"/>
  <c r="AI2001" i="8"/>
  <c r="AJ2001" i="8"/>
  <c r="AI2002" i="8"/>
  <c r="AJ2002" i="8"/>
  <c r="AI2003" i="8"/>
  <c r="AJ2003" i="8"/>
  <c r="AI2004" i="8"/>
  <c r="AJ2004" i="8"/>
  <c r="AI2005" i="8"/>
  <c r="AJ2005" i="8"/>
  <c r="AI2006" i="8"/>
  <c r="AJ2006" i="8"/>
  <c r="AI2007" i="8"/>
  <c r="AJ2007" i="8"/>
  <c r="AI2008" i="8"/>
  <c r="AJ2008" i="8"/>
  <c r="AI2009" i="8"/>
  <c r="AJ2009" i="8"/>
  <c r="AI2010" i="8"/>
  <c r="AJ2010" i="8"/>
  <c r="AI2011" i="8"/>
  <c r="AJ2011" i="8"/>
  <c r="AI2012" i="8"/>
  <c r="AJ2012" i="8"/>
  <c r="AI2013" i="8"/>
  <c r="AJ2013" i="8"/>
  <c r="AI2014" i="8"/>
  <c r="AJ2014" i="8"/>
  <c r="AI2015" i="8"/>
  <c r="AJ2015" i="8"/>
  <c r="AI2016" i="8"/>
  <c r="AJ2016" i="8"/>
  <c r="AI2017" i="8"/>
  <c r="AJ2017" i="8"/>
  <c r="AI2018" i="8"/>
  <c r="AJ2018" i="8"/>
  <c r="AI2019" i="8"/>
  <c r="AJ2019" i="8"/>
  <c r="AI2020" i="8"/>
  <c r="AJ2020" i="8"/>
  <c r="AI2021" i="8"/>
  <c r="AJ2021" i="8"/>
  <c r="AI2022" i="8"/>
  <c r="AJ2022" i="8"/>
  <c r="AI2023" i="8"/>
  <c r="AJ2023" i="8"/>
  <c r="AI2024" i="8"/>
  <c r="AJ2024" i="8"/>
  <c r="AI2025" i="8"/>
  <c r="AJ2025" i="8"/>
  <c r="AI2026" i="8"/>
  <c r="AJ2026" i="8"/>
  <c r="AI2027" i="8"/>
  <c r="AJ2027" i="8"/>
  <c r="AI2028" i="8"/>
  <c r="AJ2028" i="8"/>
  <c r="AI2029" i="8"/>
  <c r="AJ2029" i="8"/>
  <c r="AI2030" i="8"/>
  <c r="AJ2030" i="8"/>
  <c r="AI2031" i="8"/>
  <c r="AJ2031" i="8"/>
  <c r="AI2032" i="8"/>
  <c r="AJ2032" i="8"/>
  <c r="AI2033" i="8"/>
  <c r="AJ2033" i="8"/>
  <c r="AI2034" i="8"/>
  <c r="AJ2034" i="8"/>
  <c r="AI2035" i="8"/>
  <c r="AJ2035" i="8"/>
  <c r="AI2036" i="8"/>
  <c r="AJ2036" i="8"/>
  <c r="AI2037" i="8"/>
  <c r="AJ2037" i="8"/>
  <c r="AI2038" i="8"/>
  <c r="AJ2038" i="8"/>
  <c r="AI2039" i="8"/>
  <c r="AJ2039" i="8"/>
  <c r="AI2040" i="8"/>
  <c r="AJ2040" i="8"/>
  <c r="AI2041" i="8"/>
  <c r="AJ2041" i="8"/>
  <c r="AI2042" i="8"/>
  <c r="AJ2042" i="8"/>
  <c r="AI2043" i="8"/>
  <c r="AJ2043" i="8"/>
  <c r="AI2044" i="8"/>
  <c r="AJ2044" i="8"/>
  <c r="AI2045" i="8"/>
  <c r="AJ2045" i="8"/>
  <c r="AI2046" i="8"/>
  <c r="AJ2046" i="8"/>
  <c r="AI2047" i="8"/>
  <c r="AJ2047" i="8"/>
  <c r="AI2048" i="8"/>
  <c r="AJ2048" i="8"/>
  <c r="AI2049" i="8"/>
  <c r="AJ2049" i="8"/>
  <c r="AI2050" i="8"/>
  <c r="AJ2050" i="8"/>
  <c r="AI2051" i="8"/>
  <c r="AJ2051" i="8"/>
  <c r="AI2052" i="8"/>
  <c r="AJ2052" i="8"/>
  <c r="AI2053" i="8"/>
  <c r="AJ2053" i="8"/>
  <c r="AI2054" i="8"/>
  <c r="AJ2054" i="8"/>
  <c r="AI2055" i="8"/>
  <c r="AJ2055" i="8"/>
  <c r="AI2056" i="8"/>
  <c r="AJ2056" i="8"/>
  <c r="AI2057" i="8"/>
  <c r="AJ2057" i="8"/>
  <c r="AI2058" i="8"/>
  <c r="AJ2058" i="8"/>
  <c r="AI2059" i="8"/>
  <c r="AJ2059" i="8"/>
  <c r="AI2060" i="8"/>
  <c r="AJ2060" i="8"/>
  <c r="AI2061" i="8"/>
  <c r="AJ2061" i="8"/>
  <c r="AI2062" i="8"/>
  <c r="AJ2062" i="8"/>
  <c r="AI2063" i="8"/>
  <c r="AJ2063" i="8"/>
  <c r="AI2064" i="8"/>
  <c r="AJ2064" i="8"/>
  <c r="AI2065" i="8"/>
  <c r="AJ2065" i="8"/>
  <c r="AI2066" i="8"/>
  <c r="AJ2066" i="8"/>
  <c r="AI2067" i="8"/>
  <c r="AJ2067" i="8"/>
  <c r="AI2068" i="8"/>
  <c r="AJ2068" i="8"/>
  <c r="AI2069" i="8"/>
  <c r="AJ2069" i="8"/>
  <c r="AI2070" i="8"/>
  <c r="AJ2070" i="8"/>
  <c r="AI2071" i="8"/>
  <c r="AJ2071" i="8"/>
  <c r="AI2072" i="8"/>
  <c r="AJ2072" i="8"/>
  <c r="AI2073" i="8"/>
  <c r="AJ2073" i="8"/>
  <c r="AI2074" i="8"/>
  <c r="AJ2074" i="8"/>
  <c r="AI2075" i="8"/>
  <c r="AJ2075" i="8"/>
  <c r="AI2076" i="8"/>
  <c r="AJ2076" i="8"/>
  <c r="AI2077" i="8"/>
  <c r="AJ2077" i="8"/>
  <c r="AI2078" i="8"/>
  <c r="AJ2078" i="8"/>
  <c r="AI2079" i="8"/>
  <c r="AJ2079" i="8"/>
  <c r="AI2080" i="8"/>
  <c r="AJ2080" i="8"/>
  <c r="AI2081" i="8"/>
  <c r="AJ2081" i="8"/>
  <c r="AI2082" i="8"/>
  <c r="AJ2082" i="8"/>
  <c r="AI2083" i="8"/>
  <c r="AJ2083" i="8"/>
  <c r="AI2084" i="8"/>
  <c r="AJ2084" i="8"/>
  <c r="AI2085" i="8"/>
  <c r="AJ2085" i="8"/>
  <c r="AI2086" i="8"/>
  <c r="AJ2086" i="8"/>
  <c r="AI2087" i="8"/>
  <c r="AJ2087" i="8"/>
  <c r="AI2088" i="8"/>
  <c r="AJ2088" i="8"/>
  <c r="AI2089" i="8"/>
  <c r="AJ2089" i="8"/>
  <c r="AI2090" i="8"/>
  <c r="AJ2090" i="8"/>
  <c r="AI2091" i="8"/>
  <c r="AJ2091" i="8"/>
  <c r="AI2092" i="8"/>
  <c r="AJ2092" i="8"/>
  <c r="AI2093" i="8"/>
  <c r="AJ2093" i="8"/>
  <c r="AI2094" i="8"/>
  <c r="AJ2094" i="8"/>
  <c r="AI2095" i="8"/>
  <c r="AJ2095" i="8"/>
  <c r="AI2096" i="8"/>
  <c r="AJ2096" i="8"/>
  <c r="AI2097" i="8"/>
  <c r="AJ2097" i="8"/>
  <c r="AI2098" i="8"/>
  <c r="AJ2098" i="8"/>
  <c r="AI2099" i="8"/>
  <c r="AJ2099" i="8"/>
  <c r="AI2100" i="8"/>
  <c r="AJ2100" i="8"/>
  <c r="AI2101" i="8"/>
  <c r="AJ2101" i="8"/>
  <c r="AI2102" i="8"/>
  <c r="AJ2102" i="8"/>
  <c r="AI2103" i="8"/>
  <c r="AJ2103" i="8"/>
  <c r="AI2104" i="8"/>
  <c r="AJ2104" i="8"/>
  <c r="AI2105" i="8"/>
  <c r="AJ2105" i="8"/>
  <c r="AI2106" i="8"/>
  <c r="AJ2106" i="8"/>
  <c r="AI2107" i="8"/>
  <c r="AJ2107" i="8"/>
  <c r="AI2108" i="8"/>
  <c r="AJ2108" i="8"/>
  <c r="AI2109" i="8"/>
  <c r="AJ2109" i="8"/>
  <c r="AI2110" i="8"/>
  <c r="AJ2110" i="8"/>
  <c r="AI2111" i="8"/>
  <c r="AJ2111" i="8"/>
  <c r="AI2112" i="8"/>
  <c r="AJ2112" i="8"/>
  <c r="AI2113" i="8"/>
  <c r="AJ2113" i="8"/>
  <c r="AI2114" i="8"/>
  <c r="AJ2114" i="8"/>
  <c r="AI2115" i="8"/>
  <c r="AJ2115" i="8"/>
  <c r="AI2116" i="8"/>
  <c r="AJ2116" i="8"/>
  <c r="AI2117" i="8"/>
  <c r="AJ2117" i="8"/>
  <c r="AI2118" i="8"/>
  <c r="AJ2118" i="8"/>
  <c r="AI2119" i="8"/>
  <c r="AJ2119" i="8"/>
  <c r="AI2120" i="8"/>
  <c r="AJ2120" i="8"/>
  <c r="AI2121" i="8"/>
  <c r="AJ2121" i="8"/>
  <c r="AI2122" i="8"/>
  <c r="AJ2122" i="8"/>
  <c r="AI2123" i="8"/>
  <c r="AJ2123" i="8"/>
  <c r="AI2124" i="8"/>
  <c r="AJ2124" i="8"/>
  <c r="AI2125" i="8"/>
  <c r="AJ2125" i="8"/>
  <c r="AI2126" i="8"/>
  <c r="AJ2126" i="8"/>
  <c r="AI2127" i="8"/>
  <c r="AJ2127" i="8"/>
  <c r="AI2128" i="8"/>
  <c r="AJ2128" i="8"/>
  <c r="AI2129" i="8"/>
  <c r="AJ2129" i="8"/>
  <c r="AI2130" i="8"/>
  <c r="AJ2130" i="8"/>
  <c r="AI2131" i="8"/>
  <c r="AJ2131" i="8"/>
  <c r="AI2132" i="8"/>
  <c r="AJ2132" i="8"/>
  <c r="AI2133" i="8"/>
  <c r="AJ2133" i="8"/>
  <c r="AI2134" i="8"/>
  <c r="AJ2134" i="8"/>
  <c r="AI2135" i="8"/>
  <c r="AJ2135" i="8"/>
  <c r="AI2136" i="8"/>
  <c r="AJ2136" i="8"/>
  <c r="AI2137" i="8"/>
  <c r="AJ2137" i="8"/>
  <c r="AI2138" i="8"/>
  <c r="AJ2138" i="8"/>
  <c r="AI2139" i="8"/>
  <c r="AJ2139" i="8"/>
  <c r="AI2140" i="8"/>
  <c r="AJ2140" i="8"/>
  <c r="AI2141" i="8"/>
  <c r="AJ2141" i="8"/>
  <c r="AI2142" i="8"/>
  <c r="AJ2142" i="8"/>
  <c r="AI2143" i="8"/>
  <c r="AJ2143" i="8"/>
  <c r="AI2144" i="8"/>
  <c r="AJ2144" i="8"/>
  <c r="AI2145" i="8"/>
  <c r="AJ2145" i="8"/>
  <c r="AI2146" i="8"/>
  <c r="AJ2146" i="8"/>
  <c r="AI2147" i="8"/>
  <c r="AJ2147" i="8"/>
  <c r="AI2148" i="8"/>
  <c r="AJ2148" i="8"/>
  <c r="AI2149" i="8"/>
  <c r="AJ2149" i="8"/>
  <c r="AI2150" i="8"/>
  <c r="AJ2150" i="8"/>
  <c r="AI2151" i="8"/>
  <c r="AJ2151" i="8"/>
  <c r="AI2152" i="8"/>
  <c r="AJ2152" i="8"/>
  <c r="AI2153" i="8"/>
  <c r="AJ2153" i="8"/>
  <c r="AI2154" i="8"/>
  <c r="AJ2154" i="8"/>
  <c r="AI2155" i="8"/>
  <c r="AJ2155" i="8"/>
  <c r="AI2156" i="8"/>
  <c r="AJ2156" i="8"/>
  <c r="AI2157" i="8"/>
  <c r="AJ2157" i="8"/>
  <c r="AI2158" i="8"/>
  <c r="AJ2158" i="8"/>
  <c r="AI2159" i="8"/>
  <c r="AJ2159" i="8"/>
  <c r="AI2160" i="8"/>
  <c r="AJ2160" i="8"/>
  <c r="AI2161" i="8"/>
  <c r="AJ2161" i="8"/>
  <c r="AI2162" i="8"/>
  <c r="AJ2162" i="8"/>
  <c r="AI2163" i="8"/>
  <c r="AJ2163" i="8"/>
  <c r="AI2164" i="8"/>
  <c r="AJ2164" i="8"/>
  <c r="AI2165" i="8"/>
  <c r="AJ2165" i="8"/>
  <c r="AI2166" i="8"/>
  <c r="AJ2166" i="8"/>
  <c r="AI2167" i="8"/>
  <c r="AJ2167" i="8"/>
  <c r="AI2168" i="8"/>
  <c r="AJ2168" i="8"/>
  <c r="AI2169" i="8"/>
  <c r="AJ2169" i="8"/>
  <c r="AI2170" i="8"/>
  <c r="AJ2170" i="8"/>
  <c r="AI2171" i="8"/>
  <c r="AJ2171" i="8"/>
  <c r="AI2172" i="8"/>
  <c r="AJ2172" i="8"/>
  <c r="AI2173" i="8"/>
  <c r="AJ2173" i="8"/>
  <c r="AI2174" i="8"/>
  <c r="AJ2174" i="8"/>
  <c r="AI2175" i="8"/>
  <c r="AJ2175" i="8"/>
  <c r="AI2176" i="8"/>
  <c r="AJ2176" i="8"/>
  <c r="AI2177" i="8"/>
  <c r="AJ2177" i="8"/>
  <c r="AI2178" i="8"/>
  <c r="AJ2178" i="8"/>
  <c r="AI2179" i="8"/>
  <c r="AJ2179" i="8"/>
  <c r="AI2180" i="8"/>
  <c r="AJ2180" i="8"/>
  <c r="AI2181" i="8"/>
  <c r="AJ2181" i="8"/>
  <c r="AI2182" i="8"/>
  <c r="AJ2182" i="8"/>
  <c r="AI2183" i="8"/>
  <c r="AJ2183" i="8"/>
  <c r="AI2184" i="8"/>
  <c r="AJ2184" i="8"/>
  <c r="AI2185" i="8"/>
  <c r="AJ2185" i="8"/>
  <c r="AI2186" i="8"/>
  <c r="AJ2186" i="8"/>
  <c r="AI2187" i="8"/>
  <c r="AJ2187" i="8"/>
  <c r="AI2188" i="8"/>
  <c r="AJ2188" i="8"/>
  <c r="AI2189" i="8"/>
  <c r="AJ2189" i="8"/>
  <c r="AI2190" i="8"/>
  <c r="AJ2190" i="8"/>
  <c r="AI2191" i="8"/>
  <c r="AJ2191" i="8"/>
  <c r="AI2192" i="8"/>
  <c r="AJ2192" i="8"/>
  <c r="AI2193" i="8"/>
  <c r="AJ2193" i="8"/>
  <c r="AI2194" i="8"/>
  <c r="AJ2194" i="8"/>
  <c r="AI2195" i="8"/>
  <c r="AJ2195" i="8"/>
  <c r="AI2196" i="8"/>
  <c r="AJ2196" i="8"/>
  <c r="AI2197" i="8"/>
  <c r="AJ2197" i="8"/>
  <c r="AI2198" i="8"/>
  <c r="AJ2198" i="8"/>
  <c r="AI2199" i="8"/>
  <c r="AJ2199" i="8"/>
  <c r="AI2200" i="8"/>
  <c r="AJ2200" i="8"/>
  <c r="AI2201" i="8"/>
  <c r="AJ2201" i="8"/>
  <c r="AI2202" i="8"/>
  <c r="AJ2202" i="8"/>
  <c r="AI2203" i="8"/>
  <c r="AJ2203" i="8"/>
  <c r="AI2204" i="8"/>
  <c r="AJ2204" i="8"/>
  <c r="AI2205" i="8"/>
  <c r="AJ2205" i="8"/>
  <c r="AI2206" i="8"/>
  <c r="AJ2206" i="8"/>
  <c r="AI2207" i="8"/>
  <c r="AJ2207" i="8"/>
  <c r="AI2208" i="8"/>
  <c r="AJ2208" i="8"/>
  <c r="AI2209" i="8"/>
  <c r="AJ2209" i="8"/>
  <c r="AI2210" i="8"/>
  <c r="AJ2210" i="8"/>
  <c r="AI2211" i="8"/>
  <c r="AJ2211" i="8"/>
  <c r="AI2212" i="8"/>
  <c r="AJ2212" i="8"/>
  <c r="AI2213" i="8"/>
  <c r="AJ2213" i="8"/>
  <c r="AI2214" i="8"/>
  <c r="AJ2214" i="8"/>
  <c r="AI2215" i="8"/>
  <c r="AJ2215" i="8"/>
  <c r="AI2216" i="8"/>
  <c r="AJ2216" i="8"/>
  <c r="AI2217" i="8"/>
  <c r="AJ2217" i="8"/>
  <c r="AI2218" i="8"/>
  <c r="AJ2218" i="8"/>
  <c r="AI2219" i="8"/>
  <c r="AJ2219" i="8"/>
  <c r="AI2220" i="8"/>
  <c r="AJ2220" i="8"/>
  <c r="AI2221" i="8"/>
  <c r="AJ2221" i="8"/>
  <c r="AI2222" i="8"/>
  <c r="AJ2222" i="8"/>
  <c r="AI2223" i="8"/>
  <c r="AJ2223" i="8"/>
  <c r="AI2224" i="8"/>
  <c r="AJ2224" i="8"/>
  <c r="AI2225" i="8"/>
  <c r="AJ2225" i="8"/>
  <c r="AI2226" i="8"/>
  <c r="AJ2226" i="8"/>
  <c r="AI2227" i="8"/>
  <c r="AJ2227" i="8"/>
  <c r="AI2228" i="8"/>
  <c r="AJ2228" i="8"/>
  <c r="AI2229" i="8"/>
  <c r="AJ2229" i="8"/>
  <c r="AI2230" i="8"/>
  <c r="AJ2230" i="8"/>
  <c r="AI2231" i="8"/>
  <c r="AJ2231" i="8"/>
  <c r="AI2232" i="8"/>
  <c r="AJ2232" i="8"/>
  <c r="AI2233" i="8"/>
  <c r="AJ2233" i="8"/>
  <c r="AI2234" i="8"/>
  <c r="AJ2234" i="8"/>
  <c r="AI2235" i="8"/>
  <c r="AJ2235" i="8"/>
  <c r="AI2236" i="8"/>
  <c r="AJ2236" i="8"/>
  <c r="AI2237" i="8"/>
  <c r="AJ2237" i="8"/>
  <c r="AI2238" i="8"/>
  <c r="AJ2238" i="8"/>
  <c r="AI2239" i="8"/>
  <c r="AJ2239" i="8"/>
  <c r="AI2240" i="8"/>
  <c r="AJ2240" i="8"/>
  <c r="AI2241" i="8"/>
  <c r="AJ2241" i="8"/>
  <c r="AI2242" i="8"/>
  <c r="AJ2242" i="8"/>
  <c r="AI2243" i="8"/>
  <c r="AJ2243" i="8"/>
  <c r="AI2244" i="8"/>
  <c r="AJ2244" i="8"/>
  <c r="AI2245" i="8"/>
  <c r="AJ2245" i="8"/>
  <c r="AI2246" i="8"/>
  <c r="AJ2246" i="8"/>
  <c r="AI2247" i="8"/>
  <c r="AJ2247" i="8"/>
  <c r="AI2248" i="8"/>
  <c r="AJ2248" i="8"/>
  <c r="AI2249" i="8"/>
  <c r="AJ2249" i="8"/>
  <c r="AI2250" i="8"/>
  <c r="AJ2250" i="8"/>
  <c r="AI2251" i="8"/>
  <c r="AJ2251" i="8"/>
  <c r="AI2252" i="8"/>
  <c r="AJ2252" i="8"/>
  <c r="AI2253" i="8"/>
  <c r="AJ2253" i="8"/>
  <c r="AI2254" i="8"/>
  <c r="AJ2254" i="8"/>
  <c r="AI2255" i="8"/>
  <c r="AJ2255" i="8"/>
  <c r="AI2256" i="8"/>
  <c r="AJ2256" i="8"/>
  <c r="AI2257" i="8"/>
  <c r="AJ2257" i="8"/>
  <c r="AI2258" i="8"/>
  <c r="AJ2258" i="8"/>
  <c r="AI2259" i="8"/>
  <c r="AJ2259" i="8"/>
  <c r="AI2260" i="8"/>
  <c r="AJ2260" i="8"/>
  <c r="AI2261" i="8"/>
  <c r="AJ2261" i="8"/>
  <c r="AI2262" i="8"/>
  <c r="AJ2262" i="8"/>
  <c r="AI2263" i="8"/>
  <c r="AJ2263" i="8"/>
  <c r="AI2264" i="8"/>
  <c r="AJ2264" i="8"/>
  <c r="AI2265" i="8"/>
  <c r="AJ2265" i="8"/>
  <c r="AI2266" i="8"/>
  <c r="AJ2266" i="8"/>
  <c r="AI2267" i="8"/>
  <c r="AJ2267" i="8"/>
  <c r="AI2268" i="8"/>
  <c r="AJ2268" i="8"/>
  <c r="AI2269" i="8"/>
  <c r="AJ2269" i="8"/>
  <c r="AI2270" i="8"/>
  <c r="AJ2270" i="8"/>
  <c r="AI2271" i="8"/>
  <c r="AJ2271" i="8"/>
  <c r="AI2272" i="8"/>
  <c r="AJ2272" i="8"/>
  <c r="AI2273" i="8"/>
  <c r="AJ2273" i="8"/>
  <c r="AI2274" i="8"/>
  <c r="AJ2274" i="8"/>
  <c r="AI2275" i="8"/>
  <c r="AJ2275" i="8"/>
  <c r="AI2276" i="8"/>
  <c r="AJ2276" i="8"/>
  <c r="AI2277" i="8"/>
  <c r="AJ2277" i="8"/>
  <c r="AI2278" i="8"/>
  <c r="AJ2278" i="8"/>
  <c r="AI2279" i="8"/>
  <c r="AJ2279" i="8"/>
  <c r="AI2280" i="8"/>
  <c r="AJ2280" i="8"/>
  <c r="AI2281" i="8"/>
  <c r="AJ2281" i="8"/>
  <c r="AI2282" i="8"/>
  <c r="AJ2282" i="8"/>
  <c r="AI2283" i="8"/>
  <c r="AJ2283" i="8"/>
  <c r="AI2284" i="8"/>
  <c r="AJ2284" i="8"/>
  <c r="AI2285" i="8"/>
  <c r="AJ2285" i="8"/>
  <c r="AI2286" i="8"/>
  <c r="AJ2286" i="8"/>
  <c r="AI2287" i="8"/>
  <c r="AJ2287" i="8"/>
  <c r="AI2288" i="8"/>
  <c r="AJ2288" i="8"/>
  <c r="AI2289" i="8"/>
  <c r="AJ2289" i="8"/>
  <c r="AI2290" i="8"/>
  <c r="AJ2290" i="8"/>
  <c r="AI2291" i="8"/>
  <c r="AJ2291" i="8"/>
  <c r="AI2292" i="8"/>
  <c r="AJ2292" i="8"/>
  <c r="AI2293" i="8"/>
  <c r="AJ2293" i="8"/>
  <c r="AI2294" i="8"/>
  <c r="AJ2294" i="8"/>
  <c r="AI2295" i="8"/>
  <c r="AJ2295" i="8"/>
  <c r="AI2296" i="8"/>
  <c r="AJ2296" i="8"/>
  <c r="AI2297" i="8"/>
  <c r="AJ2297" i="8"/>
  <c r="AI2298" i="8"/>
  <c r="AJ2298" i="8"/>
  <c r="AI2299" i="8"/>
  <c r="AJ2299" i="8"/>
  <c r="AI2300" i="8"/>
  <c r="AJ2300" i="8"/>
  <c r="AI2301" i="8"/>
  <c r="AJ2301" i="8"/>
  <c r="AI2302" i="8"/>
  <c r="AJ2302" i="8"/>
  <c r="AI2303" i="8"/>
  <c r="AJ2303" i="8"/>
  <c r="AI2304" i="8"/>
  <c r="AJ2304" i="8"/>
  <c r="AI2305" i="8"/>
  <c r="AJ2305" i="8"/>
  <c r="AI2306" i="8"/>
  <c r="AJ2306" i="8"/>
  <c r="AI2307" i="8"/>
  <c r="AJ2307" i="8"/>
  <c r="AI2308" i="8"/>
  <c r="AJ2308" i="8"/>
  <c r="AI2309" i="8"/>
  <c r="AJ2309" i="8"/>
  <c r="AI2310" i="8"/>
  <c r="AJ2310" i="8"/>
  <c r="AI2311" i="8"/>
  <c r="AJ2311" i="8"/>
  <c r="AI2312" i="8"/>
  <c r="AJ2312" i="8"/>
  <c r="AI2313" i="8"/>
  <c r="AJ2313" i="8"/>
  <c r="AI2314" i="8"/>
  <c r="AJ2314" i="8"/>
  <c r="AI2315" i="8"/>
  <c r="AJ2315" i="8"/>
  <c r="AI2316" i="8"/>
  <c r="AJ2316" i="8"/>
  <c r="AI2317" i="8"/>
  <c r="AJ2317" i="8"/>
  <c r="AI2318" i="8"/>
  <c r="AJ2318" i="8"/>
  <c r="AI2319" i="8"/>
  <c r="AJ2319" i="8"/>
  <c r="AI2320" i="8"/>
  <c r="AJ2320" i="8"/>
  <c r="AI2321" i="8"/>
  <c r="AJ2321" i="8"/>
  <c r="AI2322" i="8"/>
  <c r="AJ2322" i="8"/>
  <c r="AI2323" i="8"/>
  <c r="AJ2323" i="8"/>
  <c r="AI2324" i="8"/>
  <c r="AJ2324" i="8"/>
  <c r="AI2325" i="8"/>
  <c r="AJ2325" i="8"/>
  <c r="AI2326" i="8"/>
  <c r="AJ2326" i="8"/>
  <c r="AI2327" i="8"/>
  <c r="AJ2327" i="8"/>
  <c r="AI2328" i="8"/>
  <c r="AJ2328" i="8"/>
  <c r="AI2329" i="8"/>
  <c r="AJ2329" i="8"/>
  <c r="AI2330" i="8"/>
  <c r="AJ2330" i="8"/>
  <c r="AI2331" i="8"/>
  <c r="AJ2331" i="8"/>
  <c r="AI2332" i="8"/>
  <c r="AJ2332" i="8"/>
  <c r="AI2333" i="8"/>
  <c r="AJ2333" i="8"/>
  <c r="AI2334" i="8"/>
  <c r="AJ2334" i="8"/>
  <c r="AI2335" i="8"/>
  <c r="AJ2335" i="8"/>
  <c r="AI2336" i="8"/>
  <c r="AJ2336" i="8"/>
  <c r="AI2337" i="8"/>
  <c r="AJ2337" i="8"/>
  <c r="AI2338" i="8"/>
  <c r="AJ2338" i="8"/>
  <c r="AI2339" i="8"/>
  <c r="AJ2339" i="8"/>
  <c r="AI2340" i="8"/>
  <c r="AJ2340" i="8"/>
  <c r="AI2341" i="8"/>
  <c r="AJ2341" i="8"/>
  <c r="AI2342" i="8"/>
  <c r="AJ2342" i="8"/>
  <c r="AI2343" i="8"/>
  <c r="AJ2343" i="8"/>
  <c r="AI2344" i="8"/>
  <c r="AJ2344" i="8"/>
  <c r="AI2345" i="8"/>
  <c r="AJ2345" i="8"/>
  <c r="AI2346" i="8"/>
  <c r="AJ2346" i="8"/>
  <c r="AI2347" i="8"/>
  <c r="AJ2347" i="8"/>
  <c r="AI2348" i="8"/>
  <c r="AJ2348" i="8"/>
  <c r="AI2349" i="8"/>
  <c r="AJ2349" i="8"/>
  <c r="AI2350" i="8"/>
  <c r="AJ2350" i="8"/>
  <c r="AI2351" i="8"/>
  <c r="AJ2351" i="8"/>
  <c r="AI2352" i="8"/>
  <c r="AJ2352" i="8"/>
  <c r="AI2353" i="8"/>
  <c r="AJ2353" i="8"/>
  <c r="AI2354" i="8"/>
  <c r="AJ2354" i="8"/>
  <c r="AI2355" i="8"/>
  <c r="AJ2355" i="8"/>
  <c r="AI2356" i="8"/>
  <c r="AJ2356" i="8"/>
  <c r="AI2357" i="8"/>
  <c r="AJ2357" i="8"/>
  <c r="AI2358" i="8"/>
  <c r="AJ2358" i="8"/>
  <c r="AI2359" i="8"/>
  <c r="AJ2359" i="8"/>
  <c r="AI2360" i="8"/>
  <c r="AJ2360" i="8"/>
  <c r="AI2361" i="8"/>
  <c r="AJ2361" i="8"/>
  <c r="AI2362" i="8"/>
  <c r="AJ2362" i="8"/>
  <c r="AI2363" i="8"/>
  <c r="AJ2363" i="8"/>
  <c r="AI2364" i="8"/>
  <c r="AJ2364" i="8"/>
  <c r="AI2365" i="8"/>
  <c r="AJ2365" i="8"/>
  <c r="AI2366" i="8"/>
  <c r="AJ2366" i="8"/>
  <c r="AI2367" i="8"/>
  <c r="AJ2367" i="8"/>
  <c r="AI2368" i="8"/>
  <c r="AJ2368" i="8"/>
  <c r="AI2369" i="8"/>
  <c r="AJ2369" i="8"/>
  <c r="AI2370" i="8"/>
  <c r="AJ2370" i="8"/>
  <c r="AI2371" i="8"/>
  <c r="AJ2371" i="8"/>
  <c r="AI2372" i="8"/>
  <c r="AJ2372" i="8"/>
  <c r="AI2373" i="8"/>
  <c r="AJ2373" i="8"/>
  <c r="AI2374" i="8"/>
  <c r="AJ2374" i="8"/>
  <c r="AI2375" i="8"/>
  <c r="AJ2375" i="8"/>
  <c r="AI2376" i="8"/>
  <c r="AJ2376" i="8"/>
  <c r="AI2377" i="8"/>
  <c r="AJ2377" i="8"/>
  <c r="AI2378" i="8"/>
  <c r="AJ2378" i="8"/>
  <c r="AI2379" i="8"/>
  <c r="AJ2379" i="8"/>
  <c r="AI2380" i="8"/>
  <c r="AJ2380" i="8"/>
  <c r="AI2381" i="8"/>
  <c r="AJ2381" i="8"/>
  <c r="AI2382" i="8"/>
  <c r="AJ2382" i="8"/>
  <c r="AI2383" i="8"/>
  <c r="AJ2383" i="8"/>
  <c r="AI2384" i="8"/>
  <c r="AJ2384" i="8"/>
  <c r="AI2385" i="8"/>
  <c r="AJ2385" i="8"/>
  <c r="AI2386" i="8"/>
  <c r="AJ2386" i="8"/>
  <c r="AI2387" i="8"/>
  <c r="AJ2387" i="8"/>
  <c r="AI2388" i="8"/>
  <c r="AJ2388" i="8"/>
  <c r="AI2389" i="8"/>
  <c r="AJ2389" i="8"/>
  <c r="AI2390" i="8"/>
  <c r="AJ2390" i="8"/>
  <c r="AI2391" i="8"/>
  <c r="AJ2391" i="8"/>
  <c r="AI2392" i="8"/>
  <c r="AJ2392" i="8"/>
  <c r="AI2393" i="8"/>
  <c r="AJ2393" i="8"/>
  <c r="AI2394" i="8"/>
  <c r="AJ2394" i="8"/>
  <c r="AI2395" i="8"/>
  <c r="AJ2395" i="8"/>
  <c r="AI2396" i="8"/>
  <c r="AJ2396" i="8"/>
  <c r="AI2397" i="8"/>
  <c r="AJ2397" i="8"/>
  <c r="AI2398" i="8"/>
  <c r="AJ2398" i="8"/>
  <c r="AI2399" i="8"/>
  <c r="AJ2399" i="8"/>
  <c r="AI2400" i="8"/>
  <c r="AJ2400" i="8"/>
  <c r="AI2401" i="8"/>
  <c r="AJ2401" i="8"/>
  <c r="AI2402" i="8"/>
  <c r="AJ2402" i="8"/>
  <c r="AI2403" i="8"/>
  <c r="AJ2403" i="8"/>
  <c r="AI2404" i="8"/>
  <c r="AJ2404" i="8"/>
  <c r="AI2405" i="8"/>
  <c r="AJ2405" i="8"/>
  <c r="AI2406" i="8"/>
  <c r="AJ2406" i="8"/>
  <c r="AI2407" i="8"/>
  <c r="AJ2407" i="8"/>
  <c r="AI2408" i="8"/>
  <c r="AJ2408" i="8"/>
  <c r="AI2409" i="8"/>
  <c r="AJ2409" i="8"/>
  <c r="AI2410" i="8"/>
  <c r="AJ2410" i="8"/>
  <c r="AI2411" i="8"/>
  <c r="AJ2411" i="8"/>
  <c r="AI2412" i="8"/>
  <c r="AJ2412" i="8"/>
  <c r="AI2413" i="8"/>
  <c r="AJ2413" i="8"/>
  <c r="AI2414" i="8"/>
  <c r="AJ2414" i="8"/>
  <c r="AI2415" i="8"/>
  <c r="AJ2415" i="8"/>
  <c r="AI2416" i="8"/>
  <c r="AJ2416" i="8"/>
  <c r="AI2417" i="8"/>
  <c r="AJ2417" i="8"/>
  <c r="AI2418" i="8"/>
  <c r="AJ2418" i="8"/>
  <c r="AI2419" i="8"/>
  <c r="AJ2419" i="8"/>
  <c r="AI2420" i="8"/>
  <c r="AJ2420" i="8"/>
  <c r="AI2421" i="8"/>
  <c r="AJ2421" i="8"/>
  <c r="AI2422" i="8"/>
  <c r="AJ2422" i="8"/>
  <c r="AI2423" i="8"/>
  <c r="AJ2423" i="8"/>
  <c r="AI2424" i="8"/>
  <c r="AJ2424" i="8"/>
  <c r="AI2425" i="8"/>
  <c r="AJ2425" i="8"/>
  <c r="AI2426" i="8"/>
  <c r="AJ2426" i="8"/>
  <c r="AI2427" i="8"/>
  <c r="AJ2427" i="8"/>
  <c r="AI2428" i="8"/>
  <c r="AJ2428" i="8"/>
  <c r="AI2429" i="8"/>
  <c r="AJ2429" i="8"/>
  <c r="AI2430" i="8"/>
  <c r="AJ2430" i="8"/>
  <c r="AI2431" i="8"/>
  <c r="AJ2431" i="8"/>
  <c r="AI2432" i="8"/>
  <c r="AJ2432" i="8"/>
  <c r="AI2433" i="8"/>
  <c r="AJ2433" i="8"/>
  <c r="AI2434" i="8"/>
  <c r="AJ2434" i="8"/>
  <c r="AI2435" i="8"/>
  <c r="AJ2435" i="8"/>
  <c r="AI2436" i="8"/>
  <c r="AJ2436" i="8"/>
  <c r="AI2437" i="8"/>
  <c r="AJ2437" i="8"/>
  <c r="AI2438" i="8"/>
  <c r="AJ2438" i="8"/>
  <c r="AI2439" i="8"/>
  <c r="AJ2439" i="8"/>
  <c r="AI2440" i="8"/>
  <c r="AJ2440" i="8"/>
  <c r="AI2441" i="8"/>
  <c r="AJ2441" i="8"/>
  <c r="AI2442" i="8"/>
  <c r="AJ2442" i="8"/>
  <c r="AI2443" i="8"/>
  <c r="AJ2443" i="8"/>
  <c r="AI2444" i="8"/>
  <c r="AJ2444" i="8"/>
  <c r="AI2445" i="8"/>
  <c r="AJ2445" i="8"/>
  <c r="AI2446" i="8"/>
  <c r="AJ2446" i="8"/>
  <c r="AI2447" i="8"/>
  <c r="AJ2447" i="8"/>
  <c r="AI2448" i="8"/>
  <c r="AJ2448" i="8"/>
  <c r="AI2449" i="8"/>
  <c r="AJ2449" i="8"/>
  <c r="AI2450" i="8"/>
  <c r="AJ2450" i="8"/>
  <c r="AI2451" i="8"/>
  <c r="AJ2451" i="8"/>
  <c r="AI2452" i="8"/>
  <c r="AJ2452" i="8"/>
  <c r="AI2453" i="8"/>
  <c r="AJ2453" i="8"/>
  <c r="AI2454" i="8"/>
  <c r="AJ2454" i="8"/>
  <c r="AI2455" i="8"/>
  <c r="AJ2455" i="8"/>
  <c r="AI2456" i="8"/>
  <c r="AJ2456" i="8"/>
  <c r="AI2457" i="8"/>
  <c r="AJ2457" i="8"/>
  <c r="AI2458" i="8"/>
  <c r="AJ2458" i="8"/>
  <c r="AI2459" i="8"/>
  <c r="AJ2459" i="8"/>
  <c r="AI2460" i="8"/>
  <c r="AJ2460" i="8"/>
  <c r="AI2461" i="8"/>
  <c r="AJ2461" i="8"/>
  <c r="AI2462" i="8"/>
  <c r="AJ2462" i="8"/>
  <c r="AI2463" i="8"/>
  <c r="AJ2463" i="8"/>
  <c r="AI2464" i="8"/>
  <c r="AJ2464" i="8"/>
  <c r="AI2465" i="8"/>
  <c r="AJ2465" i="8"/>
  <c r="AI2466" i="8"/>
  <c r="AJ2466" i="8"/>
  <c r="AI2467" i="8"/>
  <c r="AJ2467" i="8"/>
  <c r="AI2468" i="8"/>
  <c r="AJ2468" i="8"/>
  <c r="AI2469" i="8"/>
  <c r="AJ2469" i="8"/>
  <c r="AI2470" i="8"/>
  <c r="AJ2470" i="8"/>
  <c r="AI2471" i="8"/>
  <c r="AJ2471" i="8"/>
  <c r="AI2472" i="8"/>
  <c r="AJ2472" i="8"/>
  <c r="AI2473" i="8"/>
  <c r="AJ2473" i="8"/>
  <c r="AI2474" i="8"/>
  <c r="AJ2474" i="8"/>
  <c r="AI2475" i="8"/>
  <c r="AJ2475" i="8"/>
  <c r="AI2476" i="8"/>
  <c r="AJ2476" i="8"/>
  <c r="AI2477" i="8"/>
  <c r="AJ2477" i="8"/>
  <c r="AI2478" i="8"/>
  <c r="AJ2478" i="8"/>
  <c r="AI2479" i="8"/>
  <c r="AJ2479" i="8"/>
  <c r="AI2480" i="8"/>
  <c r="AJ2480" i="8"/>
  <c r="AI2481" i="8"/>
  <c r="AJ2481" i="8"/>
  <c r="AI2482" i="8"/>
  <c r="AJ2482" i="8"/>
  <c r="AI2483" i="8"/>
  <c r="AJ2483" i="8"/>
  <c r="AI2484" i="8"/>
  <c r="AJ2484" i="8"/>
  <c r="AI2485" i="8"/>
  <c r="AJ2485" i="8"/>
  <c r="AI2486" i="8"/>
  <c r="AJ2486" i="8"/>
  <c r="AI2487" i="8"/>
  <c r="AJ2487" i="8"/>
  <c r="AI2488" i="8"/>
  <c r="AJ2488" i="8"/>
  <c r="AI2489" i="8"/>
  <c r="AJ2489" i="8"/>
  <c r="AI2490" i="8"/>
  <c r="AJ2490" i="8"/>
  <c r="AI2491" i="8"/>
  <c r="AJ2491" i="8"/>
  <c r="AI2492" i="8"/>
  <c r="AJ2492" i="8"/>
  <c r="AI2493" i="8"/>
  <c r="AJ2493" i="8"/>
  <c r="AI2494" i="8"/>
  <c r="AJ2494" i="8"/>
  <c r="AI2495" i="8"/>
  <c r="AJ2495" i="8"/>
  <c r="AI2496" i="8"/>
  <c r="AJ2496" i="8"/>
  <c r="AI2497" i="8"/>
  <c r="AJ2497" i="8"/>
  <c r="AI2498" i="8"/>
  <c r="AJ2498" i="8"/>
  <c r="AI2499" i="8"/>
  <c r="AJ2499" i="8"/>
  <c r="AI2500" i="8"/>
  <c r="AJ2500" i="8"/>
  <c r="AI2501" i="8"/>
  <c r="AJ2501" i="8"/>
  <c r="AI2502" i="8"/>
  <c r="AJ2502" i="8"/>
  <c r="AI2503" i="8"/>
  <c r="AJ2503" i="8"/>
  <c r="AI2504" i="8"/>
  <c r="AJ2504" i="8"/>
  <c r="AI2505" i="8"/>
  <c r="AJ2505" i="8"/>
  <c r="AI2506" i="8"/>
  <c r="AJ2506" i="8"/>
  <c r="AI2507" i="8"/>
  <c r="AJ2507" i="8"/>
  <c r="AI2508" i="8"/>
  <c r="AJ2508" i="8"/>
  <c r="AI2509" i="8"/>
  <c r="AJ2509" i="8"/>
  <c r="AI2510" i="8"/>
  <c r="AJ2510" i="8"/>
  <c r="AI2511" i="8"/>
  <c r="AJ2511" i="8"/>
  <c r="AI2512" i="8"/>
  <c r="AJ2512" i="8"/>
  <c r="AI2513" i="8"/>
  <c r="AJ2513" i="8"/>
  <c r="AI2514" i="8"/>
  <c r="AJ2514" i="8"/>
  <c r="AI2515" i="8"/>
  <c r="AJ2515" i="8"/>
  <c r="AI2516" i="8"/>
  <c r="AJ2516" i="8"/>
  <c r="AI2517" i="8"/>
  <c r="AJ2517" i="8"/>
  <c r="AI2518" i="8"/>
  <c r="AJ2518" i="8"/>
  <c r="AI2519" i="8"/>
  <c r="AJ2519" i="8"/>
  <c r="AI2520" i="8"/>
  <c r="AJ2520" i="8"/>
  <c r="AI2521" i="8"/>
  <c r="AJ2521" i="8"/>
  <c r="AI2522" i="8"/>
  <c r="AJ2522" i="8"/>
  <c r="AI2523" i="8"/>
  <c r="AJ2523" i="8"/>
  <c r="AI2524" i="8"/>
  <c r="AJ2524" i="8"/>
  <c r="AI2525" i="8"/>
  <c r="AJ2525" i="8"/>
  <c r="AI2526" i="8"/>
  <c r="AJ2526" i="8"/>
  <c r="AI2527" i="8"/>
  <c r="AJ2527" i="8"/>
  <c r="AI2528" i="8"/>
  <c r="AJ2528" i="8"/>
  <c r="AI2529" i="8"/>
  <c r="AJ2529" i="8"/>
  <c r="AI2530" i="8"/>
  <c r="AJ2530" i="8"/>
  <c r="AI2531" i="8"/>
  <c r="AJ2531" i="8"/>
  <c r="AI2532" i="8"/>
  <c r="AJ2532" i="8"/>
  <c r="AI2533" i="8"/>
  <c r="AJ2533" i="8"/>
  <c r="AI2534" i="8"/>
  <c r="AJ2534" i="8"/>
  <c r="AI2535" i="8"/>
  <c r="AJ2535" i="8"/>
  <c r="AI2536" i="8"/>
  <c r="AJ2536" i="8"/>
  <c r="AI2537" i="8"/>
  <c r="AJ2537" i="8"/>
  <c r="AI2538" i="8"/>
  <c r="AJ2538" i="8"/>
  <c r="AI2539" i="8"/>
  <c r="AJ2539" i="8"/>
  <c r="AI2540" i="8"/>
  <c r="AJ2540" i="8"/>
  <c r="AI2541" i="8"/>
  <c r="AJ2541" i="8"/>
  <c r="AI2542" i="8"/>
  <c r="AJ2542" i="8"/>
  <c r="AI2543" i="8"/>
  <c r="AJ2543" i="8"/>
  <c r="AI2544" i="8"/>
  <c r="AJ2544" i="8"/>
  <c r="AI2545" i="8"/>
  <c r="AJ2545" i="8"/>
  <c r="AI2546" i="8"/>
  <c r="AJ2546" i="8"/>
  <c r="AI2547" i="8"/>
  <c r="AJ2547" i="8"/>
  <c r="AI2548" i="8"/>
  <c r="AJ2548" i="8"/>
  <c r="AI2549" i="8"/>
  <c r="AJ2549" i="8"/>
  <c r="AI2550" i="8"/>
  <c r="AJ2550" i="8"/>
  <c r="AI2551" i="8"/>
  <c r="AJ2551" i="8"/>
  <c r="AI2552" i="8"/>
  <c r="AJ2552" i="8"/>
  <c r="AI2553" i="8"/>
  <c r="AJ2553" i="8"/>
  <c r="AI2554" i="8"/>
  <c r="AJ2554" i="8"/>
  <c r="AI2555" i="8"/>
  <c r="AJ2555" i="8"/>
  <c r="AI2556" i="8"/>
  <c r="AJ2556" i="8"/>
  <c r="AI2557" i="8"/>
  <c r="AJ2557" i="8"/>
  <c r="AI2558" i="8"/>
  <c r="AJ2558" i="8"/>
  <c r="AI2559" i="8"/>
  <c r="AJ2559" i="8"/>
  <c r="AI2560" i="8"/>
  <c r="AJ2560" i="8"/>
  <c r="AI2561" i="8"/>
  <c r="AJ2561" i="8"/>
  <c r="AI2562" i="8"/>
  <c r="AJ2562" i="8"/>
  <c r="AI2563" i="8"/>
  <c r="AJ2563" i="8"/>
  <c r="AI2564" i="8"/>
  <c r="AJ2564" i="8"/>
  <c r="AI2565" i="8"/>
  <c r="AJ2565" i="8"/>
  <c r="AI2566" i="8"/>
  <c r="AJ2566" i="8"/>
  <c r="AI2567" i="8"/>
  <c r="AJ2567" i="8"/>
  <c r="AI2568" i="8"/>
  <c r="AJ2568" i="8"/>
  <c r="AI2569" i="8"/>
  <c r="AJ2569" i="8"/>
  <c r="AI2570" i="8"/>
  <c r="AJ2570" i="8"/>
  <c r="AI2571" i="8"/>
  <c r="AJ2571" i="8"/>
  <c r="AI2572" i="8"/>
  <c r="AJ2572" i="8"/>
  <c r="AI2573" i="8"/>
  <c r="AJ2573" i="8"/>
  <c r="AI2574" i="8"/>
  <c r="AJ2574" i="8"/>
  <c r="AI2575" i="8"/>
  <c r="AJ2575" i="8"/>
  <c r="AI2576" i="8"/>
  <c r="AJ2576" i="8"/>
  <c r="AI2577" i="8"/>
  <c r="AJ2577" i="8"/>
  <c r="AI2578" i="8"/>
  <c r="AJ2578" i="8"/>
  <c r="AI2579" i="8"/>
  <c r="AJ2579" i="8"/>
  <c r="AI2580" i="8"/>
  <c r="AJ2580" i="8"/>
  <c r="AI2581" i="8"/>
  <c r="AJ2581" i="8"/>
  <c r="AI2582" i="8"/>
  <c r="AJ2582" i="8"/>
  <c r="AI2583" i="8"/>
  <c r="AJ2583" i="8"/>
  <c r="AI2584" i="8"/>
  <c r="AJ2584" i="8"/>
  <c r="AI2585" i="8"/>
  <c r="AJ2585" i="8"/>
  <c r="AI2586" i="8"/>
  <c r="AJ2586" i="8"/>
  <c r="AI2587" i="8"/>
  <c r="AJ2587" i="8"/>
  <c r="AI2588" i="8"/>
  <c r="AJ2588" i="8"/>
  <c r="AI2589" i="8"/>
  <c r="AJ2589" i="8"/>
  <c r="AI2590" i="8"/>
  <c r="AJ2590" i="8"/>
  <c r="AI2591" i="8"/>
  <c r="AJ2591" i="8"/>
  <c r="AI2592" i="8"/>
  <c r="AJ2592" i="8"/>
  <c r="AI2593" i="8"/>
  <c r="AJ2593" i="8"/>
  <c r="AI2594" i="8"/>
  <c r="AJ2594" i="8"/>
  <c r="AI2595" i="8"/>
  <c r="AJ2595" i="8"/>
  <c r="AI2596" i="8"/>
  <c r="AJ2596" i="8"/>
  <c r="AI2597" i="8"/>
  <c r="AJ2597" i="8"/>
  <c r="AI2598" i="8"/>
  <c r="AJ2598" i="8"/>
  <c r="AI2599" i="8"/>
  <c r="AJ2599" i="8"/>
  <c r="AI2600" i="8"/>
  <c r="AJ2600" i="8"/>
  <c r="AI2601" i="8"/>
  <c r="AJ2601" i="8"/>
  <c r="AI2602" i="8"/>
  <c r="AJ2602" i="8"/>
  <c r="AI2603" i="8"/>
  <c r="AJ2603" i="8"/>
  <c r="AI2604" i="8"/>
  <c r="AJ2604" i="8"/>
  <c r="AI2605" i="8"/>
  <c r="AJ2605" i="8"/>
  <c r="AI2606" i="8"/>
  <c r="AJ2606" i="8"/>
  <c r="AI2607" i="8"/>
  <c r="AJ2607" i="8"/>
  <c r="AI2608" i="8"/>
  <c r="AJ2608" i="8"/>
  <c r="AI2609" i="8"/>
  <c r="AJ2609" i="8"/>
  <c r="AI2610" i="8"/>
  <c r="AJ2610" i="8"/>
  <c r="AI2611" i="8"/>
  <c r="AJ2611" i="8"/>
  <c r="AI2612" i="8"/>
  <c r="AJ2612" i="8"/>
  <c r="AI2613" i="8"/>
  <c r="AJ2613" i="8"/>
  <c r="AI2614" i="8"/>
  <c r="AJ2614" i="8"/>
  <c r="AI2615" i="8"/>
  <c r="AJ2615" i="8"/>
  <c r="AI2616" i="8"/>
  <c r="AJ2616" i="8"/>
  <c r="AI2617" i="8"/>
  <c r="AJ2617" i="8"/>
  <c r="AI2618" i="8"/>
  <c r="AJ2618" i="8"/>
  <c r="AI2619" i="8"/>
  <c r="AJ2619" i="8"/>
  <c r="AI2620" i="8"/>
  <c r="AJ2620" i="8"/>
  <c r="AI2621" i="8"/>
  <c r="AJ2621" i="8"/>
  <c r="AI2622" i="8"/>
  <c r="AJ2622" i="8"/>
  <c r="AI2623" i="8"/>
  <c r="AJ2623" i="8"/>
  <c r="AI2624" i="8"/>
  <c r="AJ2624" i="8"/>
  <c r="AI2625" i="8"/>
  <c r="AJ2625" i="8"/>
  <c r="AI2626" i="8"/>
  <c r="AJ2626" i="8"/>
  <c r="AI2627" i="8"/>
  <c r="AJ2627" i="8"/>
  <c r="AI2628" i="8"/>
  <c r="AJ2628" i="8"/>
  <c r="AI2629" i="8"/>
  <c r="AJ2629" i="8"/>
  <c r="AI2630" i="8"/>
  <c r="AJ2630" i="8"/>
  <c r="AI2631" i="8"/>
  <c r="AJ2631" i="8"/>
  <c r="AI2632" i="8"/>
  <c r="AJ2632" i="8"/>
  <c r="AI2633" i="8"/>
  <c r="AJ2633" i="8"/>
  <c r="AI2634" i="8"/>
  <c r="AJ2634" i="8"/>
  <c r="AI2635" i="8"/>
  <c r="AJ2635" i="8"/>
  <c r="AI2636" i="8"/>
  <c r="AJ2636" i="8"/>
  <c r="AI2637" i="8"/>
  <c r="AJ2637" i="8"/>
  <c r="AI2638" i="8"/>
  <c r="AJ2638" i="8"/>
  <c r="AI2639" i="8"/>
  <c r="AJ2639" i="8"/>
  <c r="AI2640" i="8"/>
  <c r="AJ2640" i="8"/>
  <c r="AI2641" i="8"/>
  <c r="AJ2641" i="8"/>
  <c r="AI2642" i="8"/>
  <c r="AJ2642" i="8"/>
  <c r="AI2643" i="8"/>
  <c r="AJ2643" i="8"/>
  <c r="AI2644" i="8"/>
  <c r="AJ2644" i="8"/>
  <c r="AI2645" i="8"/>
  <c r="AJ2645" i="8"/>
  <c r="AI2646" i="8"/>
  <c r="AJ2646" i="8"/>
  <c r="AI2647" i="8"/>
  <c r="AJ2647" i="8"/>
  <c r="AI2648" i="8"/>
  <c r="AJ2648" i="8"/>
  <c r="AI2649" i="8"/>
  <c r="AJ2649" i="8"/>
  <c r="AI2650" i="8"/>
  <c r="AJ2650" i="8"/>
  <c r="AI2651" i="8"/>
  <c r="AJ2651" i="8"/>
  <c r="AI2652" i="8"/>
  <c r="AJ2652" i="8"/>
  <c r="AI2653" i="8"/>
  <c r="AJ2653" i="8"/>
  <c r="AI2654" i="8"/>
  <c r="AJ2654" i="8"/>
  <c r="AI2655" i="8"/>
  <c r="AJ2655" i="8"/>
  <c r="AI2656" i="8"/>
  <c r="AJ2656" i="8"/>
  <c r="AI2657" i="8"/>
  <c r="AJ2657" i="8"/>
  <c r="AI2658" i="8"/>
  <c r="AJ2658" i="8"/>
  <c r="AI2659" i="8"/>
  <c r="AJ2659" i="8"/>
  <c r="AI2660" i="8"/>
  <c r="AJ2660" i="8"/>
  <c r="AI2661" i="8"/>
  <c r="AJ2661" i="8"/>
  <c r="AI2662" i="8"/>
  <c r="AJ2662" i="8"/>
  <c r="AI2663" i="8"/>
  <c r="AJ2663" i="8"/>
  <c r="AI2664" i="8"/>
  <c r="AJ2664" i="8"/>
  <c r="AI2665" i="8"/>
  <c r="AJ2665" i="8"/>
  <c r="AI2666" i="8"/>
  <c r="AJ2666" i="8"/>
  <c r="AI2667" i="8"/>
  <c r="AJ2667" i="8"/>
  <c r="AI2668" i="8"/>
  <c r="AJ2668" i="8"/>
  <c r="AI2669" i="8"/>
  <c r="AJ2669" i="8"/>
  <c r="AI2670" i="8"/>
  <c r="AJ2670" i="8"/>
  <c r="AI2671" i="8"/>
  <c r="AJ2671" i="8"/>
  <c r="AI2672" i="8"/>
  <c r="AJ2672" i="8"/>
  <c r="AI2673" i="8"/>
  <c r="AJ2673" i="8"/>
  <c r="AI2674" i="8"/>
  <c r="AJ2674" i="8"/>
  <c r="AI2675" i="8"/>
  <c r="AJ2675" i="8"/>
  <c r="AI2676" i="8"/>
  <c r="AJ2676" i="8"/>
  <c r="AI2677" i="8"/>
  <c r="AJ2677" i="8"/>
  <c r="AI2678" i="8"/>
  <c r="AJ2678" i="8"/>
  <c r="AI2679" i="8"/>
  <c r="AJ2679" i="8"/>
  <c r="AI2680" i="8"/>
  <c r="AJ2680" i="8"/>
  <c r="AI2681" i="8"/>
  <c r="AJ2681" i="8"/>
  <c r="AI2682" i="8"/>
  <c r="AJ2682" i="8"/>
  <c r="AI2683" i="8"/>
  <c r="AJ2683" i="8"/>
  <c r="AI2684" i="8"/>
  <c r="AJ2684" i="8"/>
  <c r="AI2685" i="8"/>
  <c r="AJ2685" i="8"/>
  <c r="AI2686" i="8"/>
  <c r="AJ2686" i="8"/>
  <c r="AI2687" i="8"/>
  <c r="AJ2687" i="8"/>
  <c r="AI2688" i="8"/>
  <c r="AJ2688" i="8"/>
  <c r="AI2689" i="8"/>
  <c r="AJ2689" i="8"/>
  <c r="AI2690" i="8"/>
  <c r="AJ2690" i="8"/>
  <c r="AI2691" i="8"/>
  <c r="AJ2691" i="8"/>
  <c r="AI2692" i="8"/>
  <c r="AJ2692" i="8"/>
  <c r="AI2693" i="8"/>
  <c r="AJ2693" i="8"/>
  <c r="AI2694" i="8"/>
  <c r="AJ2694" i="8"/>
  <c r="AI2695" i="8"/>
  <c r="AJ2695" i="8"/>
  <c r="AI2696" i="8"/>
  <c r="AJ2696" i="8"/>
  <c r="AI2697" i="8"/>
  <c r="AJ2697" i="8"/>
  <c r="AI2698" i="8"/>
  <c r="AJ2698" i="8"/>
  <c r="AI2699" i="8"/>
  <c r="AJ2699" i="8"/>
  <c r="AI2700" i="8"/>
  <c r="AJ2700" i="8"/>
  <c r="AI2701" i="8"/>
  <c r="AJ2701" i="8"/>
  <c r="AI2702" i="8"/>
  <c r="AJ2702" i="8"/>
  <c r="AI2703" i="8"/>
  <c r="AJ2703" i="8"/>
  <c r="AI2704" i="8"/>
  <c r="AJ2704" i="8"/>
  <c r="AI2705" i="8"/>
  <c r="AJ2705" i="8"/>
  <c r="AI2706" i="8"/>
  <c r="AJ2706" i="8"/>
  <c r="AI2707" i="8"/>
  <c r="AJ2707" i="8"/>
  <c r="AI2708" i="8"/>
  <c r="AJ2708" i="8"/>
  <c r="AI2709" i="8"/>
  <c r="AJ2709" i="8"/>
  <c r="AI2710" i="8"/>
  <c r="AJ2710" i="8"/>
  <c r="AI2711" i="8"/>
  <c r="AJ2711" i="8"/>
  <c r="AI2712" i="8"/>
  <c r="AJ2712" i="8"/>
  <c r="AI2713" i="8"/>
  <c r="AJ2713" i="8"/>
  <c r="AI2714" i="8"/>
  <c r="AJ2714" i="8"/>
  <c r="AI2715" i="8"/>
  <c r="AJ2715" i="8"/>
  <c r="AI2716" i="8"/>
  <c r="AJ2716" i="8"/>
  <c r="AI2717" i="8"/>
  <c r="AJ2717" i="8"/>
  <c r="AI2718" i="8"/>
  <c r="AJ2718" i="8"/>
  <c r="AI2719" i="8"/>
  <c r="AJ2719" i="8"/>
  <c r="AI2720" i="8"/>
  <c r="AJ2720" i="8"/>
  <c r="AI2721" i="8"/>
  <c r="AJ2721" i="8"/>
  <c r="AI2722" i="8"/>
  <c r="AJ2722" i="8"/>
  <c r="AI2723" i="8"/>
  <c r="AJ2723" i="8"/>
  <c r="AI2724" i="8"/>
  <c r="AJ2724" i="8"/>
  <c r="AI2725" i="8"/>
  <c r="AJ2725" i="8"/>
  <c r="AI2726" i="8"/>
  <c r="AJ2726" i="8"/>
  <c r="AI2727" i="8"/>
  <c r="AJ2727" i="8"/>
  <c r="AI2728" i="8"/>
  <c r="AJ2728" i="8"/>
  <c r="AI2729" i="8"/>
  <c r="AJ2729" i="8"/>
  <c r="AI2730" i="8"/>
  <c r="AJ2730" i="8"/>
  <c r="AI2731" i="8"/>
  <c r="AJ2731" i="8"/>
  <c r="AI2732" i="8"/>
  <c r="AJ2732" i="8"/>
  <c r="AI2733" i="8"/>
  <c r="AJ2733" i="8"/>
  <c r="AI2734" i="8"/>
  <c r="AJ2734" i="8"/>
  <c r="AI2735" i="8"/>
  <c r="AJ2735" i="8"/>
  <c r="AI2736" i="8"/>
  <c r="AJ2736" i="8"/>
  <c r="AI2737" i="8"/>
  <c r="AJ2737" i="8"/>
  <c r="AI2738" i="8"/>
  <c r="AJ2738" i="8"/>
  <c r="AI2739" i="8"/>
  <c r="AJ2739" i="8"/>
  <c r="AI2740" i="8"/>
  <c r="AJ2740" i="8"/>
  <c r="AI2741" i="8"/>
  <c r="AJ2741" i="8"/>
  <c r="AI2742" i="8"/>
  <c r="AJ2742" i="8"/>
  <c r="AI2743" i="8"/>
  <c r="AJ2743" i="8"/>
  <c r="AI2744" i="8"/>
  <c r="AJ2744" i="8"/>
  <c r="AI2745" i="8"/>
  <c r="AJ2745" i="8"/>
  <c r="AI2746" i="8"/>
  <c r="AJ2746" i="8"/>
  <c r="AI2747" i="8"/>
  <c r="AJ2747" i="8"/>
  <c r="AI2748" i="8"/>
  <c r="AJ2748" i="8"/>
  <c r="AI2749" i="8"/>
  <c r="AJ2749" i="8"/>
  <c r="AI2750" i="8"/>
  <c r="AJ2750" i="8"/>
  <c r="AI2751" i="8"/>
  <c r="AJ2751" i="8"/>
  <c r="AI2752" i="8"/>
  <c r="AJ2752" i="8"/>
  <c r="AI2753" i="8"/>
  <c r="AJ2753" i="8"/>
  <c r="AI2754" i="8"/>
  <c r="AJ2754" i="8"/>
  <c r="AI2755" i="8"/>
  <c r="AJ2755" i="8"/>
  <c r="AI2756" i="8"/>
  <c r="AJ2756" i="8"/>
  <c r="AI2757" i="8"/>
  <c r="AJ2757" i="8"/>
  <c r="AI2758" i="8"/>
  <c r="AJ2758" i="8"/>
  <c r="AI2759" i="8"/>
  <c r="AJ2759" i="8"/>
  <c r="AI2760" i="8"/>
  <c r="AJ2760" i="8"/>
  <c r="AI2761" i="8"/>
  <c r="AJ2761" i="8"/>
  <c r="AI2762" i="8"/>
  <c r="AJ2762" i="8"/>
  <c r="AI2763" i="8"/>
  <c r="AJ2763" i="8"/>
  <c r="AI2764" i="8"/>
  <c r="AJ2764" i="8"/>
  <c r="AI2765" i="8"/>
  <c r="AJ2765" i="8"/>
  <c r="AI2766" i="8"/>
  <c r="AJ2766" i="8"/>
  <c r="AI2767" i="8"/>
  <c r="AJ2767" i="8"/>
  <c r="AI2768" i="8"/>
  <c r="AJ2768" i="8"/>
  <c r="AI2769" i="8"/>
  <c r="AJ2769" i="8"/>
  <c r="AI2770" i="8"/>
  <c r="AJ2770" i="8"/>
  <c r="AI2771" i="8"/>
  <c r="AJ2771" i="8"/>
  <c r="AI2772" i="8"/>
  <c r="AJ2772" i="8"/>
  <c r="AI2773" i="8"/>
  <c r="AJ2773" i="8"/>
  <c r="AI2774" i="8"/>
  <c r="AJ2774" i="8"/>
  <c r="AI2775" i="8"/>
  <c r="AJ2775" i="8"/>
  <c r="AI2776" i="8"/>
  <c r="AJ2776" i="8"/>
  <c r="AI2777" i="8"/>
  <c r="AJ2777" i="8"/>
  <c r="AI2778" i="8"/>
  <c r="AJ2778" i="8"/>
  <c r="AI2779" i="8"/>
  <c r="AJ2779" i="8"/>
  <c r="AI2780" i="8"/>
  <c r="AJ2780" i="8"/>
  <c r="AI2781" i="8"/>
  <c r="AJ2781" i="8"/>
  <c r="AI2782" i="8"/>
  <c r="AJ2782" i="8"/>
  <c r="AI2783" i="8"/>
  <c r="AJ2783" i="8"/>
  <c r="AI2784" i="8"/>
  <c r="AJ2784" i="8"/>
  <c r="AI2785" i="8"/>
  <c r="AJ2785" i="8"/>
  <c r="AI2786" i="8"/>
  <c r="AJ2786" i="8"/>
  <c r="AI2787" i="8"/>
  <c r="AJ2787" i="8"/>
  <c r="AI2788" i="8"/>
  <c r="AJ2788" i="8"/>
  <c r="AI2789" i="8"/>
  <c r="AJ2789" i="8"/>
  <c r="AI2790" i="8"/>
  <c r="AJ2790" i="8"/>
  <c r="AI2791" i="8"/>
  <c r="AJ2791" i="8"/>
  <c r="AI2792" i="8"/>
  <c r="AJ2792" i="8"/>
  <c r="AI2793" i="8"/>
  <c r="AJ2793" i="8"/>
  <c r="AI2794" i="8"/>
  <c r="AJ2794" i="8"/>
  <c r="AI2795" i="8"/>
  <c r="AJ2795" i="8"/>
  <c r="AI2796" i="8"/>
  <c r="AJ2796" i="8"/>
  <c r="AI2797" i="8"/>
  <c r="AJ2797" i="8"/>
  <c r="AI2798" i="8"/>
  <c r="AJ2798" i="8"/>
  <c r="AI2799" i="8"/>
  <c r="AJ2799" i="8"/>
  <c r="AI2800" i="8"/>
  <c r="AJ2800" i="8"/>
  <c r="AI2801" i="8"/>
  <c r="AJ2801" i="8"/>
  <c r="AI2802" i="8"/>
  <c r="AJ2802" i="8"/>
  <c r="AI2803" i="8"/>
  <c r="AJ2803" i="8"/>
  <c r="AI2804" i="8"/>
  <c r="AJ2804" i="8"/>
  <c r="AI2805" i="8"/>
  <c r="AJ2805" i="8"/>
  <c r="AI2806" i="8"/>
  <c r="AJ2806" i="8"/>
  <c r="AI2807" i="8"/>
  <c r="AJ2807" i="8"/>
  <c r="AI2808" i="8"/>
  <c r="AJ2808" i="8"/>
  <c r="AI2809" i="8"/>
  <c r="AJ2809" i="8"/>
  <c r="AI2810" i="8"/>
  <c r="AJ2810" i="8"/>
  <c r="AI2811" i="8"/>
  <c r="AJ2811" i="8"/>
  <c r="AI2812" i="8"/>
  <c r="AJ2812" i="8"/>
  <c r="AI2813" i="8"/>
  <c r="AJ2813" i="8"/>
  <c r="AI2814" i="8"/>
  <c r="AJ2814" i="8"/>
  <c r="AI2815" i="8"/>
  <c r="AJ2815" i="8"/>
  <c r="AI2816" i="8"/>
  <c r="AJ2816" i="8"/>
  <c r="AI2817" i="8"/>
  <c r="AJ2817" i="8"/>
  <c r="AI2818" i="8"/>
  <c r="AJ2818" i="8"/>
  <c r="AI2819" i="8"/>
  <c r="AJ2819" i="8"/>
  <c r="AI2820" i="8"/>
  <c r="AJ2820" i="8"/>
  <c r="AI2821" i="8"/>
  <c r="AJ2821" i="8"/>
  <c r="AI2822" i="8"/>
  <c r="AJ2822" i="8"/>
  <c r="AI2823" i="8"/>
  <c r="AJ2823" i="8"/>
  <c r="AI2824" i="8"/>
  <c r="AJ2824" i="8"/>
  <c r="AI2825" i="8"/>
  <c r="AJ2825" i="8"/>
  <c r="AI2826" i="8"/>
  <c r="AJ2826" i="8"/>
  <c r="AI2827" i="8"/>
  <c r="AJ2827" i="8"/>
  <c r="AI2828" i="8"/>
  <c r="AJ2828" i="8"/>
  <c r="AI2829" i="8"/>
  <c r="AJ2829" i="8"/>
  <c r="AI2830" i="8"/>
  <c r="AJ2830" i="8"/>
  <c r="AI2831" i="8"/>
  <c r="AJ2831" i="8"/>
  <c r="AI2832" i="8"/>
  <c r="AJ2832" i="8"/>
  <c r="AI2833" i="8"/>
  <c r="AJ2833" i="8"/>
  <c r="AI2834" i="8"/>
  <c r="AJ2834" i="8"/>
  <c r="AI2835" i="8"/>
  <c r="AJ2835" i="8"/>
  <c r="AI2836" i="8"/>
  <c r="AJ2836" i="8"/>
  <c r="AI2837" i="8"/>
  <c r="AJ2837" i="8"/>
  <c r="AI2838" i="8"/>
  <c r="AJ2838" i="8"/>
  <c r="AI2839" i="8"/>
  <c r="AJ2839" i="8"/>
  <c r="AI2840" i="8"/>
  <c r="AJ2840" i="8"/>
  <c r="AI2841" i="8"/>
  <c r="AJ2841" i="8"/>
  <c r="AI2842" i="8"/>
  <c r="AJ2842" i="8"/>
  <c r="AI2843" i="8"/>
  <c r="AJ2843" i="8"/>
  <c r="AI2844" i="8"/>
  <c r="AJ2844" i="8"/>
  <c r="AI2845" i="8"/>
  <c r="AJ2845" i="8"/>
  <c r="AI2846" i="8"/>
  <c r="AJ2846" i="8"/>
  <c r="AI2847" i="8"/>
  <c r="AJ2847" i="8"/>
  <c r="AI2848" i="8"/>
  <c r="AJ2848" i="8"/>
  <c r="AI2849" i="8"/>
  <c r="AJ2849" i="8"/>
  <c r="AI2850" i="8"/>
  <c r="AJ2850" i="8"/>
  <c r="AI2851" i="8"/>
  <c r="AJ2851" i="8"/>
  <c r="AI2852" i="8"/>
  <c r="AJ2852" i="8"/>
  <c r="AI2853" i="8"/>
  <c r="AJ2853" i="8"/>
  <c r="AI2854" i="8"/>
  <c r="AJ2854" i="8"/>
  <c r="AI2855" i="8"/>
  <c r="AJ2855" i="8"/>
  <c r="AI2856" i="8"/>
  <c r="AJ2856" i="8"/>
  <c r="AI2857" i="8"/>
  <c r="AJ2857" i="8"/>
  <c r="AI2858" i="8"/>
  <c r="AJ2858" i="8"/>
  <c r="AI2859" i="8"/>
  <c r="AJ2859" i="8"/>
  <c r="AI2860" i="8"/>
  <c r="AJ2860" i="8"/>
  <c r="AI2861" i="8"/>
  <c r="AJ2861" i="8"/>
  <c r="AI2862" i="8"/>
  <c r="AJ2862" i="8"/>
  <c r="AI2863" i="8"/>
  <c r="AJ2863" i="8"/>
  <c r="AI2864" i="8"/>
  <c r="AJ2864" i="8"/>
  <c r="AI2865" i="8"/>
  <c r="AJ2865" i="8"/>
  <c r="AI2866" i="8"/>
  <c r="AJ2866" i="8"/>
  <c r="AI2867" i="8"/>
  <c r="AJ2867" i="8"/>
  <c r="AI2868" i="8"/>
  <c r="AJ2868" i="8"/>
  <c r="AI2869" i="8"/>
  <c r="AJ2869" i="8"/>
  <c r="AI2870" i="8"/>
  <c r="AJ2870" i="8"/>
  <c r="AI2871" i="8"/>
  <c r="AJ2871" i="8"/>
  <c r="AI2872" i="8"/>
  <c r="AJ2872" i="8"/>
  <c r="AI2873" i="8"/>
  <c r="AJ2873" i="8"/>
  <c r="AI2874" i="8"/>
  <c r="AJ2874" i="8"/>
  <c r="AI2875" i="8"/>
  <c r="AJ2875" i="8"/>
  <c r="AI2876" i="8"/>
  <c r="AJ2876" i="8"/>
  <c r="AI2877" i="8"/>
  <c r="AJ2877" i="8"/>
  <c r="AI2878" i="8"/>
  <c r="AJ2878" i="8"/>
  <c r="AI2879" i="8"/>
  <c r="AJ2879" i="8"/>
  <c r="AI2880" i="8"/>
  <c r="AJ2880" i="8"/>
  <c r="AI2881" i="8"/>
  <c r="AJ2881" i="8"/>
  <c r="AI2882" i="8"/>
  <c r="AJ2882" i="8"/>
  <c r="AI2883" i="8"/>
  <c r="AJ2883" i="8"/>
  <c r="AI2884" i="8"/>
  <c r="AJ2884" i="8"/>
  <c r="AI2885" i="8"/>
  <c r="AJ2885" i="8"/>
  <c r="AI2886" i="8"/>
  <c r="AJ2886" i="8"/>
  <c r="AI2887" i="8"/>
  <c r="AJ2887" i="8"/>
  <c r="AI2888" i="8"/>
  <c r="AJ2888" i="8"/>
  <c r="AI2889" i="8"/>
  <c r="AJ2889" i="8"/>
  <c r="AI2890" i="8"/>
  <c r="AJ2890" i="8"/>
  <c r="AI2891" i="8"/>
  <c r="AJ2891" i="8"/>
  <c r="AI2892" i="8"/>
  <c r="AJ2892" i="8"/>
  <c r="AI2893" i="8"/>
  <c r="AJ2893" i="8"/>
  <c r="AI2894" i="8"/>
  <c r="AJ2894" i="8"/>
  <c r="AI2895" i="8"/>
  <c r="AJ2895" i="8"/>
  <c r="AI2896" i="8"/>
  <c r="AJ2896" i="8"/>
  <c r="AI2897" i="8"/>
  <c r="AJ2897" i="8"/>
  <c r="AI2898" i="8"/>
  <c r="AJ2898" i="8"/>
  <c r="AI2899" i="8"/>
  <c r="AJ2899" i="8"/>
  <c r="AI2900" i="8"/>
  <c r="AJ2900" i="8"/>
  <c r="AI2901" i="8"/>
  <c r="AJ2901" i="8"/>
  <c r="AI2902" i="8"/>
  <c r="AJ2902" i="8"/>
  <c r="AI2903" i="8"/>
  <c r="AJ2903" i="8"/>
  <c r="AI2904" i="8"/>
  <c r="AJ2904" i="8"/>
  <c r="AI2905" i="8"/>
  <c r="AJ2905" i="8"/>
  <c r="AI2906" i="8"/>
  <c r="AJ2906" i="8"/>
  <c r="AI2907" i="8"/>
  <c r="AJ2907" i="8"/>
  <c r="AI2908" i="8"/>
  <c r="AJ2908" i="8"/>
  <c r="AI2909" i="8"/>
  <c r="AJ2909" i="8"/>
  <c r="AI2910" i="8"/>
  <c r="AJ2910" i="8"/>
  <c r="AI2911" i="8"/>
  <c r="AJ2911" i="8"/>
  <c r="AI2912" i="8"/>
  <c r="AJ2912" i="8"/>
  <c r="AI2913" i="8"/>
  <c r="AJ2913" i="8"/>
  <c r="AI2914" i="8"/>
  <c r="AJ2914" i="8"/>
  <c r="AI2915" i="8"/>
  <c r="AJ2915" i="8"/>
  <c r="AI2916" i="8"/>
  <c r="AJ2916" i="8"/>
  <c r="AI2917" i="8"/>
  <c r="AJ2917" i="8"/>
  <c r="AI2918" i="8"/>
  <c r="AJ2918" i="8"/>
  <c r="AI2919" i="8"/>
  <c r="AJ2919" i="8"/>
  <c r="AI2920" i="8"/>
  <c r="AJ2920" i="8"/>
  <c r="AI2921" i="8"/>
  <c r="AJ2921" i="8"/>
  <c r="AI2922" i="8"/>
  <c r="AJ2922" i="8"/>
  <c r="AI2923" i="8"/>
  <c r="AJ2923" i="8"/>
  <c r="AI2924" i="8"/>
  <c r="AJ2924" i="8"/>
  <c r="AI2925" i="8"/>
  <c r="AJ2925" i="8"/>
  <c r="AI2926" i="8"/>
  <c r="AJ2926" i="8"/>
  <c r="AI2927" i="8"/>
  <c r="AJ2927" i="8"/>
  <c r="AI2928" i="8"/>
  <c r="AJ2928" i="8"/>
  <c r="AI2929" i="8"/>
  <c r="AJ2929" i="8"/>
  <c r="AI2930" i="8"/>
  <c r="AJ2930" i="8"/>
  <c r="AI2931" i="8"/>
  <c r="AJ2931" i="8"/>
  <c r="AI2932" i="8"/>
  <c r="AJ2932" i="8"/>
  <c r="AI2933" i="8"/>
  <c r="AJ2933" i="8"/>
  <c r="AI2934" i="8"/>
  <c r="AJ2934" i="8"/>
  <c r="AI2935" i="8"/>
  <c r="AJ2935" i="8"/>
  <c r="AI2936" i="8"/>
  <c r="AJ2936" i="8"/>
  <c r="AI2937" i="8"/>
  <c r="AJ2937" i="8"/>
  <c r="AI2938" i="8"/>
  <c r="AJ2938" i="8"/>
  <c r="AI2939" i="8"/>
  <c r="AJ2939" i="8"/>
  <c r="AI2940" i="8"/>
  <c r="AJ2940" i="8"/>
  <c r="AI2941" i="8"/>
  <c r="AJ2941" i="8"/>
  <c r="AI2942" i="8"/>
  <c r="AJ2942" i="8"/>
  <c r="AI2943" i="8"/>
  <c r="AJ2943" i="8"/>
  <c r="AI2944" i="8"/>
  <c r="AJ2944" i="8"/>
  <c r="AI2945" i="8"/>
  <c r="AJ2945" i="8"/>
  <c r="AI2946" i="8"/>
  <c r="AJ2946" i="8"/>
  <c r="AI2947" i="8"/>
  <c r="AJ2947" i="8"/>
  <c r="AI2948" i="8"/>
  <c r="AJ2948" i="8"/>
  <c r="AI2949" i="8"/>
  <c r="AJ2949" i="8"/>
  <c r="AI2950" i="8"/>
  <c r="AJ2950" i="8"/>
  <c r="AI2951" i="8"/>
  <c r="AJ2951" i="8"/>
  <c r="AI2952" i="8"/>
  <c r="AJ2952" i="8"/>
  <c r="AI2953" i="8"/>
  <c r="AJ2953" i="8"/>
  <c r="AI2954" i="8"/>
  <c r="AJ2954" i="8"/>
  <c r="AI2955" i="8"/>
  <c r="AJ2955" i="8"/>
  <c r="AI2956" i="8"/>
  <c r="AJ2956" i="8"/>
  <c r="AI2957" i="8"/>
  <c r="AJ2957" i="8"/>
  <c r="AI2958" i="8"/>
  <c r="AJ2958" i="8"/>
  <c r="AI2959" i="8"/>
  <c r="AJ2959" i="8"/>
  <c r="AI2960" i="8"/>
  <c r="AJ2960" i="8"/>
  <c r="AI2961" i="8"/>
  <c r="AJ2961" i="8"/>
  <c r="AI2962" i="8"/>
  <c r="AJ2962" i="8"/>
  <c r="AI2963" i="8"/>
  <c r="AJ2963" i="8"/>
  <c r="AI2964" i="8"/>
  <c r="AJ2964" i="8"/>
  <c r="AI2965" i="8"/>
  <c r="AJ2965" i="8"/>
  <c r="AI2966" i="8"/>
  <c r="AJ2966" i="8"/>
  <c r="AI2967" i="8"/>
  <c r="AJ2967" i="8"/>
  <c r="AI2968" i="8"/>
  <c r="AJ2968" i="8"/>
  <c r="AI2969" i="8"/>
  <c r="AJ2969" i="8"/>
  <c r="AI2970" i="8"/>
  <c r="AJ2970" i="8"/>
  <c r="AI2971" i="8"/>
  <c r="AJ2971" i="8"/>
  <c r="AI2972" i="8"/>
  <c r="AJ2972" i="8"/>
  <c r="AI2973" i="8"/>
  <c r="AJ2973" i="8"/>
  <c r="AI2974" i="8"/>
  <c r="AJ2974" i="8"/>
  <c r="AI2975" i="8"/>
  <c r="AJ2975" i="8"/>
  <c r="AI2976" i="8"/>
  <c r="AJ2976" i="8"/>
  <c r="AI2977" i="8"/>
  <c r="AJ2977" i="8"/>
  <c r="AI2978" i="8"/>
  <c r="AJ2978" i="8"/>
  <c r="AI2979" i="8"/>
  <c r="AJ2979" i="8"/>
  <c r="AI2980" i="8"/>
  <c r="AJ2980" i="8"/>
  <c r="AI2981" i="8"/>
  <c r="AJ2981" i="8"/>
  <c r="AI2982" i="8"/>
  <c r="AJ2982" i="8"/>
  <c r="AI2983" i="8"/>
  <c r="AJ2983" i="8"/>
  <c r="AI2984" i="8"/>
  <c r="AJ2984" i="8"/>
  <c r="AI2985" i="8"/>
  <c r="AJ2985" i="8"/>
  <c r="AI2986" i="8"/>
  <c r="AJ2986" i="8"/>
  <c r="AI2987" i="8"/>
  <c r="AJ2987" i="8"/>
  <c r="AI2988" i="8"/>
  <c r="AJ2988" i="8"/>
  <c r="AI2989" i="8"/>
  <c r="AJ2989" i="8"/>
  <c r="AI2990" i="8"/>
  <c r="AJ2990" i="8"/>
  <c r="AI2991" i="8"/>
  <c r="AJ2991" i="8"/>
  <c r="AI2992" i="8"/>
  <c r="AJ2992" i="8"/>
  <c r="AI2993" i="8"/>
  <c r="AJ2993" i="8"/>
  <c r="AI2994" i="8"/>
  <c r="AJ2994" i="8"/>
  <c r="AI2995" i="8"/>
  <c r="AJ2995" i="8"/>
  <c r="AI2996" i="8"/>
  <c r="AJ2996" i="8"/>
  <c r="AI2997" i="8"/>
  <c r="AJ2997" i="8"/>
  <c r="AI2998" i="8"/>
  <c r="AJ2998" i="8"/>
  <c r="AI2999" i="8"/>
  <c r="AJ2999" i="8"/>
  <c r="AI3000" i="8"/>
  <c r="AJ3000" i="8"/>
  <c r="AI3001" i="8"/>
  <c r="AJ3001" i="8"/>
  <c r="AI3002" i="8"/>
  <c r="AJ3002" i="8"/>
  <c r="AI3003" i="8"/>
  <c r="AJ3003" i="8"/>
  <c r="AI3004" i="8"/>
  <c r="AJ3004" i="8"/>
  <c r="AI3005" i="8"/>
  <c r="AJ3005" i="8"/>
  <c r="AI3006" i="8"/>
  <c r="AJ3006" i="8"/>
  <c r="AI3007" i="8"/>
  <c r="AJ3007" i="8"/>
  <c r="AI3008" i="8"/>
  <c r="AJ3008" i="8"/>
  <c r="AI3009" i="8"/>
  <c r="AJ3009" i="8"/>
  <c r="AI3010" i="8"/>
  <c r="AJ3010" i="8"/>
  <c r="AI3011" i="8"/>
  <c r="AJ3011" i="8"/>
  <c r="AI3012" i="8"/>
  <c r="AJ3012" i="8"/>
  <c r="AI3013" i="8"/>
  <c r="AJ3013" i="8"/>
  <c r="AI3014" i="8"/>
  <c r="AJ3014" i="8"/>
  <c r="AI3015" i="8"/>
  <c r="AJ3015" i="8"/>
  <c r="AI3016" i="8"/>
  <c r="AJ3016" i="8"/>
  <c r="AI3017" i="8"/>
  <c r="AJ3017" i="8"/>
  <c r="AI3018" i="8"/>
  <c r="AJ3018" i="8"/>
  <c r="AI3019" i="8"/>
  <c r="AJ3019" i="8"/>
  <c r="AI3020" i="8"/>
  <c r="AJ3020" i="8"/>
  <c r="AI3021" i="8"/>
  <c r="AJ3021" i="8"/>
  <c r="AI3022" i="8"/>
  <c r="AJ3022" i="8"/>
  <c r="AI3023" i="8"/>
  <c r="AJ3023" i="8"/>
  <c r="AI3024" i="8"/>
  <c r="AJ3024" i="8"/>
  <c r="AI3025" i="8"/>
  <c r="AJ3025" i="8"/>
  <c r="AI3026" i="8"/>
  <c r="AJ3026" i="8"/>
  <c r="AI3027" i="8"/>
  <c r="AJ3027" i="8"/>
  <c r="AI3028" i="8"/>
  <c r="AJ3028" i="8"/>
  <c r="AI3029" i="8"/>
  <c r="AJ3029" i="8"/>
  <c r="AI3030" i="8"/>
  <c r="AJ3030" i="8"/>
  <c r="AI3031" i="8"/>
  <c r="AJ3031" i="8"/>
  <c r="AI3032" i="8"/>
  <c r="AJ3032" i="8"/>
  <c r="AI3033" i="8"/>
  <c r="AJ3033" i="8"/>
  <c r="AI3034" i="8"/>
  <c r="AJ3034" i="8"/>
  <c r="AI3035" i="8"/>
  <c r="AJ3035" i="8"/>
  <c r="AI3036" i="8"/>
  <c r="AJ3036" i="8"/>
  <c r="AI3037" i="8"/>
  <c r="AJ3037" i="8"/>
  <c r="AI3038" i="8"/>
  <c r="AJ3038" i="8"/>
  <c r="AI3039" i="8"/>
  <c r="AJ3039" i="8"/>
  <c r="AI3040" i="8"/>
  <c r="AJ3040" i="8"/>
  <c r="AI3041" i="8"/>
  <c r="AJ3041" i="8"/>
  <c r="AI3042" i="8"/>
  <c r="AJ3042" i="8"/>
  <c r="AI3043" i="8"/>
  <c r="AJ3043" i="8"/>
  <c r="AI3044" i="8"/>
  <c r="AJ3044" i="8"/>
  <c r="AI3045" i="8"/>
  <c r="AJ3045" i="8"/>
  <c r="AI3046" i="8"/>
  <c r="AJ3046" i="8"/>
  <c r="AI3047" i="8"/>
  <c r="AJ3047" i="8"/>
  <c r="AI3048" i="8"/>
  <c r="AJ3048" i="8"/>
  <c r="AI3049" i="8"/>
  <c r="AJ3049" i="8"/>
  <c r="AI3050" i="8"/>
  <c r="AJ3050" i="8"/>
  <c r="AI3051" i="8"/>
  <c r="AJ3051" i="8"/>
  <c r="AI3052" i="8"/>
  <c r="AJ3052" i="8"/>
  <c r="AI3053" i="8"/>
  <c r="AJ3053" i="8"/>
  <c r="AI3054" i="8"/>
  <c r="AJ3054" i="8"/>
  <c r="AI3055" i="8"/>
  <c r="AJ3055" i="8"/>
  <c r="AI3056" i="8"/>
  <c r="AJ3056" i="8"/>
  <c r="AI3057" i="8"/>
  <c r="AJ3057" i="8"/>
  <c r="AI3058" i="8"/>
  <c r="AJ3058" i="8"/>
  <c r="AI3059" i="8"/>
  <c r="AJ3059" i="8"/>
  <c r="AI3060" i="8"/>
  <c r="AJ3060" i="8"/>
  <c r="AI3061" i="8"/>
  <c r="AJ3061" i="8"/>
  <c r="AI3062" i="8"/>
  <c r="AJ3062" i="8"/>
  <c r="AI3063" i="8"/>
  <c r="AJ3063" i="8"/>
  <c r="AI3064" i="8"/>
  <c r="AJ3064" i="8"/>
  <c r="AI3065" i="8"/>
  <c r="AJ3065" i="8"/>
  <c r="AI3066" i="8"/>
  <c r="AJ3066" i="8"/>
  <c r="AI3067" i="8"/>
  <c r="AJ3067" i="8"/>
  <c r="AI3068" i="8"/>
  <c r="AJ3068" i="8"/>
  <c r="AI3069" i="8"/>
  <c r="AJ3069" i="8"/>
  <c r="AI3070" i="8"/>
  <c r="AJ3070" i="8"/>
  <c r="AI3071" i="8"/>
  <c r="AJ3071" i="8"/>
  <c r="AI3072" i="8"/>
  <c r="AJ3072" i="8"/>
  <c r="AI3073" i="8"/>
  <c r="AJ3073" i="8"/>
  <c r="AI3074" i="8"/>
  <c r="AJ3074" i="8"/>
  <c r="AI3075" i="8"/>
  <c r="AJ3075" i="8"/>
  <c r="AI3076" i="8"/>
  <c r="AJ3076" i="8"/>
  <c r="AI3077" i="8"/>
  <c r="AJ3077" i="8"/>
  <c r="AI3078" i="8"/>
  <c r="AJ3078" i="8"/>
  <c r="AI3079" i="8"/>
  <c r="AJ3079" i="8"/>
  <c r="AI3080" i="8"/>
  <c r="AJ3080" i="8"/>
  <c r="AI3081" i="8"/>
  <c r="AJ3081" i="8"/>
  <c r="AI3082" i="8"/>
  <c r="AJ3082" i="8"/>
  <c r="AI3083" i="8"/>
  <c r="AJ3083" i="8"/>
  <c r="AI3084" i="8"/>
  <c r="AJ3084" i="8"/>
  <c r="AI3085" i="8"/>
  <c r="AJ3085" i="8"/>
  <c r="AI3086" i="8"/>
  <c r="AJ3086" i="8"/>
  <c r="AI3087" i="8"/>
  <c r="AJ3087" i="8"/>
  <c r="AI3088" i="8"/>
  <c r="AJ3088" i="8"/>
  <c r="AI3089" i="8"/>
  <c r="AJ3089" i="8"/>
  <c r="AI3090" i="8"/>
  <c r="AJ3090" i="8"/>
  <c r="AI3091" i="8"/>
  <c r="AJ3091" i="8"/>
  <c r="AI3092" i="8"/>
  <c r="AJ3092" i="8"/>
  <c r="AI3093" i="8"/>
  <c r="AJ3093" i="8"/>
  <c r="AI3094" i="8"/>
  <c r="AJ3094" i="8"/>
  <c r="AI3095" i="8"/>
  <c r="AJ3095" i="8"/>
  <c r="AI3096" i="8"/>
  <c r="AJ3096" i="8"/>
  <c r="AI3097" i="8"/>
  <c r="AJ3097" i="8"/>
  <c r="AI3098" i="8"/>
  <c r="AJ3098" i="8"/>
  <c r="AI3099" i="8"/>
  <c r="AJ3099" i="8"/>
  <c r="AI3100" i="8"/>
  <c r="AJ3100" i="8"/>
  <c r="AI3101" i="8"/>
  <c r="AJ3101" i="8"/>
  <c r="AI3102" i="8"/>
  <c r="AJ3102" i="8"/>
  <c r="AI3103" i="8"/>
  <c r="AJ3103" i="8"/>
  <c r="AI3104" i="8"/>
  <c r="AJ3104" i="8"/>
  <c r="AI3105" i="8"/>
  <c r="AJ3105" i="8"/>
  <c r="AI3106" i="8"/>
  <c r="AJ3106" i="8"/>
  <c r="AI3107" i="8"/>
  <c r="AJ3107" i="8"/>
  <c r="AI3108" i="8"/>
  <c r="AJ3108" i="8"/>
  <c r="AI3109" i="8"/>
  <c r="AJ3109" i="8"/>
  <c r="AI3110" i="8"/>
  <c r="AJ3110" i="8"/>
  <c r="AI3111" i="8"/>
  <c r="AJ3111" i="8"/>
  <c r="AI3112" i="8"/>
  <c r="AJ3112" i="8"/>
  <c r="AI3113" i="8"/>
  <c r="AJ3113" i="8"/>
  <c r="AI3114" i="8"/>
  <c r="AJ3114" i="8"/>
  <c r="AI3115" i="8"/>
  <c r="AJ3115" i="8"/>
  <c r="AI3116" i="8"/>
  <c r="AJ3116" i="8"/>
  <c r="AI3117" i="8"/>
  <c r="AJ3117" i="8"/>
  <c r="AI3118" i="8"/>
  <c r="AJ3118" i="8"/>
  <c r="AI3119" i="8"/>
  <c r="AJ3119" i="8"/>
  <c r="AI3120" i="8"/>
  <c r="AJ3120" i="8"/>
  <c r="AI3121" i="8"/>
  <c r="AJ3121" i="8"/>
  <c r="AI3122" i="8"/>
  <c r="AJ3122" i="8"/>
  <c r="AI3123" i="8"/>
  <c r="AJ3123" i="8"/>
  <c r="AI3124" i="8"/>
  <c r="AJ3124" i="8"/>
  <c r="AI3125" i="8"/>
  <c r="AJ3125" i="8"/>
  <c r="AI3126" i="8"/>
  <c r="AJ3126" i="8"/>
  <c r="AI3127" i="8"/>
  <c r="AJ3127" i="8"/>
  <c r="AI3128" i="8"/>
  <c r="AJ3128" i="8"/>
  <c r="AI3129" i="8"/>
  <c r="AJ3129" i="8"/>
  <c r="AI3130" i="8"/>
  <c r="AJ3130" i="8"/>
  <c r="AI3131" i="8"/>
  <c r="AJ3131" i="8"/>
  <c r="AI3132" i="8"/>
  <c r="AJ3132" i="8"/>
  <c r="AI3133" i="8"/>
  <c r="AJ3133" i="8"/>
  <c r="AI3134" i="8"/>
  <c r="AJ3134" i="8"/>
  <c r="AI3135" i="8"/>
  <c r="AJ3135" i="8"/>
  <c r="AI3136" i="8"/>
  <c r="AJ3136" i="8"/>
  <c r="AI3137" i="8"/>
  <c r="AJ3137" i="8"/>
  <c r="AI3138" i="8"/>
  <c r="AJ3138" i="8"/>
  <c r="AI3139" i="8"/>
  <c r="AJ3139" i="8"/>
  <c r="AI3140" i="8"/>
  <c r="AJ3140" i="8"/>
  <c r="AI3141" i="8"/>
  <c r="AJ3141" i="8"/>
  <c r="AI3142" i="8"/>
  <c r="AJ3142" i="8"/>
  <c r="AI3143" i="8"/>
  <c r="AJ3143" i="8"/>
  <c r="AI3144" i="8"/>
  <c r="AJ3144" i="8"/>
  <c r="AI3145" i="8"/>
  <c r="AJ3145" i="8"/>
  <c r="AI3146" i="8"/>
  <c r="AJ3146" i="8"/>
  <c r="AI3147" i="8"/>
  <c r="AJ3147" i="8"/>
  <c r="AI3148" i="8"/>
  <c r="AJ3148" i="8"/>
  <c r="AI3149" i="8"/>
  <c r="AJ3149" i="8"/>
  <c r="AI3150" i="8"/>
  <c r="AJ3150" i="8"/>
  <c r="AI3151" i="8"/>
  <c r="AJ3151" i="8"/>
  <c r="AI3152" i="8"/>
  <c r="AJ3152" i="8"/>
  <c r="AI3153" i="8"/>
  <c r="AJ3153" i="8"/>
  <c r="AI3154" i="8"/>
  <c r="AJ3154" i="8"/>
  <c r="AI3155" i="8"/>
  <c r="AJ3155" i="8"/>
  <c r="AI3156" i="8"/>
  <c r="AJ3156" i="8"/>
  <c r="AI3157" i="8"/>
  <c r="AJ3157" i="8"/>
  <c r="AI3158" i="8"/>
  <c r="AJ3158" i="8"/>
  <c r="AI3159" i="8"/>
  <c r="AJ3159" i="8"/>
  <c r="AI3160" i="8"/>
  <c r="AJ3160" i="8"/>
  <c r="AI3161" i="8"/>
  <c r="AJ3161" i="8"/>
  <c r="AI3162" i="8"/>
  <c r="AJ3162" i="8"/>
  <c r="AI3163" i="8"/>
  <c r="AJ3163" i="8"/>
  <c r="AI3164" i="8"/>
  <c r="AJ3164" i="8"/>
  <c r="AI3165" i="8"/>
  <c r="AJ3165" i="8"/>
  <c r="AI3166" i="8"/>
  <c r="AJ3166" i="8"/>
  <c r="AI3167" i="8"/>
  <c r="AJ3167" i="8"/>
  <c r="AI3168" i="8"/>
  <c r="AJ3168" i="8"/>
  <c r="AI3169" i="8"/>
  <c r="AJ3169" i="8"/>
  <c r="AI3170" i="8"/>
  <c r="AJ3170" i="8"/>
  <c r="AI3171" i="8"/>
  <c r="AJ3171" i="8"/>
  <c r="AI3172" i="8"/>
  <c r="AJ3172" i="8"/>
  <c r="AI3173" i="8"/>
  <c r="AJ3173" i="8"/>
  <c r="AI3174" i="8"/>
  <c r="AJ3174" i="8"/>
  <c r="AI3175" i="8"/>
  <c r="AJ3175" i="8"/>
  <c r="AI3176" i="8"/>
  <c r="AJ3176" i="8"/>
  <c r="AI3177" i="8"/>
  <c r="AJ3177" i="8"/>
  <c r="AI3178" i="8"/>
  <c r="AJ3178" i="8"/>
  <c r="AI3179" i="8"/>
  <c r="AJ3179" i="8"/>
  <c r="AI3180" i="8"/>
  <c r="AJ3180" i="8"/>
  <c r="AI3181" i="8"/>
  <c r="AJ3181" i="8"/>
  <c r="AI3182" i="8"/>
  <c r="AJ3182" i="8"/>
  <c r="AI3183" i="8"/>
  <c r="AJ3183" i="8"/>
  <c r="AI3184" i="8"/>
  <c r="AJ3184" i="8"/>
  <c r="AI3185" i="8"/>
  <c r="AJ3185" i="8"/>
  <c r="AI3186" i="8"/>
  <c r="AJ3186" i="8"/>
  <c r="AI3187" i="8"/>
  <c r="AJ3187" i="8"/>
  <c r="AI3188" i="8"/>
  <c r="AJ3188" i="8"/>
  <c r="AI3189" i="8"/>
  <c r="AJ3189" i="8"/>
  <c r="AI3190" i="8"/>
  <c r="AJ3190" i="8"/>
  <c r="AI3191" i="8"/>
  <c r="AJ3191" i="8"/>
  <c r="AI3192" i="8"/>
  <c r="AJ3192" i="8"/>
  <c r="AI3193" i="8"/>
  <c r="AJ3193" i="8"/>
  <c r="AI3194" i="8"/>
  <c r="AJ3194" i="8"/>
  <c r="AI3195" i="8"/>
  <c r="AJ3195" i="8"/>
  <c r="AI3196" i="8"/>
  <c r="AJ3196" i="8"/>
  <c r="AI3197" i="8"/>
  <c r="AJ3197" i="8"/>
  <c r="AI3198" i="8"/>
  <c r="AJ3198" i="8"/>
  <c r="AI3199" i="8"/>
  <c r="AJ3199" i="8"/>
  <c r="AI3200" i="8"/>
  <c r="AJ3200" i="8"/>
  <c r="AI3201" i="8"/>
  <c r="AJ3201" i="8"/>
  <c r="AI3202" i="8"/>
  <c r="AJ3202" i="8"/>
  <c r="AI3203" i="8"/>
  <c r="AJ3203" i="8"/>
  <c r="AI3204" i="8"/>
  <c r="AJ3204" i="8"/>
  <c r="AI3205" i="8"/>
  <c r="AJ3205" i="8"/>
  <c r="AI3206" i="8"/>
  <c r="AJ3206" i="8"/>
  <c r="AI3207" i="8"/>
  <c r="AJ3207" i="8"/>
  <c r="AI3208" i="8"/>
  <c r="AJ3208" i="8"/>
  <c r="AI3209" i="8"/>
  <c r="AJ3209" i="8"/>
  <c r="AI3210" i="8"/>
  <c r="AJ3210" i="8"/>
  <c r="AI3211" i="8"/>
  <c r="AJ3211" i="8"/>
  <c r="AI3212" i="8"/>
  <c r="AJ3212" i="8"/>
  <c r="AI3213" i="8"/>
  <c r="AJ3213" i="8"/>
  <c r="AI3214" i="8"/>
  <c r="AJ3214" i="8"/>
  <c r="AI3215" i="8"/>
  <c r="AJ3215" i="8"/>
  <c r="AI3216" i="8"/>
  <c r="AJ3216" i="8"/>
  <c r="AI3217" i="8"/>
  <c r="AJ3217" i="8"/>
  <c r="AI3218" i="8"/>
  <c r="AJ3218" i="8"/>
  <c r="AI3219" i="8"/>
  <c r="AJ3219" i="8"/>
  <c r="AI3220" i="8"/>
  <c r="AJ3220" i="8"/>
  <c r="AI3221" i="8"/>
  <c r="AJ3221" i="8"/>
  <c r="AI3222" i="8"/>
  <c r="AJ3222" i="8"/>
  <c r="AI3223" i="8"/>
  <c r="AJ3223" i="8"/>
  <c r="AI3224" i="8"/>
  <c r="AJ3224" i="8"/>
  <c r="AI3225" i="8"/>
  <c r="AJ3225" i="8"/>
  <c r="AI3226" i="8"/>
  <c r="AJ3226" i="8"/>
  <c r="AI3227" i="8"/>
  <c r="AJ3227" i="8"/>
  <c r="AI3228" i="8"/>
  <c r="AJ3228" i="8"/>
  <c r="AI3229" i="8"/>
  <c r="AJ3229" i="8"/>
  <c r="AI3230" i="8"/>
  <c r="AJ3230" i="8"/>
  <c r="AI3231" i="8"/>
  <c r="AJ3231" i="8"/>
  <c r="AI3232" i="8"/>
  <c r="AJ3232" i="8"/>
  <c r="AI3233" i="8"/>
  <c r="AJ3233" i="8"/>
  <c r="AI3234" i="8"/>
  <c r="AJ3234" i="8"/>
  <c r="AI3235" i="8"/>
  <c r="AJ3235" i="8"/>
  <c r="AI3236" i="8"/>
  <c r="AJ3236" i="8"/>
  <c r="AI3237" i="8"/>
  <c r="AJ3237" i="8"/>
  <c r="AI3238" i="8"/>
  <c r="AJ3238" i="8"/>
  <c r="AI3239" i="8"/>
  <c r="AJ3239" i="8"/>
  <c r="AI3240" i="8"/>
  <c r="AJ3240" i="8"/>
  <c r="AI3241" i="8"/>
  <c r="AJ3241" i="8"/>
  <c r="AI3242" i="8"/>
  <c r="AJ3242" i="8"/>
  <c r="AI3243" i="8"/>
  <c r="AJ3243" i="8"/>
  <c r="AI3244" i="8"/>
  <c r="AJ3244" i="8"/>
  <c r="AI3245" i="8"/>
  <c r="AJ3245" i="8"/>
  <c r="AI3246" i="8"/>
  <c r="AJ3246" i="8"/>
  <c r="AI3247" i="8"/>
  <c r="AJ3247" i="8"/>
  <c r="AI3248" i="8"/>
  <c r="AJ3248" i="8"/>
  <c r="AI3249" i="8"/>
  <c r="AJ3249" i="8"/>
  <c r="AI3250" i="8"/>
  <c r="AJ3250" i="8"/>
  <c r="AI3251" i="8"/>
  <c r="AJ3251" i="8"/>
  <c r="AI3252" i="8"/>
  <c r="AJ3252" i="8"/>
  <c r="AI3253" i="8"/>
  <c r="AJ3253" i="8"/>
  <c r="AI3254" i="8"/>
  <c r="AJ3254" i="8"/>
  <c r="AI3255" i="8"/>
  <c r="AJ3255" i="8"/>
  <c r="AI3256" i="8"/>
  <c r="AJ3256" i="8"/>
  <c r="AI3257" i="8"/>
  <c r="AJ3257" i="8"/>
  <c r="AI3258" i="8"/>
  <c r="AJ3258" i="8"/>
  <c r="AI3259" i="8"/>
  <c r="AJ3259" i="8"/>
  <c r="AI3260" i="8"/>
  <c r="AJ3260" i="8"/>
  <c r="AI3261" i="8"/>
  <c r="AJ3261" i="8"/>
  <c r="AI3262" i="8"/>
  <c r="AJ3262" i="8"/>
  <c r="AI3263" i="8"/>
  <c r="AJ3263" i="8"/>
  <c r="AI3264" i="8"/>
  <c r="AJ3264" i="8"/>
  <c r="AI3265" i="8"/>
  <c r="AJ3265" i="8"/>
  <c r="AI3266" i="8"/>
  <c r="AJ3266" i="8"/>
  <c r="AI3267" i="8"/>
  <c r="AJ3267" i="8"/>
  <c r="AI3268" i="8"/>
  <c r="AJ3268" i="8"/>
  <c r="AI3269" i="8"/>
  <c r="AJ3269" i="8"/>
  <c r="AI3270" i="8"/>
  <c r="AJ3270" i="8"/>
  <c r="AI3271" i="8"/>
  <c r="AJ3271" i="8"/>
  <c r="AI3272" i="8"/>
  <c r="AJ3272" i="8"/>
  <c r="AI3273" i="8"/>
  <c r="AJ3273" i="8"/>
  <c r="AI3274" i="8"/>
  <c r="AJ3274" i="8"/>
  <c r="AI3275" i="8"/>
  <c r="AJ3275" i="8"/>
  <c r="AI3276" i="8"/>
  <c r="AJ3276" i="8"/>
  <c r="AI3277" i="8"/>
  <c r="AJ3277" i="8"/>
  <c r="AI3278" i="8"/>
  <c r="AJ3278" i="8"/>
  <c r="AI3279" i="8"/>
  <c r="AJ3279" i="8"/>
  <c r="AI3280" i="8"/>
  <c r="AJ3280" i="8"/>
  <c r="AI3281" i="8"/>
  <c r="AJ3281" i="8"/>
  <c r="AI3282" i="8"/>
  <c r="AJ3282" i="8"/>
  <c r="AI3283" i="8"/>
  <c r="AJ3283" i="8"/>
  <c r="AB11" i="8"/>
  <c r="AB12" i="8"/>
  <c r="AB13" i="8"/>
  <c r="AB14" i="8"/>
  <c r="AB15"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AB49" i="8"/>
  <c r="AB50" i="8"/>
  <c r="AB51" i="8"/>
  <c r="AB52" i="8"/>
  <c r="AB53" i="8"/>
  <c r="AB54" i="8"/>
  <c r="AB55" i="8"/>
  <c r="AB56" i="8"/>
  <c r="AB57" i="8"/>
  <c r="AB58" i="8"/>
  <c r="AB59" i="8"/>
  <c r="AB60" i="8"/>
  <c r="AB61" i="8"/>
  <c r="AB62" i="8"/>
  <c r="AB63" i="8"/>
  <c r="AB64" i="8"/>
  <c r="AB65" i="8"/>
  <c r="AB66" i="8"/>
  <c r="AB67" i="8"/>
  <c r="AB68" i="8"/>
  <c r="AB69" i="8"/>
  <c r="AB70" i="8"/>
  <c r="AB71" i="8"/>
  <c r="AB72" i="8"/>
  <c r="AB73" i="8"/>
  <c r="AB74" i="8"/>
  <c r="AB75" i="8"/>
  <c r="AB76" i="8"/>
  <c r="AB77" i="8"/>
  <c r="AB78" i="8"/>
  <c r="AB79" i="8"/>
  <c r="AB80" i="8"/>
  <c r="AB81" i="8"/>
  <c r="AB82" i="8"/>
  <c r="AB83" i="8"/>
  <c r="AB84" i="8"/>
  <c r="AB85" i="8"/>
  <c r="AB86" i="8"/>
  <c r="AB87" i="8"/>
  <c r="AB88" i="8"/>
  <c r="AB89" i="8"/>
  <c r="AB90" i="8"/>
  <c r="AB91" i="8"/>
  <c r="AB92" i="8"/>
  <c r="AB93" i="8"/>
  <c r="AB94" i="8"/>
  <c r="AB95" i="8"/>
  <c r="AB96" i="8"/>
  <c r="AB97" i="8"/>
  <c r="AB98" i="8"/>
  <c r="AB99" i="8"/>
  <c r="AB100" i="8"/>
  <c r="AB101" i="8"/>
  <c r="AB102" i="8"/>
  <c r="AB103" i="8"/>
  <c r="AB104" i="8"/>
  <c r="AB105" i="8"/>
  <c r="AB106" i="8"/>
  <c r="AB107" i="8"/>
  <c r="AB108" i="8"/>
  <c r="AB109" i="8"/>
  <c r="AB110" i="8"/>
  <c r="AB111" i="8"/>
  <c r="AB112" i="8"/>
  <c r="AB113" i="8"/>
  <c r="AB114" i="8"/>
  <c r="AB115" i="8"/>
  <c r="AB116" i="8"/>
  <c r="AB117" i="8"/>
  <c r="AB118" i="8"/>
  <c r="AB119" i="8"/>
  <c r="AB120" i="8"/>
  <c r="AB121" i="8"/>
  <c r="AB122" i="8"/>
  <c r="AB123" i="8"/>
  <c r="AB124" i="8"/>
  <c r="AB125" i="8"/>
  <c r="AB126" i="8"/>
  <c r="AB127" i="8"/>
  <c r="AB128" i="8"/>
  <c r="AB129" i="8"/>
  <c r="AB130" i="8"/>
  <c r="AB131" i="8"/>
  <c r="AB132" i="8"/>
  <c r="AB133" i="8"/>
  <c r="AB134" i="8"/>
  <c r="AB135" i="8"/>
  <c r="AB136" i="8"/>
  <c r="AB137" i="8"/>
  <c r="AB138" i="8"/>
  <c r="AB139" i="8"/>
  <c r="AB140" i="8"/>
  <c r="AB141" i="8"/>
  <c r="AB142" i="8"/>
  <c r="AB143" i="8"/>
  <c r="AB144" i="8"/>
  <c r="AB145" i="8"/>
  <c r="AB146" i="8"/>
  <c r="AB147" i="8"/>
  <c r="AB148" i="8"/>
  <c r="AB149" i="8"/>
  <c r="AB150" i="8"/>
  <c r="AB151" i="8"/>
  <c r="AB152" i="8"/>
  <c r="AB153" i="8"/>
  <c r="AB154" i="8"/>
  <c r="AB155" i="8"/>
  <c r="AB156" i="8"/>
  <c r="AB157" i="8"/>
  <c r="AB158" i="8"/>
  <c r="AB159" i="8"/>
  <c r="AB160" i="8"/>
  <c r="AB161" i="8"/>
  <c r="AB162" i="8"/>
  <c r="AB163" i="8"/>
  <c r="AB164" i="8"/>
  <c r="AB165" i="8"/>
  <c r="AB166" i="8"/>
  <c r="AB167" i="8"/>
  <c r="AB168" i="8"/>
  <c r="AB169" i="8"/>
  <c r="AB170" i="8"/>
  <c r="AB171" i="8"/>
  <c r="AB172" i="8"/>
  <c r="AB173" i="8"/>
  <c r="AB174" i="8"/>
  <c r="AB175" i="8"/>
  <c r="AB176" i="8"/>
  <c r="AB177" i="8"/>
  <c r="AB178" i="8"/>
  <c r="AB179" i="8"/>
  <c r="AB180" i="8"/>
  <c r="AB181" i="8"/>
  <c r="AB182" i="8"/>
  <c r="AB183" i="8"/>
  <c r="AB184" i="8"/>
  <c r="AB185" i="8"/>
  <c r="AB186" i="8"/>
  <c r="AB187" i="8"/>
  <c r="AB188" i="8"/>
  <c r="AB189" i="8"/>
  <c r="AB190" i="8"/>
  <c r="AB191" i="8"/>
  <c r="AB192" i="8"/>
  <c r="AB193" i="8"/>
  <c r="AB194" i="8"/>
  <c r="AB195" i="8"/>
  <c r="AB196" i="8"/>
  <c r="AB197" i="8"/>
  <c r="AB198" i="8"/>
  <c r="AB199" i="8"/>
  <c r="AB200" i="8"/>
  <c r="AB201" i="8"/>
  <c r="AB202" i="8"/>
  <c r="AB203" i="8"/>
  <c r="AB204" i="8"/>
  <c r="AB205" i="8"/>
  <c r="AB206" i="8"/>
  <c r="AB207" i="8"/>
  <c r="AB208" i="8"/>
  <c r="AB209" i="8"/>
  <c r="AB210" i="8"/>
  <c r="AB211" i="8"/>
  <c r="AB212" i="8"/>
  <c r="AB213" i="8"/>
  <c r="AB214" i="8"/>
  <c r="AB215" i="8"/>
  <c r="AB216" i="8"/>
  <c r="AB217" i="8"/>
  <c r="AB218" i="8"/>
  <c r="AB219" i="8"/>
  <c r="AB220" i="8"/>
  <c r="AB221" i="8"/>
  <c r="AB222" i="8"/>
  <c r="AB223" i="8"/>
  <c r="AB224" i="8"/>
  <c r="AB225" i="8"/>
  <c r="AB226" i="8"/>
  <c r="AB227" i="8"/>
  <c r="AB228" i="8"/>
  <c r="AB229" i="8"/>
  <c r="AB230" i="8"/>
  <c r="AB231" i="8"/>
  <c r="AB232" i="8"/>
  <c r="AB233" i="8"/>
  <c r="AB234" i="8"/>
  <c r="AB235" i="8"/>
  <c r="AB236" i="8"/>
  <c r="AB237" i="8"/>
  <c r="AB238" i="8"/>
  <c r="AB239" i="8"/>
  <c r="AB240" i="8"/>
  <c r="AB241" i="8"/>
  <c r="AB242" i="8"/>
  <c r="AB243" i="8"/>
  <c r="AB244" i="8"/>
  <c r="AB245" i="8"/>
  <c r="AB246" i="8"/>
  <c r="AB247" i="8"/>
  <c r="AB248" i="8"/>
  <c r="AB249" i="8"/>
  <c r="AB250" i="8"/>
  <c r="AB251" i="8"/>
  <c r="AB252" i="8"/>
  <c r="AB253" i="8"/>
  <c r="AB254" i="8"/>
  <c r="AB255" i="8"/>
  <c r="AB256" i="8"/>
  <c r="AB257" i="8"/>
  <c r="AB258" i="8"/>
  <c r="AB259" i="8"/>
  <c r="AB260" i="8"/>
  <c r="AB261" i="8"/>
  <c r="AB262" i="8"/>
  <c r="AB263" i="8"/>
  <c r="AB264" i="8"/>
  <c r="AB265" i="8"/>
  <c r="AB266" i="8"/>
  <c r="AB267" i="8"/>
  <c r="AB268" i="8"/>
  <c r="AB269" i="8"/>
  <c r="AB270" i="8"/>
  <c r="AB271" i="8"/>
  <c r="AB272" i="8"/>
  <c r="AB273" i="8"/>
  <c r="AB274" i="8"/>
  <c r="AB275" i="8"/>
  <c r="AB276" i="8"/>
  <c r="AB277" i="8"/>
  <c r="AB278" i="8"/>
  <c r="AB279" i="8"/>
  <c r="AB280" i="8"/>
  <c r="AB281" i="8"/>
  <c r="AB282" i="8"/>
  <c r="AB283" i="8"/>
  <c r="AB284" i="8"/>
  <c r="AB285" i="8"/>
  <c r="AB286" i="8"/>
  <c r="AB287" i="8"/>
  <c r="AB288" i="8"/>
  <c r="AB289" i="8"/>
  <c r="AB290" i="8"/>
  <c r="AB291" i="8"/>
  <c r="AB292" i="8"/>
  <c r="AB293" i="8"/>
  <c r="AB294" i="8"/>
  <c r="AB295" i="8"/>
  <c r="AB296" i="8"/>
  <c r="AB297" i="8"/>
  <c r="AB298" i="8"/>
  <c r="AB299" i="8"/>
  <c r="AB300" i="8"/>
  <c r="AB301" i="8"/>
  <c r="AB302" i="8"/>
  <c r="AB303" i="8"/>
  <c r="AB304" i="8"/>
  <c r="AB305" i="8"/>
  <c r="AB306" i="8"/>
  <c r="AB307" i="8"/>
  <c r="AB308" i="8"/>
  <c r="AB309" i="8"/>
  <c r="AB310" i="8"/>
  <c r="AB311" i="8"/>
  <c r="AB312" i="8"/>
  <c r="AB313" i="8"/>
  <c r="AB314" i="8"/>
  <c r="AB315" i="8"/>
  <c r="AB316" i="8"/>
  <c r="AB317" i="8"/>
  <c r="AB318" i="8"/>
  <c r="AB319" i="8"/>
  <c r="AB320" i="8"/>
  <c r="AB321" i="8"/>
  <c r="AB322" i="8"/>
  <c r="AB323" i="8"/>
  <c r="AB324" i="8"/>
  <c r="AB325" i="8"/>
  <c r="AB326" i="8"/>
  <c r="AB327" i="8"/>
  <c r="AB328" i="8"/>
  <c r="AB329" i="8"/>
  <c r="AB330" i="8"/>
  <c r="AB331" i="8"/>
  <c r="AB332" i="8"/>
  <c r="AB333" i="8"/>
  <c r="AB334" i="8"/>
  <c r="AB335" i="8"/>
  <c r="AB336" i="8"/>
  <c r="AB337" i="8"/>
  <c r="AB338" i="8"/>
  <c r="AB339" i="8"/>
  <c r="AB340" i="8"/>
  <c r="AB341" i="8"/>
  <c r="AB342" i="8"/>
  <c r="AB343" i="8"/>
  <c r="AB344" i="8"/>
  <c r="AB345" i="8"/>
  <c r="AB346" i="8"/>
  <c r="AB347" i="8"/>
  <c r="AB348" i="8"/>
  <c r="AB349" i="8"/>
  <c r="AB350" i="8"/>
  <c r="AB351" i="8"/>
  <c r="AB352" i="8"/>
  <c r="AB353" i="8"/>
  <c r="AB354" i="8"/>
  <c r="AB355" i="8"/>
  <c r="AB356" i="8"/>
  <c r="AB357" i="8"/>
  <c r="AB358" i="8"/>
  <c r="AB359" i="8"/>
  <c r="AB360" i="8"/>
  <c r="AB361" i="8"/>
  <c r="AB362" i="8"/>
  <c r="AB363" i="8"/>
  <c r="AB364" i="8"/>
  <c r="AB365" i="8"/>
  <c r="AB366" i="8"/>
  <c r="AB367" i="8"/>
  <c r="AB368" i="8"/>
  <c r="AB369" i="8"/>
  <c r="AB370" i="8"/>
  <c r="AB371" i="8"/>
  <c r="AB372" i="8"/>
  <c r="AB373" i="8"/>
  <c r="AB374" i="8"/>
  <c r="AB375" i="8"/>
  <c r="AB376" i="8"/>
  <c r="AB377" i="8"/>
  <c r="AB378" i="8"/>
  <c r="AB379" i="8"/>
  <c r="AB380" i="8"/>
  <c r="AB381" i="8"/>
  <c r="AB382" i="8"/>
  <c r="AB383" i="8"/>
  <c r="AB384" i="8"/>
  <c r="AB385" i="8"/>
  <c r="AB386" i="8"/>
  <c r="AB387" i="8"/>
  <c r="AB388" i="8"/>
  <c r="AB389" i="8"/>
  <c r="AB390" i="8"/>
  <c r="AB391" i="8"/>
  <c r="AB392" i="8"/>
  <c r="AB393" i="8"/>
  <c r="AB394" i="8"/>
  <c r="AB395" i="8"/>
  <c r="AB396" i="8"/>
  <c r="AB397" i="8"/>
  <c r="AB398" i="8"/>
  <c r="AB399" i="8"/>
  <c r="AB400" i="8"/>
  <c r="AB401" i="8"/>
  <c r="AB402" i="8"/>
  <c r="AB403" i="8"/>
  <c r="AB404" i="8"/>
  <c r="AB405" i="8"/>
  <c r="AB406" i="8"/>
  <c r="AB407" i="8"/>
  <c r="AB408" i="8"/>
  <c r="AB409" i="8"/>
  <c r="AB410" i="8"/>
  <c r="AB411" i="8"/>
  <c r="AB412" i="8"/>
  <c r="AB413" i="8"/>
  <c r="AB414" i="8"/>
  <c r="AB415" i="8"/>
  <c r="AB416" i="8"/>
  <c r="AB417" i="8"/>
  <c r="AB418" i="8"/>
  <c r="AB419" i="8"/>
  <c r="AB420" i="8"/>
  <c r="AB421" i="8"/>
  <c r="AB422" i="8"/>
  <c r="AB423" i="8"/>
  <c r="AB424" i="8"/>
  <c r="AB425" i="8"/>
  <c r="AB426" i="8"/>
  <c r="AB427" i="8"/>
  <c r="AB428" i="8"/>
  <c r="AB429" i="8"/>
  <c r="AB430" i="8"/>
  <c r="AB431" i="8"/>
  <c r="AB432" i="8"/>
  <c r="AB433" i="8"/>
  <c r="AB434" i="8"/>
  <c r="AB435" i="8"/>
  <c r="AB436" i="8"/>
  <c r="AB437" i="8"/>
  <c r="AB438" i="8"/>
  <c r="AB439" i="8"/>
  <c r="AB440" i="8"/>
  <c r="AB441" i="8"/>
  <c r="AB442" i="8"/>
  <c r="AB443" i="8"/>
  <c r="AB444" i="8"/>
  <c r="AB445" i="8"/>
  <c r="AB446" i="8"/>
  <c r="AB447" i="8"/>
  <c r="AB448" i="8"/>
  <c r="AB449" i="8"/>
  <c r="AB450" i="8"/>
  <c r="AB451" i="8"/>
  <c r="AB452" i="8"/>
  <c r="AB453" i="8"/>
  <c r="AB454" i="8"/>
  <c r="AB455" i="8"/>
  <c r="AB456" i="8"/>
  <c r="AB457" i="8"/>
  <c r="AB458" i="8"/>
  <c r="AB459" i="8"/>
  <c r="AB460" i="8"/>
  <c r="AB461" i="8"/>
  <c r="AB462" i="8"/>
  <c r="AB463" i="8"/>
  <c r="AB464" i="8"/>
  <c r="AB465" i="8"/>
  <c r="AB466" i="8"/>
  <c r="AB467" i="8"/>
  <c r="AB468" i="8"/>
  <c r="AB469" i="8"/>
  <c r="AB470" i="8"/>
  <c r="AB471" i="8"/>
  <c r="AB472" i="8"/>
  <c r="AB473" i="8"/>
  <c r="AB474" i="8"/>
  <c r="AB475" i="8"/>
  <c r="AB476" i="8"/>
  <c r="AB477" i="8"/>
  <c r="AB478" i="8"/>
  <c r="AB479" i="8"/>
  <c r="AB480" i="8"/>
  <c r="AB481" i="8"/>
  <c r="AB482" i="8"/>
  <c r="AB483" i="8"/>
  <c r="AB484" i="8"/>
  <c r="AB485" i="8"/>
  <c r="AB486" i="8"/>
  <c r="AB487" i="8"/>
  <c r="AB488" i="8"/>
  <c r="AB489" i="8"/>
  <c r="AB490" i="8"/>
  <c r="AB491" i="8"/>
  <c r="AB492" i="8"/>
  <c r="AB493" i="8"/>
  <c r="AB494" i="8"/>
  <c r="AB495" i="8"/>
  <c r="AB496" i="8"/>
  <c r="AB497" i="8"/>
  <c r="AB498" i="8"/>
  <c r="AB499" i="8"/>
  <c r="AB500" i="8"/>
  <c r="AB501" i="8"/>
  <c r="AB502" i="8"/>
  <c r="AB503" i="8"/>
  <c r="AB504" i="8"/>
  <c r="AB505" i="8"/>
  <c r="AB506" i="8"/>
  <c r="AB507" i="8"/>
  <c r="AB508" i="8"/>
  <c r="AB509" i="8"/>
  <c r="AB510" i="8"/>
  <c r="AB511" i="8"/>
  <c r="AB512" i="8"/>
  <c r="AB513" i="8"/>
  <c r="AB514" i="8"/>
  <c r="AB515" i="8"/>
  <c r="AB516" i="8"/>
  <c r="AB517" i="8"/>
  <c r="AB518" i="8"/>
  <c r="AB519" i="8"/>
  <c r="AB520" i="8"/>
  <c r="AB521" i="8"/>
  <c r="AB522" i="8"/>
  <c r="AB523" i="8"/>
  <c r="AB524" i="8"/>
  <c r="AB525" i="8"/>
  <c r="AB526" i="8"/>
  <c r="AB527" i="8"/>
  <c r="AB528" i="8"/>
  <c r="AB529" i="8"/>
  <c r="AB530" i="8"/>
  <c r="AB531" i="8"/>
  <c r="AB532" i="8"/>
  <c r="AB533" i="8"/>
  <c r="AB534" i="8"/>
  <c r="AB535" i="8"/>
  <c r="AB536" i="8"/>
  <c r="AB537" i="8"/>
  <c r="AB538" i="8"/>
  <c r="AB539" i="8"/>
  <c r="AB540" i="8"/>
  <c r="AB541" i="8"/>
  <c r="AB542" i="8"/>
  <c r="AB543" i="8"/>
  <c r="AB544" i="8"/>
  <c r="AB545" i="8"/>
  <c r="AB546" i="8"/>
  <c r="AB547" i="8"/>
  <c r="AB548" i="8"/>
  <c r="AB549" i="8"/>
  <c r="AB550" i="8"/>
  <c r="AB551" i="8"/>
  <c r="AB552" i="8"/>
  <c r="AB553" i="8"/>
  <c r="AB554" i="8"/>
  <c r="AB555" i="8"/>
  <c r="AB556" i="8"/>
  <c r="AB557" i="8"/>
  <c r="AB558" i="8"/>
  <c r="AB559" i="8"/>
  <c r="AB560" i="8"/>
  <c r="AB561" i="8"/>
  <c r="AB562" i="8"/>
  <c r="AB563" i="8"/>
  <c r="AB564" i="8"/>
  <c r="AB565" i="8"/>
  <c r="AB566" i="8"/>
  <c r="AB567" i="8"/>
  <c r="AB568" i="8"/>
  <c r="AB569" i="8"/>
  <c r="AB570" i="8"/>
  <c r="AB571" i="8"/>
  <c r="AB572" i="8"/>
  <c r="AB573" i="8"/>
  <c r="AB574" i="8"/>
  <c r="AB575" i="8"/>
  <c r="AB576" i="8"/>
  <c r="AB577" i="8"/>
  <c r="AB578" i="8"/>
  <c r="AB579" i="8"/>
  <c r="AB580" i="8"/>
  <c r="AB581" i="8"/>
  <c r="AB582" i="8"/>
  <c r="AB583" i="8"/>
  <c r="AB584" i="8"/>
  <c r="AB585" i="8"/>
  <c r="AB586" i="8"/>
  <c r="AB587" i="8"/>
  <c r="AB588" i="8"/>
  <c r="AB589" i="8"/>
  <c r="AB590" i="8"/>
  <c r="AB591" i="8"/>
  <c r="AB592" i="8"/>
  <c r="AB593" i="8"/>
  <c r="AB594" i="8"/>
  <c r="AB595" i="8"/>
  <c r="AB596" i="8"/>
  <c r="AB597" i="8"/>
  <c r="AB598" i="8"/>
  <c r="AB599" i="8"/>
  <c r="AB600" i="8"/>
  <c r="AB601" i="8"/>
  <c r="AB602" i="8"/>
  <c r="AB603" i="8"/>
  <c r="AB604" i="8"/>
  <c r="AB605" i="8"/>
  <c r="AB606" i="8"/>
  <c r="AB607" i="8"/>
  <c r="AB608" i="8"/>
  <c r="AB609" i="8"/>
  <c r="AB610" i="8"/>
  <c r="AB611" i="8"/>
  <c r="AB612" i="8"/>
  <c r="AB613" i="8"/>
  <c r="AB614" i="8"/>
  <c r="AB615" i="8"/>
  <c r="AB616" i="8"/>
  <c r="AB617" i="8"/>
  <c r="AB618" i="8"/>
  <c r="AB619" i="8"/>
  <c r="AB620" i="8"/>
  <c r="AB621" i="8"/>
  <c r="AB622" i="8"/>
  <c r="AB623" i="8"/>
  <c r="AB624" i="8"/>
  <c r="AB625" i="8"/>
  <c r="AB626" i="8"/>
  <c r="AB627" i="8"/>
  <c r="AB628" i="8"/>
  <c r="AB629" i="8"/>
  <c r="AB630" i="8"/>
  <c r="AB631" i="8"/>
  <c r="AB632" i="8"/>
  <c r="AB633" i="8"/>
  <c r="AB634" i="8"/>
  <c r="AB635" i="8"/>
  <c r="AB636" i="8"/>
  <c r="AB637" i="8"/>
  <c r="AB638" i="8"/>
  <c r="AB639" i="8"/>
  <c r="AB640" i="8"/>
  <c r="AB641" i="8"/>
  <c r="AB642" i="8"/>
  <c r="AB643" i="8"/>
  <c r="AB644" i="8"/>
  <c r="AB645" i="8"/>
  <c r="AB646" i="8"/>
  <c r="AB647" i="8"/>
  <c r="AB648" i="8"/>
  <c r="AB649" i="8"/>
  <c r="AB650" i="8"/>
  <c r="AB651" i="8"/>
  <c r="AB652" i="8"/>
  <c r="AB653" i="8"/>
  <c r="AB654" i="8"/>
  <c r="AB655" i="8"/>
  <c r="AB656" i="8"/>
  <c r="AB657" i="8"/>
  <c r="AB658" i="8"/>
  <c r="AB659" i="8"/>
  <c r="AB660" i="8"/>
  <c r="AB661" i="8"/>
  <c r="AB662" i="8"/>
  <c r="AB663" i="8"/>
  <c r="AB664" i="8"/>
  <c r="AB665" i="8"/>
  <c r="AB666" i="8"/>
  <c r="AB667" i="8"/>
  <c r="AB668" i="8"/>
  <c r="AB669" i="8"/>
  <c r="AB670" i="8"/>
  <c r="AB671" i="8"/>
  <c r="AB672" i="8"/>
  <c r="AB673" i="8"/>
  <c r="AB674" i="8"/>
  <c r="AB675" i="8"/>
  <c r="AB676" i="8"/>
  <c r="AB677" i="8"/>
  <c r="AB678" i="8"/>
  <c r="AB679" i="8"/>
  <c r="AB680" i="8"/>
  <c r="AB681" i="8"/>
  <c r="AB682" i="8"/>
  <c r="AB683" i="8"/>
  <c r="AB684" i="8"/>
  <c r="AB685" i="8"/>
  <c r="AB686" i="8"/>
  <c r="AB687" i="8"/>
  <c r="AB688" i="8"/>
  <c r="AB689" i="8"/>
  <c r="AB690" i="8"/>
  <c r="AB691" i="8"/>
  <c r="AB692" i="8"/>
  <c r="AB693" i="8"/>
  <c r="AB694" i="8"/>
  <c r="AB695" i="8"/>
  <c r="AB696" i="8"/>
  <c r="AB697" i="8"/>
  <c r="AB698" i="8"/>
  <c r="AB699" i="8"/>
  <c r="AB700" i="8"/>
  <c r="AB701" i="8"/>
  <c r="AB702" i="8"/>
  <c r="AB703" i="8"/>
  <c r="AB704" i="8"/>
  <c r="AB705" i="8"/>
  <c r="AB706" i="8"/>
  <c r="AB707" i="8"/>
  <c r="AB708" i="8"/>
  <c r="AB709" i="8"/>
  <c r="AB710" i="8"/>
  <c r="AB711" i="8"/>
  <c r="AB712" i="8"/>
  <c r="AB713" i="8"/>
  <c r="AB714" i="8"/>
  <c r="AB715" i="8"/>
  <c r="AB716" i="8"/>
  <c r="AB717" i="8"/>
  <c r="AB718" i="8"/>
  <c r="AB719" i="8"/>
  <c r="AB720" i="8"/>
  <c r="AB721" i="8"/>
  <c r="AB722" i="8"/>
  <c r="AB723" i="8"/>
  <c r="AB724" i="8"/>
  <c r="AB725" i="8"/>
  <c r="AB726" i="8"/>
  <c r="AB727" i="8"/>
  <c r="AB728" i="8"/>
  <c r="AB729" i="8"/>
  <c r="AB730" i="8"/>
  <c r="AB731" i="8"/>
  <c r="AB732" i="8"/>
  <c r="AB733" i="8"/>
  <c r="AB734" i="8"/>
  <c r="AB735" i="8"/>
  <c r="AB736" i="8"/>
  <c r="AB737" i="8"/>
  <c r="AB738" i="8"/>
  <c r="AB739" i="8"/>
  <c r="AB740" i="8"/>
  <c r="AB741" i="8"/>
  <c r="AB742" i="8"/>
  <c r="AB743" i="8"/>
  <c r="AB744" i="8"/>
  <c r="AB745" i="8"/>
  <c r="AB746" i="8"/>
  <c r="AB747" i="8"/>
  <c r="AB748" i="8"/>
  <c r="AB749" i="8"/>
  <c r="AB750" i="8"/>
  <c r="AB751" i="8"/>
  <c r="AB752" i="8"/>
  <c r="AB753" i="8"/>
  <c r="AB754" i="8"/>
  <c r="AB755" i="8"/>
  <c r="AB756" i="8"/>
  <c r="AB757" i="8"/>
  <c r="AB758" i="8"/>
  <c r="AB759" i="8"/>
  <c r="AB760" i="8"/>
  <c r="AB761" i="8"/>
  <c r="AB762" i="8"/>
  <c r="AB763" i="8"/>
  <c r="AB764" i="8"/>
  <c r="AB765" i="8"/>
  <c r="AB766" i="8"/>
  <c r="AB767" i="8"/>
  <c r="AB768" i="8"/>
  <c r="AB769" i="8"/>
  <c r="AB770" i="8"/>
  <c r="AB771" i="8"/>
  <c r="AB772" i="8"/>
  <c r="AB773" i="8"/>
  <c r="AB774" i="8"/>
  <c r="AB775" i="8"/>
  <c r="AB776" i="8"/>
  <c r="AB777" i="8"/>
  <c r="AB778" i="8"/>
  <c r="AB779" i="8"/>
  <c r="AB780" i="8"/>
  <c r="AB781" i="8"/>
  <c r="AB782" i="8"/>
  <c r="AB783" i="8"/>
  <c r="AB784" i="8"/>
  <c r="AB785" i="8"/>
  <c r="AB786" i="8"/>
  <c r="AB787" i="8"/>
  <c r="AB788" i="8"/>
  <c r="AB789" i="8"/>
  <c r="AB790" i="8"/>
  <c r="AB791" i="8"/>
  <c r="AB792" i="8"/>
  <c r="AB793" i="8"/>
  <c r="AB794" i="8"/>
  <c r="AB795" i="8"/>
  <c r="AB796" i="8"/>
  <c r="AB797" i="8"/>
  <c r="AB798" i="8"/>
  <c r="AB799" i="8"/>
  <c r="AB800" i="8"/>
  <c r="AB801" i="8"/>
  <c r="AB802" i="8"/>
  <c r="AB803" i="8"/>
  <c r="AB804" i="8"/>
  <c r="AB805" i="8"/>
  <c r="AB806" i="8"/>
  <c r="AB807" i="8"/>
  <c r="AB808" i="8"/>
  <c r="AB809" i="8"/>
  <c r="AB810" i="8"/>
  <c r="AB811" i="8"/>
  <c r="AB812" i="8"/>
  <c r="AB813" i="8"/>
  <c r="AB814" i="8"/>
  <c r="AB815" i="8"/>
  <c r="AB816" i="8"/>
  <c r="AB817" i="8"/>
  <c r="AB818" i="8"/>
  <c r="AB819" i="8"/>
  <c r="AB820" i="8"/>
  <c r="AB821" i="8"/>
  <c r="AB822" i="8"/>
  <c r="AB823" i="8"/>
  <c r="AB824" i="8"/>
  <c r="AB825" i="8"/>
  <c r="AB826" i="8"/>
  <c r="AB827" i="8"/>
  <c r="AB828" i="8"/>
  <c r="AB829" i="8"/>
  <c r="AB830" i="8"/>
  <c r="AB831" i="8"/>
  <c r="AB832" i="8"/>
  <c r="AB833" i="8"/>
  <c r="AB834" i="8"/>
  <c r="AB835" i="8"/>
  <c r="AB836" i="8"/>
  <c r="AB837" i="8"/>
  <c r="AB838" i="8"/>
  <c r="AB839" i="8"/>
  <c r="AB840" i="8"/>
  <c r="AB841" i="8"/>
  <c r="AB842" i="8"/>
  <c r="AB843" i="8"/>
  <c r="AB844" i="8"/>
  <c r="AB845" i="8"/>
  <c r="AB846" i="8"/>
  <c r="AB847" i="8"/>
  <c r="AB848" i="8"/>
  <c r="AB849" i="8"/>
  <c r="AB850" i="8"/>
  <c r="AB851" i="8"/>
  <c r="AB852" i="8"/>
  <c r="AB853" i="8"/>
  <c r="AB854" i="8"/>
  <c r="AB855" i="8"/>
  <c r="AB856" i="8"/>
  <c r="AB857" i="8"/>
  <c r="AB858" i="8"/>
  <c r="AB859" i="8"/>
  <c r="AB860" i="8"/>
  <c r="AB861" i="8"/>
  <c r="AB862" i="8"/>
  <c r="AB863" i="8"/>
  <c r="AB864" i="8"/>
  <c r="AB865" i="8"/>
  <c r="AB866" i="8"/>
  <c r="AB867" i="8"/>
  <c r="AB868" i="8"/>
  <c r="AB869" i="8"/>
  <c r="AB870" i="8"/>
  <c r="AB871" i="8"/>
  <c r="AB872" i="8"/>
  <c r="AB873" i="8"/>
  <c r="AB874" i="8"/>
  <c r="AB875" i="8"/>
  <c r="AB876" i="8"/>
  <c r="AB877" i="8"/>
  <c r="AB878" i="8"/>
  <c r="AB879" i="8"/>
  <c r="AB880" i="8"/>
  <c r="AB881" i="8"/>
  <c r="AB882" i="8"/>
  <c r="AB883" i="8"/>
  <c r="AB884" i="8"/>
  <c r="AB885" i="8"/>
  <c r="AB886" i="8"/>
  <c r="AB887" i="8"/>
  <c r="AB888" i="8"/>
  <c r="AB889" i="8"/>
  <c r="AB890" i="8"/>
  <c r="AB891" i="8"/>
  <c r="AB892" i="8"/>
  <c r="AB893" i="8"/>
  <c r="AB894" i="8"/>
  <c r="AB895" i="8"/>
  <c r="AB896" i="8"/>
  <c r="AB897" i="8"/>
  <c r="AB898" i="8"/>
  <c r="AB899" i="8"/>
  <c r="AB900" i="8"/>
  <c r="AB901" i="8"/>
  <c r="AB902" i="8"/>
  <c r="AB903" i="8"/>
  <c r="AB904" i="8"/>
  <c r="AB905" i="8"/>
  <c r="AB906" i="8"/>
  <c r="AB907" i="8"/>
  <c r="AB908" i="8"/>
  <c r="AB909" i="8"/>
  <c r="AB910" i="8"/>
  <c r="AB911" i="8"/>
  <c r="AB912" i="8"/>
  <c r="AB913" i="8"/>
  <c r="AB914" i="8"/>
  <c r="AB915" i="8"/>
  <c r="AB916" i="8"/>
  <c r="AB917" i="8"/>
  <c r="AB918" i="8"/>
  <c r="AB919" i="8"/>
  <c r="AB920" i="8"/>
  <c r="AB921" i="8"/>
  <c r="AB922" i="8"/>
  <c r="AB923" i="8"/>
  <c r="AB924" i="8"/>
  <c r="AB925" i="8"/>
  <c r="AB926" i="8"/>
  <c r="AB927" i="8"/>
  <c r="AB928" i="8"/>
  <c r="AB929" i="8"/>
  <c r="AB930" i="8"/>
  <c r="AB931" i="8"/>
  <c r="AB932" i="8"/>
  <c r="AB933" i="8"/>
  <c r="AB934" i="8"/>
  <c r="AB935" i="8"/>
  <c r="AB936" i="8"/>
  <c r="AB937" i="8"/>
  <c r="AB938" i="8"/>
  <c r="AB939" i="8"/>
  <c r="AB940" i="8"/>
  <c r="AB941" i="8"/>
  <c r="AB942" i="8"/>
  <c r="AB943" i="8"/>
  <c r="AB944" i="8"/>
  <c r="AB945" i="8"/>
  <c r="AB946" i="8"/>
  <c r="AB947" i="8"/>
  <c r="AB948" i="8"/>
  <c r="AB949" i="8"/>
  <c r="AB950" i="8"/>
  <c r="AB951" i="8"/>
  <c r="AB952" i="8"/>
  <c r="AB953" i="8"/>
  <c r="AB954" i="8"/>
  <c r="AB955" i="8"/>
  <c r="AB956" i="8"/>
  <c r="AB957" i="8"/>
  <c r="AB958" i="8"/>
  <c r="AB959" i="8"/>
  <c r="AB960" i="8"/>
  <c r="AB961" i="8"/>
  <c r="AB962" i="8"/>
  <c r="AB963" i="8"/>
  <c r="AB964" i="8"/>
  <c r="AB965" i="8"/>
  <c r="AB966" i="8"/>
  <c r="AB967" i="8"/>
  <c r="AB968" i="8"/>
  <c r="AB969" i="8"/>
  <c r="AB970" i="8"/>
  <c r="AB971" i="8"/>
  <c r="AB972" i="8"/>
  <c r="AB973" i="8"/>
  <c r="AB974" i="8"/>
  <c r="AB975" i="8"/>
  <c r="AB976" i="8"/>
  <c r="AB977" i="8"/>
  <c r="AB978" i="8"/>
  <c r="AB979" i="8"/>
  <c r="AB980" i="8"/>
  <c r="AB981" i="8"/>
  <c r="AB982" i="8"/>
  <c r="AB983" i="8"/>
  <c r="AB984" i="8"/>
  <c r="AB985" i="8"/>
  <c r="AB986" i="8"/>
  <c r="AB987" i="8"/>
  <c r="AB988" i="8"/>
  <c r="AB989" i="8"/>
  <c r="AB990" i="8"/>
  <c r="AB991" i="8"/>
  <c r="AB992" i="8"/>
  <c r="AB993" i="8"/>
  <c r="AB994" i="8"/>
  <c r="AB995" i="8"/>
  <c r="AB996" i="8"/>
  <c r="AB997" i="8"/>
  <c r="AB998" i="8"/>
  <c r="AB999" i="8"/>
  <c r="AB1000" i="8"/>
  <c r="AB1001" i="8"/>
  <c r="AB1002" i="8"/>
  <c r="AB1003" i="8"/>
  <c r="AB1004" i="8"/>
  <c r="AB1005" i="8"/>
  <c r="AB1006" i="8"/>
  <c r="AB1007" i="8"/>
  <c r="AB1008" i="8"/>
  <c r="AB1009" i="8"/>
  <c r="AB1010" i="8"/>
  <c r="AB1011" i="8"/>
  <c r="AB1012" i="8"/>
  <c r="AB1013" i="8"/>
  <c r="AB1014" i="8"/>
  <c r="AB1015" i="8"/>
  <c r="AB1016" i="8"/>
  <c r="AB1017" i="8"/>
  <c r="AB1018" i="8"/>
  <c r="AB1019" i="8"/>
  <c r="AB1020" i="8"/>
  <c r="AB1021" i="8"/>
  <c r="AB1022" i="8"/>
  <c r="AB1023" i="8"/>
  <c r="AB1024" i="8"/>
  <c r="AB1025" i="8"/>
  <c r="AB1026" i="8"/>
  <c r="AB1027" i="8"/>
  <c r="AB1028" i="8"/>
  <c r="AB1029" i="8"/>
  <c r="AB1030" i="8"/>
  <c r="AB1031" i="8"/>
  <c r="AB1032" i="8"/>
  <c r="AB1033" i="8"/>
  <c r="AB1034" i="8"/>
  <c r="AB1035" i="8"/>
  <c r="AB1036" i="8"/>
  <c r="AB1037" i="8"/>
  <c r="AB1038" i="8"/>
  <c r="AB1039" i="8"/>
  <c r="AB1040" i="8"/>
  <c r="AB1041" i="8"/>
  <c r="AB1042" i="8"/>
  <c r="AB1043" i="8"/>
  <c r="AB1044" i="8"/>
  <c r="AB1045" i="8"/>
  <c r="AB1046" i="8"/>
  <c r="AB1047" i="8"/>
  <c r="AB1048" i="8"/>
  <c r="AB1049" i="8"/>
  <c r="AB1050" i="8"/>
  <c r="AB1051" i="8"/>
  <c r="AB1052" i="8"/>
  <c r="AB1053" i="8"/>
  <c r="AB1054" i="8"/>
  <c r="AB1055" i="8"/>
  <c r="AB1056" i="8"/>
  <c r="AB1057" i="8"/>
  <c r="AB1058" i="8"/>
  <c r="AB1059" i="8"/>
  <c r="AB1060" i="8"/>
  <c r="AB1061" i="8"/>
  <c r="AB1062" i="8"/>
  <c r="AB1063" i="8"/>
  <c r="AB1064" i="8"/>
  <c r="AB1065" i="8"/>
  <c r="AB1066" i="8"/>
  <c r="AB1067" i="8"/>
  <c r="AB1068" i="8"/>
  <c r="AB1069" i="8"/>
  <c r="AB1070" i="8"/>
  <c r="AB1071" i="8"/>
  <c r="AB1072" i="8"/>
  <c r="AB1073" i="8"/>
  <c r="AB1074" i="8"/>
  <c r="AB1075" i="8"/>
  <c r="AB1076" i="8"/>
  <c r="AB1077" i="8"/>
  <c r="AB1078" i="8"/>
  <c r="AB1079" i="8"/>
  <c r="AB1080" i="8"/>
  <c r="AB1081" i="8"/>
  <c r="AB1082" i="8"/>
  <c r="AB1083" i="8"/>
  <c r="AB1084" i="8"/>
  <c r="AB1085" i="8"/>
  <c r="AB1086" i="8"/>
  <c r="AB1087" i="8"/>
  <c r="AB1088" i="8"/>
  <c r="AB1089" i="8"/>
  <c r="AB1090" i="8"/>
  <c r="AB1091" i="8"/>
  <c r="AB1092" i="8"/>
  <c r="AB1093" i="8"/>
  <c r="AB1094" i="8"/>
  <c r="AB1095" i="8"/>
  <c r="AB1096" i="8"/>
  <c r="AB1097" i="8"/>
  <c r="AB1098" i="8"/>
  <c r="AB1099" i="8"/>
  <c r="AB1100" i="8"/>
  <c r="AB1101" i="8"/>
  <c r="AB1102" i="8"/>
  <c r="AB1103" i="8"/>
  <c r="AB1104" i="8"/>
  <c r="AB1105" i="8"/>
  <c r="AB1106" i="8"/>
  <c r="AB1107" i="8"/>
  <c r="AB1108" i="8"/>
  <c r="AB1109" i="8"/>
  <c r="AB1110" i="8"/>
  <c r="AB1111" i="8"/>
  <c r="AB1112" i="8"/>
  <c r="AB1113" i="8"/>
  <c r="AB1114" i="8"/>
  <c r="AB1115" i="8"/>
  <c r="AB1116" i="8"/>
  <c r="AB1117" i="8"/>
  <c r="AB1118" i="8"/>
  <c r="AB1119" i="8"/>
  <c r="AB1120" i="8"/>
  <c r="AB1121" i="8"/>
  <c r="AB1122" i="8"/>
  <c r="AB1123" i="8"/>
  <c r="AB1124" i="8"/>
  <c r="AB1125" i="8"/>
  <c r="AB1126" i="8"/>
  <c r="AB1127" i="8"/>
  <c r="AB1128" i="8"/>
  <c r="AB1129" i="8"/>
  <c r="AB1130" i="8"/>
  <c r="AB1131" i="8"/>
  <c r="AB1132" i="8"/>
  <c r="AB1133" i="8"/>
  <c r="AB1134" i="8"/>
  <c r="AB1135" i="8"/>
  <c r="AB1136" i="8"/>
  <c r="AB1137" i="8"/>
  <c r="AB1138" i="8"/>
  <c r="AB1139" i="8"/>
  <c r="AB1140" i="8"/>
  <c r="AB1141" i="8"/>
  <c r="AB1142" i="8"/>
  <c r="AB1143" i="8"/>
  <c r="AB1144" i="8"/>
  <c r="AB1145" i="8"/>
  <c r="AB1146" i="8"/>
  <c r="AB1147" i="8"/>
  <c r="AB1148" i="8"/>
  <c r="AB1149" i="8"/>
  <c r="AB1150" i="8"/>
  <c r="AB1151" i="8"/>
  <c r="AB1152" i="8"/>
  <c r="AB1153" i="8"/>
  <c r="AB1154" i="8"/>
  <c r="AB1155" i="8"/>
  <c r="AB1156" i="8"/>
  <c r="AB1157" i="8"/>
  <c r="AB1158" i="8"/>
  <c r="AB1159" i="8"/>
  <c r="AB1160" i="8"/>
  <c r="AB1161" i="8"/>
  <c r="AB1162" i="8"/>
  <c r="AB1163" i="8"/>
  <c r="AB1164" i="8"/>
  <c r="AB1165" i="8"/>
  <c r="AB1166" i="8"/>
  <c r="AB1167" i="8"/>
  <c r="AB1168" i="8"/>
  <c r="AB1169" i="8"/>
  <c r="AB1170" i="8"/>
  <c r="AB1171" i="8"/>
  <c r="AB1172" i="8"/>
  <c r="AB1173" i="8"/>
  <c r="AB1174" i="8"/>
  <c r="AB1175" i="8"/>
  <c r="AB1176" i="8"/>
  <c r="AB1177" i="8"/>
  <c r="AB1178" i="8"/>
  <c r="AB1179" i="8"/>
  <c r="AB1180" i="8"/>
  <c r="AB1181" i="8"/>
  <c r="AB1182" i="8"/>
  <c r="AB1183" i="8"/>
  <c r="AB1184" i="8"/>
  <c r="AB1185" i="8"/>
  <c r="AB1186" i="8"/>
  <c r="AB1187" i="8"/>
  <c r="AB1188" i="8"/>
  <c r="AB1189" i="8"/>
  <c r="AB1190" i="8"/>
  <c r="AB1191" i="8"/>
  <c r="AB1192" i="8"/>
  <c r="AB1193" i="8"/>
  <c r="AB1194" i="8"/>
  <c r="AB1195" i="8"/>
  <c r="AB1196" i="8"/>
  <c r="AB1197" i="8"/>
  <c r="AB1198" i="8"/>
  <c r="AB1199" i="8"/>
  <c r="AB1200" i="8"/>
  <c r="AB1201" i="8"/>
  <c r="AB1202" i="8"/>
  <c r="AB1203" i="8"/>
  <c r="AB1204" i="8"/>
  <c r="AB1205" i="8"/>
  <c r="AB1206" i="8"/>
  <c r="AB1207" i="8"/>
  <c r="AB1208" i="8"/>
  <c r="AB1209" i="8"/>
  <c r="AB1210" i="8"/>
  <c r="AB1211" i="8"/>
  <c r="AB1212" i="8"/>
  <c r="AB1213" i="8"/>
  <c r="AB1214" i="8"/>
  <c r="AB1215" i="8"/>
  <c r="AB1216" i="8"/>
  <c r="AB1217" i="8"/>
  <c r="AB1218" i="8"/>
  <c r="AB1219" i="8"/>
  <c r="AB1220" i="8"/>
  <c r="AB1221" i="8"/>
  <c r="AB1222" i="8"/>
  <c r="AB1223" i="8"/>
  <c r="AB1224" i="8"/>
  <c r="AB1225" i="8"/>
  <c r="AB1226" i="8"/>
  <c r="AB1227" i="8"/>
  <c r="AB1228" i="8"/>
  <c r="AB1229" i="8"/>
  <c r="AB1230" i="8"/>
  <c r="AB1231" i="8"/>
  <c r="AB1232" i="8"/>
  <c r="AB1233" i="8"/>
  <c r="AB1234" i="8"/>
  <c r="AB1235" i="8"/>
  <c r="AB1236" i="8"/>
  <c r="AB1237" i="8"/>
  <c r="AB1238" i="8"/>
  <c r="AB1239" i="8"/>
  <c r="AB1240" i="8"/>
  <c r="AB1241" i="8"/>
  <c r="AB1242" i="8"/>
  <c r="AB1243" i="8"/>
  <c r="AB1244" i="8"/>
  <c r="AB1245" i="8"/>
  <c r="AB1246" i="8"/>
  <c r="AB1247" i="8"/>
  <c r="AB1248" i="8"/>
  <c r="AB1249" i="8"/>
  <c r="AB1250" i="8"/>
  <c r="AB1251" i="8"/>
  <c r="AB1252" i="8"/>
  <c r="AB1253" i="8"/>
  <c r="AB1254" i="8"/>
  <c r="AB1255" i="8"/>
  <c r="AB1256" i="8"/>
  <c r="AB1257" i="8"/>
  <c r="AB1258" i="8"/>
  <c r="AB1259" i="8"/>
  <c r="AB1260" i="8"/>
  <c r="AB1261" i="8"/>
  <c r="AB1262" i="8"/>
  <c r="AB1263" i="8"/>
  <c r="AB1264" i="8"/>
  <c r="AB1265" i="8"/>
  <c r="AB1266" i="8"/>
  <c r="AB1267" i="8"/>
  <c r="AB1268" i="8"/>
  <c r="AB1269" i="8"/>
  <c r="AB1270" i="8"/>
  <c r="AB1271" i="8"/>
  <c r="AB1272" i="8"/>
  <c r="AB1273" i="8"/>
  <c r="AB1274" i="8"/>
  <c r="AB1275" i="8"/>
  <c r="AB1276" i="8"/>
  <c r="AB1277" i="8"/>
  <c r="AB1278" i="8"/>
  <c r="AB1279" i="8"/>
  <c r="AB1280" i="8"/>
  <c r="AB1281" i="8"/>
  <c r="AB1282" i="8"/>
  <c r="AB1283" i="8"/>
  <c r="AB1284" i="8"/>
  <c r="AB1285" i="8"/>
  <c r="AB1286" i="8"/>
  <c r="AB1287" i="8"/>
  <c r="AB1288" i="8"/>
  <c r="AB1289" i="8"/>
  <c r="AB1290" i="8"/>
  <c r="AB1291" i="8"/>
  <c r="AB1292" i="8"/>
  <c r="AB1293" i="8"/>
  <c r="AB1294" i="8"/>
  <c r="AB1295" i="8"/>
  <c r="AB1296" i="8"/>
  <c r="AB1297" i="8"/>
  <c r="AB1298" i="8"/>
  <c r="AB1299" i="8"/>
  <c r="AB1300" i="8"/>
  <c r="AB1301" i="8"/>
  <c r="AB1302" i="8"/>
  <c r="AB1303" i="8"/>
  <c r="AB1304" i="8"/>
  <c r="AB1305" i="8"/>
  <c r="AB1306" i="8"/>
  <c r="AB1307" i="8"/>
  <c r="AB1308" i="8"/>
  <c r="AB1309" i="8"/>
  <c r="AB1310" i="8"/>
  <c r="AB1311" i="8"/>
  <c r="AB1312" i="8"/>
  <c r="AB1313" i="8"/>
  <c r="AB1314" i="8"/>
  <c r="AB1315" i="8"/>
  <c r="AB1316" i="8"/>
  <c r="AB1317" i="8"/>
  <c r="AB1318" i="8"/>
  <c r="AB1319" i="8"/>
  <c r="AB1320" i="8"/>
  <c r="AB1321" i="8"/>
  <c r="AB1322" i="8"/>
  <c r="AB1323" i="8"/>
  <c r="AB1324" i="8"/>
  <c r="AB1325" i="8"/>
  <c r="AB1326" i="8"/>
  <c r="AB1327" i="8"/>
  <c r="AB1328" i="8"/>
  <c r="AB1329" i="8"/>
  <c r="AB1330" i="8"/>
  <c r="AB1331" i="8"/>
  <c r="AB1332" i="8"/>
  <c r="AB1333" i="8"/>
  <c r="AB1334" i="8"/>
  <c r="AB1335" i="8"/>
  <c r="AB1336" i="8"/>
  <c r="AB1337" i="8"/>
  <c r="AB1338" i="8"/>
  <c r="AB1339" i="8"/>
  <c r="AB1340" i="8"/>
  <c r="AB1341" i="8"/>
  <c r="AB1342" i="8"/>
  <c r="AB1343" i="8"/>
  <c r="AB1344" i="8"/>
  <c r="AB1345" i="8"/>
  <c r="AB1346" i="8"/>
  <c r="AB1347" i="8"/>
  <c r="AB1348" i="8"/>
  <c r="AB1349" i="8"/>
  <c r="AB1350" i="8"/>
  <c r="AB1351" i="8"/>
  <c r="AB1352" i="8"/>
  <c r="AB1353" i="8"/>
  <c r="AB1354" i="8"/>
  <c r="AB1355" i="8"/>
  <c r="AB1356" i="8"/>
  <c r="AB1357" i="8"/>
  <c r="AB1358" i="8"/>
  <c r="AB1359" i="8"/>
  <c r="AB1360" i="8"/>
  <c r="AB1361" i="8"/>
  <c r="AB1362" i="8"/>
  <c r="AB1363" i="8"/>
  <c r="AB1364" i="8"/>
  <c r="AB1365" i="8"/>
  <c r="AB1366" i="8"/>
  <c r="AB1367" i="8"/>
  <c r="AB1368" i="8"/>
  <c r="AB1369" i="8"/>
  <c r="AB1370" i="8"/>
  <c r="AB1371" i="8"/>
  <c r="AB1372" i="8"/>
  <c r="AB1373" i="8"/>
  <c r="AB1374" i="8"/>
  <c r="AB1375" i="8"/>
  <c r="AB1376" i="8"/>
  <c r="AB1377" i="8"/>
  <c r="AB1378" i="8"/>
  <c r="AB1379" i="8"/>
  <c r="AB1380" i="8"/>
  <c r="AB1381" i="8"/>
  <c r="AB1382" i="8"/>
  <c r="AB1383" i="8"/>
  <c r="AB1384" i="8"/>
  <c r="AB1385" i="8"/>
  <c r="AB1386" i="8"/>
  <c r="AB1387" i="8"/>
  <c r="AB1388" i="8"/>
  <c r="AB1389" i="8"/>
  <c r="AB1390" i="8"/>
  <c r="AB1391" i="8"/>
  <c r="AB1392" i="8"/>
  <c r="AB1393" i="8"/>
  <c r="AB1394" i="8"/>
  <c r="AB1395" i="8"/>
  <c r="AB1396" i="8"/>
  <c r="AB1397" i="8"/>
  <c r="AB1398" i="8"/>
  <c r="AB1399" i="8"/>
  <c r="AB1400" i="8"/>
  <c r="AB1401" i="8"/>
  <c r="AB1402" i="8"/>
  <c r="AB1403" i="8"/>
  <c r="AB1404" i="8"/>
  <c r="AB1405" i="8"/>
  <c r="AB1406" i="8"/>
  <c r="AB1407" i="8"/>
  <c r="AB1408" i="8"/>
  <c r="AB1409" i="8"/>
  <c r="AB1410" i="8"/>
  <c r="AB1411" i="8"/>
  <c r="AB1412" i="8"/>
  <c r="AB1413" i="8"/>
  <c r="AB1414" i="8"/>
  <c r="AB1415" i="8"/>
  <c r="AB1416" i="8"/>
  <c r="AB1417" i="8"/>
  <c r="AB1418" i="8"/>
  <c r="AB1419" i="8"/>
  <c r="AB1420" i="8"/>
  <c r="AB1421" i="8"/>
  <c r="AB1422" i="8"/>
  <c r="AB1423" i="8"/>
  <c r="AB1424" i="8"/>
  <c r="AB1425" i="8"/>
  <c r="AB1426" i="8"/>
  <c r="AB1427" i="8"/>
  <c r="AB1428" i="8"/>
  <c r="AB1429" i="8"/>
  <c r="AB1430" i="8"/>
  <c r="AB1431" i="8"/>
  <c r="AB1432" i="8"/>
  <c r="AB1433" i="8"/>
  <c r="AB1434" i="8"/>
  <c r="AB1435" i="8"/>
  <c r="AB1436" i="8"/>
  <c r="AB1437" i="8"/>
  <c r="AB1438" i="8"/>
  <c r="AB1439" i="8"/>
  <c r="AB1440" i="8"/>
  <c r="AB1441" i="8"/>
  <c r="AB1442" i="8"/>
  <c r="AB1443" i="8"/>
  <c r="AB1444" i="8"/>
  <c r="AB1445" i="8"/>
  <c r="AB1446" i="8"/>
  <c r="AB1447" i="8"/>
  <c r="AB1448" i="8"/>
  <c r="AB1449" i="8"/>
  <c r="AB1450" i="8"/>
  <c r="AB1451" i="8"/>
  <c r="AB1452" i="8"/>
  <c r="AB1453" i="8"/>
  <c r="AB1454" i="8"/>
  <c r="AB1455" i="8"/>
  <c r="AB1456" i="8"/>
  <c r="AB1457" i="8"/>
  <c r="AB1458" i="8"/>
  <c r="AB1459" i="8"/>
  <c r="AB1460" i="8"/>
  <c r="AB1461" i="8"/>
  <c r="AB1462" i="8"/>
  <c r="AB1463" i="8"/>
  <c r="AB1464" i="8"/>
  <c r="AB1465" i="8"/>
  <c r="AB1466" i="8"/>
  <c r="AB1467" i="8"/>
  <c r="AB1468" i="8"/>
  <c r="AB1469" i="8"/>
  <c r="AB1470" i="8"/>
  <c r="AB1471" i="8"/>
  <c r="AB1472" i="8"/>
  <c r="AB1473" i="8"/>
  <c r="AB1474" i="8"/>
  <c r="AB1475" i="8"/>
  <c r="AB1476" i="8"/>
  <c r="AB1477" i="8"/>
  <c r="AB1478" i="8"/>
  <c r="AB1479" i="8"/>
  <c r="AB1480" i="8"/>
  <c r="AB1481" i="8"/>
  <c r="AB1482" i="8"/>
  <c r="AB1483" i="8"/>
  <c r="AB1484" i="8"/>
  <c r="AB1485" i="8"/>
  <c r="AB1486" i="8"/>
  <c r="AB1487" i="8"/>
  <c r="AB1488" i="8"/>
  <c r="AB1489" i="8"/>
  <c r="AB1490" i="8"/>
  <c r="AB1491" i="8"/>
  <c r="AB1492" i="8"/>
  <c r="AB1493" i="8"/>
  <c r="AB1494" i="8"/>
  <c r="AB1495" i="8"/>
  <c r="AB1496" i="8"/>
  <c r="AB1497" i="8"/>
  <c r="AB1498" i="8"/>
  <c r="AB1499" i="8"/>
  <c r="AB1500" i="8"/>
  <c r="AB1501" i="8"/>
  <c r="AB1502" i="8"/>
  <c r="AB1503" i="8"/>
  <c r="AB1504" i="8"/>
  <c r="AB1505" i="8"/>
  <c r="AB1506" i="8"/>
  <c r="AB1507" i="8"/>
  <c r="AB1508" i="8"/>
  <c r="AB1509" i="8"/>
  <c r="AB1510" i="8"/>
  <c r="AB1511" i="8"/>
  <c r="AB1512" i="8"/>
  <c r="AB1513" i="8"/>
  <c r="AB1514" i="8"/>
  <c r="AB1515" i="8"/>
  <c r="AB1516" i="8"/>
  <c r="AB1517" i="8"/>
  <c r="AB1518" i="8"/>
  <c r="AB1519" i="8"/>
  <c r="AB1520" i="8"/>
  <c r="AB1521" i="8"/>
  <c r="AB1522" i="8"/>
  <c r="AB1523" i="8"/>
  <c r="AB1524" i="8"/>
  <c r="AB1525" i="8"/>
  <c r="AB1526" i="8"/>
  <c r="AB1527" i="8"/>
  <c r="AB1528" i="8"/>
  <c r="AB1529" i="8"/>
  <c r="AB1530" i="8"/>
  <c r="AB1531" i="8"/>
  <c r="AB1532" i="8"/>
  <c r="AB1533" i="8"/>
  <c r="AB1534" i="8"/>
  <c r="AB1535" i="8"/>
  <c r="AB1536" i="8"/>
  <c r="AB1537" i="8"/>
  <c r="AB1538" i="8"/>
  <c r="AB1539" i="8"/>
  <c r="AB1540" i="8"/>
  <c r="AB1541" i="8"/>
  <c r="AB1542" i="8"/>
  <c r="AB1543" i="8"/>
  <c r="AB1544" i="8"/>
  <c r="AB1545" i="8"/>
  <c r="AB1546" i="8"/>
  <c r="AB1547" i="8"/>
  <c r="AB1548" i="8"/>
  <c r="AB1549" i="8"/>
  <c r="AB1550" i="8"/>
  <c r="AB1551" i="8"/>
  <c r="AB1552" i="8"/>
  <c r="AB1553" i="8"/>
  <c r="AB1554" i="8"/>
  <c r="AB1555" i="8"/>
  <c r="AB1556" i="8"/>
  <c r="AB1557" i="8"/>
  <c r="AB1558" i="8"/>
  <c r="AB1559" i="8"/>
  <c r="AB1560" i="8"/>
  <c r="AB1561" i="8"/>
  <c r="AB1562" i="8"/>
  <c r="AB1563" i="8"/>
  <c r="AB1564" i="8"/>
  <c r="AB1565" i="8"/>
  <c r="AB1566" i="8"/>
  <c r="AB1567" i="8"/>
  <c r="AB1568" i="8"/>
  <c r="AB1569" i="8"/>
  <c r="AB1570" i="8"/>
  <c r="AB1571" i="8"/>
  <c r="AB1572" i="8"/>
  <c r="AB1573" i="8"/>
  <c r="AB1574" i="8"/>
  <c r="AB1575" i="8"/>
  <c r="AB1576" i="8"/>
  <c r="AB1577" i="8"/>
  <c r="AB1578" i="8"/>
  <c r="AB1579" i="8"/>
  <c r="AB1580" i="8"/>
  <c r="AB1581" i="8"/>
  <c r="AB1582" i="8"/>
  <c r="AB1583" i="8"/>
  <c r="AB1584" i="8"/>
  <c r="AB1585" i="8"/>
  <c r="AB1586" i="8"/>
  <c r="AB1587" i="8"/>
  <c r="AB1588" i="8"/>
  <c r="AB1589" i="8"/>
  <c r="AB1590" i="8"/>
  <c r="AB1591" i="8"/>
  <c r="AB1592" i="8"/>
  <c r="AB1593" i="8"/>
  <c r="AB1594" i="8"/>
  <c r="AB1595" i="8"/>
  <c r="AB1596" i="8"/>
  <c r="AB1597" i="8"/>
  <c r="AB1598" i="8"/>
  <c r="AB1599" i="8"/>
  <c r="AB1600" i="8"/>
  <c r="AB1601" i="8"/>
  <c r="AB1602" i="8"/>
  <c r="AB1603" i="8"/>
  <c r="AB1604" i="8"/>
  <c r="AB1605" i="8"/>
  <c r="AB1606" i="8"/>
  <c r="AB1607" i="8"/>
  <c r="AB1608" i="8"/>
  <c r="AB1609" i="8"/>
  <c r="AB1610" i="8"/>
  <c r="AB1611" i="8"/>
  <c r="AB1612" i="8"/>
  <c r="AB1613" i="8"/>
  <c r="AB1614" i="8"/>
  <c r="AB1615" i="8"/>
  <c r="AB1616" i="8"/>
  <c r="AB1617" i="8"/>
  <c r="AB1618" i="8"/>
  <c r="AB1619" i="8"/>
  <c r="AB1620" i="8"/>
  <c r="AB1621" i="8"/>
  <c r="AB1622" i="8"/>
  <c r="AB1623" i="8"/>
  <c r="AB1624" i="8"/>
  <c r="AB1625" i="8"/>
  <c r="AB1626" i="8"/>
  <c r="AB1627" i="8"/>
  <c r="AB1628" i="8"/>
  <c r="AB1629" i="8"/>
  <c r="AB1630" i="8"/>
  <c r="AB1631" i="8"/>
  <c r="AB1632" i="8"/>
  <c r="AB1633" i="8"/>
  <c r="AB1634" i="8"/>
  <c r="AB1635" i="8"/>
  <c r="AB1636" i="8"/>
  <c r="AB1637" i="8"/>
  <c r="AB1638" i="8"/>
  <c r="AB1639" i="8"/>
  <c r="AB1640" i="8"/>
  <c r="AB1641" i="8"/>
  <c r="AB1642" i="8"/>
  <c r="AB1643" i="8"/>
  <c r="AB1644" i="8"/>
  <c r="AB1645" i="8"/>
  <c r="AB1646" i="8"/>
  <c r="AB1647" i="8"/>
  <c r="AB1648" i="8"/>
  <c r="AB1649" i="8"/>
  <c r="AB1650" i="8"/>
  <c r="AB1651" i="8"/>
  <c r="AB1652" i="8"/>
  <c r="AB1653" i="8"/>
  <c r="AB1654" i="8"/>
  <c r="AB1655" i="8"/>
  <c r="AB1656" i="8"/>
  <c r="AB1657" i="8"/>
  <c r="AB1658" i="8"/>
  <c r="AB1659" i="8"/>
  <c r="AB1660" i="8"/>
  <c r="AB1661" i="8"/>
  <c r="AB1662" i="8"/>
  <c r="AB1663" i="8"/>
  <c r="AB1664" i="8"/>
  <c r="AB1665" i="8"/>
  <c r="AB1666" i="8"/>
  <c r="AB1667" i="8"/>
  <c r="AB1668" i="8"/>
  <c r="AB1669" i="8"/>
  <c r="AB1670" i="8"/>
  <c r="AB1671" i="8"/>
  <c r="AB1672" i="8"/>
  <c r="AB1673" i="8"/>
  <c r="AB1674" i="8"/>
  <c r="AB1675" i="8"/>
  <c r="AB1676" i="8"/>
  <c r="AB1677" i="8"/>
  <c r="AB1678" i="8"/>
  <c r="AB1679" i="8"/>
  <c r="AB1680" i="8"/>
  <c r="AB1681" i="8"/>
  <c r="AB1682" i="8"/>
  <c r="AB1683" i="8"/>
  <c r="AB1684" i="8"/>
  <c r="AB1685" i="8"/>
  <c r="AB1686" i="8"/>
  <c r="AB1687" i="8"/>
  <c r="AB1688" i="8"/>
  <c r="AB1689" i="8"/>
  <c r="AB1690" i="8"/>
  <c r="AB1691" i="8"/>
  <c r="AB1692" i="8"/>
  <c r="AB1693" i="8"/>
  <c r="AB1694" i="8"/>
  <c r="AB1695" i="8"/>
  <c r="AB1696" i="8"/>
  <c r="AB1697" i="8"/>
  <c r="AB1698" i="8"/>
  <c r="AB1699" i="8"/>
  <c r="AB1700" i="8"/>
  <c r="AB1701" i="8"/>
  <c r="AB1702" i="8"/>
  <c r="AB1703" i="8"/>
  <c r="AB1704" i="8"/>
  <c r="AB1705" i="8"/>
  <c r="AB1706" i="8"/>
  <c r="AB1707" i="8"/>
  <c r="AB1708" i="8"/>
  <c r="AB1709" i="8"/>
  <c r="AB1710" i="8"/>
  <c r="AB1711" i="8"/>
  <c r="AB1712" i="8"/>
  <c r="AB1713" i="8"/>
  <c r="AB1714" i="8"/>
  <c r="AB1715" i="8"/>
  <c r="AB1716" i="8"/>
  <c r="AB1717" i="8"/>
  <c r="AB1718" i="8"/>
  <c r="AB1719" i="8"/>
  <c r="AB1720" i="8"/>
  <c r="AB1721" i="8"/>
  <c r="AB1722" i="8"/>
  <c r="AB1723" i="8"/>
  <c r="AB1724" i="8"/>
  <c r="AB1725" i="8"/>
  <c r="AB1726" i="8"/>
  <c r="AB1727" i="8"/>
  <c r="AB1728" i="8"/>
  <c r="AB1729" i="8"/>
  <c r="AB1730" i="8"/>
  <c r="AB1731" i="8"/>
  <c r="AB1732" i="8"/>
  <c r="AB1733" i="8"/>
  <c r="AB1734" i="8"/>
  <c r="AB1735" i="8"/>
  <c r="AB1736" i="8"/>
  <c r="AB1737" i="8"/>
  <c r="AB1738" i="8"/>
  <c r="AB1739" i="8"/>
  <c r="AB1740" i="8"/>
  <c r="AB1741" i="8"/>
  <c r="AB1742" i="8"/>
  <c r="AB1743" i="8"/>
  <c r="AB1744" i="8"/>
  <c r="AB1745" i="8"/>
  <c r="AB1746" i="8"/>
  <c r="AB1747" i="8"/>
  <c r="AB1748" i="8"/>
  <c r="AB1749" i="8"/>
  <c r="AB1750" i="8"/>
  <c r="AB1751" i="8"/>
  <c r="AB1752" i="8"/>
  <c r="AB1753" i="8"/>
  <c r="AB1754" i="8"/>
  <c r="AB1755" i="8"/>
  <c r="AB1756" i="8"/>
  <c r="AB1757" i="8"/>
  <c r="AB1758" i="8"/>
  <c r="AB1759" i="8"/>
  <c r="AB1760" i="8"/>
  <c r="AB1761" i="8"/>
  <c r="AB1762" i="8"/>
  <c r="AB1763" i="8"/>
  <c r="AB1764" i="8"/>
  <c r="AB1765" i="8"/>
  <c r="AB1766" i="8"/>
  <c r="AB1767" i="8"/>
  <c r="AB1768" i="8"/>
  <c r="AB1769" i="8"/>
  <c r="AB1770" i="8"/>
  <c r="AB1771" i="8"/>
  <c r="AB1772" i="8"/>
  <c r="AB1773" i="8"/>
  <c r="AB1774" i="8"/>
  <c r="AB1775" i="8"/>
  <c r="AB1776" i="8"/>
  <c r="AB1777" i="8"/>
  <c r="AB1778" i="8"/>
  <c r="AB1779" i="8"/>
  <c r="AB1780" i="8"/>
  <c r="AB1781" i="8"/>
  <c r="AB1782" i="8"/>
  <c r="AB1783" i="8"/>
  <c r="AB1784" i="8"/>
  <c r="AB1785" i="8"/>
  <c r="AB1786" i="8"/>
  <c r="AB1787" i="8"/>
  <c r="AB1788" i="8"/>
  <c r="AB1789" i="8"/>
  <c r="AB1790" i="8"/>
  <c r="AB1791" i="8"/>
  <c r="AB1792" i="8"/>
  <c r="AB1793" i="8"/>
  <c r="AB1794" i="8"/>
  <c r="AB1795" i="8"/>
  <c r="AB1796" i="8"/>
  <c r="AB1797" i="8"/>
  <c r="AB1798" i="8"/>
  <c r="AB1799" i="8"/>
  <c r="AB1800" i="8"/>
  <c r="AB1801" i="8"/>
  <c r="AB1802" i="8"/>
  <c r="AB1803" i="8"/>
  <c r="AB1804" i="8"/>
  <c r="AB1805" i="8"/>
  <c r="AB1806" i="8"/>
  <c r="AB1807" i="8"/>
  <c r="AB1808" i="8"/>
  <c r="AB1809" i="8"/>
  <c r="AB1810" i="8"/>
  <c r="AB1811" i="8"/>
  <c r="AB1812" i="8"/>
  <c r="AB1813" i="8"/>
  <c r="AB1814" i="8"/>
  <c r="AB1815" i="8"/>
  <c r="AB1816" i="8"/>
  <c r="AB1817" i="8"/>
  <c r="AB1818" i="8"/>
  <c r="AB1819" i="8"/>
  <c r="AB1820" i="8"/>
  <c r="AB1821" i="8"/>
  <c r="AB1822" i="8"/>
  <c r="AB1823" i="8"/>
  <c r="AB1824" i="8"/>
  <c r="AB1825" i="8"/>
  <c r="AB1826" i="8"/>
  <c r="AB1827" i="8"/>
  <c r="AB1828" i="8"/>
  <c r="AB1829" i="8"/>
  <c r="AB1830" i="8"/>
  <c r="AB1831" i="8"/>
  <c r="AB1832" i="8"/>
  <c r="AB1833" i="8"/>
  <c r="AB1834" i="8"/>
  <c r="AB1835" i="8"/>
  <c r="AB1836" i="8"/>
  <c r="AB1837" i="8"/>
  <c r="AB1838" i="8"/>
  <c r="AB1839" i="8"/>
  <c r="AB1840" i="8"/>
  <c r="AB1841" i="8"/>
  <c r="AB1842" i="8"/>
  <c r="AB1843" i="8"/>
  <c r="AB1844" i="8"/>
  <c r="AB1845" i="8"/>
  <c r="AB1846" i="8"/>
  <c r="AB1847" i="8"/>
  <c r="AB1848" i="8"/>
  <c r="AB1849" i="8"/>
  <c r="AB1850" i="8"/>
  <c r="AB1851" i="8"/>
  <c r="AB1852" i="8"/>
  <c r="AB1853" i="8"/>
  <c r="AB1854" i="8"/>
  <c r="AB1855" i="8"/>
  <c r="AB1856" i="8"/>
  <c r="AB1857" i="8"/>
  <c r="AB1858" i="8"/>
  <c r="AB1859" i="8"/>
  <c r="AB1860" i="8"/>
  <c r="AB1861" i="8"/>
  <c r="AB1862" i="8"/>
  <c r="AB1863" i="8"/>
  <c r="AB1864" i="8"/>
  <c r="AB1865" i="8"/>
  <c r="AB1866" i="8"/>
  <c r="AB1867" i="8"/>
  <c r="AB1868" i="8"/>
  <c r="AB1869" i="8"/>
  <c r="AB1870" i="8"/>
  <c r="AB1871" i="8"/>
  <c r="AB1872" i="8"/>
  <c r="AB1873" i="8"/>
  <c r="AB1874" i="8"/>
  <c r="AB1875" i="8"/>
  <c r="AB1876" i="8"/>
  <c r="AB1877" i="8"/>
  <c r="AB1878" i="8"/>
  <c r="AB1879" i="8"/>
  <c r="AB1880" i="8"/>
  <c r="AB1881" i="8"/>
  <c r="AB1882" i="8"/>
  <c r="AB1883" i="8"/>
  <c r="AB1884" i="8"/>
  <c r="AB1885" i="8"/>
  <c r="AB1886" i="8"/>
  <c r="AB1887" i="8"/>
  <c r="AB1888" i="8"/>
  <c r="AB1889" i="8"/>
  <c r="AB1890" i="8"/>
  <c r="AB1891" i="8"/>
  <c r="AB1892" i="8"/>
  <c r="AB1893" i="8"/>
  <c r="AB1894" i="8"/>
  <c r="AB1895" i="8"/>
  <c r="AB1896" i="8"/>
  <c r="AB1897" i="8"/>
  <c r="AB1898" i="8"/>
  <c r="AB1899" i="8"/>
  <c r="AB1900" i="8"/>
  <c r="AB1901" i="8"/>
  <c r="AB1902" i="8"/>
  <c r="AB1903" i="8"/>
  <c r="AB1904" i="8"/>
  <c r="AB1905" i="8"/>
  <c r="AB1906" i="8"/>
  <c r="AB1907" i="8"/>
  <c r="AB1908" i="8"/>
  <c r="AB1909" i="8"/>
  <c r="AB1910" i="8"/>
  <c r="AB1911" i="8"/>
  <c r="AB1912" i="8"/>
  <c r="AB1913" i="8"/>
  <c r="AB1914" i="8"/>
  <c r="AB1915" i="8"/>
  <c r="AB1916" i="8"/>
  <c r="AB1917" i="8"/>
  <c r="AB1918" i="8"/>
  <c r="AB1919" i="8"/>
  <c r="AB1920" i="8"/>
  <c r="AB1921" i="8"/>
  <c r="AB1922" i="8"/>
  <c r="AB1923" i="8"/>
  <c r="AB1924" i="8"/>
  <c r="AB1925" i="8"/>
  <c r="AB1926" i="8"/>
  <c r="AB1927" i="8"/>
  <c r="AB1928" i="8"/>
  <c r="AB1929" i="8"/>
  <c r="AB1930" i="8"/>
  <c r="AB1931" i="8"/>
  <c r="AB1932" i="8"/>
  <c r="AB1933" i="8"/>
  <c r="AB1934" i="8"/>
  <c r="AB1935" i="8"/>
  <c r="AB1936" i="8"/>
  <c r="AB1937" i="8"/>
  <c r="AB1938" i="8"/>
  <c r="AB1939" i="8"/>
  <c r="AB1940" i="8"/>
  <c r="AB1941" i="8"/>
  <c r="AB1942" i="8"/>
  <c r="AB1943" i="8"/>
  <c r="AB1944" i="8"/>
  <c r="AB1945" i="8"/>
  <c r="AB1946" i="8"/>
  <c r="AB1947" i="8"/>
  <c r="AB1948" i="8"/>
  <c r="AB1949" i="8"/>
  <c r="AB1950" i="8"/>
  <c r="AB1951" i="8"/>
  <c r="AB1952" i="8"/>
  <c r="AB1953" i="8"/>
  <c r="AB1954" i="8"/>
  <c r="AB1955" i="8"/>
  <c r="AB1956" i="8"/>
  <c r="AB1957" i="8"/>
  <c r="AB1958" i="8"/>
  <c r="AB1959" i="8"/>
  <c r="AB1960" i="8"/>
  <c r="AB1961" i="8"/>
  <c r="AB1962" i="8"/>
  <c r="AB1963" i="8"/>
  <c r="AB1964" i="8"/>
  <c r="AB1965" i="8"/>
  <c r="AB1966" i="8"/>
  <c r="AB1967" i="8"/>
  <c r="AB1968" i="8"/>
  <c r="AB1969" i="8"/>
  <c r="AB1970" i="8"/>
  <c r="AB1971" i="8"/>
  <c r="AB1972" i="8"/>
  <c r="AB1973" i="8"/>
  <c r="AB1974" i="8"/>
  <c r="AB1975" i="8"/>
  <c r="AB1976" i="8"/>
  <c r="AB1977" i="8"/>
  <c r="AB1978" i="8"/>
  <c r="AB1979" i="8"/>
  <c r="AB1980" i="8"/>
  <c r="AB1981" i="8"/>
  <c r="AB1982" i="8"/>
  <c r="AB1983" i="8"/>
  <c r="AB1984" i="8"/>
  <c r="AB1985" i="8"/>
  <c r="AB1986" i="8"/>
  <c r="AB1987" i="8"/>
  <c r="AB1988" i="8"/>
  <c r="AB1989" i="8"/>
  <c r="AB1990" i="8"/>
  <c r="AB1991" i="8"/>
  <c r="AB1992" i="8"/>
  <c r="AB1993" i="8"/>
  <c r="AB1994" i="8"/>
  <c r="AB1995" i="8"/>
  <c r="AB1996" i="8"/>
  <c r="AB1997" i="8"/>
  <c r="AB1998" i="8"/>
  <c r="AB1999" i="8"/>
  <c r="AB2000" i="8"/>
  <c r="AB2001" i="8"/>
  <c r="AB2002" i="8"/>
  <c r="AB2003" i="8"/>
  <c r="AB2004" i="8"/>
  <c r="AB2005" i="8"/>
  <c r="AB2006" i="8"/>
  <c r="AB2007" i="8"/>
  <c r="AB2008" i="8"/>
  <c r="AB2009" i="8"/>
  <c r="AB2010" i="8"/>
  <c r="AB2011" i="8"/>
  <c r="AB2012" i="8"/>
  <c r="AB2013" i="8"/>
  <c r="AB2014" i="8"/>
  <c r="AB2015" i="8"/>
  <c r="AB2016" i="8"/>
  <c r="AB2017" i="8"/>
  <c r="AB2018" i="8"/>
  <c r="AB2019" i="8"/>
  <c r="AB2020" i="8"/>
  <c r="AB2021" i="8"/>
  <c r="AB2022" i="8"/>
  <c r="AB2023" i="8"/>
  <c r="AB2024" i="8"/>
  <c r="AB2025" i="8"/>
  <c r="AB2026" i="8"/>
  <c r="AB2027" i="8"/>
  <c r="AB2028" i="8"/>
  <c r="AB2029" i="8"/>
  <c r="AB2030" i="8"/>
  <c r="AB2031" i="8"/>
  <c r="AB2032" i="8"/>
  <c r="AB2033" i="8"/>
  <c r="AB2034" i="8"/>
  <c r="AB2035" i="8"/>
  <c r="AB2036" i="8"/>
  <c r="AB2037" i="8"/>
  <c r="AB2038" i="8"/>
  <c r="AB2039" i="8"/>
  <c r="AB2040" i="8"/>
  <c r="AB2041" i="8"/>
  <c r="AB2042" i="8"/>
  <c r="AB2043" i="8"/>
  <c r="AB2044" i="8"/>
  <c r="AB2045" i="8"/>
  <c r="AB2046" i="8"/>
  <c r="AB2047" i="8"/>
  <c r="AB2048" i="8"/>
  <c r="AB2049" i="8"/>
  <c r="AB2050" i="8"/>
  <c r="AB2051" i="8"/>
  <c r="AB2052" i="8"/>
  <c r="AB2053" i="8"/>
  <c r="AB2054" i="8"/>
  <c r="AB2055" i="8"/>
  <c r="AB2056" i="8"/>
  <c r="AB2057" i="8"/>
  <c r="AB2058" i="8"/>
  <c r="AB2059" i="8"/>
  <c r="AB2060" i="8"/>
  <c r="AB2061" i="8"/>
  <c r="AB2062" i="8"/>
  <c r="AB2063" i="8"/>
  <c r="AB2064" i="8"/>
  <c r="AB2065" i="8"/>
  <c r="AB2066" i="8"/>
  <c r="AB2067" i="8"/>
  <c r="AB2068" i="8"/>
  <c r="AB2069" i="8"/>
  <c r="AB2070" i="8"/>
  <c r="AB2071" i="8"/>
  <c r="AB2072" i="8"/>
  <c r="AB2073" i="8"/>
  <c r="AB2074" i="8"/>
  <c r="AB2075" i="8"/>
  <c r="AB2076" i="8"/>
  <c r="AB2077" i="8"/>
  <c r="AB2078" i="8"/>
  <c r="AB2079" i="8"/>
  <c r="AB2080" i="8"/>
  <c r="AB2081" i="8"/>
  <c r="AB2082" i="8"/>
  <c r="AB2083" i="8"/>
  <c r="AB2084" i="8"/>
  <c r="AB2085" i="8"/>
  <c r="AB2086" i="8"/>
  <c r="AB2087" i="8"/>
  <c r="AB2088" i="8"/>
  <c r="AB2089" i="8"/>
  <c r="AB2090" i="8"/>
  <c r="AB2091" i="8"/>
  <c r="AB2092" i="8"/>
  <c r="AB2093" i="8"/>
  <c r="AB2094" i="8"/>
  <c r="AB2095" i="8"/>
  <c r="AB2096" i="8"/>
  <c r="AB2097" i="8"/>
  <c r="AB2098" i="8"/>
  <c r="AB2099" i="8"/>
  <c r="AB2100" i="8"/>
  <c r="AB2101" i="8"/>
  <c r="AB2102" i="8"/>
  <c r="AB2103" i="8"/>
  <c r="AB2104" i="8"/>
  <c r="AB2105" i="8"/>
  <c r="AB2106" i="8"/>
  <c r="AB2107" i="8"/>
  <c r="AB2108" i="8"/>
  <c r="AB2109" i="8"/>
  <c r="AB2110" i="8"/>
  <c r="AB2111" i="8"/>
  <c r="AB2112" i="8"/>
  <c r="AB2113" i="8"/>
  <c r="AB2114" i="8"/>
  <c r="AB2115" i="8"/>
  <c r="AB2116" i="8"/>
  <c r="AB2117" i="8"/>
  <c r="AB2118" i="8"/>
  <c r="AB2119" i="8"/>
  <c r="AB2120" i="8"/>
  <c r="AB2121" i="8"/>
  <c r="AB2122" i="8"/>
  <c r="AB2123" i="8"/>
  <c r="AB2124" i="8"/>
  <c r="AB2125" i="8"/>
  <c r="AB2126" i="8"/>
  <c r="AB2127" i="8"/>
  <c r="AB2128" i="8"/>
  <c r="AB2129" i="8"/>
  <c r="AB2130" i="8"/>
  <c r="AB2131" i="8"/>
  <c r="AB2132" i="8"/>
  <c r="AB2133" i="8"/>
  <c r="AB2134" i="8"/>
  <c r="AB2135" i="8"/>
  <c r="AB2136" i="8"/>
  <c r="AB2137" i="8"/>
  <c r="AB2138" i="8"/>
  <c r="AB2139" i="8"/>
  <c r="AB2140" i="8"/>
  <c r="AB2141" i="8"/>
  <c r="AB2142" i="8"/>
  <c r="AB2143" i="8"/>
  <c r="AB2144" i="8"/>
  <c r="AB2145" i="8"/>
  <c r="AB2146" i="8"/>
  <c r="AB2147" i="8"/>
  <c r="AB2148" i="8"/>
  <c r="AB2149" i="8"/>
  <c r="AB2150" i="8"/>
  <c r="AB2151" i="8"/>
  <c r="AB2152" i="8"/>
  <c r="AB2153" i="8"/>
  <c r="AB2154" i="8"/>
  <c r="AB2155" i="8"/>
  <c r="AB2156" i="8"/>
  <c r="AB2157" i="8"/>
  <c r="AB2158" i="8"/>
  <c r="AB2159" i="8"/>
  <c r="AB2160" i="8"/>
  <c r="AB2161" i="8"/>
  <c r="AB2162" i="8"/>
  <c r="AB2163" i="8"/>
  <c r="AB2164" i="8"/>
  <c r="AB2165" i="8"/>
  <c r="AB2166" i="8"/>
  <c r="AB2167" i="8"/>
  <c r="AB2168" i="8"/>
  <c r="AB2169" i="8"/>
  <c r="AB2170" i="8"/>
  <c r="AB2171" i="8"/>
  <c r="AB2172" i="8"/>
  <c r="AB2173" i="8"/>
  <c r="AB2174" i="8"/>
  <c r="AB2175" i="8"/>
  <c r="AB2176" i="8"/>
  <c r="AB2177" i="8"/>
  <c r="AB2178" i="8"/>
  <c r="AB2179" i="8"/>
  <c r="AB2180" i="8"/>
  <c r="AB2181" i="8"/>
  <c r="AB2182" i="8"/>
  <c r="AB2183" i="8"/>
  <c r="AB2184" i="8"/>
  <c r="AB2185" i="8"/>
  <c r="AB2186" i="8"/>
  <c r="AB2187" i="8"/>
  <c r="AB2188" i="8"/>
  <c r="AB2189" i="8"/>
  <c r="AB2190" i="8"/>
  <c r="AB2191" i="8"/>
  <c r="AB2192" i="8"/>
  <c r="AB2193" i="8"/>
  <c r="AB2194" i="8"/>
  <c r="AB2195" i="8"/>
  <c r="AB2196" i="8"/>
  <c r="AB2197" i="8"/>
  <c r="AB2198" i="8"/>
  <c r="AB2199" i="8"/>
  <c r="AB2200" i="8"/>
  <c r="AB2201" i="8"/>
  <c r="AB2202" i="8"/>
  <c r="AB2203" i="8"/>
  <c r="AB2204" i="8"/>
  <c r="AB2205" i="8"/>
  <c r="AB2206" i="8"/>
  <c r="AB2207" i="8"/>
  <c r="AB2208" i="8"/>
  <c r="AB2209" i="8"/>
  <c r="AB2210" i="8"/>
  <c r="AB2211" i="8"/>
  <c r="AB2212" i="8"/>
  <c r="AB2213" i="8"/>
  <c r="AB2214" i="8"/>
  <c r="AB2215" i="8"/>
  <c r="AB2216" i="8"/>
  <c r="AB2217" i="8"/>
  <c r="AB2218" i="8"/>
  <c r="AB2219" i="8"/>
  <c r="AB2220" i="8"/>
  <c r="AB2221" i="8"/>
  <c r="AB2222" i="8"/>
  <c r="AB2223" i="8"/>
  <c r="AB2224" i="8"/>
  <c r="AB2225" i="8"/>
  <c r="AB2226" i="8"/>
  <c r="AB2227" i="8"/>
  <c r="AB2228" i="8"/>
  <c r="AB2229" i="8"/>
  <c r="AB2230" i="8"/>
  <c r="AB2231" i="8"/>
  <c r="AB2232" i="8"/>
  <c r="AB2233" i="8"/>
  <c r="AB2234" i="8"/>
  <c r="AB2235" i="8"/>
  <c r="AB2236" i="8"/>
  <c r="AB2237" i="8"/>
  <c r="AB2238" i="8"/>
  <c r="AB2239" i="8"/>
  <c r="AB2240" i="8"/>
  <c r="AB2241" i="8"/>
  <c r="AB2242" i="8"/>
  <c r="AB2243" i="8"/>
  <c r="AB2244" i="8"/>
  <c r="AB2245" i="8"/>
  <c r="AB2246" i="8"/>
  <c r="AB2247" i="8"/>
  <c r="AB2248" i="8"/>
  <c r="AB2249" i="8"/>
  <c r="AB2250" i="8"/>
  <c r="AB2251" i="8"/>
  <c r="AB2252" i="8"/>
  <c r="AB2253" i="8"/>
  <c r="AB2254" i="8"/>
  <c r="AB2255" i="8"/>
  <c r="AB2256" i="8"/>
  <c r="AB2257" i="8"/>
  <c r="AB2258" i="8"/>
  <c r="AB2259" i="8"/>
  <c r="AB2260" i="8"/>
  <c r="AB2261" i="8"/>
  <c r="AB2262" i="8"/>
  <c r="AB2263" i="8"/>
  <c r="AB2264" i="8"/>
  <c r="AB2265" i="8"/>
  <c r="AB2266" i="8"/>
  <c r="AB2267" i="8"/>
  <c r="AB2268" i="8"/>
  <c r="AB2269" i="8"/>
  <c r="AB2270" i="8"/>
  <c r="AB2271" i="8"/>
  <c r="AB2272" i="8"/>
  <c r="AB2273" i="8"/>
  <c r="AB2274" i="8"/>
  <c r="AB2275" i="8"/>
  <c r="AB2276" i="8"/>
  <c r="AB2277" i="8"/>
  <c r="AB2278" i="8"/>
  <c r="AB2279" i="8"/>
  <c r="AB2280" i="8"/>
  <c r="AB2281" i="8"/>
  <c r="AB2282" i="8"/>
  <c r="AB2283" i="8"/>
  <c r="AB2284" i="8"/>
  <c r="AB2285" i="8"/>
  <c r="AB2286" i="8"/>
  <c r="AB2287" i="8"/>
  <c r="AB2288" i="8"/>
  <c r="AB2289" i="8"/>
  <c r="AB2290" i="8"/>
  <c r="AB2291" i="8"/>
  <c r="AB2292" i="8"/>
  <c r="AB2293" i="8"/>
  <c r="AB2294" i="8"/>
  <c r="AB2295" i="8"/>
  <c r="AB2296" i="8"/>
  <c r="AB2297" i="8"/>
  <c r="AB2298" i="8"/>
  <c r="AB2299" i="8"/>
  <c r="AB2300" i="8"/>
  <c r="AB2301" i="8"/>
  <c r="AB2302" i="8"/>
  <c r="AB2303" i="8"/>
  <c r="AB2304" i="8"/>
  <c r="AB2305" i="8"/>
  <c r="AB2306" i="8"/>
  <c r="AB2307" i="8"/>
  <c r="AB2308" i="8"/>
  <c r="AB2309" i="8"/>
  <c r="AB2310" i="8"/>
  <c r="AB2311" i="8"/>
  <c r="AB2312" i="8"/>
  <c r="AB2313" i="8"/>
  <c r="AB2314" i="8"/>
  <c r="AB2315" i="8"/>
  <c r="AB2316" i="8"/>
  <c r="AB2317" i="8"/>
  <c r="AB2318" i="8"/>
  <c r="AB2319" i="8"/>
  <c r="AB2320" i="8"/>
  <c r="AB2321" i="8"/>
  <c r="AB2322" i="8"/>
  <c r="AB2323" i="8"/>
  <c r="AB2324" i="8"/>
  <c r="AB2325" i="8"/>
  <c r="AB2326" i="8"/>
  <c r="AB2327" i="8"/>
  <c r="AB2328" i="8"/>
  <c r="AB2329" i="8"/>
  <c r="AB2330" i="8"/>
  <c r="AB2331" i="8"/>
  <c r="AB2332" i="8"/>
  <c r="AB2333" i="8"/>
  <c r="AB2334" i="8"/>
  <c r="AB2335" i="8"/>
  <c r="AB2336" i="8"/>
  <c r="AB2337" i="8"/>
  <c r="AB2338" i="8"/>
  <c r="AB2339" i="8"/>
  <c r="AB2340" i="8"/>
  <c r="AB2341" i="8"/>
  <c r="AB2342" i="8"/>
  <c r="AB2343" i="8"/>
  <c r="AB2344" i="8"/>
  <c r="AB2345" i="8"/>
  <c r="AB2346" i="8"/>
  <c r="AB2347" i="8"/>
  <c r="AB2348" i="8"/>
  <c r="AB2349" i="8"/>
  <c r="AB2350" i="8"/>
  <c r="AB2351" i="8"/>
  <c r="AB2352" i="8"/>
  <c r="AB2353" i="8"/>
  <c r="AB2354" i="8"/>
  <c r="AB2355" i="8"/>
  <c r="AB2356" i="8"/>
  <c r="AB2357" i="8"/>
  <c r="AB2358" i="8"/>
  <c r="AB2359" i="8"/>
  <c r="AB2360" i="8"/>
  <c r="AB2361" i="8"/>
  <c r="AB2362" i="8"/>
  <c r="AB2363" i="8"/>
  <c r="AB2364" i="8"/>
  <c r="AB2365" i="8"/>
  <c r="AB2366" i="8"/>
  <c r="AB2367" i="8"/>
  <c r="AB2368" i="8"/>
  <c r="AB2369" i="8"/>
  <c r="AB2370" i="8"/>
  <c r="AB2371" i="8"/>
  <c r="AB2372" i="8"/>
  <c r="AB2373" i="8"/>
  <c r="AB2374" i="8"/>
  <c r="AB2375" i="8"/>
  <c r="AB2376" i="8"/>
  <c r="AB2377" i="8"/>
  <c r="AB2378" i="8"/>
  <c r="AB2379" i="8"/>
  <c r="AB2380" i="8"/>
  <c r="AB2381" i="8"/>
  <c r="AB2382" i="8"/>
  <c r="AB2383" i="8"/>
  <c r="AB2384" i="8"/>
  <c r="AB2385" i="8"/>
  <c r="AB2386" i="8"/>
  <c r="AB2387" i="8"/>
  <c r="AB2388" i="8"/>
  <c r="AB2389" i="8"/>
  <c r="AB2390" i="8"/>
  <c r="AB2391" i="8"/>
  <c r="AB2392" i="8"/>
  <c r="AB2393" i="8"/>
  <c r="AB2394" i="8"/>
  <c r="AB2395" i="8"/>
  <c r="AB2396" i="8"/>
  <c r="AB2397" i="8"/>
  <c r="AB2398" i="8"/>
  <c r="AB2399" i="8"/>
  <c r="AB2400" i="8"/>
  <c r="AB2401" i="8"/>
  <c r="AB2402" i="8"/>
  <c r="AB2403" i="8"/>
  <c r="AB2404" i="8"/>
  <c r="AB2405" i="8"/>
  <c r="AB2406" i="8"/>
  <c r="AB2407" i="8"/>
  <c r="AB2408" i="8"/>
  <c r="AB2409" i="8"/>
  <c r="AB2410" i="8"/>
  <c r="AB2411" i="8"/>
  <c r="AB2412" i="8"/>
  <c r="AB2413" i="8"/>
  <c r="AB2414" i="8"/>
  <c r="AB2415" i="8"/>
  <c r="AB2416" i="8"/>
  <c r="AB2417" i="8"/>
  <c r="AB2418" i="8"/>
  <c r="AB2419" i="8"/>
  <c r="AB2420" i="8"/>
  <c r="AB2421" i="8"/>
  <c r="AB2422" i="8"/>
  <c r="AB2423" i="8"/>
  <c r="AB2424" i="8"/>
  <c r="AB2425" i="8"/>
  <c r="AB2426" i="8"/>
  <c r="AB2427" i="8"/>
  <c r="AB2428" i="8"/>
  <c r="AB2429" i="8"/>
  <c r="AB2430" i="8"/>
  <c r="AB2431" i="8"/>
  <c r="AB2432" i="8"/>
  <c r="AB2433" i="8"/>
  <c r="AB2434" i="8"/>
  <c r="AB2435" i="8"/>
  <c r="AB2436" i="8"/>
  <c r="AB2437" i="8"/>
  <c r="AB2438" i="8"/>
  <c r="AB2439" i="8"/>
  <c r="AB2440" i="8"/>
  <c r="AB2441" i="8"/>
  <c r="AB2442" i="8"/>
  <c r="AB2443" i="8"/>
  <c r="AB2444" i="8"/>
  <c r="AB2445" i="8"/>
  <c r="AB2446" i="8"/>
  <c r="AB2447" i="8"/>
  <c r="AB2448" i="8"/>
  <c r="AB2449" i="8"/>
  <c r="AB2450" i="8"/>
  <c r="AB2451" i="8"/>
  <c r="AB2452" i="8"/>
  <c r="AB2453" i="8"/>
  <c r="AB2454" i="8"/>
  <c r="AB2455" i="8"/>
  <c r="AB2456" i="8"/>
  <c r="AB2457" i="8"/>
  <c r="AB2458" i="8"/>
  <c r="AB2459" i="8"/>
  <c r="AB2460" i="8"/>
  <c r="AB2461" i="8"/>
  <c r="AB2462" i="8"/>
  <c r="AB2463" i="8"/>
  <c r="AB2464" i="8"/>
  <c r="AB2465" i="8"/>
  <c r="AB2466" i="8"/>
  <c r="AB2467" i="8"/>
  <c r="AB2468" i="8"/>
  <c r="AB2469" i="8"/>
  <c r="AB2470" i="8"/>
  <c r="AB2471" i="8"/>
  <c r="AB2472" i="8"/>
  <c r="AB2473" i="8"/>
  <c r="AB2474" i="8"/>
  <c r="AB2475" i="8"/>
  <c r="AB2476" i="8"/>
  <c r="AB2477" i="8"/>
  <c r="AB2478" i="8"/>
  <c r="AB2479" i="8"/>
  <c r="AB2480" i="8"/>
  <c r="AB2481" i="8"/>
  <c r="AB2482" i="8"/>
  <c r="AB2483" i="8"/>
  <c r="AB2484" i="8"/>
  <c r="AB2485" i="8"/>
  <c r="AB2486" i="8"/>
  <c r="AB2487" i="8"/>
  <c r="AB2488" i="8"/>
  <c r="AB2489" i="8"/>
  <c r="AB2490" i="8"/>
  <c r="AB2491" i="8"/>
  <c r="AB2492" i="8"/>
  <c r="AB2493" i="8"/>
  <c r="AB2494" i="8"/>
  <c r="AB2495" i="8"/>
  <c r="AB2496" i="8"/>
  <c r="AB2497" i="8"/>
  <c r="AB2498" i="8"/>
  <c r="AB2499" i="8"/>
  <c r="AB2500" i="8"/>
  <c r="AB2501" i="8"/>
  <c r="AB2502" i="8"/>
  <c r="AB2503" i="8"/>
  <c r="AB2504" i="8"/>
  <c r="AB2505" i="8"/>
  <c r="AB2506" i="8"/>
  <c r="AB2507" i="8"/>
  <c r="AB2508" i="8"/>
  <c r="AB2509" i="8"/>
  <c r="AB2510" i="8"/>
  <c r="AB2511" i="8"/>
  <c r="AB2512" i="8"/>
  <c r="AB2513" i="8"/>
  <c r="AB2514" i="8"/>
  <c r="AB2515" i="8"/>
  <c r="AB2516" i="8"/>
  <c r="AB2517" i="8"/>
  <c r="AB2518" i="8"/>
  <c r="AB2519" i="8"/>
  <c r="AB2520" i="8"/>
  <c r="AB2521" i="8"/>
  <c r="AB2522" i="8"/>
  <c r="AB2523" i="8"/>
  <c r="AB2524" i="8"/>
  <c r="AB2525" i="8"/>
  <c r="AB2526" i="8"/>
  <c r="AB2527" i="8"/>
  <c r="AB2528" i="8"/>
  <c r="AB2529" i="8"/>
  <c r="AB2530" i="8"/>
  <c r="AB2531" i="8"/>
  <c r="AB2532" i="8"/>
  <c r="AB2533" i="8"/>
  <c r="AB2534" i="8"/>
  <c r="AB2535" i="8"/>
  <c r="AB2536" i="8"/>
  <c r="AB2537" i="8"/>
  <c r="AB2538" i="8"/>
  <c r="AB2539" i="8"/>
  <c r="AB2540" i="8"/>
  <c r="AB2541" i="8"/>
  <c r="AB2542" i="8"/>
  <c r="AB2543" i="8"/>
  <c r="AB2544" i="8"/>
  <c r="AB2545" i="8"/>
  <c r="AB2546" i="8"/>
  <c r="AB2547" i="8"/>
  <c r="AB2548" i="8"/>
  <c r="AB2549" i="8"/>
  <c r="AB2550" i="8"/>
  <c r="AB2551" i="8"/>
  <c r="AB2552" i="8"/>
  <c r="AB2553" i="8"/>
  <c r="AB2554" i="8"/>
  <c r="AB2555" i="8"/>
  <c r="AB2556" i="8"/>
  <c r="AB2557" i="8"/>
  <c r="AB2558" i="8"/>
  <c r="AB2559" i="8"/>
  <c r="AB2560" i="8"/>
  <c r="AB2561" i="8"/>
  <c r="AB2562" i="8"/>
  <c r="AB2563" i="8"/>
  <c r="AB2564" i="8"/>
  <c r="AB2565" i="8"/>
  <c r="AB2566" i="8"/>
  <c r="AB2567" i="8"/>
  <c r="AB2568" i="8"/>
  <c r="AB2569" i="8"/>
  <c r="AB2570" i="8"/>
  <c r="AB2571" i="8"/>
  <c r="AB2572" i="8"/>
  <c r="AB2573" i="8"/>
  <c r="AB2574" i="8"/>
  <c r="AB2575" i="8"/>
  <c r="AB2576" i="8"/>
  <c r="AB2577" i="8"/>
  <c r="AB2578" i="8"/>
  <c r="AB2579" i="8"/>
  <c r="AB2580" i="8"/>
  <c r="AB2581" i="8"/>
  <c r="AB2582" i="8"/>
  <c r="AB2583" i="8"/>
  <c r="AB2584" i="8"/>
  <c r="AB2585" i="8"/>
  <c r="AB2586" i="8"/>
  <c r="AB2587" i="8"/>
  <c r="AB2588" i="8"/>
  <c r="AB2589" i="8"/>
  <c r="AB2590" i="8"/>
  <c r="AB2591" i="8"/>
  <c r="AB2592" i="8"/>
  <c r="AB2593" i="8"/>
  <c r="AB2594" i="8"/>
  <c r="AB2595" i="8"/>
  <c r="AB2596" i="8"/>
  <c r="AB2597" i="8"/>
  <c r="AB2598" i="8"/>
  <c r="AB2599" i="8"/>
  <c r="AB2600" i="8"/>
  <c r="AB2601" i="8"/>
  <c r="AB2602" i="8"/>
  <c r="AB2603" i="8"/>
  <c r="AB2604" i="8"/>
  <c r="AB2605" i="8"/>
  <c r="AB2606" i="8"/>
  <c r="AB2607" i="8"/>
  <c r="AB2608" i="8"/>
  <c r="AB2609" i="8"/>
  <c r="AB2610" i="8"/>
  <c r="AB2611" i="8"/>
  <c r="AB2612" i="8"/>
  <c r="AB2613" i="8"/>
  <c r="AB2614" i="8"/>
  <c r="AB2615" i="8"/>
  <c r="AB2616" i="8"/>
  <c r="AB2617" i="8"/>
  <c r="AB2618" i="8"/>
  <c r="AB2619" i="8"/>
  <c r="AB2620" i="8"/>
  <c r="AB2621" i="8"/>
  <c r="AB2622" i="8"/>
  <c r="AB2623" i="8"/>
  <c r="AB2624" i="8"/>
  <c r="AB2625" i="8"/>
  <c r="AB2626" i="8"/>
  <c r="AB2627" i="8"/>
  <c r="AB2628" i="8"/>
  <c r="AB2629" i="8"/>
  <c r="AB2630" i="8"/>
  <c r="AB2631" i="8"/>
  <c r="AB2632" i="8"/>
  <c r="AB2633" i="8"/>
  <c r="AB2634" i="8"/>
  <c r="AB2635" i="8"/>
  <c r="AB2636" i="8"/>
  <c r="AB2637" i="8"/>
  <c r="AB2638" i="8"/>
  <c r="AB2639" i="8"/>
  <c r="AB2640" i="8"/>
  <c r="AB2641" i="8"/>
  <c r="AB2642" i="8"/>
  <c r="AB2643" i="8"/>
  <c r="AB2644" i="8"/>
  <c r="AB2645" i="8"/>
  <c r="AB2646" i="8"/>
  <c r="AB2647" i="8"/>
  <c r="AB2648" i="8"/>
  <c r="AB2649" i="8"/>
  <c r="AB2650" i="8"/>
  <c r="AB2651" i="8"/>
  <c r="AB2652" i="8"/>
  <c r="AB2653" i="8"/>
  <c r="AB2654" i="8"/>
  <c r="AB2655" i="8"/>
  <c r="AB2656" i="8"/>
  <c r="AB2657" i="8"/>
  <c r="AB2658" i="8"/>
  <c r="AB2659" i="8"/>
  <c r="AB2660" i="8"/>
  <c r="AB2661" i="8"/>
  <c r="AB2662" i="8"/>
  <c r="AB2663" i="8"/>
  <c r="AB2664" i="8"/>
  <c r="AB2665" i="8"/>
  <c r="AB2666" i="8"/>
  <c r="AB2667" i="8"/>
  <c r="AB2668" i="8"/>
  <c r="AB2669" i="8"/>
  <c r="AB2670" i="8"/>
  <c r="AB2671" i="8"/>
  <c r="AB2672" i="8"/>
  <c r="AB2673" i="8"/>
  <c r="AB2674" i="8"/>
  <c r="AB2675" i="8"/>
  <c r="AB2676" i="8"/>
  <c r="AB2677" i="8"/>
  <c r="AB2678" i="8"/>
  <c r="AB2679" i="8"/>
  <c r="AB2680" i="8"/>
  <c r="AB2681" i="8"/>
  <c r="AB2682" i="8"/>
  <c r="AB2683" i="8"/>
  <c r="AB2684" i="8"/>
  <c r="AB2685" i="8"/>
  <c r="AB2686" i="8"/>
  <c r="AB2687" i="8"/>
  <c r="AB2688" i="8"/>
  <c r="AB2689" i="8"/>
  <c r="AB2690" i="8"/>
  <c r="AB2691" i="8"/>
  <c r="AB2692" i="8"/>
  <c r="AB2693" i="8"/>
  <c r="AB2694" i="8"/>
  <c r="AB2695" i="8"/>
  <c r="AB2696" i="8"/>
  <c r="AB2697" i="8"/>
  <c r="AB2698" i="8"/>
  <c r="AB2699" i="8"/>
  <c r="AB2700" i="8"/>
  <c r="AB2701" i="8"/>
  <c r="AB2702" i="8"/>
  <c r="AB2703" i="8"/>
  <c r="AB2704" i="8"/>
  <c r="AB2705" i="8"/>
  <c r="AB2706" i="8"/>
  <c r="AB2707" i="8"/>
  <c r="AB2708" i="8"/>
  <c r="AB2709" i="8"/>
  <c r="AB2710" i="8"/>
  <c r="AB2711" i="8"/>
  <c r="AB2712" i="8"/>
  <c r="AB2713" i="8"/>
  <c r="AB2714" i="8"/>
  <c r="AB2715" i="8"/>
  <c r="AB2716" i="8"/>
  <c r="AB2717" i="8"/>
  <c r="AB2718" i="8"/>
  <c r="AB2719" i="8"/>
  <c r="AB2720" i="8"/>
  <c r="AB2721" i="8"/>
  <c r="AB2722" i="8"/>
  <c r="AB2723" i="8"/>
  <c r="AB2724" i="8"/>
  <c r="AB2725" i="8"/>
  <c r="AB2726" i="8"/>
  <c r="AB2727" i="8"/>
  <c r="AB2728" i="8"/>
  <c r="AB2729" i="8"/>
  <c r="AB2730" i="8"/>
  <c r="AB2731" i="8"/>
  <c r="AB2732" i="8"/>
  <c r="AB2733" i="8"/>
  <c r="AB2734" i="8"/>
  <c r="AB2735" i="8"/>
  <c r="AB2736" i="8"/>
  <c r="AB2737" i="8"/>
  <c r="AB2738" i="8"/>
  <c r="AB2739" i="8"/>
  <c r="AB2740" i="8"/>
  <c r="AB2741" i="8"/>
  <c r="AB2742" i="8"/>
  <c r="AB2743" i="8"/>
  <c r="AB2744" i="8"/>
  <c r="AB2745" i="8"/>
  <c r="AB2746" i="8"/>
  <c r="AB2747" i="8"/>
  <c r="AB2748" i="8"/>
  <c r="AB2749" i="8"/>
  <c r="AB2750" i="8"/>
  <c r="AB2751" i="8"/>
  <c r="AB2752" i="8"/>
  <c r="AB2753" i="8"/>
  <c r="AB2754" i="8"/>
  <c r="AB2755" i="8"/>
  <c r="AB2756" i="8"/>
  <c r="AB2757" i="8"/>
  <c r="AB2758" i="8"/>
  <c r="AB2759" i="8"/>
  <c r="AB2760" i="8"/>
  <c r="AB2761" i="8"/>
  <c r="AB2762" i="8"/>
  <c r="AB2763" i="8"/>
  <c r="AB2764" i="8"/>
  <c r="AB2765" i="8"/>
  <c r="AB2766" i="8"/>
  <c r="AB2767" i="8"/>
  <c r="AB2768" i="8"/>
  <c r="AB2769" i="8"/>
  <c r="AB2770" i="8"/>
  <c r="AB2771" i="8"/>
  <c r="AB2772" i="8"/>
  <c r="AB2773" i="8"/>
  <c r="AB2774" i="8"/>
  <c r="AB2775" i="8"/>
  <c r="AB2776" i="8"/>
  <c r="AB2777" i="8"/>
  <c r="AB2778" i="8"/>
  <c r="AB2779" i="8"/>
  <c r="AB2780" i="8"/>
  <c r="AB2781" i="8"/>
  <c r="AB2782" i="8"/>
  <c r="AB2783" i="8"/>
  <c r="AB2784" i="8"/>
  <c r="AB2785" i="8"/>
  <c r="AB2786" i="8"/>
  <c r="AB2787" i="8"/>
  <c r="AB2788" i="8"/>
  <c r="AB2789" i="8"/>
  <c r="AB2790" i="8"/>
  <c r="AB2791" i="8"/>
  <c r="AB2792" i="8"/>
  <c r="AB2793" i="8"/>
  <c r="AB2794" i="8"/>
  <c r="AB2795" i="8"/>
  <c r="AB2796" i="8"/>
  <c r="AB2797" i="8"/>
  <c r="AB2798" i="8"/>
  <c r="AB2799" i="8"/>
  <c r="AB2800" i="8"/>
  <c r="AB2801" i="8"/>
  <c r="AB2802" i="8"/>
  <c r="AB2803" i="8"/>
  <c r="AB2804" i="8"/>
  <c r="AB2805" i="8"/>
  <c r="AB2806" i="8"/>
  <c r="AB2807" i="8"/>
  <c r="AB2808" i="8"/>
  <c r="AB2809" i="8"/>
  <c r="AB2810" i="8"/>
  <c r="AB2811" i="8"/>
  <c r="AB2812" i="8"/>
  <c r="AB2813" i="8"/>
  <c r="AB2814" i="8"/>
  <c r="AB2815" i="8"/>
  <c r="AB2816" i="8"/>
  <c r="AB2817" i="8"/>
  <c r="AB2818" i="8"/>
  <c r="AB2819" i="8"/>
  <c r="AB2820" i="8"/>
  <c r="AB2821" i="8"/>
  <c r="AB2822" i="8"/>
  <c r="AB2823" i="8"/>
  <c r="AB2824" i="8"/>
  <c r="AB2825" i="8"/>
  <c r="AB2826" i="8"/>
  <c r="AB2827" i="8"/>
  <c r="AB2828" i="8"/>
  <c r="AB2829" i="8"/>
  <c r="AB2830" i="8"/>
  <c r="AB2831" i="8"/>
  <c r="AB2832" i="8"/>
  <c r="AB2833" i="8"/>
  <c r="AB2834" i="8"/>
  <c r="AB2835" i="8"/>
  <c r="AB2836" i="8"/>
  <c r="AB2837" i="8"/>
  <c r="AB2838" i="8"/>
  <c r="AB2839" i="8"/>
  <c r="AB2840" i="8"/>
  <c r="AB2841" i="8"/>
  <c r="AB2842" i="8"/>
  <c r="AB2843" i="8"/>
  <c r="AB2844" i="8"/>
  <c r="AB2845" i="8"/>
  <c r="AB2846" i="8"/>
  <c r="AB2847" i="8"/>
  <c r="AB2848" i="8"/>
  <c r="AB2849" i="8"/>
  <c r="AB2850" i="8"/>
  <c r="AB2851" i="8"/>
  <c r="AB2852" i="8"/>
  <c r="AB2853" i="8"/>
  <c r="AB2854" i="8"/>
  <c r="AB2855" i="8"/>
  <c r="AB2856" i="8"/>
  <c r="AB2857" i="8"/>
  <c r="AB2858" i="8"/>
  <c r="AB2859" i="8"/>
  <c r="AB2860" i="8"/>
  <c r="AB2861" i="8"/>
  <c r="AB2862" i="8"/>
  <c r="AB2863" i="8"/>
  <c r="AB2864" i="8"/>
  <c r="AB2865" i="8"/>
  <c r="AB2866" i="8"/>
  <c r="AB2867" i="8"/>
  <c r="AB2868" i="8"/>
  <c r="AB2869" i="8"/>
  <c r="AB2870" i="8"/>
  <c r="AB2871" i="8"/>
  <c r="AB2872" i="8"/>
  <c r="AB2873" i="8"/>
  <c r="AB2874" i="8"/>
  <c r="AB2875" i="8"/>
  <c r="AB2876" i="8"/>
  <c r="AB2877" i="8"/>
  <c r="AB2878" i="8"/>
  <c r="AB2879" i="8"/>
  <c r="AB2880" i="8"/>
  <c r="AB2881" i="8"/>
  <c r="AB2882" i="8"/>
  <c r="AB2883" i="8"/>
  <c r="AB2884" i="8"/>
  <c r="AB2885" i="8"/>
  <c r="AB2886" i="8"/>
  <c r="AB2887" i="8"/>
  <c r="AB2888" i="8"/>
  <c r="AB2889" i="8"/>
  <c r="AB2890" i="8"/>
  <c r="AB2891" i="8"/>
  <c r="AB2892" i="8"/>
  <c r="AB2893" i="8"/>
  <c r="AB2894" i="8"/>
  <c r="AB2895" i="8"/>
  <c r="AB2896" i="8"/>
  <c r="AB2897" i="8"/>
  <c r="AB2898" i="8"/>
  <c r="AB2899" i="8"/>
  <c r="AB2900" i="8"/>
  <c r="AB2901" i="8"/>
  <c r="AB2902" i="8"/>
  <c r="AB2903" i="8"/>
  <c r="AB2904" i="8"/>
  <c r="AB2905" i="8"/>
  <c r="AB2906" i="8"/>
  <c r="AB2907" i="8"/>
  <c r="AB2908" i="8"/>
  <c r="AB2909" i="8"/>
  <c r="AB2910" i="8"/>
  <c r="AB2911" i="8"/>
  <c r="AB2912" i="8"/>
  <c r="AB2913" i="8"/>
  <c r="AB2914" i="8"/>
  <c r="AB2915" i="8"/>
  <c r="AB2916" i="8"/>
  <c r="AB2917" i="8"/>
  <c r="AB2918" i="8"/>
  <c r="AB2919" i="8"/>
  <c r="AB2920" i="8"/>
  <c r="AB2921" i="8"/>
  <c r="AB2922" i="8"/>
  <c r="AB2923" i="8"/>
  <c r="AB2924" i="8"/>
  <c r="AB2925" i="8"/>
  <c r="AB2926" i="8"/>
  <c r="AB2927" i="8"/>
  <c r="AB2928" i="8"/>
  <c r="AB2929" i="8"/>
  <c r="AB2930" i="8"/>
  <c r="AB2931" i="8"/>
  <c r="AB2932" i="8"/>
  <c r="AB2933" i="8"/>
  <c r="AB2934" i="8"/>
  <c r="AB2935" i="8"/>
  <c r="AB2936" i="8"/>
  <c r="AB2937" i="8"/>
  <c r="AB2938" i="8"/>
  <c r="AB2939" i="8"/>
  <c r="AB2940" i="8"/>
  <c r="AB2941" i="8"/>
  <c r="AB2942" i="8"/>
  <c r="AB2943" i="8"/>
  <c r="AB2944" i="8"/>
  <c r="AB2945" i="8"/>
  <c r="AB2946" i="8"/>
  <c r="AB2947" i="8"/>
  <c r="AB2948" i="8"/>
  <c r="AB2949" i="8"/>
  <c r="AB2950" i="8"/>
  <c r="AB2951" i="8"/>
  <c r="AB2952" i="8"/>
  <c r="AB2953" i="8"/>
  <c r="AB2954" i="8"/>
  <c r="AB2955" i="8"/>
  <c r="AB2956" i="8"/>
  <c r="AB2957" i="8"/>
  <c r="AB2958" i="8"/>
  <c r="AB2959" i="8"/>
  <c r="AB2960" i="8"/>
  <c r="AB2961" i="8"/>
  <c r="AB2962" i="8"/>
  <c r="AB2963" i="8"/>
  <c r="AB2964" i="8"/>
  <c r="AB2965" i="8"/>
  <c r="AB2966" i="8"/>
  <c r="AB2967" i="8"/>
  <c r="AB2968" i="8"/>
  <c r="AB2969" i="8"/>
  <c r="AB2970" i="8"/>
  <c r="AB2971" i="8"/>
  <c r="AB2972" i="8"/>
  <c r="AB2973" i="8"/>
  <c r="AB2974" i="8"/>
  <c r="AB2975" i="8"/>
  <c r="AB2976" i="8"/>
  <c r="AB2977" i="8"/>
  <c r="AB2978" i="8"/>
  <c r="AB2979" i="8"/>
  <c r="AB2980" i="8"/>
  <c r="AB2981" i="8"/>
  <c r="AB2982" i="8"/>
  <c r="AB2983" i="8"/>
  <c r="AB2984" i="8"/>
  <c r="AB2985" i="8"/>
  <c r="AB2986" i="8"/>
  <c r="AB2987" i="8"/>
  <c r="AB2988" i="8"/>
  <c r="AB2989" i="8"/>
  <c r="AB2990" i="8"/>
  <c r="AB2991" i="8"/>
  <c r="AB2992" i="8"/>
  <c r="AB2993" i="8"/>
  <c r="AB2994" i="8"/>
  <c r="AB2995" i="8"/>
  <c r="AB2996" i="8"/>
  <c r="AB2997" i="8"/>
  <c r="AB2998" i="8"/>
  <c r="AB2999" i="8"/>
  <c r="AB3000" i="8"/>
  <c r="AB3001" i="8"/>
  <c r="AB3002" i="8"/>
  <c r="AB3003" i="8"/>
  <c r="AB3004" i="8"/>
  <c r="AB3005" i="8"/>
  <c r="AB3006" i="8"/>
  <c r="AB3007" i="8"/>
  <c r="AB3008" i="8"/>
  <c r="AB3009" i="8"/>
  <c r="AB3010" i="8"/>
  <c r="AB3011" i="8"/>
  <c r="AB3012" i="8"/>
  <c r="AB3013" i="8"/>
  <c r="AB3014" i="8"/>
  <c r="AB3015" i="8"/>
  <c r="AB3016" i="8"/>
  <c r="AB3017" i="8"/>
  <c r="AB3018" i="8"/>
  <c r="AB3019" i="8"/>
  <c r="AB3020" i="8"/>
  <c r="AB3021" i="8"/>
  <c r="AB3022" i="8"/>
  <c r="AB3023" i="8"/>
  <c r="AB3024" i="8"/>
  <c r="AB3025" i="8"/>
  <c r="AB3026" i="8"/>
  <c r="AB3027" i="8"/>
  <c r="AB3028" i="8"/>
  <c r="AB3029" i="8"/>
  <c r="AB3030" i="8"/>
  <c r="AB3031" i="8"/>
  <c r="AB3032" i="8"/>
  <c r="AB3033" i="8"/>
  <c r="AB3034" i="8"/>
  <c r="AB3035" i="8"/>
  <c r="AB3036" i="8"/>
  <c r="AB3037" i="8"/>
  <c r="AB3038" i="8"/>
  <c r="AB3039" i="8"/>
  <c r="AB3040" i="8"/>
  <c r="AB3041" i="8"/>
  <c r="AB3042" i="8"/>
  <c r="AB3043" i="8"/>
  <c r="AB3044" i="8"/>
  <c r="AB3045" i="8"/>
  <c r="AB3046" i="8"/>
  <c r="AB3047" i="8"/>
  <c r="AB3048" i="8"/>
  <c r="AB3049" i="8"/>
  <c r="AB3050" i="8"/>
  <c r="AB3051" i="8"/>
  <c r="AB3052" i="8"/>
  <c r="AB3053" i="8"/>
  <c r="AB3054" i="8"/>
  <c r="AB3055" i="8"/>
  <c r="AB3056" i="8"/>
  <c r="AB3057" i="8"/>
  <c r="AB3058" i="8"/>
  <c r="AB3059" i="8"/>
  <c r="AB3060" i="8"/>
  <c r="AB3061" i="8"/>
  <c r="AB3062" i="8"/>
  <c r="AB3063" i="8"/>
  <c r="AB3064" i="8"/>
  <c r="AB3065" i="8"/>
  <c r="AB3066" i="8"/>
  <c r="AB3067" i="8"/>
  <c r="AB3068" i="8"/>
  <c r="AB3069" i="8"/>
  <c r="AB3070" i="8"/>
  <c r="AB3071" i="8"/>
  <c r="AB3072" i="8"/>
  <c r="AB3073" i="8"/>
  <c r="AB3074" i="8"/>
  <c r="AB3075" i="8"/>
  <c r="AB3076" i="8"/>
  <c r="AB3077" i="8"/>
  <c r="AB3078" i="8"/>
  <c r="AB3079" i="8"/>
  <c r="AB3080" i="8"/>
  <c r="AB3081" i="8"/>
  <c r="AB3082" i="8"/>
  <c r="AB3083" i="8"/>
  <c r="AB3084" i="8"/>
  <c r="AB3085" i="8"/>
  <c r="AB3086" i="8"/>
  <c r="AB3087" i="8"/>
  <c r="AB3088" i="8"/>
  <c r="AB3089" i="8"/>
  <c r="AB3090" i="8"/>
  <c r="AB3091" i="8"/>
  <c r="AB3092" i="8"/>
  <c r="AB3093" i="8"/>
  <c r="AB3094" i="8"/>
  <c r="AB3095" i="8"/>
  <c r="AB3096" i="8"/>
  <c r="AB3097" i="8"/>
  <c r="AB3098" i="8"/>
  <c r="AB3099" i="8"/>
  <c r="AB3100" i="8"/>
  <c r="AB3101" i="8"/>
  <c r="AB3102" i="8"/>
  <c r="AB3103" i="8"/>
  <c r="AB3104" i="8"/>
  <c r="AB3105" i="8"/>
  <c r="AB3106" i="8"/>
  <c r="AB3107" i="8"/>
  <c r="AB3108" i="8"/>
  <c r="AB3109" i="8"/>
  <c r="AB3110" i="8"/>
  <c r="AB3111" i="8"/>
  <c r="AB3112" i="8"/>
  <c r="AB3113" i="8"/>
  <c r="AB3114" i="8"/>
  <c r="AB3115" i="8"/>
  <c r="AB3116" i="8"/>
  <c r="AB3117" i="8"/>
  <c r="AB3118" i="8"/>
  <c r="AB3119" i="8"/>
  <c r="AB3120" i="8"/>
  <c r="AB3121" i="8"/>
  <c r="AB3122" i="8"/>
  <c r="AB3123" i="8"/>
  <c r="AB3124" i="8"/>
  <c r="AB3125" i="8"/>
  <c r="AB3126" i="8"/>
  <c r="AB3127" i="8"/>
  <c r="AB3128" i="8"/>
  <c r="AB3129" i="8"/>
  <c r="AB3130" i="8"/>
  <c r="AB3131" i="8"/>
  <c r="AB3132" i="8"/>
  <c r="AB3133" i="8"/>
  <c r="AB3134" i="8"/>
  <c r="AB3135" i="8"/>
  <c r="AB3136" i="8"/>
  <c r="AB3137" i="8"/>
  <c r="AB3138" i="8"/>
  <c r="AB3139" i="8"/>
  <c r="AB3140" i="8"/>
  <c r="AB3141" i="8"/>
  <c r="AB3142" i="8"/>
  <c r="AB3143" i="8"/>
  <c r="AB3144" i="8"/>
  <c r="AB3145" i="8"/>
  <c r="AB3146" i="8"/>
  <c r="AB3147" i="8"/>
  <c r="AB3148" i="8"/>
  <c r="AB3149" i="8"/>
  <c r="AB3150" i="8"/>
  <c r="AB3151" i="8"/>
  <c r="AB3152" i="8"/>
  <c r="AB3153" i="8"/>
  <c r="AB3154" i="8"/>
  <c r="AB3155" i="8"/>
  <c r="AB3156" i="8"/>
  <c r="AB3157" i="8"/>
  <c r="AB3158" i="8"/>
  <c r="AB3159" i="8"/>
  <c r="AB3160" i="8"/>
  <c r="AB3161" i="8"/>
  <c r="AB3162" i="8"/>
  <c r="AB3163" i="8"/>
  <c r="AB3164" i="8"/>
  <c r="AB3165" i="8"/>
  <c r="AB3166" i="8"/>
  <c r="AB3167" i="8"/>
  <c r="AB3168" i="8"/>
  <c r="AB3169" i="8"/>
  <c r="AB3170" i="8"/>
  <c r="AB3171" i="8"/>
  <c r="AB3172" i="8"/>
  <c r="AB3173" i="8"/>
  <c r="AB3174" i="8"/>
  <c r="AB3175" i="8"/>
  <c r="AB3176" i="8"/>
  <c r="AB3177" i="8"/>
  <c r="AB3178" i="8"/>
  <c r="AB3179" i="8"/>
  <c r="AB3180" i="8"/>
  <c r="AB3181" i="8"/>
  <c r="AB3182" i="8"/>
  <c r="AB3183" i="8"/>
  <c r="AB3184" i="8"/>
  <c r="AB3185" i="8"/>
  <c r="AB3186" i="8"/>
  <c r="AB3187" i="8"/>
  <c r="AB3188" i="8"/>
  <c r="AB3189" i="8"/>
  <c r="AB3190" i="8"/>
  <c r="AB3191" i="8"/>
  <c r="AB3192" i="8"/>
  <c r="AB3193" i="8"/>
  <c r="AB3194" i="8"/>
  <c r="AB3195" i="8"/>
  <c r="AB3196" i="8"/>
  <c r="AB3197" i="8"/>
  <c r="AB3198" i="8"/>
  <c r="AB3199" i="8"/>
  <c r="AB3200" i="8"/>
  <c r="AB3201" i="8"/>
  <c r="AB3202" i="8"/>
  <c r="AB3203" i="8"/>
  <c r="AB3204" i="8"/>
  <c r="AB3205" i="8"/>
  <c r="AB3206" i="8"/>
  <c r="AB3207" i="8"/>
  <c r="AB3208" i="8"/>
  <c r="AB3209" i="8"/>
  <c r="AB3210" i="8"/>
  <c r="AB3211" i="8"/>
  <c r="AB3212" i="8"/>
  <c r="AB3213" i="8"/>
  <c r="AB3214" i="8"/>
  <c r="AB3215" i="8"/>
  <c r="AB3216" i="8"/>
  <c r="AB3217" i="8"/>
  <c r="AB3218" i="8"/>
  <c r="AB3219" i="8"/>
  <c r="AB3220" i="8"/>
  <c r="AB3221" i="8"/>
  <c r="AB3222" i="8"/>
  <c r="AB3223" i="8"/>
  <c r="AB3224" i="8"/>
  <c r="AB3225" i="8"/>
  <c r="AB3226" i="8"/>
  <c r="AB3227" i="8"/>
  <c r="AB3228" i="8"/>
  <c r="AB3229" i="8"/>
  <c r="AB3230" i="8"/>
  <c r="AB3231" i="8"/>
  <c r="AB3232" i="8"/>
  <c r="AB3233" i="8"/>
  <c r="AB3234" i="8"/>
  <c r="AB3235" i="8"/>
  <c r="AB3236" i="8"/>
  <c r="AB3237" i="8"/>
  <c r="AB3238" i="8"/>
  <c r="AB3239" i="8"/>
  <c r="AB3240" i="8"/>
  <c r="AB3241" i="8"/>
  <c r="AB3242" i="8"/>
  <c r="AB3243" i="8"/>
  <c r="AB3244" i="8"/>
  <c r="AB3245" i="8"/>
  <c r="AB3246" i="8"/>
  <c r="AB3247" i="8"/>
  <c r="AB3248" i="8"/>
  <c r="AB3249" i="8"/>
  <c r="AB3250" i="8"/>
  <c r="AB3251" i="8"/>
  <c r="AB3252" i="8"/>
  <c r="AB3253" i="8"/>
  <c r="AB3254" i="8"/>
  <c r="AB3255" i="8"/>
  <c r="AB3256" i="8"/>
  <c r="AB3257" i="8"/>
  <c r="AB3258" i="8"/>
  <c r="AB3259" i="8"/>
  <c r="AB3260" i="8"/>
  <c r="AB3261" i="8"/>
  <c r="AB3262" i="8"/>
  <c r="AB3263" i="8"/>
  <c r="AB3264" i="8"/>
  <c r="AB3265" i="8"/>
  <c r="AB3266" i="8"/>
  <c r="AB3267" i="8"/>
  <c r="AB3268" i="8"/>
  <c r="AB3269" i="8"/>
  <c r="AB3270" i="8"/>
  <c r="AB3271" i="8"/>
  <c r="AB3272" i="8"/>
  <c r="AB3273" i="8"/>
  <c r="AB3274" i="8"/>
  <c r="AB3275" i="8"/>
  <c r="AB3276" i="8"/>
  <c r="AB3277" i="8"/>
  <c r="AB3278" i="8"/>
  <c r="AB3279" i="8"/>
  <c r="AB3280" i="8"/>
  <c r="AB3281" i="8"/>
  <c r="AB3282" i="8"/>
  <c r="AB3283"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151" i="8"/>
  <c r="Y152" i="8"/>
  <c r="Y153" i="8"/>
  <c r="Y154" i="8"/>
  <c r="Y155" i="8"/>
  <c r="Y156" i="8"/>
  <c r="Y157" i="8"/>
  <c r="Y158" i="8"/>
  <c r="Y159" i="8"/>
  <c r="Y160" i="8"/>
  <c r="Y161" i="8"/>
  <c r="Y162" i="8"/>
  <c r="Y163" i="8"/>
  <c r="Y164" i="8"/>
  <c r="Y165" i="8"/>
  <c r="Y166" i="8"/>
  <c r="Y167" i="8"/>
  <c r="Y168" i="8"/>
  <c r="Y169" i="8"/>
  <c r="Y170" i="8"/>
  <c r="Y171" i="8"/>
  <c r="Y172" i="8"/>
  <c r="Y173" i="8"/>
  <c r="Y174" i="8"/>
  <c r="Y175" i="8"/>
  <c r="Y176" i="8"/>
  <c r="Y177" i="8"/>
  <c r="Y178" i="8"/>
  <c r="Y179" i="8"/>
  <c r="Y180" i="8"/>
  <c r="Y181" i="8"/>
  <c r="Y182" i="8"/>
  <c r="Y183" i="8"/>
  <c r="Y184" i="8"/>
  <c r="Y185" i="8"/>
  <c r="Y186" i="8"/>
  <c r="Y187" i="8"/>
  <c r="Y188" i="8"/>
  <c r="Y189" i="8"/>
  <c r="Y190" i="8"/>
  <c r="Y191" i="8"/>
  <c r="Y192" i="8"/>
  <c r="Y193" i="8"/>
  <c r="Y194" i="8"/>
  <c r="Y195" i="8"/>
  <c r="Y196" i="8"/>
  <c r="Y197" i="8"/>
  <c r="Y198" i="8"/>
  <c r="Y199" i="8"/>
  <c r="Y200" i="8"/>
  <c r="Y201" i="8"/>
  <c r="Y202" i="8"/>
  <c r="Y203" i="8"/>
  <c r="Y204" i="8"/>
  <c r="Y205" i="8"/>
  <c r="Y206" i="8"/>
  <c r="Y207" i="8"/>
  <c r="Y208" i="8"/>
  <c r="Y209" i="8"/>
  <c r="Y210" i="8"/>
  <c r="Y211" i="8"/>
  <c r="Y212" i="8"/>
  <c r="Y213" i="8"/>
  <c r="Y214" i="8"/>
  <c r="Y215" i="8"/>
  <c r="Y216" i="8"/>
  <c r="Y217" i="8"/>
  <c r="Y218" i="8"/>
  <c r="Y219" i="8"/>
  <c r="Y220" i="8"/>
  <c r="Y221" i="8"/>
  <c r="Y222" i="8"/>
  <c r="Y223" i="8"/>
  <c r="Y224" i="8"/>
  <c r="Y225" i="8"/>
  <c r="Y226" i="8"/>
  <c r="Y227" i="8"/>
  <c r="Y228" i="8"/>
  <c r="Y229" i="8"/>
  <c r="Y230" i="8"/>
  <c r="Y231" i="8"/>
  <c r="Y232" i="8"/>
  <c r="Y233" i="8"/>
  <c r="Y234" i="8"/>
  <c r="Y235" i="8"/>
  <c r="Y236" i="8"/>
  <c r="Y237" i="8"/>
  <c r="Y238" i="8"/>
  <c r="Y239" i="8"/>
  <c r="Y240" i="8"/>
  <c r="Y241" i="8"/>
  <c r="Y242" i="8"/>
  <c r="Y243" i="8"/>
  <c r="Y244" i="8"/>
  <c r="Y245" i="8"/>
  <c r="Y246" i="8"/>
  <c r="Y247" i="8"/>
  <c r="Y248" i="8"/>
  <c r="Y249" i="8"/>
  <c r="Y250" i="8"/>
  <c r="Y251" i="8"/>
  <c r="Y252" i="8"/>
  <c r="Y253" i="8"/>
  <c r="Y254" i="8"/>
  <c r="Y255" i="8"/>
  <c r="Y256" i="8"/>
  <c r="Y257" i="8"/>
  <c r="Y258" i="8"/>
  <c r="Y259" i="8"/>
  <c r="Y260" i="8"/>
  <c r="Y261" i="8"/>
  <c r="Y262" i="8"/>
  <c r="Y263" i="8"/>
  <c r="Y264" i="8"/>
  <c r="Y265" i="8"/>
  <c r="Y266" i="8"/>
  <c r="Y267" i="8"/>
  <c r="Y268" i="8"/>
  <c r="Y269" i="8"/>
  <c r="Y270" i="8"/>
  <c r="Y271" i="8"/>
  <c r="Y272" i="8"/>
  <c r="Y273" i="8"/>
  <c r="Y274" i="8"/>
  <c r="Y275" i="8"/>
  <c r="Y276" i="8"/>
  <c r="Y277" i="8"/>
  <c r="Y278" i="8"/>
  <c r="Y279" i="8"/>
  <c r="Y280" i="8"/>
  <c r="Y281" i="8"/>
  <c r="Y282" i="8"/>
  <c r="Y283" i="8"/>
  <c r="Y284" i="8"/>
  <c r="Y285" i="8"/>
  <c r="Y286" i="8"/>
  <c r="Y287" i="8"/>
  <c r="Y288" i="8"/>
  <c r="Y289" i="8"/>
  <c r="Y290" i="8"/>
  <c r="Y291" i="8"/>
  <c r="Y292" i="8"/>
  <c r="Y293" i="8"/>
  <c r="Y294" i="8"/>
  <c r="Y295" i="8"/>
  <c r="Y296" i="8"/>
  <c r="Y297" i="8"/>
  <c r="Y298" i="8"/>
  <c r="Y299" i="8"/>
  <c r="Y300" i="8"/>
  <c r="Y301" i="8"/>
  <c r="Y302" i="8"/>
  <c r="Y303" i="8"/>
  <c r="Y304" i="8"/>
  <c r="Y305" i="8"/>
  <c r="Y306" i="8"/>
  <c r="Y307" i="8"/>
  <c r="Y308" i="8"/>
  <c r="Y309" i="8"/>
  <c r="Y310" i="8"/>
  <c r="Y311" i="8"/>
  <c r="Y312" i="8"/>
  <c r="Y313" i="8"/>
  <c r="Y314" i="8"/>
  <c r="Y315" i="8"/>
  <c r="Y316" i="8"/>
  <c r="Y317" i="8"/>
  <c r="Y318" i="8"/>
  <c r="Y319" i="8"/>
  <c r="Y320" i="8"/>
  <c r="Y321" i="8"/>
  <c r="Y322" i="8"/>
  <c r="Y323" i="8"/>
  <c r="Y324" i="8"/>
  <c r="Y325" i="8"/>
  <c r="Y326" i="8"/>
  <c r="Y327" i="8"/>
  <c r="Y328" i="8"/>
  <c r="Y329" i="8"/>
  <c r="Y330" i="8"/>
  <c r="Y331" i="8"/>
  <c r="Y332" i="8"/>
  <c r="Y333" i="8"/>
  <c r="Y334" i="8"/>
  <c r="Y335" i="8"/>
  <c r="Y336" i="8"/>
  <c r="Y337" i="8"/>
  <c r="Y338" i="8"/>
  <c r="Y339" i="8"/>
  <c r="Y340" i="8"/>
  <c r="Y341" i="8"/>
  <c r="Y342" i="8"/>
  <c r="Y343" i="8"/>
  <c r="Y344" i="8"/>
  <c r="Y345" i="8"/>
  <c r="Y346" i="8"/>
  <c r="Y347" i="8"/>
  <c r="Y348" i="8"/>
  <c r="Y349" i="8"/>
  <c r="Y350" i="8"/>
  <c r="Y351" i="8"/>
  <c r="Y352" i="8"/>
  <c r="Y353" i="8"/>
  <c r="Y354" i="8"/>
  <c r="Y355" i="8"/>
  <c r="Y356" i="8"/>
  <c r="Y357" i="8"/>
  <c r="Y358" i="8"/>
  <c r="Y359" i="8"/>
  <c r="Y360" i="8"/>
  <c r="Y361" i="8"/>
  <c r="Y362" i="8"/>
  <c r="Y363" i="8"/>
  <c r="Y364" i="8"/>
  <c r="Y365" i="8"/>
  <c r="Y366" i="8"/>
  <c r="Y367" i="8"/>
  <c r="Y368" i="8"/>
  <c r="Y369" i="8"/>
  <c r="Y370" i="8"/>
  <c r="Y371" i="8"/>
  <c r="Y372" i="8"/>
  <c r="Y373" i="8"/>
  <c r="Y374" i="8"/>
  <c r="Y375" i="8"/>
  <c r="Y376" i="8"/>
  <c r="Y377" i="8"/>
  <c r="Y378" i="8"/>
  <c r="Y379" i="8"/>
  <c r="Y380" i="8"/>
  <c r="Y381" i="8"/>
  <c r="Y382" i="8"/>
  <c r="Y383" i="8"/>
  <c r="Y384" i="8"/>
  <c r="Y385" i="8"/>
  <c r="Y386" i="8"/>
  <c r="Y387" i="8"/>
  <c r="Y388" i="8"/>
  <c r="Y389" i="8"/>
  <c r="Y390" i="8"/>
  <c r="Y391" i="8"/>
  <c r="Y392" i="8"/>
  <c r="Y393" i="8"/>
  <c r="Y394" i="8"/>
  <c r="Y395" i="8"/>
  <c r="Y396" i="8"/>
  <c r="Y397" i="8"/>
  <c r="Y398" i="8"/>
  <c r="Y399" i="8"/>
  <c r="Y400" i="8"/>
  <c r="Y401" i="8"/>
  <c r="Y402" i="8"/>
  <c r="Y403" i="8"/>
  <c r="Y404" i="8"/>
  <c r="Y405" i="8"/>
  <c r="Y406" i="8"/>
  <c r="Y407" i="8"/>
  <c r="Y408" i="8"/>
  <c r="Y409" i="8"/>
  <c r="Y410" i="8"/>
  <c r="Y411" i="8"/>
  <c r="Y412" i="8"/>
  <c r="Y413" i="8"/>
  <c r="Y414" i="8"/>
  <c r="Y415" i="8"/>
  <c r="Y416" i="8"/>
  <c r="Y417" i="8"/>
  <c r="Y418" i="8"/>
  <c r="Y419" i="8"/>
  <c r="Y420" i="8"/>
  <c r="Y421" i="8"/>
  <c r="Y422" i="8"/>
  <c r="Y423" i="8"/>
  <c r="Y424" i="8"/>
  <c r="Y425" i="8"/>
  <c r="Y426" i="8"/>
  <c r="Y427" i="8"/>
  <c r="Y428" i="8"/>
  <c r="Y429" i="8"/>
  <c r="Y430" i="8"/>
  <c r="Y431" i="8"/>
  <c r="Y432" i="8"/>
  <c r="Y433" i="8"/>
  <c r="Y434" i="8"/>
  <c r="Y435" i="8"/>
  <c r="Y436" i="8"/>
  <c r="Y437" i="8"/>
  <c r="Y438" i="8"/>
  <c r="Y439" i="8"/>
  <c r="Y440" i="8"/>
  <c r="Y441" i="8"/>
  <c r="Y442" i="8"/>
  <c r="Y443" i="8"/>
  <c r="Y444" i="8"/>
  <c r="Y445" i="8"/>
  <c r="Y446" i="8"/>
  <c r="Y447" i="8"/>
  <c r="Y448" i="8"/>
  <c r="Y449" i="8"/>
  <c r="Y450" i="8"/>
  <c r="Y451" i="8"/>
  <c r="Y452" i="8"/>
  <c r="Y453" i="8"/>
  <c r="Y454" i="8"/>
  <c r="Y455" i="8"/>
  <c r="Y456" i="8"/>
  <c r="Y457" i="8"/>
  <c r="Y458" i="8"/>
  <c r="Y459" i="8"/>
  <c r="Y460" i="8"/>
  <c r="Y461" i="8"/>
  <c r="Y462" i="8"/>
  <c r="Y463" i="8"/>
  <c r="Y464" i="8"/>
  <c r="Y465" i="8"/>
  <c r="Y466" i="8"/>
  <c r="Y467" i="8"/>
  <c r="Y468" i="8"/>
  <c r="Y469" i="8"/>
  <c r="Y470" i="8"/>
  <c r="Y471" i="8"/>
  <c r="Y472" i="8"/>
  <c r="Y473" i="8"/>
  <c r="Y474" i="8"/>
  <c r="Y475" i="8"/>
  <c r="Y476" i="8"/>
  <c r="Y477" i="8"/>
  <c r="Y478" i="8"/>
  <c r="Y479" i="8"/>
  <c r="Y480" i="8"/>
  <c r="Y481" i="8"/>
  <c r="Y482" i="8"/>
  <c r="Y483" i="8"/>
  <c r="Y484" i="8"/>
  <c r="Y485" i="8"/>
  <c r="Y486" i="8"/>
  <c r="Y487" i="8"/>
  <c r="Y488" i="8"/>
  <c r="Y489" i="8"/>
  <c r="Y490" i="8"/>
  <c r="Y491" i="8"/>
  <c r="Y492" i="8"/>
  <c r="Y493" i="8"/>
  <c r="Y494" i="8"/>
  <c r="Y495" i="8"/>
  <c r="Y496" i="8"/>
  <c r="Y497" i="8"/>
  <c r="Y498" i="8"/>
  <c r="Y499" i="8"/>
  <c r="Y500" i="8"/>
  <c r="Y501" i="8"/>
  <c r="Y502" i="8"/>
  <c r="Y503" i="8"/>
  <c r="Y504" i="8"/>
  <c r="Y505" i="8"/>
  <c r="Y506" i="8"/>
  <c r="Y507" i="8"/>
  <c r="Y508" i="8"/>
  <c r="Y509" i="8"/>
  <c r="Y510" i="8"/>
  <c r="Y511" i="8"/>
  <c r="Y512" i="8"/>
  <c r="Y513" i="8"/>
  <c r="Y514" i="8"/>
  <c r="Y515" i="8"/>
  <c r="Y516" i="8"/>
  <c r="Y517" i="8"/>
  <c r="Y518" i="8"/>
  <c r="Y519" i="8"/>
  <c r="Y520" i="8"/>
  <c r="Y521" i="8"/>
  <c r="Y522" i="8"/>
  <c r="Y523" i="8"/>
  <c r="Y524" i="8"/>
  <c r="Y525" i="8"/>
  <c r="Y526" i="8"/>
  <c r="Y527" i="8"/>
  <c r="Y528" i="8"/>
  <c r="Y529" i="8"/>
  <c r="Y530" i="8"/>
  <c r="Y531" i="8"/>
  <c r="Y532" i="8"/>
  <c r="Y533" i="8"/>
  <c r="Y534" i="8"/>
  <c r="Y535" i="8"/>
  <c r="Y536" i="8"/>
  <c r="Y537" i="8"/>
  <c r="Y538" i="8"/>
  <c r="Y539" i="8"/>
  <c r="Y540" i="8"/>
  <c r="Y541" i="8"/>
  <c r="Y542" i="8"/>
  <c r="Y543" i="8"/>
  <c r="Y544" i="8"/>
  <c r="Y545" i="8"/>
  <c r="Y546" i="8"/>
  <c r="Y547" i="8"/>
  <c r="Y548" i="8"/>
  <c r="Y549" i="8"/>
  <c r="Y550" i="8"/>
  <c r="Y551" i="8"/>
  <c r="Y552" i="8"/>
  <c r="Y553" i="8"/>
  <c r="Y554" i="8"/>
  <c r="Y555" i="8"/>
  <c r="Y556" i="8"/>
  <c r="Y557" i="8"/>
  <c r="Y558" i="8"/>
  <c r="Y559" i="8"/>
  <c r="Y560" i="8"/>
  <c r="Y561" i="8"/>
  <c r="Y562" i="8"/>
  <c r="Y563" i="8"/>
  <c r="Y564" i="8"/>
  <c r="Y565" i="8"/>
  <c r="Y566" i="8"/>
  <c r="Y567" i="8"/>
  <c r="Y568" i="8"/>
  <c r="Y569" i="8"/>
  <c r="Y570" i="8"/>
  <c r="Y571" i="8"/>
  <c r="Y572" i="8"/>
  <c r="Y573" i="8"/>
  <c r="Y574" i="8"/>
  <c r="Y575" i="8"/>
  <c r="Y576" i="8"/>
  <c r="Y577" i="8"/>
  <c r="Y578" i="8"/>
  <c r="Y579" i="8"/>
  <c r="Y580" i="8"/>
  <c r="Y581" i="8"/>
  <c r="Y582" i="8"/>
  <c r="Y583" i="8"/>
  <c r="Y584" i="8"/>
  <c r="Y585" i="8"/>
  <c r="Y586" i="8"/>
  <c r="Y587" i="8"/>
  <c r="Y588" i="8"/>
  <c r="Y589" i="8"/>
  <c r="Y590" i="8"/>
  <c r="Y591" i="8"/>
  <c r="Y592" i="8"/>
  <c r="Y593" i="8"/>
  <c r="Y594" i="8"/>
  <c r="Y595" i="8"/>
  <c r="Y596" i="8"/>
  <c r="Y597" i="8"/>
  <c r="Y598" i="8"/>
  <c r="Y599" i="8"/>
  <c r="Y600" i="8"/>
  <c r="Y601" i="8"/>
  <c r="Y602" i="8"/>
  <c r="Y603" i="8"/>
  <c r="Y604" i="8"/>
  <c r="Y605" i="8"/>
  <c r="Y606" i="8"/>
  <c r="Y607" i="8"/>
  <c r="Y608" i="8"/>
  <c r="Y609" i="8"/>
  <c r="Y610" i="8"/>
  <c r="Y611" i="8"/>
  <c r="Y612" i="8"/>
  <c r="Y613" i="8"/>
  <c r="Y614" i="8"/>
  <c r="Y615" i="8"/>
  <c r="Y616" i="8"/>
  <c r="Y617" i="8"/>
  <c r="Y618" i="8"/>
  <c r="Y619" i="8"/>
  <c r="Y620" i="8"/>
  <c r="Y621" i="8"/>
  <c r="Y622" i="8"/>
  <c r="Y623" i="8"/>
  <c r="Y624" i="8"/>
  <c r="Y625" i="8"/>
  <c r="Y626" i="8"/>
  <c r="Y627" i="8"/>
  <c r="Y628" i="8"/>
  <c r="Y629" i="8"/>
  <c r="Y630" i="8"/>
  <c r="Y631" i="8"/>
  <c r="Y632" i="8"/>
  <c r="Y633" i="8"/>
  <c r="Y634" i="8"/>
  <c r="Y635" i="8"/>
  <c r="Y636" i="8"/>
  <c r="Y637" i="8"/>
  <c r="Y638" i="8"/>
  <c r="Y639" i="8"/>
  <c r="Y640" i="8"/>
  <c r="Y641" i="8"/>
  <c r="Y642" i="8"/>
  <c r="Y643" i="8"/>
  <c r="Y644" i="8"/>
  <c r="Y645" i="8"/>
  <c r="Y646" i="8"/>
  <c r="Y647" i="8"/>
  <c r="Y648" i="8"/>
  <c r="Y649" i="8"/>
  <c r="Y650" i="8"/>
  <c r="Y651" i="8"/>
  <c r="Y652" i="8"/>
  <c r="Y653" i="8"/>
  <c r="Y654" i="8"/>
  <c r="Y655" i="8"/>
  <c r="Y656" i="8"/>
  <c r="Y657" i="8"/>
  <c r="Y658" i="8"/>
  <c r="Y659" i="8"/>
  <c r="Y660" i="8"/>
  <c r="Y661" i="8"/>
  <c r="Y662" i="8"/>
  <c r="Y663" i="8"/>
  <c r="Y664" i="8"/>
  <c r="Y665" i="8"/>
  <c r="Y666" i="8"/>
  <c r="Y667" i="8"/>
  <c r="Y668" i="8"/>
  <c r="Y669" i="8"/>
  <c r="Y670" i="8"/>
  <c r="Y671" i="8"/>
  <c r="Y672" i="8"/>
  <c r="Y673" i="8"/>
  <c r="Y674" i="8"/>
  <c r="Y675" i="8"/>
  <c r="Y676" i="8"/>
  <c r="Y677" i="8"/>
  <c r="Y678" i="8"/>
  <c r="Y679" i="8"/>
  <c r="Y680" i="8"/>
  <c r="Y681" i="8"/>
  <c r="Y682" i="8"/>
  <c r="Y683" i="8"/>
  <c r="Y684" i="8"/>
  <c r="Y685" i="8"/>
  <c r="Y686" i="8"/>
  <c r="Y687" i="8"/>
  <c r="Y688" i="8"/>
  <c r="Y689" i="8"/>
  <c r="Y690" i="8"/>
  <c r="Y691" i="8"/>
  <c r="Y692" i="8"/>
  <c r="Y693" i="8"/>
  <c r="Y694" i="8"/>
  <c r="Y695" i="8"/>
  <c r="Y696" i="8"/>
  <c r="Y697" i="8"/>
  <c r="Y698" i="8"/>
  <c r="Y699" i="8"/>
  <c r="Y700" i="8"/>
  <c r="Y701" i="8"/>
  <c r="Y702" i="8"/>
  <c r="Y703" i="8"/>
  <c r="Y704" i="8"/>
  <c r="Y705" i="8"/>
  <c r="Y706" i="8"/>
  <c r="Y707" i="8"/>
  <c r="Y708" i="8"/>
  <c r="Y709" i="8"/>
  <c r="Y710" i="8"/>
  <c r="Y711" i="8"/>
  <c r="Y712" i="8"/>
  <c r="Y713" i="8"/>
  <c r="Y714" i="8"/>
  <c r="Y715" i="8"/>
  <c r="Y716" i="8"/>
  <c r="Y717" i="8"/>
  <c r="Y718" i="8"/>
  <c r="Y719" i="8"/>
  <c r="Y720" i="8"/>
  <c r="Y721" i="8"/>
  <c r="Y722" i="8"/>
  <c r="Y723" i="8"/>
  <c r="Y724" i="8"/>
  <c r="Y725" i="8"/>
  <c r="Y726" i="8"/>
  <c r="Y727" i="8"/>
  <c r="Y728" i="8"/>
  <c r="Y729" i="8"/>
  <c r="Y730" i="8"/>
  <c r="Y731" i="8"/>
  <c r="Y732" i="8"/>
  <c r="Y733" i="8"/>
  <c r="Y734" i="8"/>
  <c r="Y735" i="8"/>
  <c r="Y736" i="8"/>
  <c r="Y737" i="8"/>
  <c r="Y738" i="8"/>
  <c r="Y739" i="8"/>
  <c r="Y740" i="8"/>
  <c r="Y741" i="8"/>
  <c r="Y742" i="8"/>
  <c r="Y743" i="8"/>
  <c r="Y744" i="8"/>
  <c r="Y745" i="8"/>
  <c r="Y746" i="8"/>
  <c r="Y747" i="8"/>
  <c r="Y748" i="8"/>
  <c r="Y749" i="8"/>
  <c r="Y750" i="8"/>
  <c r="Y751" i="8"/>
  <c r="Y752" i="8"/>
  <c r="Y753" i="8"/>
  <c r="Y754" i="8"/>
  <c r="Y755" i="8"/>
  <c r="Y756" i="8"/>
  <c r="Y757" i="8"/>
  <c r="Y758" i="8"/>
  <c r="Y759" i="8"/>
  <c r="Y760" i="8"/>
  <c r="Y761" i="8"/>
  <c r="Y762" i="8"/>
  <c r="Y763" i="8"/>
  <c r="Y764" i="8"/>
  <c r="Y765" i="8"/>
  <c r="Y766" i="8"/>
  <c r="Y767" i="8"/>
  <c r="Y768" i="8"/>
  <c r="Y769" i="8"/>
  <c r="Y770" i="8"/>
  <c r="Y771" i="8"/>
  <c r="Y772" i="8"/>
  <c r="Y773" i="8"/>
  <c r="Y774" i="8"/>
  <c r="Y775" i="8"/>
  <c r="Y776" i="8"/>
  <c r="Y777" i="8"/>
  <c r="Y778" i="8"/>
  <c r="Y779" i="8"/>
  <c r="Y780" i="8"/>
  <c r="Y781" i="8"/>
  <c r="Y782" i="8"/>
  <c r="Y783" i="8"/>
  <c r="Y784" i="8"/>
  <c r="Y785" i="8"/>
  <c r="Y786" i="8"/>
  <c r="Y787" i="8"/>
  <c r="Y788" i="8"/>
  <c r="Y789" i="8"/>
  <c r="Y790" i="8"/>
  <c r="Y791" i="8"/>
  <c r="Y792" i="8"/>
  <c r="Y793" i="8"/>
  <c r="Y794" i="8"/>
  <c r="Y795" i="8"/>
  <c r="Y796" i="8"/>
  <c r="Y797" i="8"/>
  <c r="Y798" i="8"/>
  <c r="Y799" i="8"/>
  <c r="Y800" i="8"/>
  <c r="Y801" i="8"/>
  <c r="Y802" i="8"/>
  <c r="Y803" i="8"/>
  <c r="Y804" i="8"/>
  <c r="Y805" i="8"/>
  <c r="Y806" i="8"/>
  <c r="Y807" i="8"/>
  <c r="Y808" i="8"/>
  <c r="Y809" i="8"/>
  <c r="Y810" i="8"/>
  <c r="Y811" i="8"/>
  <c r="Y812" i="8"/>
  <c r="Y813" i="8"/>
  <c r="Y814" i="8"/>
  <c r="Y815" i="8"/>
  <c r="Y816" i="8"/>
  <c r="Y817" i="8"/>
  <c r="Y818" i="8"/>
  <c r="Y819" i="8"/>
  <c r="Y820" i="8"/>
  <c r="Y821" i="8"/>
  <c r="Y822" i="8"/>
  <c r="Y823" i="8"/>
  <c r="Y824" i="8"/>
  <c r="Y825" i="8"/>
  <c r="Y826" i="8"/>
  <c r="Y827" i="8"/>
  <c r="Y828" i="8"/>
  <c r="Y829" i="8"/>
  <c r="Y830" i="8"/>
  <c r="Y831" i="8"/>
  <c r="Y832" i="8"/>
  <c r="Y833" i="8"/>
  <c r="Y834" i="8"/>
  <c r="Y835" i="8"/>
  <c r="Y836" i="8"/>
  <c r="Y837" i="8"/>
  <c r="Y838" i="8"/>
  <c r="Y839" i="8"/>
  <c r="Y840" i="8"/>
  <c r="Y841" i="8"/>
  <c r="Y842" i="8"/>
  <c r="Y843" i="8"/>
  <c r="Y844" i="8"/>
  <c r="Y845" i="8"/>
  <c r="Y846" i="8"/>
  <c r="Y847" i="8"/>
  <c r="Y848" i="8"/>
  <c r="Y849" i="8"/>
  <c r="Y850" i="8"/>
  <c r="Y851" i="8"/>
  <c r="Y852" i="8"/>
  <c r="Y853" i="8"/>
  <c r="Y854" i="8"/>
  <c r="Y855" i="8"/>
  <c r="Y856" i="8"/>
  <c r="Y857" i="8"/>
  <c r="Y858" i="8"/>
  <c r="Y859" i="8"/>
  <c r="Y860" i="8"/>
  <c r="Y861" i="8"/>
  <c r="Y862" i="8"/>
  <c r="Y863" i="8"/>
  <c r="Y864" i="8"/>
  <c r="Y865" i="8"/>
  <c r="Y866" i="8"/>
  <c r="Y867" i="8"/>
  <c r="Y868" i="8"/>
  <c r="Y869" i="8"/>
  <c r="Y870" i="8"/>
  <c r="Y871" i="8"/>
  <c r="Y872" i="8"/>
  <c r="Y873" i="8"/>
  <c r="Y874" i="8"/>
  <c r="Y875" i="8"/>
  <c r="Y876" i="8"/>
  <c r="Y877" i="8"/>
  <c r="Y878" i="8"/>
  <c r="Y879" i="8"/>
  <c r="Y880" i="8"/>
  <c r="Y881" i="8"/>
  <c r="Y882" i="8"/>
  <c r="Y883" i="8"/>
  <c r="Y884" i="8"/>
  <c r="Y885" i="8"/>
  <c r="Y886" i="8"/>
  <c r="Y887" i="8"/>
  <c r="Y888" i="8"/>
  <c r="Y889" i="8"/>
  <c r="Y890" i="8"/>
  <c r="Y891" i="8"/>
  <c r="Y892" i="8"/>
  <c r="Y893" i="8"/>
  <c r="Y894" i="8"/>
  <c r="Y895" i="8"/>
  <c r="Y896" i="8"/>
  <c r="Y897" i="8"/>
  <c r="Y898" i="8"/>
  <c r="Y899" i="8"/>
  <c r="Y900" i="8"/>
  <c r="Y901" i="8"/>
  <c r="Y902" i="8"/>
  <c r="Y903" i="8"/>
  <c r="Y904" i="8"/>
  <c r="Y905" i="8"/>
  <c r="Y906" i="8"/>
  <c r="Y907" i="8"/>
  <c r="Y908" i="8"/>
  <c r="Y909" i="8"/>
  <c r="Y910" i="8"/>
  <c r="Y911" i="8"/>
  <c r="Y912" i="8"/>
  <c r="Y913" i="8"/>
  <c r="Y914" i="8"/>
  <c r="Y915" i="8"/>
  <c r="Y916" i="8"/>
  <c r="Y917" i="8"/>
  <c r="Y918" i="8"/>
  <c r="Y919" i="8"/>
  <c r="Y920" i="8"/>
  <c r="Y921" i="8"/>
  <c r="Y922" i="8"/>
  <c r="Y923" i="8"/>
  <c r="Y924" i="8"/>
  <c r="Y925" i="8"/>
  <c r="Y926" i="8"/>
  <c r="Y927" i="8"/>
  <c r="Y928" i="8"/>
  <c r="Y929" i="8"/>
  <c r="Y930" i="8"/>
  <c r="Y931" i="8"/>
  <c r="Y932" i="8"/>
  <c r="Y933" i="8"/>
  <c r="Y934" i="8"/>
  <c r="Y935" i="8"/>
  <c r="Y936" i="8"/>
  <c r="Y937" i="8"/>
  <c r="Y938" i="8"/>
  <c r="Y939" i="8"/>
  <c r="Y940" i="8"/>
  <c r="Y941" i="8"/>
  <c r="Y942" i="8"/>
  <c r="Y943" i="8"/>
  <c r="Y944" i="8"/>
  <c r="Y945" i="8"/>
  <c r="Y946" i="8"/>
  <c r="Y947" i="8"/>
  <c r="Y948" i="8"/>
  <c r="Y949" i="8"/>
  <c r="Y950" i="8"/>
  <c r="Y951" i="8"/>
  <c r="Y952" i="8"/>
  <c r="Y953" i="8"/>
  <c r="Y954" i="8"/>
  <c r="Y955" i="8"/>
  <c r="Y956" i="8"/>
  <c r="Y957" i="8"/>
  <c r="Y958" i="8"/>
  <c r="Y959" i="8"/>
  <c r="Y960" i="8"/>
  <c r="Y961" i="8"/>
  <c r="Y962" i="8"/>
  <c r="Y963" i="8"/>
  <c r="Y964" i="8"/>
  <c r="Y965" i="8"/>
  <c r="Y966" i="8"/>
  <c r="Y967" i="8"/>
  <c r="Y968" i="8"/>
  <c r="Y969" i="8"/>
  <c r="Y970" i="8"/>
  <c r="Y971" i="8"/>
  <c r="Y972" i="8"/>
  <c r="Y973" i="8"/>
  <c r="Y974" i="8"/>
  <c r="Y975" i="8"/>
  <c r="Y976" i="8"/>
  <c r="Y977" i="8"/>
  <c r="Y978" i="8"/>
  <c r="Y979" i="8"/>
  <c r="Y980" i="8"/>
  <c r="Y981" i="8"/>
  <c r="Y982" i="8"/>
  <c r="Y983" i="8"/>
  <c r="Y984" i="8"/>
  <c r="Y985" i="8"/>
  <c r="Y986" i="8"/>
  <c r="Y987" i="8"/>
  <c r="Y988" i="8"/>
  <c r="Y989" i="8"/>
  <c r="Y990" i="8"/>
  <c r="Y991" i="8"/>
  <c r="Y992" i="8"/>
  <c r="Y993" i="8"/>
  <c r="Y994" i="8"/>
  <c r="Y995" i="8"/>
  <c r="Y996" i="8"/>
  <c r="Y997" i="8"/>
  <c r="Y998" i="8"/>
  <c r="Y999" i="8"/>
  <c r="Y1000" i="8"/>
  <c r="Y1001" i="8"/>
  <c r="Y1002" i="8"/>
  <c r="Y1003" i="8"/>
  <c r="Y1004" i="8"/>
  <c r="Y1005" i="8"/>
  <c r="Y1006" i="8"/>
  <c r="Y1007" i="8"/>
  <c r="Y1008" i="8"/>
  <c r="Y1009" i="8"/>
  <c r="Y1010" i="8"/>
  <c r="Y1011" i="8"/>
  <c r="Y1012" i="8"/>
  <c r="Y1013" i="8"/>
  <c r="Y1014" i="8"/>
  <c r="Y1015" i="8"/>
  <c r="Y1016" i="8"/>
  <c r="Y1017" i="8"/>
  <c r="Y1018" i="8"/>
  <c r="Y1019" i="8"/>
  <c r="Y1020" i="8"/>
  <c r="Y1021" i="8"/>
  <c r="Y1022" i="8"/>
  <c r="Y1023" i="8"/>
  <c r="Y1024" i="8"/>
  <c r="Y1025" i="8"/>
  <c r="Y1026" i="8"/>
  <c r="Y1027" i="8"/>
  <c r="Y1028" i="8"/>
  <c r="Y1029" i="8"/>
  <c r="Y1030" i="8"/>
  <c r="Y1031" i="8"/>
  <c r="Y1032" i="8"/>
  <c r="Y1033" i="8"/>
  <c r="Y1034" i="8"/>
  <c r="Y1035" i="8"/>
  <c r="Y1036" i="8"/>
  <c r="Y1037" i="8"/>
  <c r="Y1038" i="8"/>
  <c r="Y1039" i="8"/>
  <c r="Y1040" i="8"/>
  <c r="Y1041" i="8"/>
  <c r="Y1042" i="8"/>
  <c r="Y1043" i="8"/>
  <c r="Y1044" i="8"/>
  <c r="Y1045" i="8"/>
  <c r="Y1046" i="8"/>
  <c r="Y1047" i="8"/>
  <c r="Y1048" i="8"/>
  <c r="Y1049" i="8"/>
  <c r="Y1050" i="8"/>
  <c r="Y1051" i="8"/>
  <c r="Y1052" i="8"/>
  <c r="Y1053" i="8"/>
  <c r="Y1054" i="8"/>
  <c r="Y1055" i="8"/>
  <c r="Y1056" i="8"/>
  <c r="Y1057" i="8"/>
  <c r="Y1058" i="8"/>
  <c r="Y1059" i="8"/>
  <c r="Y1060" i="8"/>
  <c r="Y1061" i="8"/>
  <c r="Y1062" i="8"/>
  <c r="Y1063" i="8"/>
  <c r="Y1064" i="8"/>
  <c r="Y1065" i="8"/>
  <c r="Y1066" i="8"/>
  <c r="Y1067" i="8"/>
  <c r="Y1068" i="8"/>
  <c r="Y1069" i="8"/>
  <c r="Y1070" i="8"/>
  <c r="Y1071" i="8"/>
  <c r="Y1072" i="8"/>
  <c r="Y1073" i="8"/>
  <c r="Y1074" i="8"/>
  <c r="Y1075" i="8"/>
  <c r="Y1076" i="8"/>
  <c r="Y1077" i="8"/>
  <c r="Y1078" i="8"/>
  <c r="Y1079" i="8"/>
  <c r="Y1080" i="8"/>
  <c r="Y1081" i="8"/>
  <c r="Y1082" i="8"/>
  <c r="Y1083" i="8"/>
  <c r="Y1084" i="8"/>
  <c r="Y1085" i="8"/>
  <c r="Y1086" i="8"/>
  <c r="Y1087" i="8"/>
  <c r="Y1088" i="8"/>
  <c r="Y1089" i="8"/>
  <c r="Y1090" i="8"/>
  <c r="Y1091" i="8"/>
  <c r="Y1092" i="8"/>
  <c r="Y1093" i="8"/>
  <c r="Y1094" i="8"/>
  <c r="Y1095" i="8"/>
  <c r="Y1096" i="8"/>
  <c r="Y1097" i="8"/>
  <c r="Y1098" i="8"/>
  <c r="Y1099" i="8"/>
  <c r="Y1100" i="8"/>
  <c r="Y1101" i="8"/>
  <c r="Y1102" i="8"/>
  <c r="Y1103" i="8"/>
  <c r="Y1104" i="8"/>
  <c r="Y1105" i="8"/>
  <c r="Y1106" i="8"/>
  <c r="Y1107" i="8"/>
  <c r="Y1108" i="8"/>
  <c r="Y1109" i="8"/>
  <c r="Y1110" i="8"/>
  <c r="Y1111" i="8"/>
  <c r="Y1112" i="8"/>
  <c r="Y1113" i="8"/>
  <c r="Y1114" i="8"/>
  <c r="Y1115" i="8"/>
  <c r="Y1116" i="8"/>
  <c r="Y1117" i="8"/>
  <c r="Y1118" i="8"/>
  <c r="Y1119" i="8"/>
  <c r="Y1120" i="8"/>
  <c r="Y1121" i="8"/>
  <c r="Y1122" i="8"/>
  <c r="Y1123" i="8"/>
  <c r="Y1124" i="8"/>
  <c r="Y1125" i="8"/>
  <c r="Y1126" i="8"/>
  <c r="Y1127" i="8"/>
  <c r="Y1128" i="8"/>
  <c r="Y1129" i="8"/>
  <c r="Y1130" i="8"/>
  <c r="Y1131" i="8"/>
  <c r="Y1132" i="8"/>
  <c r="Y1133" i="8"/>
  <c r="Y1134" i="8"/>
  <c r="Y1135" i="8"/>
  <c r="Y1136" i="8"/>
  <c r="Y1137" i="8"/>
  <c r="Y1138" i="8"/>
  <c r="Y1139" i="8"/>
  <c r="Y1140" i="8"/>
  <c r="Y1141" i="8"/>
  <c r="Y1142" i="8"/>
  <c r="Y1143" i="8"/>
  <c r="Y1144" i="8"/>
  <c r="Y1145" i="8"/>
  <c r="Y1146" i="8"/>
  <c r="Y1147" i="8"/>
  <c r="Y1148" i="8"/>
  <c r="Y1149" i="8"/>
  <c r="Y1150" i="8"/>
  <c r="Y1151" i="8"/>
  <c r="Y1152" i="8"/>
  <c r="Y1153" i="8"/>
  <c r="Y1154" i="8"/>
  <c r="Y1155" i="8"/>
  <c r="Y1156" i="8"/>
  <c r="Y1157" i="8"/>
  <c r="Y1158" i="8"/>
  <c r="Y1159" i="8"/>
  <c r="Y1160" i="8"/>
  <c r="Y1161" i="8"/>
  <c r="Y1162" i="8"/>
  <c r="Y1163" i="8"/>
  <c r="Y1164" i="8"/>
  <c r="Y1165" i="8"/>
  <c r="Y1166" i="8"/>
  <c r="Y1167" i="8"/>
  <c r="Y1168" i="8"/>
  <c r="Y1169" i="8"/>
  <c r="Y1170" i="8"/>
  <c r="Y1171" i="8"/>
  <c r="Y1172" i="8"/>
  <c r="Y1173" i="8"/>
  <c r="Y1174" i="8"/>
  <c r="Y1175" i="8"/>
  <c r="Y1176" i="8"/>
  <c r="Y1177" i="8"/>
  <c r="Y1178" i="8"/>
  <c r="Y1179" i="8"/>
  <c r="Y1180" i="8"/>
  <c r="Y1181" i="8"/>
  <c r="Y1182" i="8"/>
  <c r="Y1183" i="8"/>
  <c r="Y1184" i="8"/>
  <c r="Y1185" i="8"/>
  <c r="Y1186" i="8"/>
  <c r="Y1187" i="8"/>
  <c r="Y1188" i="8"/>
  <c r="Y1189" i="8"/>
  <c r="Y1190" i="8"/>
  <c r="Y1191" i="8"/>
  <c r="Y1192" i="8"/>
  <c r="Y1193" i="8"/>
  <c r="Y1194" i="8"/>
  <c r="Y1195" i="8"/>
  <c r="Y1196" i="8"/>
  <c r="Y1197" i="8"/>
  <c r="Y1198" i="8"/>
  <c r="Y1199" i="8"/>
  <c r="Y1200" i="8"/>
  <c r="Y1201" i="8"/>
  <c r="Y1202" i="8"/>
  <c r="Y1203" i="8"/>
  <c r="Y1204" i="8"/>
  <c r="Y1205" i="8"/>
  <c r="Y1206" i="8"/>
  <c r="Y1207" i="8"/>
  <c r="Y1208" i="8"/>
  <c r="Y1209" i="8"/>
  <c r="Y1210" i="8"/>
  <c r="Y1211" i="8"/>
  <c r="Y1212" i="8"/>
  <c r="Y1213" i="8"/>
  <c r="Y1214" i="8"/>
  <c r="Y1215" i="8"/>
  <c r="Y1216" i="8"/>
  <c r="Y1217" i="8"/>
  <c r="Y1218" i="8"/>
  <c r="Y1219" i="8"/>
  <c r="Y1220" i="8"/>
  <c r="Y1221" i="8"/>
  <c r="Y1222" i="8"/>
  <c r="Y1223" i="8"/>
  <c r="Y1224" i="8"/>
  <c r="Y1225" i="8"/>
  <c r="Y1226" i="8"/>
  <c r="Y1227" i="8"/>
  <c r="Y1228" i="8"/>
  <c r="Y1229" i="8"/>
  <c r="Y1230" i="8"/>
  <c r="Y1231" i="8"/>
  <c r="Y1232" i="8"/>
  <c r="Y1233" i="8"/>
  <c r="Y1234" i="8"/>
  <c r="Y1235" i="8"/>
  <c r="Y1236" i="8"/>
  <c r="Y1237" i="8"/>
  <c r="Y1238" i="8"/>
  <c r="Y1239" i="8"/>
  <c r="Y1240" i="8"/>
  <c r="Y1241" i="8"/>
  <c r="Y1242" i="8"/>
  <c r="Y1243" i="8"/>
  <c r="Y1244" i="8"/>
  <c r="Y1245" i="8"/>
  <c r="Y1246" i="8"/>
  <c r="Y1247" i="8"/>
  <c r="Y1248" i="8"/>
  <c r="Y1249" i="8"/>
  <c r="Y1250" i="8"/>
  <c r="Y1251" i="8"/>
  <c r="Y1252" i="8"/>
  <c r="Y1253" i="8"/>
  <c r="Y1254" i="8"/>
  <c r="Y1255" i="8"/>
  <c r="Y1256" i="8"/>
  <c r="Y1257" i="8"/>
  <c r="Y1258" i="8"/>
  <c r="Y1259" i="8"/>
  <c r="Y1260" i="8"/>
  <c r="Y1261" i="8"/>
  <c r="Y1262" i="8"/>
  <c r="Y1263" i="8"/>
  <c r="Y1264" i="8"/>
  <c r="Y1265" i="8"/>
  <c r="Y1266" i="8"/>
  <c r="Y1267" i="8"/>
  <c r="Y1268" i="8"/>
  <c r="Y1269" i="8"/>
  <c r="Y1270" i="8"/>
  <c r="Y1271" i="8"/>
  <c r="Y1272" i="8"/>
  <c r="Y1273" i="8"/>
  <c r="Y1274" i="8"/>
  <c r="Y1275" i="8"/>
  <c r="Y1276" i="8"/>
  <c r="Y1277" i="8"/>
  <c r="Y1278" i="8"/>
  <c r="Y1279" i="8"/>
  <c r="Y1280" i="8"/>
  <c r="Y1281" i="8"/>
  <c r="Y1282" i="8"/>
  <c r="Y1283" i="8"/>
  <c r="Y1284" i="8"/>
  <c r="Y1285" i="8"/>
  <c r="Y1286" i="8"/>
  <c r="Y1287" i="8"/>
  <c r="Y1288" i="8"/>
  <c r="Y1289" i="8"/>
  <c r="Y1290" i="8"/>
  <c r="Y1291" i="8"/>
  <c r="Y1292" i="8"/>
  <c r="Y1293" i="8"/>
  <c r="Y1294" i="8"/>
  <c r="Y1295" i="8"/>
  <c r="Y1296" i="8"/>
  <c r="Y1297" i="8"/>
  <c r="Y1298" i="8"/>
  <c r="Y1299" i="8"/>
  <c r="Y1300" i="8"/>
  <c r="Y1301" i="8"/>
  <c r="Y1302" i="8"/>
  <c r="Y1303" i="8"/>
  <c r="Y1304" i="8"/>
  <c r="Y1305" i="8"/>
  <c r="Y1306" i="8"/>
  <c r="Y1307" i="8"/>
  <c r="Y1308" i="8"/>
  <c r="Y1309" i="8"/>
  <c r="Y1310" i="8"/>
  <c r="Y1311" i="8"/>
  <c r="Y1312" i="8"/>
  <c r="Y1313" i="8"/>
  <c r="Y1314" i="8"/>
  <c r="Y1315" i="8"/>
  <c r="Y1316" i="8"/>
  <c r="Y1317" i="8"/>
  <c r="Y1318" i="8"/>
  <c r="Y1319" i="8"/>
  <c r="Y1320" i="8"/>
  <c r="Y1321" i="8"/>
  <c r="Y1322" i="8"/>
  <c r="Y1323" i="8"/>
  <c r="Y1324" i="8"/>
  <c r="Y1325" i="8"/>
  <c r="Y1326" i="8"/>
  <c r="Y1327" i="8"/>
  <c r="Y1328" i="8"/>
  <c r="Y1329" i="8"/>
  <c r="Y1330" i="8"/>
  <c r="Y1331" i="8"/>
  <c r="Y1332" i="8"/>
  <c r="Y1333" i="8"/>
  <c r="Y1334" i="8"/>
  <c r="Y1335" i="8"/>
  <c r="Y1336" i="8"/>
  <c r="Y1337" i="8"/>
  <c r="Y1338" i="8"/>
  <c r="Y1339" i="8"/>
  <c r="Y1340" i="8"/>
  <c r="Y1341" i="8"/>
  <c r="Y1342" i="8"/>
  <c r="Y1343" i="8"/>
  <c r="Y1344" i="8"/>
  <c r="Y1345" i="8"/>
  <c r="Y1346" i="8"/>
  <c r="Y1347" i="8"/>
  <c r="Y1348" i="8"/>
  <c r="Y1349" i="8"/>
  <c r="Y1350" i="8"/>
  <c r="Y1351" i="8"/>
  <c r="Y1352" i="8"/>
  <c r="Y1353" i="8"/>
  <c r="Y1354" i="8"/>
  <c r="Y1355" i="8"/>
  <c r="Y1356" i="8"/>
  <c r="Y1357" i="8"/>
  <c r="Y1358" i="8"/>
  <c r="Y1359" i="8"/>
  <c r="Y1360" i="8"/>
  <c r="Y1361" i="8"/>
  <c r="Y1362" i="8"/>
  <c r="Y1363" i="8"/>
  <c r="Y1364" i="8"/>
  <c r="Y1365" i="8"/>
  <c r="Y1366" i="8"/>
  <c r="Y1367" i="8"/>
  <c r="Y1368" i="8"/>
  <c r="Y1369" i="8"/>
  <c r="Y1370" i="8"/>
  <c r="Y1371" i="8"/>
  <c r="Y1372" i="8"/>
  <c r="Y1373" i="8"/>
  <c r="Y1374" i="8"/>
  <c r="Y1375" i="8"/>
  <c r="Y1376" i="8"/>
  <c r="Y1377" i="8"/>
  <c r="Y1378" i="8"/>
  <c r="Y1379" i="8"/>
  <c r="Y1380" i="8"/>
  <c r="Y1381" i="8"/>
  <c r="Y1382" i="8"/>
  <c r="Y1383" i="8"/>
  <c r="Y1384" i="8"/>
  <c r="Y1385" i="8"/>
  <c r="Y1386" i="8"/>
  <c r="Y1387" i="8"/>
  <c r="Y1388" i="8"/>
  <c r="Y1389" i="8"/>
  <c r="Y1390" i="8"/>
  <c r="Y1391" i="8"/>
  <c r="Y1392" i="8"/>
  <c r="Y1393" i="8"/>
  <c r="Y1394" i="8"/>
  <c r="Y1395" i="8"/>
  <c r="Y1396" i="8"/>
  <c r="Y1397" i="8"/>
  <c r="Y1398" i="8"/>
  <c r="Y1399" i="8"/>
  <c r="Y1400" i="8"/>
  <c r="Y1401" i="8"/>
  <c r="Y1402" i="8"/>
  <c r="Y1403" i="8"/>
  <c r="Y1404" i="8"/>
  <c r="Y1405" i="8"/>
  <c r="Y1406" i="8"/>
  <c r="Y1407" i="8"/>
  <c r="Y1408" i="8"/>
  <c r="Y1409" i="8"/>
  <c r="Y1410" i="8"/>
  <c r="Y1411" i="8"/>
  <c r="Y1412" i="8"/>
  <c r="Y1413" i="8"/>
  <c r="Y1414" i="8"/>
  <c r="Y1415" i="8"/>
  <c r="Y1416" i="8"/>
  <c r="Y1417" i="8"/>
  <c r="Y1418" i="8"/>
  <c r="Y1419" i="8"/>
  <c r="Y1420" i="8"/>
  <c r="Y1421" i="8"/>
  <c r="Y1422" i="8"/>
  <c r="Y1423" i="8"/>
  <c r="Y1424" i="8"/>
  <c r="Y1425" i="8"/>
  <c r="Y1426" i="8"/>
  <c r="Y1427" i="8"/>
  <c r="Y1428" i="8"/>
  <c r="Y1429" i="8"/>
  <c r="Y1430" i="8"/>
  <c r="Y1431" i="8"/>
  <c r="Y1432" i="8"/>
  <c r="Y1433" i="8"/>
  <c r="Y1434" i="8"/>
  <c r="Y1435" i="8"/>
  <c r="Y1436" i="8"/>
  <c r="Y1437" i="8"/>
  <c r="Y1438" i="8"/>
  <c r="Y1439" i="8"/>
  <c r="Y1440" i="8"/>
  <c r="Y1441" i="8"/>
  <c r="Y1442" i="8"/>
  <c r="Y1443" i="8"/>
  <c r="Y1444" i="8"/>
  <c r="Y1445" i="8"/>
  <c r="Y1446" i="8"/>
  <c r="Y1447" i="8"/>
  <c r="Y1448" i="8"/>
  <c r="Y1449" i="8"/>
  <c r="Y1450" i="8"/>
  <c r="Y1451" i="8"/>
  <c r="Y1452" i="8"/>
  <c r="Y1453" i="8"/>
  <c r="Y1454" i="8"/>
  <c r="Y1455" i="8"/>
  <c r="Y1456" i="8"/>
  <c r="Y1457" i="8"/>
  <c r="Y1458" i="8"/>
  <c r="Y1459" i="8"/>
  <c r="Y1460" i="8"/>
  <c r="Y1461" i="8"/>
  <c r="Y1462" i="8"/>
  <c r="Y1463" i="8"/>
  <c r="Y1464" i="8"/>
  <c r="Y1465" i="8"/>
  <c r="Y1466" i="8"/>
  <c r="Y1467" i="8"/>
  <c r="Y1468" i="8"/>
  <c r="Y1469" i="8"/>
  <c r="Y1470" i="8"/>
  <c r="Y1471" i="8"/>
  <c r="Y1472" i="8"/>
  <c r="Y1473" i="8"/>
  <c r="Y1474" i="8"/>
  <c r="Y1475" i="8"/>
  <c r="Y1476" i="8"/>
  <c r="Y1477" i="8"/>
  <c r="Y1478" i="8"/>
  <c r="Y1479" i="8"/>
  <c r="Y1480" i="8"/>
  <c r="Y1481" i="8"/>
  <c r="Y1482" i="8"/>
  <c r="Y1483" i="8"/>
  <c r="Y1484" i="8"/>
  <c r="Y1485" i="8"/>
  <c r="Y1486" i="8"/>
  <c r="Y1487" i="8"/>
  <c r="Y1488" i="8"/>
  <c r="Y1489" i="8"/>
  <c r="Y1490" i="8"/>
  <c r="Y1491" i="8"/>
  <c r="Y1492" i="8"/>
  <c r="Y1493" i="8"/>
  <c r="Y1494" i="8"/>
  <c r="Y1495" i="8"/>
  <c r="Y1496" i="8"/>
  <c r="Y1497" i="8"/>
  <c r="Y1498" i="8"/>
  <c r="Y1499" i="8"/>
  <c r="Y1500" i="8"/>
  <c r="Y1501" i="8"/>
  <c r="Y1502" i="8"/>
  <c r="Y1503" i="8"/>
  <c r="Y1504" i="8"/>
  <c r="Y1505" i="8"/>
  <c r="Y1506" i="8"/>
  <c r="Y1507" i="8"/>
  <c r="Y1508" i="8"/>
  <c r="Y1509" i="8"/>
  <c r="Y1510" i="8"/>
  <c r="Y1511" i="8"/>
  <c r="Y1512" i="8"/>
  <c r="Y1513" i="8"/>
  <c r="Y1514" i="8"/>
  <c r="Y1515" i="8"/>
  <c r="Y1516" i="8"/>
  <c r="Y1517" i="8"/>
  <c r="Y1518" i="8"/>
  <c r="Y1519" i="8"/>
  <c r="Y1520" i="8"/>
  <c r="Y1521" i="8"/>
  <c r="Y1522" i="8"/>
  <c r="Y1523" i="8"/>
  <c r="Y1524" i="8"/>
  <c r="Y1525" i="8"/>
  <c r="Y1526" i="8"/>
  <c r="Y1527" i="8"/>
  <c r="Y1528" i="8"/>
  <c r="Y1529" i="8"/>
  <c r="Y1530" i="8"/>
  <c r="Y1531" i="8"/>
  <c r="Y1532" i="8"/>
  <c r="Y1533" i="8"/>
  <c r="Y1534" i="8"/>
  <c r="Y1535" i="8"/>
  <c r="Y1536" i="8"/>
  <c r="Y1537" i="8"/>
  <c r="Y1538" i="8"/>
  <c r="Y1539" i="8"/>
  <c r="Y1540" i="8"/>
  <c r="Y1541" i="8"/>
  <c r="Y1542" i="8"/>
  <c r="Y1543" i="8"/>
  <c r="Y1544" i="8"/>
  <c r="Y1545" i="8"/>
  <c r="Y1546" i="8"/>
  <c r="Y1547" i="8"/>
  <c r="Y1548" i="8"/>
  <c r="Y1549" i="8"/>
  <c r="Y1550" i="8"/>
  <c r="Y1551" i="8"/>
  <c r="Y1552" i="8"/>
  <c r="Y1553" i="8"/>
  <c r="Y1554" i="8"/>
  <c r="Y1555" i="8"/>
  <c r="Y1556" i="8"/>
  <c r="Y1557" i="8"/>
  <c r="Y1558" i="8"/>
  <c r="Y1559" i="8"/>
  <c r="Y1560" i="8"/>
  <c r="Y1561" i="8"/>
  <c r="Y1562" i="8"/>
  <c r="Y1563" i="8"/>
  <c r="Y1564" i="8"/>
  <c r="Y1565" i="8"/>
  <c r="Y1566" i="8"/>
  <c r="Y1567" i="8"/>
  <c r="Y1568" i="8"/>
  <c r="Y1569" i="8"/>
  <c r="Y1570" i="8"/>
  <c r="Y1571" i="8"/>
  <c r="Y1572" i="8"/>
  <c r="Y1573" i="8"/>
  <c r="Y1574" i="8"/>
  <c r="Y1575" i="8"/>
  <c r="Y1576" i="8"/>
  <c r="Y1577" i="8"/>
  <c r="Y1578" i="8"/>
  <c r="Y1579" i="8"/>
  <c r="Y1580" i="8"/>
  <c r="Y1581" i="8"/>
  <c r="Y1582" i="8"/>
  <c r="Y1583" i="8"/>
  <c r="Y1584" i="8"/>
  <c r="Y1585" i="8"/>
  <c r="Y1586" i="8"/>
  <c r="Y1587" i="8"/>
  <c r="Y1588" i="8"/>
  <c r="Y1589" i="8"/>
  <c r="Y1590" i="8"/>
  <c r="Y1591" i="8"/>
  <c r="Y1592" i="8"/>
  <c r="Y1593" i="8"/>
  <c r="Y1594" i="8"/>
  <c r="Y1595" i="8"/>
  <c r="Y1596" i="8"/>
  <c r="Y1597" i="8"/>
  <c r="Y1598" i="8"/>
  <c r="Y1599" i="8"/>
  <c r="Y1600" i="8"/>
  <c r="Y1601" i="8"/>
  <c r="Y1602" i="8"/>
  <c r="Y1603" i="8"/>
  <c r="Y1604" i="8"/>
  <c r="Y1605" i="8"/>
  <c r="Y1606" i="8"/>
  <c r="Y1607" i="8"/>
  <c r="Y1608" i="8"/>
  <c r="Y1609" i="8"/>
  <c r="Y1610" i="8"/>
  <c r="Y1611" i="8"/>
  <c r="Y1612" i="8"/>
  <c r="Y1613" i="8"/>
  <c r="Y1614" i="8"/>
  <c r="Y1615" i="8"/>
  <c r="Y1616" i="8"/>
  <c r="Y1617" i="8"/>
  <c r="Y1618" i="8"/>
  <c r="Y1619" i="8"/>
  <c r="Y1620" i="8"/>
  <c r="Y1621" i="8"/>
  <c r="Y1622" i="8"/>
  <c r="Y1623" i="8"/>
  <c r="Y1624" i="8"/>
  <c r="Y1625" i="8"/>
  <c r="Y1626" i="8"/>
  <c r="Y1627" i="8"/>
  <c r="Y1628" i="8"/>
  <c r="Y1629" i="8"/>
  <c r="Y1630" i="8"/>
  <c r="Y1631" i="8"/>
  <c r="Y1632" i="8"/>
  <c r="Y1633" i="8"/>
  <c r="Y1634" i="8"/>
  <c r="Y1635" i="8"/>
  <c r="Y1636" i="8"/>
  <c r="Y1637" i="8"/>
  <c r="Y1638" i="8"/>
  <c r="Y1639" i="8"/>
  <c r="Y1640" i="8"/>
  <c r="Y1641" i="8"/>
  <c r="Y1642" i="8"/>
  <c r="Y1643" i="8"/>
  <c r="Y1644" i="8"/>
  <c r="Y1645" i="8"/>
  <c r="Y1646" i="8"/>
  <c r="Y1647" i="8"/>
  <c r="Y1648" i="8"/>
  <c r="Y1649" i="8"/>
  <c r="Y1650" i="8"/>
  <c r="Y1651" i="8"/>
  <c r="Y1652" i="8"/>
  <c r="Y1653" i="8"/>
  <c r="Y1654" i="8"/>
  <c r="Y1655" i="8"/>
  <c r="Y1656" i="8"/>
  <c r="Y1657" i="8"/>
  <c r="Y1658" i="8"/>
  <c r="Y1659" i="8"/>
  <c r="Y1660" i="8"/>
  <c r="Y1661" i="8"/>
  <c r="Y1662" i="8"/>
  <c r="Y1663" i="8"/>
  <c r="Y1664" i="8"/>
  <c r="Y1665" i="8"/>
  <c r="Y1666" i="8"/>
  <c r="Y1667" i="8"/>
  <c r="Y1668" i="8"/>
  <c r="Y1669" i="8"/>
  <c r="Y1670" i="8"/>
  <c r="Y1671" i="8"/>
  <c r="Y1672" i="8"/>
  <c r="Y1673" i="8"/>
  <c r="Y1674" i="8"/>
  <c r="Y1675" i="8"/>
  <c r="Y1676" i="8"/>
  <c r="Y1677" i="8"/>
  <c r="Y1678" i="8"/>
  <c r="Y1679" i="8"/>
  <c r="Y1680" i="8"/>
  <c r="Y1681" i="8"/>
  <c r="Y1682" i="8"/>
  <c r="Y1683" i="8"/>
  <c r="Y1684" i="8"/>
  <c r="Y1685" i="8"/>
  <c r="Y1686" i="8"/>
  <c r="Y1687" i="8"/>
  <c r="Y1688" i="8"/>
  <c r="Y1689" i="8"/>
  <c r="Y1690" i="8"/>
  <c r="Y1691" i="8"/>
  <c r="Y1692" i="8"/>
  <c r="Y1693" i="8"/>
  <c r="Y1694" i="8"/>
  <c r="Y1695" i="8"/>
  <c r="Y1696" i="8"/>
  <c r="Y1697" i="8"/>
  <c r="Y1698" i="8"/>
  <c r="Y1699" i="8"/>
  <c r="Y1700" i="8"/>
  <c r="Y1701" i="8"/>
  <c r="Y1702" i="8"/>
  <c r="Y1703" i="8"/>
  <c r="Y1704" i="8"/>
  <c r="Y1705" i="8"/>
  <c r="Y1706" i="8"/>
  <c r="Y1707" i="8"/>
  <c r="Y1708" i="8"/>
  <c r="Y1709" i="8"/>
  <c r="Y1710" i="8"/>
  <c r="Y1711" i="8"/>
  <c r="Y1712" i="8"/>
  <c r="Y1713" i="8"/>
  <c r="Y1714" i="8"/>
  <c r="Y1715" i="8"/>
  <c r="Y1716" i="8"/>
  <c r="Y1717" i="8"/>
  <c r="Y1718" i="8"/>
  <c r="Y1719" i="8"/>
  <c r="Y1720" i="8"/>
  <c r="Y1721" i="8"/>
  <c r="Y1722" i="8"/>
  <c r="Y1723" i="8"/>
  <c r="Y1724" i="8"/>
  <c r="Y1725" i="8"/>
  <c r="Y1726" i="8"/>
  <c r="Y1727" i="8"/>
  <c r="Y1728" i="8"/>
  <c r="Y1729" i="8"/>
  <c r="Y1730" i="8"/>
  <c r="Y1731" i="8"/>
  <c r="Y1732" i="8"/>
  <c r="Y1733" i="8"/>
  <c r="Y1734" i="8"/>
  <c r="Y1735" i="8"/>
  <c r="Y1736" i="8"/>
  <c r="Y1737" i="8"/>
  <c r="Y1738" i="8"/>
  <c r="Y1739" i="8"/>
  <c r="Y1740" i="8"/>
  <c r="Y1741" i="8"/>
  <c r="Y1742" i="8"/>
  <c r="Y1743" i="8"/>
  <c r="Y1744" i="8"/>
  <c r="Y1745" i="8"/>
  <c r="Y1746" i="8"/>
  <c r="Y1747" i="8"/>
  <c r="Y1748" i="8"/>
  <c r="Y1749" i="8"/>
  <c r="Y1750" i="8"/>
  <c r="Y1751" i="8"/>
  <c r="Y1752" i="8"/>
  <c r="Y1753" i="8"/>
  <c r="Y1754" i="8"/>
  <c r="Y1755" i="8"/>
  <c r="Y1756" i="8"/>
  <c r="Y1757" i="8"/>
  <c r="Y1758" i="8"/>
  <c r="Y1759" i="8"/>
  <c r="Y1760" i="8"/>
  <c r="Y1761" i="8"/>
  <c r="Y1762" i="8"/>
  <c r="Y1763" i="8"/>
  <c r="Y1764" i="8"/>
  <c r="Y1765" i="8"/>
  <c r="Y1766" i="8"/>
  <c r="Y1767" i="8"/>
  <c r="Y1768" i="8"/>
  <c r="Y1769" i="8"/>
  <c r="Y1770" i="8"/>
  <c r="Y1771" i="8"/>
  <c r="Y1772" i="8"/>
  <c r="Y1773" i="8"/>
  <c r="Y1774" i="8"/>
  <c r="Y1775" i="8"/>
  <c r="Y1776" i="8"/>
  <c r="Y1777" i="8"/>
  <c r="Y1778" i="8"/>
  <c r="Y1779" i="8"/>
  <c r="Y1780" i="8"/>
  <c r="Y1781" i="8"/>
  <c r="Y1782" i="8"/>
  <c r="Y1783" i="8"/>
  <c r="Y1784" i="8"/>
  <c r="Y1785" i="8"/>
  <c r="Y1786" i="8"/>
  <c r="Y1787" i="8"/>
  <c r="Y1788" i="8"/>
  <c r="Y1789" i="8"/>
  <c r="Y1790" i="8"/>
  <c r="Y1791" i="8"/>
  <c r="Y1792" i="8"/>
  <c r="Y1793" i="8"/>
  <c r="Y1794" i="8"/>
  <c r="Y1795" i="8"/>
  <c r="Y1796" i="8"/>
  <c r="Y1797" i="8"/>
  <c r="Y1798" i="8"/>
  <c r="Y1799" i="8"/>
  <c r="Y1800" i="8"/>
  <c r="Y1801" i="8"/>
  <c r="Y1802" i="8"/>
  <c r="Y1803" i="8"/>
  <c r="Y1804" i="8"/>
  <c r="Y1805" i="8"/>
  <c r="Y1806" i="8"/>
  <c r="Y1807" i="8"/>
  <c r="Y1808" i="8"/>
  <c r="Y1809" i="8"/>
  <c r="Y1810" i="8"/>
  <c r="Y1811" i="8"/>
  <c r="Y1812" i="8"/>
  <c r="Y1813" i="8"/>
  <c r="Y1814" i="8"/>
  <c r="Y1815" i="8"/>
  <c r="Y1816" i="8"/>
  <c r="Y1817" i="8"/>
  <c r="Y1818" i="8"/>
  <c r="Y1819" i="8"/>
  <c r="Y1820" i="8"/>
  <c r="Y1821" i="8"/>
  <c r="Y1822" i="8"/>
  <c r="Y1823" i="8"/>
  <c r="Y1824" i="8"/>
  <c r="Y1825" i="8"/>
  <c r="Y1826" i="8"/>
  <c r="Y1827" i="8"/>
  <c r="Y1828" i="8"/>
  <c r="Y1829" i="8"/>
  <c r="Y1830" i="8"/>
  <c r="Y1831" i="8"/>
  <c r="Y1832" i="8"/>
  <c r="Y1833" i="8"/>
  <c r="Y1834" i="8"/>
  <c r="Y1835" i="8"/>
  <c r="Y1836" i="8"/>
  <c r="Y1837" i="8"/>
  <c r="Y1838" i="8"/>
  <c r="Y1839" i="8"/>
  <c r="Y1840" i="8"/>
  <c r="Y1841" i="8"/>
  <c r="Y1842" i="8"/>
  <c r="Y1843" i="8"/>
  <c r="Y1844" i="8"/>
  <c r="Y1845" i="8"/>
  <c r="Y1846" i="8"/>
  <c r="Y1847" i="8"/>
  <c r="Y1848" i="8"/>
  <c r="Y1849" i="8"/>
  <c r="Y1850" i="8"/>
  <c r="Y1851" i="8"/>
  <c r="Y1852" i="8"/>
  <c r="Y1853" i="8"/>
  <c r="Y1854" i="8"/>
  <c r="Y1855" i="8"/>
  <c r="Y1856" i="8"/>
  <c r="Y1857" i="8"/>
  <c r="Y1858" i="8"/>
  <c r="Y1859" i="8"/>
  <c r="Y1860" i="8"/>
  <c r="Y1861" i="8"/>
  <c r="Y1862" i="8"/>
  <c r="Y1863" i="8"/>
  <c r="Y1864" i="8"/>
  <c r="Y1865" i="8"/>
  <c r="Y1866" i="8"/>
  <c r="Y1867" i="8"/>
  <c r="Y1868" i="8"/>
  <c r="Y1869" i="8"/>
  <c r="Y1870" i="8"/>
  <c r="Y1871" i="8"/>
  <c r="Y1872" i="8"/>
  <c r="Y1873" i="8"/>
  <c r="Y1874" i="8"/>
  <c r="Y1875" i="8"/>
  <c r="Y1876" i="8"/>
  <c r="Y1877" i="8"/>
  <c r="Y1878" i="8"/>
  <c r="Y1879" i="8"/>
  <c r="Y1880" i="8"/>
  <c r="Y1881" i="8"/>
  <c r="Y1882" i="8"/>
  <c r="Y1883" i="8"/>
  <c r="Y1884" i="8"/>
  <c r="Y1885" i="8"/>
  <c r="Y1886" i="8"/>
  <c r="Y1887" i="8"/>
  <c r="Y1888" i="8"/>
  <c r="Y1889" i="8"/>
  <c r="Y1890" i="8"/>
  <c r="Y1891" i="8"/>
  <c r="Y1892" i="8"/>
  <c r="Y1893" i="8"/>
  <c r="Y1894" i="8"/>
  <c r="Y1895" i="8"/>
  <c r="Y1896" i="8"/>
  <c r="Y1897" i="8"/>
  <c r="Y1898" i="8"/>
  <c r="Y1899" i="8"/>
  <c r="Y1900" i="8"/>
  <c r="Y1901" i="8"/>
  <c r="Y1902" i="8"/>
  <c r="Y1903" i="8"/>
  <c r="Y1904" i="8"/>
  <c r="Y1905" i="8"/>
  <c r="Y1906" i="8"/>
  <c r="Y1907" i="8"/>
  <c r="Y1908" i="8"/>
  <c r="Y1909" i="8"/>
  <c r="Y1910" i="8"/>
  <c r="Y1911" i="8"/>
  <c r="Y1912" i="8"/>
  <c r="Y1913" i="8"/>
  <c r="Y1914" i="8"/>
  <c r="Y1915" i="8"/>
  <c r="Y1916" i="8"/>
  <c r="Y1917" i="8"/>
  <c r="Y1918" i="8"/>
  <c r="Y1919" i="8"/>
  <c r="Y1920" i="8"/>
  <c r="Y1921" i="8"/>
  <c r="Y1922" i="8"/>
  <c r="Y1923" i="8"/>
  <c r="Y1924" i="8"/>
  <c r="Y1925" i="8"/>
  <c r="Y1926" i="8"/>
  <c r="Y1927" i="8"/>
  <c r="Y1928" i="8"/>
  <c r="Y1929" i="8"/>
  <c r="Y1930" i="8"/>
  <c r="Y1931" i="8"/>
  <c r="Y1932" i="8"/>
  <c r="Y1933" i="8"/>
  <c r="Y1934" i="8"/>
  <c r="Y1935" i="8"/>
  <c r="Y1936" i="8"/>
  <c r="Y1937" i="8"/>
  <c r="Y1938" i="8"/>
  <c r="Y1939" i="8"/>
  <c r="Y1940" i="8"/>
  <c r="Y1941" i="8"/>
  <c r="Y1942" i="8"/>
  <c r="Y1943" i="8"/>
  <c r="Y1944" i="8"/>
  <c r="Y1945" i="8"/>
  <c r="Y1946" i="8"/>
  <c r="Y1947" i="8"/>
  <c r="Y1948" i="8"/>
  <c r="Y1949" i="8"/>
  <c r="Y1950" i="8"/>
  <c r="Y1951" i="8"/>
  <c r="Y1952" i="8"/>
  <c r="Y1953" i="8"/>
  <c r="Y1954" i="8"/>
  <c r="Y1955" i="8"/>
  <c r="Y1956" i="8"/>
  <c r="Y1957" i="8"/>
  <c r="Y1958" i="8"/>
  <c r="Y1959" i="8"/>
  <c r="Y1960" i="8"/>
  <c r="Y1961" i="8"/>
  <c r="Y1962" i="8"/>
  <c r="Y1963" i="8"/>
  <c r="Y1964" i="8"/>
  <c r="Y1965" i="8"/>
  <c r="Y1966" i="8"/>
  <c r="Y1967" i="8"/>
  <c r="Y1968" i="8"/>
  <c r="Y1969" i="8"/>
  <c r="Y1970" i="8"/>
  <c r="Y1971" i="8"/>
  <c r="Y1972" i="8"/>
  <c r="Y1973" i="8"/>
  <c r="Y1974" i="8"/>
  <c r="Y1975" i="8"/>
  <c r="Y1976" i="8"/>
  <c r="Y1977" i="8"/>
  <c r="Y1978" i="8"/>
  <c r="Y1979" i="8"/>
  <c r="Y1980" i="8"/>
  <c r="Y1981" i="8"/>
  <c r="Y1982" i="8"/>
  <c r="Y1983" i="8"/>
  <c r="Y1984" i="8"/>
  <c r="Y1985" i="8"/>
  <c r="Y1986" i="8"/>
  <c r="Y1987" i="8"/>
  <c r="Y1988" i="8"/>
  <c r="Y1989" i="8"/>
  <c r="Y1990" i="8"/>
  <c r="Y1991" i="8"/>
  <c r="Y1992" i="8"/>
  <c r="Y1993" i="8"/>
  <c r="Y1994" i="8"/>
  <c r="Y1995" i="8"/>
  <c r="Y1996" i="8"/>
  <c r="Y1997" i="8"/>
  <c r="Y1998" i="8"/>
  <c r="Y1999" i="8"/>
  <c r="Y2000" i="8"/>
  <c r="Y2001" i="8"/>
  <c r="Y2002" i="8"/>
  <c r="Y2003" i="8"/>
  <c r="Y2004" i="8"/>
  <c r="Y2005" i="8"/>
  <c r="Y2006" i="8"/>
  <c r="Y2007" i="8"/>
  <c r="Y2008" i="8"/>
  <c r="Y2009" i="8"/>
  <c r="Y2010" i="8"/>
  <c r="Y2011" i="8"/>
  <c r="Y2012" i="8"/>
  <c r="Y2013" i="8"/>
  <c r="Y2014" i="8"/>
  <c r="Y2015" i="8"/>
  <c r="Y2016" i="8"/>
  <c r="Y2017" i="8"/>
  <c r="Y2018" i="8"/>
  <c r="Y2019" i="8"/>
  <c r="Y2020" i="8"/>
  <c r="Y2021" i="8"/>
  <c r="Y2022" i="8"/>
  <c r="Y2023" i="8"/>
  <c r="Y2024" i="8"/>
  <c r="Y2025" i="8"/>
  <c r="Y2026" i="8"/>
  <c r="Y2027" i="8"/>
  <c r="Y2028" i="8"/>
  <c r="Y2029" i="8"/>
  <c r="Y2030" i="8"/>
  <c r="Y2031" i="8"/>
  <c r="Y2032" i="8"/>
  <c r="Y2033" i="8"/>
  <c r="Y2034" i="8"/>
  <c r="Y2035" i="8"/>
  <c r="Y2036" i="8"/>
  <c r="Y2037" i="8"/>
  <c r="Y2038" i="8"/>
  <c r="Y2039" i="8"/>
  <c r="Y2040" i="8"/>
  <c r="Y2041" i="8"/>
  <c r="Y2042" i="8"/>
  <c r="Y2043" i="8"/>
  <c r="Y2044" i="8"/>
  <c r="Y2045" i="8"/>
  <c r="Y2046" i="8"/>
  <c r="Y2047" i="8"/>
  <c r="Y2048" i="8"/>
  <c r="Y2049" i="8"/>
  <c r="Y2050" i="8"/>
  <c r="Y2051" i="8"/>
  <c r="Y2052" i="8"/>
  <c r="Y2053" i="8"/>
  <c r="Y2054" i="8"/>
  <c r="Y2055" i="8"/>
  <c r="Y2056" i="8"/>
  <c r="Y2057" i="8"/>
  <c r="Y2058" i="8"/>
  <c r="Y2059" i="8"/>
  <c r="Y2060" i="8"/>
  <c r="Y2061" i="8"/>
  <c r="Y2062" i="8"/>
  <c r="Y2063" i="8"/>
  <c r="Y2064" i="8"/>
  <c r="Y2065" i="8"/>
  <c r="Y2066" i="8"/>
  <c r="Y2067" i="8"/>
  <c r="Y2068" i="8"/>
  <c r="Y2069" i="8"/>
  <c r="Y2070" i="8"/>
  <c r="Y2071" i="8"/>
  <c r="Y2072" i="8"/>
  <c r="Y2073" i="8"/>
  <c r="Y2074" i="8"/>
  <c r="Y2075" i="8"/>
  <c r="Y2076" i="8"/>
  <c r="Y2077" i="8"/>
  <c r="Y2078" i="8"/>
  <c r="Y2079" i="8"/>
  <c r="Y2080" i="8"/>
  <c r="Y2081" i="8"/>
  <c r="Y2082" i="8"/>
  <c r="Y2083" i="8"/>
  <c r="Y2084" i="8"/>
  <c r="Y2085" i="8"/>
  <c r="Y2086" i="8"/>
  <c r="Y2087" i="8"/>
  <c r="Y2088" i="8"/>
  <c r="Y2089" i="8"/>
  <c r="Y2090" i="8"/>
  <c r="Y2091" i="8"/>
  <c r="Y2092" i="8"/>
  <c r="Y2093" i="8"/>
  <c r="Y2094" i="8"/>
  <c r="Y2095" i="8"/>
  <c r="Y2096" i="8"/>
  <c r="Y2097" i="8"/>
  <c r="Y2098" i="8"/>
  <c r="Y2099" i="8"/>
  <c r="Y2100" i="8"/>
  <c r="Y2101" i="8"/>
  <c r="Y2102" i="8"/>
  <c r="Y2103" i="8"/>
  <c r="Y2104" i="8"/>
  <c r="Y2105" i="8"/>
  <c r="Y2106" i="8"/>
  <c r="Y2107" i="8"/>
  <c r="Y2108" i="8"/>
  <c r="Y2109" i="8"/>
  <c r="Y2110" i="8"/>
  <c r="Y2111" i="8"/>
  <c r="Y2112" i="8"/>
  <c r="Y2113" i="8"/>
  <c r="Y2114" i="8"/>
  <c r="Y2115" i="8"/>
  <c r="Y2116" i="8"/>
  <c r="Y2117" i="8"/>
  <c r="Y2118" i="8"/>
  <c r="Y2119" i="8"/>
  <c r="Y2120" i="8"/>
  <c r="Y2121" i="8"/>
  <c r="Y2122" i="8"/>
  <c r="Y2123" i="8"/>
  <c r="Y2124" i="8"/>
  <c r="Y2125" i="8"/>
  <c r="Y2126" i="8"/>
  <c r="Y2127" i="8"/>
  <c r="Y2128" i="8"/>
  <c r="Y2129" i="8"/>
  <c r="Y2130" i="8"/>
  <c r="Y2131" i="8"/>
  <c r="Y2132" i="8"/>
  <c r="Y2133" i="8"/>
  <c r="Y2134" i="8"/>
  <c r="Y2135" i="8"/>
  <c r="Y2136" i="8"/>
  <c r="Y2137" i="8"/>
  <c r="Y2138" i="8"/>
  <c r="Y2139" i="8"/>
  <c r="Y2140" i="8"/>
  <c r="Y2141" i="8"/>
  <c r="Y2142" i="8"/>
  <c r="Y2143" i="8"/>
  <c r="Y2144" i="8"/>
  <c r="Y2145" i="8"/>
  <c r="Y2146" i="8"/>
  <c r="Y2147" i="8"/>
  <c r="Y2148" i="8"/>
  <c r="Y2149" i="8"/>
  <c r="Y2150" i="8"/>
  <c r="Y2151" i="8"/>
  <c r="Y2152" i="8"/>
  <c r="Y2153" i="8"/>
  <c r="Y2154" i="8"/>
  <c r="Y2155" i="8"/>
  <c r="Y2156" i="8"/>
  <c r="Y2157" i="8"/>
  <c r="Y2158" i="8"/>
  <c r="Y2159" i="8"/>
  <c r="Y2160" i="8"/>
  <c r="Y2161" i="8"/>
  <c r="Y2162" i="8"/>
  <c r="Y2163" i="8"/>
  <c r="Y2164" i="8"/>
  <c r="Y2165" i="8"/>
  <c r="Y2166" i="8"/>
  <c r="Y2167" i="8"/>
  <c r="Y2168" i="8"/>
  <c r="Y2169" i="8"/>
  <c r="Y2170" i="8"/>
  <c r="Y2171" i="8"/>
  <c r="Y2172" i="8"/>
  <c r="Y2173" i="8"/>
  <c r="Y2174" i="8"/>
  <c r="Y2175" i="8"/>
  <c r="Y2176" i="8"/>
  <c r="Y2177" i="8"/>
  <c r="Y2178" i="8"/>
  <c r="Y2179" i="8"/>
  <c r="Y2180" i="8"/>
  <c r="Y2181" i="8"/>
  <c r="Y2182" i="8"/>
  <c r="Y2183" i="8"/>
  <c r="Y2184" i="8"/>
  <c r="Y2185" i="8"/>
  <c r="Y2186" i="8"/>
  <c r="Y2187" i="8"/>
  <c r="Y2188" i="8"/>
  <c r="Y2189" i="8"/>
  <c r="Y2190" i="8"/>
  <c r="Y2191" i="8"/>
  <c r="Y2192" i="8"/>
  <c r="Y2193" i="8"/>
  <c r="Y2194" i="8"/>
  <c r="Y2195" i="8"/>
  <c r="Y2196" i="8"/>
  <c r="Y2197" i="8"/>
  <c r="Y2198" i="8"/>
  <c r="Y2199" i="8"/>
  <c r="Y2200" i="8"/>
  <c r="Y2201" i="8"/>
  <c r="Y2202" i="8"/>
  <c r="Y2203" i="8"/>
  <c r="Y2204" i="8"/>
  <c r="Y2205" i="8"/>
  <c r="Y2206" i="8"/>
  <c r="Y2207" i="8"/>
  <c r="Y2208" i="8"/>
  <c r="Y2209" i="8"/>
  <c r="Y2210" i="8"/>
  <c r="Y2211" i="8"/>
  <c r="Y2212" i="8"/>
  <c r="Y2213" i="8"/>
  <c r="Y2214" i="8"/>
  <c r="Y2215" i="8"/>
  <c r="Y2216" i="8"/>
  <c r="Y2217" i="8"/>
  <c r="Y2218" i="8"/>
  <c r="Y2219" i="8"/>
  <c r="Y2220" i="8"/>
  <c r="Y2221" i="8"/>
  <c r="Y2222" i="8"/>
  <c r="Y2223" i="8"/>
  <c r="Y2224" i="8"/>
  <c r="Y2225" i="8"/>
  <c r="Y2226" i="8"/>
  <c r="Y2227" i="8"/>
  <c r="Y2228" i="8"/>
  <c r="Y2229" i="8"/>
  <c r="Y2230" i="8"/>
  <c r="Y2231" i="8"/>
  <c r="Y2232" i="8"/>
  <c r="Y2233" i="8"/>
  <c r="Y2234" i="8"/>
  <c r="Y2235" i="8"/>
  <c r="Y2236" i="8"/>
  <c r="Y2237" i="8"/>
  <c r="Y2238" i="8"/>
  <c r="Y2239" i="8"/>
  <c r="Y2240" i="8"/>
  <c r="Y2241" i="8"/>
  <c r="Y2242" i="8"/>
  <c r="Y2243" i="8"/>
  <c r="Y2244" i="8"/>
  <c r="Y2245" i="8"/>
  <c r="Y2246" i="8"/>
  <c r="Y2247" i="8"/>
  <c r="Y2248" i="8"/>
  <c r="Y2249" i="8"/>
  <c r="Y2250" i="8"/>
  <c r="Y2251" i="8"/>
  <c r="Y2252" i="8"/>
  <c r="Y2253" i="8"/>
  <c r="Y2254" i="8"/>
  <c r="Y2255" i="8"/>
  <c r="Y2256" i="8"/>
  <c r="Y2257" i="8"/>
  <c r="Y2258" i="8"/>
  <c r="Y2259" i="8"/>
  <c r="Y2260" i="8"/>
  <c r="Y2261" i="8"/>
  <c r="Y2262" i="8"/>
  <c r="Y2263" i="8"/>
  <c r="Y2264" i="8"/>
  <c r="Y2265" i="8"/>
  <c r="Y2266" i="8"/>
  <c r="Y2267" i="8"/>
  <c r="Y2268" i="8"/>
  <c r="Y2269" i="8"/>
  <c r="Y2270" i="8"/>
  <c r="Y2271" i="8"/>
  <c r="Y2272" i="8"/>
  <c r="Y2273" i="8"/>
  <c r="Y2274" i="8"/>
  <c r="Y2275" i="8"/>
  <c r="Y2276" i="8"/>
  <c r="Y2277" i="8"/>
  <c r="Y2278" i="8"/>
  <c r="Y2279" i="8"/>
  <c r="Y2280" i="8"/>
  <c r="Y2281" i="8"/>
  <c r="Y2282" i="8"/>
  <c r="Y2283" i="8"/>
  <c r="Y2284" i="8"/>
  <c r="Y2285" i="8"/>
  <c r="Y2286" i="8"/>
  <c r="Y2287" i="8"/>
  <c r="Y2288" i="8"/>
  <c r="Y2289" i="8"/>
  <c r="Y2290" i="8"/>
  <c r="Y2291" i="8"/>
  <c r="Y2292" i="8"/>
  <c r="Y2293" i="8"/>
  <c r="Y2294" i="8"/>
  <c r="Y2295" i="8"/>
  <c r="Y2296" i="8"/>
  <c r="Y2297" i="8"/>
  <c r="Y2298" i="8"/>
  <c r="Y2299" i="8"/>
  <c r="Y2300" i="8"/>
  <c r="Y2301" i="8"/>
  <c r="Y2302" i="8"/>
  <c r="Y2303" i="8"/>
  <c r="Y2304" i="8"/>
  <c r="Y2305" i="8"/>
  <c r="Y2306" i="8"/>
  <c r="Y2307" i="8"/>
  <c r="Y2308" i="8"/>
  <c r="Y2309" i="8"/>
  <c r="Y2310" i="8"/>
  <c r="Y2311" i="8"/>
  <c r="Y2312" i="8"/>
  <c r="Y2313" i="8"/>
  <c r="Y2314" i="8"/>
  <c r="Y2315" i="8"/>
  <c r="Y2316" i="8"/>
  <c r="Y2317" i="8"/>
  <c r="Y2318" i="8"/>
  <c r="Y2319" i="8"/>
  <c r="Y2320" i="8"/>
  <c r="Y2321" i="8"/>
  <c r="Y2322" i="8"/>
  <c r="Y2323" i="8"/>
  <c r="Y2324" i="8"/>
  <c r="Y2325" i="8"/>
  <c r="Y2326" i="8"/>
  <c r="Y2327" i="8"/>
  <c r="Y2328" i="8"/>
  <c r="Y2329" i="8"/>
  <c r="Y2330" i="8"/>
  <c r="Y2331" i="8"/>
  <c r="Y2332" i="8"/>
  <c r="Y2333" i="8"/>
  <c r="Y2334" i="8"/>
  <c r="Y2335" i="8"/>
  <c r="Y2336" i="8"/>
  <c r="Y2337" i="8"/>
  <c r="Y2338" i="8"/>
  <c r="Y2339" i="8"/>
  <c r="Y2340" i="8"/>
  <c r="Y2341" i="8"/>
  <c r="Y2342" i="8"/>
  <c r="Y2343" i="8"/>
  <c r="Y2344" i="8"/>
  <c r="Y2345" i="8"/>
  <c r="Y2346" i="8"/>
  <c r="Y2347" i="8"/>
  <c r="Y2348" i="8"/>
  <c r="Y2349" i="8"/>
  <c r="Y2350" i="8"/>
  <c r="Y2351" i="8"/>
  <c r="Y2352" i="8"/>
  <c r="Y2353" i="8"/>
  <c r="Y2354" i="8"/>
  <c r="Y2355" i="8"/>
  <c r="Y2356" i="8"/>
  <c r="Y2357" i="8"/>
  <c r="Y2358" i="8"/>
  <c r="Y2359" i="8"/>
  <c r="Y2360" i="8"/>
  <c r="Y2361" i="8"/>
  <c r="Y2362" i="8"/>
  <c r="Y2363" i="8"/>
  <c r="Y2364" i="8"/>
  <c r="Y2365" i="8"/>
  <c r="Y2366" i="8"/>
  <c r="Y2367" i="8"/>
  <c r="Y2368" i="8"/>
  <c r="Y2369" i="8"/>
  <c r="Y2370" i="8"/>
  <c r="Y2371" i="8"/>
  <c r="Y2372" i="8"/>
  <c r="Y2373" i="8"/>
  <c r="Y2374" i="8"/>
  <c r="Y2375" i="8"/>
  <c r="Y2376" i="8"/>
  <c r="Y2377" i="8"/>
  <c r="Y2378" i="8"/>
  <c r="Y2379" i="8"/>
  <c r="Y2380" i="8"/>
  <c r="Y2381" i="8"/>
  <c r="Y2382" i="8"/>
  <c r="Y2383" i="8"/>
  <c r="Y2384" i="8"/>
  <c r="Y2385" i="8"/>
  <c r="Y2386" i="8"/>
  <c r="Y2387" i="8"/>
  <c r="Y2388" i="8"/>
  <c r="Y2389" i="8"/>
  <c r="Y2390" i="8"/>
  <c r="Y2391" i="8"/>
  <c r="Y2392" i="8"/>
  <c r="Y2393" i="8"/>
  <c r="Y2394" i="8"/>
  <c r="Y2395" i="8"/>
  <c r="Y2396" i="8"/>
  <c r="Y2397" i="8"/>
  <c r="Y2398" i="8"/>
  <c r="Y2399" i="8"/>
  <c r="Y2400" i="8"/>
  <c r="Y2401" i="8"/>
  <c r="Y2402" i="8"/>
  <c r="Y2403" i="8"/>
  <c r="Y2404" i="8"/>
  <c r="Y2405" i="8"/>
  <c r="Y2406" i="8"/>
  <c r="Y2407" i="8"/>
  <c r="Y2408" i="8"/>
  <c r="Y2409" i="8"/>
  <c r="Y2410" i="8"/>
  <c r="Y2411" i="8"/>
  <c r="Y2412" i="8"/>
  <c r="Y2413" i="8"/>
  <c r="Y2414" i="8"/>
  <c r="Y2415" i="8"/>
  <c r="Y2416" i="8"/>
  <c r="Y2417" i="8"/>
  <c r="Y2418" i="8"/>
  <c r="Y2419" i="8"/>
  <c r="Y2420" i="8"/>
  <c r="Y2421" i="8"/>
  <c r="Y2422" i="8"/>
  <c r="Y2423" i="8"/>
  <c r="Y2424" i="8"/>
  <c r="Y2425" i="8"/>
  <c r="Y2426" i="8"/>
  <c r="Y2427" i="8"/>
  <c r="Y2428" i="8"/>
  <c r="Y2429" i="8"/>
  <c r="Y2430" i="8"/>
  <c r="Y2431" i="8"/>
  <c r="Y2432" i="8"/>
  <c r="Y2433" i="8"/>
  <c r="Y2434" i="8"/>
  <c r="Y2435" i="8"/>
  <c r="Y2436" i="8"/>
  <c r="Y2437" i="8"/>
  <c r="Y2438" i="8"/>
  <c r="Y2439" i="8"/>
  <c r="Y2440" i="8"/>
  <c r="Y2441" i="8"/>
  <c r="Y2442" i="8"/>
  <c r="Y2443" i="8"/>
  <c r="Y2444" i="8"/>
  <c r="Y2445" i="8"/>
  <c r="Y2446" i="8"/>
  <c r="Y2447" i="8"/>
  <c r="Y2448" i="8"/>
  <c r="Y2449" i="8"/>
  <c r="Y2450" i="8"/>
  <c r="Y2451" i="8"/>
  <c r="Y2452" i="8"/>
  <c r="Y2453" i="8"/>
  <c r="Y2454" i="8"/>
  <c r="Y2455" i="8"/>
  <c r="Y2456" i="8"/>
  <c r="Y2457" i="8"/>
  <c r="Y2458" i="8"/>
  <c r="Y2459" i="8"/>
  <c r="Y2460" i="8"/>
  <c r="Y2461" i="8"/>
  <c r="Y2462" i="8"/>
  <c r="Y2463" i="8"/>
  <c r="Y2464" i="8"/>
  <c r="Y2465" i="8"/>
  <c r="Y2466" i="8"/>
  <c r="Y2467" i="8"/>
  <c r="Y2468" i="8"/>
  <c r="Y2469" i="8"/>
  <c r="Y2470" i="8"/>
  <c r="Y2471" i="8"/>
  <c r="Y2472" i="8"/>
  <c r="Y2473" i="8"/>
  <c r="Y2474" i="8"/>
  <c r="Y2475" i="8"/>
  <c r="Y2476" i="8"/>
  <c r="Y2477" i="8"/>
  <c r="Y2478" i="8"/>
  <c r="Y2479" i="8"/>
  <c r="Y2480" i="8"/>
  <c r="Y2481" i="8"/>
  <c r="Y2482" i="8"/>
  <c r="Y2483" i="8"/>
  <c r="Y2484" i="8"/>
  <c r="Y2485" i="8"/>
  <c r="Y2486" i="8"/>
  <c r="Y2487" i="8"/>
  <c r="Y2488" i="8"/>
  <c r="Y2489" i="8"/>
  <c r="Y2490" i="8"/>
  <c r="Y2491" i="8"/>
  <c r="Y2492" i="8"/>
  <c r="Y2493" i="8"/>
  <c r="Y2494" i="8"/>
  <c r="Y2495" i="8"/>
  <c r="Y2496" i="8"/>
  <c r="Y2497" i="8"/>
  <c r="Y2498" i="8"/>
  <c r="Y2499" i="8"/>
  <c r="Y2500" i="8"/>
  <c r="Y2501" i="8"/>
  <c r="Y2502" i="8"/>
  <c r="Y2503" i="8"/>
  <c r="Y2504" i="8"/>
  <c r="Y2505" i="8"/>
  <c r="Y2506" i="8"/>
  <c r="Y2507" i="8"/>
  <c r="Y2508" i="8"/>
  <c r="Y2509" i="8"/>
  <c r="Y2510" i="8"/>
  <c r="Y2511" i="8"/>
  <c r="Y2512" i="8"/>
  <c r="Y2513" i="8"/>
  <c r="Y2514" i="8"/>
  <c r="Y2515" i="8"/>
  <c r="Y2516" i="8"/>
  <c r="Y2517" i="8"/>
  <c r="Y2518" i="8"/>
  <c r="Y2519" i="8"/>
  <c r="Y2520" i="8"/>
  <c r="Y2521" i="8"/>
  <c r="Y2522" i="8"/>
  <c r="Y2523" i="8"/>
  <c r="Y2524" i="8"/>
  <c r="Y2525" i="8"/>
  <c r="Y2526" i="8"/>
  <c r="Y2527" i="8"/>
  <c r="Y2528" i="8"/>
  <c r="Y2529" i="8"/>
  <c r="Y2530" i="8"/>
  <c r="Y2531" i="8"/>
  <c r="Y2532" i="8"/>
  <c r="Y2533" i="8"/>
  <c r="Y2534" i="8"/>
  <c r="Y2535" i="8"/>
  <c r="Y2536" i="8"/>
  <c r="Y2537" i="8"/>
  <c r="Y2538" i="8"/>
  <c r="Y2539" i="8"/>
  <c r="Y2540" i="8"/>
  <c r="Y2541" i="8"/>
  <c r="Y2542" i="8"/>
  <c r="Y2543" i="8"/>
  <c r="Y2544" i="8"/>
  <c r="Y2545" i="8"/>
  <c r="Y2546" i="8"/>
  <c r="Y2547" i="8"/>
  <c r="Y2548" i="8"/>
  <c r="Y2549" i="8"/>
  <c r="Y2550" i="8"/>
  <c r="Y2551" i="8"/>
  <c r="Y2552" i="8"/>
  <c r="Y2553" i="8"/>
  <c r="Y2554" i="8"/>
  <c r="Y2555" i="8"/>
  <c r="Y2556" i="8"/>
  <c r="Y2557" i="8"/>
  <c r="Y2558" i="8"/>
  <c r="Y2559" i="8"/>
  <c r="Y2560" i="8"/>
  <c r="Y2561" i="8"/>
  <c r="Y2562" i="8"/>
  <c r="Y2563" i="8"/>
  <c r="Y2564" i="8"/>
  <c r="Y2565" i="8"/>
  <c r="Y2566" i="8"/>
  <c r="Y2567" i="8"/>
  <c r="Y2568" i="8"/>
  <c r="Y2569" i="8"/>
  <c r="Y2570" i="8"/>
  <c r="Y2571" i="8"/>
  <c r="Y2572" i="8"/>
  <c r="Y2573" i="8"/>
  <c r="Y2574" i="8"/>
  <c r="Y2575" i="8"/>
  <c r="Y2576" i="8"/>
  <c r="Y2577" i="8"/>
  <c r="Y2578" i="8"/>
  <c r="Y2579" i="8"/>
  <c r="Y2580" i="8"/>
  <c r="Y2581" i="8"/>
  <c r="Y2582" i="8"/>
  <c r="Y2583" i="8"/>
  <c r="Y2584" i="8"/>
  <c r="Y2585" i="8"/>
  <c r="Y2586" i="8"/>
  <c r="Y2587" i="8"/>
  <c r="Y2588" i="8"/>
  <c r="Y2589" i="8"/>
  <c r="Y2590" i="8"/>
  <c r="Y2591" i="8"/>
  <c r="Y2592" i="8"/>
  <c r="Y2593" i="8"/>
  <c r="Y2594" i="8"/>
  <c r="Y2595" i="8"/>
  <c r="Y2596" i="8"/>
  <c r="Y2597" i="8"/>
  <c r="Y2598" i="8"/>
  <c r="Y2599" i="8"/>
  <c r="Y2600" i="8"/>
  <c r="Y2601" i="8"/>
  <c r="Y2602" i="8"/>
  <c r="Y2603" i="8"/>
  <c r="Y2604" i="8"/>
  <c r="Y2605" i="8"/>
  <c r="Y2606" i="8"/>
  <c r="Y2607" i="8"/>
  <c r="Y2608" i="8"/>
  <c r="Y2609" i="8"/>
  <c r="Y2610" i="8"/>
  <c r="Y2611" i="8"/>
  <c r="Y2612" i="8"/>
  <c r="Y2613" i="8"/>
  <c r="Y2614" i="8"/>
  <c r="Y2615" i="8"/>
  <c r="Y2616" i="8"/>
  <c r="Y2617" i="8"/>
  <c r="Y2618" i="8"/>
  <c r="Y2619" i="8"/>
  <c r="Y2620" i="8"/>
  <c r="Y2621" i="8"/>
  <c r="Y2622" i="8"/>
  <c r="Y2623" i="8"/>
  <c r="Y2624" i="8"/>
  <c r="Y2625" i="8"/>
  <c r="Y2626" i="8"/>
  <c r="Y2627" i="8"/>
  <c r="Y2628" i="8"/>
  <c r="Y2629" i="8"/>
  <c r="Y2630" i="8"/>
  <c r="Y2631" i="8"/>
  <c r="Y2632" i="8"/>
  <c r="Y2633" i="8"/>
  <c r="Y2634" i="8"/>
  <c r="Y2635" i="8"/>
  <c r="Y2636" i="8"/>
  <c r="Y2637" i="8"/>
  <c r="Y2638" i="8"/>
  <c r="Y2639" i="8"/>
  <c r="Y2640" i="8"/>
  <c r="Y2641" i="8"/>
  <c r="Y2642" i="8"/>
  <c r="Y2643" i="8"/>
  <c r="Y2644" i="8"/>
  <c r="Y2645" i="8"/>
  <c r="Y2646" i="8"/>
  <c r="Y2647" i="8"/>
  <c r="Y2648" i="8"/>
  <c r="Y2649" i="8"/>
  <c r="Y2650" i="8"/>
  <c r="Y2651" i="8"/>
  <c r="Y2652" i="8"/>
  <c r="Y2653" i="8"/>
  <c r="Y2654" i="8"/>
  <c r="Y2655" i="8"/>
  <c r="Y2656" i="8"/>
  <c r="Y2657" i="8"/>
  <c r="Y2658" i="8"/>
  <c r="Y2659" i="8"/>
  <c r="Y2660" i="8"/>
  <c r="Y2661" i="8"/>
  <c r="Y2662" i="8"/>
  <c r="Y2663" i="8"/>
  <c r="Y2664" i="8"/>
  <c r="Y2665" i="8"/>
  <c r="Y2666" i="8"/>
  <c r="Y2667" i="8"/>
  <c r="Y2668" i="8"/>
  <c r="Y2669" i="8"/>
  <c r="Y2670" i="8"/>
  <c r="Y2671" i="8"/>
  <c r="Y2672" i="8"/>
  <c r="Y2673" i="8"/>
  <c r="Y2674" i="8"/>
  <c r="Y2675" i="8"/>
  <c r="Y2676" i="8"/>
  <c r="Y2677" i="8"/>
  <c r="Y2678" i="8"/>
  <c r="Y2679" i="8"/>
  <c r="Y2680" i="8"/>
  <c r="Y2681" i="8"/>
  <c r="Y2682" i="8"/>
  <c r="Y2683" i="8"/>
  <c r="Y2684" i="8"/>
  <c r="Y2685" i="8"/>
  <c r="Y2686" i="8"/>
  <c r="Y2687" i="8"/>
  <c r="Y2688" i="8"/>
  <c r="Y2689" i="8"/>
  <c r="Y2690" i="8"/>
  <c r="Y2691" i="8"/>
  <c r="Y2692" i="8"/>
  <c r="Y2693" i="8"/>
  <c r="Y2694" i="8"/>
  <c r="Y2695" i="8"/>
  <c r="Y2696" i="8"/>
  <c r="Y2697" i="8"/>
  <c r="Y2698" i="8"/>
  <c r="Y2699" i="8"/>
  <c r="Y2700" i="8"/>
  <c r="Y2701" i="8"/>
  <c r="Y2702" i="8"/>
  <c r="Y2703" i="8"/>
  <c r="Y2704" i="8"/>
  <c r="Y2705" i="8"/>
  <c r="Y2706" i="8"/>
  <c r="Y2707" i="8"/>
  <c r="Y2708" i="8"/>
  <c r="Y2709" i="8"/>
  <c r="Y2710" i="8"/>
  <c r="Y2711" i="8"/>
  <c r="Y2712" i="8"/>
  <c r="Y2713" i="8"/>
  <c r="Y2714" i="8"/>
  <c r="Y2715" i="8"/>
  <c r="Y2716" i="8"/>
  <c r="Y2717" i="8"/>
  <c r="Y2718" i="8"/>
  <c r="Y2719" i="8"/>
  <c r="Y2720" i="8"/>
  <c r="Y2721" i="8"/>
  <c r="Y2722" i="8"/>
  <c r="Y2723" i="8"/>
  <c r="Y2724" i="8"/>
  <c r="Y2725" i="8"/>
  <c r="Y2726" i="8"/>
  <c r="Y2727" i="8"/>
  <c r="Y2728" i="8"/>
  <c r="Y2729" i="8"/>
  <c r="Y2730" i="8"/>
  <c r="Y2731" i="8"/>
  <c r="Y2732" i="8"/>
  <c r="Y2733" i="8"/>
  <c r="Y2734" i="8"/>
  <c r="Y2735" i="8"/>
  <c r="Y2736" i="8"/>
  <c r="Y2737" i="8"/>
  <c r="Y2738" i="8"/>
  <c r="Y2739" i="8"/>
  <c r="Y2740" i="8"/>
  <c r="Y2741" i="8"/>
  <c r="Y2742" i="8"/>
  <c r="Y2743" i="8"/>
  <c r="Y2744" i="8"/>
  <c r="Y2745" i="8"/>
  <c r="Y2746" i="8"/>
  <c r="Y2747" i="8"/>
  <c r="Y2748" i="8"/>
  <c r="Y2749" i="8"/>
  <c r="Y2750" i="8"/>
  <c r="Y2751" i="8"/>
  <c r="Y2752" i="8"/>
  <c r="Y2753" i="8"/>
  <c r="Y2754" i="8"/>
  <c r="Y2755" i="8"/>
  <c r="Y2756" i="8"/>
  <c r="Y2757" i="8"/>
  <c r="Y2758" i="8"/>
  <c r="Y2759" i="8"/>
  <c r="Y2760" i="8"/>
  <c r="Y2761" i="8"/>
  <c r="Y2762" i="8"/>
  <c r="Y2763" i="8"/>
  <c r="Y2764" i="8"/>
  <c r="Y2765" i="8"/>
  <c r="Y2766" i="8"/>
  <c r="Y2767" i="8"/>
  <c r="Y2768" i="8"/>
  <c r="Y2769" i="8"/>
  <c r="Y2770" i="8"/>
  <c r="Y2771" i="8"/>
  <c r="Y2772" i="8"/>
  <c r="Y2773" i="8"/>
  <c r="Y2774" i="8"/>
  <c r="Y2775" i="8"/>
  <c r="Y2776" i="8"/>
  <c r="Y2777" i="8"/>
  <c r="Y2778" i="8"/>
  <c r="Y2779" i="8"/>
  <c r="Y2780" i="8"/>
  <c r="Y2781" i="8"/>
  <c r="Y2782" i="8"/>
  <c r="Y2783" i="8"/>
  <c r="Y2784" i="8"/>
  <c r="Y2785" i="8"/>
  <c r="Y2786" i="8"/>
  <c r="Y2787" i="8"/>
  <c r="Y2788" i="8"/>
  <c r="Y2789" i="8"/>
  <c r="Y2790" i="8"/>
  <c r="Y2791" i="8"/>
  <c r="Y2792" i="8"/>
  <c r="Y2793" i="8"/>
  <c r="Y2794" i="8"/>
  <c r="Y2795" i="8"/>
  <c r="Y2796" i="8"/>
  <c r="Y2797" i="8"/>
  <c r="Y2798" i="8"/>
  <c r="Y2799" i="8"/>
  <c r="Y2800" i="8"/>
  <c r="Y2801" i="8"/>
  <c r="Y2802" i="8"/>
  <c r="Y2803" i="8"/>
  <c r="Y2804" i="8"/>
  <c r="Y2805" i="8"/>
  <c r="Y2806" i="8"/>
  <c r="Y2807" i="8"/>
  <c r="Y2808" i="8"/>
  <c r="Y2809" i="8"/>
  <c r="Y2810" i="8"/>
  <c r="Y2811" i="8"/>
  <c r="Y2812" i="8"/>
  <c r="Y2813" i="8"/>
  <c r="Y2814" i="8"/>
  <c r="Y2815" i="8"/>
  <c r="Y2816" i="8"/>
  <c r="Y2817" i="8"/>
  <c r="Y2818" i="8"/>
  <c r="Y2819" i="8"/>
  <c r="Y2820" i="8"/>
  <c r="Y2821" i="8"/>
  <c r="Y2822" i="8"/>
  <c r="Y2823" i="8"/>
  <c r="Y2824" i="8"/>
  <c r="Y2825" i="8"/>
  <c r="Y2826" i="8"/>
  <c r="Y2827" i="8"/>
  <c r="Y2828" i="8"/>
  <c r="Y2829" i="8"/>
  <c r="Y2830" i="8"/>
  <c r="Y2831" i="8"/>
  <c r="Y2832" i="8"/>
  <c r="Y2833" i="8"/>
  <c r="Y2834" i="8"/>
  <c r="Y2835" i="8"/>
  <c r="Y2836" i="8"/>
  <c r="Y2837" i="8"/>
  <c r="Y2838" i="8"/>
  <c r="Y2839" i="8"/>
  <c r="Y2840" i="8"/>
  <c r="Y2841" i="8"/>
  <c r="Y2842" i="8"/>
  <c r="Y2843" i="8"/>
  <c r="Y2844" i="8"/>
  <c r="Y2845" i="8"/>
  <c r="Y2846" i="8"/>
  <c r="Y2847" i="8"/>
  <c r="Y2848" i="8"/>
  <c r="Y2849" i="8"/>
  <c r="Y2850" i="8"/>
  <c r="Y2851" i="8"/>
  <c r="Y2852" i="8"/>
  <c r="Y2853" i="8"/>
  <c r="Y2854" i="8"/>
  <c r="Y2855" i="8"/>
  <c r="Y2856" i="8"/>
  <c r="Y2857" i="8"/>
  <c r="Y2858" i="8"/>
  <c r="Y2859" i="8"/>
  <c r="Y2860" i="8"/>
  <c r="Y2861" i="8"/>
  <c r="Y2862" i="8"/>
  <c r="Y2863" i="8"/>
  <c r="Y2864" i="8"/>
  <c r="Y2865" i="8"/>
  <c r="Y2866" i="8"/>
  <c r="Y2867" i="8"/>
  <c r="Y2868" i="8"/>
  <c r="Y2869" i="8"/>
  <c r="Y2870" i="8"/>
  <c r="Y2871" i="8"/>
  <c r="Y2872" i="8"/>
  <c r="Y2873" i="8"/>
  <c r="Y2874" i="8"/>
  <c r="Y2875" i="8"/>
  <c r="Y2876" i="8"/>
  <c r="Y2877" i="8"/>
  <c r="Y2878" i="8"/>
  <c r="Y2879" i="8"/>
  <c r="Y2880" i="8"/>
  <c r="Y2881" i="8"/>
  <c r="Y2882" i="8"/>
  <c r="Y2883" i="8"/>
  <c r="Y2884" i="8"/>
  <c r="Y2885" i="8"/>
  <c r="Y2886" i="8"/>
  <c r="Y2887" i="8"/>
  <c r="Y2888" i="8"/>
  <c r="Y2889" i="8"/>
  <c r="Y2890" i="8"/>
  <c r="Y2891" i="8"/>
  <c r="Y2892" i="8"/>
  <c r="Y2893" i="8"/>
  <c r="Y2894" i="8"/>
  <c r="Y2895" i="8"/>
  <c r="Y2896" i="8"/>
  <c r="Y2897" i="8"/>
  <c r="Y2898" i="8"/>
  <c r="Y2899" i="8"/>
  <c r="Y2900" i="8"/>
  <c r="Y2901" i="8"/>
  <c r="Y2902" i="8"/>
  <c r="Y2903" i="8"/>
  <c r="Y2904" i="8"/>
  <c r="Y2905" i="8"/>
  <c r="Y2906" i="8"/>
  <c r="Y2907" i="8"/>
  <c r="Y2908" i="8"/>
  <c r="Y2909" i="8"/>
  <c r="Y2910" i="8"/>
  <c r="Y2911" i="8"/>
  <c r="Y2912" i="8"/>
  <c r="Y2913" i="8"/>
  <c r="Y2914" i="8"/>
  <c r="Y2915" i="8"/>
  <c r="Y2916" i="8"/>
  <c r="Y2917" i="8"/>
  <c r="Y2918" i="8"/>
  <c r="Y2919" i="8"/>
  <c r="Y2920" i="8"/>
  <c r="Y2921" i="8"/>
  <c r="Y2922" i="8"/>
  <c r="Y2923" i="8"/>
  <c r="Y2924" i="8"/>
  <c r="Y2925" i="8"/>
  <c r="Y2926" i="8"/>
  <c r="Y2927" i="8"/>
  <c r="Y2928" i="8"/>
  <c r="Y2929" i="8"/>
  <c r="Y2930" i="8"/>
  <c r="Y2931" i="8"/>
  <c r="Y2932" i="8"/>
  <c r="Y2933" i="8"/>
  <c r="Y2934" i="8"/>
  <c r="Y2935" i="8"/>
  <c r="Y2936" i="8"/>
  <c r="Y2937" i="8"/>
  <c r="Y2938" i="8"/>
  <c r="Y2939" i="8"/>
  <c r="Y2940" i="8"/>
  <c r="Y2941" i="8"/>
  <c r="Y2942" i="8"/>
  <c r="Y2943" i="8"/>
  <c r="Y2944" i="8"/>
  <c r="Y2945" i="8"/>
  <c r="Y2946" i="8"/>
  <c r="Y2947" i="8"/>
  <c r="Y2948" i="8"/>
  <c r="Y2949" i="8"/>
  <c r="Y2950" i="8"/>
  <c r="Y2951" i="8"/>
  <c r="Y2952" i="8"/>
  <c r="Y2953" i="8"/>
  <c r="Y2954" i="8"/>
  <c r="Y2955" i="8"/>
  <c r="Y2956" i="8"/>
  <c r="Y2957" i="8"/>
  <c r="Y2958" i="8"/>
  <c r="Y2959" i="8"/>
  <c r="Y2960" i="8"/>
  <c r="Y2961" i="8"/>
  <c r="Y2962" i="8"/>
  <c r="Y2963" i="8"/>
  <c r="Y2964" i="8"/>
  <c r="Y2965" i="8"/>
  <c r="Y2966" i="8"/>
  <c r="Y2967" i="8"/>
  <c r="Y2968" i="8"/>
  <c r="Y2969" i="8"/>
  <c r="Y2970" i="8"/>
  <c r="Y2971" i="8"/>
  <c r="Y2972" i="8"/>
  <c r="Y2973" i="8"/>
  <c r="Y2974" i="8"/>
  <c r="Y2975" i="8"/>
  <c r="Y2976" i="8"/>
  <c r="Y2977" i="8"/>
  <c r="Y2978" i="8"/>
  <c r="Y2979" i="8"/>
  <c r="Y2980" i="8"/>
  <c r="Y2981" i="8"/>
  <c r="Y2982" i="8"/>
  <c r="Y2983" i="8"/>
  <c r="Y2984" i="8"/>
  <c r="Y2985" i="8"/>
  <c r="Y2986" i="8"/>
  <c r="Y2987" i="8"/>
  <c r="Y2988" i="8"/>
  <c r="Y2989" i="8"/>
  <c r="Y2990" i="8"/>
  <c r="Y2991" i="8"/>
  <c r="Y2992" i="8"/>
  <c r="Y2993" i="8"/>
  <c r="Y2994" i="8"/>
  <c r="Y2995" i="8"/>
  <c r="Y2996" i="8"/>
  <c r="Y2997" i="8"/>
  <c r="Y2998" i="8"/>
  <c r="Y2999" i="8"/>
  <c r="Y3000" i="8"/>
  <c r="Y3001" i="8"/>
  <c r="Y3002" i="8"/>
  <c r="Y3003" i="8"/>
  <c r="Y3004" i="8"/>
  <c r="Y3005" i="8"/>
  <c r="Y3006" i="8"/>
  <c r="Y3007" i="8"/>
  <c r="Y3008" i="8"/>
  <c r="Y3009" i="8"/>
  <c r="Y3010" i="8"/>
  <c r="Y3011" i="8"/>
  <c r="Y3012" i="8"/>
  <c r="Y3013" i="8"/>
  <c r="Y3014" i="8"/>
  <c r="Y3015" i="8"/>
  <c r="Y3016" i="8"/>
  <c r="Y3017" i="8"/>
  <c r="Y3018" i="8"/>
  <c r="Y3019" i="8"/>
  <c r="Y3020" i="8"/>
  <c r="Y3021" i="8"/>
  <c r="Y3022" i="8"/>
  <c r="Y3023" i="8"/>
  <c r="Y3024" i="8"/>
  <c r="Y3025" i="8"/>
  <c r="Y3026" i="8"/>
  <c r="Y3027" i="8"/>
  <c r="Y3028" i="8"/>
  <c r="Y3029" i="8"/>
  <c r="Y3030" i="8"/>
  <c r="Y3031" i="8"/>
  <c r="Y3032" i="8"/>
  <c r="Y3033" i="8"/>
  <c r="Y3034" i="8"/>
  <c r="Y3035" i="8"/>
  <c r="Y3036" i="8"/>
  <c r="Y3037" i="8"/>
  <c r="Y3038" i="8"/>
  <c r="Y3039" i="8"/>
  <c r="Y3040" i="8"/>
  <c r="Y3041" i="8"/>
  <c r="Y3042" i="8"/>
  <c r="Y3043" i="8"/>
  <c r="Y3044" i="8"/>
  <c r="Y3045" i="8"/>
  <c r="Y3046" i="8"/>
  <c r="Y3047" i="8"/>
  <c r="Y3048" i="8"/>
  <c r="Y3049" i="8"/>
  <c r="Y3050" i="8"/>
  <c r="Y3051" i="8"/>
  <c r="Y3052" i="8"/>
  <c r="Y3053" i="8"/>
  <c r="Y3054" i="8"/>
  <c r="Y3055" i="8"/>
  <c r="Y3056" i="8"/>
  <c r="Y3057" i="8"/>
  <c r="Y3058" i="8"/>
  <c r="Y3059" i="8"/>
  <c r="Y3060" i="8"/>
  <c r="Y3061" i="8"/>
  <c r="Y3062" i="8"/>
  <c r="Y3063" i="8"/>
  <c r="Y3064" i="8"/>
  <c r="Y3065" i="8"/>
  <c r="Y3066" i="8"/>
  <c r="Y3067" i="8"/>
  <c r="Y3068" i="8"/>
  <c r="Y3069" i="8"/>
  <c r="Y3070" i="8"/>
  <c r="Y3071" i="8"/>
  <c r="Y3072" i="8"/>
  <c r="Y3073" i="8"/>
  <c r="Y3074" i="8"/>
  <c r="Y3075" i="8"/>
  <c r="Y3076" i="8"/>
  <c r="Y3077" i="8"/>
  <c r="Y3078" i="8"/>
  <c r="Y3079" i="8"/>
  <c r="Y3080" i="8"/>
  <c r="Y3081" i="8"/>
  <c r="Y3082" i="8"/>
  <c r="Y3083" i="8"/>
  <c r="Y3084" i="8"/>
  <c r="Y3085" i="8"/>
  <c r="Y3086" i="8"/>
  <c r="Y3087" i="8"/>
  <c r="Y3088" i="8"/>
  <c r="Y3089" i="8"/>
  <c r="Y3090" i="8"/>
  <c r="Y3091" i="8"/>
  <c r="Y3092" i="8"/>
  <c r="Y3093" i="8"/>
  <c r="Y3094" i="8"/>
  <c r="Y3095" i="8"/>
  <c r="Y3096" i="8"/>
  <c r="Y3097" i="8"/>
  <c r="Y3098" i="8"/>
  <c r="Y3099" i="8"/>
  <c r="Y3100" i="8"/>
  <c r="Y3101" i="8"/>
  <c r="Y3102" i="8"/>
  <c r="Y3103" i="8"/>
  <c r="Y3104" i="8"/>
  <c r="Y3105" i="8"/>
  <c r="Y3106" i="8"/>
  <c r="Y3107" i="8"/>
  <c r="Y3108" i="8"/>
  <c r="Y3109" i="8"/>
  <c r="Y3110" i="8"/>
  <c r="Y3111" i="8"/>
  <c r="Y3112" i="8"/>
  <c r="Y3113" i="8"/>
  <c r="Y3114" i="8"/>
  <c r="Y3115" i="8"/>
  <c r="Y3116" i="8"/>
  <c r="Y3117" i="8"/>
  <c r="Y3118" i="8"/>
  <c r="Y3119" i="8"/>
  <c r="Y3120" i="8"/>
  <c r="Y3121" i="8"/>
  <c r="Y3122" i="8"/>
  <c r="Y3123" i="8"/>
  <c r="Y3124" i="8"/>
  <c r="Y3125" i="8"/>
  <c r="Y3126" i="8"/>
  <c r="Y3127" i="8"/>
  <c r="Y3128" i="8"/>
  <c r="Y3129" i="8"/>
  <c r="Y3130" i="8"/>
  <c r="Y3131" i="8"/>
  <c r="Y3132" i="8"/>
  <c r="Y3133" i="8"/>
  <c r="Y3134" i="8"/>
  <c r="Y3135" i="8"/>
  <c r="Y3136" i="8"/>
  <c r="Y3137" i="8"/>
  <c r="Y3138" i="8"/>
  <c r="Y3139" i="8"/>
  <c r="Y3140" i="8"/>
  <c r="Y3141" i="8"/>
  <c r="Y3142" i="8"/>
  <c r="Y3143" i="8"/>
  <c r="Y3144" i="8"/>
  <c r="Y3145" i="8"/>
  <c r="Y3146" i="8"/>
  <c r="Y3147" i="8"/>
  <c r="Y3148" i="8"/>
  <c r="Y3149" i="8"/>
  <c r="Y3150" i="8"/>
  <c r="Y3151" i="8"/>
  <c r="Y3152" i="8"/>
  <c r="Y3153" i="8"/>
  <c r="Y3154" i="8"/>
  <c r="Y3155" i="8"/>
  <c r="Y3156" i="8"/>
  <c r="Y3157" i="8"/>
  <c r="Y3158" i="8"/>
  <c r="Y3159" i="8"/>
  <c r="Y3160" i="8"/>
  <c r="Y3161" i="8"/>
  <c r="Y3162" i="8"/>
  <c r="Y3163" i="8"/>
  <c r="Y3164" i="8"/>
  <c r="Y3165" i="8"/>
  <c r="Y3166" i="8"/>
  <c r="Y3167" i="8"/>
  <c r="Y3168" i="8"/>
  <c r="Y3169" i="8"/>
  <c r="Y3170" i="8"/>
  <c r="Y3171" i="8"/>
  <c r="Y3172" i="8"/>
  <c r="Y3173" i="8"/>
  <c r="Y3174" i="8"/>
  <c r="Y3175" i="8"/>
  <c r="Y3176" i="8"/>
  <c r="Y3177" i="8"/>
  <c r="Y3178" i="8"/>
  <c r="Y3179" i="8"/>
  <c r="Y3180" i="8"/>
  <c r="Y3181" i="8"/>
  <c r="Y3182" i="8"/>
  <c r="Y3183" i="8"/>
  <c r="Y3184" i="8"/>
  <c r="Y3185" i="8"/>
  <c r="Y3186" i="8"/>
  <c r="Y3187" i="8"/>
  <c r="Y3188" i="8"/>
  <c r="Y3189" i="8"/>
  <c r="Y3190" i="8"/>
  <c r="Y3191" i="8"/>
  <c r="Y3192" i="8"/>
  <c r="Y3193" i="8"/>
  <c r="Y3194" i="8"/>
  <c r="Y3195" i="8"/>
  <c r="Y3196" i="8"/>
  <c r="Y3197" i="8"/>
  <c r="Y3198" i="8"/>
  <c r="Y3199" i="8"/>
  <c r="Y3200" i="8"/>
  <c r="Y3201" i="8"/>
  <c r="Y3202" i="8"/>
  <c r="Y3203" i="8"/>
  <c r="Y3204" i="8"/>
  <c r="Y3205" i="8"/>
  <c r="Y3206" i="8"/>
  <c r="Y3207" i="8"/>
  <c r="Y3208" i="8"/>
  <c r="Y3209" i="8"/>
  <c r="Y3210" i="8"/>
  <c r="Y3211" i="8"/>
  <c r="Y3212" i="8"/>
  <c r="Y3213" i="8"/>
  <c r="Y3214" i="8"/>
  <c r="Y3215" i="8"/>
  <c r="Y3216" i="8"/>
  <c r="Y3217" i="8"/>
  <c r="Y3218" i="8"/>
  <c r="Y3219" i="8"/>
  <c r="Y3220" i="8"/>
  <c r="Y3221" i="8"/>
  <c r="Y3222" i="8"/>
  <c r="Y3223" i="8"/>
  <c r="Y3224" i="8"/>
  <c r="Y3225" i="8"/>
  <c r="Y3226" i="8"/>
  <c r="Y3227" i="8"/>
  <c r="Y3228" i="8"/>
  <c r="Y3229" i="8"/>
  <c r="Y3230" i="8"/>
  <c r="Y3231" i="8"/>
  <c r="Y3232" i="8"/>
  <c r="Y3233" i="8"/>
  <c r="Y3234" i="8"/>
  <c r="Y3235" i="8"/>
  <c r="Y3236" i="8"/>
  <c r="Y3237" i="8"/>
  <c r="Y3238" i="8"/>
  <c r="Y3239" i="8"/>
  <c r="Y3240" i="8"/>
  <c r="Y3241" i="8"/>
  <c r="Y3242" i="8"/>
  <c r="Y3243" i="8"/>
  <c r="Y3244" i="8"/>
  <c r="Y3245" i="8"/>
  <c r="Y3246" i="8"/>
  <c r="Y3247" i="8"/>
  <c r="Y3248" i="8"/>
  <c r="Y3249" i="8"/>
  <c r="Y3250" i="8"/>
  <c r="Y3251" i="8"/>
  <c r="Y3252" i="8"/>
  <c r="Y3253" i="8"/>
  <c r="Y3254" i="8"/>
  <c r="Y3255" i="8"/>
  <c r="Y3256" i="8"/>
  <c r="Y3257" i="8"/>
  <c r="Y3258" i="8"/>
  <c r="Y3259" i="8"/>
  <c r="Y3260" i="8"/>
  <c r="Y3261" i="8"/>
  <c r="Y3262" i="8"/>
  <c r="Y3263" i="8"/>
  <c r="Y3264" i="8"/>
  <c r="Y3265" i="8"/>
  <c r="Y3266" i="8"/>
  <c r="Y3267" i="8"/>
  <c r="Y3268" i="8"/>
  <c r="Y3269" i="8"/>
  <c r="Y3270" i="8"/>
  <c r="Y3271" i="8"/>
  <c r="Y3272" i="8"/>
  <c r="Y3273" i="8"/>
  <c r="Y3274" i="8"/>
  <c r="Y3275" i="8"/>
  <c r="Y3276" i="8"/>
  <c r="Y3277" i="8"/>
  <c r="Y3278" i="8"/>
  <c r="Y3279" i="8"/>
  <c r="Y3280" i="8"/>
  <c r="Y3281" i="8"/>
  <c r="Y3282" i="8"/>
  <c r="Y3283" i="8"/>
  <c r="R11" i="8"/>
  <c r="S11" i="8"/>
  <c r="T11" i="8"/>
  <c r="R12" i="8"/>
  <c r="S12" i="8"/>
  <c r="T12" i="8"/>
  <c r="R13" i="8"/>
  <c r="S13" i="8"/>
  <c r="T13" i="8"/>
  <c r="R14" i="8"/>
  <c r="S14" i="8"/>
  <c r="T14" i="8"/>
  <c r="R15" i="8"/>
  <c r="S15" i="8"/>
  <c r="T15" i="8"/>
  <c r="R16" i="8"/>
  <c r="S16" i="8"/>
  <c r="T16" i="8"/>
  <c r="R17" i="8"/>
  <c r="S17" i="8"/>
  <c r="T17" i="8"/>
  <c r="R18" i="8"/>
  <c r="S18" i="8"/>
  <c r="T18" i="8"/>
  <c r="R19" i="8"/>
  <c r="S19" i="8"/>
  <c r="T19" i="8"/>
  <c r="R20" i="8"/>
  <c r="S20" i="8"/>
  <c r="T20" i="8"/>
  <c r="R21" i="8"/>
  <c r="S21" i="8"/>
  <c r="T21" i="8"/>
  <c r="R22" i="8"/>
  <c r="S22" i="8"/>
  <c r="T22" i="8"/>
  <c r="R23" i="8"/>
  <c r="S23" i="8"/>
  <c r="T23" i="8"/>
  <c r="R24" i="8"/>
  <c r="S24" i="8"/>
  <c r="T24" i="8"/>
  <c r="R25" i="8"/>
  <c r="S25" i="8"/>
  <c r="T25" i="8"/>
  <c r="R26" i="8"/>
  <c r="S26" i="8"/>
  <c r="T26" i="8"/>
  <c r="R27" i="8"/>
  <c r="S27" i="8"/>
  <c r="T27" i="8"/>
  <c r="R28" i="8"/>
  <c r="S28" i="8"/>
  <c r="T28" i="8"/>
  <c r="R29" i="8"/>
  <c r="S29" i="8"/>
  <c r="T29" i="8"/>
  <c r="R30" i="8"/>
  <c r="S30" i="8"/>
  <c r="T30" i="8"/>
  <c r="R31" i="8"/>
  <c r="S31" i="8"/>
  <c r="T31" i="8"/>
  <c r="R32" i="8"/>
  <c r="S32" i="8"/>
  <c r="T32" i="8"/>
  <c r="R33" i="8"/>
  <c r="S33" i="8"/>
  <c r="T33" i="8"/>
  <c r="R34" i="8"/>
  <c r="S34" i="8"/>
  <c r="T34" i="8"/>
  <c r="R35" i="8"/>
  <c r="S35" i="8"/>
  <c r="T35" i="8"/>
  <c r="R36" i="8"/>
  <c r="S36" i="8"/>
  <c r="T36" i="8"/>
  <c r="R37" i="8"/>
  <c r="S37" i="8"/>
  <c r="T37" i="8"/>
  <c r="R38" i="8"/>
  <c r="S38" i="8"/>
  <c r="T38" i="8"/>
  <c r="R39" i="8"/>
  <c r="S39" i="8"/>
  <c r="T39" i="8"/>
  <c r="R40" i="8"/>
  <c r="S40" i="8"/>
  <c r="T40" i="8"/>
  <c r="R41" i="8"/>
  <c r="S41" i="8"/>
  <c r="T41" i="8"/>
  <c r="R42" i="8"/>
  <c r="S42" i="8"/>
  <c r="T42" i="8"/>
  <c r="R43" i="8"/>
  <c r="S43" i="8"/>
  <c r="T43" i="8"/>
  <c r="R44" i="8"/>
  <c r="S44" i="8"/>
  <c r="T44" i="8"/>
  <c r="R45" i="8"/>
  <c r="S45" i="8"/>
  <c r="T45" i="8"/>
  <c r="R46" i="8"/>
  <c r="S46" i="8"/>
  <c r="T46" i="8"/>
  <c r="R47" i="8"/>
  <c r="S47" i="8"/>
  <c r="T47" i="8"/>
  <c r="R48" i="8"/>
  <c r="S48" i="8"/>
  <c r="T48" i="8"/>
  <c r="R49" i="8"/>
  <c r="S49" i="8"/>
  <c r="T49" i="8"/>
  <c r="R50" i="8"/>
  <c r="S50" i="8"/>
  <c r="T50" i="8"/>
  <c r="R51" i="8"/>
  <c r="S51" i="8"/>
  <c r="T51" i="8"/>
  <c r="R52" i="8"/>
  <c r="S52" i="8"/>
  <c r="T52" i="8"/>
  <c r="R53" i="8"/>
  <c r="S53" i="8"/>
  <c r="T53" i="8"/>
  <c r="R54" i="8"/>
  <c r="S54" i="8"/>
  <c r="T54" i="8"/>
  <c r="R55" i="8"/>
  <c r="S55" i="8"/>
  <c r="T55" i="8"/>
  <c r="R56" i="8"/>
  <c r="S56" i="8"/>
  <c r="T56" i="8"/>
  <c r="R57" i="8"/>
  <c r="S57" i="8"/>
  <c r="T57" i="8"/>
  <c r="R58" i="8"/>
  <c r="S58" i="8"/>
  <c r="T58" i="8"/>
  <c r="R59" i="8"/>
  <c r="S59" i="8"/>
  <c r="T59" i="8"/>
  <c r="R60" i="8"/>
  <c r="S60" i="8"/>
  <c r="T60" i="8"/>
  <c r="R61" i="8"/>
  <c r="S61" i="8"/>
  <c r="T61" i="8"/>
  <c r="R62" i="8"/>
  <c r="S62" i="8"/>
  <c r="T62" i="8"/>
  <c r="R63" i="8"/>
  <c r="S63" i="8"/>
  <c r="T63" i="8"/>
  <c r="R64" i="8"/>
  <c r="S64" i="8"/>
  <c r="T64" i="8"/>
  <c r="R65" i="8"/>
  <c r="S65" i="8"/>
  <c r="T65" i="8"/>
  <c r="R66" i="8"/>
  <c r="S66" i="8"/>
  <c r="T66" i="8"/>
  <c r="R67" i="8"/>
  <c r="S67" i="8"/>
  <c r="T67" i="8"/>
  <c r="R68" i="8"/>
  <c r="S68" i="8"/>
  <c r="T68" i="8"/>
  <c r="R69" i="8"/>
  <c r="S69" i="8"/>
  <c r="T69" i="8"/>
  <c r="R70" i="8"/>
  <c r="S70" i="8"/>
  <c r="T70" i="8"/>
  <c r="R71" i="8"/>
  <c r="S71" i="8"/>
  <c r="T71" i="8"/>
  <c r="R72" i="8"/>
  <c r="S72" i="8"/>
  <c r="T72" i="8"/>
  <c r="R73" i="8"/>
  <c r="S73" i="8"/>
  <c r="T73" i="8"/>
  <c r="R74" i="8"/>
  <c r="S74" i="8"/>
  <c r="T74" i="8"/>
  <c r="R75" i="8"/>
  <c r="S75" i="8"/>
  <c r="T75" i="8"/>
  <c r="R76" i="8"/>
  <c r="S76" i="8"/>
  <c r="T76" i="8"/>
  <c r="R77" i="8"/>
  <c r="S77" i="8"/>
  <c r="T77" i="8"/>
  <c r="R78" i="8"/>
  <c r="S78" i="8"/>
  <c r="T78" i="8"/>
  <c r="R79" i="8"/>
  <c r="S79" i="8"/>
  <c r="T79" i="8"/>
  <c r="R80" i="8"/>
  <c r="S80" i="8"/>
  <c r="T80" i="8"/>
  <c r="R81" i="8"/>
  <c r="S81" i="8"/>
  <c r="T81" i="8"/>
  <c r="R82" i="8"/>
  <c r="S82" i="8"/>
  <c r="T82" i="8"/>
  <c r="R83" i="8"/>
  <c r="S83" i="8"/>
  <c r="T83" i="8"/>
  <c r="R84" i="8"/>
  <c r="S84" i="8"/>
  <c r="T84" i="8"/>
  <c r="R85" i="8"/>
  <c r="S85" i="8"/>
  <c r="T85" i="8"/>
  <c r="R86" i="8"/>
  <c r="S86" i="8"/>
  <c r="T86" i="8"/>
  <c r="R87" i="8"/>
  <c r="S87" i="8"/>
  <c r="T87" i="8"/>
  <c r="R88" i="8"/>
  <c r="S88" i="8"/>
  <c r="T88" i="8"/>
  <c r="R89" i="8"/>
  <c r="S89" i="8"/>
  <c r="T89" i="8"/>
  <c r="R90" i="8"/>
  <c r="S90" i="8"/>
  <c r="T90" i="8"/>
  <c r="R91" i="8"/>
  <c r="S91" i="8"/>
  <c r="T91" i="8"/>
  <c r="R92" i="8"/>
  <c r="S92" i="8"/>
  <c r="T92" i="8"/>
  <c r="R93" i="8"/>
  <c r="S93" i="8"/>
  <c r="T93" i="8"/>
  <c r="R94" i="8"/>
  <c r="S94" i="8"/>
  <c r="T94" i="8"/>
  <c r="R95" i="8"/>
  <c r="S95" i="8"/>
  <c r="T95" i="8"/>
  <c r="R96" i="8"/>
  <c r="S96" i="8"/>
  <c r="T96" i="8"/>
  <c r="R97" i="8"/>
  <c r="S97" i="8"/>
  <c r="T97" i="8"/>
  <c r="R98" i="8"/>
  <c r="S98" i="8"/>
  <c r="T98" i="8"/>
  <c r="R99" i="8"/>
  <c r="S99" i="8"/>
  <c r="T99" i="8"/>
  <c r="R100" i="8"/>
  <c r="S100" i="8"/>
  <c r="T100" i="8"/>
  <c r="R101" i="8"/>
  <c r="S101" i="8"/>
  <c r="T101" i="8"/>
  <c r="R102" i="8"/>
  <c r="S102" i="8"/>
  <c r="T102" i="8"/>
  <c r="R103" i="8"/>
  <c r="S103" i="8"/>
  <c r="T103" i="8"/>
  <c r="R104" i="8"/>
  <c r="S104" i="8"/>
  <c r="T104" i="8"/>
  <c r="R105" i="8"/>
  <c r="S105" i="8"/>
  <c r="T105" i="8"/>
  <c r="R106" i="8"/>
  <c r="S106" i="8"/>
  <c r="T106" i="8"/>
  <c r="R107" i="8"/>
  <c r="S107" i="8"/>
  <c r="T107" i="8"/>
  <c r="R108" i="8"/>
  <c r="S108" i="8"/>
  <c r="T108" i="8"/>
  <c r="R109" i="8"/>
  <c r="S109" i="8"/>
  <c r="T109" i="8"/>
  <c r="R110" i="8"/>
  <c r="S110" i="8"/>
  <c r="T110" i="8"/>
  <c r="R111" i="8"/>
  <c r="S111" i="8"/>
  <c r="T111" i="8"/>
  <c r="R112" i="8"/>
  <c r="S112" i="8"/>
  <c r="T112" i="8"/>
  <c r="R113" i="8"/>
  <c r="S113" i="8"/>
  <c r="T113" i="8"/>
  <c r="R114" i="8"/>
  <c r="S114" i="8"/>
  <c r="T114" i="8"/>
  <c r="R115" i="8"/>
  <c r="S115" i="8"/>
  <c r="T115" i="8"/>
  <c r="R116" i="8"/>
  <c r="S116" i="8"/>
  <c r="T116" i="8"/>
  <c r="R117" i="8"/>
  <c r="S117" i="8"/>
  <c r="T117" i="8"/>
  <c r="R118" i="8"/>
  <c r="S118" i="8"/>
  <c r="T118" i="8"/>
  <c r="R119" i="8"/>
  <c r="S119" i="8"/>
  <c r="T119" i="8"/>
  <c r="R120" i="8"/>
  <c r="S120" i="8"/>
  <c r="T120" i="8"/>
  <c r="R121" i="8"/>
  <c r="S121" i="8"/>
  <c r="T121" i="8"/>
  <c r="R122" i="8"/>
  <c r="S122" i="8"/>
  <c r="T122" i="8"/>
  <c r="R123" i="8"/>
  <c r="S123" i="8"/>
  <c r="T123" i="8"/>
  <c r="R124" i="8"/>
  <c r="S124" i="8"/>
  <c r="T124" i="8"/>
  <c r="R125" i="8"/>
  <c r="S125" i="8"/>
  <c r="T125" i="8"/>
  <c r="R126" i="8"/>
  <c r="S126" i="8"/>
  <c r="T126" i="8"/>
  <c r="R127" i="8"/>
  <c r="S127" i="8"/>
  <c r="T127" i="8"/>
  <c r="R128" i="8"/>
  <c r="S128" i="8"/>
  <c r="T128" i="8"/>
  <c r="R129" i="8"/>
  <c r="S129" i="8"/>
  <c r="T129" i="8"/>
  <c r="R130" i="8"/>
  <c r="S130" i="8"/>
  <c r="T130" i="8"/>
  <c r="R131" i="8"/>
  <c r="S131" i="8"/>
  <c r="T131" i="8"/>
  <c r="R132" i="8"/>
  <c r="S132" i="8"/>
  <c r="T132" i="8"/>
  <c r="R133" i="8"/>
  <c r="S133" i="8"/>
  <c r="T133" i="8"/>
  <c r="R134" i="8"/>
  <c r="S134" i="8"/>
  <c r="T134" i="8"/>
  <c r="R135" i="8"/>
  <c r="S135" i="8"/>
  <c r="T135" i="8"/>
  <c r="R136" i="8"/>
  <c r="S136" i="8"/>
  <c r="T136" i="8"/>
  <c r="R137" i="8"/>
  <c r="S137" i="8"/>
  <c r="T137" i="8"/>
  <c r="R138" i="8"/>
  <c r="S138" i="8"/>
  <c r="T138" i="8"/>
  <c r="R139" i="8"/>
  <c r="S139" i="8"/>
  <c r="T139" i="8"/>
  <c r="R140" i="8"/>
  <c r="S140" i="8"/>
  <c r="T140" i="8"/>
  <c r="R141" i="8"/>
  <c r="S141" i="8"/>
  <c r="T141" i="8"/>
  <c r="R142" i="8"/>
  <c r="S142" i="8"/>
  <c r="T142" i="8"/>
  <c r="R143" i="8"/>
  <c r="S143" i="8"/>
  <c r="T143" i="8"/>
  <c r="R144" i="8"/>
  <c r="S144" i="8"/>
  <c r="T144" i="8"/>
  <c r="R145" i="8"/>
  <c r="S145" i="8"/>
  <c r="T145" i="8"/>
  <c r="R146" i="8"/>
  <c r="S146" i="8"/>
  <c r="T146" i="8"/>
  <c r="R147" i="8"/>
  <c r="S147" i="8"/>
  <c r="T147" i="8"/>
  <c r="R148" i="8"/>
  <c r="S148" i="8"/>
  <c r="T148" i="8"/>
  <c r="R149" i="8"/>
  <c r="S149" i="8"/>
  <c r="T149" i="8"/>
  <c r="R150" i="8"/>
  <c r="S150" i="8"/>
  <c r="T150" i="8"/>
  <c r="R151" i="8"/>
  <c r="S151" i="8"/>
  <c r="T151" i="8"/>
  <c r="R152" i="8"/>
  <c r="S152" i="8"/>
  <c r="T152" i="8"/>
  <c r="R153" i="8"/>
  <c r="S153" i="8"/>
  <c r="T153" i="8"/>
  <c r="R154" i="8"/>
  <c r="S154" i="8"/>
  <c r="T154" i="8"/>
  <c r="R155" i="8"/>
  <c r="S155" i="8"/>
  <c r="T155" i="8"/>
  <c r="R156" i="8"/>
  <c r="S156" i="8"/>
  <c r="T156" i="8"/>
  <c r="R157" i="8"/>
  <c r="S157" i="8"/>
  <c r="T157" i="8"/>
  <c r="R158" i="8"/>
  <c r="S158" i="8"/>
  <c r="T158" i="8"/>
  <c r="R159" i="8"/>
  <c r="S159" i="8"/>
  <c r="T159" i="8"/>
  <c r="R160" i="8"/>
  <c r="S160" i="8"/>
  <c r="T160" i="8"/>
  <c r="R161" i="8"/>
  <c r="S161" i="8"/>
  <c r="T161" i="8"/>
  <c r="R162" i="8"/>
  <c r="S162" i="8"/>
  <c r="T162" i="8"/>
  <c r="R163" i="8"/>
  <c r="S163" i="8"/>
  <c r="T163" i="8"/>
  <c r="R164" i="8"/>
  <c r="S164" i="8"/>
  <c r="T164" i="8"/>
  <c r="R165" i="8"/>
  <c r="S165" i="8"/>
  <c r="T165" i="8"/>
  <c r="R166" i="8"/>
  <c r="S166" i="8"/>
  <c r="T166" i="8"/>
  <c r="R167" i="8"/>
  <c r="S167" i="8"/>
  <c r="T167" i="8"/>
  <c r="R168" i="8"/>
  <c r="S168" i="8"/>
  <c r="T168" i="8"/>
  <c r="R169" i="8"/>
  <c r="S169" i="8"/>
  <c r="T169" i="8"/>
  <c r="R170" i="8"/>
  <c r="S170" i="8"/>
  <c r="T170" i="8"/>
  <c r="R171" i="8"/>
  <c r="S171" i="8"/>
  <c r="T171" i="8"/>
  <c r="R172" i="8"/>
  <c r="S172" i="8"/>
  <c r="T172" i="8"/>
  <c r="R173" i="8"/>
  <c r="S173" i="8"/>
  <c r="T173" i="8"/>
  <c r="R174" i="8"/>
  <c r="S174" i="8"/>
  <c r="T174" i="8"/>
  <c r="R175" i="8"/>
  <c r="S175" i="8"/>
  <c r="T175" i="8"/>
  <c r="R176" i="8"/>
  <c r="S176" i="8"/>
  <c r="T176" i="8"/>
  <c r="R177" i="8"/>
  <c r="S177" i="8"/>
  <c r="T177" i="8"/>
  <c r="R178" i="8"/>
  <c r="S178" i="8"/>
  <c r="T178" i="8"/>
  <c r="R179" i="8"/>
  <c r="S179" i="8"/>
  <c r="T179" i="8"/>
  <c r="R180" i="8"/>
  <c r="S180" i="8"/>
  <c r="T180" i="8"/>
  <c r="R181" i="8"/>
  <c r="S181" i="8"/>
  <c r="T181" i="8"/>
  <c r="R182" i="8"/>
  <c r="S182" i="8"/>
  <c r="T182" i="8"/>
  <c r="R183" i="8"/>
  <c r="S183" i="8"/>
  <c r="T183" i="8"/>
  <c r="R184" i="8"/>
  <c r="S184" i="8"/>
  <c r="T184" i="8"/>
  <c r="R185" i="8"/>
  <c r="S185" i="8"/>
  <c r="T185" i="8"/>
  <c r="R186" i="8"/>
  <c r="S186" i="8"/>
  <c r="T186" i="8"/>
  <c r="R187" i="8"/>
  <c r="S187" i="8"/>
  <c r="T187" i="8"/>
  <c r="R188" i="8"/>
  <c r="S188" i="8"/>
  <c r="T188" i="8"/>
  <c r="R189" i="8"/>
  <c r="S189" i="8"/>
  <c r="T189" i="8"/>
  <c r="R190" i="8"/>
  <c r="S190" i="8"/>
  <c r="T190" i="8"/>
  <c r="R191" i="8"/>
  <c r="S191" i="8"/>
  <c r="T191" i="8"/>
  <c r="R192" i="8"/>
  <c r="S192" i="8"/>
  <c r="T192" i="8"/>
  <c r="R193" i="8"/>
  <c r="S193" i="8"/>
  <c r="T193" i="8"/>
  <c r="R194" i="8"/>
  <c r="S194" i="8"/>
  <c r="T194" i="8"/>
  <c r="R195" i="8"/>
  <c r="S195" i="8"/>
  <c r="T195" i="8"/>
  <c r="R196" i="8"/>
  <c r="S196" i="8"/>
  <c r="T196" i="8"/>
  <c r="R197" i="8"/>
  <c r="S197" i="8"/>
  <c r="T197" i="8"/>
  <c r="R198" i="8"/>
  <c r="S198" i="8"/>
  <c r="T198" i="8"/>
  <c r="R199" i="8"/>
  <c r="S199" i="8"/>
  <c r="T199" i="8"/>
  <c r="R200" i="8"/>
  <c r="S200" i="8"/>
  <c r="T200" i="8"/>
  <c r="R201" i="8"/>
  <c r="S201" i="8"/>
  <c r="T201" i="8"/>
  <c r="R202" i="8"/>
  <c r="S202" i="8"/>
  <c r="T202" i="8"/>
  <c r="R203" i="8"/>
  <c r="S203" i="8"/>
  <c r="T203" i="8"/>
  <c r="R204" i="8"/>
  <c r="S204" i="8"/>
  <c r="T204" i="8"/>
  <c r="R205" i="8"/>
  <c r="S205" i="8"/>
  <c r="T205" i="8"/>
  <c r="R206" i="8"/>
  <c r="S206" i="8"/>
  <c r="T206" i="8"/>
  <c r="R207" i="8"/>
  <c r="S207" i="8"/>
  <c r="T207" i="8"/>
  <c r="R208" i="8"/>
  <c r="S208" i="8"/>
  <c r="T208" i="8"/>
  <c r="R209" i="8"/>
  <c r="S209" i="8"/>
  <c r="T209" i="8"/>
  <c r="R210" i="8"/>
  <c r="S210" i="8"/>
  <c r="T210" i="8"/>
  <c r="R211" i="8"/>
  <c r="S211" i="8"/>
  <c r="T211" i="8"/>
  <c r="R212" i="8"/>
  <c r="S212" i="8"/>
  <c r="T212" i="8"/>
  <c r="R213" i="8"/>
  <c r="S213" i="8"/>
  <c r="T213" i="8"/>
  <c r="R214" i="8"/>
  <c r="S214" i="8"/>
  <c r="T214" i="8"/>
  <c r="R215" i="8"/>
  <c r="S215" i="8"/>
  <c r="T215" i="8"/>
  <c r="R216" i="8"/>
  <c r="S216" i="8"/>
  <c r="T216" i="8"/>
  <c r="R217" i="8"/>
  <c r="S217" i="8"/>
  <c r="T217" i="8"/>
  <c r="R218" i="8"/>
  <c r="S218" i="8"/>
  <c r="T218" i="8"/>
  <c r="R219" i="8"/>
  <c r="S219" i="8"/>
  <c r="T219" i="8"/>
  <c r="R220" i="8"/>
  <c r="S220" i="8"/>
  <c r="T220" i="8"/>
  <c r="R221" i="8"/>
  <c r="S221" i="8"/>
  <c r="T221" i="8"/>
  <c r="R222" i="8"/>
  <c r="S222" i="8"/>
  <c r="T222" i="8"/>
  <c r="R223" i="8"/>
  <c r="S223" i="8"/>
  <c r="T223" i="8"/>
  <c r="R224" i="8"/>
  <c r="S224" i="8"/>
  <c r="T224" i="8"/>
  <c r="R225" i="8"/>
  <c r="S225" i="8"/>
  <c r="T225" i="8"/>
  <c r="R226" i="8"/>
  <c r="S226" i="8"/>
  <c r="T226" i="8"/>
  <c r="R227" i="8"/>
  <c r="S227" i="8"/>
  <c r="T227" i="8"/>
  <c r="R228" i="8"/>
  <c r="S228" i="8"/>
  <c r="T228" i="8"/>
  <c r="R229" i="8"/>
  <c r="S229" i="8"/>
  <c r="T229" i="8"/>
  <c r="R230" i="8"/>
  <c r="S230" i="8"/>
  <c r="T230" i="8"/>
  <c r="R231" i="8"/>
  <c r="S231" i="8"/>
  <c r="T231" i="8"/>
  <c r="R232" i="8"/>
  <c r="S232" i="8"/>
  <c r="T232" i="8"/>
  <c r="R233" i="8"/>
  <c r="S233" i="8"/>
  <c r="T233" i="8"/>
  <c r="R234" i="8"/>
  <c r="S234" i="8"/>
  <c r="T234" i="8"/>
  <c r="R235" i="8"/>
  <c r="S235" i="8"/>
  <c r="T235" i="8"/>
  <c r="R236" i="8"/>
  <c r="S236" i="8"/>
  <c r="T236" i="8"/>
  <c r="R237" i="8"/>
  <c r="S237" i="8"/>
  <c r="T237" i="8"/>
  <c r="R238" i="8"/>
  <c r="S238" i="8"/>
  <c r="T238" i="8"/>
  <c r="R239" i="8"/>
  <c r="S239" i="8"/>
  <c r="T239" i="8"/>
  <c r="R240" i="8"/>
  <c r="S240" i="8"/>
  <c r="T240" i="8"/>
  <c r="R241" i="8"/>
  <c r="S241" i="8"/>
  <c r="T241" i="8"/>
  <c r="R242" i="8"/>
  <c r="S242" i="8"/>
  <c r="T242" i="8"/>
  <c r="R243" i="8"/>
  <c r="S243" i="8"/>
  <c r="T243" i="8"/>
  <c r="R244" i="8"/>
  <c r="S244" i="8"/>
  <c r="T244" i="8"/>
  <c r="R245" i="8"/>
  <c r="S245" i="8"/>
  <c r="T245" i="8"/>
  <c r="R246" i="8"/>
  <c r="S246" i="8"/>
  <c r="T246" i="8"/>
  <c r="R247" i="8"/>
  <c r="S247" i="8"/>
  <c r="T247" i="8"/>
  <c r="R248" i="8"/>
  <c r="S248" i="8"/>
  <c r="T248" i="8"/>
  <c r="R249" i="8"/>
  <c r="S249" i="8"/>
  <c r="T249" i="8"/>
  <c r="R250" i="8"/>
  <c r="S250" i="8"/>
  <c r="T250" i="8"/>
  <c r="R251" i="8"/>
  <c r="S251" i="8"/>
  <c r="T251" i="8"/>
  <c r="R252" i="8"/>
  <c r="S252" i="8"/>
  <c r="T252" i="8"/>
  <c r="R253" i="8"/>
  <c r="S253" i="8"/>
  <c r="T253" i="8"/>
  <c r="R254" i="8"/>
  <c r="S254" i="8"/>
  <c r="T254" i="8"/>
  <c r="R255" i="8"/>
  <c r="S255" i="8"/>
  <c r="T255" i="8"/>
  <c r="R256" i="8"/>
  <c r="S256" i="8"/>
  <c r="T256" i="8"/>
  <c r="R257" i="8"/>
  <c r="S257" i="8"/>
  <c r="T257" i="8"/>
  <c r="R258" i="8"/>
  <c r="S258" i="8"/>
  <c r="T258" i="8"/>
  <c r="R259" i="8"/>
  <c r="S259" i="8"/>
  <c r="T259" i="8"/>
  <c r="R260" i="8"/>
  <c r="S260" i="8"/>
  <c r="T260" i="8"/>
  <c r="R261" i="8"/>
  <c r="S261" i="8"/>
  <c r="T261" i="8"/>
  <c r="R262" i="8"/>
  <c r="S262" i="8"/>
  <c r="T262" i="8"/>
  <c r="R263" i="8"/>
  <c r="S263" i="8"/>
  <c r="T263" i="8"/>
  <c r="R264" i="8"/>
  <c r="S264" i="8"/>
  <c r="T264" i="8"/>
  <c r="R265" i="8"/>
  <c r="S265" i="8"/>
  <c r="T265" i="8"/>
  <c r="R266" i="8"/>
  <c r="S266" i="8"/>
  <c r="T266" i="8"/>
  <c r="R267" i="8"/>
  <c r="S267" i="8"/>
  <c r="T267" i="8"/>
  <c r="R268" i="8"/>
  <c r="S268" i="8"/>
  <c r="T268" i="8"/>
  <c r="R269" i="8"/>
  <c r="S269" i="8"/>
  <c r="T269" i="8"/>
  <c r="R270" i="8"/>
  <c r="S270" i="8"/>
  <c r="T270" i="8"/>
  <c r="R271" i="8"/>
  <c r="S271" i="8"/>
  <c r="T271" i="8"/>
  <c r="R272" i="8"/>
  <c r="S272" i="8"/>
  <c r="T272" i="8"/>
  <c r="R273" i="8"/>
  <c r="S273" i="8"/>
  <c r="T273" i="8"/>
  <c r="R274" i="8"/>
  <c r="S274" i="8"/>
  <c r="T274" i="8"/>
  <c r="R275" i="8"/>
  <c r="S275" i="8"/>
  <c r="T275" i="8"/>
  <c r="R276" i="8"/>
  <c r="S276" i="8"/>
  <c r="T276" i="8"/>
  <c r="R277" i="8"/>
  <c r="S277" i="8"/>
  <c r="T277" i="8"/>
  <c r="R278" i="8"/>
  <c r="S278" i="8"/>
  <c r="T278" i="8"/>
  <c r="R279" i="8"/>
  <c r="S279" i="8"/>
  <c r="T279" i="8"/>
  <c r="R280" i="8"/>
  <c r="S280" i="8"/>
  <c r="T280" i="8"/>
  <c r="R281" i="8"/>
  <c r="S281" i="8"/>
  <c r="T281" i="8"/>
  <c r="R282" i="8"/>
  <c r="S282" i="8"/>
  <c r="T282" i="8"/>
  <c r="R283" i="8"/>
  <c r="S283" i="8"/>
  <c r="T283" i="8"/>
  <c r="R284" i="8"/>
  <c r="S284" i="8"/>
  <c r="T284" i="8"/>
  <c r="R285" i="8"/>
  <c r="S285" i="8"/>
  <c r="T285" i="8"/>
  <c r="R286" i="8"/>
  <c r="S286" i="8"/>
  <c r="T286" i="8"/>
  <c r="R287" i="8"/>
  <c r="S287" i="8"/>
  <c r="T287" i="8"/>
  <c r="R288" i="8"/>
  <c r="S288" i="8"/>
  <c r="T288" i="8"/>
  <c r="R289" i="8"/>
  <c r="S289" i="8"/>
  <c r="T289" i="8"/>
  <c r="R290" i="8"/>
  <c r="S290" i="8"/>
  <c r="T290" i="8"/>
  <c r="R291" i="8"/>
  <c r="S291" i="8"/>
  <c r="T291" i="8"/>
  <c r="R292" i="8"/>
  <c r="S292" i="8"/>
  <c r="T292" i="8"/>
  <c r="R293" i="8"/>
  <c r="S293" i="8"/>
  <c r="T293" i="8"/>
  <c r="R294" i="8"/>
  <c r="S294" i="8"/>
  <c r="T294" i="8"/>
  <c r="R295" i="8"/>
  <c r="S295" i="8"/>
  <c r="T295" i="8"/>
  <c r="R296" i="8"/>
  <c r="S296" i="8"/>
  <c r="T296" i="8"/>
  <c r="R297" i="8"/>
  <c r="S297" i="8"/>
  <c r="T297" i="8"/>
  <c r="R298" i="8"/>
  <c r="S298" i="8"/>
  <c r="T298" i="8"/>
  <c r="R299" i="8"/>
  <c r="S299" i="8"/>
  <c r="T299" i="8"/>
  <c r="R300" i="8"/>
  <c r="S300" i="8"/>
  <c r="T300" i="8"/>
  <c r="R301" i="8"/>
  <c r="S301" i="8"/>
  <c r="T301" i="8"/>
  <c r="R302" i="8"/>
  <c r="S302" i="8"/>
  <c r="T302" i="8"/>
  <c r="R303" i="8"/>
  <c r="S303" i="8"/>
  <c r="T303" i="8"/>
  <c r="R304" i="8"/>
  <c r="S304" i="8"/>
  <c r="T304" i="8"/>
  <c r="R305" i="8"/>
  <c r="S305" i="8"/>
  <c r="T305" i="8"/>
  <c r="R306" i="8"/>
  <c r="S306" i="8"/>
  <c r="T306" i="8"/>
  <c r="R307" i="8"/>
  <c r="S307" i="8"/>
  <c r="T307" i="8"/>
  <c r="R308" i="8"/>
  <c r="S308" i="8"/>
  <c r="T308" i="8"/>
  <c r="R309" i="8"/>
  <c r="S309" i="8"/>
  <c r="T309" i="8"/>
  <c r="R310" i="8"/>
  <c r="S310" i="8"/>
  <c r="T310" i="8"/>
  <c r="R311" i="8"/>
  <c r="S311" i="8"/>
  <c r="T311" i="8"/>
  <c r="R312" i="8"/>
  <c r="S312" i="8"/>
  <c r="T312" i="8"/>
  <c r="R313" i="8"/>
  <c r="S313" i="8"/>
  <c r="T313" i="8"/>
  <c r="R314" i="8"/>
  <c r="S314" i="8"/>
  <c r="T314" i="8"/>
  <c r="R315" i="8"/>
  <c r="S315" i="8"/>
  <c r="T315" i="8"/>
  <c r="R316" i="8"/>
  <c r="S316" i="8"/>
  <c r="T316" i="8"/>
  <c r="R317" i="8"/>
  <c r="S317" i="8"/>
  <c r="T317" i="8"/>
  <c r="R318" i="8"/>
  <c r="S318" i="8"/>
  <c r="T318" i="8"/>
  <c r="R319" i="8"/>
  <c r="S319" i="8"/>
  <c r="T319" i="8"/>
  <c r="R320" i="8"/>
  <c r="S320" i="8"/>
  <c r="T320" i="8"/>
  <c r="R321" i="8"/>
  <c r="S321" i="8"/>
  <c r="T321" i="8"/>
  <c r="R322" i="8"/>
  <c r="S322" i="8"/>
  <c r="T322" i="8"/>
  <c r="R323" i="8"/>
  <c r="S323" i="8"/>
  <c r="T323" i="8"/>
  <c r="R324" i="8"/>
  <c r="S324" i="8"/>
  <c r="T324" i="8"/>
  <c r="R325" i="8"/>
  <c r="S325" i="8"/>
  <c r="T325" i="8"/>
  <c r="R326" i="8"/>
  <c r="S326" i="8"/>
  <c r="T326" i="8"/>
  <c r="R327" i="8"/>
  <c r="S327" i="8"/>
  <c r="T327" i="8"/>
  <c r="R328" i="8"/>
  <c r="S328" i="8"/>
  <c r="T328" i="8"/>
  <c r="R329" i="8"/>
  <c r="S329" i="8"/>
  <c r="T329" i="8"/>
  <c r="R330" i="8"/>
  <c r="S330" i="8"/>
  <c r="T330" i="8"/>
  <c r="R331" i="8"/>
  <c r="S331" i="8"/>
  <c r="T331" i="8"/>
  <c r="R332" i="8"/>
  <c r="S332" i="8"/>
  <c r="T332" i="8"/>
  <c r="R333" i="8"/>
  <c r="S333" i="8"/>
  <c r="T333" i="8"/>
  <c r="R334" i="8"/>
  <c r="S334" i="8"/>
  <c r="T334" i="8"/>
  <c r="R335" i="8"/>
  <c r="S335" i="8"/>
  <c r="T335" i="8"/>
  <c r="R336" i="8"/>
  <c r="S336" i="8"/>
  <c r="T336" i="8"/>
  <c r="R337" i="8"/>
  <c r="S337" i="8"/>
  <c r="T337" i="8"/>
  <c r="R338" i="8"/>
  <c r="S338" i="8"/>
  <c r="T338" i="8"/>
  <c r="R339" i="8"/>
  <c r="S339" i="8"/>
  <c r="T339" i="8"/>
  <c r="R340" i="8"/>
  <c r="S340" i="8"/>
  <c r="T340" i="8"/>
  <c r="R341" i="8"/>
  <c r="S341" i="8"/>
  <c r="T341" i="8"/>
  <c r="R342" i="8"/>
  <c r="S342" i="8"/>
  <c r="T342" i="8"/>
  <c r="R343" i="8"/>
  <c r="S343" i="8"/>
  <c r="T343" i="8"/>
  <c r="R344" i="8"/>
  <c r="S344" i="8"/>
  <c r="T344" i="8"/>
  <c r="R345" i="8"/>
  <c r="S345" i="8"/>
  <c r="T345" i="8"/>
  <c r="R346" i="8"/>
  <c r="S346" i="8"/>
  <c r="T346" i="8"/>
  <c r="R347" i="8"/>
  <c r="S347" i="8"/>
  <c r="T347" i="8"/>
  <c r="R348" i="8"/>
  <c r="S348" i="8"/>
  <c r="T348" i="8"/>
  <c r="R349" i="8"/>
  <c r="S349" i="8"/>
  <c r="T349" i="8"/>
  <c r="R350" i="8"/>
  <c r="S350" i="8"/>
  <c r="T350" i="8"/>
  <c r="R351" i="8"/>
  <c r="S351" i="8"/>
  <c r="T351" i="8"/>
  <c r="R352" i="8"/>
  <c r="S352" i="8"/>
  <c r="T352" i="8"/>
  <c r="R353" i="8"/>
  <c r="S353" i="8"/>
  <c r="T353" i="8"/>
  <c r="R354" i="8"/>
  <c r="S354" i="8"/>
  <c r="T354" i="8"/>
  <c r="R355" i="8"/>
  <c r="S355" i="8"/>
  <c r="T355" i="8"/>
  <c r="R356" i="8"/>
  <c r="S356" i="8"/>
  <c r="T356" i="8"/>
  <c r="R357" i="8"/>
  <c r="S357" i="8"/>
  <c r="T357" i="8"/>
  <c r="R358" i="8"/>
  <c r="S358" i="8"/>
  <c r="T358" i="8"/>
  <c r="R359" i="8"/>
  <c r="S359" i="8"/>
  <c r="T359" i="8"/>
  <c r="R360" i="8"/>
  <c r="S360" i="8"/>
  <c r="T360" i="8"/>
  <c r="R361" i="8"/>
  <c r="S361" i="8"/>
  <c r="T361" i="8"/>
  <c r="R362" i="8"/>
  <c r="S362" i="8"/>
  <c r="T362" i="8"/>
  <c r="R363" i="8"/>
  <c r="S363" i="8"/>
  <c r="T363" i="8"/>
  <c r="R364" i="8"/>
  <c r="S364" i="8"/>
  <c r="T364" i="8"/>
  <c r="R365" i="8"/>
  <c r="S365" i="8"/>
  <c r="T365" i="8"/>
  <c r="R366" i="8"/>
  <c r="S366" i="8"/>
  <c r="T366" i="8"/>
  <c r="R367" i="8"/>
  <c r="S367" i="8"/>
  <c r="T367" i="8"/>
  <c r="R368" i="8"/>
  <c r="S368" i="8"/>
  <c r="T368" i="8"/>
  <c r="R369" i="8"/>
  <c r="S369" i="8"/>
  <c r="T369" i="8"/>
  <c r="R370" i="8"/>
  <c r="S370" i="8"/>
  <c r="T370" i="8"/>
  <c r="R371" i="8"/>
  <c r="S371" i="8"/>
  <c r="T371" i="8"/>
  <c r="R372" i="8"/>
  <c r="S372" i="8"/>
  <c r="T372" i="8"/>
  <c r="R373" i="8"/>
  <c r="S373" i="8"/>
  <c r="T373" i="8"/>
  <c r="R374" i="8"/>
  <c r="S374" i="8"/>
  <c r="T374" i="8"/>
  <c r="R375" i="8"/>
  <c r="S375" i="8"/>
  <c r="T375" i="8"/>
  <c r="R376" i="8"/>
  <c r="S376" i="8"/>
  <c r="T376" i="8"/>
  <c r="R377" i="8"/>
  <c r="S377" i="8"/>
  <c r="T377" i="8"/>
  <c r="R378" i="8"/>
  <c r="S378" i="8"/>
  <c r="T378" i="8"/>
  <c r="R379" i="8"/>
  <c r="S379" i="8"/>
  <c r="T379" i="8"/>
  <c r="R380" i="8"/>
  <c r="S380" i="8"/>
  <c r="T380" i="8"/>
  <c r="R381" i="8"/>
  <c r="S381" i="8"/>
  <c r="T381" i="8"/>
  <c r="R382" i="8"/>
  <c r="S382" i="8"/>
  <c r="T382" i="8"/>
  <c r="R383" i="8"/>
  <c r="S383" i="8"/>
  <c r="T383" i="8"/>
  <c r="R384" i="8"/>
  <c r="S384" i="8"/>
  <c r="T384" i="8"/>
  <c r="R385" i="8"/>
  <c r="S385" i="8"/>
  <c r="T385" i="8"/>
  <c r="R386" i="8"/>
  <c r="S386" i="8"/>
  <c r="T386" i="8"/>
  <c r="R387" i="8"/>
  <c r="S387" i="8"/>
  <c r="T387" i="8"/>
  <c r="R388" i="8"/>
  <c r="S388" i="8"/>
  <c r="T388" i="8"/>
  <c r="R389" i="8"/>
  <c r="S389" i="8"/>
  <c r="T389" i="8"/>
  <c r="R390" i="8"/>
  <c r="S390" i="8"/>
  <c r="T390" i="8"/>
  <c r="R391" i="8"/>
  <c r="S391" i="8"/>
  <c r="T391" i="8"/>
  <c r="R392" i="8"/>
  <c r="S392" i="8"/>
  <c r="T392" i="8"/>
  <c r="R393" i="8"/>
  <c r="S393" i="8"/>
  <c r="T393" i="8"/>
  <c r="R394" i="8"/>
  <c r="S394" i="8"/>
  <c r="T394" i="8"/>
  <c r="R395" i="8"/>
  <c r="S395" i="8"/>
  <c r="T395" i="8"/>
  <c r="R396" i="8"/>
  <c r="S396" i="8"/>
  <c r="T396" i="8"/>
  <c r="R397" i="8"/>
  <c r="S397" i="8"/>
  <c r="T397" i="8"/>
  <c r="R398" i="8"/>
  <c r="S398" i="8"/>
  <c r="T398" i="8"/>
  <c r="R399" i="8"/>
  <c r="S399" i="8"/>
  <c r="T399" i="8"/>
  <c r="R400" i="8"/>
  <c r="S400" i="8"/>
  <c r="T400" i="8"/>
  <c r="R401" i="8"/>
  <c r="S401" i="8"/>
  <c r="T401" i="8"/>
  <c r="R402" i="8"/>
  <c r="S402" i="8"/>
  <c r="T402" i="8"/>
  <c r="R403" i="8"/>
  <c r="S403" i="8"/>
  <c r="T403" i="8"/>
  <c r="R404" i="8"/>
  <c r="S404" i="8"/>
  <c r="T404" i="8"/>
  <c r="R405" i="8"/>
  <c r="S405" i="8"/>
  <c r="T405" i="8"/>
  <c r="R406" i="8"/>
  <c r="S406" i="8"/>
  <c r="T406" i="8"/>
  <c r="R407" i="8"/>
  <c r="S407" i="8"/>
  <c r="T407" i="8"/>
  <c r="R408" i="8"/>
  <c r="S408" i="8"/>
  <c r="T408" i="8"/>
  <c r="R409" i="8"/>
  <c r="S409" i="8"/>
  <c r="T409" i="8"/>
  <c r="R410" i="8"/>
  <c r="S410" i="8"/>
  <c r="T410" i="8"/>
  <c r="R411" i="8"/>
  <c r="S411" i="8"/>
  <c r="T411" i="8"/>
  <c r="R412" i="8"/>
  <c r="S412" i="8"/>
  <c r="T412" i="8"/>
  <c r="R413" i="8"/>
  <c r="S413" i="8"/>
  <c r="T413" i="8"/>
  <c r="R414" i="8"/>
  <c r="S414" i="8"/>
  <c r="T414" i="8"/>
  <c r="R415" i="8"/>
  <c r="S415" i="8"/>
  <c r="T415" i="8"/>
  <c r="R416" i="8"/>
  <c r="S416" i="8"/>
  <c r="T416" i="8"/>
  <c r="R417" i="8"/>
  <c r="S417" i="8"/>
  <c r="T417" i="8"/>
  <c r="R418" i="8"/>
  <c r="S418" i="8"/>
  <c r="T418" i="8"/>
  <c r="R419" i="8"/>
  <c r="S419" i="8"/>
  <c r="T419" i="8"/>
  <c r="R420" i="8"/>
  <c r="S420" i="8"/>
  <c r="T420" i="8"/>
  <c r="R421" i="8"/>
  <c r="S421" i="8"/>
  <c r="T421" i="8"/>
  <c r="R422" i="8"/>
  <c r="S422" i="8"/>
  <c r="T422" i="8"/>
  <c r="R423" i="8"/>
  <c r="S423" i="8"/>
  <c r="T423" i="8"/>
  <c r="R424" i="8"/>
  <c r="S424" i="8"/>
  <c r="T424" i="8"/>
  <c r="R425" i="8"/>
  <c r="S425" i="8"/>
  <c r="T425" i="8"/>
  <c r="R426" i="8"/>
  <c r="S426" i="8"/>
  <c r="T426" i="8"/>
  <c r="R427" i="8"/>
  <c r="S427" i="8"/>
  <c r="T427" i="8"/>
  <c r="R428" i="8"/>
  <c r="S428" i="8"/>
  <c r="T428" i="8"/>
  <c r="R429" i="8"/>
  <c r="S429" i="8"/>
  <c r="T429" i="8"/>
  <c r="R430" i="8"/>
  <c r="S430" i="8"/>
  <c r="T430" i="8"/>
  <c r="R431" i="8"/>
  <c r="S431" i="8"/>
  <c r="T431" i="8"/>
  <c r="R432" i="8"/>
  <c r="S432" i="8"/>
  <c r="T432" i="8"/>
  <c r="R433" i="8"/>
  <c r="S433" i="8"/>
  <c r="T433" i="8"/>
  <c r="R434" i="8"/>
  <c r="S434" i="8"/>
  <c r="T434" i="8"/>
  <c r="R435" i="8"/>
  <c r="S435" i="8"/>
  <c r="T435" i="8"/>
  <c r="R436" i="8"/>
  <c r="S436" i="8"/>
  <c r="T436" i="8"/>
  <c r="R437" i="8"/>
  <c r="S437" i="8"/>
  <c r="T437" i="8"/>
  <c r="R438" i="8"/>
  <c r="S438" i="8"/>
  <c r="T438" i="8"/>
  <c r="R439" i="8"/>
  <c r="S439" i="8"/>
  <c r="T439" i="8"/>
  <c r="R440" i="8"/>
  <c r="S440" i="8"/>
  <c r="T440" i="8"/>
  <c r="R441" i="8"/>
  <c r="S441" i="8"/>
  <c r="T441" i="8"/>
  <c r="R442" i="8"/>
  <c r="S442" i="8"/>
  <c r="T442" i="8"/>
  <c r="R443" i="8"/>
  <c r="S443" i="8"/>
  <c r="T443" i="8"/>
  <c r="R444" i="8"/>
  <c r="S444" i="8"/>
  <c r="T444" i="8"/>
  <c r="R445" i="8"/>
  <c r="S445" i="8"/>
  <c r="T445" i="8"/>
  <c r="R446" i="8"/>
  <c r="S446" i="8"/>
  <c r="T446" i="8"/>
  <c r="R447" i="8"/>
  <c r="S447" i="8"/>
  <c r="T447" i="8"/>
  <c r="R448" i="8"/>
  <c r="S448" i="8"/>
  <c r="T448" i="8"/>
  <c r="R449" i="8"/>
  <c r="S449" i="8"/>
  <c r="T449" i="8"/>
  <c r="R450" i="8"/>
  <c r="S450" i="8"/>
  <c r="T450" i="8"/>
  <c r="R451" i="8"/>
  <c r="S451" i="8"/>
  <c r="T451" i="8"/>
  <c r="R452" i="8"/>
  <c r="S452" i="8"/>
  <c r="T452" i="8"/>
  <c r="R453" i="8"/>
  <c r="S453" i="8"/>
  <c r="T453" i="8"/>
  <c r="R454" i="8"/>
  <c r="S454" i="8"/>
  <c r="T454" i="8"/>
  <c r="R455" i="8"/>
  <c r="S455" i="8"/>
  <c r="T455" i="8"/>
  <c r="R456" i="8"/>
  <c r="S456" i="8"/>
  <c r="T456" i="8"/>
  <c r="R457" i="8"/>
  <c r="S457" i="8"/>
  <c r="T457" i="8"/>
  <c r="R458" i="8"/>
  <c r="S458" i="8"/>
  <c r="T458" i="8"/>
  <c r="R459" i="8"/>
  <c r="S459" i="8"/>
  <c r="T459" i="8"/>
  <c r="R460" i="8"/>
  <c r="S460" i="8"/>
  <c r="T460" i="8"/>
  <c r="R461" i="8"/>
  <c r="S461" i="8"/>
  <c r="T461" i="8"/>
  <c r="R462" i="8"/>
  <c r="S462" i="8"/>
  <c r="T462" i="8"/>
  <c r="R463" i="8"/>
  <c r="S463" i="8"/>
  <c r="T463" i="8"/>
  <c r="R464" i="8"/>
  <c r="S464" i="8"/>
  <c r="T464" i="8"/>
  <c r="R465" i="8"/>
  <c r="S465" i="8"/>
  <c r="T465" i="8"/>
  <c r="R466" i="8"/>
  <c r="S466" i="8"/>
  <c r="T466" i="8"/>
  <c r="R467" i="8"/>
  <c r="S467" i="8"/>
  <c r="T467" i="8"/>
  <c r="R468" i="8"/>
  <c r="S468" i="8"/>
  <c r="T468" i="8"/>
  <c r="R469" i="8"/>
  <c r="S469" i="8"/>
  <c r="T469" i="8"/>
  <c r="R470" i="8"/>
  <c r="S470" i="8"/>
  <c r="T470" i="8"/>
  <c r="R471" i="8"/>
  <c r="S471" i="8"/>
  <c r="T471" i="8"/>
  <c r="R472" i="8"/>
  <c r="S472" i="8"/>
  <c r="T472" i="8"/>
  <c r="R473" i="8"/>
  <c r="S473" i="8"/>
  <c r="T473" i="8"/>
  <c r="R474" i="8"/>
  <c r="S474" i="8"/>
  <c r="T474" i="8"/>
  <c r="R475" i="8"/>
  <c r="S475" i="8"/>
  <c r="T475" i="8"/>
  <c r="R476" i="8"/>
  <c r="S476" i="8"/>
  <c r="T476" i="8"/>
  <c r="R477" i="8"/>
  <c r="S477" i="8"/>
  <c r="T477" i="8"/>
  <c r="R478" i="8"/>
  <c r="S478" i="8"/>
  <c r="T478" i="8"/>
  <c r="R479" i="8"/>
  <c r="S479" i="8"/>
  <c r="T479" i="8"/>
  <c r="R480" i="8"/>
  <c r="S480" i="8"/>
  <c r="T480" i="8"/>
  <c r="R481" i="8"/>
  <c r="S481" i="8"/>
  <c r="T481" i="8"/>
  <c r="R482" i="8"/>
  <c r="S482" i="8"/>
  <c r="T482" i="8"/>
  <c r="R483" i="8"/>
  <c r="S483" i="8"/>
  <c r="T483" i="8"/>
  <c r="R484" i="8"/>
  <c r="S484" i="8"/>
  <c r="T484" i="8"/>
  <c r="R485" i="8"/>
  <c r="S485" i="8"/>
  <c r="T485" i="8"/>
  <c r="R486" i="8"/>
  <c r="S486" i="8"/>
  <c r="T486" i="8"/>
  <c r="R487" i="8"/>
  <c r="S487" i="8"/>
  <c r="T487" i="8"/>
  <c r="R488" i="8"/>
  <c r="S488" i="8"/>
  <c r="T488" i="8"/>
  <c r="R489" i="8"/>
  <c r="S489" i="8"/>
  <c r="T489" i="8"/>
  <c r="R490" i="8"/>
  <c r="S490" i="8"/>
  <c r="T490" i="8"/>
  <c r="R491" i="8"/>
  <c r="S491" i="8"/>
  <c r="T491" i="8"/>
  <c r="R492" i="8"/>
  <c r="S492" i="8"/>
  <c r="T492" i="8"/>
  <c r="R493" i="8"/>
  <c r="S493" i="8"/>
  <c r="T493" i="8"/>
  <c r="R494" i="8"/>
  <c r="S494" i="8"/>
  <c r="T494" i="8"/>
  <c r="R495" i="8"/>
  <c r="S495" i="8"/>
  <c r="T495" i="8"/>
  <c r="R496" i="8"/>
  <c r="S496" i="8"/>
  <c r="T496" i="8"/>
  <c r="R497" i="8"/>
  <c r="S497" i="8"/>
  <c r="T497" i="8"/>
  <c r="R498" i="8"/>
  <c r="S498" i="8"/>
  <c r="T498" i="8"/>
  <c r="R499" i="8"/>
  <c r="S499" i="8"/>
  <c r="T499" i="8"/>
  <c r="R500" i="8"/>
  <c r="S500" i="8"/>
  <c r="T500" i="8"/>
  <c r="R501" i="8"/>
  <c r="S501" i="8"/>
  <c r="T501" i="8"/>
  <c r="R502" i="8"/>
  <c r="S502" i="8"/>
  <c r="T502" i="8"/>
  <c r="R503" i="8"/>
  <c r="S503" i="8"/>
  <c r="T503" i="8"/>
  <c r="R504" i="8"/>
  <c r="S504" i="8"/>
  <c r="T504" i="8"/>
  <c r="R505" i="8"/>
  <c r="S505" i="8"/>
  <c r="T505" i="8"/>
  <c r="R506" i="8"/>
  <c r="S506" i="8"/>
  <c r="T506" i="8"/>
  <c r="R507" i="8"/>
  <c r="S507" i="8"/>
  <c r="T507" i="8"/>
  <c r="R508" i="8"/>
  <c r="S508" i="8"/>
  <c r="T508" i="8"/>
  <c r="R509" i="8"/>
  <c r="S509" i="8"/>
  <c r="T509" i="8"/>
  <c r="R510" i="8"/>
  <c r="S510" i="8"/>
  <c r="T510" i="8"/>
  <c r="R511" i="8"/>
  <c r="S511" i="8"/>
  <c r="T511" i="8"/>
  <c r="R512" i="8"/>
  <c r="S512" i="8"/>
  <c r="T512" i="8"/>
  <c r="R513" i="8"/>
  <c r="S513" i="8"/>
  <c r="T513" i="8"/>
  <c r="R514" i="8"/>
  <c r="S514" i="8"/>
  <c r="T514" i="8"/>
  <c r="R515" i="8"/>
  <c r="S515" i="8"/>
  <c r="T515" i="8"/>
  <c r="R516" i="8"/>
  <c r="S516" i="8"/>
  <c r="T516" i="8"/>
  <c r="R517" i="8"/>
  <c r="S517" i="8"/>
  <c r="T517" i="8"/>
  <c r="R518" i="8"/>
  <c r="S518" i="8"/>
  <c r="T518" i="8"/>
  <c r="R519" i="8"/>
  <c r="S519" i="8"/>
  <c r="T519" i="8"/>
  <c r="R520" i="8"/>
  <c r="S520" i="8"/>
  <c r="T520" i="8"/>
  <c r="R521" i="8"/>
  <c r="S521" i="8"/>
  <c r="T521" i="8"/>
  <c r="R522" i="8"/>
  <c r="S522" i="8"/>
  <c r="T522" i="8"/>
  <c r="R523" i="8"/>
  <c r="S523" i="8"/>
  <c r="T523" i="8"/>
  <c r="R524" i="8"/>
  <c r="S524" i="8"/>
  <c r="T524" i="8"/>
  <c r="R525" i="8"/>
  <c r="S525" i="8"/>
  <c r="T525" i="8"/>
  <c r="R526" i="8"/>
  <c r="S526" i="8"/>
  <c r="T526" i="8"/>
  <c r="R527" i="8"/>
  <c r="S527" i="8"/>
  <c r="T527" i="8"/>
  <c r="R528" i="8"/>
  <c r="S528" i="8"/>
  <c r="T528" i="8"/>
  <c r="R529" i="8"/>
  <c r="S529" i="8"/>
  <c r="T529" i="8"/>
  <c r="R530" i="8"/>
  <c r="S530" i="8"/>
  <c r="T530" i="8"/>
  <c r="R531" i="8"/>
  <c r="S531" i="8"/>
  <c r="T531" i="8"/>
  <c r="R532" i="8"/>
  <c r="S532" i="8"/>
  <c r="T532" i="8"/>
  <c r="R533" i="8"/>
  <c r="S533" i="8"/>
  <c r="T533" i="8"/>
  <c r="R534" i="8"/>
  <c r="S534" i="8"/>
  <c r="T534" i="8"/>
  <c r="R535" i="8"/>
  <c r="S535" i="8"/>
  <c r="T535" i="8"/>
  <c r="R536" i="8"/>
  <c r="S536" i="8"/>
  <c r="T536" i="8"/>
  <c r="R537" i="8"/>
  <c r="S537" i="8"/>
  <c r="T537" i="8"/>
  <c r="R538" i="8"/>
  <c r="S538" i="8"/>
  <c r="T538" i="8"/>
  <c r="R539" i="8"/>
  <c r="S539" i="8"/>
  <c r="T539" i="8"/>
  <c r="R540" i="8"/>
  <c r="S540" i="8"/>
  <c r="T540" i="8"/>
  <c r="R541" i="8"/>
  <c r="S541" i="8"/>
  <c r="T541" i="8"/>
  <c r="R542" i="8"/>
  <c r="S542" i="8"/>
  <c r="T542" i="8"/>
  <c r="R543" i="8"/>
  <c r="S543" i="8"/>
  <c r="T543" i="8"/>
  <c r="R544" i="8"/>
  <c r="S544" i="8"/>
  <c r="T544" i="8"/>
  <c r="R545" i="8"/>
  <c r="S545" i="8"/>
  <c r="T545" i="8"/>
  <c r="R546" i="8"/>
  <c r="S546" i="8"/>
  <c r="T546" i="8"/>
  <c r="R547" i="8"/>
  <c r="S547" i="8"/>
  <c r="T547" i="8"/>
  <c r="R548" i="8"/>
  <c r="S548" i="8"/>
  <c r="T548" i="8"/>
  <c r="R549" i="8"/>
  <c r="S549" i="8"/>
  <c r="T549" i="8"/>
  <c r="R550" i="8"/>
  <c r="S550" i="8"/>
  <c r="T550" i="8"/>
  <c r="R551" i="8"/>
  <c r="S551" i="8"/>
  <c r="T551" i="8"/>
  <c r="R552" i="8"/>
  <c r="S552" i="8"/>
  <c r="T552" i="8"/>
  <c r="R553" i="8"/>
  <c r="S553" i="8"/>
  <c r="T553" i="8"/>
  <c r="R554" i="8"/>
  <c r="S554" i="8"/>
  <c r="T554" i="8"/>
  <c r="R555" i="8"/>
  <c r="S555" i="8"/>
  <c r="T555" i="8"/>
  <c r="R556" i="8"/>
  <c r="S556" i="8"/>
  <c r="T556" i="8"/>
  <c r="R557" i="8"/>
  <c r="S557" i="8"/>
  <c r="T557" i="8"/>
  <c r="R558" i="8"/>
  <c r="S558" i="8"/>
  <c r="T558" i="8"/>
  <c r="R559" i="8"/>
  <c r="S559" i="8"/>
  <c r="T559" i="8"/>
  <c r="R560" i="8"/>
  <c r="S560" i="8"/>
  <c r="T560" i="8"/>
  <c r="R561" i="8"/>
  <c r="S561" i="8"/>
  <c r="T561" i="8"/>
  <c r="R562" i="8"/>
  <c r="S562" i="8"/>
  <c r="T562" i="8"/>
  <c r="R563" i="8"/>
  <c r="S563" i="8"/>
  <c r="T563" i="8"/>
  <c r="R564" i="8"/>
  <c r="S564" i="8"/>
  <c r="T564" i="8"/>
  <c r="R565" i="8"/>
  <c r="S565" i="8"/>
  <c r="T565" i="8"/>
  <c r="R566" i="8"/>
  <c r="S566" i="8"/>
  <c r="T566" i="8"/>
  <c r="R567" i="8"/>
  <c r="S567" i="8"/>
  <c r="T567" i="8"/>
  <c r="R568" i="8"/>
  <c r="S568" i="8"/>
  <c r="T568" i="8"/>
  <c r="R569" i="8"/>
  <c r="S569" i="8"/>
  <c r="T569" i="8"/>
  <c r="R570" i="8"/>
  <c r="S570" i="8"/>
  <c r="T570" i="8"/>
  <c r="R571" i="8"/>
  <c r="S571" i="8"/>
  <c r="T571" i="8"/>
  <c r="R572" i="8"/>
  <c r="S572" i="8"/>
  <c r="T572" i="8"/>
  <c r="R573" i="8"/>
  <c r="S573" i="8"/>
  <c r="T573" i="8"/>
  <c r="R574" i="8"/>
  <c r="S574" i="8"/>
  <c r="T574" i="8"/>
  <c r="R575" i="8"/>
  <c r="S575" i="8"/>
  <c r="T575" i="8"/>
  <c r="R576" i="8"/>
  <c r="S576" i="8"/>
  <c r="T576" i="8"/>
  <c r="R577" i="8"/>
  <c r="S577" i="8"/>
  <c r="T577" i="8"/>
  <c r="R578" i="8"/>
  <c r="S578" i="8"/>
  <c r="T578" i="8"/>
  <c r="R579" i="8"/>
  <c r="S579" i="8"/>
  <c r="T579" i="8"/>
  <c r="R580" i="8"/>
  <c r="S580" i="8"/>
  <c r="T580" i="8"/>
  <c r="R581" i="8"/>
  <c r="S581" i="8"/>
  <c r="T581" i="8"/>
  <c r="R582" i="8"/>
  <c r="S582" i="8"/>
  <c r="T582" i="8"/>
  <c r="R583" i="8"/>
  <c r="S583" i="8"/>
  <c r="T583" i="8"/>
  <c r="R584" i="8"/>
  <c r="S584" i="8"/>
  <c r="T584" i="8"/>
  <c r="R585" i="8"/>
  <c r="S585" i="8"/>
  <c r="T585" i="8"/>
  <c r="R586" i="8"/>
  <c r="S586" i="8"/>
  <c r="T586" i="8"/>
  <c r="R587" i="8"/>
  <c r="S587" i="8"/>
  <c r="T587" i="8"/>
  <c r="R588" i="8"/>
  <c r="S588" i="8"/>
  <c r="T588" i="8"/>
  <c r="R589" i="8"/>
  <c r="S589" i="8"/>
  <c r="T589" i="8"/>
  <c r="R590" i="8"/>
  <c r="S590" i="8"/>
  <c r="T590" i="8"/>
  <c r="R591" i="8"/>
  <c r="S591" i="8"/>
  <c r="T591" i="8"/>
  <c r="R592" i="8"/>
  <c r="S592" i="8"/>
  <c r="T592" i="8"/>
  <c r="R593" i="8"/>
  <c r="S593" i="8"/>
  <c r="T593" i="8"/>
  <c r="R594" i="8"/>
  <c r="S594" i="8"/>
  <c r="T594" i="8"/>
  <c r="R595" i="8"/>
  <c r="S595" i="8"/>
  <c r="T595" i="8"/>
  <c r="R596" i="8"/>
  <c r="S596" i="8"/>
  <c r="T596" i="8"/>
  <c r="R597" i="8"/>
  <c r="S597" i="8"/>
  <c r="T597" i="8"/>
  <c r="R598" i="8"/>
  <c r="S598" i="8"/>
  <c r="T598" i="8"/>
  <c r="R599" i="8"/>
  <c r="S599" i="8"/>
  <c r="T599" i="8"/>
  <c r="R600" i="8"/>
  <c r="S600" i="8"/>
  <c r="T600" i="8"/>
  <c r="R601" i="8"/>
  <c r="S601" i="8"/>
  <c r="T601" i="8"/>
  <c r="R602" i="8"/>
  <c r="S602" i="8"/>
  <c r="T602" i="8"/>
  <c r="R603" i="8"/>
  <c r="S603" i="8"/>
  <c r="T603" i="8"/>
  <c r="R604" i="8"/>
  <c r="S604" i="8"/>
  <c r="T604" i="8"/>
  <c r="R605" i="8"/>
  <c r="S605" i="8"/>
  <c r="T605" i="8"/>
  <c r="R606" i="8"/>
  <c r="S606" i="8"/>
  <c r="T606" i="8"/>
  <c r="R607" i="8"/>
  <c r="S607" i="8"/>
  <c r="T607" i="8"/>
  <c r="R608" i="8"/>
  <c r="S608" i="8"/>
  <c r="T608" i="8"/>
  <c r="R609" i="8"/>
  <c r="S609" i="8"/>
  <c r="T609" i="8"/>
  <c r="R610" i="8"/>
  <c r="S610" i="8"/>
  <c r="T610" i="8"/>
  <c r="R611" i="8"/>
  <c r="S611" i="8"/>
  <c r="T611" i="8"/>
  <c r="R612" i="8"/>
  <c r="S612" i="8"/>
  <c r="T612" i="8"/>
  <c r="R613" i="8"/>
  <c r="S613" i="8"/>
  <c r="T613" i="8"/>
  <c r="R614" i="8"/>
  <c r="S614" i="8"/>
  <c r="T614" i="8"/>
  <c r="R615" i="8"/>
  <c r="S615" i="8"/>
  <c r="T615" i="8"/>
  <c r="R616" i="8"/>
  <c r="S616" i="8"/>
  <c r="T616" i="8"/>
  <c r="R617" i="8"/>
  <c r="S617" i="8"/>
  <c r="T617" i="8"/>
  <c r="R618" i="8"/>
  <c r="S618" i="8"/>
  <c r="T618" i="8"/>
  <c r="R619" i="8"/>
  <c r="S619" i="8"/>
  <c r="T619" i="8"/>
  <c r="R620" i="8"/>
  <c r="S620" i="8"/>
  <c r="T620" i="8"/>
  <c r="R621" i="8"/>
  <c r="S621" i="8"/>
  <c r="T621" i="8"/>
  <c r="R622" i="8"/>
  <c r="S622" i="8"/>
  <c r="T622" i="8"/>
  <c r="R623" i="8"/>
  <c r="S623" i="8"/>
  <c r="T623" i="8"/>
  <c r="R624" i="8"/>
  <c r="S624" i="8"/>
  <c r="T624" i="8"/>
  <c r="R625" i="8"/>
  <c r="S625" i="8"/>
  <c r="T625" i="8"/>
  <c r="R626" i="8"/>
  <c r="S626" i="8"/>
  <c r="T626" i="8"/>
  <c r="R627" i="8"/>
  <c r="S627" i="8"/>
  <c r="T627" i="8"/>
  <c r="R628" i="8"/>
  <c r="S628" i="8"/>
  <c r="T628" i="8"/>
  <c r="R629" i="8"/>
  <c r="S629" i="8"/>
  <c r="T629" i="8"/>
  <c r="R630" i="8"/>
  <c r="S630" i="8"/>
  <c r="T630" i="8"/>
  <c r="R631" i="8"/>
  <c r="S631" i="8"/>
  <c r="T631" i="8"/>
  <c r="R632" i="8"/>
  <c r="S632" i="8"/>
  <c r="T632" i="8"/>
  <c r="R633" i="8"/>
  <c r="S633" i="8"/>
  <c r="T633" i="8"/>
  <c r="R634" i="8"/>
  <c r="S634" i="8"/>
  <c r="T634" i="8"/>
  <c r="R635" i="8"/>
  <c r="S635" i="8"/>
  <c r="T635" i="8"/>
  <c r="R636" i="8"/>
  <c r="S636" i="8"/>
  <c r="T636" i="8"/>
  <c r="R637" i="8"/>
  <c r="S637" i="8"/>
  <c r="T637" i="8"/>
  <c r="R638" i="8"/>
  <c r="S638" i="8"/>
  <c r="T638" i="8"/>
  <c r="R639" i="8"/>
  <c r="S639" i="8"/>
  <c r="T639" i="8"/>
  <c r="R640" i="8"/>
  <c r="S640" i="8"/>
  <c r="T640" i="8"/>
  <c r="R641" i="8"/>
  <c r="S641" i="8"/>
  <c r="T641" i="8"/>
  <c r="R642" i="8"/>
  <c r="S642" i="8"/>
  <c r="T642" i="8"/>
  <c r="R643" i="8"/>
  <c r="S643" i="8"/>
  <c r="T643" i="8"/>
  <c r="R644" i="8"/>
  <c r="S644" i="8"/>
  <c r="T644" i="8"/>
  <c r="R645" i="8"/>
  <c r="S645" i="8"/>
  <c r="T645" i="8"/>
  <c r="R646" i="8"/>
  <c r="S646" i="8"/>
  <c r="T646" i="8"/>
  <c r="R647" i="8"/>
  <c r="S647" i="8"/>
  <c r="T647" i="8"/>
  <c r="R648" i="8"/>
  <c r="S648" i="8"/>
  <c r="T648" i="8"/>
  <c r="R649" i="8"/>
  <c r="S649" i="8"/>
  <c r="T649" i="8"/>
  <c r="R650" i="8"/>
  <c r="S650" i="8"/>
  <c r="T650" i="8"/>
  <c r="R651" i="8"/>
  <c r="S651" i="8"/>
  <c r="T651" i="8"/>
  <c r="R652" i="8"/>
  <c r="S652" i="8"/>
  <c r="T652" i="8"/>
  <c r="R653" i="8"/>
  <c r="S653" i="8"/>
  <c r="T653" i="8"/>
  <c r="R654" i="8"/>
  <c r="S654" i="8"/>
  <c r="T654" i="8"/>
  <c r="R655" i="8"/>
  <c r="S655" i="8"/>
  <c r="T655" i="8"/>
  <c r="R656" i="8"/>
  <c r="S656" i="8"/>
  <c r="T656" i="8"/>
  <c r="R657" i="8"/>
  <c r="S657" i="8"/>
  <c r="T657" i="8"/>
  <c r="R658" i="8"/>
  <c r="S658" i="8"/>
  <c r="T658" i="8"/>
  <c r="R659" i="8"/>
  <c r="S659" i="8"/>
  <c r="T659" i="8"/>
  <c r="R660" i="8"/>
  <c r="S660" i="8"/>
  <c r="T660" i="8"/>
  <c r="R661" i="8"/>
  <c r="S661" i="8"/>
  <c r="T661" i="8"/>
  <c r="R662" i="8"/>
  <c r="S662" i="8"/>
  <c r="T662" i="8"/>
  <c r="R663" i="8"/>
  <c r="S663" i="8"/>
  <c r="T663" i="8"/>
  <c r="R664" i="8"/>
  <c r="S664" i="8"/>
  <c r="T664" i="8"/>
  <c r="R665" i="8"/>
  <c r="S665" i="8"/>
  <c r="T665" i="8"/>
  <c r="R666" i="8"/>
  <c r="S666" i="8"/>
  <c r="T666" i="8"/>
  <c r="R667" i="8"/>
  <c r="S667" i="8"/>
  <c r="T667" i="8"/>
  <c r="R668" i="8"/>
  <c r="S668" i="8"/>
  <c r="T668" i="8"/>
  <c r="R669" i="8"/>
  <c r="S669" i="8"/>
  <c r="T669" i="8"/>
  <c r="R670" i="8"/>
  <c r="S670" i="8"/>
  <c r="T670" i="8"/>
  <c r="R671" i="8"/>
  <c r="S671" i="8"/>
  <c r="T671" i="8"/>
  <c r="R672" i="8"/>
  <c r="S672" i="8"/>
  <c r="T672" i="8"/>
  <c r="R673" i="8"/>
  <c r="S673" i="8"/>
  <c r="T673" i="8"/>
  <c r="R674" i="8"/>
  <c r="S674" i="8"/>
  <c r="T674" i="8"/>
  <c r="R675" i="8"/>
  <c r="S675" i="8"/>
  <c r="T675" i="8"/>
  <c r="R676" i="8"/>
  <c r="S676" i="8"/>
  <c r="T676" i="8"/>
  <c r="R677" i="8"/>
  <c r="S677" i="8"/>
  <c r="T677" i="8"/>
  <c r="R678" i="8"/>
  <c r="S678" i="8"/>
  <c r="T678" i="8"/>
  <c r="R679" i="8"/>
  <c r="S679" i="8"/>
  <c r="T679" i="8"/>
  <c r="R680" i="8"/>
  <c r="S680" i="8"/>
  <c r="T680" i="8"/>
  <c r="R681" i="8"/>
  <c r="S681" i="8"/>
  <c r="T681" i="8"/>
  <c r="R682" i="8"/>
  <c r="S682" i="8"/>
  <c r="T682" i="8"/>
  <c r="R683" i="8"/>
  <c r="S683" i="8"/>
  <c r="T683" i="8"/>
  <c r="R684" i="8"/>
  <c r="S684" i="8"/>
  <c r="T684" i="8"/>
  <c r="R685" i="8"/>
  <c r="S685" i="8"/>
  <c r="T685" i="8"/>
  <c r="R686" i="8"/>
  <c r="S686" i="8"/>
  <c r="T686" i="8"/>
  <c r="R687" i="8"/>
  <c r="S687" i="8"/>
  <c r="T687" i="8"/>
  <c r="R688" i="8"/>
  <c r="S688" i="8"/>
  <c r="T688" i="8"/>
  <c r="R689" i="8"/>
  <c r="S689" i="8"/>
  <c r="T689" i="8"/>
  <c r="R690" i="8"/>
  <c r="S690" i="8"/>
  <c r="T690" i="8"/>
  <c r="R691" i="8"/>
  <c r="S691" i="8"/>
  <c r="T691" i="8"/>
  <c r="R692" i="8"/>
  <c r="S692" i="8"/>
  <c r="T692" i="8"/>
  <c r="R693" i="8"/>
  <c r="S693" i="8"/>
  <c r="T693" i="8"/>
  <c r="R694" i="8"/>
  <c r="S694" i="8"/>
  <c r="T694" i="8"/>
  <c r="R695" i="8"/>
  <c r="S695" i="8"/>
  <c r="T695" i="8"/>
  <c r="R696" i="8"/>
  <c r="S696" i="8"/>
  <c r="T696" i="8"/>
  <c r="R697" i="8"/>
  <c r="S697" i="8"/>
  <c r="T697" i="8"/>
  <c r="R698" i="8"/>
  <c r="S698" i="8"/>
  <c r="T698" i="8"/>
  <c r="R699" i="8"/>
  <c r="S699" i="8"/>
  <c r="T699" i="8"/>
  <c r="R700" i="8"/>
  <c r="S700" i="8"/>
  <c r="T700" i="8"/>
  <c r="R701" i="8"/>
  <c r="S701" i="8"/>
  <c r="T701" i="8"/>
  <c r="R702" i="8"/>
  <c r="S702" i="8"/>
  <c r="T702" i="8"/>
  <c r="R703" i="8"/>
  <c r="S703" i="8"/>
  <c r="T703" i="8"/>
  <c r="R704" i="8"/>
  <c r="S704" i="8"/>
  <c r="T704" i="8"/>
  <c r="R705" i="8"/>
  <c r="S705" i="8"/>
  <c r="T705" i="8"/>
  <c r="R706" i="8"/>
  <c r="S706" i="8"/>
  <c r="T706" i="8"/>
  <c r="R707" i="8"/>
  <c r="S707" i="8"/>
  <c r="T707" i="8"/>
  <c r="R708" i="8"/>
  <c r="S708" i="8"/>
  <c r="T708" i="8"/>
  <c r="R709" i="8"/>
  <c r="S709" i="8"/>
  <c r="T709" i="8"/>
  <c r="R710" i="8"/>
  <c r="S710" i="8"/>
  <c r="T710" i="8"/>
  <c r="R711" i="8"/>
  <c r="S711" i="8"/>
  <c r="T711" i="8"/>
  <c r="R712" i="8"/>
  <c r="S712" i="8"/>
  <c r="T712" i="8"/>
  <c r="R713" i="8"/>
  <c r="S713" i="8"/>
  <c r="T713" i="8"/>
  <c r="R714" i="8"/>
  <c r="S714" i="8"/>
  <c r="T714" i="8"/>
  <c r="R715" i="8"/>
  <c r="S715" i="8"/>
  <c r="T715" i="8"/>
  <c r="R716" i="8"/>
  <c r="S716" i="8"/>
  <c r="T716" i="8"/>
  <c r="R717" i="8"/>
  <c r="S717" i="8"/>
  <c r="T717" i="8"/>
  <c r="R718" i="8"/>
  <c r="S718" i="8"/>
  <c r="T718" i="8"/>
  <c r="R719" i="8"/>
  <c r="S719" i="8"/>
  <c r="T719" i="8"/>
  <c r="R720" i="8"/>
  <c r="S720" i="8"/>
  <c r="T720" i="8"/>
  <c r="R721" i="8"/>
  <c r="S721" i="8"/>
  <c r="T721" i="8"/>
  <c r="R722" i="8"/>
  <c r="S722" i="8"/>
  <c r="T722" i="8"/>
  <c r="R723" i="8"/>
  <c r="S723" i="8"/>
  <c r="T723" i="8"/>
  <c r="R724" i="8"/>
  <c r="S724" i="8"/>
  <c r="T724" i="8"/>
  <c r="R725" i="8"/>
  <c r="S725" i="8"/>
  <c r="T725" i="8"/>
  <c r="R726" i="8"/>
  <c r="S726" i="8"/>
  <c r="T726" i="8"/>
  <c r="R727" i="8"/>
  <c r="S727" i="8"/>
  <c r="T727" i="8"/>
  <c r="R728" i="8"/>
  <c r="S728" i="8"/>
  <c r="T728" i="8"/>
  <c r="R729" i="8"/>
  <c r="S729" i="8"/>
  <c r="T729" i="8"/>
  <c r="R730" i="8"/>
  <c r="S730" i="8"/>
  <c r="T730" i="8"/>
  <c r="R731" i="8"/>
  <c r="S731" i="8"/>
  <c r="T731" i="8"/>
  <c r="R732" i="8"/>
  <c r="S732" i="8"/>
  <c r="T732" i="8"/>
  <c r="R733" i="8"/>
  <c r="S733" i="8"/>
  <c r="T733" i="8"/>
  <c r="R734" i="8"/>
  <c r="S734" i="8"/>
  <c r="T734" i="8"/>
  <c r="R735" i="8"/>
  <c r="S735" i="8"/>
  <c r="T735" i="8"/>
  <c r="R736" i="8"/>
  <c r="S736" i="8"/>
  <c r="T736" i="8"/>
  <c r="R737" i="8"/>
  <c r="S737" i="8"/>
  <c r="T737" i="8"/>
  <c r="R738" i="8"/>
  <c r="S738" i="8"/>
  <c r="T738" i="8"/>
  <c r="R739" i="8"/>
  <c r="S739" i="8"/>
  <c r="T739" i="8"/>
  <c r="R740" i="8"/>
  <c r="S740" i="8"/>
  <c r="T740" i="8"/>
  <c r="R741" i="8"/>
  <c r="S741" i="8"/>
  <c r="T741" i="8"/>
  <c r="R742" i="8"/>
  <c r="S742" i="8"/>
  <c r="T742" i="8"/>
  <c r="R743" i="8"/>
  <c r="S743" i="8"/>
  <c r="T743" i="8"/>
  <c r="R744" i="8"/>
  <c r="S744" i="8"/>
  <c r="T744" i="8"/>
  <c r="R745" i="8"/>
  <c r="S745" i="8"/>
  <c r="T745" i="8"/>
  <c r="R746" i="8"/>
  <c r="S746" i="8"/>
  <c r="T746" i="8"/>
  <c r="R747" i="8"/>
  <c r="S747" i="8"/>
  <c r="T747" i="8"/>
  <c r="R748" i="8"/>
  <c r="S748" i="8"/>
  <c r="T748" i="8"/>
  <c r="R749" i="8"/>
  <c r="S749" i="8"/>
  <c r="T749" i="8"/>
  <c r="R750" i="8"/>
  <c r="S750" i="8"/>
  <c r="T750" i="8"/>
  <c r="R751" i="8"/>
  <c r="S751" i="8"/>
  <c r="T751" i="8"/>
  <c r="R752" i="8"/>
  <c r="S752" i="8"/>
  <c r="T752" i="8"/>
  <c r="R753" i="8"/>
  <c r="S753" i="8"/>
  <c r="T753" i="8"/>
  <c r="R754" i="8"/>
  <c r="S754" i="8"/>
  <c r="T754" i="8"/>
  <c r="R755" i="8"/>
  <c r="S755" i="8"/>
  <c r="T755" i="8"/>
  <c r="R756" i="8"/>
  <c r="S756" i="8"/>
  <c r="T756" i="8"/>
  <c r="R757" i="8"/>
  <c r="S757" i="8"/>
  <c r="T757" i="8"/>
  <c r="R758" i="8"/>
  <c r="S758" i="8"/>
  <c r="T758" i="8"/>
  <c r="R759" i="8"/>
  <c r="S759" i="8"/>
  <c r="T759" i="8"/>
  <c r="R760" i="8"/>
  <c r="S760" i="8"/>
  <c r="T760" i="8"/>
  <c r="R761" i="8"/>
  <c r="S761" i="8"/>
  <c r="T761" i="8"/>
  <c r="R762" i="8"/>
  <c r="S762" i="8"/>
  <c r="T762" i="8"/>
  <c r="R763" i="8"/>
  <c r="S763" i="8"/>
  <c r="T763" i="8"/>
  <c r="R764" i="8"/>
  <c r="S764" i="8"/>
  <c r="T764" i="8"/>
  <c r="R765" i="8"/>
  <c r="S765" i="8"/>
  <c r="T765" i="8"/>
  <c r="R766" i="8"/>
  <c r="S766" i="8"/>
  <c r="T766" i="8"/>
  <c r="R767" i="8"/>
  <c r="S767" i="8"/>
  <c r="T767" i="8"/>
  <c r="R768" i="8"/>
  <c r="S768" i="8"/>
  <c r="T768" i="8"/>
  <c r="R769" i="8"/>
  <c r="S769" i="8"/>
  <c r="T769" i="8"/>
  <c r="R770" i="8"/>
  <c r="S770" i="8"/>
  <c r="T770" i="8"/>
  <c r="R771" i="8"/>
  <c r="S771" i="8"/>
  <c r="T771" i="8"/>
  <c r="R772" i="8"/>
  <c r="S772" i="8"/>
  <c r="T772" i="8"/>
  <c r="R773" i="8"/>
  <c r="S773" i="8"/>
  <c r="T773" i="8"/>
  <c r="R774" i="8"/>
  <c r="S774" i="8"/>
  <c r="T774" i="8"/>
  <c r="R775" i="8"/>
  <c r="S775" i="8"/>
  <c r="T775" i="8"/>
  <c r="R776" i="8"/>
  <c r="S776" i="8"/>
  <c r="T776" i="8"/>
  <c r="R777" i="8"/>
  <c r="S777" i="8"/>
  <c r="T777" i="8"/>
  <c r="R778" i="8"/>
  <c r="S778" i="8"/>
  <c r="T778" i="8"/>
  <c r="R779" i="8"/>
  <c r="S779" i="8"/>
  <c r="T779" i="8"/>
  <c r="R780" i="8"/>
  <c r="S780" i="8"/>
  <c r="T780" i="8"/>
  <c r="R781" i="8"/>
  <c r="S781" i="8"/>
  <c r="T781" i="8"/>
  <c r="R782" i="8"/>
  <c r="S782" i="8"/>
  <c r="T782" i="8"/>
  <c r="R783" i="8"/>
  <c r="S783" i="8"/>
  <c r="T783" i="8"/>
  <c r="R784" i="8"/>
  <c r="S784" i="8"/>
  <c r="T784" i="8"/>
  <c r="R785" i="8"/>
  <c r="S785" i="8"/>
  <c r="T785" i="8"/>
  <c r="R786" i="8"/>
  <c r="S786" i="8"/>
  <c r="T786" i="8"/>
  <c r="R787" i="8"/>
  <c r="S787" i="8"/>
  <c r="T787" i="8"/>
  <c r="R788" i="8"/>
  <c r="S788" i="8"/>
  <c r="T788" i="8"/>
  <c r="R789" i="8"/>
  <c r="S789" i="8"/>
  <c r="T789" i="8"/>
  <c r="R790" i="8"/>
  <c r="S790" i="8"/>
  <c r="T790" i="8"/>
  <c r="R791" i="8"/>
  <c r="S791" i="8"/>
  <c r="T791" i="8"/>
  <c r="R792" i="8"/>
  <c r="S792" i="8"/>
  <c r="T792" i="8"/>
  <c r="R793" i="8"/>
  <c r="S793" i="8"/>
  <c r="T793" i="8"/>
  <c r="R794" i="8"/>
  <c r="S794" i="8"/>
  <c r="T794" i="8"/>
  <c r="R795" i="8"/>
  <c r="S795" i="8"/>
  <c r="T795" i="8"/>
  <c r="R796" i="8"/>
  <c r="S796" i="8"/>
  <c r="T796" i="8"/>
  <c r="R797" i="8"/>
  <c r="S797" i="8"/>
  <c r="T797" i="8"/>
  <c r="R798" i="8"/>
  <c r="S798" i="8"/>
  <c r="T798" i="8"/>
  <c r="R799" i="8"/>
  <c r="S799" i="8"/>
  <c r="T799" i="8"/>
  <c r="R800" i="8"/>
  <c r="S800" i="8"/>
  <c r="T800" i="8"/>
  <c r="R801" i="8"/>
  <c r="S801" i="8"/>
  <c r="T801" i="8"/>
  <c r="R802" i="8"/>
  <c r="S802" i="8"/>
  <c r="T802" i="8"/>
  <c r="R803" i="8"/>
  <c r="S803" i="8"/>
  <c r="T803" i="8"/>
  <c r="R804" i="8"/>
  <c r="S804" i="8"/>
  <c r="T804" i="8"/>
  <c r="R805" i="8"/>
  <c r="S805" i="8"/>
  <c r="T805" i="8"/>
  <c r="R806" i="8"/>
  <c r="S806" i="8"/>
  <c r="T806" i="8"/>
  <c r="R807" i="8"/>
  <c r="S807" i="8"/>
  <c r="T807" i="8"/>
  <c r="R808" i="8"/>
  <c r="S808" i="8"/>
  <c r="T808" i="8"/>
  <c r="R809" i="8"/>
  <c r="S809" i="8"/>
  <c r="T809" i="8"/>
  <c r="R810" i="8"/>
  <c r="S810" i="8"/>
  <c r="T810" i="8"/>
  <c r="R811" i="8"/>
  <c r="S811" i="8"/>
  <c r="T811" i="8"/>
  <c r="R812" i="8"/>
  <c r="S812" i="8"/>
  <c r="T812" i="8"/>
  <c r="R813" i="8"/>
  <c r="S813" i="8"/>
  <c r="T813" i="8"/>
  <c r="R814" i="8"/>
  <c r="S814" i="8"/>
  <c r="T814" i="8"/>
  <c r="R815" i="8"/>
  <c r="S815" i="8"/>
  <c r="T815" i="8"/>
  <c r="R816" i="8"/>
  <c r="S816" i="8"/>
  <c r="T816" i="8"/>
  <c r="R817" i="8"/>
  <c r="S817" i="8"/>
  <c r="T817" i="8"/>
  <c r="R818" i="8"/>
  <c r="S818" i="8"/>
  <c r="T818" i="8"/>
  <c r="R819" i="8"/>
  <c r="S819" i="8"/>
  <c r="T819" i="8"/>
  <c r="R820" i="8"/>
  <c r="S820" i="8"/>
  <c r="T820" i="8"/>
  <c r="R821" i="8"/>
  <c r="S821" i="8"/>
  <c r="T821" i="8"/>
  <c r="R822" i="8"/>
  <c r="S822" i="8"/>
  <c r="T822" i="8"/>
  <c r="R823" i="8"/>
  <c r="S823" i="8"/>
  <c r="T823" i="8"/>
  <c r="R824" i="8"/>
  <c r="S824" i="8"/>
  <c r="T824" i="8"/>
  <c r="R825" i="8"/>
  <c r="S825" i="8"/>
  <c r="T825" i="8"/>
  <c r="R826" i="8"/>
  <c r="S826" i="8"/>
  <c r="T826" i="8"/>
  <c r="R827" i="8"/>
  <c r="S827" i="8"/>
  <c r="T827" i="8"/>
  <c r="R828" i="8"/>
  <c r="S828" i="8"/>
  <c r="T828" i="8"/>
  <c r="R829" i="8"/>
  <c r="S829" i="8"/>
  <c r="T829" i="8"/>
  <c r="R830" i="8"/>
  <c r="S830" i="8"/>
  <c r="T830" i="8"/>
  <c r="R831" i="8"/>
  <c r="S831" i="8"/>
  <c r="T831" i="8"/>
  <c r="R832" i="8"/>
  <c r="S832" i="8"/>
  <c r="T832" i="8"/>
  <c r="R833" i="8"/>
  <c r="S833" i="8"/>
  <c r="T833" i="8"/>
  <c r="R834" i="8"/>
  <c r="S834" i="8"/>
  <c r="T834" i="8"/>
  <c r="R835" i="8"/>
  <c r="S835" i="8"/>
  <c r="T835" i="8"/>
  <c r="R836" i="8"/>
  <c r="S836" i="8"/>
  <c r="T836" i="8"/>
  <c r="R837" i="8"/>
  <c r="S837" i="8"/>
  <c r="T837" i="8"/>
  <c r="R838" i="8"/>
  <c r="S838" i="8"/>
  <c r="T838" i="8"/>
  <c r="R839" i="8"/>
  <c r="S839" i="8"/>
  <c r="T839" i="8"/>
  <c r="R840" i="8"/>
  <c r="S840" i="8"/>
  <c r="T840" i="8"/>
  <c r="R841" i="8"/>
  <c r="S841" i="8"/>
  <c r="T841" i="8"/>
  <c r="R842" i="8"/>
  <c r="S842" i="8"/>
  <c r="T842" i="8"/>
  <c r="R843" i="8"/>
  <c r="S843" i="8"/>
  <c r="T843" i="8"/>
  <c r="R844" i="8"/>
  <c r="S844" i="8"/>
  <c r="T844" i="8"/>
  <c r="R845" i="8"/>
  <c r="S845" i="8"/>
  <c r="T845" i="8"/>
  <c r="R846" i="8"/>
  <c r="S846" i="8"/>
  <c r="T846" i="8"/>
  <c r="R847" i="8"/>
  <c r="S847" i="8"/>
  <c r="T847" i="8"/>
  <c r="R848" i="8"/>
  <c r="S848" i="8"/>
  <c r="T848" i="8"/>
  <c r="R849" i="8"/>
  <c r="S849" i="8"/>
  <c r="T849" i="8"/>
  <c r="R850" i="8"/>
  <c r="S850" i="8"/>
  <c r="T850" i="8"/>
  <c r="R851" i="8"/>
  <c r="S851" i="8"/>
  <c r="T851" i="8"/>
  <c r="R852" i="8"/>
  <c r="S852" i="8"/>
  <c r="T852" i="8"/>
  <c r="R853" i="8"/>
  <c r="S853" i="8"/>
  <c r="T853" i="8"/>
  <c r="R854" i="8"/>
  <c r="S854" i="8"/>
  <c r="T854" i="8"/>
  <c r="R855" i="8"/>
  <c r="S855" i="8"/>
  <c r="T855" i="8"/>
  <c r="R856" i="8"/>
  <c r="S856" i="8"/>
  <c r="T856" i="8"/>
  <c r="R857" i="8"/>
  <c r="S857" i="8"/>
  <c r="T857" i="8"/>
  <c r="R858" i="8"/>
  <c r="S858" i="8"/>
  <c r="T858" i="8"/>
  <c r="R859" i="8"/>
  <c r="S859" i="8"/>
  <c r="T859" i="8"/>
  <c r="R860" i="8"/>
  <c r="S860" i="8"/>
  <c r="T860" i="8"/>
  <c r="R861" i="8"/>
  <c r="S861" i="8"/>
  <c r="T861" i="8"/>
  <c r="R862" i="8"/>
  <c r="S862" i="8"/>
  <c r="T862" i="8"/>
  <c r="R863" i="8"/>
  <c r="S863" i="8"/>
  <c r="T863" i="8"/>
  <c r="R864" i="8"/>
  <c r="S864" i="8"/>
  <c r="T864" i="8"/>
  <c r="R865" i="8"/>
  <c r="S865" i="8"/>
  <c r="T865" i="8"/>
  <c r="R866" i="8"/>
  <c r="S866" i="8"/>
  <c r="T866" i="8"/>
  <c r="R867" i="8"/>
  <c r="S867" i="8"/>
  <c r="T867" i="8"/>
  <c r="R868" i="8"/>
  <c r="S868" i="8"/>
  <c r="T868" i="8"/>
  <c r="R869" i="8"/>
  <c r="S869" i="8"/>
  <c r="T869" i="8"/>
  <c r="R870" i="8"/>
  <c r="S870" i="8"/>
  <c r="T870" i="8"/>
  <c r="R871" i="8"/>
  <c r="S871" i="8"/>
  <c r="T871" i="8"/>
  <c r="R872" i="8"/>
  <c r="S872" i="8"/>
  <c r="T872" i="8"/>
  <c r="R873" i="8"/>
  <c r="S873" i="8"/>
  <c r="T873" i="8"/>
  <c r="R874" i="8"/>
  <c r="S874" i="8"/>
  <c r="T874" i="8"/>
  <c r="R875" i="8"/>
  <c r="S875" i="8"/>
  <c r="T875" i="8"/>
  <c r="R876" i="8"/>
  <c r="S876" i="8"/>
  <c r="T876" i="8"/>
  <c r="R877" i="8"/>
  <c r="S877" i="8"/>
  <c r="T877" i="8"/>
  <c r="R878" i="8"/>
  <c r="S878" i="8"/>
  <c r="T878" i="8"/>
  <c r="R879" i="8"/>
  <c r="S879" i="8"/>
  <c r="T879" i="8"/>
  <c r="R880" i="8"/>
  <c r="S880" i="8"/>
  <c r="T880" i="8"/>
  <c r="R881" i="8"/>
  <c r="S881" i="8"/>
  <c r="T881" i="8"/>
  <c r="R882" i="8"/>
  <c r="S882" i="8"/>
  <c r="T882" i="8"/>
  <c r="R883" i="8"/>
  <c r="S883" i="8"/>
  <c r="T883" i="8"/>
  <c r="R884" i="8"/>
  <c r="S884" i="8"/>
  <c r="T884" i="8"/>
  <c r="R885" i="8"/>
  <c r="S885" i="8"/>
  <c r="T885" i="8"/>
  <c r="R886" i="8"/>
  <c r="S886" i="8"/>
  <c r="T886" i="8"/>
  <c r="R887" i="8"/>
  <c r="S887" i="8"/>
  <c r="T887" i="8"/>
  <c r="R888" i="8"/>
  <c r="S888" i="8"/>
  <c r="T888" i="8"/>
  <c r="R889" i="8"/>
  <c r="S889" i="8"/>
  <c r="T889" i="8"/>
  <c r="R890" i="8"/>
  <c r="S890" i="8"/>
  <c r="T890" i="8"/>
  <c r="R891" i="8"/>
  <c r="S891" i="8"/>
  <c r="T891" i="8"/>
  <c r="R892" i="8"/>
  <c r="S892" i="8"/>
  <c r="T892" i="8"/>
  <c r="R893" i="8"/>
  <c r="S893" i="8"/>
  <c r="T893" i="8"/>
  <c r="R894" i="8"/>
  <c r="S894" i="8"/>
  <c r="T894" i="8"/>
  <c r="R895" i="8"/>
  <c r="S895" i="8"/>
  <c r="T895" i="8"/>
  <c r="R896" i="8"/>
  <c r="S896" i="8"/>
  <c r="T896" i="8"/>
  <c r="R897" i="8"/>
  <c r="S897" i="8"/>
  <c r="T897" i="8"/>
  <c r="R898" i="8"/>
  <c r="S898" i="8"/>
  <c r="T898" i="8"/>
  <c r="R899" i="8"/>
  <c r="S899" i="8"/>
  <c r="T899" i="8"/>
  <c r="R900" i="8"/>
  <c r="S900" i="8"/>
  <c r="T900" i="8"/>
  <c r="R901" i="8"/>
  <c r="S901" i="8"/>
  <c r="T901" i="8"/>
  <c r="R902" i="8"/>
  <c r="S902" i="8"/>
  <c r="T902" i="8"/>
  <c r="R903" i="8"/>
  <c r="S903" i="8"/>
  <c r="T903" i="8"/>
  <c r="R904" i="8"/>
  <c r="S904" i="8"/>
  <c r="T904" i="8"/>
  <c r="R905" i="8"/>
  <c r="S905" i="8"/>
  <c r="T905" i="8"/>
  <c r="R906" i="8"/>
  <c r="S906" i="8"/>
  <c r="T906" i="8"/>
  <c r="R907" i="8"/>
  <c r="S907" i="8"/>
  <c r="T907" i="8"/>
  <c r="R908" i="8"/>
  <c r="S908" i="8"/>
  <c r="T908" i="8"/>
  <c r="R909" i="8"/>
  <c r="S909" i="8"/>
  <c r="T909" i="8"/>
  <c r="R910" i="8"/>
  <c r="S910" i="8"/>
  <c r="T910" i="8"/>
  <c r="R911" i="8"/>
  <c r="S911" i="8"/>
  <c r="T911" i="8"/>
  <c r="R912" i="8"/>
  <c r="S912" i="8"/>
  <c r="T912" i="8"/>
  <c r="R913" i="8"/>
  <c r="S913" i="8"/>
  <c r="T913" i="8"/>
  <c r="R914" i="8"/>
  <c r="S914" i="8"/>
  <c r="T914" i="8"/>
  <c r="R915" i="8"/>
  <c r="S915" i="8"/>
  <c r="T915" i="8"/>
  <c r="R916" i="8"/>
  <c r="S916" i="8"/>
  <c r="T916" i="8"/>
  <c r="R917" i="8"/>
  <c r="S917" i="8"/>
  <c r="T917" i="8"/>
  <c r="R918" i="8"/>
  <c r="S918" i="8"/>
  <c r="T918" i="8"/>
  <c r="R919" i="8"/>
  <c r="S919" i="8"/>
  <c r="T919" i="8"/>
  <c r="R920" i="8"/>
  <c r="S920" i="8"/>
  <c r="T920" i="8"/>
  <c r="R921" i="8"/>
  <c r="S921" i="8"/>
  <c r="T921" i="8"/>
  <c r="R922" i="8"/>
  <c r="S922" i="8"/>
  <c r="T922" i="8"/>
  <c r="R923" i="8"/>
  <c r="S923" i="8"/>
  <c r="T923" i="8"/>
  <c r="R924" i="8"/>
  <c r="S924" i="8"/>
  <c r="T924" i="8"/>
  <c r="R925" i="8"/>
  <c r="S925" i="8"/>
  <c r="T925" i="8"/>
  <c r="R926" i="8"/>
  <c r="S926" i="8"/>
  <c r="T926" i="8"/>
  <c r="R927" i="8"/>
  <c r="S927" i="8"/>
  <c r="T927" i="8"/>
  <c r="R928" i="8"/>
  <c r="S928" i="8"/>
  <c r="T928" i="8"/>
  <c r="R929" i="8"/>
  <c r="S929" i="8"/>
  <c r="T929" i="8"/>
  <c r="R930" i="8"/>
  <c r="S930" i="8"/>
  <c r="T930" i="8"/>
  <c r="R931" i="8"/>
  <c r="S931" i="8"/>
  <c r="T931" i="8"/>
  <c r="R932" i="8"/>
  <c r="S932" i="8"/>
  <c r="T932" i="8"/>
  <c r="R933" i="8"/>
  <c r="S933" i="8"/>
  <c r="T933" i="8"/>
  <c r="R934" i="8"/>
  <c r="S934" i="8"/>
  <c r="T934" i="8"/>
  <c r="R935" i="8"/>
  <c r="S935" i="8"/>
  <c r="T935" i="8"/>
  <c r="R936" i="8"/>
  <c r="S936" i="8"/>
  <c r="T936" i="8"/>
  <c r="R937" i="8"/>
  <c r="S937" i="8"/>
  <c r="T937" i="8"/>
  <c r="R938" i="8"/>
  <c r="S938" i="8"/>
  <c r="T938" i="8"/>
  <c r="R939" i="8"/>
  <c r="S939" i="8"/>
  <c r="T939" i="8"/>
  <c r="R940" i="8"/>
  <c r="S940" i="8"/>
  <c r="T940" i="8"/>
  <c r="R941" i="8"/>
  <c r="S941" i="8"/>
  <c r="T941" i="8"/>
  <c r="R942" i="8"/>
  <c r="S942" i="8"/>
  <c r="T942" i="8"/>
  <c r="R943" i="8"/>
  <c r="S943" i="8"/>
  <c r="T943" i="8"/>
  <c r="R944" i="8"/>
  <c r="S944" i="8"/>
  <c r="T944" i="8"/>
  <c r="R945" i="8"/>
  <c r="S945" i="8"/>
  <c r="T945" i="8"/>
  <c r="R946" i="8"/>
  <c r="S946" i="8"/>
  <c r="T946" i="8"/>
  <c r="R947" i="8"/>
  <c r="S947" i="8"/>
  <c r="T947" i="8"/>
  <c r="R948" i="8"/>
  <c r="S948" i="8"/>
  <c r="T948" i="8"/>
  <c r="R949" i="8"/>
  <c r="S949" i="8"/>
  <c r="T949" i="8"/>
  <c r="R950" i="8"/>
  <c r="S950" i="8"/>
  <c r="T950" i="8"/>
  <c r="R951" i="8"/>
  <c r="S951" i="8"/>
  <c r="T951" i="8"/>
  <c r="R952" i="8"/>
  <c r="S952" i="8"/>
  <c r="T952" i="8"/>
  <c r="R953" i="8"/>
  <c r="S953" i="8"/>
  <c r="T953" i="8"/>
  <c r="R954" i="8"/>
  <c r="S954" i="8"/>
  <c r="T954" i="8"/>
  <c r="R955" i="8"/>
  <c r="S955" i="8"/>
  <c r="T955" i="8"/>
  <c r="R956" i="8"/>
  <c r="S956" i="8"/>
  <c r="T956" i="8"/>
  <c r="R957" i="8"/>
  <c r="S957" i="8"/>
  <c r="T957" i="8"/>
  <c r="R958" i="8"/>
  <c r="S958" i="8"/>
  <c r="T958" i="8"/>
  <c r="R959" i="8"/>
  <c r="S959" i="8"/>
  <c r="T959" i="8"/>
  <c r="R960" i="8"/>
  <c r="S960" i="8"/>
  <c r="T960" i="8"/>
  <c r="R961" i="8"/>
  <c r="S961" i="8"/>
  <c r="T961" i="8"/>
  <c r="R962" i="8"/>
  <c r="S962" i="8"/>
  <c r="T962" i="8"/>
  <c r="R963" i="8"/>
  <c r="S963" i="8"/>
  <c r="T963" i="8"/>
  <c r="R964" i="8"/>
  <c r="S964" i="8"/>
  <c r="T964" i="8"/>
  <c r="R965" i="8"/>
  <c r="S965" i="8"/>
  <c r="T965" i="8"/>
  <c r="R966" i="8"/>
  <c r="S966" i="8"/>
  <c r="T966" i="8"/>
  <c r="R967" i="8"/>
  <c r="S967" i="8"/>
  <c r="T967" i="8"/>
  <c r="R968" i="8"/>
  <c r="S968" i="8"/>
  <c r="T968" i="8"/>
  <c r="R969" i="8"/>
  <c r="S969" i="8"/>
  <c r="T969" i="8"/>
  <c r="R970" i="8"/>
  <c r="S970" i="8"/>
  <c r="T970" i="8"/>
  <c r="R971" i="8"/>
  <c r="S971" i="8"/>
  <c r="T971" i="8"/>
  <c r="R972" i="8"/>
  <c r="S972" i="8"/>
  <c r="T972" i="8"/>
  <c r="R973" i="8"/>
  <c r="S973" i="8"/>
  <c r="T973" i="8"/>
  <c r="R974" i="8"/>
  <c r="S974" i="8"/>
  <c r="T974" i="8"/>
  <c r="R975" i="8"/>
  <c r="S975" i="8"/>
  <c r="T975" i="8"/>
  <c r="R976" i="8"/>
  <c r="S976" i="8"/>
  <c r="T976" i="8"/>
  <c r="R977" i="8"/>
  <c r="S977" i="8"/>
  <c r="T977" i="8"/>
  <c r="R978" i="8"/>
  <c r="S978" i="8"/>
  <c r="T978" i="8"/>
  <c r="R979" i="8"/>
  <c r="S979" i="8"/>
  <c r="T979" i="8"/>
  <c r="R980" i="8"/>
  <c r="S980" i="8"/>
  <c r="T980" i="8"/>
  <c r="R981" i="8"/>
  <c r="S981" i="8"/>
  <c r="T981" i="8"/>
  <c r="R982" i="8"/>
  <c r="S982" i="8"/>
  <c r="T982" i="8"/>
  <c r="R983" i="8"/>
  <c r="S983" i="8"/>
  <c r="T983" i="8"/>
  <c r="R984" i="8"/>
  <c r="S984" i="8"/>
  <c r="T984" i="8"/>
  <c r="R985" i="8"/>
  <c r="S985" i="8"/>
  <c r="T985" i="8"/>
  <c r="R986" i="8"/>
  <c r="S986" i="8"/>
  <c r="T986" i="8"/>
  <c r="R987" i="8"/>
  <c r="S987" i="8"/>
  <c r="T987" i="8"/>
  <c r="R988" i="8"/>
  <c r="S988" i="8"/>
  <c r="T988" i="8"/>
  <c r="R989" i="8"/>
  <c r="S989" i="8"/>
  <c r="T989" i="8"/>
  <c r="R990" i="8"/>
  <c r="S990" i="8"/>
  <c r="T990" i="8"/>
  <c r="R991" i="8"/>
  <c r="S991" i="8"/>
  <c r="T991" i="8"/>
  <c r="R992" i="8"/>
  <c r="S992" i="8"/>
  <c r="T992" i="8"/>
  <c r="R993" i="8"/>
  <c r="S993" i="8"/>
  <c r="T993" i="8"/>
  <c r="R994" i="8"/>
  <c r="S994" i="8"/>
  <c r="T994" i="8"/>
  <c r="R995" i="8"/>
  <c r="S995" i="8"/>
  <c r="T995" i="8"/>
  <c r="R996" i="8"/>
  <c r="S996" i="8"/>
  <c r="T996" i="8"/>
  <c r="R997" i="8"/>
  <c r="S997" i="8"/>
  <c r="T997" i="8"/>
  <c r="R998" i="8"/>
  <c r="S998" i="8"/>
  <c r="T998" i="8"/>
  <c r="R999" i="8"/>
  <c r="S999" i="8"/>
  <c r="T999" i="8"/>
  <c r="R1000" i="8"/>
  <c r="S1000" i="8"/>
  <c r="T1000" i="8"/>
  <c r="R1001" i="8"/>
  <c r="S1001" i="8"/>
  <c r="T1001" i="8"/>
  <c r="R1002" i="8"/>
  <c r="S1002" i="8"/>
  <c r="T1002" i="8"/>
  <c r="R1003" i="8"/>
  <c r="S1003" i="8"/>
  <c r="T1003" i="8"/>
  <c r="R1004" i="8"/>
  <c r="S1004" i="8"/>
  <c r="T1004" i="8"/>
  <c r="R1005" i="8"/>
  <c r="S1005" i="8"/>
  <c r="T1005" i="8"/>
  <c r="R1006" i="8"/>
  <c r="S1006" i="8"/>
  <c r="T1006" i="8"/>
  <c r="R1007" i="8"/>
  <c r="S1007" i="8"/>
  <c r="T1007" i="8"/>
  <c r="R1008" i="8"/>
  <c r="S1008" i="8"/>
  <c r="T1008" i="8"/>
  <c r="R1009" i="8"/>
  <c r="S1009" i="8"/>
  <c r="T1009" i="8"/>
  <c r="R1010" i="8"/>
  <c r="S1010" i="8"/>
  <c r="T1010" i="8"/>
  <c r="R1011" i="8"/>
  <c r="S1011" i="8"/>
  <c r="T1011" i="8"/>
  <c r="R1012" i="8"/>
  <c r="S1012" i="8"/>
  <c r="T1012" i="8"/>
  <c r="R1013" i="8"/>
  <c r="S1013" i="8"/>
  <c r="T1013" i="8"/>
  <c r="R1014" i="8"/>
  <c r="S1014" i="8"/>
  <c r="T1014" i="8"/>
  <c r="R1015" i="8"/>
  <c r="S1015" i="8"/>
  <c r="T1015" i="8"/>
  <c r="R1016" i="8"/>
  <c r="S1016" i="8"/>
  <c r="T1016" i="8"/>
  <c r="R1017" i="8"/>
  <c r="S1017" i="8"/>
  <c r="T1017" i="8"/>
  <c r="R1018" i="8"/>
  <c r="S1018" i="8"/>
  <c r="T1018" i="8"/>
  <c r="R1019" i="8"/>
  <c r="S1019" i="8"/>
  <c r="T1019" i="8"/>
  <c r="R1020" i="8"/>
  <c r="S1020" i="8"/>
  <c r="T1020" i="8"/>
  <c r="R1021" i="8"/>
  <c r="S1021" i="8"/>
  <c r="T1021" i="8"/>
  <c r="R1022" i="8"/>
  <c r="S1022" i="8"/>
  <c r="T1022" i="8"/>
  <c r="R1023" i="8"/>
  <c r="S1023" i="8"/>
  <c r="T1023" i="8"/>
  <c r="R1024" i="8"/>
  <c r="S1024" i="8"/>
  <c r="T1024" i="8"/>
  <c r="R1025" i="8"/>
  <c r="S1025" i="8"/>
  <c r="T1025" i="8"/>
  <c r="R1026" i="8"/>
  <c r="S1026" i="8"/>
  <c r="T1026" i="8"/>
  <c r="R1027" i="8"/>
  <c r="S1027" i="8"/>
  <c r="T1027" i="8"/>
  <c r="R1028" i="8"/>
  <c r="S1028" i="8"/>
  <c r="T1028" i="8"/>
  <c r="R1029" i="8"/>
  <c r="S1029" i="8"/>
  <c r="T1029" i="8"/>
  <c r="R1030" i="8"/>
  <c r="S1030" i="8"/>
  <c r="T1030" i="8"/>
  <c r="R1031" i="8"/>
  <c r="S1031" i="8"/>
  <c r="T1031" i="8"/>
  <c r="R1032" i="8"/>
  <c r="S1032" i="8"/>
  <c r="T1032" i="8"/>
  <c r="R1033" i="8"/>
  <c r="S1033" i="8"/>
  <c r="T1033" i="8"/>
  <c r="R1034" i="8"/>
  <c r="S1034" i="8"/>
  <c r="T1034" i="8"/>
  <c r="R1035" i="8"/>
  <c r="S1035" i="8"/>
  <c r="T1035" i="8"/>
  <c r="R1036" i="8"/>
  <c r="S1036" i="8"/>
  <c r="T1036" i="8"/>
  <c r="R1037" i="8"/>
  <c r="S1037" i="8"/>
  <c r="T1037" i="8"/>
  <c r="R1038" i="8"/>
  <c r="S1038" i="8"/>
  <c r="T1038" i="8"/>
  <c r="R1039" i="8"/>
  <c r="S1039" i="8"/>
  <c r="T1039" i="8"/>
  <c r="R1040" i="8"/>
  <c r="S1040" i="8"/>
  <c r="T1040" i="8"/>
  <c r="R1041" i="8"/>
  <c r="S1041" i="8"/>
  <c r="T1041" i="8"/>
  <c r="R1042" i="8"/>
  <c r="S1042" i="8"/>
  <c r="T1042" i="8"/>
  <c r="R1043" i="8"/>
  <c r="S1043" i="8"/>
  <c r="T1043" i="8"/>
  <c r="R1044" i="8"/>
  <c r="S1044" i="8"/>
  <c r="T1044" i="8"/>
  <c r="R1045" i="8"/>
  <c r="S1045" i="8"/>
  <c r="T1045" i="8"/>
  <c r="R1046" i="8"/>
  <c r="S1046" i="8"/>
  <c r="T1046" i="8"/>
  <c r="R1047" i="8"/>
  <c r="S1047" i="8"/>
  <c r="T1047" i="8"/>
  <c r="R1048" i="8"/>
  <c r="S1048" i="8"/>
  <c r="T1048" i="8"/>
  <c r="R1049" i="8"/>
  <c r="S1049" i="8"/>
  <c r="T1049" i="8"/>
  <c r="R1050" i="8"/>
  <c r="S1050" i="8"/>
  <c r="T1050" i="8"/>
  <c r="R1051" i="8"/>
  <c r="S1051" i="8"/>
  <c r="T1051" i="8"/>
  <c r="R1052" i="8"/>
  <c r="S1052" i="8"/>
  <c r="T1052" i="8"/>
  <c r="R1053" i="8"/>
  <c r="S1053" i="8"/>
  <c r="T1053" i="8"/>
  <c r="R1054" i="8"/>
  <c r="S1054" i="8"/>
  <c r="T1054" i="8"/>
  <c r="R1055" i="8"/>
  <c r="S1055" i="8"/>
  <c r="T1055" i="8"/>
  <c r="R1056" i="8"/>
  <c r="S1056" i="8"/>
  <c r="T1056" i="8"/>
  <c r="R1057" i="8"/>
  <c r="S1057" i="8"/>
  <c r="T1057" i="8"/>
  <c r="R1058" i="8"/>
  <c r="S1058" i="8"/>
  <c r="T1058" i="8"/>
  <c r="R1059" i="8"/>
  <c r="S1059" i="8"/>
  <c r="T1059" i="8"/>
  <c r="R1060" i="8"/>
  <c r="S1060" i="8"/>
  <c r="T1060" i="8"/>
  <c r="R1061" i="8"/>
  <c r="S1061" i="8"/>
  <c r="T1061" i="8"/>
  <c r="R1062" i="8"/>
  <c r="S1062" i="8"/>
  <c r="T1062" i="8"/>
  <c r="R1063" i="8"/>
  <c r="S1063" i="8"/>
  <c r="T1063" i="8"/>
  <c r="R1064" i="8"/>
  <c r="S1064" i="8"/>
  <c r="T1064" i="8"/>
  <c r="R1065" i="8"/>
  <c r="S1065" i="8"/>
  <c r="T1065" i="8"/>
  <c r="R1066" i="8"/>
  <c r="S1066" i="8"/>
  <c r="T1066" i="8"/>
  <c r="R1067" i="8"/>
  <c r="S1067" i="8"/>
  <c r="T1067" i="8"/>
  <c r="R1068" i="8"/>
  <c r="S1068" i="8"/>
  <c r="T1068" i="8"/>
  <c r="R1069" i="8"/>
  <c r="S1069" i="8"/>
  <c r="T1069" i="8"/>
  <c r="R1070" i="8"/>
  <c r="S1070" i="8"/>
  <c r="T1070" i="8"/>
  <c r="R1071" i="8"/>
  <c r="S1071" i="8"/>
  <c r="T1071" i="8"/>
  <c r="R1072" i="8"/>
  <c r="S1072" i="8"/>
  <c r="T1072" i="8"/>
  <c r="R1073" i="8"/>
  <c r="S1073" i="8"/>
  <c r="T1073" i="8"/>
  <c r="R1074" i="8"/>
  <c r="S1074" i="8"/>
  <c r="T1074" i="8"/>
  <c r="R1075" i="8"/>
  <c r="S1075" i="8"/>
  <c r="T1075" i="8"/>
  <c r="R1076" i="8"/>
  <c r="S1076" i="8"/>
  <c r="T1076" i="8"/>
  <c r="R1077" i="8"/>
  <c r="S1077" i="8"/>
  <c r="T1077" i="8"/>
  <c r="R1078" i="8"/>
  <c r="S1078" i="8"/>
  <c r="T1078" i="8"/>
  <c r="R1079" i="8"/>
  <c r="S1079" i="8"/>
  <c r="T1079" i="8"/>
  <c r="R1080" i="8"/>
  <c r="S1080" i="8"/>
  <c r="T1080" i="8"/>
  <c r="R1081" i="8"/>
  <c r="S1081" i="8"/>
  <c r="T1081" i="8"/>
  <c r="R1082" i="8"/>
  <c r="S1082" i="8"/>
  <c r="T1082" i="8"/>
  <c r="R1083" i="8"/>
  <c r="S1083" i="8"/>
  <c r="T1083" i="8"/>
  <c r="R1084" i="8"/>
  <c r="S1084" i="8"/>
  <c r="T1084" i="8"/>
  <c r="R1085" i="8"/>
  <c r="S1085" i="8"/>
  <c r="T1085" i="8"/>
  <c r="R1086" i="8"/>
  <c r="S1086" i="8"/>
  <c r="T1086" i="8"/>
  <c r="R1087" i="8"/>
  <c r="S1087" i="8"/>
  <c r="T1087" i="8"/>
  <c r="R1088" i="8"/>
  <c r="S1088" i="8"/>
  <c r="T1088" i="8"/>
  <c r="R1089" i="8"/>
  <c r="S1089" i="8"/>
  <c r="T1089" i="8"/>
  <c r="R1090" i="8"/>
  <c r="S1090" i="8"/>
  <c r="T1090" i="8"/>
  <c r="R1091" i="8"/>
  <c r="S1091" i="8"/>
  <c r="T1091" i="8"/>
  <c r="R1092" i="8"/>
  <c r="S1092" i="8"/>
  <c r="T1092" i="8"/>
  <c r="R1093" i="8"/>
  <c r="S1093" i="8"/>
  <c r="T1093" i="8"/>
  <c r="R1094" i="8"/>
  <c r="S1094" i="8"/>
  <c r="T1094" i="8"/>
  <c r="R1095" i="8"/>
  <c r="S1095" i="8"/>
  <c r="T1095" i="8"/>
  <c r="R1096" i="8"/>
  <c r="S1096" i="8"/>
  <c r="T1096" i="8"/>
  <c r="R1097" i="8"/>
  <c r="S1097" i="8"/>
  <c r="T1097" i="8"/>
  <c r="R1098" i="8"/>
  <c r="S1098" i="8"/>
  <c r="T1098" i="8"/>
  <c r="R1099" i="8"/>
  <c r="S1099" i="8"/>
  <c r="T1099" i="8"/>
  <c r="R1100" i="8"/>
  <c r="S1100" i="8"/>
  <c r="T1100" i="8"/>
  <c r="R1101" i="8"/>
  <c r="S1101" i="8"/>
  <c r="T1101" i="8"/>
  <c r="R1102" i="8"/>
  <c r="S1102" i="8"/>
  <c r="T1102" i="8"/>
  <c r="R1103" i="8"/>
  <c r="S1103" i="8"/>
  <c r="T1103" i="8"/>
  <c r="R1104" i="8"/>
  <c r="S1104" i="8"/>
  <c r="T1104" i="8"/>
  <c r="R1105" i="8"/>
  <c r="S1105" i="8"/>
  <c r="T1105" i="8"/>
  <c r="R1106" i="8"/>
  <c r="S1106" i="8"/>
  <c r="T1106" i="8"/>
  <c r="R1107" i="8"/>
  <c r="S1107" i="8"/>
  <c r="T1107" i="8"/>
  <c r="R1108" i="8"/>
  <c r="S1108" i="8"/>
  <c r="T1108" i="8"/>
  <c r="R1109" i="8"/>
  <c r="S1109" i="8"/>
  <c r="T1109" i="8"/>
  <c r="R1110" i="8"/>
  <c r="S1110" i="8"/>
  <c r="T1110" i="8"/>
  <c r="R1111" i="8"/>
  <c r="S1111" i="8"/>
  <c r="T1111" i="8"/>
  <c r="R1112" i="8"/>
  <c r="S1112" i="8"/>
  <c r="T1112" i="8"/>
  <c r="R1113" i="8"/>
  <c r="S1113" i="8"/>
  <c r="T1113" i="8"/>
  <c r="R1114" i="8"/>
  <c r="S1114" i="8"/>
  <c r="T1114" i="8"/>
  <c r="R1115" i="8"/>
  <c r="S1115" i="8"/>
  <c r="T1115" i="8"/>
  <c r="R1116" i="8"/>
  <c r="S1116" i="8"/>
  <c r="T1116" i="8"/>
  <c r="R1117" i="8"/>
  <c r="S1117" i="8"/>
  <c r="T1117" i="8"/>
  <c r="R1118" i="8"/>
  <c r="S1118" i="8"/>
  <c r="T1118" i="8"/>
  <c r="R1119" i="8"/>
  <c r="S1119" i="8"/>
  <c r="T1119" i="8"/>
  <c r="R1120" i="8"/>
  <c r="S1120" i="8"/>
  <c r="T1120" i="8"/>
  <c r="R1121" i="8"/>
  <c r="S1121" i="8"/>
  <c r="T1121" i="8"/>
  <c r="R1122" i="8"/>
  <c r="S1122" i="8"/>
  <c r="T1122" i="8"/>
  <c r="R1123" i="8"/>
  <c r="S1123" i="8"/>
  <c r="T1123" i="8"/>
  <c r="R1124" i="8"/>
  <c r="S1124" i="8"/>
  <c r="T1124" i="8"/>
  <c r="R1125" i="8"/>
  <c r="S1125" i="8"/>
  <c r="T1125" i="8"/>
  <c r="R1126" i="8"/>
  <c r="S1126" i="8"/>
  <c r="T1126" i="8"/>
  <c r="R1127" i="8"/>
  <c r="S1127" i="8"/>
  <c r="T1127" i="8"/>
  <c r="R1128" i="8"/>
  <c r="S1128" i="8"/>
  <c r="T1128" i="8"/>
  <c r="R1129" i="8"/>
  <c r="S1129" i="8"/>
  <c r="T1129" i="8"/>
  <c r="R1130" i="8"/>
  <c r="S1130" i="8"/>
  <c r="T1130" i="8"/>
  <c r="R1131" i="8"/>
  <c r="S1131" i="8"/>
  <c r="T1131" i="8"/>
  <c r="R1132" i="8"/>
  <c r="S1132" i="8"/>
  <c r="T1132" i="8"/>
  <c r="R1133" i="8"/>
  <c r="S1133" i="8"/>
  <c r="T1133" i="8"/>
  <c r="R1134" i="8"/>
  <c r="S1134" i="8"/>
  <c r="T1134" i="8"/>
  <c r="R1135" i="8"/>
  <c r="S1135" i="8"/>
  <c r="T1135" i="8"/>
  <c r="R1136" i="8"/>
  <c r="S1136" i="8"/>
  <c r="T1136" i="8"/>
  <c r="R1137" i="8"/>
  <c r="S1137" i="8"/>
  <c r="T1137" i="8"/>
  <c r="R1138" i="8"/>
  <c r="S1138" i="8"/>
  <c r="T1138" i="8"/>
  <c r="R1139" i="8"/>
  <c r="S1139" i="8"/>
  <c r="T1139" i="8"/>
  <c r="R1140" i="8"/>
  <c r="S1140" i="8"/>
  <c r="T1140" i="8"/>
  <c r="R1141" i="8"/>
  <c r="S1141" i="8"/>
  <c r="T1141" i="8"/>
  <c r="R1142" i="8"/>
  <c r="S1142" i="8"/>
  <c r="T1142" i="8"/>
  <c r="R1143" i="8"/>
  <c r="S1143" i="8"/>
  <c r="T1143" i="8"/>
  <c r="R1144" i="8"/>
  <c r="S1144" i="8"/>
  <c r="T1144" i="8"/>
  <c r="R1145" i="8"/>
  <c r="S1145" i="8"/>
  <c r="T1145" i="8"/>
  <c r="R1146" i="8"/>
  <c r="S1146" i="8"/>
  <c r="T1146" i="8"/>
  <c r="R1147" i="8"/>
  <c r="S1147" i="8"/>
  <c r="T1147" i="8"/>
  <c r="R1148" i="8"/>
  <c r="S1148" i="8"/>
  <c r="T1148" i="8"/>
  <c r="R1149" i="8"/>
  <c r="S1149" i="8"/>
  <c r="T1149" i="8"/>
  <c r="R1150" i="8"/>
  <c r="S1150" i="8"/>
  <c r="T1150" i="8"/>
  <c r="R1151" i="8"/>
  <c r="S1151" i="8"/>
  <c r="T1151" i="8"/>
  <c r="R1152" i="8"/>
  <c r="S1152" i="8"/>
  <c r="T1152" i="8"/>
  <c r="R1153" i="8"/>
  <c r="S1153" i="8"/>
  <c r="T1153" i="8"/>
  <c r="R1154" i="8"/>
  <c r="S1154" i="8"/>
  <c r="T1154" i="8"/>
  <c r="R1155" i="8"/>
  <c r="S1155" i="8"/>
  <c r="T1155" i="8"/>
  <c r="R1156" i="8"/>
  <c r="S1156" i="8"/>
  <c r="T1156" i="8"/>
  <c r="R1157" i="8"/>
  <c r="S1157" i="8"/>
  <c r="T1157" i="8"/>
  <c r="R1158" i="8"/>
  <c r="S1158" i="8"/>
  <c r="T1158" i="8"/>
  <c r="R1159" i="8"/>
  <c r="S1159" i="8"/>
  <c r="T1159" i="8"/>
  <c r="R1160" i="8"/>
  <c r="S1160" i="8"/>
  <c r="T1160" i="8"/>
  <c r="R1161" i="8"/>
  <c r="S1161" i="8"/>
  <c r="T1161" i="8"/>
  <c r="R1162" i="8"/>
  <c r="S1162" i="8"/>
  <c r="T1162" i="8"/>
  <c r="R1163" i="8"/>
  <c r="S1163" i="8"/>
  <c r="T1163" i="8"/>
  <c r="R1164" i="8"/>
  <c r="S1164" i="8"/>
  <c r="T1164" i="8"/>
  <c r="R1165" i="8"/>
  <c r="S1165" i="8"/>
  <c r="T1165" i="8"/>
  <c r="R1166" i="8"/>
  <c r="S1166" i="8"/>
  <c r="T1166" i="8"/>
  <c r="R1167" i="8"/>
  <c r="S1167" i="8"/>
  <c r="T1167" i="8"/>
  <c r="R1168" i="8"/>
  <c r="S1168" i="8"/>
  <c r="T1168" i="8"/>
  <c r="R1169" i="8"/>
  <c r="S1169" i="8"/>
  <c r="T1169" i="8"/>
  <c r="R1170" i="8"/>
  <c r="S1170" i="8"/>
  <c r="T1170" i="8"/>
  <c r="R1171" i="8"/>
  <c r="S1171" i="8"/>
  <c r="T1171" i="8"/>
  <c r="R1172" i="8"/>
  <c r="S1172" i="8"/>
  <c r="T1172" i="8"/>
  <c r="R1173" i="8"/>
  <c r="S1173" i="8"/>
  <c r="T1173" i="8"/>
  <c r="R1174" i="8"/>
  <c r="S1174" i="8"/>
  <c r="T1174" i="8"/>
  <c r="R1175" i="8"/>
  <c r="S1175" i="8"/>
  <c r="T1175" i="8"/>
  <c r="R1176" i="8"/>
  <c r="S1176" i="8"/>
  <c r="T1176" i="8"/>
  <c r="R1177" i="8"/>
  <c r="S1177" i="8"/>
  <c r="T1177" i="8"/>
  <c r="R1178" i="8"/>
  <c r="S1178" i="8"/>
  <c r="T1178" i="8"/>
  <c r="R1179" i="8"/>
  <c r="S1179" i="8"/>
  <c r="T1179" i="8"/>
  <c r="R1180" i="8"/>
  <c r="S1180" i="8"/>
  <c r="T1180" i="8"/>
  <c r="R1181" i="8"/>
  <c r="S1181" i="8"/>
  <c r="T1181" i="8"/>
  <c r="R1182" i="8"/>
  <c r="S1182" i="8"/>
  <c r="T1182" i="8"/>
  <c r="R1183" i="8"/>
  <c r="S1183" i="8"/>
  <c r="T1183" i="8"/>
  <c r="R1184" i="8"/>
  <c r="S1184" i="8"/>
  <c r="T1184" i="8"/>
  <c r="R1185" i="8"/>
  <c r="S1185" i="8"/>
  <c r="T1185" i="8"/>
  <c r="R1186" i="8"/>
  <c r="S1186" i="8"/>
  <c r="T1186" i="8"/>
  <c r="R1187" i="8"/>
  <c r="S1187" i="8"/>
  <c r="T1187" i="8"/>
  <c r="R1188" i="8"/>
  <c r="S1188" i="8"/>
  <c r="T1188" i="8"/>
  <c r="R1189" i="8"/>
  <c r="S1189" i="8"/>
  <c r="T1189" i="8"/>
  <c r="R1190" i="8"/>
  <c r="S1190" i="8"/>
  <c r="T1190" i="8"/>
  <c r="R1191" i="8"/>
  <c r="S1191" i="8"/>
  <c r="T1191" i="8"/>
  <c r="R1192" i="8"/>
  <c r="S1192" i="8"/>
  <c r="T1192" i="8"/>
  <c r="R1193" i="8"/>
  <c r="S1193" i="8"/>
  <c r="T1193" i="8"/>
  <c r="R1194" i="8"/>
  <c r="S1194" i="8"/>
  <c r="T1194" i="8"/>
  <c r="R1195" i="8"/>
  <c r="S1195" i="8"/>
  <c r="T1195" i="8"/>
  <c r="R1196" i="8"/>
  <c r="S1196" i="8"/>
  <c r="T1196" i="8"/>
  <c r="R1197" i="8"/>
  <c r="S1197" i="8"/>
  <c r="T1197" i="8"/>
  <c r="R1198" i="8"/>
  <c r="S1198" i="8"/>
  <c r="T1198" i="8"/>
  <c r="R1199" i="8"/>
  <c r="S1199" i="8"/>
  <c r="T1199" i="8"/>
  <c r="R1200" i="8"/>
  <c r="S1200" i="8"/>
  <c r="T1200" i="8"/>
  <c r="R1201" i="8"/>
  <c r="S1201" i="8"/>
  <c r="T1201" i="8"/>
  <c r="R1202" i="8"/>
  <c r="S1202" i="8"/>
  <c r="T1202" i="8"/>
  <c r="R1203" i="8"/>
  <c r="S1203" i="8"/>
  <c r="T1203" i="8"/>
  <c r="R1204" i="8"/>
  <c r="S1204" i="8"/>
  <c r="T1204" i="8"/>
  <c r="R1205" i="8"/>
  <c r="S1205" i="8"/>
  <c r="T1205" i="8"/>
  <c r="R1206" i="8"/>
  <c r="S1206" i="8"/>
  <c r="T1206" i="8"/>
  <c r="R1207" i="8"/>
  <c r="S1207" i="8"/>
  <c r="T1207" i="8"/>
  <c r="R1208" i="8"/>
  <c r="S1208" i="8"/>
  <c r="T1208" i="8"/>
  <c r="R1209" i="8"/>
  <c r="S1209" i="8"/>
  <c r="T1209" i="8"/>
  <c r="R1210" i="8"/>
  <c r="S1210" i="8"/>
  <c r="T1210" i="8"/>
  <c r="R1211" i="8"/>
  <c r="S1211" i="8"/>
  <c r="T1211" i="8"/>
  <c r="R1212" i="8"/>
  <c r="S1212" i="8"/>
  <c r="T1212" i="8"/>
  <c r="R1213" i="8"/>
  <c r="S1213" i="8"/>
  <c r="T1213" i="8"/>
  <c r="R1214" i="8"/>
  <c r="S1214" i="8"/>
  <c r="T1214" i="8"/>
  <c r="R1215" i="8"/>
  <c r="S1215" i="8"/>
  <c r="T1215" i="8"/>
  <c r="R1216" i="8"/>
  <c r="S1216" i="8"/>
  <c r="T1216" i="8"/>
  <c r="R1217" i="8"/>
  <c r="S1217" i="8"/>
  <c r="T1217" i="8"/>
  <c r="R1218" i="8"/>
  <c r="S1218" i="8"/>
  <c r="T1218" i="8"/>
  <c r="R1219" i="8"/>
  <c r="S1219" i="8"/>
  <c r="T1219" i="8"/>
  <c r="R1220" i="8"/>
  <c r="S1220" i="8"/>
  <c r="T1220" i="8"/>
  <c r="R1221" i="8"/>
  <c r="S1221" i="8"/>
  <c r="T1221" i="8"/>
  <c r="R1222" i="8"/>
  <c r="S1222" i="8"/>
  <c r="T1222" i="8"/>
  <c r="R1223" i="8"/>
  <c r="S1223" i="8"/>
  <c r="T1223" i="8"/>
  <c r="R1224" i="8"/>
  <c r="S1224" i="8"/>
  <c r="T1224" i="8"/>
  <c r="R1225" i="8"/>
  <c r="S1225" i="8"/>
  <c r="T1225" i="8"/>
  <c r="R1226" i="8"/>
  <c r="S1226" i="8"/>
  <c r="T1226" i="8"/>
  <c r="R1227" i="8"/>
  <c r="S1227" i="8"/>
  <c r="T1227" i="8"/>
  <c r="R1228" i="8"/>
  <c r="S1228" i="8"/>
  <c r="T1228" i="8"/>
  <c r="R1229" i="8"/>
  <c r="S1229" i="8"/>
  <c r="T1229" i="8"/>
  <c r="R1230" i="8"/>
  <c r="S1230" i="8"/>
  <c r="T1230" i="8"/>
  <c r="R1231" i="8"/>
  <c r="S1231" i="8"/>
  <c r="T1231" i="8"/>
  <c r="R1232" i="8"/>
  <c r="S1232" i="8"/>
  <c r="T1232" i="8"/>
  <c r="R1233" i="8"/>
  <c r="S1233" i="8"/>
  <c r="T1233" i="8"/>
  <c r="R1234" i="8"/>
  <c r="S1234" i="8"/>
  <c r="T1234" i="8"/>
  <c r="R1235" i="8"/>
  <c r="S1235" i="8"/>
  <c r="T1235" i="8"/>
  <c r="R1236" i="8"/>
  <c r="S1236" i="8"/>
  <c r="T1236" i="8"/>
  <c r="R1237" i="8"/>
  <c r="S1237" i="8"/>
  <c r="T1237" i="8"/>
  <c r="R1238" i="8"/>
  <c r="S1238" i="8"/>
  <c r="T1238" i="8"/>
  <c r="R1239" i="8"/>
  <c r="S1239" i="8"/>
  <c r="T1239" i="8"/>
  <c r="R1240" i="8"/>
  <c r="S1240" i="8"/>
  <c r="T1240" i="8"/>
  <c r="R1241" i="8"/>
  <c r="S1241" i="8"/>
  <c r="T1241" i="8"/>
  <c r="R1242" i="8"/>
  <c r="S1242" i="8"/>
  <c r="T1242" i="8"/>
  <c r="R1243" i="8"/>
  <c r="S1243" i="8"/>
  <c r="T1243" i="8"/>
  <c r="R1244" i="8"/>
  <c r="S1244" i="8"/>
  <c r="T1244" i="8"/>
  <c r="R1245" i="8"/>
  <c r="S1245" i="8"/>
  <c r="T1245" i="8"/>
  <c r="R1246" i="8"/>
  <c r="S1246" i="8"/>
  <c r="T1246" i="8"/>
  <c r="R1247" i="8"/>
  <c r="S1247" i="8"/>
  <c r="T1247" i="8"/>
  <c r="R1248" i="8"/>
  <c r="S1248" i="8"/>
  <c r="T1248" i="8"/>
  <c r="R1249" i="8"/>
  <c r="S1249" i="8"/>
  <c r="T1249" i="8"/>
  <c r="R1250" i="8"/>
  <c r="S1250" i="8"/>
  <c r="T1250" i="8"/>
  <c r="R1251" i="8"/>
  <c r="S1251" i="8"/>
  <c r="T1251" i="8"/>
  <c r="R1252" i="8"/>
  <c r="S1252" i="8"/>
  <c r="T1252" i="8"/>
  <c r="R1253" i="8"/>
  <c r="S1253" i="8"/>
  <c r="T1253" i="8"/>
  <c r="R1254" i="8"/>
  <c r="S1254" i="8"/>
  <c r="T1254" i="8"/>
  <c r="R1255" i="8"/>
  <c r="S1255" i="8"/>
  <c r="T1255" i="8"/>
  <c r="R1256" i="8"/>
  <c r="S1256" i="8"/>
  <c r="T1256" i="8"/>
  <c r="R1257" i="8"/>
  <c r="S1257" i="8"/>
  <c r="T1257" i="8"/>
  <c r="R1258" i="8"/>
  <c r="S1258" i="8"/>
  <c r="T1258" i="8"/>
  <c r="R1259" i="8"/>
  <c r="S1259" i="8"/>
  <c r="T1259" i="8"/>
  <c r="R1260" i="8"/>
  <c r="S1260" i="8"/>
  <c r="T1260" i="8"/>
  <c r="R1261" i="8"/>
  <c r="S1261" i="8"/>
  <c r="T1261" i="8"/>
  <c r="R1262" i="8"/>
  <c r="S1262" i="8"/>
  <c r="T1262" i="8"/>
  <c r="R1263" i="8"/>
  <c r="S1263" i="8"/>
  <c r="T1263" i="8"/>
  <c r="R1264" i="8"/>
  <c r="S1264" i="8"/>
  <c r="T1264" i="8"/>
  <c r="R1265" i="8"/>
  <c r="S1265" i="8"/>
  <c r="T1265" i="8"/>
  <c r="R1266" i="8"/>
  <c r="S1266" i="8"/>
  <c r="T1266" i="8"/>
  <c r="R1267" i="8"/>
  <c r="S1267" i="8"/>
  <c r="T1267" i="8"/>
  <c r="R1268" i="8"/>
  <c r="S1268" i="8"/>
  <c r="T1268" i="8"/>
  <c r="R1269" i="8"/>
  <c r="S1269" i="8"/>
  <c r="T1269" i="8"/>
  <c r="R1270" i="8"/>
  <c r="S1270" i="8"/>
  <c r="T1270" i="8"/>
  <c r="R1271" i="8"/>
  <c r="S1271" i="8"/>
  <c r="T1271" i="8"/>
  <c r="R1272" i="8"/>
  <c r="S1272" i="8"/>
  <c r="T1272" i="8"/>
  <c r="R1273" i="8"/>
  <c r="S1273" i="8"/>
  <c r="T1273" i="8"/>
  <c r="R1274" i="8"/>
  <c r="S1274" i="8"/>
  <c r="T1274" i="8"/>
  <c r="R1275" i="8"/>
  <c r="S1275" i="8"/>
  <c r="T1275" i="8"/>
  <c r="R1276" i="8"/>
  <c r="S1276" i="8"/>
  <c r="T1276" i="8"/>
  <c r="R1277" i="8"/>
  <c r="S1277" i="8"/>
  <c r="T1277" i="8"/>
  <c r="R1278" i="8"/>
  <c r="S1278" i="8"/>
  <c r="T1278" i="8"/>
  <c r="R1279" i="8"/>
  <c r="S1279" i="8"/>
  <c r="T1279" i="8"/>
  <c r="R1280" i="8"/>
  <c r="S1280" i="8"/>
  <c r="T1280" i="8"/>
  <c r="R1281" i="8"/>
  <c r="S1281" i="8"/>
  <c r="T1281" i="8"/>
  <c r="R1282" i="8"/>
  <c r="S1282" i="8"/>
  <c r="T1282" i="8"/>
  <c r="R1283" i="8"/>
  <c r="S1283" i="8"/>
  <c r="T1283" i="8"/>
  <c r="R1284" i="8"/>
  <c r="S1284" i="8"/>
  <c r="T1284" i="8"/>
  <c r="R1285" i="8"/>
  <c r="S1285" i="8"/>
  <c r="T1285" i="8"/>
  <c r="R1286" i="8"/>
  <c r="S1286" i="8"/>
  <c r="T1286" i="8"/>
  <c r="R1287" i="8"/>
  <c r="S1287" i="8"/>
  <c r="T1287" i="8"/>
  <c r="R1288" i="8"/>
  <c r="S1288" i="8"/>
  <c r="T1288" i="8"/>
  <c r="R1289" i="8"/>
  <c r="S1289" i="8"/>
  <c r="T1289" i="8"/>
  <c r="R1290" i="8"/>
  <c r="S1290" i="8"/>
  <c r="T1290" i="8"/>
  <c r="R1291" i="8"/>
  <c r="S1291" i="8"/>
  <c r="T1291" i="8"/>
  <c r="R1292" i="8"/>
  <c r="S1292" i="8"/>
  <c r="T1292" i="8"/>
  <c r="R1293" i="8"/>
  <c r="S1293" i="8"/>
  <c r="T1293" i="8"/>
  <c r="R1294" i="8"/>
  <c r="S1294" i="8"/>
  <c r="T1294" i="8"/>
  <c r="R1295" i="8"/>
  <c r="S1295" i="8"/>
  <c r="T1295" i="8"/>
  <c r="R1296" i="8"/>
  <c r="S1296" i="8"/>
  <c r="T1296" i="8"/>
  <c r="R1297" i="8"/>
  <c r="S1297" i="8"/>
  <c r="T1297" i="8"/>
  <c r="R1298" i="8"/>
  <c r="S1298" i="8"/>
  <c r="T1298" i="8"/>
  <c r="R1299" i="8"/>
  <c r="S1299" i="8"/>
  <c r="T1299" i="8"/>
  <c r="R1300" i="8"/>
  <c r="S1300" i="8"/>
  <c r="T1300" i="8"/>
  <c r="R1301" i="8"/>
  <c r="S1301" i="8"/>
  <c r="T1301" i="8"/>
  <c r="R1302" i="8"/>
  <c r="S1302" i="8"/>
  <c r="T1302" i="8"/>
  <c r="R1303" i="8"/>
  <c r="S1303" i="8"/>
  <c r="T1303" i="8"/>
  <c r="R1304" i="8"/>
  <c r="S1304" i="8"/>
  <c r="T1304" i="8"/>
  <c r="R1305" i="8"/>
  <c r="S1305" i="8"/>
  <c r="T1305" i="8"/>
  <c r="R1306" i="8"/>
  <c r="S1306" i="8"/>
  <c r="T1306" i="8"/>
  <c r="R1307" i="8"/>
  <c r="S1307" i="8"/>
  <c r="T1307" i="8"/>
  <c r="R1308" i="8"/>
  <c r="S1308" i="8"/>
  <c r="T1308" i="8"/>
  <c r="R1309" i="8"/>
  <c r="S1309" i="8"/>
  <c r="T1309" i="8"/>
  <c r="R1310" i="8"/>
  <c r="S1310" i="8"/>
  <c r="T1310" i="8"/>
  <c r="R1311" i="8"/>
  <c r="S1311" i="8"/>
  <c r="T1311" i="8"/>
  <c r="R1312" i="8"/>
  <c r="S1312" i="8"/>
  <c r="T1312" i="8"/>
  <c r="R1313" i="8"/>
  <c r="S1313" i="8"/>
  <c r="T1313" i="8"/>
  <c r="R1314" i="8"/>
  <c r="S1314" i="8"/>
  <c r="T1314" i="8"/>
  <c r="R1315" i="8"/>
  <c r="S1315" i="8"/>
  <c r="T1315" i="8"/>
  <c r="R1316" i="8"/>
  <c r="S1316" i="8"/>
  <c r="T1316" i="8"/>
  <c r="R1317" i="8"/>
  <c r="S1317" i="8"/>
  <c r="T1317" i="8"/>
  <c r="R1318" i="8"/>
  <c r="S1318" i="8"/>
  <c r="T1318" i="8"/>
  <c r="R1319" i="8"/>
  <c r="S1319" i="8"/>
  <c r="T1319" i="8"/>
  <c r="R1320" i="8"/>
  <c r="S1320" i="8"/>
  <c r="T1320" i="8"/>
  <c r="R1321" i="8"/>
  <c r="S1321" i="8"/>
  <c r="T1321" i="8"/>
  <c r="R1322" i="8"/>
  <c r="S1322" i="8"/>
  <c r="T1322" i="8"/>
  <c r="R1323" i="8"/>
  <c r="S1323" i="8"/>
  <c r="T1323" i="8"/>
  <c r="R1324" i="8"/>
  <c r="S1324" i="8"/>
  <c r="T1324" i="8"/>
  <c r="R1325" i="8"/>
  <c r="S1325" i="8"/>
  <c r="T1325" i="8"/>
  <c r="R1326" i="8"/>
  <c r="S1326" i="8"/>
  <c r="T1326" i="8"/>
  <c r="R1327" i="8"/>
  <c r="S1327" i="8"/>
  <c r="T1327" i="8"/>
  <c r="R1328" i="8"/>
  <c r="S1328" i="8"/>
  <c r="T1328" i="8"/>
  <c r="R1329" i="8"/>
  <c r="S1329" i="8"/>
  <c r="T1329" i="8"/>
  <c r="R1330" i="8"/>
  <c r="S1330" i="8"/>
  <c r="T1330" i="8"/>
  <c r="R1331" i="8"/>
  <c r="S1331" i="8"/>
  <c r="T1331" i="8"/>
  <c r="R1332" i="8"/>
  <c r="S1332" i="8"/>
  <c r="T1332" i="8"/>
  <c r="R1333" i="8"/>
  <c r="S1333" i="8"/>
  <c r="T1333" i="8"/>
  <c r="R1334" i="8"/>
  <c r="S1334" i="8"/>
  <c r="T1334" i="8"/>
  <c r="R1335" i="8"/>
  <c r="S1335" i="8"/>
  <c r="T1335" i="8"/>
  <c r="R1336" i="8"/>
  <c r="S1336" i="8"/>
  <c r="T1336" i="8"/>
  <c r="R1337" i="8"/>
  <c r="S1337" i="8"/>
  <c r="T1337" i="8"/>
  <c r="R1338" i="8"/>
  <c r="S1338" i="8"/>
  <c r="T1338" i="8"/>
  <c r="R1339" i="8"/>
  <c r="S1339" i="8"/>
  <c r="T1339" i="8"/>
  <c r="R1340" i="8"/>
  <c r="S1340" i="8"/>
  <c r="T1340" i="8"/>
  <c r="R1341" i="8"/>
  <c r="S1341" i="8"/>
  <c r="T1341" i="8"/>
  <c r="R1342" i="8"/>
  <c r="S1342" i="8"/>
  <c r="T1342" i="8"/>
  <c r="R1343" i="8"/>
  <c r="S1343" i="8"/>
  <c r="T1343" i="8"/>
  <c r="R1344" i="8"/>
  <c r="S1344" i="8"/>
  <c r="T1344" i="8"/>
  <c r="R1345" i="8"/>
  <c r="S1345" i="8"/>
  <c r="T1345" i="8"/>
  <c r="R1346" i="8"/>
  <c r="S1346" i="8"/>
  <c r="T1346" i="8"/>
  <c r="R1347" i="8"/>
  <c r="S1347" i="8"/>
  <c r="T1347" i="8"/>
  <c r="R1348" i="8"/>
  <c r="S1348" i="8"/>
  <c r="T1348" i="8"/>
  <c r="R1349" i="8"/>
  <c r="S1349" i="8"/>
  <c r="T1349" i="8"/>
  <c r="R1350" i="8"/>
  <c r="S1350" i="8"/>
  <c r="T1350" i="8"/>
  <c r="R1351" i="8"/>
  <c r="S1351" i="8"/>
  <c r="T1351" i="8"/>
  <c r="R1352" i="8"/>
  <c r="S1352" i="8"/>
  <c r="T1352" i="8"/>
  <c r="R1353" i="8"/>
  <c r="S1353" i="8"/>
  <c r="T1353" i="8"/>
  <c r="R1354" i="8"/>
  <c r="S1354" i="8"/>
  <c r="T1354" i="8"/>
  <c r="R1355" i="8"/>
  <c r="S1355" i="8"/>
  <c r="T1355" i="8"/>
  <c r="R1356" i="8"/>
  <c r="S1356" i="8"/>
  <c r="T1356" i="8"/>
  <c r="R1357" i="8"/>
  <c r="S1357" i="8"/>
  <c r="T1357" i="8"/>
  <c r="R1358" i="8"/>
  <c r="S1358" i="8"/>
  <c r="T1358" i="8"/>
  <c r="R1359" i="8"/>
  <c r="S1359" i="8"/>
  <c r="T1359" i="8"/>
  <c r="R1360" i="8"/>
  <c r="S1360" i="8"/>
  <c r="T1360" i="8"/>
  <c r="R1361" i="8"/>
  <c r="S1361" i="8"/>
  <c r="T1361" i="8"/>
  <c r="R1362" i="8"/>
  <c r="S1362" i="8"/>
  <c r="T1362" i="8"/>
  <c r="R1363" i="8"/>
  <c r="S1363" i="8"/>
  <c r="T1363" i="8"/>
  <c r="R1364" i="8"/>
  <c r="S1364" i="8"/>
  <c r="T1364" i="8"/>
  <c r="R1365" i="8"/>
  <c r="S1365" i="8"/>
  <c r="T1365" i="8"/>
  <c r="R1366" i="8"/>
  <c r="S1366" i="8"/>
  <c r="T1366" i="8"/>
  <c r="R1367" i="8"/>
  <c r="S1367" i="8"/>
  <c r="T1367" i="8"/>
  <c r="R1368" i="8"/>
  <c r="S1368" i="8"/>
  <c r="T1368" i="8"/>
  <c r="R1369" i="8"/>
  <c r="S1369" i="8"/>
  <c r="T1369" i="8"/>
  <c r="R1370" i="8"/>
  <c r="S1370" i="8"/>
  <c r="T1370" i="8"/>
  <c r="R1371" i="8"/>
  <c r="S1371" i="8"/>
  <c r="T1371" i="8"/>
  <c r="R1372" i="8"/>
  <c r="S1372" i="8"/>
  <c r="T1372" i="8"/>
  <c r="R1373" i="8"/>
  <c r="S1373" i="8"/>
  <c r="T1373" i="8"/>
  <c r="R1374" i="8"/>
  <c r="S1374" i="8"/>
  <c r="T1374" i="8"/>
  <c r="R1375" i="8"/>
  <c r="S1375" i="8"/>
  <c r="T1375" i="8"/>
  <c r="R1376" i="8"/>
  <c r="S1376" i="8"/>
  <c r="T1376" i="8"/>
  <c r="R1377" i="8"/>
  <c r="S1377" i="8"/>
  <c r="T1377" i="8"/>
  <c r="R1378" i="8"/>
  <c r="S1378" i="8"/>
  <c r="T1378" i="8"/>
  <c r="R1379" i="8"/>
  <c r="S1379" i="8"/>
  <c r="T1379" i="8"/>
  <c r="R1380" i="8"/>
  <c r="S1380" i="8"/>
  <c r="T1380" i="8"/>
  <c r="R1381" i="8"/>
  <c r="S1381" i="8"/>
  <c r="T1381" i="8"/>
  <c r="R1382" i="8"/>
  <c r="S1382" i="8"/>
  <c r="T1382" i="8"/>
  <c r="R1383" i="8"/>
  <c r="S1383" i="8"/>
  <c r="T1383" i="8"/>
  <c r="R1384" i="8"/>
  <c r="S1384" i="8"/>
  <c r="T1384" i="8"/>
  <c r="R1385" i="8"/>
  <c r="S1385" i="8"/>
  <c r="T1385" i="8"/>
  <c r="R1386" i="8"/>
  <c r="S1386" i="8"/>
  <c r="T1386" i="8"/>
  <c r="R1387" i="8"/>
  <c r="S1387" i="8"/>
  <c r="T1387" i="8"/>
  <c r="R1388" i="8"/>
  <c r="S1388" i="8"/>
  <c r="T1388" i="8"/>
  <c r="R1389" i="8"/>
  <c r="S1389" i="8"/>
  <c r="T1389" i="8"/>
  <c r="R1390" i="8"/>
  <c r="S1390" i="8"/>
  <c r="T1390" i="8"/>
  <c r="R1391" i="8"/>
  <c r="S1391" i="8"/>
  <c r="T1391" i="8"/>
  <c r="R1392" i="8"/>
  <c r="S1392" i="8"/>
  <c r="T1392" i="8"/>
  <c r="R1393" i="8"/>
  <c r="S1393" i="8"/>
  <c r="T1393" i="8"/>
  <c r="R1394" i="8"/>
  <c r="S1394" i="8"/>
  <c r="T1394" i="8"/>
  <c r="R1395" i="8"/>
  <c r="S1395" i="8"/>
  <c r="T1395" i="8"/>
  <c r="R1396" i="8"/>
  <c r="S1396" i="8"/>
  <c r="T1396" i="8"/>
  <c r="R1397" i="8"/>
  <c r="S1397" i="8"/>
  <c r="T1397" i="8"/>
  <c r="R1398" i="8"/>
  <c r="S1398" i="8"/>
  <c r="T1398" i="8"/>
  <c r="R1399" i="8"/>
  <c r="S1399" i="8"/>
  <c r="T1399" i="8"/>
  <c r="R1400" i="8"/>
  <c r="S1400" i="8"/>
  <c r="T1400" i="8"/>
  <c r="R1401" i="8"/>
  <c r="S1401" i="8"/>
  <c r="T1401" i="8"/>
  <c r="R1402" i="8"/>
  <c r="S1402" i="8"/>
  <c r="T1402" i="8"/>
  <c r="R1403" i="8"/>
  <c r="S1403" i="8"/>
  <c r="T1403" i="8"/>
  <c r="R1404" i="8"/>
  <c r="S1404" i="8"/>
  <c r="T1404" i="8"/>
  <c r="R1405" i="8"/>
  <c r="S1405" i="8"/>
  <c r="T1405" i="8"/>
  <c r="R1406" i="8"/>
  <c r="S1406" i="8"/>
  <c r="T1406" i="8"/>
  <c r="R1407" i="8"/>
  <c r="S1407" i="8"/>
  <c r="T1407" i="8"/>
  <c r="R1408" i="8"/>
  <c r="S1408" i="8"/>
  <c r="T1408" i="8"/>
  <c r="R1409" i="8"/>
  <c r="S1409" i="8"/>
  <c r="T1409" i="8"/>
  <c r="R1410" i="8"/>
  <c r="S1410" i="8"/>
  <c r="T1410" i="8"/>
  <c r="R1411" i="8"/>
  <c r="S1411" i="8"/>
  <c r="T1411" i="8"/>
  <c r="R1412" i="8"/>
  <c r="S1412" i="8"/>
  <c r="T1412" i="8"/>
  <c r="R1413" i="8"/>
  <c r="S1413" i="8"/>
  <c r="T1413" i="8"/>
  <c r="R1414" i="8"/>
  <c r="S1414" i="8"/>
  <c r="T1414" i="8"/>
  <c r="R1415" i="8"/>
  <c r="S1415" i="8"/>
  <c r="T1415" i="8"/>
  <c r="R1416" i="8"/>
  <c r="S1416" i="8"/>
  <c r="T1416" i="8"/>
  <c r="R1417" i="8"/>
  <c r="S1417" i="8"/>
  <c r="T1417" i="8"/>
  <c r="R1418" i="8"/>
  <c r="S1418" i="8"/>
  <c r="T1418" i="8"/>
  <c r="R1419" i="8"/>
  <c r="S1419" i="8"/>
  <c r="T1419" i="8"/>
  <c r="R1420" i="8"/>
  <c r="S1420" i="8"/>
  <c r="T1420" i="8"/>
  <c r="R1421" i="8"/>
  <c r="S1421" i="8"/>
  <c r="T1421" i="8"/>
  <c r="R1422" i="8"/>
  <c r="S1422" i="8"/>
  <c r="T1422" i="8"/>
  <c r="R1423" i="8"/>
  <c r="S1423" i="8"/>
  <c r="T1423" i="8"/>
  <c r="R1424" i="8"/>
  <c r="S1424" i="8"/>
  <c r="T1424" i="8"/>
  <c r="R1425" i="8"/>
  <c r="S1425" i="8"/>
  <c r="T1425" i="8"/>
  <c r="R1426" i="8"/>
  <c r="S1426" i="8"/>
  <c r="T1426" i="8"/>
  <c r="R1427" i="8"/>
  <c r="S1427" i="8"/>
  <c r="T1427" i="8"/>
  <c r="R1428" i="8"/>
  <c r="S1428" i="8"/>
  <c r="T1428" i="8"/>
  <c r="R1429" i="8"/>
  <c r="S1429" i="8"/>
  <c r="T1429" i="8"/>
  <c r="R1430" i="8"/>
  <c r="S1430" i="8"/>
  <c r="T1430" i="8"/>
  <c r="R1431" i="8"/>
  <c r="S1431" i="8"/>
  <c r="T1431" i="8"/>
  <c r="R1432" i="8"/>
  <c r="S1432" i="8"/>
  <c r="T1432" i="8"/>
  <c r="R1433" i="8"/>
  <c r="S1433" i="8"/>
  <c r="T1433" i="8"/>
  <c r="R1434" i="8"/>
  <c r="S1434" i="8"/>
  <c r="T1434" i="8"/>
  <c r="R1435" i="8"/>
  <c r="S1435" i="8"/>
  <c r="T1435" i="8"/>
  <c r="R1436" i="8"/>
  <c r="S1436" i="8"/>
  <c r="T1436" i="8"/>
  <c r="R1437" i="8"/>
  <c r="S1437" i="8"/>
  <c r="T1437" i="8"/>
  <c r="R1438" i="8"/>
  <c r="S1438" i="8"/>
  <c r="T1438" i="8"/>
  <c r="R1439" i="8"/>
  <c r="S1439" i="8"/>
  <c r="T1439" i="8"/>
  <c r="R1440" i="8"/>
  <c r="S1440" i="8"/>
  <c r="T1440" i="8"/>
  <c r="R1441" i="8"/>
  <c r="S1441" i="8"/>
  <c r="T1441" i="8"/>
  <c r="R1442" i="8"/>
  <c r="S1442" i="8"/>
  <c r="T1442" i="8"/>
  <c r="R1443" i="8"/>
  <c r="S1443" i="8"/>
  <c r="T1443" i="8"/>
  <c r="R1444" i="8"/>
  <c r="S1444" i="8"/>
  <c r="T1444" i="8"/>
  <c r="R1445" i="8"/>
  <c r="S1445" i="8"/>
  <c r="T1445" i="8"/>
  <c r="R1446" i="8"/>
  <c r="S1446" i="8"/>
  <c r="T1446" i="8"/>
  <c r="R1447" i="8"/>
  <c r="S1447" i="8"/>
  <c r="T1447" i="8"/>
  <c r="R1448" i="8"/>
  <c r="S1448" i="8"/>
  <c r="T1448" i="8"/>
  <c r="R1449" i="8"/>
  <c r="S1449" i="8"/>
  <c r="T1449" i="8"/>
  <c r="R1450" i="8"/>
  <c r="S1450" i="8"/>
  <c r="T1450" i="8"/>
  <c r="R1451" i="8"/>
  <c r="S1451" i="8"/>
  <c r="T1451" i="8"/>
  <c r="R1452" i="8"/>
  <c r="S1452" i="8"/>
  <c r="T1452" i="8"/>
  <c r="R1453" i="8"/>
  <c r="S1453" i="8"/>
  <c r="T1453" i="8"/>
  <c r="R1454" i="8"/>
  <c r="S1454" i="8"/>
  <c r="T1454" i="8"/>
  <c r="R1455" i="8"/>
  <c r="S1455" i="8"/>
  <c r="T1455" i="8"/>
  <c r="R1456" i="8"/>
  <c r="S1456" i="8"/>
  <c r="T1456" i="8"/>
  <c r="R1457" i="8"/>
  <c r="S1457" i="8"/>
  <c r="T1457" i="8"/>
  <c r="R1458" i="8"/>
  <c r="S1458" i="8"/>
  <c r="T1458" i="8"/>
  <c r="R1459" i="8"/>
  <c r="S1459" i="8"/>
  <c r="T1459" i="8"/>
  <c r="R1460" i="8"/>
  <c r="S1460" i="8"/>
  <c r="T1460" i="8"/>
  <c r="R1461" i="8"/>
  <c r="S1461" i="8"/>
  <c r="T1461" i="8"/>
  <c r="R1462" i="8"/>
  <c r="S1462" i="8"/>
  <c r="T1462" i="8"/>
  <c r="R1463" i="8"/>
  <c r="S1463" i="8"/>
  <c r="T1463" i="8"/>
  <c r="R1464" i="8"/>
  <c r="S1464" i="8"/>
  <c r="T1464" i="8"/>
  <c r="R1465" i="8"/>
  <c r="S1465" i="8"/>
  <c r="T1465" i="8"/>
  <c r="R1466" i="8"/>
  <c r="S1466" i="8"/>
  <c r="T1466" i="8"/>
  <c r="R1467" i="8"/>
  <c r="S1467" i="8"/>
  <c r="T1467" i="8"/>
  <c r="R1468" i="8"/>
  <c r="S1468" i="8"/>
  <c r="T1468" i="8"/>
  <c r="R1469" i="8"/>
  <c r="S1469" i="8"/>
  <c r="T1469" i="8"/>
  <c r="R1470" i="8"/>
  <c r="S1470" i="8"/>
  <c r="T1470" i="8"/>
  <c r="R1471" i="8"/>
  <c r="S1471" i="8"/>
  <c r="T1471" i="8"/>
  <c r="R1472" i="8"/>
  <c r="S1472" i="8"/>
  <c r="T1472" i="8"/>
  <c r="R1473" i="8"/>
  <c r="S1473" i="8"/>
  <c r="T1473" i="8"/>
  <c r="R1474" i="8"/>
  <c r="S1474" i="8"/>
  <c r="T1474" i="8"/>
  <c r="R1475" i="8"/>
  <c r="S1475" i="8"/>
  <c r="T1475" i="8"/>
  <c r="R1476" i="8"/>
  <c r="S1476" i="8"/>
  <c r="T1476" i="8"/>
  <c r="R1477" i="8"/>
  <c r="S1477" i="8"/>
  <c r="T1477" i="8"/>
  <c r="R1478" i="8"/>
  <c r="S1478" i="8"/>
  <c r="T1478" i="8"/>
  <c r="R1479" i="8"/>
  <c r="S1479" i="8"/>
  <c r="T1479" i="8"/>
  <c r="R1480" i="8"/>
  <c r="S1480" i="8"/>
  <c r="T1480" i="8"/>
  <c r="R1481" i="8"/>
  <c r="S1481" i="8"/>
  <c r="T1481" i="8"/>
  <c r="R1482" i="8"/>
  <c r="S1482" i="8"/>
  <c r="T1482" i="8"/>
  <c r="R1483" i="8"/>
  <c r="S1483" i="8"/>
  <c r="T1483" i="8"/>
  <c r="R1484" i="8"/>
  <c r="S1484" i="8"/>
  <c r="T1484" i="8"/>
  <c r="R1485" i="8"/>
  <c r="S1485" i="8"/>
  <c r="T1485" i="8"/>
  <c r="R1486" i="8"/>
  <c r="S1486" i="8"/>
  <c r="T1486" i="8"/>
  <c r="R1487" i="8"/>
  <c r="S1487" i="8"/>
  <c r="T1487" i="8"/>
  <c r="R1488" i="8"/>
  <c r="S1488" i="8"/>
  <c r="T1488" i="8"/>
  <c r="R1489" i="8"/>
  <c r="S1489" i="8"/>
  <c r="T1489" i="8"/>
  <c r="R1490" i="8"/>
  <c r="S1490" i="8"/>
  <c r="T1490" i="8"/>
  <c r="R1491" i="8"/>
  <c r="S1491" i="8"/>
  <c r="T1491" i="8"/>
  <c r="R1492" i="8"/>
  <c r="S1492" i="8"/>
  <c r="T1492" i="8"/>
  <c r="R1493" i="8"/>
  <c r="S1493" i="8"/>
  <c r="T1493" i="8"/>
  <c r="R1494" i="8"/>
  <c r="S1494" i="8"/>
  <c r="T1494" i="8"/>
  <c r="R1495" i="8"/>
  <c r="S1495" i="8"/>
  <c r="T1495" i="8"/>
  <c r="R1496" i="8"/>
  <c r="S1496" i="8"/>
  <c r="T1496" i="8"/>
  <c r="R1497" i="8"/>
  <c r="S1497" i="8"/>
  <c r="T1497" i="8"/>
  <c r="R1498" i="8"/>
  <c r="S1498" i="8"/>
  <c r="T1498" i="8"/>
  <c r="R1499" i="8"/>
  <c r="S1499" i="8"/>
  <c r="T1499" i="8"/>
  <c r="R1500" i="8"/>
  <c r="S1500" i="8"/>
  <c r="T1500" i="8"/>
  <c r="R1501" i="8"/>
  <c r="S1501" i="8"/>
  <c r="T1501" i="8"/>
  <c r="R1502" i="8"/>
  <c r="S1502" i="8"/>
  <c r="T1502" i="8"/>
  <c r="R1503" i="8"/>
  <c r="S1503" i="8"/>
  <c r="T1503" i="8"/>
  <c r="R1504" i="8"/>
  <c r="S1504" i="8"/>
  <c r="T1504" i="8"/>
  <c r="R1505" i="8"/>
  <c r="S1505" i="8"/>
  <c r="T1505" i="8"/>
  <c r="R1506" i="8"/>
  <c r="S1506" i="8"/>
  <c r="T1506" i="8"/>
  <c r="R1507" i="8"/>
  <c r="S1507" i="8"/>
  <c r="T1507" i="8"/>
  <c r="R1508" i="8"/>
  <c r="S1508" i="8"/>
  <c r="T1508" i="8"/>
  <c r="R1509" i="8"/>
  <c r="S1509" i="8"/>
  <c r="T1509" i="8"/>
  <c r="R1510" i="8"/>
  <c r="S1510" i="8"/>
  <c r="T1510" i="8"/>
  <c r="R1511" i="8"/>
  <c r="S1511" i="8"/>
  <c r="T1511" i="8"/>
  <c r="R1512" i="8"/>
  <c r="S1512" i="8"/>
  <c r="T1512" i="8"/>
  <c r="R1513" i="8"/>
  <c r="S1513" i="8"/>
  <c r="T1513" i="8"/>
  <c r="R1514" i="8"/>
  <c r="S1514" i="8"/>
  <c r="T1514" i="8"/>
  <c r="R1515" i="8"/>
  <c r="S1515" i="8"/>
  <c r="T1515" i="8"/>
  <c r="R1516" i="8"/>
  <c r="S1516" i="8"/>
  <c r="T1516" i="8"/>
  <c r="R1517" i="8"/>
  <c r="S1517" i="8"/>
  <c r="T1517" i="8"/>
  <c r="R1518" i="8"/>
  <c r="S1518" i="8"/>
  <c r="T1518" i="8"/>
  <c r="R1519" i="8"/>
  <c r="S1519" i="8"/>
  <c r="T1519" i="8"/>
  <c r="R1520" i="8"/>
  <c r="S1520" i="8"/>
  <c r="T1520" i="8"/>
  <c r="R1521" i="8"/>
  <c r="S1521" i="8"/>
  <c r="T1521" i="8"/>
  <c r="R1522" i="8"/>
  <c r="S1522" i="8"/>
  <c r="T1522" i="8"/>
  <c r="R1523" i="8"/>
  <c r="S1523" i="8"/>
  <c r="T1523" i="8"/>
  <c r="R1524" i="8"/>
  <c r="S1524" i="8"/>
  <c r="T1524" i="8"/>
  <c r="R1525" i="8"/>
  <c r="S1525" i="8"/>
  <c r="T1525" i="8"/>
  <c r="R1526" i="8"/>
  <c r="S1526" i="8"/>
  <c r="T1526" i="8"/>
  <c r="R1527" i="8"/>
  <c r="S1527" i="8"/>
  <c r="T1527" i="8"/>
  <c r="R1528" i="8"/>
  <c r="S1528" i="8"/>
  <c r="T1528" i="8"/>
  <c r="R1529" i="8"/>
  <c r="S1529" i="8"/>
  <c r="T1529" i="8"/>
  <c r="R1530" i="8"/>
  <c r="S1530" i="8"/>
  <c r="T1530" i="8"/>
  <c r="R1531" i="8"/>
  <c r="S1531" i="8"/>
  <c r="T1531" i="8"/>
  <c r="R1532" i="8"/>
  <c r="S1532" i="8"/>
  <c r="T1532" i="8"/>
  <c r="R1533" i="8"/>
  <c r="S1533" i="8"/>
  <c r="T1533" i="8"/>
  <c r="R1534" i="8"/>
  <c r="S1534" i="8"/>
  <c r="T1534" i="8"/>
  <c r="R1535" i="8"/>
  <c r="S1535" i="8"/>
  <c r="T1535" i="8"/>
  <c r="R1536" i="8"/>
  <c r="S1536" i="8"/>
  <c r="T1536" i="8"/>
  <c r="R1537" i="8"/>
  <c r="S1537" i="8"/>
  <c r="T1537" i="8"/>
  <c r="R1538" i="8"/>
  <c r="S1538" i="8"/>
  <c r="T1538" i="8"/>
  <c r="R1539" i="8"/>
  <c r="S1539" i="8"/>
  <c r="T1539" i="8"/>
  <c r="R1540" i="8"/>
  <c r="S1540" i="8"/>
  <c r="T1540" i="8"/>
  <c r="R1541" i="8"/>
  <c r="S1541" i="8"/>
  <c r="T1541" i="8"/>
  <c r="R1542" i="8"/>
  <c r="S1542" i="8"/>
  <c r="T1542" i="8"/>
  <c r="R1543" i="8"/>
  <c r="S1543" i="8"/>
  <c r="T1543" i="8"/>
  <c r="R1544" i="8"/>
  <c r="S1544" i="8"/>
  <c r="T1544" i="8"/>
  <c r="R1545" i="8"/>
  <c r="S1545" i="8"/>
  <c r="T1545" i="8"/>
  <c r="R1546" i="8"/>
  <c r="S1546" i="8"/>
  <c r="T1546" i="8"/>
  <c r="R1547" i="8"/>
  <c r="S1547" i="8"/>
  <c r="T1547" i="8"/>
  <c r="R1548" i="8"/>
  <c r="S1548" i="8"/>
  <c r="T1548" i="8"/>
  <c r="R1549" i="8"/>
  <c r="S1549" i="8"/>
  <c r="T1549" i="8"/>
  <c r="R1550" i="8"/>
  <c r="S1550" i="8"/>
  <c r="T1550" i="8"/>
  <c r="R1551" i="8"/>
  <c r="S1551" i="8"/>
  <c r="T1551" i="8"/>
  <c r="R1552" i="8"/>
  <c r="S1552" i="8"/>
  <c r="T1552" i="8"/>
  <c r="R1553" i="8"/>
  <c r="S1553" i="8"/>
  <c r="T1553" i="8"/>
  <c r="R1554" i="8"/>
  <c r="S1554" i="8"/>
  <c r="T1554" i="8"/>
  <c r="R1555" i="8"/>
  <c r="S1555" i="8"/>
  <c r="T1555" i="8"/>
  <c r="R1556" i="8"/>
  <c r="S1556" i="8"/>
  <c r="T1556" i="8"/>
  <c r="R1557" i="8"/>
  <c r="S1557" i="8"/>
  <c r="T1557" i="8"/>
  <c r="R1558" i="8"/>
  <c r="S1558" i="8"/>
  <c r="T1558" i="8"/>
  <c r="R1559" i="8"/>
  <c r="S1559" i="8"/>
  <c r="T1559" i="8"/>
  <c r="R1560" i="8"/>
  <c r="S1560" i="8"/>
  <c r="T1560" i="8"/>
  <c r="R1561" i="8"/>
  <c r="S1561" i="8"/>
  <c r="T1561" i="8"/>
  <c r="R1562" i="8"/>
  <c r="S1562" i="8"/>
  <c r="T1562" i="8"/>
  <c r="R1563" i="8"/>
  <c r="S1563" i="8"/>
  <c r="T1563" i="8"/>
  <c r="R1564" i="8"/>
  <c r="S1564" i="8"/>
  <c r="T1564" i="8"/>
  <c r="R1565" i="8"/>
  <c r="S1565" i="8"/>
  <c r="T1565" i="8"/>
  <c r="R1566" i="8"/>
  <c r="S1566" i="8"/>
  <c r="T1566" i="8"/>
  <c r="R1567" i="8"/>
  <c r="S1567" i="8"/>
  <c r="T1567" i="8"/>
  <c r="R1568" i="8"/>
  <c r="S1568" i="8"/>
  <c r="T1568" i="8"/>
  <c r="R1569" i="8"/>
  <c r="S1569" i="8"/>
  <c r="T1569" i="8"/>
  <c r="R1570" i="8"/>
  <c r="S1570" i="8"/>
  <c r="T1570" i="8"/>
  <c r="R1571" i="8"/>
  <c r="S1571" i="8"/>
  <c r="T1571" i="8"/>
  <c r="R1572" i="8"/>
  <c r="S1572" i="8"/>
  <c r="T1572" i="8"/>
  <c r="R1573" i="8"/>
  <c r="S1573" i="8"/>
  <c r="T1573" i="8"/>
  <c r="R1574" i="8"/>
  <c r="S1574" i="8"/>
  <c r="T1574" i="8"/>
  <c r="R1575" i="8"/>
  <c r="S1575" i="8"/>
  <c r="T1575" i="8"/>
  <c r="R1576" i="8"/>
  <c r="S1576" i="8"/>
  <c r="T1576" i="8"/>
  <c r="R1577" i="8"/>
  <c r="S1577" i="8"/>
  <c r="T1577" i="8"/>
  <c r="R1578" i="8"/>
  <c r="S1578" i="8"/>
  <c r="T1578" i="8"/>
  <c r="R1579" i="8"/>
  <c r="S1579" i="8"/>
  <c r="T1579" i="8"/>
  <c r="R1580" i="8"/>
  <c r="S1580" i="8"/>
  <c r="T1580" i="8"/>
  <c r="R1581" i="8"/>
  <c r="S1581" i="8"/>
  <c r="T1581" i="8"/>
  <c r="R1582" i="8"/>
  <c r="S1582" i="8"/>
  <c r="T1582" i="8"/>
  <c r="R1583" i="8"/>
  <c r="S1583" i="8"/>
  <c r="T1583" i="8"/>
  <c r="R1584" i="8"/>
  <c r="S1584" i="8"/>
  <c r="T1584" i="8"/>
  <c r="R1585" i="8"/>
  <c r="S1585" i="8"/>
  <c r="T1585" i="8"/>
  <c r="R1586" i="8"/>
  <c r="S1586" i="8"/>
  <c r="T1586" i="8"/>
  <c r="R1587" i="8"/>
  <c r="S1587" i="8"/>
  <c r="T1587" i="8"/>
  <c r="R1588" i="8"/>
  <c r="S1588" i="8"/>
  <c r="T1588" i="8"/>
  <c r="R1589" i="8"/>
  <c r="S1589" i="8"/>
  <c r="T1589" i="8"/>
  <c r="R1590" i="8"/>
  <c r="S1590" i="8"/>
  <c r="T1590" i="8"/>
  <c r="R1591" i="8"/>
  <c r="S1591" i="8"/>
  <c r="T1591" i="8"/>
  <c r="R1592" i="8"/>
  <c r="S1592" i="8"/>
  <c r="T1592" i="8"/>
  <c r="R1593" i="8"/>
  <c r="S1593" i="8"/>
  <c r="T1593" i="8"/>
  <c r="R1594" i="8"/>
  <c r="S1594" i="8"/>
  <c r="T1594" i="8"/>
  <c r="R1595" i="8"/>
  <c r="S1595" i="8"/>
  <c r="T1595" i="8"/>
  <c r="R1596" i="8"/>
  <c r="S1596" i="8"/>
  <c r="T1596" i="8"/>
  <c r="R1597" i="8"/>
  <c r="S1597" i="8"/>
  <c r="T1597" i="8"/>
  <c r="R1598" i="8"/>
  <c r="S1598" i="8"/>
  <c r="T1598" i="8"/>
  <c r="R1599" i="8"/>
  <c r="S1599" i="8"/>
  <c r="T1599" i="8"/>
  <c r="R1600" i="8"/>
  <c r="S1600" i="8"/>
  <c r="T1600" i="8"/>
  <c r="R1601" i="8"/>
  <c r="S1601" i="8"/>
  <c r="T1601" i="8"/>
  <c r="R1602" i="8"/>
  <c r="S1602" i="8"/>
  <c r="T1602" i="8"/>
  <c r="R1603" i="8"/>
  <c r="S1603" i="8"/>
  <c r="T1603" i="8"/>
  <c r="R1604" i="8"/>
  <c r="S1604" i="8"/>
  <c r="T1604" i="8"/>
  <c r="R1605" i="8"/>
  <c r="S1605" i="8"/>
  <c r="T1605" i="8"/>
  <c r="R1606" i="8"/>
  <c r="S1606" i="8"/>
  <c r="T1606" i="8"/>
  <c r="R1607" i="8"/>
  <c r="S1607" i="8"/>
  <c r="T1607" i="8"/>
  <c r="R1608" i="8"/>
  <c r="S1608" i="8"/>
  <c r="T1608" i="8"/>
  <c r="R1609" i="8"/>
  <c r="S1609" i="8"/>
  <c r="T1609" i="8"/>
  <c r="R1610" i="8"/>
  <c r="S1610" i="8"/>
  <c r="T1610" i="8"/>
  <c r="R1611" i="8"/>
  <c r="S1611" i="8"/>
  <c r="T1611" i="8"/>
  <c r="R1612" i="8"/>
  <c r="S1612" i="8"/>
  <c r="T1612" i="8"/>
  <c r="R1613" i="8"/>
  <c r="S1613" i="8"/>
  <c r="T1613" i="8"/>
  <c r="R1614" i="8"/>
  <c r="S1614" i="8"/>
  <c r="T1614" i="8"/>
  <c r="R1615" i="8"/>
  <c r="S1615" i="8"/>
  <c r="T1615" i="8"/>
  <c r="R1616" i="8"/>
  <c r="S1616" i="8"/>
  <c r="T1616" i="8"/>
  <c r="R1617" i="8"/>
  <c r="S1617" i="8"/>
  <c r="T1617" i="8"/>
  <c r="R1618" i="8"/>
  <c r="S1618" i="8"/>
  <c r="T1618" i="8"/>
  <c r="R1619" i="8"/>
  <c r="S1619" i="8"/>
  <c r="T1619" i="8"/>
  <c r="R1620" i="8"/>
  <c r="S1620" i="8"/>
  <c r="T1620" i="8"/>
  <c r="R1621" i="8"/>
  <c r="S1621" i="8"/>
  <c r="T1621" i="8"/>
  <c r="R1622" i="8"/>
  <c r="S1622" i="8"/>
  <c r="T1622" i="8"/>
  <c r="R1623" i="8"/>
  <c r="S1623" i="8"/>
  <c r="T1623" i="8"/>
  <c r="R1624" i="8"/>
  <c r="S1624" i="8"/>
  <c r="T1624" i="8"/>
  <c r="R1625" i="8"/>
  <c r="S1625" i="8"/>
  <c r="T1625" i="8"/>
  <c r="R1626" i="8"/>
  <c r="S1626" i="8"/>
  <c r="T1626" i="8"/>
  <c r="R1627" i="8"/>
  <c r="S1627" i="8"/>
  <c r="T1627" i="8"/>
  <c r="R1628" i="8"/>
  <c r="S1628" i="8"/>
  <c r="T1628" i="8"/>
  <c r="R1629" i="8"/>
  <c r="S1629" i="8"/>
  <c r="T1629" i="8"/>
  <c r="R1630" i="8"/>
  <c r="S1630" i="8"/>
  <c r="T1630" i="8"/>
  <c r="R1631" i="8"/>
  <c r="S1631" i="8"/>
  <c r="T1631" i="8"/>
  <c r="R1632" i="8"/>
  <c r="S1632" i="8"/>
  <c r="T1632" i="8"/>
  <c r="R1633" i="8"/>
  <c r="S1633" i="8"/>
  <c r="T1633" i="8"/>
  <c r="R1634" i="8"/>
  <c r="S1634" i="8"/>
  <c r="T1634" i="8"/>
  <c r="R1635" i="8"/>
  <c r="S1635" i="8"/>
  <c r="T1635" i="8"/>
  <c r="R1636" i="8"/>
  <c r="S1636" i="8"/>
  <c r="T1636" i="8"/>
  <c r="R1637" i="8"/>
  <c r="S1637" i="8"/>
  <c r="T1637" i="8"/>
  <c r="R1638" i="8"/>
  <c r="S1638" i="8"/>
  <c r="T1638" i="8"/>
  <c r="R1639" i="8"/>
  <c r="S1639" i="8"/>
  <c r="T1639" i="8"/>
  <c r="R1640" i="8"/>
  <c r="S1640" i="8"/>
  <c r="T1640" i="8"/>
  <c r="R1641" i="8"/>
  <c r="S1641" i="8"/>
  <c r="T1641" i="8"/>
  <c r="R1642" i="8"/>
  <c r="S1642" i="8"/>
  <c r="T1642" i="8"/>
  <c r="R1643" i="8"/>
  <c r="S1643" i="8"/>
  <c r="T1643" i="8"/>
  <c r="R1644" i="8"/>
  <c r="S1644" i="8"/>
  <c r="T1644" i="8"/>
  <c r="R1645" i="8"/>
  <c r="S1645" i="8"/>
  <c r="T1645" i="8"/>
  <c r="R1646" i="8"/>
  <c r="S1646" i="8"/>
  <c r="T1646" i="8"/>
  <c r="R1647" i="8"/>
  <c r="S1647" i="8"/>
  <c r="T1647" i="8"/>
  <c r="R1648" i="8"/>
  <c r="S1648" i="8"/>
  <c r="T1648" i="8"/>
  <c r="R1649" i="8"/>
  <c r="S1649" i="8"/>
  <c r="T1649" i="8"/>
  <c r="R1650" i="8"/>
  <c r="S1650" i="8"/>
  <c r="T1650" i="8"/>
  <c r="R1651" i="8"/>
  <c r="S1651" i="8"/>
  <c r="T1651" i="8"/>
  <c r="R1652" i="8"/>
  <c r="S1652" i="8"/>
  <c r="T1652" i="8"/>
  <c r="R1653" i="8"/>
  <c r="S1653" i="8"/>
  <c r="T1653" i="8"/>
  <c r="R1654" i="8"/>
  <c r="S1654" i="8"/>
  <c r="T1654" i="8"/>
  <c r="R1655" i="8"/>
  <c r="S1655" i="8"/>
  <c r="T1655" i="8"/>
  <c r="R1656" i="8"/>
  <c r="S1656" i="8"/>
  <c r="T1656" i="8"/>
  <c r="R1657" i="8"/>
  <c r="S1657" i="8"/>
  <c r="T1657" i="8"/>
  <c r="R1658" i="8"/>
  <c r="S1658" i="8"/>
  <c r="T1658" i="8"/>
  <c r="R1659" i="8"/>
  <c r="S1659" i="8"/>
  <c r="T1659" i="8"/>
  <c r="R1660" i="8"/>
  <c r="S1660" i="8"/>
  <c r="T1660" i="8"/>
  <c r="R1661" i="8"/>
  <c r="S1661" i="8"/>
  <c r="T1661" i="8"/>
  <c r="R1662" i="8"/>
  <c r="S1662" i="8"/>
  <c r="T1662" i="8"/>
  <c r="R1663" i="8"/>
  <c r="S1663" i="8"/>
  <c r="T1663" i="8"/>
  <c r="R1664" i="8"/>
  <c r="S1664" i="8"/>
  <c r="T1664" i="8"/>
  <c r="R1665" i="8"/>
  <c r="S1665" i="8"/>
  <c r="T1665" i="8"/>
  <c r="R1666" i="8"/>
  <c r="S1666" i="8"/>
  <c r="T1666" i="8"/>
  <c r="R1667" i="8"/>
  <c r="S1667" i="8"/>
  <c r="T1667" i="8"/>
  <c r="R1668" i="8"/>
  <c r="S1668" i="8"/>
  <c r="T1668" i="8"/>
  <c r="R1669" i="8"/>
  <c r="S1669" i="8"/>
  <c r="T1669" i="8"/>
  <c r="R1670" i="8"/>
  <c r="S1670" i="8"/>
  <c r="T1670" i="8"/>
  <c r="R1671" i="8"/>
  <c r="S1671" i="8"/>
  <c r="T1671" i="8"/>
  <c r="R1672" i="8"/>
  <c r="S1672" i="8"/>
  <c r="T1672" i="8"/>
  <c r="R1673" i="8"/>
  <c r="S1673" i="8"/>
  <c r="T1673" i="8"/>
  <c r="R1674" i="8"/>
  <c r="S1674" i="8"/>
  <c r="T1674" i="8"/>
  <c r="R1675" i="8"/>
  <c r="S1675" i="8"/>
  <c r="T1675" i="8"/>
  <c r="R1676" i="8"/>
  <c r="S1676" i="8"/>
  <c r="T1676" i="8"/>
  <c r="R1677" i="8"/>
  <c r="S1677" i="8"/>
  <c r="T1677" i="8"/>
  <c r="R1678" i="8"/>
  <c r="S1678" i="8"/>
  <c r="T1678" i="8"/>
  <c r="R1679" i="8"/>
  <c r="S1679" i="8"/>
  <c r="T1679" i="8"/>
  <c r="R1680" i="8"/>
  <c r="S1680" i="8"/>
  <c r="T1680" i="8"/>
  <c r="R1681" i="8"/>
  <c r="S1681" i="8"/>
  <c r="T1681" i="8"/>
  <c r="R1682" i="8"/>
  <c r="S1682" i="8"/>
  <c r="T1682" i="8"/>
  <c r="R1683" i="8"/>
  <c r="S1683" i="8"/>
  <c r="T1683" i="8"/>
  <c r="R1684" i="8"/>
  <c r="S1684" i="8"/>
  <c r="T1684" i="8"/>
  <c r="R1685" i="8"/>
  <c r="S1685" i="8"/>
  <c r="T1685" i="8"/>
  <c r="R1686" i="8"/>
  <c r="S1686" i="8"/>
  <c r="T1686" i="8"/>
  <c r="R1687" i="8"/>
  <c r="S1687" i="8"/>
  <c r="T1687" i="8"/>
  <c r="R1688" i="8"/>
  <c r="S1688" i="8"/>
  <c r="T1688" i="8"/>
  <c r="R1689" i="8"/>
  <c r="S1689" i="8"/>
  <c r="T1689" i="8"/>
  <c r="R1690" i="8"/>
  <c r="S1690" i="8"/>
  <c r="T1690" i="8"/>
  <c r="R1691" i="8"/>
  <c r="S1691" i="8"/>
  <c r="T1691" i="8"/>
  <c r="R1692" i="8"/>
  <c r="S1692" i="8"/>
  <c r="T1692" i="8"/>
  <c r="R1693" i="8"/>
  <c r="S1693" i="8"/>
  <c r="T1693" i="8"/>
  <c r="R1694" i="8"/>
  <c r="S1694" i="8"/>
  <c r="T1694" i="8"/>
  <c r="R1695" i="8"/>
  <c r="S1695" i="8"/>
  <c r="T1695" i="8"/>
  <c r="R1696" i="8"/>
  <c r="S1696" i="8"/>
  <c r="T1696" i="8"/>
  <c r="R1697" i="8"/>
  <c r="S1697" i="8"/>
  <c r="T1697" i="8"/>
  <c r="R1698" i="8"/>
  <c r="S1698" i="8"/>
  <c r="T1698" i="8"/>
  <c r="R1699" i="8"/>
  <c r="S1699" i="8"/>
  <c r="T1699" i="8"/>
  <c r="R1700" i="8"/>
  <c r="S1700" i="8"/>
  <c r="T1700" i="8"/>
  <c r="R1701" i="8"/>
  <c r="S1701" i="8"/>
  <c r="T1701" i="8"/>
  <c r="R1702" i="8"/>
  <c r="S1702" i="8"/>
  <c r="T1702" i="8"/>
  <c r="R1703" i="8"/>
  <c r="S1703" i="8"/>
  <c r="T1703" i="8"/>
  <c r="R1704" i="8"/>
  <c r="S1704" i="8"/>
  <c r="T1704" i="8"/>
  <c r="R1705" i="8"/>
  <c r="S1705" i="8"/>
  <c r="T1705" i="8"/>
  <c r="R1706" i="8"/>
  <c r="S1706" i="8"/>
  <c r="T1706" i="8"/>
  <c r="R1707" i="8"/>
  <c r="S1707" i="8"/>
  <c r="T1707" i="8"/>
  <c r="R1708" i="8"/>
  <c r="S1708" i="8"/>
  <c r="T1708" i="8"/>
  <c r="R1709" i="8"/>
  <c r="S1709" i="8"/>
  <c r="T1709" i="8"/>
  <c r="R1710" i="8"/>
  <c r="S1710" i="8"/>
  <c r="T1710" i="8"/>
  <c r="R1711" i="8"/>
  <c r="S1711" i="8"/>
  <c r="T1711" i="8"/>
  <c r="R1712" i="8"/>
  <c r="S1712" i="8"/>
  <c r="T1712" i="8"/>
  <c r="R1713" i="8"/>
  <c r="S1713" i="8"/>
  <c r="T1713" i="8"/>
  <c r="R1714" i="8"/>
  <c r="S1714" i="8"/>
  <c r="T1714" i="8"/>
  <c r="R1715" i="8"/>
  <c r="S1715" i="8"/>
  <c r="T1715" i="8"/>
  <c r="R1716" i="8"/>
  <c r="S1716" i="8"/>
  <c r="T1716" i="8"/>
  <c r="R1717" i="8"/>
  <c r="S1717" i="8"/>
  <c r="T1717" i="8"/>
  <c r="R1718" i="8"/>
  <c r="S1718" i="8"/>
  <c r="T1718" i="8"/>
  <c r="R1719" i="8"/>
  <c r="S1719" i="8"/>
  <c r="T1719" i="8"/>
  <c r="R1720" i="8"/>
  <c r="S1720" i="8"/>
  <c r="T1720" i="8"/>
  <c r="R1721" i="8"/>
  <c r="S1721" i="8"/>
  <c r="T1721" i="8"/>
  <c r="R1722" i="8"/>
  <c r="S1722" i="8"/>
  <c r="T1722" i="8"/>
  <c r="R1723" i="8"/>
  <c r="S1723" i="8"/>
  <c r="T1723" i="8"/>
  <c r="R1724" i="8"/>
  <c r="S1724" i="8"/>
  <c r="T1724" i="8"/>
  <c r="R1725" i="8"/>
  <c r="S1725" i="8"/>
  <c r="T1725" i="8"/>
  <c r="R1726" i="8"/>
  <c r="S1726" i="8"/>
  <c r="T1726" i="8"/>
  <c r="R1727" i="8"/>
  <c r="S1727" i="8"/>
  <c r="T1727" i="8"/>
  <c r="R1728" i="8"/>
  <c r="S1728" i="8"/>
  <c r="T1728" i="8"/>
  <c r="R1729" i="8"/>
  <c r="S1729" i="8"/>
  <c r="T1729" i="8"/>
  <c r="R1730" i="8"/>
  <c r="S1730" i="8"/>
  <c r="T1730" i="8"/>
  <c r="R1731" i="8"/>
  <c r="S1731" i="8"/>
  <c r="T1731" i="8"/>
  <c r="R1732" i="8"/>
  <c r="S1732" i="8"/>
  <c r="T1732" i="8"/>
  <c r="R1733" i="8"/>
  <c r="S1733" i="8"/>
  <c r="T1733" i="8"/>
  <c r="R1734" i="8"/>
  <c r="S1734" i="8"/>
  <c r="T1734" i="8"/>
  <c r="R1735" i="8"/>
  <c r="S1735" i="8"/>
  <c r="T1735" i="8"/>
  <c r="R1736" i="8"/>
  <c r="S1736" i="8"/>
  <c r="T1736" i="8"/>
  <c r="R1737" i="8"/>
  <c r="S1737" i="8"/>
  <c r="T1737" i="8"/>
  <c r="R1738" i="8"/>
  <c r="S1738" i="8"/>
  <c r="T1738" i="8"/>
  <c r="R1739" i="8"/>
  <c r="S1739" i="8"/>
  <c r="T1739" i="8"/>
  <c r="R1740" i="8"/>
  <c r="S1740" i="8"/>
  <c r="T1740" i="8"/>
  <c r="R1741" i="8"/>
  <c r="S1741" i="8"/>
  <c r="T1741" i="8"/>
  <c r="R1742" i="8"/>
  <c r="S1742" i="8"/>
  <c r="T1742" i="8"/>
  <c r="R1743" i="8"/>
  <c r="S1743" i="8"/>
  <c r="T1743" i="8"/>
  <c r="R1744" i="8"/>
  <c r="S1744" i="8"/>
  <c r="T1744" i="8"/>
  <c r="R1745" i="8"/>
  <c r="S1745" i="8"/>
  <c r="T1745" i="8"/>
  <c r="R1746" i="8"/>
  <c r="S1746" i="8"/>
  <c r="T1746" i="8"/>
  <c r="R1747" i="8"/>
  <c r="S1747" i="8"/>
  <c r="T1747" i="8"/>
  <c r="R1748" i="8"/>
  <c r="S1748" i="8"/>
  <c r="T1748" i="8"/>
  <c r="R1749" i="8"/>
  <c r="S1749" i="8"/>
  <c r="T1749" i="8"/>
  <c r="R1750" i="8"/>
  <c r="S1750" i="8"/>
  <c r="T1750" i="8"/>
  <c r="R1751" i="8"/>
  <c r="S1751" i="8"/>
  <c r="T1751" i="8"/>
  <c r="R1752" i="8"/>
  <c r="S1752" i="8"/>
  <c r="T1752" i="8"/>
  <c r="R1753" i="8"/>
  <c r="S1753" i="8"/>
  <c r="T1753" i="8"/>
  <c r="R1754" i="8"/>
  <c r="S1754" i="8"/>
  <c r="T1754" i="8"/>
  <c r="R1755" i="8"/>
  <c r="S1755" i="8"/>
  <c r="T1755" i="8"/>
  <c r="R1756" i="8"/>
  <c r="S1756" i="8"/>
  <c r="T1756" i="8"/>
  <c r="R1757" i="8"/>
  <c r="S1757" i="8"/>
  <c r="T1757" i="8"/>
  <c r="R1758" i="8"/>
  <c r="S1758" i="8"/>
  <c r="T1758" i="8"/>
  <c r="R1759" i="8"/>
  <c r="S1759" i="8"/>
  <c r="T1759" i="8"/>
  <c r="R1760" i="8"/>
  <c r="S1760" i="8"/>
  <c r="T1760" i="8"/>
  <c r="R1761" i="8"/>
  <c r="S1761" i="8"/>
  <c r="T1761" i="8"/>
  <c r="R1762" i="8"/>
  <c r="S1762" i="8"/>
  <c r="T1762" i="8"/>
  <c r="R1763" i="8"/>
  <c r="S1763" i="8"/>
  <c r="T1763" i="8"/>
  <c r="R1764" i="8"/>
  <c r="S1764" i="8"/>
  <c r="T1764" i="8"/>
  <c r="R1765" i="8"/>
  <c r="S1765" i="8"/>
  <c r="T1765" i="8"/>
  <c r="R1766" i="8"/>
  <c r="S1766" i="8"/>
  <c r="T1766" i="8"/>
  <c r="R1767" i="8"/>
  <c r="S1767" i="8"/>
  <c r="T1767" i="8"/>
  <c r="R1768" i="8"/>
  <c r="S1768" i="8"/>
  <c r="T1768" i="8"/>
  <c r="R1769" i="8"/>
  <c r="S1769" i="8"/>
  <c r="T1769" i="8"/>
  <c r="R1770" i="8"/>
  <c r="S1770" i="8"/>
  <c r="T1770" i="8"/>
  <c r="R1771" i="8"/>
  <c r="S1771" i="8"/>
  <c r="T1771" i="8"/>
  <c r="R1772" i="8"/>
  <c r="S1772" i="8"/>
  <c r="T1772" i="8"/>
  <c r="R1773" i="8"/>
  <c r="S1773" i="8"/>
  <c r="T1773" i="8"/>
  <c r="R1774" i="8"/>
  <c r="S1774" i="8"/>
  <c r="T1774" i="8"/>
  <c r="R1775" i="8"/>
  <c r="S1775" i="8"/>
  <c r="T1775" i="8"/>
  <c r="R1776" i="8"/>
  <c r="S1776" i="8"/>
  <c r="T1776" i="8"/>
  <c r="R1777" i="8"/>
  <c r="S1777" i="8"/>
  <c r="T1777" i="8"/>
  <c r="R1778" i="8"/>
  <c r="S1778" i="8"/>
  <c r="T1778" i="8"/>
  <c r="R1779" i="8"/>
  <c r="S1779" i="8"/>
  <c r="T1779" i="8"/>
  <c r="R1780" i="8"/>
  <c r="S1780" i="8"/>
  <c r="T1780" i="8"/>
  <c r="R1781" i="8"/>
  <c r="S1781" i="8"/>
  <c r="T1781" i="8"/>
  <c r="R1782" i="8"/>
  <c r="S1782" i="8"/>
  <c r="T1782" i="8"/>
  <c r="R1783" i="8"/>
  <c r="S1783" i="8"/>
  <c r="T1783" i="8"/>
  <c r="R1784" i="8"/>
  <c r="S1784" i="8"/>
  <c r="T1784" i="8"/>
  <c r="R1785" i="8"/>
  <c r="S1785" i="8"/>
  <c r="T1785" i="8"/>
  <c r="R1786" i="8"/>
  <c r="S1786" i="8"/>
  <c r="T1786" i="8"/>
  <c r="R1787" i="8"/>
  <c r="S1787" i="8"/>
  <c r="T1787" i="8"/>
  <c r="R1788" i="8"/>
  <c r="S1788" i="8"/>
  <c r="T1788" i="8"/>
  <c r="R1789" i="8"/>
  <c r="S1789" i="8"/>
  <c r="T1789" i="8"/>
  <c r="R1790" i="8"/>
  <c r="S1790" i="8"/>
  <c r="T1790" i="8"/>
  <c r="R1791" i="8"/>
  <c r="S1791" i="8"/>
  <c r="T1791" i="8"/>
  <c r="R1792" i="8"/>
  <c r="S1792" i="8"/>
  <c r="T1792" i="8"/>
  <c r="R1793" i="8"/>
  <c r="S1793" i="8"/>
  <c r="T1793" i="8"/>
  <c r="R1794" i="8"/>
  <c r="S1794" i="8"/>
  <c r="T1794" i="8"/>
  <c r="R1795" i="8"/>
  <c r="S1795" i="8"/>
  <c r="T1795" i="8"/>
  <c r="R1796" i="8"/>
  <c r="S1796" i="8"/>
  <c r="T1796" i="8"/>
  <c r="R1797" i="8"/>
  <c r="S1797" i="8"/>
  <c r="T1797" i="8"/>
  <c r="R1798" i="8"/>
  <c r="S1798" i="8"/>
  <c r="T1798" i="8"/>
  <c r="R1799" i="8"/>
  <c r="S1799" i="8"/>
  <c r="T1799" i="8"/>
  <c r="R1800" i="8"/>
  <c r="S1800" i="8"/>
  <c r="T1800" i="8"/>
  <c r="R1801" i="8"/>
  <c r="S1801" i="8"/>
  <c r="T1801" i="8"/>
  <c r="R1802" i="8"/>
  <c r="S1802" i="8"/>
  <c r="T1802" i="8"/>
  <c r="R1803" i="8"/>
  <c r="S1803" i="8"/>
  <c r="T1803" i="8"/>
  <c r="R1804" i="8"/>
  <c r="S1804" i="8"/>
  <c r="T1804" i="8"/>
  <c r="R1805" i="8"/>
  <c r="S1805" i="8"/>
  <c r="T1805" i="8"/>
  <c r="R1806" i="8"/>
  <c r="S1806" i="8"/>
  <c r="T1806" i="8"/>
  <c r="R1807" i="8"/>
  <c r="S1807" i="8"/>
  <c r="T1807" i="8"/>
  <c r="R1808" i="8"/>
  <c r="S1808" i="8"/>
  <c r="T1808" i="8"/>
  <c r="R1809" i="8"/>
  <c r="S1809" i="8"/>
  <c r="T1809" i="8"/>
  <c r="R1810" i="8"/>
  <c r="S1810" i="8"/>
  <c r="T1810" i="8"/>
  <c r="R1811" i="8"/>
  <c r="S1811" i="8"/>
  <c r="T1811" i="8"/>
  <c r="R1812" i="8"/>
  <c r="S1812" i="8"/>
  <c r="T1812" i="8"/>
  <c r="R1813" i="8"/>
  <c r="S1813" i="8"/>
  <c r="T1813" i="8"/>
  <c r="R1814" i="8"/>
  <c r="S1814" i="8"/>
  <c r="T1814" i="8"/>
  <c r="R1815" i="8"/>
  <c r="S1815" i="8"/>
  <c r="T1815" i="8"/>
  <c r="R1816" i="8"/>
  <c r="S1816" i="8"/>
  <c r="T1816" i="8"/>
  <c r="R1817" i="8"/>
  <c r="S1817" i="8"/>
  <c r="T1817" i="8"/>
  <c r="R1818" i="8"/>
  <c r="S1818" i="8"/>
  <c r="T1818" i="8"/>
  <c r="R1819" i="8"/>
  <c r="S1819" i="8"/>
  <c r="T1819" i="8"/>
  <c r="R1820" i="8"/>
  <c r="S1820" i="8"/>
  <c r="T1820" i="8"/>
  <c r="R1821" i="8"/>
  <c r="S1821" i="8"/>
  <c r="T1821" i="8"/>
  <c r="R1822" i="8"/>
  <c r="S1822" i="8"/>
  <c r="T1822" i="8"/>
  <c r="R1823" i="8"/>
  <c r="S1823" i="8"/>
  <c r="T1823" i="8"/>
  <c r="R1824" i="8"/>
  <c r="S1824" i="8"/>
  <c r="T1824" i="8"/>
  <c r="R1825" i="8"/>
  <c r="S1825" i="8"/>
  <c r="T1825" i="8"/>
  <c r="R1826" i="8"/>
  <c r="S1826" i="8"/>
  <c r="T1826" i="8"/>
  <c r="R1827" i="8"/>
  <c r="S1827" i="8"/>
  <c r="T1827" i="8"/>
  <c r="R1828" i="8"/>
  <c r="S1828" i="8"/>
  <c r="T1828" i="8"/>
  <c r="R1829" i="8"/>
  <c r="S1829" i="8"/>
  <c r="T1829" i="8"/>
  <c r="R1830" i="8"/>
  <c r="S1830" i="8"/>
  <c r="T1830" i="8"/>
  <c r="R1831" i="8"/>
  <c r="S1831" i="8"/>
  <c r="T1831" i="8"/>
  <c r="R1832" i="8"/>
  <c r="S1832" i="8"/>
  <c r="T1832" i="8"/>
  <c r="R1833" i="8"/>
  <c r="S1833" i="8"/>
  <c r="T1833" i="8"/>
  <c r="R1834" i="8"/>
  <c r="S1834" i="8"/>
  <c r="T1834" i="8"/>
  <c r="R1835" i="8"/>
  <c r="S1835" i="8"/>
  <c r="T1835" i="8"/>
  <c r="R1836" i="8"/>
  <c r="S1836" i="8"/>
  <c r="T1836" i="8"/>
  <c r="R1837" i="8"/>
  <c r="S1837" i="8"/>
  <c r="T1837" i="8"/>
  <c r="R1838" i="8"/>
  <c r="S1838" i="8"/>
  <c r="T1838" i="8"/>
  <c r="R1839" i="8"/>
  <c r="S1839" i="8"/>
  <c r="T1839" i="8"/>
  <c r="R1840" i="8"/>
  <c r="S1840" i="8"/>
  <c r="T1840" i="8"/>
  <c r="R1841" i="8"/>
  <c r="S1841" i="8"/>
  <c r="T1841" i="8"/>
  <c r="R1842" i="8"/>
  <c r="S1842" i="8"/>
  <c r="T1842" i="8"/>
  <c r="R1843" i="8"/>
  <c r="S1843" i="8"/>
  <c r="T1843" i="8"/>
  <c r="R1844" i="8"/>
  <c r="S1844" i="8"/>
  <c r="T1844" i="8"/>
  <c r="R1845" i="8"/>
  <c r="S1845" i="8"/>
  <c r="T1845" i="8"/>
  <c r="R1846" i="8"/>
  <c r="S1846" i="8"/>
  <c r="T1846" i="8"/>
  <c r="R1847" i="8"/>
  <c r="S1847" i="8"/>
  <c r="T1847" i="8"/>
  <c r="R1848" i="8"/>
  <c r="S1848" i="8"/>
  <c r="T1848" i="8"/>
  <c r="R1849" i="8"/>
  <c r="S1849" i="8"/>
  <c r="T1849" i="8"/>
  <c r="R1850" i="8"/>
  <c r="S1850" i="8"/>
  <c r="T1850" i="8"/>
  <c r="R1851" i="8"/>
  <c r="S1851" i="8"/>
  <c r="T1851" i="8"/>
  <c r="R1852" i="8"/>
  <c r="S1852" i="8"/>
  <c r="T1852" i="8"/>
  <c r="R1853" i="8"/>
  <c r="S1853" i="8"/>
  <c r="T1853" i="8"/>
  <c r="R1854" i="8"/>
  <c r="S1854" i="8"/>
  <c r="T1854" i="8"/>
  <c r="R1855" i="8"/>
  <c r="S1855" i="8"/>
  <c r="T1855" i="8"/>
  <c r="R1856" i="8"/>
  <c r="S1856" i="8"/>
  <c r="T1856" i="8"/>
  <c r="R1857" i="8"/>
  <c r="S1857" i="8"/>
  <c r="T1857" i="8"/>
  <c r="R1858" i="8"/>
  <c r="S1858" i="8"/>
  <c r="T1858" i="8"/>
  <c r="R1859" i="8"/>
  <c r="S1859" i="8"/>
  <c r="T1859" i="8"/>
  <c r="R1860" i="8"/>
  <c r="S1860" i="8"/>
  <c r="T1860" i="8"/>
  <c r="R1861" i="8"/>
  <c r="S1861" i="8"/>
  <c r="T1861" i="8"/>
  <c r="R1862" i="8"/>
  <c r="S1862" i="8"/>
  <c r="T1862" i="8"/>
  <c r="R1863" i="8"/>
  <c r="S1863" i="8"/>
  <c r="T1863" i="8"/>
  <c r="R1864" i="8"/>
  <c r="S1864" i="8"/>
  <c r="T1864" i="8"/>
  <c r="R1865" i="8"/>
  <c r="S1865" i="8"/>
  <c r="T1865" i="8"/>
  <c r="R1866" i="8"/>
  <c r="S1866" i="8"/>
  <c r="T1866" i="8"/>
  <c r="R1867" i="8"/>
  <c r="S1867" i="8"/>
  <c r="T1867" i="8"/>
  <c r="R1868" i="8"/>
  <c r="S1868" i="8"/>
  <c r="T1868" i="8"/>
  <c r="R1869" i="8"/>
  <c r="S1869" i="8"/>
  <c r="T1869" i="8"/>
  <c r="R1870" i="8"/>
  <c r="S1870" i="8"/>
  <c r="T1870" i="8"/>
  <c r="R1871" i="8"/>
  <c r="S1871" i="8"/>
  <c r="T1871" i="8"/>
  <c r="R1872" i="8"/>
  <c r="S1872" i="8"/>
  <c r="T1872" i="8"/>
  <c r="R1873" i="8"/>
  <c r="S1873" i="8"/>
  <c r="T1873" i="8"/>
  <c r="R1874" i="8"/>
  <c r="S1874" i="8"/>
  <c r="T1874" i="8"/>
  <c r="R1875" i="8"/>
  <c r="S1875" i="8"/>
  <c r="T1875" i="8"/>
  <c r="R1876" i="8"/>
  <c r="S1876" i="8"/>
  <c r="T1876" i="8"/>
  <c r="R1877" i="8"/>
  <c r="S1877" i="8"/>
  <c r="T1877" i="8"/>
  <c r="R1878" i="8"/>
  <c r="S1878" i="8"/>
  <c r="T1878" i="8"/>
  <c r="R1879" i="8"/>
  <c r="S1879" i="8"/>
  <c r="T1879" i="8"/>
  <c r="R1880" i="8"/>
  <c r="S1880" i="8"/>
  <c r="T1880" i="8"/>
  <c r="R1881" i="8"/>
  <c r="S1881" i="8"/>
  <c r="T1881" i="8"/>
  <c r="R1882" i="8"/>
  <c r="S1882" i="8"/>
  <c r="T1882" i="8"/>
  <c r="R1883" i="8"/>
  <c r="S1883" i="8"/>
  <c r="T1883" i="8"/>
  <c r="R1884" i="8"/>
  <c r="S1884" i="8"/>
  <c r="T1884" i="8"/>
  <c r="R1885" i="8"/>
  <c r="S1885" i="8"/>
  <c r="T1885" i="8"/>
  <c r="R1886" i="8"/>
  <c r="S1886" i="8"/>
  <c r="T1886" i="8"/>
  <c r="R1887" i="8"/>
  <c r="S1887" i="8"/>
  <c r="T1887" i="8"/>
  <c r="R1888" i="8"/>
  <c r="S1888" i="8"/>
  <c r="T1888" i="8"/>
  <c r="R1889" i="8"/>
  <c r="S1889" i="8"/>
  <c r="T1889" i="8"/>
  <c r="R1890" i="8"/>
  <c r="S1890" i="8"/>
  <c r="T1890" i="8"/>
  <c r="R1891" i="8"/>
  <c r="S1891" i="8"/>
  <c r="T1891" i="8"/>
  <c r="R1892" i="8"/>
  <c r="S1892" i="8"/>
  <c r="T1892" i="8"/>
  <c r="R1893" i="8"/>
  <c r="S1893" i="8"/>
  <c r="T1893" i="8"/>
  <c r="R1894" i="8"/>
  <c r="S1894" i="8"/>
  <c r="T1894" i="8"/>
  <c r="R1895" i="8"/>
  <c r="S1895" i="8"/>
  <c r="T1895" i="8"/>
  <c r="R1896" i="8"/>
  <c r="S1896" i="8"/>
  <c r="T1896" i="8"/>
  <c r="R1897" i="8"/>
  <c r="S1897" i="8"/>
  <c r="T1897" i="8"/>
  <c r="R1898" i="8"/>
  <c r="S1898" i="8"/>
  <c r="T1898" i="8"/>
  <c r="R1899" i="8"/>
  <c r="S1899" i="8"/>
  <c r="T1899" i="8"/>
  <c r="R1900" i="8"/>
  <c r="S1900" i="8"/>
  <c r="T1900" i="8"/>
  <c r="R1901" i="8"/>
  <c r="S1901" i="8"/>
  <c r="T1901" i="8"/>
  <c r="R1902" i="8"/>
  <c r="S1902" i="8"/>
  <c r="T1902" i="8"/>
  <c r="R1903" i="8"/>
  <c r="S1903" i="8"/>
  <c r="T1903" i="8"/>
  <c r="R1904" i="8"/>
  <c r="S1904" i="8"/>
  <c r="T1904" i="8"/>
  <c r="R1905" i="8"/>
  <c r="S1905" i="8"/>
  <c r="T1905" i="8"/>
  <c r="R1906" i="8"/>
  <c r="S1906" i="8"/>
  <c r="T1906" i="8"/>
  <c r="R1907" i="8"/>
  <c r="S1907" i="8"/>
  <c r="T1907" i="8"/>
  <c r="R1908" i="8"/>
  <c r="S1908" i="8"/>
  <c r="T1908" i="8"/>
  <c r="R1909" i="8"/>
  <c r="S1909" i="8"/>
  <c r="T1909" i="8"/>
  <c r="R1910" i="8"/>
  <c r="S1910" i="8"/>
  <c r="T1910" i="8"/>
  <c r="R1911" i="8"/>
  <c r="S1911" i="8"/>
  <c r="T1911" i="8"/>
  <c r="R1912" i="8"/>
  <c r="S1912" i="8"/>
  <c r="T1912" i="8"/>
  <c r="R1913" i="8"/>
  <c r="S1913" i="8"/>
  <c r="T1913" i="8"/>
  <c r="R1914" i="8"/>
  <c r="S1914" i="8"/>
  <c r="T1914" i="8"/>
  <c r="R1915" i="8"/>
  <c r="S1915" i="8"/>
  <c r="T1915" i="8"/>
  <c r="R1916" i="8"/>
  <c r="S1916" i="8"/>
  <c r="T1916" i="8"/>
  <c r="R1917" i="8"/>
  <c r="S1917" i="8"/>
  <c r="T1917" i="8"/>
  <c r="R1918" i="8"/>
  <c r="S1918" i="8"/>
  <c r="T1918" i="8"/>
  <c r="R1919" i="8"/>
  <c r="S1919" i="8"/>
  <c r="T1919" i="8"/>
  <c r="R1920" i="8"/>
  <c r="S1920" i="8"/>
  <c r="T1920" i="8"/>
  <c r="R1921" i="8"/>
  <c r="S1921" i="8"/>
  <c r="T1921" i="8"/>
  <c r="R1922" i="8"/>
  <c r="S1922" i="8"/>
  <c r="T1922" i="8"/>
  <c r="R1923" i="8"/>
  <c r="S1923" i="8"/>
  <c r="T1923" i="8"/>
  <c r="R1924" i="8"/>
  <c r="S1924" i="8"/>
  <c r="T1924" i="8"/>
  <c r="R1925" i="8"/>
  <c r="S1925" i="8"/>
  <c r="T1925" i="8"/>
  <c r="R1926" i="8"/>
  <c r="S1926" i="8"/>
  <c r="T1926" i="8"/>
  <c r="R1927" i="8"/>
  <c r="S1927" i="8"/>
  <c r="T1927" i="8"/>
  <c r="R1928" i="8"/>
  <c r="S1928" i="8"/>
  <c r="T1928" i="8"/>
  <c r="R1929" i="8"/>
  <c r="S1929" i="8"/>
  <c r="T1929" i="8"/>
  <c r="R1930" i="8"/>
  <c r="S1930" i="8"/>
  <c r="T1930" i="8"/>
  <c r="R1931" i="8"/>
  <c r="S1931" i="8"/>
  <c r="T1931" i="8"/>
  <c r="R1932" i="8"/>
  <c r="S1932" i="8"/>
  <c r="T1932" i="8"/>
  <c r="R1933" i="8"/>
  <c r="S1933" i="8"/>
  <c r="T1933" i="8"/>
  <c r="R1934" i="8"/>
  <c r="S1934" i="8"/>
  <c r="T1934" i="8"/>
  <c r="R1935" i="8"/>
  <c r="S1935" i="8"/>
  <c r="T1935" i="8"/>
  <c r="R1936" i="8"/>
  <c r="S1936" i="8"/>
  <c r="T1936" i="8"/>
  <c r="R1937" i="8"/>
  <c r="S1937" i="8"/>
  <c r="T1937" i="8"/>
  <c r="R1938" i="8"/>
  <c r="S1938" i="8"/>
  <c r="T1938" i="8"/>
  <c r="R1939" i="8"/>
  <c r="S1939" i="8"/>
  <c r="T1939" i="8"/>
  <c r="R1940" i="8"/>
  <c r="S1940" i="8"/>
  <c r="T1940" i="8"/>
  <c r="R1941" i="8"/>
  <c r="S1941" i="8"/>
  <c r="T1941" i="8"/>
  <c r="R1942" i="8"/>
  <c r="S1942" i="8"/>
  <c r="T1942" i="8"/>
  <c r="R1943" i="8"/>
  <c r="S1943" i="8"/>
  <c r="T1943" i="8"/>
  <c r="R1944" i="8"/>
  <c r="S1944" i="8"/>
  <c r="T1944" i="8"/>
  <c r="R1945" i="8"/>
  <c r="S1945" i="8"/>
  <c r="T1945" i="8"/>
  <c r="R1946" i="8"/>
  <c r="S1946" i="8"/>
  <c r="T1946" i="8"/>
  <c r="R1947" i="8"/>
  <c r="S1947" i="8"/>
  <c r="T1947" i="8"/>
  <c r="R1948" i="8"/>
  <c r="S1948" i="8"/>
  <c r="T1948" i="8"/>
  <c r="R1949" i="8"/>
  <c r="S1949" i="8"/>
  <c r="T1949" i="8"/>
  <c r="R1950" i="8"/>
  <c r="S1950" i="8"/>
  <c r="T1950" i="8"/>
  <c r="R1951" i="8"/>
  <c r="S1951" i="8"/>
  <c r="T1951" i="8"/>
  <c r="R1952" i="8"/>
  <c r="S1952" i="8"/>
  <c r="T1952" i="8"/>
  <c r="R1953" i="8"/>
  <c r="S1953" i="8"/>
  <c r="T1953" i="8"/>
  <c r="R1954" i="8"/>
  <c r="S1954" i="8"/>
  <c r="T1954" i="8"/>
  <c r="R1955" i="8"/>
  <c r="S1955" i="8"/>
  <c r="T1955" i="8"/>
  <c r="R1956" i="8"/>
  <c r="S1956" i="8"/>
  <c r="T1956" i="8"/>
  <c r="R1957" i="8"/>
  <c r="S1957" i="8"/>
  <c r="T1957" i="8"/>
  <c r="R1958" i="8"/>
  <c r="S1958" i="8"/>
  <c r="T1958" i="8"/>
  <c r="R1959" i="8"/>
  <c r="S1959" i="8"/>
  <c r="T1959" i="8"/>
  <c r="R1960" i="8"/>
  <c r="S1960" i="8"/>
  <c r="T1960" i="8"/>
  <c r="R1961" i="8"/>
  <c r="S1961" i="8"/>
  <c r="T1961" i="8"/>
  <c r="R1962" i="8"/>
  <c r="S1962" i="8"/>
  <c r="T1962" i="8"/>
  <c r="R1963" i="8"/>
  <c r="S1963" i="8"/>
  <c r="T1963" i="8"/>
  <c r="R1964" i="8"/>
  <c r="S1964" i="8"/>
  <c r="T1964" i="8"/>
  <c r="R1965" i="8"/>
  <c r="S1965" i="8"/>
  <c r="T1965" i="8"/>
  <c r="R1966" i="8"/>
  <c r="S1966" i="8"/>
  <c r="T1966" i="8"/>
  <c r="R1967" i="8"/>
  <c r="S1967" i="8"/>
  <c r="T1967" i="8"/>
  <c r="R1968" i="8"/>
  <c r="S1968" i="8"/>
  <c r="T1968" i="8"/>
  <c r="R1969" i="8"/>
  <c r="S1969" i="8"/>
  <c r="T1969" i="8"/>
  <c r="R1970" i="8"/>
  <c r="S1970" i="8"/>
  <c r="T1970" i="8"/>
  <c r="R1971" i="8"/>
  <c r="S1971" i="8"/>
  <c r="T1971" i="8"/>
  <c r="R1972" i="8"/>
  <c r="S1972" i="8"/>
  <c r="T1972" i="8"/>
  <c r="R1973" i="8"/>
  <c r="S1973" i="8"/>
  <c r="T1973" i="8"/>
  <c r="R1974" i="8"/>
  <c r="S1974" i="8"/>
  <c r="T1974" i="8"/>
  <c r="R1975" i="8"/>
  <c r="S1975" i="8"/>
  <c r="T1975" i="8"/>
  <c r="R1976" i="8"/>
  <c r="S1976" i="8"/>
  <c r="T1976" i="8"/>
  <c r="R1977" i="8"/>
  <c r="S1977" i="8"/>
  <c r="T1977" i="8"/>
  <c r="R1978" i="8"/>
  <c r="S1978" i="8"/>
  <c r="T1978" i="8"/>
  <c r="R1979" i="8"/>
  <c r="S1979" i="8"/>
  <c r="T1979" i="8"/>
  <c r="R1980" i="8"/>
  <c r="S1980" i="8"/>
  <c r="T1980" i="8"/>
  <c r="R1981" i="8"/>
  <c r="S1981" i="8"/>
  <c r="T1981" i="8"/>
  <c r="R1982" i="8"/>
  <c r="S1982" i="8"/>
  <c r="T1982" i="8"/>
  <c r="R1983" i="8"/>
  <c r="S1983" i="8"/>
  <c r="T1983" i="8"/>
  <c r="R1984" i="8"/>
  <c r="S1984" i="8"/>
  <c r="T1984" i="8"/>
  <c r="R1985" i="8"/>
  <c r="S1985" i="8"/>
  <c r="T1985" i="8"/>
  <c r="R1986" i="8"/>
  <c r="S1986" i="8"/>
  <c r="T1986" i="8"/>
  <c r="R1987" i="8"/>
  <c r="S1987" i="8"/>
  <c r="T1987" i="8"/>
  <c r="R1988" i="8"/>
  <c r="S1988" i="8"/>
  <c r="T1988" i="8"/>
  <c r="R1989" i="8"/>
  <c r="S1989" i="8"/>
  <c r="T1989" i="8"/>
  <c r="R1990" i="8"/>
  <c r="S1990" i="8"/>
  <c r="T1990" i="8"/>
  <c r="R1991" i="8"/>
  <c r="S1991" i="8"/>
  <c r="T1991" i="8"/>
  <c r="R1992" i="8"/>
  <c r="S1992" i="8"/>
  <c r="T1992" i="8"/>
  <c r="R1993" i="8"/>
  <c r="S1993" i="8"/>
  <c r="T1993" i="8"/>
  <c r="R1994" i="8"/>
  <c r="S1994" i="8"/>
  <c r="T1994" i="8"/>
  <c r="R1995" i="8"/>
  <c r="S1995" i="8"/>
  <c r="T1995" i="8"/>
  <c r="R1996" i="8"/>
  <c r="S1996" i="8"/>
  <c r="T1996" i="8"/>
  <c r="R1997" i="8"/>
  <c r="S1997" i="8"/>
  <c r="T1997" i="8"/>
  <c r="R1998" i="8"/>
  <c r="S1998" i="8"/>
  <c r="T1998" i="8"/>
  <c r="R1999" i="8"/>
  <c r="S1999" i="8"/>
  <c r="T1999" i="8"/>
  <c r="R2000" i="8"/>
  <c r="S2000" i="8"/>
  <c r="T2000" i="8"/>
  <c r="R2001" i="8"/>
  <c r="S2001" i="8"/>
  <c r="T2001" i="8"/>
  <c r="R2002" i="8"/>
  <c r="S2002" i="8"/>
  <c r="T2002" i="8"/>
  <c r="R2003" i="8"/>
  <c r="S2003" i="8"/>
  <c r="T2003" i="8"/>
  <c r="R2004" i="8"/>
  <c r="S2004" i="8"/>
  <c r="T2004" i="8"/>
  <c r="R2005" i="8"/>
  <c r="S2005" i="8"/>
  <c r="T2005" i="8"/>
  <c r="R2006" i="8"/>
  <c r="S2006" i="8"/>
  <c r="T2006" i="8"/>
  <c r="R2007" i="8"/>
  <c r="S2007" i="8"/>
  <c r="T2007" i="8"/>
  <c r="R2008" i="8"/>
  <c r="S2008" i="8"/>
  <c r="T2008" i="8"/>
  <c r="R2009" i="8"/>
  <c r="S2009" i="8"/>
  <c r="T2009" i="8"/>
  <c r="R2010" i="8"/>
  <c r="S2010" i="8"/>
  <c r="T2010" i="8"/>
  <c r="R2011" i="8"/>
  <c r="S2011" i="8"/>
  <c r="T2011" i="8"/>
  <c r="R2012" i="8"/>
  <c r="S2012" i="8"/>
  <c r="T2012" i="8"/>
  <c r="R2013" i="8"/>
  <c r="S2013" i="8"/>
  <c r="T2013" i="8"/>
  <c r="R2014" i="8"/>
  <c r="S2014" i="8"/>
  <c r="T2014" i="8"/>
  <c r="R2015" i="8"/>
  <c r="S2015" i="8"/>
  <c r="T2015" i="8"/>
  <c r="R2016" i="8"/>
  <c r="S2016" i="8"/>
  <c r="T2016" i="8"/>
  <c r="R2017" i="8"/>
  <c r="S2017" i="8"/>
  <c r="T2017" i="8"/>
  <c r="R2018" i="8"/>
  <c r="S2018" i="8"/>
  <c r="T2018" i="8"/>
  <c r="R2019" i="8"/>
  <c r="S2019" i="8"/>
  <c r="T2019" i="8"/>
  <c r="R2020" i="8"/>
  <c r="S2020" i="8"/>
  <c r="T2020" i="8"/>
  <c r="R2021" i="8"/>
  <c r="S2021" i="8"/>
  <c r="T2021" i="8"/>
  <c r="R2022" i="8"/>
  <c r="S2022" i="8"/>
  <c r="T2022" i="8"/>
  <c r="R2023" i="8"/>
  <c r="S2023" i="8"/>
  <c r="T2023" i="8"/>
  <c r="R2024" i="8"/>
  <c r="S2024" i="8"/>
  <c r="T2024" i="8"/>
  <c r="R2025" i="8"/>
  <c r="S2025" i="8"/>
  <c r="T2025" i="8"/>
  <c r="R2026" i="8"/>
  <c r="S2026" i="8"/>
  <c r="T2026" i="8"/>
  <c r="R2027" i="8"/>
  <c r="S2027" i="8"/>
  <c r="T2027" i="8"/>
  <c r="R2028" i="8"/>
  <c r="S2028" i="8"/>
  <c r="T2028" i="8"/>
  <c r="R2029" i="8"/>
  <c r="S2029" i="8"/>
  <c r="T2029" i="8"/>
  <c r="R2030" i="8"/>
  <c r="S2030" i="8"/>
  <c r="T2030" i="8"/>
  <c r="R2031" i="8"/>
  <c r="S2031" i="8"/>
  <c r="T2031" i="8"/>
  <c r="R2032" i="8"/>
  <c r="S2032" i="8"/>
  <c r="T2032" i="8"/>
  <c r="R2033" i="8"/>
  <c r="S2033" i="8"/>
  <c r="T2033" i="8"/>
  <c r="R2034" i="8"/>
  <c r="S2034" i="8"/>
  <c r="T2034" i="8"/>
  <c r="R2035" i="8"/>
  <c r="S2035" i="8"/>
  <c r="T2035" i="8"/>
  <c r="R2036" i="8"/>
  <c r="S2036" i="8"/>
  <c r="T2036" i="8"/>
  <c r="R2037" i="8"/>
  <c r="S2037" i="8"/>
  <c r="T2037" i="8"/>
  <c r="R2038" i="8"/>
  <c r="S2038" i="8"/>
  <c r="T2038" i="8"/>
  <c r="R2039" i="8"/>
  <c r="S2039" i="8"/>
  <c r="T2039" i="8"/>
  <c r="R2040" i="8"/>
  <c r="S2040" i="8"/>
  <c r="T2040" i="8"/>
  <c r="R2041" i="8"/>
  <c r="S2041" i="8"/>
  <c r="T2041" i="8"/>
  <c r="R2042" i="8"/>
  <c r="S2042" i="8"/>
  <c r="T2042" i="8"/>
  <c r="R2043" i="8"/>
  <c r="S2043" i="8"/>
  <c r="T2043" i="8"/>
  <c r="R2044" i="8"/>
  <c r="S2044" i="8"/>
  <c r="T2044" i="8"/>
  <c r="R2045" i="8"/>
  <c r="S2045" i="8"/>
  <c r="T2045" i="8"/>
  <c r="R2046" i="8"/>
  <c r="S2046" i="8"/>
  <c r="T2046" i="8"/>
  <c r="R2047" i="8"/>
  <c r="S2047" i="8"/>
  <c r="T2047" i="8"/>
  <c r="R2048" i="8"/>
  <c r="S2048" i="8"/>
  <c r="T2048" i="8"/>
  <c r="R2049" i="8"/>
  <c r="S2049" i="8"/>
  <c r="T2049" i="8"/>
  <c r="R2050" i="8"/>
  <c r="S2050" i="8"/>
  <c r="T2050" i="8"/>
  <c r="R2051" i="8"/>
  <c r="S2051" i="8"/>
  <c r="T2051" i="8"/>
  <c r="R2052" i="8"/>
  <c r="S2052" i="8"/>
  <c r="T2052" i="8"/>
  <c r="R2053" i="8"/>
  <c r="S2053" i="8"/>
  <c r="T2053" i="8"/>
  <c r="R2054" i="8"/>
  <c r="S2054" i="8"/>
  <c r="T2054" i="8"/>
  <c r="R2055" i="8"/>
  <c r="S2055" i="8"/>
  <c r="T2055" i="8"/>
  <c r="R2056" i="8"/>
  <c r="S2056" i="8"/>
  <c r="T2056" i="8"/>
  <c r="R2057" i="8"/>
  <c r="S2057" i="8"/>
  <c r="T2057" i="8"/>
  <c r="R2058" i="8"/>
  <c r="S2058" i="8"/>
  <c r="T2058" i="8"/>
  <c r="R2059" i="8"/>
  <c r="S2059" i="8"/>
  <c r="T2059" i="8"/>
  <c r="R2060" i="8"/>
  <c r="S2060" i="8"/>
  <c r="T2060" i="8"/>
  <c r="R2061" i="8"/>
  <c r="S2061" i="8"/>
  <c r="T2061" i="8"/>
  <c r="R2062" i="8"/>
  <c r="S2062" i="8"/>
  <c r="T2062" i="8"/>
  <c r="R2063" i="8"/>
  <c r="S2063" i="8"/>
  <c r="T2063" i="8"/>
  <c r="R2064" i="8"/>
  <c r="S2064" i="8"/>
  <c r="T2064" i="8"/>
  <c r="R2065" i="8"/>
  <c r="S2065" i="8"/>
  <c r="T2065" i="8"/>
  <c r="R2066" i="8"/>
  <c r="S2066" i="8"/>
  <c r="T2066" i="8"/>
  <c r="R2067" i="8"/>
  <c r="S2067" i="8"/>
  <c r="T2067" i="8"/>
  <c r="R2068" i="8"/>
  <c r="S2068" i="8"/>
  <c r="T2068" i="8"/>
  <c r="R2069" i="8"/>
  <c r="S2069" i="8"/>
  <c r="T2069" i="8"/>
  <c r="R2070" i="8"/>
  <c r="S2070" i="8"/>
  <c r="T2070" i="8"/>
  <c r="R2071" i="8"/>
  <c r="S2071" i="8"/>
  <c r="T2071" i="8"/>
  <c r="R2072" i="8"/>
  <c r="S2072" i="8"/>
  <c r="T2072" i="8"/>
  <c r="R2073" i="8"/>
  <c r="S2073" i="8"/>
  <c r="T2073" i="8"/>
  <c r="R2074" i="8"/>
  <c r="S2074" i="8"/>
  <c r="T2074" i="8"/>
  <c r="R2075" i="8"/>
  <c r="S2075" i="8"/>
  <c r="T2075" i="8"/>
  <c r="R2076" i="8"/>
  <c r="S2076" i="8"/>
  <c r="T2076" i="8"/>
  <c r="R2077" i="8"/>
  <c r="S2077" i="8"/>
  <c r="T2077" i="8"/>
  <c r="R2078" i="8"/>
  <c r="S2078" i="8"/>
  <c r="T2078" i="8"/>
  <c r="R2079" i="8"/>
  <c r="S2079" i="8"/>
  <c r="T2079" i="8"/>
  <c r="R2080" i="8"/>
  <c r="S2080" i="8"/>
  <c r="T2080" i="8"/>
  <c r="R2081" i="8"/>
  <c r="S2081" i="8"/>
  <c r="T2081" i="8"/>
  <c r="R2082" i="8"/>
  <c r="S2082" i="8"/>
  <c r="T2082" i="8"/>
  <c r="R2083" i="8"/>
  <c r="S2083" i="8"/>
  <c r="T2083" i="8"/>
  <c r="R2084" i="8"/>
  <c r="S2084" i="8"/>
  <c r="T2084" i="8"/>
  <c r="R2085" i="8"/>
  <c r="S2085" i="8"/>
  <c r="T2085" i="8"/>
  <c r="R2086" i="8"/>
  <c r="S2086" i="8"/>
  <c r="T2086" i="8"/>
  <c r="R2087" i="8"/>
  <c r="S2087" i="8"/>
  <c r="T2087" i="8"/>
  <c r="R2088" i="8"/>
  <c r="S2088" i="8"/>
  <c r="T2088" i="8"/>
  <c r="R2089" i="8"/>
  <c r="S2089" i="8"/>
  <c r="T2089" i="8"/>
  <c r="R2090" i="8"/>
  <c r="S2090" i="8"/>
  <c r="T2090" i="8"/>
  <c r="R2091" i="8"/>
  <c r="S2091" i="8"/>
  <c r="T2091" i="8"/>
  <c r="R2092" i="8"/>
  <c r="S2092" i="8"/>
  <c r="T2092" i="8"/>
  <c r="R2093" i="8"/>
  <c r="S2093" i="8"/>
  <c r="T2093" i="8"/>
  <c r="R2094" i="8"/>
  <c r="S2094" i="8"/>
  <c r="T2094" i="8"/>
  <c r="R2095" i="8"/>
  <c r="S2095" i="8"/>
  <c r="T2095" i="8"/>
  <c r="R2096" i="8"/>
  <c r="S2096" i="8"/>
  <c r="T2096" i="8"/>
  <c r="R2097" i="8"/>
  <c r="S2097" i="8"/>
  <c r="T2097" i="8"/>
  <c r="R2098" i="8"/>
  <c r="S2098" i="8"/>
  <c r="T2098" i="8"/>
  <c r="R2099" i="8"/>
  <c r="S2099" i="8"/>
  <c r="T2099" i="8"/>
  <c r="R2100" i="8"/>
  <c r="S2100" i="8"/>
  <c r="T2100" i="8"/>
  <c r="R2101" i="8"/>
  <c r="S2101" i="8"/>
  <c r="T2101" i="8"/>
  <c r="R2102" i="8"/>
  <c r="S2102" i="8"/>
  <c r="T2102" i="8"/>
  <c r="R2103" i="8"/>
  <c r="S2103" i="8"/>
  <c r="T2103" i="8"/>
  <c r="R2104" i="8"/>
  <c r="S2104" i="8"/>
  <c r="T2104" i="8"/>
  <c r="R2105" i="8"/>
  <c r="S2105" i="8"/>
  <c r="T2105" i="8"/>
  <c r="R2106" i="8"/>
  <c r="S2106" i="8"/>
  <c r="T2106" i="8"/>
  <c r="R2107" i="8"/>
  <c r="S2107" i="8"/>
  <c r="T2107" i="8"/>
  <c r="R2108" i="8"/>
  <c r="S2108" i="8"/>
  <c r="T2108" i="8"/>
  <c r="R2109" i="8"/>
  <c r="S2109" i="8"/>
  <c r="T2109" i="8"/>
  <c r="R2110" i="8"/>
  <c r="S2110" i="8"/>
  <c r="T2110" i="8"/>
  <c r="R2111" i="8"/>
  <c r="S2111" i="8"/>
  <c r="T2111" i="8"/>
  <c r="R2112" i="8"/>
  <c r="S2112" i="8"/>
  <c r="T2112" i="8"/>
  <c r="R2113" i="8"/>
  <c r="S2113" i="8"/>
  <c r="T2113" i="8"/>
  <c r="R2114" i="8"/>
  <c r="S2114" i="8"/>
  <c r="T2114" i="8"/>
  <c r="R2115" i="8"/>
  <c r="S2115" i="8"/>
  <c r="T2115" i="8"/>
  <c r="R2116" i="8"/>
  <c r="S2116" i="8"/>
  <c r="T2116" i="8"/>
  <c r="R2117" i="8"/>
  <c r="S2117" i="8"/>
  <c r="T2117" i="8"/>
  <c r="R2118" i="8"/>
  <c r="S2118" i="8"/>
  <c r="T2118" i="8"/>
  <c r="R2119" i="8"/>
  <c r="S2119" i="8"/>
  <c r="T2119" i="8"/>
  <c r="R2120" i="8"/>
  <c r="S2120" i="8"/>
  <c r="T2120" i="8"/>
  <c r="R2121" i="8"/>
  <c r="S2121" i="8"/>
  <c r="T2121" i="8"/>
  <c r="R2122" i="8"/>
  <c r="S2122" i="8"/>
  <c r="T2122" i="8"/>
  <c r="R2123" i="8"/>
  <c r="S2123" i="8"/>
  <c r="T2123" i="8"/>
  <c r="R2124" i="8"/>
  <c r="S2124" i="8"/>
  <c r="T2124" i="8"/>
  <c r="R2125" i="8"/>
  <c r="S2125" i="8"/>
  <c r="T2125" i="8"/>
  <c r="R2126" i="8"/>
  <c r="S2126" i="8"/>
  <c r="T2126" i="8"/>
  <c r="R2127" i="8"/>
  <c r="S2127" i="8"/>
  <c r="T2127" i="8"/>
  <c r="R2128" i="8"/>
  <c r="S2128" i="8"/>
  <c r="T2128" i="8"/>
  <c r="R2129" i="8"/>
  <c r="S2129" i="8"/>
  <c r="T2129" i="8"/>
  <c r="R2130" i="8"/>
  <c r="S2130" i="8"/>
  <c r="T2130" i="8"/>
  <c r="R2131" i="8"/>
  <c r="S2131" i="8"/>
  <c r="T2131" i="8"/>
  <c r="R2132" i="8"/>
  <c r="S2132" i="8"/>
  <c r="T2132" i="8"/>
  <c r="R2133" i="8"/>
  <c r="S2133" i="8"/>
  <c r="T2133" i="8"/>
  <c r="R2134" i="8"/>
  <c r="S2134" i="8"/>
  <c r="T2134" i="8"/>
  <c r="R2135" i="8"/>
  <c r="S2135" i="8"/>
  <c r="T2135" i="8"/>
  <c r="R2136" i="8"/>
  <c r="S2136" i="8"/>
  <c r="T2136" i="8"/>
  <c r="R2137" i="8"/>
  <c r="S2137" i="8"/>
  <c r="T2137" i="8"/>
  <c r="R2138" i="8"/>
  <c r="S2138" i="8"/>
  <c r="T2138" i="8"/>
  <c r="R2139" i="8"/>
  <c r="S2139" i="8"/>
  <c r="T2139" i="8"/>
  <c r="R2140" i="8"/>
  <c r="S2140" i="8"/>
  <c r="T2140" i="8"/>
  <c r="R2141" i="8"/>
  <c r="S2141" i="8"/>
  <c r="T2141" i="8"/>
  <c r="R2142" i="8"/>
  <c r="S2142" i="8"/>
  <c r="T2142" i="8"/>
  <c r="R2143" i="8"/>
  <c r="S2143" i="8"/>
  <c r="T2143" i="8"/>
  <c r="R2144" i="8"/>
  <c r="S2144" i="8"/>
  <c r="T2144" i="8"/>
  <c r="R2145" i="8"/>
  <c r="S2145" i="8"/>
  <c r="T2145" i="8"/>
  <c r="R2146" i="8"/>
  <c r="S2146" i="8"/>
  <c r="T2146" i="8"/>
  <c r="R2147" i="8"/>
  <c r="S2147" i="8"/>
  <c r="T2147" i="8"/>
  <c r="R2148" i="8"/>
  <c r="S2148" i="8"/>
  <c r="T2148" i="8"/>
  <c r="R2149" i="8"/>
  <c r="S2149" i="8"/>
  <c r="T2149" i="8"/>
  <c r="R2150" i="8"/>
  <c r="S2150" i="8"/>
  <c r="T2150" i="8"/>
  <c r="R2151" i="8"/>
  <c r="S2151" i="8"/>
  <c r="T2151" i="8"/>
  <c r="R2152" i="8"/>
  <c r="S2152" i="8"/>
  <c r="T2152" i="8"/>
  <c r="R2153" i="8"/>
  <c r="S2153" i="8"/>
  <c r="T2153" i="8"/>
  <c r="R2154" i="8"/>
  <c r="S2154" i="8"/>
  <c r="T2154" i="8"/>
  <c r="R2155" i="8"/>
  <c r="S2155" i="8"/>
  <c r="T2155" i="8"/>
  <c r="R2156" i="8"/>
  <c r="S2156" i="8"/>
  <c r="T2156" i="8"/>
  <c r="R2157" i="8"/>
  <c r="S2157" i="8"/>
  <c r="T2157" i="8"/>
  <c r="R2158" i="8"/>
  <c r="S2158" i="8"/>
  <c r="T2158" i="8"/>
  <c r="R2159" i="8"/>
  <c r="S2159" i="8"/>
  <c r="T2159" i="8"/>
  <c r="R2160" i="8"/>
  <c r="S2160" i="8"/>
  <c r="T2160" i="8"/>
  <c r="R2161" i="8"/>
  <c r="S2161" i="8"/>
  <c r="T2161" i="8"/>
  <c r="R2162" i="8"/>
  <c r="S2162" i="8"/>
  <c r="T2162" i="8"/>
  <c r="R2163" i="8"/>
  <c r="S2163" i="8"/>
  <c r="T2163" i="8"/>
  <c r="R2164" i="8"/>
  <c r="S2164" i="8"/>
  <c r="T2164" i="8"/>
  <c r="R2165" i="8"/>
  <c r="S2165" i="8"/>
  <c r="T2165" i="8"/>
  <c r="R2166" i="8"/>
  <c r="S2166" i="8"/>
  <c r="T2166" i="8"/>
  <c r="R2167" i="8"/>
  <c r="S2167" i="8"/>
  <c r="T2167" i="8"/>
  <c r="R2168" i="8"/>
  <c r="S2168" i="8"/>
  <c r="T2168" i="8"/>
  <c r="R2169" i="8"/>
  <c r="S2169" i="8"/>
  <c r="T2169" i="8"/>
  <c r="R2170" i="8"/>
  <c r="S2170" i="8"/>
  <c r="T2170" i="8"/>
  <c r="R2171" i="8"/>
  <c r="S2171" i="8"/>
  <c r="T2171" i="8"/>
  <c r="R2172" i="8"/>
  <c r="S2172" i="8"/>
  <c r="T2172" i="8"/>
  <c r="R2173" i="8"/>
  <c r="S2173" i="8"/>
  <c r="T2173" i="8"/>
  <c r="R2174" i="8"/>
  <c r="S2174" i="8"/>
  <c r="T2174" i="8"/>
  <c r="R2175" i="8"/>
  <c r="S2175" i="8"/>
  <c r="T2175" i="8"/>
  <c r="R2176" i="8"/>
  <c r="S2176" i="8"/>
  <c r="T2176" i="8"/>
  <c r="R2177" i="8"/>
  <c r="S2177" i="8"/>
  <c r="T2177" i="8"/>
  <c r="R2178" i="8"/>
  <c r="S2178" i="8"/>
  <c r="T2178" i="8"/>
  <c r="R2179" i="8"/>
  <c r="S2179" i="8"/>
  <c r="T2179" i="8"/>
  <c r="R2180" i="8"/>
  <c r="S2180" i="8"/>
  <c r="T2180" i="8"/>
  <c r="R2181" i="8"/>
  <c r="S2181" i="8"/>
  <c r="T2181" i="8"/>
  <c r="R2182" i="8"/>
  <c r="S2182" i="8"/>
  <c r="T2182" i="8"/>
  <c r="R2183" i="8"/>
  <c r="S2183" i="8"/>
  <c r="T2183" i="8"/>
  <c r="R2184" i="8"/>
  <c r="S2184" i="8"/>
  <c r="T2184" i="8"/>
  <c r="R2185" i="8"/>
  <c r="S2185" i="8"/>
  <c r="T2185" i="8"/>
  <c r="R2186" i="8"/>
  <c r="S2186" i="8"/>
  <c r="T2186" i="8"/>
  <c r="R2187" i="8"/>
  <c r="S2187" i="8"/>
  <c r="T2187" i="8"/>
  <c r="R2188" i="8"/>
  <c r="S2188" i="8"/>
  <c r="T2188" i="8"/>
  <c r="R2189" i="8"/>
  <c r="S2189" i="8"/>
  <c r="T2189" i="8"/>
  <c r="R2190" i="8"/>
  <c r="S2190" i="8"/>
  <c r="T2190" i="8"/>
  <c r="R2191" i="8"/>
  <c r="S2191" i="8"/>
  <c r="T2191" i="8"/>
  <c r="R2192" i="8"/>
  <c r="S2192" i="8"/>
  <c r="T2192" i="8"/>
  <c r="R2193" i="8"/>
  <c r="S2193" i="8"/>
  <c r="T2193" i="8"/>
  <c r="R2194" i="8"/>
  <c r="S2194" i="8"/>
  <c r="T2194" i="8"/>
  <c r="R2195" i="8"/>
  <c r="S2195" i="8"/>
  <c r="T2195" i="8"/>
  <c r="R2196" i="8"/>
  <c r="S2196" i="8"/>
  <c r="T2196" i="8"/>
  <c r="R2197" i="8"/>
  <c r="S2197" i="8"/>
  <c r="T2197" i="8"/>
  <c r="R2198" i="8"/>
  <c r="S2198" i="8"/>
  <c r="T2198" i="8"/>
  <c r="R2199" i="8"/>
  <c r="S2199" i="8"/>
  <c r="T2199" i="8"/>
  <c r="R2200" i="8"/>
  <c r="S2200" i="8"/>
  <c r="T2200" i="8"/>
  <c r="R2201" i="8"/>
  <c r="S2201" i="8"/>
  <c r="T2201" i="8"/>
  <c r="R2202" i="8"/>
  <c r="S2202" i="8"/>
  <c r="T2202" i="8"/>
  <c r="R2203" i="8"/>
  <c r="S2203" i="8"/>
  <c r="T2203" i="8"/>
  <c r="R2204" i="8"/>
  <c r="S2204" i="8"/>
  <c r="T2204" i="8"/>
  <c r="R2205" i="8"/>
  <c r="S2205" i="8"/>
  <c r="T2205" i="8"/>
  <c r="R2206" i="8"/>
  <c r="S2206" i="8"/>
  <c r="T2206" i="8"/>
  <c r="R2207" i="8"/>
  <c r="S2207" i="8"/>
  <c r="T2207" i="8"/>
  <c r="R2208" i="8"/>
  <c r="S2208" i="8"/>
  <c r="T2208" i="8"/>
  <c r="R2209" i="8"/>
  <c r="S2209" i="8"/>
  <c r="T2209" i="8"/>
  <c r="R2210" i="8"/>
  <c r="S2210" i="8"/>
  <c r="T2210" i="8"/>
  <c r="R2211" i="8"/>
  <c r="S2211" i="8"/>
  <c r="T2211" i="8"/>
  <c r="R2212" i="8"/>
  <c r="S2212" i="8"/>
  <c r="T2212" i="8"/>
  <c r="R2213" i="8"/>
  <c r="S2213" i="8"/>
  <c r="T2213" i="8"/>
  <c r="R2214" i="8"/>
  <c r="S2214" i="8"/>
  <c r="T2214" i="8"/>
  <c r="R2215" i="8"/>
  <c r="S2215" i="8"/>
  <c r="T2215" i="8"/>
  <c r="R2216" i="8"/>
  <c r="S2216" i="8"/>
  <c r="T2216" i="8"/>
  <c r="R2217" i="8"/>
  <c r="S2217" i="8"/>
  <c r="T2217" i="8"/>
  <c r="R2218" i="8"/>
  <c r="S2218" i="8"/>
  <c r="T2218" i="8"/>
  <c r="R2219" i="8"/>
  <c r="S2219" i="8"/>
  <c r="T2219" i="8"/>
  <c r="R2220" i="8"/>
  <c r="S2220" i="8"/>
  <c r="T2220" i="8"/>
  <c r="R2221" i="8"/>
  <c r="S2221" i="8"/>
  <c r="T2221" i="8"/>
  <c r="R2222" i="8"/>
  <c r="S2222" i="8"/>
  <c r="T2222" i="8"/>
  <c r="R2223" i="8"/>
  <c r="S2223" i="8"/>
  <c r="T2223" i="8"/>
  <c r="R2224" i="8"/>
  <c r="S2224" i="8"/>
  <c r="T2224" i="8"/>
  <c r="R2225" i="8"/>
  <c r="S2225" i="8"/>
  <c r="T2225" i="8"/>
  <c r="R2226" i="8"/>
  <c r="S2226" i="8"/>
  <c r="T2226" i="8"/>
  <c r="R2227" i="8"/>
  <c r="S2227" i="8"/>
  <c r="T2227" i="8"/>
  <c r="R2228" i="8"/>
  <c r="S2228" i="8"/>
  <c r="T2228" i="8"/>
  <c r="R2229" i="8"/>
  <c r="S2229" i="8"/>
  <c r="T2229" i="8"/>
  <c r="R2230" i="8"/>
  <c r="S2230" i="8"/>
  <c r="T2230" i="8"/>
  <c r="R2231" i="8"/>
  <c r="S2231" i="8"/>
  <c r="T2231" i="8"/>
  <c r="R2232" i="8"/>
  <c r="S2232" i="8"/>
  <c r="T2232" i="8"/>
  <c r="R2233" i="8"/>
  <c r="S2233" i="8"/>
  <c r="T2233" i="8"/>
  <c r="R2234" i="8"/>
  <c r="S2234" i="8"/>
  <c r="T2234" i="8"/>
  <c r="R2235" i="8"/>
  <c r="S2235" i="8"/>
  <c r="T2235" i="8"/>
  <c r="R2236" i="8"/>
  <c r="S2236" i="8"/>
  <c r="T2236" i="8"/>
  <c r="R2237" i="8"/>
  <c r="S2237" i="8"/>
  <c r="T2237" i="8"/>
  <c r="R2238" i="8"/>
  <c r="S2238" i="8"/>
  <c r="T2238" i="8"/>
  <c r="R2239" i="8"/>
  <c r="S2239" i="8"/>
  <c r="T2239" i="8"/>
  <c r="R2240" i="8"/>
  <c r="S2240" i="8"/>
  <c r="T2240" i="8"/>
  <c r="R2241" i="8"/>
  <c r="S2241" i="8"/>
  <c r="T2241" i="8"/>
  <c r="R2242" i="8"/>
  <c r="S2242" i="8"/>
  <c r="T2242" i="8"/>
  <c r="R2243" i="8"/>
  <c r="S2243" i="8"/>
  <c r="T2243" i="8"/>
  <c r="R2244" i="8"/>
  <c r="S2244" i="8"/>
  <c r="T2244" i="8"/>
  <c r="R2245" i="8"/>
  <c r="S2245" i="8"/>
  <c r="T2245" i="8"/>
  <c r="R2246" i="8"/>
  <c r="S2246" i="8"/>
  <c r="T2246" i="8"/>
  <c r="R2247" i="8"/>
  <c r="S2247" i="8"/>
  <c r="T2247" i="8"/>
  <c r="R2248" i="8"/>
  <c r="S2248" i="8"/>
  <c r="T2248" i="8"/>
  <c r="R2249" i="8"/>
  <c r="S2249" i="8"/>
  <c r="T2249" i="8"/>
  <c r="R2250" i="8"/>
  <c r="S2250" i="8"/>
  <c r="T2250" i="8"/>
  <c r="R2251" i="8"/>
  <c r="S2251" i="8"/>
  <c r="T2251" i="8"/>
  <c r="R2252" i="8"/>
  <c r="S2252" i="8"/>
  <c r="T2252" i="8"/>
  <c r="R2253" i="8"/>
  <c r="S2253" i="8"/>
  <c r="T2253" i="8"/>
  <c r="R2254" i="8"/>
  <c r="S2254" i="8"/>
  <c r="T2254" i="8"/>
  <c r="R2255" i="8"/>
  <c r="S2255" i="8"/>
  <c r="T2255" i="8"/>
  <c r="R2256" i="8"/>
  <c r="S2256" i="8"/>
  <c r="T2256" i="8"/>
  <c r="R2257" i="8"/>
  <c r="S2257" i="8"/>
  <c r="T2257" i="8"/>
  <c r="R2258" i="8"/>
  <c r="S2258" i="8"/>
  <c r="T2258" i="8"/>
  <c r="R2259" i="8"/>
  <c r="S2259" i="8"/>
  <c r="T2259" i="8"/>
  <c r="R2260" i="8"/>
  <c r="S2260" i="8"/>
  <c r="T2260" i="8"/>
  <c r="R2261" i="8"/>
  <c r="S2261" i="8"/>
  <c r="T2261" i="8"/>
  <c r="R2262" i="8"/>
  <c r="S2262" i="8"/>
  <c r="T2262" i="8"/>
  <c r="R2263" i="8"/>
  <c r="S2263" i="8"/>
  <c r="T2263" i="8"/>
  <c r="R2264" i="8"/>
  <c r="S2264" i="8"/>
  <c r="T2264" i="8"/>
  <c r="R2265" i="8"/>
  <c r="S2265" i="8"/>
  <c r="T2265" i="8"/>
  <c r="R2266" i="8"/>
  <c r="S2266" i="8"/>
  <c r="T2266" i="8"/>
  <c r="R2267" i="8"/>
  <c r="S2267" i="8"/>
  <c r="T2267" i="8"/>
  <c r="R2268" i="8"/>
  <c r="S2268" i="8"/>
  <c r="T2268" i="8"/>
  <c r="R2269" i="8"/>
  <c r="S2269" i="8"/>
  <c r="T2269" i="8"/>
  <c r="R2270" i="8"/>
  <c r="S2270" i="8"/>
  <c r="T2270" i="8"/>
  <c r="R2271" i="8"/>
  <c r="S2271" i="8"/>
  <c r="T2271" i="8"/>
  <c r="R2272" i="8"/>
  <c r="S2272" i="8"/>
  <c r="T2272" i="8"/>
  <c r="R2273" i="8"/>
  <c r="S2273" i="8"/>
  <c r="T2273" i="8"/>
  <c r="R2274" i="8"/>
  <c r="S2274" i="8"/>
  <c r="T2274" i="8"/>
  <c r="R2275" i="8"/>
  <c r="S2275" i="8"/>
  <c r="T2275" i="8"/>
  <c r="R2276" i="8"/>
  <c r="S2276" i="8"/>
  <c r="T2276" i="8"/>
  <c r="R2277" i="8"/>
  <c r="S2277" i="8"/>
  <c r="T2277" i="8"/>
  <c r="R2278" i="8"/>
  <c r="S2278" i="8"/>
  <c r="T2278" i="8"/>
  <c r="R2279" i="8"/>
  <c r="S2279" i="8"/>
  <c r="T2279" i="8"/>
  <c r="R2280" i="8"/>
  <c r="S2280" i="8"/>
  <c r="T2280" i="8"/>
  <c r="R2281" i="8"/>
  <c r="S2281" i="8"/>
  <c r="T2281" i="8"/>
  <c r="R2282" i="8"/>
  <c r="S2282" i="8"/>
  <c r="T2282" i="8"/>
  <c r="R2283" i="8"/>
  <c r="S2283" i="8"/>
  <c r="T2283" i="8"/>
  <c r="R2284" i="8"/>
  <c r="S2284" i="8"/>
  <c r="T2284" i="8"/>
  <c r="R2285" i="8"/>
  <c r="S2285" i="8"/>
  <c r="T2285" i="8"/>
  <c r="R2286" i="8"/>
  <c r="S2286" i="8"/>
  <c r="T2286" i="8"/>
  <c r="R2287" i="8"/>
  <c r="S2287" i="8"/>
  <c r="T2287" i="8"/>
  <c r="R2288" i="8"/>
  <c r="S2288" i="8"/>
  <c r="T2288" i="8"/>
  <c r="R2289" i="8"/>
  <c r="S2289" i="8"/>
  <c r="T2289" i="8"/>
  <c r="R2290" i="8"/>
  <c r="S2290" i="8"/>
  <c r="T2290" i="8"/>
  <c r="R2291" i="8"/>
  <c r="S2291" i="8"/>
  <c r="T2291" i="8"/>
  <c r="R2292" i="8"/>
  <c r="S2292" i="8"/>
  <c r="T2292" i="8"/>
  <c r="R2293" i="8"/>
  <c r="S2293" i="8"/>
  <c r="T2293" i="8"/>
  <c r="R2294" i="8"/>
  <c r="S2294" i="8"/>
  <c r="T2294" i="8"/>
  <c r="R2295" i="8"/>
  <c r="S2295" i="8"/>
  <c r="T2295" i="8"/>
  <c r="R2296" i="8"/>
  <c r="S2296" i="8"/>
  <c r="T2296" i="8"/>
  <c r="R2297" i="8"/>
  <c r="S2297" i="8"/>
  <c r="T2297" i="8"/>
  <c r="R2298" i="8"/>
  <c r="S2298" i="8"/>
  <c r="T2298" i="8"/>
  <c r="R2299" i="8"/>
  <c r="S2299" i="8"/>
  <c r="T2299" i="8"/>
  <c r="R2300" i="8"/>
  <c r="S2300" i="8"/>
  <c r="T2300" i="8"/>
  <c r="R2301" i="8"/>
  <c r="S2301" i="8"/>
  <c r="T2301" i="8"/>
  <c r="R2302" i="8"/>
  <c r="S2302" i="8"/>
  <c r="T2302" i="8"/>
  <c r="R2303" i="8"/>
  <c r="S2303" i="8"/>
  <c r="T2303" i="8"/>
  <c r="R2304" i="8"/>
  <c r="S2304" i="8"/>
  <c r="T2304" i="8"/>
  <c r="R2305" i="8"/>
  <c r="S2305" i="8"/>
  <c r="T2305" i="8"/>
  <c r="R2306" i="8"/>
  <c r="S2306" i="8"/>
  <c r="T2306" i="8"/>
  <c r="R2307" i="8"/>
  <c r="S2307" i="8"/>
  <c r="T2307" i="8"/>
  <c r="R2308" i="8"/>
  <c r="S2308" i="8"/>
  <c r="T2308" i="8"/>
  <c r="R2309" i="8"/>
  <c r="S2309" i="8"/>
  <c r="T2309" i="8"/>
  <c r="R2310" i="8"/>
  <c r="S2310" i="8"/>
  <c r="T2310" i="8"/>
  <c r="R2311" i="8"/>
  <c r="S2311" i="8"/>
  <c r="T2311" i="8"/>
  <c r="R2312" i="8"/>
  <c r="S2312" i="8"/>
  <c r="T2312" i="8"/>
  <c r="R2313" i="8"/>
  <c r="S2313" i="8"/>
  <c r="T2313" i="8"/>
  <c r="R2314" i="8"/>
  <c r="S2314" i="8"/>
  <c r="T2314" i="8"/>
  <c r="R2315" i="8"/>
  <c r="S2315" i="8"/>
  <c r="T2315" i="8"/>
  <c r="R2316" i="8"/>
  <c r="S2316" i="8"/>
  <c r="T2316" i="8"/>
  <c r="R2317" i="8"/>
  <c r="S2317" i="8"/>
  <c r="T2317" i="8"/>
  <c r="R2318" i="8"/>
  <c r="S2318" i="8"/>
  <c r="T2318" i="8"/>
  <c r="R2319" i="8"/>
  <c r="S2319" i="8"/>
  <c r="T2319" i="8"/>
  <c r="R2320" i="8"/>
  <c r="S2320" i="8"/>
  <c r="T2320" i="8"/>
  <c r="R2321" i="8"/>
  <c r="S2321" i="8"/>
  <c r="T2321" i="8"/>
  <c r="R2322" i="8"/>
  <c r="S2322" i="8"/>
  <c r="T2322" i="8"/>
  <c r="R2323" i="8"/>
  <c r="S2323" i="8"/>
  <c r="T2323" i="8"/>
  <c r="R2324" i="8"/>
  <c r="S2324" i="8"/>
  <c r="T2324" i="8"/>
  <c r="R2325" i="8"/>
  <c r="S2325" i="8"/>
  <c r="T2325" i="8"/>
  <c r="R2326" i="8"/>
  <c r="S2326" i="8"/>
  <c r="T2326" i="8"/>
  <c r="R2327" i="8"/>
  <c r="S2327" i="8"/>
  <c r="T2327" i="8"/>
  <c r="R2328" i="8"/>
  <c r="S2328" i="8"/>
  <c r="T2328" i="8"/>
  <c r="R2329" i="8"/>
  <c r="S2329" i="8"/>
  <c r="T2329" i="8"/>
  <c r="R2330" i="8"/>
  <c r="S2330" i="8"/>
  <c r="T2330" i="8"/>
  <c r="R2331" i="8"/>
  <c r="S2331" i="8"/>
  <c r="T2331" i="8"/>
  <c r="R2332" i="8"/>
  <c r="S2332" i="8"/>
  <c r="T2332" i="8"/>
  <c r="R2333" i="8"/>
  <c r="S2333" i="8"/>
  <c r="T2333" i="8"/>
  <c r="R2334" i="8"/>
  <c r="S2334" i="8"/>
  <c r="T2334" i="8"/>
  <c r="R2335" i="8"/>
  <c r="S2335" i="8"/>
  <c r="T2335" i="8"/>
  <c r="R2336" i="8"/>
  <c r="S2336" i="8"/>
  <c r="T2336" i="8"/>
  <c r="R2337" i="8"/>
  <c r="S2337" i="8"/>
  <c r="T2337" i="8"/>
  <c r="R2338" i="8"/>
  <c r="S2338" i="8"/>
  <c r="T2338" i="8"/>
  <c r="R2339" i="8"/>
  <c r="S2339" i="8"/>
  <c r="T2339" i="8"/>
  <c r="R2340" i="8"/>
  <c r="S2340" i="8"/>
  <c r="T2340" i="8"/>
  <c r="R2341" i="8"/>
  <c r="S2341" i="8"/>
  <c r="T2341" i="8"/>
  <c r="R2342" i="8"/>
  <c r="S2342" i="8"/>
  <c r="T2342" i="8"/>
  <c r="R2343" i="8"/>
  <c r="S2343" i="8"/>
  <c r="T2343" i="8"/>
  <c r="R2344" i="8"/>
  <c r="S2344" i="8"/>
  <c r="T2344" i="8"/>
  <c r="R2345" i="8"/>
  <c r="S2345" i="8"/>
  <c r="T2345" i="8"/>
  <c r="R2346" i="8"/>
  <c r="S2346" i="8"/>
  <c r="T2346" i="8"/>
  <c r="R2347" i="8"/>
  <c r="S2347" i="8"/>
  <c r="T2347" i="8"/>
  <c r="R2348" i="8"/>
  <c r="S2348" i="8"/>
  <c r="T2348" i="8"/>
  <c r="R2349" i="8"/>
  <c r="S2349" i="8"/>
  <c r="T2349" i="8"/>
  <c r="R2350" i="8"/>
  <c r="S2350" i="8"/>
  <c r="T2350" i="8"/>
  <c r="R2351" i="8"/>
  <c r="S2351" i="8"/>
  <c r="T2351" i="8"/>
  <c r="R2352" i="8"/>
  <c r="S2352" i="8"/>
  <c r="T2352" i="8"/>
  <c r="R2353" i="8"/>
  <c r="S2353" i="8"/>
  <c r="T2353" i="8"/>
  <c r="R2354" i="8"/>
  <c r="S2354" i="8"/>
  <c r="T2354" i="8"/>
  <c r="R2355" i="8"/>
  <c r="S2355" i="8"/>
  <c r="T2355" i="8"/>
  <c r="R2356" i="8"/>
  <c r="S2356" i="8"/>
  <c r="T2356" i="8"/>
  <c r="R2357" i="8"/>
  <c r="S2357" i="8"/>
  <c r="T2357" i="8"/>
  <c r="R2358" i="8"/>
  <c r="S2358" i="8"/>
  <c r="T2358" i="8"/>
  <c r="R2359" i="8"/>
  <c r="S2359" i="8"/>
  <c r="T2359" i="8"/>
  <c r="R2360" i="8"/>
  <c r="S2360" i="8"/>
  <c r="T2360" i="8"/>
  <c r="R2361" i="8"/>
  <c r="S2361" i="8"/>
  <c r="T2361" i="8"/>
  <c r="R2362" i="8"/>
  <c r="S2362" i="8"/>
  <c r="T2362" i="8"/>
  <c r="R2363" i="8"/>
  <c r="S2363" i="8"/>
  <c r="T2363" i="8"/>
  <c r="R2364" i="8"/>
  <c r="S2364" i="8"/>
  <c r="T2364" i="8"/>
  <c r="R2365" i="8"/>
  <c r="S2365" i="8"/>
  <c r="T2365" i="8"/>
  <c r="R2366" i="8"/>
  <c r="S2366" i="8"/>
  <c r="T2366" i="8"/>
  <c r="R2367" i="8"/>
  <c r="S2367" i="8"/>
  <c r="T2367" i="8"/>
  <c r="R2368" i="8"/>
  <c r="S2368" i="8"/>
  <c r="T2368" i="8"/>
  <c r="R2369" i="8"/>
  <c r="S2369" i="8"/>
  <c r="T2369" i="8"/>
  <c r="R2370" i="8"/>
  <c r="S2370" i="8"/>
  <c r="T2370" i="8"/>
  <c r="R2371" i="8"/>
  <c r="S2371" i="8"/>
  <c r="T2371" i="8"/>
  <c r="R2372" i="8"/>
  <c r="S2372" i="8"/>
  <c r="T2372" i="8"/>
  <c r="R2373" i="8"/>
  <c r="S2373" i="8"/>
  <c r="T2373" i="8"/>
  <c r="R2374" i="8"/>
  <c r="S2374" i="8"/>
  <c r="T2374" i="8"/>
  <c r="R2375" i="8"/>
  <c r="S2375" i="8"/>
  <c r="T2375" i="8"/>
  <c r="R2376" i="8"/>
  <c r="S2376" i="8"/>
  <c r="T2376" i="8"/>
  <c r="R2377" i="8"/>
  <c r="S2377" i="8"/>
  <c r="T2377" i="8"/>
  <c r="R2378" i="8"/>
  <c r="S2378" i="8"/>
  <c r="T2378" i="8"/>
  <c r="R2379" i="8"/>
  <c r="S2379" i="8"/>
  <c r="T2379" i="8"/>
  <c r="R2380" i="8"/>
  <c r="S2380" i="8"/>
  <c r="T2380" i="8"/>
  <c r="R2381" i="8"/>
  <c r="S2381" i="8"/>
  <c r="T2381" i="8"/>
  <c r="R2382" i="8"/>
  <c r="S2382" i="8"/>
  <c r="T2382" i="8"/>
  <c r="R2383" i="8"/>
  <c r="S2383" i="8"/>
  <c r="T2383" i="8"/>
  <c r="R2384" i="8"/>
  <c r="S2384" i="8"/>
  <c r="T2384" i="8"/>
  <c r="R2385" i="8"/>
  <c r="S2385" i="8"/>
  <c r="T2385" i="8"/>
  <c r="R2386" i="8"/>
  <c r="S2386" i="8"/>
  <c r="T2386" i="8"/>
  <c r="R2387" i="8"/>
  <c r="S2387" i="8"/>
  <c r="T2387" i="8"/>
  <c r="R2388" i="8"/>
  <c r="S2388" i="8"/>
  <c r="T2388" i="8"/>
  <c r="R2389" i="8"/>
  <c r="S2389" i="8"/>
  <c r="T2389" i="8"/>
  <c r="R2390" i="8"/>
  <c r="S2390" i="8"/>
  <c r="T2390" i="8"/>
  <c r="R2391" i="8"/>
  <c r="S2391" i="8"/>
  <c r="T2391" i="8"/>
  <c r="R2392" i="8"/>
  <c r="S2392" i="8"/>
  <c r="T2392" i="8"/>
  <c r="R2393" i="8"/>
  <c r="S2393" i="8"/>
  <c r="T2393" i="8"/>
  <c r="R2394" i="8"/>
  <c r="S2394" i="8"/>
  <c r="T2394" i="8"/>
  <c r="R2395" i="8"/>
  <c r="S2395" i="8"/>
  <c r="T2395" i="8"/>
  <c r="R2396" i="8"/>
  <c r="S2396" i="8"/>
  <c r="T2396" i="8"/>
  <c r="R2397" i="8"/>
  <c r="S2397" i="8"/>
  <c r="T2397" i="8"/>
  <c r="R2398" i="8"/>
  <c r="S2398" i="8"/>
  <c r="T2398" i="8"/>
  <c r="R2399" i="8"/>
  <c r="S2399" i="8"/>
  <c r="T2399" i="8"/>
  <c r="R2400" i="8"/>
  <c r="S2400" i="8"/>
  <c r="T2400" i="8"/>
  <c r="R2401" i="8"/>
  <c r="S2401" i="8"/>
  <c r="T2401" i="8"/>
  <c r="R2402" i="8"/>
  <c r="S2402" i="8"/>
  <c r="T2402" i="8"/>
  <c r="R2403" i="8"/>
  <c r="S2403" i="8"/>
  <c r="T2403" i="8"/>
  <c r="R2404" i="8"/>
  <c r="S2404" i="8"/>
  <c r="T2404" i="8"/>
  <c r="R2405" i="8"/>
  <c r="S2405" i="8"/>
  <c r="T2405" i="8"/>
  <c r="R2406" i="8"/>
  <c r="S2406" i="8"/>
  <c r="T2406" i="8"/>
  <c r="R2407" i="8"/>
  <c r="S2407" i="8"/>
  <c r="T2407" i="8"/>
  <c r="R2408" i="8"/>
  <c r="S2408" i="8"/>
  <c r="T2408" i="8"/>
  <c r="R2409" i="8"/>
  <c r="S2409" i="8"/>
  <c r="T2409" i="8"/>
  <c r="R2410" i="8"/>
  <c r="S2410" i="8"/>
  <c r="T2410" i="8"/>
  <c r="R2411" i="8"/>
  <c r="S2411" i="8"/>
  <c r="T2411" i="8"/>
  <c r="R2412" i="8"/>
  <c r="S2412" i="8"/>
  <c r="T2412" i="8"/>
  <c r="R2413" i="8"/>
  <c r="S2413" i="8"/>
  <c r="T2413" i="8"/>
  <c r="R2414" i="8"/>
  <c r="S2414" i="8"/>
  <c r="T2414" i="8"/>
  <c r="R2415" i="8"/>
  <c r="S2415" i="8"/>
  <c r="T2415" i="8"/>
  <c r="R2416" i="8"/>
  <c r="S2416" i="8"/>
  <c r="T2416" i="8"/>
  <c r="R2417" i="8"/>
  <c r="S2417" i="8"/>
  <c r="T2417" i="8"/>
  <c r="R2418" i="8"/>
  <c r="S2418" i="8"/>
  <c r="T2418" i="8"/>
  <c r="R2419" i="8"/>
  <c r="S2419" i="8"/>
  <c r="T2419" i="8"/>
  <c r="R2420" i="8"/>
  <c r="S2420" i="8"/>
  <c r="T2420" i="8"/>
  <c r="R2421" i="8"/>
  <c r="S2421" i="8"/>
  <c r="T2421" i="8"/>
  <c r="R2422" i="8"/>
  <c r="S2422" i="8"/>
  <c r="T2422" i="8"/>
  <c r="R2423" i="8"/>
  <c r="S2423" i="8"/>
  <c r="T2423" i="8"/>
  <c r="R2424" i="8"/>
  <c r="S2424" i="8"/>
  <c r="T2424" i="8"/>
  <c r="R2425" i="8"/>
  <c r="S2425" i="8"/>
  <c r="T2425" i="8"/>
  <c r="R2426" i="8"/>
  <c r="S2426" i="8"/>
  <c r="T2426" i="8"/>
  <c r="R2427" i="8"/>
  <c r="S2427" i="8"/>
  <c r="T2427" i="8"/>
  <c r="R2428" i="8"/>
  <c r="S2428" i="8"/>
  <c r="T2428" i="8"/>
  <c r="R2429" i="8"/>
  <c r="S2429" i="8"/>
  <c r="T2429" i="8"/>
  <c r="R2430" i="8"/>
  <c r="S2430" i="8"/>
  <c r="T2430" i="8"/>
  <c r="R2431" i="8"/>
  <c r="S2431" i="8"/>
  <c r="T2431" i="8"/>
  <c r="R2432" i="8"/>
  <c r="S2432" i="8"/>
  <c r="T2432" i="8"/>
  <c r="R2433" i="8"/>
  <c r="S2433" i="8"/>
  <c r="T2433" i="8"/>
  <c r="R2434" i="8"/>
  <c r="S2434" i="8"/>
  <c r="T2434" i="8"/>
  <c r="R2435" i="8"/>
  <c r="S2435" i="8"/>
  <c r="T2435" i="8"/>
  <c r="R2436" i="8"/>
  <c r="S2436" i="8"/>
  <c r="T2436" i="8"/>
  <c r="R2437" i="8"/>
  <c r="S2437" i="8"/>
  <c r="T2437" i="8"/>
  <c r="R2438" i="8"/>
  <c r="S2438" i="8"/>
  <c r="T2438" i="8"/>
  <c r="R2439" i="8"/>
  <c r="S2439" i="8"/>
  <c r="T2439" i="8"/>
  <c r="R2440" i="8"/>
  <c r="S2440" i="8"/>
  <c r="T2440" i="8"/>
  <c r="R2441" i="8"/>
  <c r="S2441" i="8"/>
  <c r="T2441" i="8"/>
  <c r="R2442" i="8"/>
  <c r="S2442" i="8"/>
  <c r="T2442" i="8"/>
  <c r="R2443" i="8"/>
  <c r="S2443" i="8"/>
  <c r="T2443" i="8"/>
  <c r="R2444" i="8"/>
  <c r="S2444" i="8"/>
  <c r="T2444" i="8"/>
  <c r="R2445" i="8"/>
  <c r="S2445" i="8"/>
  <c r="T2445" i="8"/>
  <c r="R2446" i="8"/>
  <c r="S2446" i="8"/>
  <c r="T2446" i="8"/>
  <c r="R2447" i="8"/>
  <c r="S2447" i="8"/>
  <c r="T2447" i="8"/>
  <c r="R2448" i="8"/>
  <c r="S2448" i="8"/>
  <c r="T2448" i="8"/>
  <c r="R2449" i="8"/>
  <c r="S2449" i="8"/>
  <c r="T2449" i="8"/>
  <c r="R2450" i="8"/>
  <c r="S2450" i="8"/>
  <c r="T2450" i="8"/>
  <c r="R2451" i="8"/>
  <c r="S2451" i="8"/>
  <c r="T2451" i="8"/>
  <c r="R2452" i="8"/>
  <c r="S2452" i="8"/>
  <c r="T2452" i="8"/>
  <c r="R2453" i="8"/>
  <c r="S2453" i="8"/>
  <c r="T2453" i="8"/>
  <c r="R2454" i="8"/>
  <c r="S2454" i="8"/>
  <c r="T2454" i="8"/>
  <c r="R2455" i="8"/>
  <c r="S2455" i="8"/>
  <c r="T2455" i="8"/>
  <c r="R2456" i="8"/>
  <c r="S2456" i="8"/>
  <c r="T2456" i="8"/>
  <c r="R2457" i="8"/>
  <c r="S2457" i="8"/>
  <c r="T2457" i="8"/>
  <c r="R2458" i="8"/>
  <c r="S2458" i="8"/>
  <c r="T2458" i="8"/>
  <c r="R2459" i="8"/>
  <c r="S2459" i="8"/>
  <c r="T2459" i="8"/>
  <c r="R2460" i="8"/>
  <c r="S2460" i="8"/>
  <c r="T2460" i="8"/>
  <c r="R2461" i="8"/>
  <c r="S2461" i="8"/>
  <c r="T2461" i="8"/>
  <c r="R2462" i="8"/>
  <c r="S2462" i="8"/>
  <c r="T2462" i="8"/>
  <c r="R2463" i="8"/>
  <c r="S2463" i="8"/>
  <c r="T2463" i="8"/>
  <c r="R2464" i="8"/>
  <c r="S2464" i="8"/>
  <c r="T2464" i="8"/>
  <c r="R2465" i="8"/>
  <c r="S2465" i="8"/>
  <c r="T2465" i="8"/>
  <c r="R2466" i="8"/>
  <c r="S2466" i="8"/>
  <c r="T2466" i="8"/>
  <c r="R2467" i="8"/>
  <c r="S2467" i="8"/>
  <c r="T2467" i="8"/>
  <c r="R2468" i="8"/>
  <c r="S2468" i="8"/>
  <c r="T2468" i="8"/>
  <c r="R2469" i="8"/>
  <c r="S2469" i="8"/>
  <c r="T2469" i="8"/>
  <c r="R2470" i="8"/>
  <c r="S2470" i="8"/>
  <c r="T2470" i="8"/>
  <c r="R2471" i="8"/>
  <c r="S2471" i="8"/>
  <c r="T2471" i="8"/>
  <c r="R2472" i="8"/>
  <c r="S2472" i="8"/>
  <c r="T2472" i="8"/>
  <c r="R2473" i="8"/>
  <c r="S2473" i="8"/>
  <c r="T2473" i="8"/>
  <c r="R2474" i="8"/>
  <c r="S2474" i="8"/>
  <c r="T2474" i="8"/>
  <c r="R2475" i="8"/>
  <c r="S2475" i="8"/>
  <c r="T2475" i="8"/>
  <c r="R2476" i="8"/>
  <c r="S2476" i="8"/>
  <c r="T2476" i="8"/>
  <c r="R2477" i="8"/>
  <c r="S2477" i="8"/>
  <c r="T2477" i="8"/>
  <c r="R2478" i="8"/>
  <c r="S2478" i="8"/>
  <c r="T2478" i="8"/>
  <c r="R2479" i="8"/>
  <c r="S2479" i="8"/>
  <c r="T2479" i="8"/>
  <c r="R2480" i="8"/>
  <c r="S2480" i="8"/>
  <c r="T2480" i="8"/>
  <c r="R2481" i="8"/>
  <c r="S2481" i="8"/>
  <c r="T2481" i="8"/>
  <c r="R2482" i="8"/>
  <c r="S2482" i="8"/>
  <c r="T2482" i="8"/>
  <c r="R2483" i="8"/>
  <c r="S2483" i="8"/>
  <c r="T2483" i="8"/>
  <c r="R2484" i="8"/>
  <c r="S2484" i="8"/>
  <c r="T2484" i="8"/>
  <c r="R2485" i="8"/>
  <c r="S2485" i="8"/>
  <c r="T2485" i="8"/>
  <c r="R2486" i="8"/>
  <c r="S2486" i="8"/>
  <c r="T2486" i="8"/>
  <c r="R2487" i="8"/>
  <c r="S2487" i="8"/>
  <c r="T2487" i="8"/>
  <c r="R2488" i="8"/>
  <c r="S2488" i="8"/>
  <c r="T2488" i="8"/>
  <c r="R2489" i="8"/>
  <c r="S2489" i="8"/>
  <c r="T2489" i="8"/>
  <c r="R2490" i="8"/>
  <c r="S2490" i="8"/>
  <c r="T2490" i="8"/>
  <c r="R2491" i="8"/>
  <c r="S2491" i="8"/>
  <c r="T2491" i="8"/>
  <c r="R2492" i="8"/>
  <c r="S2492" i="8"/>
  <c r="T2492" i="8"/>
  <c r="R2493" i="8"/>
  <c r="S2493" i="8"/>
  <c r="T2493" i="8"/>
  <c r="R2494" i="8"/>
  <c r="S2494" i="8"/>
  <c r="T2494" i="8"/>
  <c r="R2495" i="8"/>
  <c r="S2495" i="8"/>
  <c r="T2495" i="8"/>
  <c r="R2496" i="8"/>
  <c r="S2496" i="8"/>
  <c r="T2496" i="8"/>
  <c r="R2497" i="8"/>
  <c r="S2497" i="8"/>
  <c r="T2497" i="8"/>
  <c r="R2498" i="8"/>
  <c r="S2498" i="8"/>
  <c r="T2498" i="8"/>
  <c r="R2499" i="8"/>
  <c r="S2499" i="8"/>
  <c r="T2499" i="8"/>
  <c r="R2500" i="8"/>
  <c r="S2500" i="8"/>
  <c r="T2500" i="8"/>
  <c r="R2501" i="8"/>
  <c r="S2501" i="8"/>
  <c r="T2501" i="8"/>
  <c r="R2502" i="8"/>
  <c r="S2502" i="8"/>
  <c r="T2502" i="8"/>
  <c r="R2503" i="8"/>
  <c r="S2503" i="8"/>
  <c r="T2503" i="8"/>
  <c r="R2504" i="8"/>
  <c r="S2504" i="8"/>
  <c r="T2504" i="8"/>
  <c r="R2505" i="8"/>
  <c r="S2505" i="8"/>
  <c r="T2505" i="8"/>
  <c r="R2506" i="8"/>
  <c r="S2506" i="8"/>
  <c r="T2506" i="8"/>
  <c r="R2507" i="8"/>
  <c r="S2507" i="8"/>
  <c r="T2507" i="8"/>
  <c r="R2508" i="8"/>
  <c r="S2508" i="8"/>
  <c r="T2508" i="8"/>
  <c r="R2509" i="8"/>
  <c r="S2509" i="8"/>
  <c r="T2509" i="8"/>
  <c r="R2510" i="8"/>
  <c r="S2510" i="8"/>
  <c r="T2510" i="8"/>
  <c r="R2511" i="8"/>
  <c r="S2511" i="8"/>
  <c r="T2511" i="8"/>
  <c r="R2512" i="8"/>
  <c r="S2512" i="8"/>
  <c r="T2512" i="8"/>
  <c r="R2513" i="8"/>
  <c r="S2513" i="8"/>
  <c r="T2513" i="8"/>
  <c r="R2514" i="8"/>
  <c r="S2514" i="8"/>
  <c r="T2514" i="8"/>
  <c r="R2515" i="8"/>
  <c r="S2515" i="8"/>
  <c r="T2515" i="8"/>
  <c r="R2516" i="8"/>
  <c r="S2516" i="8"/>
  <c r="T2516" i="8"/>
  <c r="R2517" i="8"/>
  <c r="S2517" i="8"/>
  <c r="T2517" i="8"/>
  <c r="R2518" i="8"/>
  <c r="S2518" i="8"/>
  <c r="T2518" i="8"/>
  <c r="R2519" i="8"/>
  <c r="S2519" i="8"/>
  <c r="T2519" i="8"/>
  <c r="R2520" i="8"/>
  <c r="S2520" i="8"/>
  <c r="T2520" i="8"/>
  <c r="R2521" i="8"/>
  <c r="S2521" i="8"/>
  <c r="T2521" i="8"/>
  <c r="R2522" i="8"/>
  <c r="S2522" i="8"/>
  <c r="T2522" i="8"/>
  <c r="R2523" i="8"/>
  <c r="S2523" i="8"/>
  <c r="T2523" i="8"/>
  <c r="R2524" i="8"/>
  <c r="S2524" i="8"/>
  <c r="T2524" i="8"/>
  <c r="R2525" i="8"/>
  <c r="S2525" i="8"/>
  <c r="T2525" i="8"/>
  <c r="R2526" i="8"/>
  <c r="S2526" i="8"/>
  <c r="T2526" i="8"/>
  <c r="R2527" i="8"/>
  <c r="S2527" i="8"/>
  <c r="T2527" i="8"/>
  <c r="R2528" i="8"/>
  <c r="S2528" i="8"/>
  <c r="T2528" i="8"/>
  <c r="R2529" i="8"/>
  <c r="S2529" i="8"/>
  <c r="T2529" i="8"/>
  <c r="R2530" i="8"/>
  <c r="S2530" i="8"/>
  <c r="T2530" i="8"/>
  <c r="R2531" i="8"/>
  <c r="S2531" i="8"/>
  <c r="T2531" i="8"/>
  <c r="R2532" i="8"/>
  <c r="S2532" i="8"/>
  <c r="T2532" i="8"/>
  <c r="R2533" i="8"/>
  <c r="S2533" i="8"/>
  <c r="T2533" i="8"/>
  <c r="R2534" i="8"/>
  <c r="S2534" i="8"/>
  <c r="T2534" i="8"/>
  <c r="R2535" i="8"/>
  <c r="S2535" i="8"/>
  <c r="T2535" i="8"/>
  <c r="R2536" i="8"/>
  <c r="S2536" i="8"/>
  <c r="T2536" i="8"/>
  <c r="R2537" i="8"/>
  <c r="S2537" i="8"/>
  <c r="T2537" i="8"/>
  <c r="R2538" i="8"/>
  <c r="S2538" i="8"/>
  <c r="T2538" i="8"/>
  <c r="R2539" i="8"/>
  <c r="S2539" i="8"/>
  <c r="T2539" i="8"/>
  <c r="R2540" i="8"/>
  <c r="S2540" i="8"/>
  <c r="T2540" i="8"/>
  <c r="R2541" i="8"/>
  <c r="S2541" i="8"/>
  <c r="T2541" i="8"/>
  <c r="R2542" i="8"/>
  <c r="S2542" i="8"/>
  <c r="T2542" i="8"/>
  <c r="R2543" i="8"/>
  <c r="S2543" i="8"/>
  <c r="T2543" i="8"/>
  <c r="R2544" i="8"/>
  <c r="S2544" i="8"/>
  <c r="T2544" i="8"/>
  <c r="R2545" i="8"/>
  <c r="S2545" i="8"/>
  <c r="T2545" i="8"/>
  <c r="R2546" i="8"/>
  <c r="S2546" i="8"/>
  <c r="T2546" i="8"/>
  <c r="R2547" i="8"/>
  <c r="S2547" i="8"/>
  <c r="T2547" i="8"/>
  <c r="R2548" i="8"/>
  <c r="S2548" i="8"/>
  <c r="T2548" i="8"/>
  <c r="R2549" i="8"/>
  <c r="S2549" i="8"/>
  <c r="T2549" i="8"/>
  <c r="R2550" i="8"/>
  <c r="S2550" i="8"/>
  <c r="T2550" i="8"/>
  <c r="R2551" i="8"/>
  <c r="S2551" i="8"/>
  <c r="T2551" i="8"/>
  <c r="R2552" i="8"/>
  <c r="S2552" i="8"/>
  <c r="T2552" i="8"/>
  <c r="R2553" i="8"/>
  <c r="S2553" i="8"/>
  <c r="T2553" i="8"/>
  <c r="R2554" i="8"/>
  <c r="S2554" i="8"/>
  <c r="T2554" i="8"/>
  <c r="R2555" i="8"/>
  <c r="S2555" i="8"/>
  <c r="T2555" i="8"/>
  <c r="R2556" i="8"/>
  <c r="S2556" i="8"/>
  <c r="T2556" i="8"/>
  <c r="R2557" i="8"/>
  <c r="S2557" i="8"/>
  <c r="T2557" i="8"/>
  <c r="R2558" i="8"/>
  <c r="S2558" i="8"/>
  <c r="T2558" i="8"/>
  <c r="R2559" i="8"/>
  <c r="S2559" i="8"/>
  <c r="T2559" i="8"/>
  <c r="R2560" i="8"/>
  <c r="S2560" i="8"/>
  <c r="T2560" i="8"/>
  <c r="R2561" i="8"/>
  <c r="S2561" i="8"/>
  <c r="T2561" i="8"/>
  <c r="R2562" i="8"/>
  <c r="S2562" i="8"/>
  <c r="T2562" i="8"/>
  <c r="R2563" i="8"/>
  <c r="S2563" i="8"/>
  <c r="T2563" i="8"/>
  <c r="R2564" i="8"/>
  <c r="S2564" i="8"/>
  <c r="T2564" i="8"/>
  <c r="R2565" i="8"/>
  <c r="S2565" i="8"/>
  <c r="T2565" i="8"/>
  <c r="R2566" i="8"/>
  <c r="S2566" i="8"/>
  <c r="T2566" i="8"/>
  <c r="R2567" i="8"/>
  <c r="S2567" i="8"/>
  <c r="T2567" i="8"/>
  <c r="R2568" i="8"/>
  <c r="S2568" i="8"/>
  <c r="T2568" i="8"/>
  <c r="R2569" i="8"/>
  <c r="S2569" i="8"/>
  <c r="T2569" i="8"/>
  <c r="R2570" i="8"/>
  <c r="S2570" i="8"/>
  <c r="T2570" i="8"/>
  <c r="R2571" i="8"/>
  <c r="S2571" i="8"/>
  <c r="T2571" i="8"/>
  <c r="R2572" i="8"/>
  <c r="S2572" i="8"/>
  <c r="T2572" i="8"/>
  <c r="R2573" i="8"/>
  <c r="S2573" i="8"/>
  <c r="T2573" i="8"/>
  <c r="R2574" i="8"/>
  <c r="S2574" i="8"/>
  <c r="T2574" i="8"/>
  <c r="R2575" i="8"/>
  <c r="S2575" i="8"/>
  <c r="T2575" i="8"/>
  <c r="R2576" i="8"/>
  <c r="S2576" i="8"/>
  <c r="T2576" i="8"/>
  <c r="R2577" i="8"/>
  <c r="S2577" i="8"/>
  <c r="T2577" i="8"/>
  <c r="R2578" i="8"/>
  <c r="S2578" i="8"/>
  <c r="T2578" i="8"/>
  <c r="R2579" i="8"/>
  <c r="S2579" i="8"/>
  <c r="T2579" i="8"/>
  <c r="R2580" i="8"/>
  <c r="S2580" i="8"/>
  <c r="T2580" i="8"/>
  <c r="R2581" i="8"/>
  <c r="S2581" i="8"/>
  <c r="T2581" i="8"/>
  <c r="R2582" i="8"/>
  <c r="S2582" i="8"/>
  <c r="T2582" i="8"/>
  <c r="R2583" i="8"/>
  <c r="S2583" i="8"/>
  <c r="T2583" i="8"/>
  <c r="R2584" i="8"/>
  <c r="S2584" i="8"/>
  <c r="T2584" i="8"/>
  <c r="R2585" i="8"/>
  <c r="S2585" i="8"/>
  <c r="T2585" i="8"/>
  <c r="R2586" i="8"/>
  <c r="S2586" i="8"/>
  <c r="T2586" i="8"/>
  <c r="R2587" i="8"/>
  <c r="S2587" i="8"/>
  <c r="T2587" i="8"/>
  <c r="R2588" i="8"/>
  <c r="S2588" i="8"/>
  <c r="T2588" i="8"/>
  <c r="R2589" i="8"/>
  <c r="S2589" i="8"/>
  <c r="T2589" i="8"/>
  <c r="R2590" i="8"/>
  <c r="S2590" i="8"/>
  <c r="T2590" i="8"/>
  <c r="R2591" i="8"/>
  <c r="S2591" i="8"/>
  <c r="T2591" i="8"/>
  <c r="R2592" i="8"/>
  <c r="S2592" i="8"/>
  <c r="T2592" i="8"/>
  <c r="R2593" i="8"/>
  <c r="S2593" i="8"/>
  <c r="T2593" i="8"/>
  <c r="R2594" i="8"/>
  <c r="S2594" i="8"/>
  <c r="T2594" i="8"/>
  <c r="R2595" i="8"/>
  <c r="S2595" i="8"/>
  <c r="T2595" i="8"/>
  <c r="R2596" i="8"/>
  <c r="S2596" i="8"/>
  <c r="T2596" i="8"/>
  <c r="R2597" i="8"/>
  <c r="S2597" i="8"/>
  <c r="T2597" i="8"/>
  <c r="R2598" i="8"/>
  <c r="S2598" i="8"/>
  <c r="T2598" i="8"/>
  <c r="R2599" i="8"/>
  <c r="S2599" i="8"/>
  <c r="T2599" i="8"/>
  <c r="R2600" i="8"/>
  <c r="S2600" i="8"/>
  <c r="T2600" i="8"/>
  <c r="R2601" i="8"/>
  <c r="S2601" i="8"/>
  <c r="T2601" i="8"/>
  <c r="R2602" i="8"/>
  <c r="S2602" i="8"/>
  <c r="T2602" i="8"/>
  <c r="R2603" i="8"/>
  <c r="S2603" i="8"/>
  <c r="T2603" i="8"/>
  <c r="R2604" i="8"/>
  <c r="S2604" i="8"/>
  <c r="T2604" i="8"/>
  <c r="R2605" i="8"/>
  <c r="S2605" i="8"/>
  <c r="T2605" i="8"/>
  <c r="R2606" i="8"/>
  <c r="S2606" i="8"/>
  <c r="T2606" i="8"/>
  <c r="R2607" i="8"/>
  <c r="S2607" i="8"/>
  <c r="T2607" i="8"/>
  <c r="R2608" i="8"/>
  <c r="S2608" i="8"/>
  <c r="T2608" i="8"/>
  <c r="R2609" i="8"/>
  <c r="S2609" i="8"/>
  <c r="T2609" i="8"/>
  <c r="R2610" i="8"/>
  <c r="S2610" i="8"/>
  <c r="T2610" i="8"/>
  <c r="R2611" i="8"/>
  <c r="S2611" i="8"/>
  <c r="T2611" i="8"/>
  <c r="R2612" i="8"/>
  <c r="S2612" i="8"/>
  <c r="T2612" i="8"/>
  <c r="R2613" i="8"/>
  <c r="S2613" i="8"/>
  <c r="T2613" i="8"/>
  <c r="R2614" i="8"/>
  <c r="S2614" i="8"/>
  <c r="T2614" i="8"/>
  <c r="R2615" i="8"/>
  <c r="S2615" i="8"/>
  <c r="T2615" i="8"/>
  <c r="R2616" i="8"/>
  <c r="S2616" i="8"/>
  <c r="T2616" i="8"/>
  <c r="R2617" i="8"/>
  <c r="S2617" i="8"/>
  <c r="T2617" i="8"/>
  <c r="R2618" i="8"/>
  <c r="S2618" i="8"/>
  <c r="T2618" i="8"/>
  <c r="R2619" i="8"/>
  <c r="S2619" i="8"/>
  <c r="T2619" i="8"/>
  <c r="R2620" i="8"/>
  <c r="S2620" i="8"/>
  <c r="T2620" i="8"/>
  <c r="R2621" i="8"/>
  <c r="S2621" i="8"/>
  <c r="T2621" i="8"/>
  <c r="R2622" i="8"/>
  <c r="S2622" i="8"/>
  <c r="T2622" i="8"/>
  <c r="R2623" i="8"/>
  <c r="S2623" i="8"/>
  <c r="T2623" i="8"/>
  <c r="R2624" i="8"/>
  <c r="S2624" i="8"/>
  <c r="T2624" i="8"/>
  <c r="R2625" i="8"/>
  <c r="S2625" i="8"/>
  <c r="T2625" i="8"/>
  <c r="R2626" i="8"/>
  <c r="S2626" i="8"/>
  <c r="T2626" i="8"/>
  <c r="R2627" i="8"/>
  <c r="S2627" i="8"/>
  <c r="T2627" i="8"/>
  <c r="R2628" i="8"/>
  <c r="S2628" i="8"/>
  <c r="T2628" i="8"/>
  <c r="R2629" i="8"/>
  <c r="S2629" i="8"/>
  <c r="T2629" i="8"/>
  <c r="R2630" i="8"/>
  <c r="S2630" i="8"/>
  <c r="T2630" i="8"/>
  <c r="R2631" i="8"/>
  <c r="S2631" i="8"/>
  <c r="T2631" i="8"/>
  <c r="R2632" i="8"/>
  <c r="S2632" i="8"/>
  <c r="T2632" i="8"/>
  <c r="R2633" i="8"/>
  <c r="S2633" i="8"/>
  <c r="T2633" i="8"/>
  <c r="R2634" i="8"/>
  <c r="S2634" i="8"/>
  <c r="T2634" i="8"/>
  <c r="R2635" i="8"/>
  <c r="S2635" i="8"/>
  <c r="T2635" i="8"/>
  <c r="R2636" i="8"/>
  <c r="S2636" i="8"/>
  <c r="T2636" i="8"/>
  <c r="R2637" i="8"/>
  <c r="S2637" i="8"/>
  <c r="T2637" i="8"/>
  <c r="R2638" i="8"/>
  <c r="S2638" i="8"/>
  <c r="T2638" i="8"/>
  <c r="R2639" i="8"/>
  <c r="S2639" i="8"/>
  <c r="T2639" i="8"/>
  <c r="R2640" i="8"/>
  <c r="S2640" i="8"/>
  <c r="T2640" i="8"/>
  <c r="R2641" i="8"/>
  <c r="S2641" i="8"/>
  <c r="T2641" i="8"/>
  <c r="R2642" i="8"/>
  <c r="S2642" i="8"/>
  <c r="T2642" i="8"/>
  <c r="R2643" i="8"/>
  <c r="S2643" i="8"/>
  <c r="T2643" i="8"/>
  <c r="R2644" i="8"/>
  <c r="S2644" i="8"/>
  <c r="T2644" i="8"/>
  <c r="R2645" i="8"/>
  <c r="S2645" i="8"/>
  <c r="T2645" i="8"/>
  <c r="R2646" i="8"/>
  <c r="S2646" i="8"/>
  <c r="T2646" i="8"/>
  <c r="R2647" i="8"/>
  <c r="S2647" i="8"/>
  <c r="T2647" i="8"/>
  <c r="R2648" i="8"/>
  <c r="S2648" i="8"/>
  <c r="T2648" i="8"/>
  <c r="R2649" i="8"/>
  <c r="S2649" i="8"/>
  <c r="T2649" i="8"/>
  <c r="R2650" i="8"/>
  <c r="S2650" i="8"/>
  <c r="T2650" i="8"/>
  <c r="R2651" i="8"/>
  <c r="S2651" i="8"/>
  <c r="T2651" i="8"/>
  <c r="R2652" i="8"/>
  <c r="S2652" i="8"/>
  <c r="T2652" i="8"/>
  <c r="R2653" i="8"/>
  <c r="S2653" i="8"/>
  <c r="T2653" i="8"/>
  <c r="R2654" i="8"/>
  <c r="S2654" i="8"/>
  <c r="T2654" i="8"/>
  <c r="R2655" i="8"/>
  <c r="S2655" i="8"/>
  <c r="T2655" i="8"/>
  <c r="R2656" i="8"/>
  <c r="S2656" i="8"/>
  <c r="T2656" i="8"/>
  <c r="R2657" i="8"/>
  <c r="S2657" i="8"/>
  <c r="T2657" i="8"/>
  <c r="R2658" i="8"/>
  <c r="S2658" i="8"/>
  <c r="T2658" i="8"/>
  <c r="R2659" i="8"/>
  <c r="S2659" i="8"/>
  <c r="T2659" i="8"/>
  <c r="R2660" i="8"/>
  <c r="S2660" i="8"/>
  <c r="T2660" i="8"/>
  <c r="R2661" i="8"/>
  <c r="S2661" i="8"/>
  <c r="T2661" i="8"/>
  <c r="R2662" i="8"/>
  <c r="S2662" i="8"/>
  <c r="T2662" i="8"/>
  <c r="R2663" i="8"/>
  <c r="S2663" i="8"/>
  <c r="T2663" i="8"/>
  <c r="R2664" i="8"/>
  <c r="S2664" i="8"/>
  <c r="T2664" i="8"/>
  <c r="R2665" i="8"/>
  <c r="S2665" i="8"/>
  <c r="T2665" i="8"/>
  <c r="R2666" i="8"/>
  <c r="S2666" i="8"/>
  <c r="T2666" i="8"/>
  <c r="R2667" i="8"/>
  <c r="S2667" i="8"/>
  <c r="T2667" i="8"/>
  <c r="R2668" i="8"/>
  <c r="S2668" i="8"/>
  <c r="T2668" i="8"/>
  <c r="R2669" i="8"/>
  <c r="S2669" i="8"/>
  <c r="T2669" i="8"/>
  <c r="R2670" i="8"/>
  <c r="S2670" i="8"/>
  <c r="T2670" i="8"/>
  <c r="R2671" i="8"/>
  <c r="S2671" i="8"/>
  <c r="T2671" i="8"/>
  <c r="R2672" i="8"/>
  <c r="S2672" i="8"/>
  <c r="T2672" i="8"/>
  <c r="R2673" i="8"/>
  <c r="S2673" i="8"/>
  <c r="T2673" i="8"/>
  <c r="R2674" i="8"/>
  <c r="S2674" i="8"/>
  <c r="T2674" i="8"/>
  <c r="R2675" i="8"/>
  <c r="S2675" i="8"/>
  <c r="T2675" i="8"/>
  <c r="R2676" i="8"/>
  <c r="S2676" i="8"/>
  <c r="T2676" i="8"/>
  <c r="R2677" i="8"/>
  <c r="S2677" i="8"/>
  <c r="T2677" i="8"/>
  <c r="R2678" i="8"/>
  <c r="S2678" i="8"/>
  <c r="T2678" i="8"/>
  <c r="R2679" i="8"/>
  <c r="S2679" i="8"/>
  <c r="T2679" i="8"/>
  <c r="R2680" i="8"/>
  <c r="S2680" i="8"/>
  <c r="T2680" i="8"/>
  <c r="R2681" i="8"/>
  <c r="S2681" i="8"/>
  <c r="T2681" i="8"/>
  <c r="R2682" i="8"/>
  <c r="S2682" i="8"/>
  <c r="T2682" i="8"/>
  <c r="R2683" i="8"/>
  <c r="S2683" i="8"/>
  <c r="T2683" i="8"/>
  <c r="R2684" i="8"/>
  <c r="S2684" i="8"/>
  <c r="T2684" i="8"/>
  <c r="R2685" i="8"/>
  <c r="S2685" i="8"/>
  <c r="T2685" i="8"/>
  <c r="R2686" i="8"/>
  <c r="S2686" i="8"/>
  <c r="T2686" i="8"/>
  <c r="R2687" i="8"/>
  <c r="S2687" i="8"/>
  <c r="T2687" i="8"/>
  <c r="R2688" i="8"/>
  <c r="S2688" i="8"/>
  <c r="T2688" i="8"/>
  <c r="R2689" i="8"/>
  <c r="S2689" i="8"/>
  <c r="T2689" i="8"/>
  <c r="R2690" i="8"/>
  <c r="S2690" i="8"/>
  <c r="T2690" i="8"/>
  <c r="R2691" i="8"/>
  <c r="S2691" i="8"/>
  <c r="T2691" i="8"/>
  <c r="R2692" i="8"/>
  <c r="S2692" i="8"/>
  <c r="T2692" i="8"/>
  <c r="R2693" i="8"/>
  <c r="S2693" i="8"/>
  <c r="T2693" i="8"/>
  <c r="R2694" i="8"/>
  <c r="S2694" i="8"/>
  <c r="T2694" i="8"/>
  <c r="R2695" i="8"/>
  <c r="S2695" i="8"/>
  <c r="T2695" i="8"/>
  <c r="R2696" i="8"/>
  <c r="S2696" i="8"/>
  <c r="T2696" i="8"/>
  <c r="R2697" i="8"/>
  <c r="S2697" i="8"/>
  <c r="T2697" i="8"/>
  <c r="R2698" i="8"/>
  <c r="S2698" i="8"/>
  <c r="T2698" i="8"/>
  <c r="R2699" i="8"/>
  <c r="S2699" i="8"/>
  <c r="T2699" i="8"/>
  <c r="R2700" i="8"/>
  <c r="S2700" i="8"/>
  <c r="T2700" i="8"/>
  <c r="R2701" i="8"/>
  <c r="S2701" i="8"/>
  <c r="T2701" i="8"/>
  <c r="R2702" i="8"/>
  <c r="S2702" i="8"/>
  <c r="T2702" i="8"/>
  <c r="R2703" i="8"/>
  <c r="S2703" i="8"/>
  <c r="T2703" i="8"/>
  <c r="R2704" i="8"/>
  <c r="S2704" i="8"/>
  <c r="T2704" i="8"/>
  <c r="R2705" i="8"/>
  <c r="S2705" i="8"/>
  <c r="T2705" i="8"/>
  <c r="R2706" i="8"/>
  <c r="S2706" i="8"/>
  <c r="T2706" i="8"/>
  <c r="R2707" i="8"/>
  <c r="S2707" i="8"/>
  <c r="T2707" i="8"/>
  <c r="R2708" i="8"/>
  <c r="S2708" i="8"/>
  <c r="T2708" i="8"/>
  <c r="R2709" i="8"/>
  <c r="S2709" i="8"/>
  <c r="T2709" i="8"/>
  <c r="R2710" i="8"/>
  <c r="S2710" i="8"/>
  <c r="T2710" i="8"/>
  <c r="R2711" i="8"/>
  <c r="S2711" i="8"/>
  <c r="T2711" i="8"/>
  <c r="R2712" i="8"/>
  <c r="S2712" i="8"/>
  <c r="T2712" i="8"/>
  <c r="R2713" i="8"/>
  <c r="S2713" i="8"/>
  <c r="T2713" i="8"/>
  <c r="R2714" i="8"/>
  <c r="S2714" i="8"/>
  <c r="T2714" i="8"/>
  <c r="R2715" i="8"/>
  <c r="S2715" i="8"/>
  <c r="T2715" i="8"/>
  <c r="R2716" i="8"/>
  <c r="S2716" i="8"/>
  <c r="T2716" i="8"/>
  <c r="R2717" i="8"/>
  <c r="S2717" i="8"/>
  <c r="T2717" i="8"/>
  <c r="R2718" i="8"/>
  <c r="S2718" i="8"/>
  <c r="T2718" i="8"/>
  <c r="R2719" i="8"/>
  <c r="S2719" i="8"/>
  <c r="T2719" i="8"/>
  <c r="R2720" i="8"/>
  <c r="S2720" i="8"/>
  <c r="T2720" i="8"/>
  <c r="R2721" i="8"/>
  <c r="S2721" i="8"/>
  <c r="T2721" i="8"/>
  <c r="R2722" i="8"/>
  <c r="S2722" i="8"/>
  <c r="T2722" i="8"/>
  <c r="R2723" i="8"/>
  <c r="S2723" i="8"/>
  <c r="T2723" i="8"/>
  <c r="R2724" i="8"/>
  <c r="S2724" i="8"/>
  <c r="T2724" i="8"/>
  <c r="R2725" i="8"/>
  <c r="S2725" i="8"/>
  <c r="T2725" i="8"/>
  <c r="R2726" i="8"/>
  <c r="S2726" i="8"/>
  <c r="T2726" i="8"/>
  <c r="R2727" i="8"/>
  <c r="S2727" i="8"/>
  <c r="T2727" i="8"/>
  <c r="R2728" i="8"/>
  <c r="S2728" i="8"/>
  <c r="T2728" i="8"/>
  <c r="R2729" i="8"/>
  <c r="S2729" i="8"/>
  <c r="T2729" i="8"/>
  <c r="R2730" i="8"/>
  <c r="S2730" i="8"/>
  <c r="T2730" i="8"/>
  <c r="R2731" i="8"/>
  <c r="S2731" i="8"/>
  <c r="T2731" i="8"/>
  <c r="R2732" i="8"/>
  <c r="S2732" i="8"/>
  <c r="T2732" i="8"/>
  <c r="R2733" i="8"/>
  <c r="S2733" i="8"/>
  <c r="T2733" i="8"/>
  <c r="R2734" i="8"/>
  <c r="S2734" i="8"/>
  <c r="T2734" i="8"/>
  <c r="R2735" i="8"/>
  <c r="S2735" i="8"/>
  <c r="T2735" i="8"/>
  <c r="R2736" i="8"/>
  <c r="S2736" i="8"/>
  <c r="T2736" i="8"/>
  <c r="R2737" i="8"/>
  <c r="S2737" i="8"/>
  <c r="T2737" i="8"/>
  <c r="R2738" i="8"/>
  <c r="S2738" i="8"/>
  <c r="T2738" i="8"/>
  <c r="R2739" i="8"/>
  <c r="S2739" i="8"/>
  <c r="T2739" i="8"/>
  <c r="R2740" i="8"/>
  <c r="S2740" i="8"/>
  <c r="T2740" i="8"/>
  <c r="R2741" i="8"/>
  <c r="S2741" i="8"/>
  <c r="T2741" i="8"/>
  <c r="R2742" i="8"/>
  <c r="S2742" i="8"/>
  <c r="T2742" i="8"/>
  <c r="R2743" i="8"/>
  <c r="S2743" i="8"/>
  <c r="T2743" i="8"/>
  <c r="R2744" i="8"/>
  <c r="S2744" i="8"/>
  <c r="T2744" i="8"/>
  <c r="R2745" i="8"/>
  <c r="S2745" i="8"/>
  <c r="T2745" i="8"/>
  <c r="R2746" i="8"/>
  <c r="S2746" i="8"/>
  <c r="T2746" i="8"/>
  <c r="R2747" i="8"/>
  <c r="S2747" i="8"/>
  <c r="T2747" i="8"/>
  <c r="R2748" i="8"/>
  <c r="S2748" i="8"/>
  <c r="T2748" i="8"/>
  <c r="R2749" i="8"/>
  <c r="S2749" i="8"/>
  <c r="T2749" i="8"/>
  <c r="R2750" i="8"/>
  <c r="S2750" i="8"/>
  <c r="T2750" i="8"/>
  <c r="R2751" i="8"/>
  <c r="S2751" i="8"/>
  <c r="T2751" i="8"/>
  <c r="R2752" i="8"/>
  <c r="S2752" i="8"/>
  <c r="T2752" i="8"/>
  <c r="R2753" i="8"/>
  <c r="S2753" i="8"/>
  <c r="T2753" i="8"/>
  <c r="R2754" i="8"/>
  <c r="S2754" i="8"/>
  <c r="T2754" i="8"/>
  <c r="R2755" i="8"/>
  <c r="S2755" i="8"/>
  <c r="T2755" i="8"/>
  <c r="R2756" i="8"/>
  <c r="S2756" i="8"/>
  <c r="T2756" i="8"/>
  <c r="R2757" i="8"/>
  <c r="S2757" i="8"/>
  <c r="T2757" i="8"/>
  <c r="R2758" i="8"/>
  <c r="S2758" i="8"/>
  <c r="T2758" i="8"/>
  <c r="R2759" i="8"/>
  <c r="S2759" i="8"/>
  <c r="T2759" i="8"/>
  <c r="R2760" i="8"/>
  <c r="S2760" i="8"/>
  <c r="T2760" i="8"/>
  <c r="R2761" i="8"/>
  <c r="S2761" i="8"/>
  <c r="T2761" i="8"/>
  <c r="R2762" i="8"/>
  <c r="S2762" i="8"/>
  <c r="T2762" i="8"/>
  <c r="R2763" i="8"/>
  <c r="S2763" i="8"/>
  <c r="T2763" i="8"/>
  <c r="R2764" i="8"/>
  <c r="S2764" i="8"/>
  <c r="T2764" i="8"/>
  <c r="R2765" i="8"/>
  <c r="S2765" i="8"/>
  <c r="T2765" i="8"/>
  <c r="R2766" i="8"/>
  <c r="S2766" i="8"/>
  <c r="T2766" i="8"/>
  <c r="R2767" i="8"/>
  <c r="S2767" i="8"/>
  <c r="T2767" i="8"/>
  <c r="R2768" i="8"/>
  <c r="S2768" i="8"/>
  <c r="T2768" i="8"/>
  <c r="R2769" i="8"/>
  <c r="S2769" i="8"/>
  <c r="T2769" i="8"/>
  <c r="R2770" i="8"/>
  <c r="S2770" i="8"/>
  <c r="T2770" i="8"/>
  <c r="R2771" i="8"/>
  <c r="S2771" i="8"/>
  <c r="T2771" i="8"/>
  <c r="R2772" i="8"/>
  <c r="S2772" i="8"/>
  <c r="T2772" i="8"/>
  <c r="R2773" i="8"/>
  <c r="S2773" i="8"/>
  <c r="T2773" i="8"/>
  <c r="R2774" i="8"/>
  <c r="S2774" i="8"/>
  <c r="T2774" i="8"/>
  <c r="R2775" i="8"/>
  <c r="S2775" i="8"/>
  <c r="T2775" i="8"/>
  <c r="R2776" i="8"/>
  <c r="S2776" i="8"/>
  <c r="T2776" i="8"/>
  <c r="R2777" i="8"/>
  <c r="S2777" i="8"/>
  <c r="T2777" i="8"/>
  <c r="R2778" i="8"/>
  <c r="S2778" i="8"/>
  <c r="T2778" i="8"/>
  <c r="R2779" i="8"/>
  <c r="S2779" i="8"/>
  <c r="T2779" i="8"/>
  <c r="R2780" i="8"/>
  <c r="S2780" i="8"/>
  <c r="T2780" i="8"/>
  <c r="R2781" i="8"/>
  <c r="S2781" i="8"/>
  <c r="T2781" i="8"/>
  <c r="R2782" i="8"/>
  <c r="S2782" i="8"/>
  <c r="T2782" i="8"/>
  <c r="R2783" i="8"/>
  <c r="S2783" i="8"/>
  <c r="T2783" i="8"/>
  <c r="R2784" i="8"/>
  <c r="S2784" i="8"/>
  <c r="T2784" i="8"/>
  <c r="R2785" i="8"/>
  <c r="S2785" i="8"/>
  <c r="T2785" i="8"/>
  <c r="R2786" i="8"/>
  <c r="S2786" i="8"/>
  <c r="T2786" i="8"/>
  <c r="R2787" i="8"/>
  <c r="S2787" i="8"/>
  <c r="T2787" i="8"/>
  <c r="R2788" i="8"/>
  <c r="S2788" i="8"/>
  <c r="T2788" i="8"/>
  <c r="R2789" i="8"/>
  <c r="S2789" i="8"/>
  <c r="T2789" i="8"/>
  <c r="R2790" i="8"/>
  <c r="S2790" i="8"/>
  <c r="T2790" i="8"/>
  <c r="R2791" i="8"/>
  <c r="S2791" i="8"/>
  <c r="T2791" i="8"/>
  <c r="R2792" i="8"/>
  <c r="S2792" i="8"/>
  <c r="T2792" i="8"/>
  <c r="R2793" i="8"/>
  <c r="S2793" i="8"/>
  <c r="T2793" i="8"/>
  <c r="R2794" i="8"/>
  <c r="S2794" i="8"/>
  <c r="T2794" i="8"/>
  <c r="R2795" i="8"/>
  <c r="S2795" i="8"/>
  <c r="T2795" i="8"/>
  <c r="R2796" i="8"/>
  <c r="S2796" i="8"/>
  <c r="T2796" i="8"/>
  <c r="R2797" i="8"/>
  <c r="S2797" i="8"/>
  <c r="T2797" i="8"/>
  <c r="R2798" i="8"/>
  <c r="S2798" i="8"/>
  <c r="T2798" i="8"/>
  <c r="R2799" i="8"/>
  <c r="S2799" i="8"/>
  <c r="T2799" i="8"/>
  <c r="R2800" i="8"/>
  <c r="S2800" i="8"/>
  <c r="T2800" i="8"/>
  <c r="R2801" i="8"/>
  <c r="S2801" i="8"/>
  <c r="T2801" i="8"/>
  <c r="R2802" i="8"/>
  <c r="S2802" i="8"/>
  <c r="T2802" i="8"/>
  <c r="R2803" i="8"/>
  <c r="S2803" i="8"/>
  <c r="T2803" i="8"/>
  <c r="R2804" i="8"/>
  <c r="S2804" i="8"/>
  <c r="T2804" i="8"/>
  <c r="R2805" i="8"/>
  <c r="S2805" i="8"/>
  <c r="T2805" i="8"/>
  <c r="R2806" i="8"/>
  <c r="S2806" i="8"/>
  <c r="T2806" i="8"/>
  <c r="R2807" i="8"/>
  <c r="S2807" i="8"/>
  <c r="T2807" i="8"/>
  <c r="R2808" i="8"/>
  <c r="S2808" i="8"/>
  <c r="T2808" i="8"/>
  <c r="R2809" i="8"/>
  <c r="S2809" i="8"/>
  <c r="T2809" i="8"/>
  <c r="R2810" i="8"/>
  <c r="S2810" i="8"/>
  <c r="T2810" i="8"/>
  <c r="R2811" i="8"/>
  <c r="S2811" i="8"/>
  <c r="T2811" i="8"/>
  <c r="R2812" i="8"/>
  <c r="S2812" i="8"/>
  <c r="T2812" i="8"/>
  <c r="R2813" i="8"/>
  <c r="S2813" i="8"/>
  <c r="T2813" i="8"/>
  <c r="R2814" i="8"/>
  <c r="S2814" i="8"/>
  <c r="T2814" i="8"/>
  <c r="R2815" i="8"/>
  <c r="S2815" i="8"/>
  <c r="T2815" i="8"/>
  <c r="R2816" i="8"/>
  <c r="S2816" i="8"/>
  <c r="T2816" i="8"/>
  <c r="R2817" i="8"/>
  <c r="S2817" i="8"/>
  <c r="T2817" i="8"/>
  <c r="R2818" i="8"/>
  <c r="S2818" i="8"/>
  <c r="T2818" i="8"/>
  <c r="R2819" i="8"/>
  <c r="S2819" i="8"/>
  <c r="T2819" i="8"/>
  <c r="R2820" i="8"/>
  <c r="S2820" i="8"/>
  <c r="T2820" i="8"/>
  <c r="R2821" i="8"/>
  <c r="S2821" i="8"/>
  <c r="T2821" i="8"/>
  <c r="R2822" i="8"/>
  <c r="S2822" i="8"/>
  <c r="T2822" i="8"/>
  <c r="R2823" i="8"/>
  <c r="S2823" i="8"/>
  <c r="T2823" i="8"/>
  <c r="R2824" i="8"/>
  <c r="S2824" i="8"/>
  <c r="T2824" i="8"/>
  <c r="R2825" i="8"/>
  <c r="S2825" i="8"/>
  <c r="T2825" i="8"/>
  <c r="R2826" i="8"/>
  <c r="S2826" i="8"/>
  <c r="T2826" i="8"/>
  <c r="R2827" i="8"/>
  <c r="S2827" i="8"/>
  <c r="T2827" i="8"/>
  <c r="R2828" i="8"/>
  <c r="S2828" i="8"/>
  <c r="T2828" i="8"/>
  <c r="R2829" i="8"/>
  <c r="S2829" i="8"/>
  <c r="T2829" i="8"/>
  <c r="R2830" i="8"/>
  <c r="S2830" i="8"/>
  <c r="T2830" i="8"/>
  <c r="R2831" i="8"/>
  <c r="S2831" i="8"/>
  <c r="T2831" i="8"/>
  <c r="R2832" i="8"/>
  <c r="S2832" i="8"/>
  <c r="T2832" i="8"/>
  <c r="R2833" i="8"/>
  <c r="S2833" i="8"/>
  <c r="T2833" i="8"/>
  <c r="R2834" i="8"/>
  <c r="S2834" i="8"/>
  <c r="T2834" i="8"/>
  <c r="R2835" i="8"/>
  <c r="S2835" i="8"/>
  <c r="T2835" i="8"/>
  <c r="R2836" i="8"/>
  <c r="S2836" i="8"/>
  <c r="T2836" i="8"/>
  <c r="R2837" i="8"/>
  <c r="S2837" i="8"/>
  <c r="T2837" i="8"/>
  <c r="R2838" i="8"/>
  <c r="S2838" i="8"/>
  <c r="T2838" i="8"/>
  <c r="R2839" i="8"/>
  <c r="S2839" i="8"/>
  <c r="T2839" i="8"/>
  <c r="R2840" i="8"/>
  <c r="S2840" i="8"/>
  <c r="T2840" i="8"/>
  <c r="R2841" i="8"/>
  <c r="S2841" i="8"/>
  <c r="T2841" i="8"/>
  <c r="R2842" i="8"/>
  <c r="S2842" i="8"/>
  <c r="T2842" i="8"/>
  <c r="R2843" i="8"/>
  <c r="S2843" i="8"/>
  <c r="T2843" i="8"/>
  <c r="R2844" i="8"/>
  <c r="S2844" i="8"/>
  <c r="T2844" i="8"/>
  <c r="R2845" i="8"/>
  <c r="S2845" i="8"/>
  <c r="T2845" i="8"/>
  <c r="R2846" i="8"/>
  <c r="S2846" i="8"/>
  <c r="T2846" i="8"/>
  <c r="R2847" i="8"/>
  <c r="S2847" i="8"/>
  <c r="T2847" i="8"/>
  <c r="R2848" i="8"/>
  <c r="S2848" i="8"/>
  <c r="T2848" i="8"/>
  <c r="R2849" i="8"/>
  <c r="S2849" i="8"/>
  <c r="T2849" i="8"/>
  <c r="R2850" i="8"/>
  <c r="S2850" i="8"/>
  <c r="T2850" i="8"/>
  <c r="R2851" i="8"/>
  <c r="S2851" i="8"/>
  <c r="T2851" i="8"/>
  <c r="R2852" i="8"/>
  <c r="S2852" i="8"/>
  <c r="T2852" i="8"/>
  <c r="R2853" i="8"/>
  <c r="S2853" i="8"/>
  <c r="T2853" i="8"/>
  <c r="R2854" i="8"/>
  <c r="S2854" i="8"/>
  <c r="T2854" i="8"/>
  <c r="R2855" i="8"/>
  <c r="S2855" i="8"/>
  <c r="T2855" i="8"/>
  <c r="R2856" i="8"/>
  <c r="S2856" i="8"/>
  <c r="T2856" i="8"/>
  <c r="R2857" i="8"/>
  <c r="S2857" i="8"/>
  <c r="T2857" i="8"/>
  <c r="R2858" i="8"/>
  <c r="S2858" i="8"/>
  <c r="T2858" i="8"/>
  <c r="R2859" i="8"/>
  <c r="S2859" i="8"/>
  <c r="T2859" i="8"/>
  <c r="R2860" i="8"/>
  <c r="S2860" i="8"/>
  <c r="T2860" i="8"/>
  <c r="R2861" i="8"/>
  <c r="S2861" i="8"/>
  <c r="T2861" i="8"/>
  <c r="R2862" i="8"/>
  <c r="S2862" i="8"/>
  <c r="T2862" i="8"/>
  <c r="R2863" i="8"/>
  <c r="S2863" i="8"/>
  <c r="T2863" i="8"/>
  <c r="R2864" i="8"/>
  <c r="S2864" i="8"/>
  <c r="T2864" i="8"/>
  <c r="R2865" i="8"/>
  <c r="S2865" i="8"/>
  <c r="T2865" i="8"/>
  <c r="R2866" i="8"/>
  <c r="S2866" i="8"/>
  <c r="T2866" i="8"/>
  <c r="R2867" i="8"/>
  <c r="S2867" i="8"/>
  <c r="T2867" i="8"/>
  <c r="R2868" i="8"/>
  <c r="S2868" i="8"/>
  <c r="T2868" i="8"/>
  <c r="R2869" i="8"/>
  <c r="S2869" i="8"/>
  <c r="T2869" i="8"/>
  <c r="R2870" i="8"/>
  <c r="S2870" i="8"/>
  <c r="T2870" i="8"/>
  <c r="R2871" i="8"/>
  <c r="S2871" i="8"/>
  <c r="T2871" i="8"/>
  <c r="R2872" i="8"/>
  <c r="S2872" i="8"/>
  <c r="T2872" i="8"/>
  <c r="R2873" i="8"/>
  <c r="S2873" i="8"/>
  <c r="T2873" i="8"/>
  <c r="R2874" i="8"/>
  <c r="S2874" i="8"/>
  <c r="T2874" i="8"/>
  <c r="R2875" i="8"/>
  <c r="S2875" i="8"/>
  <c r="T2875" i="8"/>
  <c r="R2876" i="8"/>
  <c r="S2876" i="8"/>
  <c r="T2876" i="8"/>
  <c r="R2877" i="8"/>
  <c r="S2877" i="8"/>
  <c r="T2877" i="8"/>
  <c r="R2878" i="8"/>
  <c r="S2878" i="8"/>
  <c r="T2878" i="8"/>
  <c r="R2879" i="8"/>
  <c r="S2879" i="8"/>
  <c r="T2879" i="8"/>
  <c r="R2880" i="8"/>
  <c r="S2880" i="8"/>
  <c r="T2880" i="8"/>
  <c r="R2881" i="8"/>
  <c r="S2881" i="8"/>
  <c r="T2881" i="8"/>
  <c r="R2882" i="8"/>
  <c r="S2882" i="8"/>
  <c r="T2882" i="8"/>
  <c r="R2883" i="8"/>
  <c r="S2883" i="8"/>
  <c r="T2883" i="8"/>
  <c r="R2884" i="8"/>
  <c r="S2884" i="8"/>
  <c r="T2884" i="8"/>
  <c r="R2885" i="8"/>
  <c r="S2885" i="8"/>
  <c r="T2885" i="8"/>
  <c r="R2886" i="8"/>
  <c r="S2886" i="8"/>
  <c r="T2886" i="8"/>
  <c r="R2887" i="8"/>
  <c r="S2887" i="8"/>
  <c r="T2887" i="8"/>
  <c r="R2888" i="8"/>
  <c r="S2888" i="8"/>
  <c r="T2888" i="8"/>
  <c r="R2889" i="8"/>
  <c r="S2889" i="8"/>
  <c r="T2889" i="8"/>
  <c r="R2890" i="8"/>
  <c r="S2890" i="8"/>
  <c r="T2890" i="8"/>
  <c r="R2891" i="8"/>
  <c r="S2891" i="8"/>
  <c r="T2891" i="8"/>
  <c r="R2892" i="8"/>
  <c r="S2892" i="8"/>
  <c r="T2892" i="8"/>
  <c r="R2893" i="8"/>
  <c r="S2893" i="8"/>
  <c r="T2893" i="8"/>
  <c r="R2894" i="8"/>
  <c r="S2894" i="8"/>
  <c r="T2894" i="8"/>
  <c r="R2895" i="8"/>
  <c r="S2895" i="8"/>
  <c r="T2895" i="8"/>
  <c r="R2896" i="8"/>
  <c r="S2896" i="8"/>
  <c r="T2896" i="8"/>
  <c r="R2897" i="8"/>
  <c r="S2897" i="8"/>
  <c r="T2897" i="8"/>
  <c r="R2898" i="8"/>
  <c r="S2898" i="8"/>
  <c r="T2898" i="8"/>
  <c r="R2899" i="8"/>
  <c r="S2899" i="8"/>
  <c r="T2899" i="8"/>
  <c r="R2900" i="8"/>
  <c r="S2900" i="8"/>
  <c r="T2900" i="8"/>
  <c r="R2901" i="8"/>
  <c r="S2901" i="8"/>
  <c r="T2901" i="8"/>
  <c r="R2902" i="8"/>
  <c r="S2902" i="8"/>
  <c r="T2902" i="8"/>
  <c r="R2903" i="8"/>
  <c r="S2903" i="8"/>
  <c r="T2903" i="8"/>
  <c r="R2904" i="8"/>
  <c r="S2904" i="8"/>
  <c r="T2904" i="8"/>
  <c r="R2905" i="8"/>
  <c r="S2905" i="8"/>
  <c r="T2905" i="8"/>
  <c r="R2906" i="8"/>
  <c r="S2906" i="8"/>
  <c r="T2906" i="8"/>
  <c r="R2907" i="8"/>
  <c r="S2907" i="8"/>
  <c r="T2907" i="8"/>
  <c r="R2908" i="8"/>
  <c r="S2908" i="8"/>
  <c r="T2908" i="8"/>
  <c r="R2909" i="8"/>
  <c r="S2909" i="8"/>
  <c r="T2909" i="8"/>
  <c r="R2910" i="8"/>
  <c r="S2910" i="8"/>
  <c r="T2910" i="8"/>
  <c r="R2911" i="8"/>
  <c r="S2911" i="8"/>
  <c r="T2911" i="8"/>
  <c r="R2912" i="8"/>
  <c r="S2912" i="8"/>
  <c r="T2912" i="8"/>
  <c r="R2913" i="8"/>
  <c r="S2913" i="8"/>
  <c r="T2913" i="8"/>
  <c r="R2914" i="8"/>
  <c r="S2914" i="8"/>
  <c r="T2914" i="8"/>
  <c r="R2915" i="8"/>
  <c r="S2915" i="8"/>
  <c r="T2915" i="8"/>
  <c r="R2916" i="8"/>
  <c r="S2916" i="8"/>
  <c r="T2916" i="8"/>
  <c r="R2917" i="8"/>
  <c r="S2917" i="8"/>
  <c r="T2917" i="8"/>
  <c r="R2918" i="8"/>
  <c r="S2918" i="8"/>
  <c r="T2918" i="8"/>
  <c r="R2919" i="8"/>
  <c r="S2919" i="8"/>
  <c r="T2919" i="8"/>
  <c r="R2920" i="8"/>
  <c r="S2920" i="8"/>
  <c r="T2920" i="8"/>
  <c r="R2921" i="8"/>
  <c r="S2921" i="8"/>
  <c r="T2921" i="8"/>
  <c r="R2922" i="8"/>
  <c r="S2922" i="8"/>
  <c r="T2922" i="8"/>
  <c r="R2923" i="8"/>
  <c r="S2923" i="8"/>
  <c r="T2923" i="8"/>
  <c r="R2924" i="8"/>
  <c r="S2924" i="8"/>
  <c r="T2924" i="8"/>
  <c r="R2925" i="8"/>
  <c r="S2925" i="8"/>
  <c r="T2925" i="8"/>
  <c r="R2926" i="8"/>
  <c r="S2926" i="8"/>
  <c r="T2926" i="8"/>
  <c r="R2927" i="8"/>
  <c r="S2927" i="8"/>
  <c r="T2927" i="8"/>
  <c r="R2928" i="8"/>
  <c r="S2928" i="8"/>
  <c r="T2928" i="8"/>
  <c r="R2929" i="8"/>
  <c r="S2929" i="8"/>
  <c r="T2929" i="8"/>
  <c r="R2930" i="8"/>
  <c r="S2930" i="8"/>
  <c r="T2930" i="8"/>
  <c r="R2931" i="8"/>
  <c r="S2931" i="8"/>
  <c r="T2931" i="8"/>
  <c r="R2932" i="8"/>
  <c r="S2932" i="8"/>
  <c r="T2932" i="8"/>
  <c r="R2933" i="8"/>
  <c r="S2933" i="8"/>
  <c r="T2933" i="8"/>
  <c r="R2934" i="8"/>
  <c r="S2934" i="8"/>
  <c r="T2934" i="8"/>
  <c r="R2935" i="8"/>
  <c r="S2935" i="8"/>
  <c r="T2935" i="8"/>
  <c r="R2936" i="8"/>
  <c r="S2936" i="8"/>
  <c r="T2936" i="8"/>
  <c r="R2937" i="8"/>
  <c r="S2937" i="8"/>
  <c r="T2937" i="8"/>
  <c r="R2938" i="8"/>
  <c r="S2938" i="8"/>
  <c r="T2938" i="8"/>
  <c r="R2939" i="8"/>
  <c r="S2939" i="8"/>
  <c r="T2939" i="8"/>
  <c r="R2940" i="8"/>
  <c r="S2940" i="8"/>
  <c r="T2940" i="8"/>
  <c r="R2941" i="8"/>
  <c r="S2941" i="8"/>
  <c r="T2941" i="8"/>
  <c r="R2942" i="8"/>
  <c r="S2942" i="8"/>
  <c r="T2942" i="8"/>
  <c r="R2943" i="8"/>
  <c r="S2943" i="8"/>
  <c r="T2943" i="8"/>
  <c r="R2944" i="8"/>
  <c r="S2944" i="8"/>
  <c r="T2944" i="8"/>
  <c r="R2945" i="8"/>
  <c r="S2945" i="8"/>
  <c r="T2945" i="8"/>
  <c r="R2946" i="8"/>
  <c r="S2946" i="8"/>
  <c r="T2946" i="8"/>
  <c r="R2947" i="8"/>
  <c r="S2947" i="8"/>
  <c r="T2947" i="8"/>
  <c r="R2948" i="8"/>
  <c r="S2948" i="8"/>
  <c r="T2948" i="8"/>
  <c r="R2949" i="8"/>
  <c r="S2949" i="8"/>
  <c r="T2949" i="8"/>
  <c r="R2950" i="8"/>
  <c r="S2950" i="8"/>
  <c r="T2950" i="8"/>
  <c r="R2951" i="8"/>
  <c r="S2951" i="8"/>
  <c r="T2951" i="8"/>
  <c r="R2952" i="8"/>
  <c r="S2952" i="8"/>
  <c r="T2952" i="8"/>
  <c r="R2953" i="8"/>
  <c r="S2953" i="8"/>
  <c r="T2953" i="8"/>
  <c r="R2954" i="8"/>
  <c r="S2954" i="8"/>
  <c r="T2954" i="8"/>
  <c r="R2955" i="8"/>
  <c r="S2955" i="8"/>
  <c r="T2955" i="8"/>
  <c r="R2956" i="8"/>
  <c r="S2956" i="8"/>
  <c r="T2956" i="8"/>
  <c r="R2957" i="8"/>
  <c r="S2957" i="8"/>
  <c r="T2957" i="8"/>
  <c r="R2958" i="8"/>
  <c r="S2958" i="8"/>
  <c r="T2958" i="8"/>
  <c r="R2959" i="8"/>
  <c r="S2959" i="8"/>
  <c r="T2959" i="8"/>
  <c r="R2960" i="8"/>
  <c r="S2960" i="8"/>
  <c r="T2960" i="8"/>
  <c r="R2961" i="8"/>
  <c r="S2961" i="8"/>
  <c r="T2961" i="8"/>
  <c r="R2962" i="8"/>
  <c r="S2962" i="8"/>
  <c r="T2962" i="8"/>
  <c r="R2963" i="8"/>
  <c r="S2963" i="8"/>
  <c r="T2963" i="8"/>
  <c r="R2964" i="8"/>
  <c r="S2964" i="8"/>
  <c r="T2964" i="8"/>
  <c r="R2965" i="8"/>
  <c r="S2965" i="8"/>
  <c r="T2965" i="8"/>
  <c r="R2966" i="8"/>
  <c r="S2966" i="8"/>
  <c r="T2966" i="8"/>
  <c r="R2967" i="8"/>
  <c r="S2967" i="8"/>
  <c r="T2967" i="8"/>
  <c r="R2968" i="8"/>
  <c r="S2968" i="8"/>
  <c r="T2968" i="8"/>
  <c r="R2969" i="8"/>
  <c r="S2969" i="8"/>
  <c r="T2969" i="8"/>
  <c r="R2970" i="8"/>
  <c r="S2970" i="8"/>
  <c r="T2970" i="8"/>
  <c r="R2971" i="8"/>
  <c r="S2971" i="8"/>
  <c r="T2971" i="8"/>
  <c r="R2972" i="8"/>
  <c r="S2972" i="8"/>
  <c r="T2972" i="8"/>
  <c r="R2973" i="8"/>
  <c r="S2973" i="8"/>
  <c r="T2973" i="8"/>
  <c r="R2974" i="8"/>
  <c r="S2974" i="8"/>
  <c r="T2974" i="8"/>
  <c r="R2975" i="8"/>
  <c r="S2975" i="8"/>
  <c r="T2975" i="8"/>
  <c r="R2976" i="8"/>
  <c r="S2976" i="8"/>
  <c r="T2976" i="8"/>
  <c r="R2977" i="8"/>
  <c r="S2977" i="8"/>
  <c r="T2977" i="8"/>
  <c r="R2978" i="8"/>
  <c r="S2978" i="8"/>
  <c r="T2978" i="8"/>
  <c r="R2979" i="8"/>
  <c r="S2979" i="8"/>
  <c r="T2979" i="8"/>
  <c r="R2980" i="8"/>
  <c r="S2980" i="8"/>
  <c r="T2980" i="8"/>
  <c r="R2981" i="8"/>
  <c r="S2981" i="8"/>
  <c r="T2981" i="8"/>
  <c r="R2982" i="8"/>
  <c r="S2982" i="8"/>
  <c r="T2982" i="8"/>
  <c r="R2983" i="8"/>
  <c r="S2983" i="8"/>
  <c r="T2983" i="8"/>
  <c r="R2984" i="8"/>
  <c r="S2984" i="8"/>
  <c r="T2984" i="8"/>
  <c r="R2985" i="8"/>
  <c r="S2985" i="8"/>
  <c r="T2985" i="8"/>
  <c r="R2986" i="8"/>
  <c r="S2986" i="8"/>
  <c r="T2986" i="8"/>
  <c r="R2987" i="8"/>
  <c r="S2987" i="8"/>
  <c r="T2987" i="8"/>
  <c r="R2988" i="8"/>
  <c r="S2988" i="8"/>
  <c r="T2988" i="8"/>
  <c r="R2989" i="8"/>
  <c r="S2989" i="8"/>
  <c r="T2989" i="8"/>
  <c r="R2990" i="8"/>
  <c r="S2990" i="8"/>
  <c r="T2990" i="8"/>
  <c r="R2991" i="8"/>
  <c r="S2991" i="8"/>
  <c r="T2991" i="8"/>
  <c r="R2992" i="8"/>
  <c r="S2992" i="8"/>
  <c r="T2992" i="8"/>
  <c r="R2993" i="8"/>
  <c r="S2993" i="8"/>
  <c r="T2993" i="8"/>
  <c r="R2994" i="8"/>
  <c r="S2994" i="8"/>
  <c r="T2994" i="8"/>
  <c r="R2995" i="8"/>
  <c r="S2995" i="8"/>
  <c r="T2995" i="8"/>
  <c r="R2996" i="8"/>
  <c r="S2996" i="8"/>
  <c r="T2996" i="8"/>
  <c r="R2997" i="8"/>
  <c r="S2997" i="8"/>
  <c r="T2997" i="8"/>
  <c r="R2998" i="8"/>
  <c r="S2998" i="8"/>
  <c r="T2998" i="8"/>
  <c r="R2999" i="8"/>
  <c r="S2999" i="8"/>
  <c r="T2999" i="8"/>
  <c r="R3000" i="8"/>
  <c r="S3000" i="8"/>
  <c r="T3000" i="8"/>
  <c r="R3001" i="8"/>
  <c r="S3001" i="8"/>
  <c r="T3001" i="8"/>
  <c r="R3002" i="8"/>
  <c r="S3002" i="8"/>
  <c r="T3002" i="8"/>
  <c r="R3003" i="8"/>
  <c r="S3003" i="8"/>
  <c r="T3003" i="8"/>
  <c r="R3004" i="8"/>
  <c r="S3004" i="8"/>
  <c r="T3004" i="8"/>
  <c r="R3005" i="8"/>
  <c r="S3005" i="8"/>
  <c r="T3005" i="8"/>
  <c r="R3006" i="8"/>
  <c r="S3006" i="8"/>
  <c r="T3006" i="8"/>
  <c r="R3007" i="8"/>
  <c r="S3007" i="8"/>
  <c r="T3007" i="8"/>
  <c r="R3008" i="8"/>
  <c r="S3008" i="8"/>
  <c r="T3008" i="8"/>
  <c r="R3009" i="8"/>
  <c r="S3009" i="8"/>
  <c r="T3009" i="8"/>
  <c r="R3010" i="8"/>
  <c r="S3010" i="8"/>
  <c r="T3010" i="8"/>
  <c r="R3011" i="8"/>
  <c r="S3011" i="8"/>
  <c r="T3011" i="8"/>
  <c r="R3012" i="8"/>
  <c r="S3012" i="8"/>
  <c r="T3012" i="8"/>
  <c r="R3013" i="8"/>
  <c r="S3013" i="8"/>
  <c r="T3013" i="8"/>
  <c r="R3014" i="8"/>
  <c r="S3014" i="8"/>
  <c r="T3014" i="8"/>
  <c r="R3015" i="8"/>
  <c r="S3015" i="8"/>
  <c r="T3015" i="8"/>
  <c r="R3016" i="8"/>
  <c r="S3016" i="8"/>
  <c r="T3016" i="8"/>
  <c r="R3017" i="8"/>
  <c r="S3017" i="8"/>
  <c r="T3017" i="8"/>
  <c r="R3018" i="8"/>
  <c r="S3018" i="8"/>
  <c r="T3018" i="8"/>
  <c r="R3019" i="8"/>
  <c r="S3019" i="8"/>
  <c r="T3019" i="8"/>
  <c r="R3020" i="8"/>
  <c r="S3020" i="8"/>
  <c r="T3020" i="8"/>
  <c r="R3021" i="8"/>
  <c r="S3021" i="8"/>
  <c r="T3021" i="8"/>
  <c r="R3022" i="8"/>
  <c r="S3022" i="8"/>
  <c r="T3022" i="8"/>
  <c r="R3023" i="8"/>
  <c r="S3023" i="8"/>
  <c r="T3023" i="8"/>
  <c r="R3024" i="8"/>
  <c r="S3024" i="8"/>
  <c r="T3024" i="8"/>
  <c r="R3025" i="8"/>
  <c r="S3025" i="8"/>
  <c r="T3025" i="8"/>
  <c r="R3026" i="8"/>
  <c r="S3026" i="8"/>
  <c r="T3026" i="8"/>
  <c r="R3027" i="8"/>
  <c r="S3027" i="8"/>
  <c r="T3027" i="8"/>
  <c r="R3028" i="8"/>
  <c r="S3028" i="8"/>
  <c r="T3028" i="8"/>
  <c r="R3029" i="8"/>
  <c r="S3029" i="8"/>
  <c r="T3029" i="8"/>
  <c r="R3030" i="8"/>
  <c r="S3030" i="8"/>
  <c r="T3030" i="8"/>
  <c r="R3031" i="8"/>
  <c r="S3031" i="8"/>
  <c r="T3031" i="8"/>
  <c r="R3032" i="8"/>
  <c r="S3032" i="8"/>
  <c r="T3032" i="8"/>
  <c r="R3033" i="8"/>
  <c r="S3033" i="8"/>
  <c r="T3033" i="8"/>
  <c r="R3034" i="8"/>
  <c r="S3034" i="8"/>
  <c r="T3034" i="8"/>
  <c r="R3035" i="8"/>
  <c r="S3035" i="8"/>
  <c r="T3035" i="8"/>
  <c r="R3036" i="8"/>
  <c r="S3036" i="8"/>
  <c r="T3036" i="8"/>
  <c r="R3037" i="8"/>
  <c r="S3037" i="8"/>
  <c r="T3037" i="8"/>
  <c r="R3038" i="8"/>
  <c r="S3038" i="8"/>
  <c r="T3038" i="8"/>
  <c r="R3039" i="8"/>
  <c r="S3039" i="8"/>
  <c r="T3039" i="8"/>
  <c r="R3040" i="8"/>
  <c r="S3040" i="8"/>
  <c r="T3040" i="8"/>
  <c r="R3041" i="8"/>
  <c r="S3041" i="8"/>
  <c r="T3041" i="8"/>
  <c r="R3042" i="8"/>
  <c r="S3042" i="8"/>
  <c r="T3042" i="8"/>
  <c r="R3043" i="8"/>
  <c r="S3043" i="8"/>
  <c r="T3043" i="8"/>
  <c r="R3044" i="8"/>
  <c r="S3044" i="8"/>
  <c r="T3044" i="8"/>
  <c r="R3045" i="8"/>
  <c r="S3045" i="8"/>
  <c r="T3045" i="8"/>
  <c r="R3046" i="8"/>
  <c r="S3046" i="8"/>
  <c r="T3046" i="8"/>
  <c r="R3047" i="8"/>
  <c r="S3047" i="8"/>
  <c r="T3047" i="8"/>
  <c r="R3048" i="8"/>
  <c r="S3048" i="8"/>
  <c r="T3048" i="8"/>
  <c r="R3049" i="8"/>
  <c r="S3049" i="8"/>
  <c r="T3049" i="8"/>
  <c r="R3050" i="8"/>
  <c r="S3050" i="8"/>
  <c r="T3050" i="8"/>
  <c r="R3051" i="8"/>
  <c r="S3051" i="8"/>
  <c r="T3051" i="8"/>
  <c r="R3052" i="8"/>
  <c r="S3052" i="8"/>
  <c r="T3052" i="8"/>
  <c r="R3053" i="8"/>
  <c r="S3053" i="8"/>
  <c r="T3053" i="8"/>
  <c r="R3054" i="8"/>
  <c r="S3054" i="8"/>
  <c r="T3054" i="8"/>
  <c r="R3055" i="8"/>
  <c r="S3055" i="8"/>
  <c r="T3055" i="8"/>
  <c r="R3056" i="8"/>
  <c r="S3056" i="8"/>
  <c r="T3056" i="8"/>
  <c r="R3057" i="8"/>
  <c r="S3057" i="8"/>
  <c r="T3057" i="8"/>
  <c r="R3058" i="8"/>
  <c r="S3058" i="8"/>
  <c r="T3058" i="8"/>
  <c r="R3059" i="8"/>
  <c r="S3059" i="8"/>
  <c r="T3059" i="8"/>
  <c r="R3060" i="8"/>
  <c r="S3060" i="8"/>
  <c r="T3060" i="8"/>
  <c r="R3061" i="8"/>
  <c r="S3061" i="8"/>
  <c r="T3061" i="8"/>
  <c r="R3062" i="8"/>
  <c r="S3062" i="8"/>
  <c r="T3062" i="8"/>
  <c r="R3063" i="8"/>
  <c r="S3063" i="8"/>
  <c r="T3063" i="8"/>
  <c r="R3064" i="8"/>
  <c r="S3064" i="8"/>
  <c r="T3064" i="8"/>
  <c r="R3065" i="8"/>
  <c r="S3065" i="8"/>
  <c r="T3065" i="8"/>
  <c r="R3066" i="8"/>
  <c r="S3066" i="8"/>
  <c r="T3066" i="8"/>
  <c r="R3067" i="8"/>
  <c r="S3067" i="8"/>
  <c r="T3067" i="8"/>
  <c r="R3068" i="8"/>
  <c r="S3068" i="8"/>
  <c r="T3068" i="8"/>
  <c r="R3069" i="8"/>
  <c r="S3069" i="8"/>
  <c r="T3069" i="8"/>
  <c r="R3070" i="8"/>
  <c r="S3070" i="8"/>
  <c r="T3070" i="8"/>
  <c r="R3071" i="8"/>
  <c r="S3071" i="8"/>
  <c r="T3071" i="8"/>
  <c r="R3072" i="8"/>
  <c r="S3072" i="8"/>
  <c r="T3072" i="8"/>
  <c r="R3073" i="8"/>
  <c r="S3073" i="8"/>
  <c r="T3073" i="8"/>
  <c r="R3074" i="8"/>
  <c r="S3074" i="8"/>
  <c r="T3074" i="8"/>
  <c r="R3075" i="8"/>
  <c r="S3075" i="8"/>
  <c r="T3075" i="8"/>
  <c r="R3076" i="8"/>
  <c r="S3076" i="8"/>
  <c r="T3076" i="8"/>
  <c r="R3077" i="8"/>
  <c r="S3077" i="8"/>
  <c r="T3077" i="8"/>
  <c r="R3078" i="8"/>
  <c r="S3078" i="8"/>
  <c r="T3078" i="8"/>
  <c r="R3079" i="8"/>
  <c r="S3079" i="8"/>
  <c r="T3079" i="8"/>
  <c r="R3080" i="8"/>
  <c r="S3080" i="8"/>
  <c r="T3080" i="8"/>
  <c r="R3081" i="8"/>
  <c r="S3081" i="8"/>
  <c r="T3081" i="8"/>
  <c r="R3082" i="8"/>
  <c r="S3082" i="8"/>
  <c r="T3082" i="8"/>
  <c r="R3083" i="8"/>
  <c r="S3083" i="8"/>
  <c r="T3083" i="8"/>
  <c r="R3084" i="8"/>
  <c r="S3084" i="8"/>
  <c r="T3084" i="8"/>
  <c r="R3085" i="8"/>
  <c r="S3085" i="8"/>
  <c r="T3085" i="8"/>
  <c r="R3086" i="8"/>
  <c r="S3086" i="8"/>
  <c r="T3086" i="8"/>
  <c r="R3087" i="8"/>
  <c r="S3087" i="8"/>
  <c r="T3087" i="8"/>
  <c r="R3088" i="8"/>
  <c r="S3088" i="8"/>
  <c r="T3088" i="8"/>
  <c r="R3089" i="8"/>
  <c r="S3089" i="8"/>
  <c r="T3089" i="8"/>
  <c r="R3090" i="8"/>
  <c r="S3090" i="8"/>
  <c r="T3090" i="8"/>
  <c r="R3091" i="8"/>
  <c r="S3091" i="8"/>
  <c r="T3091" i="8"/>
  <c r="R3092" i="8"/>
  <c r="S3092" i="8"/>
  <c r="T3092" i="8"/>
  <c r="R3093" i="8"/>
  <c r="S3093" i="8"/>
  <c r="T3093" i="8"/>
  <c r="R3094" i="8"/>
  <c r="S3094" i="8"/>
  <c r="T3094" i="8"/>
  <c r="R3095" i="8"/>
  <c r="S3095" i="8"/>
  <c r="T3095" i="8"/>
  <c r="R3096" i="8"/>
  <c r="S3096" i="8"/>
  <c r="T3096" i="8"/>
  <c r="R3097" i="8"/>
  <c r="S3097" i="8"/>
  <c r="T3097" i="8"/>
  <c r="R3098" i="8"/>
  <c r="S3098" i="8"/>
  <c r="T3098" i="8"/>
  <c r="R3099" i="8"/>
  <c r="S3099" i="8"/>
  <c r="T3099" i="8"/>
  <c r="R3100" i="8"/>
  <c r="S3100" i="8"/>
  <c r="T3100" i="8"/>
  <c r="R3101" i="8"/>
  <c r="S3101" i="8"/>
  <c r="T3101" i="8"/>
  <c r="R3102" i="8"/>
  <c r="S3102" i="8"/>
  <c r="T3102" i="8"/>
  <c r="R3103" i="8"/>
  <c r="S3103" i="8"/>
  <c r="T3103" i="8"/>
  <c r="R3104" i="8"/>
  <c r="S3104" i="8"/>
  <c r="T3104" i="8"/>
  <c r="R3105" i="8"/>
  <c r="S3105" i="8"/>
  <c r="T3105" i="8"/>
  <c r="R3106" i="8"/>
  <c r="S3106" i="8"/>
  <c r="T3106" i="8"/>
  <c r="R3107" i="8"/>
  <c r="S3107" i="8"/>
  <c r="T3107" i="8"/>
  <c r="R3108" i="8"/>
  <c r="S3108" i="8"/>
  <c r="T3108" i="8"/>
  <c r="R3109" i="8"/>
  <c r="S3109" i="8"/>
  <c r="T3109" i="8"/>
  <c r="R3110" i="8"/>
  <c r="S3110" i="8"/>
  <c r="T3110" i="8"/>
  <c r="R3111" i="8"/>
  <c r="S3111" i="8"/>
  <c r="T3111" i="8"/>
  <c r="R3112" i="8"/>
  <c r="S3112" i="8"/>
  <c r="T3112" i="8"/>
  <c r="R3113" i="8"/>
  <c r="S3113" i="8"/>
  <c r="T3113" i="8"/>
  <c r="R3114" i="8"/>
  <c r="S3114" i="8"/>
  <c r="T3114" i="8"/>
  <c r="R3115" i="8"/>
  <c r="S3115" i="8"/>
  <c r="T3115" i="8"/>
  <c r="R3116" i="8"/>
  <c r="S3116" i="8"/>
  <c r="T3116" i="8"/>
  <c r="R3117" i="8"/>
  <c r="S3117" i="8"/>
  <c r="T3117" i="8"/>
  <c r="R3118" i="8"/>
  <c r="S3118" i="8"/>
  <c r="T3118" i="8"/>
  <c r="R3119" i="8"/>
  <c r="S3119" i="8"/>
  <c r="T3119" i="8"/>
  <c r="R3120" i="8"/>
  <c r="S3120" i="8"/>
  <c r="T3120" i="8"/>
  <c r="R3121" i="8"/>
  <c r="S3121" i="8"/>
  <c r="T3121" i="8"/>
  <c r="R3122" i="8"/>
  <c r="S3122" i="8"/>
  <c r="T3122" i="8"/>
  <c r="R3123" i="8"/>
  <c r="S3123" i="8"/>
  <c r="T3123" i="8"/>
  <c r="R3124" i="8"/>
  <c r="S3124" i="8"/>
  <c r="T3124" i="8"/>
  <c r="R3125" i="8"/>
  <c r="S3125" i="8"/>
  <c r="T3125" i="8"/>
  <c r="R3126" i="8"/>
  <c r="S3126" i="8"/>
  <c r="T3126" i="8"/>
  <c r="R3127" i="8"/>
  <c r="S3127" i="8"/>
  <c r="T3127" i="8"/>
  <c r="R3128" i="8"/>
  <c r="S3128" i="8"/>
  <c r="T3128" i="8"/>
  <c r="R3129" i="8"/>
  <c r="S3129" i="8"/>
  <c r="T3129" i="8"/>
  <c r="R3130" i="8"/>
  <c r="S3130" i="8"/>
  <c r="T3130" i="8"/>
  <c r="R3131" i="8"/>
  <c r="S3131" i="8"/>
  <c r="T3131" i="8"/>
  <c r="R3132" i="8"/>
  <c r="S3132" i="8"/>
  <c r="T3132" i="8"/>
  <c r="R3133" i="8"/>
  <c r="S3133" i="8"/>
  <c r="T3133" i="8"/>
  <c r="R3134" i="8"/>
  <c r="S3134" i="8"/>
  <c r="T3134" i="8"/>
  <c r="R3135" i="8"/>
  <c r="S3135" i="8"/>
  <c r="T3135" i="8"/>
  <c r="R3136" i="8"/>
  <c r="S3136" i="8"/>
  <c r="T3136" i="8"/>
  <c r="R3137" i="8"/>
  <c r="S3137" i="8"/>
  <c r="T3137" i="8"/>
  <c r="R3138" i="8"/>
  <c r="S3138" i="8"/>
  <c r="T3138" i="8"/>
  <c r="R3139" i="8"/>
  <c r="S3139" i="8"/>
  <c r="T3139" i="8"/>
  <c r="R3140" i="8"/>
  <c r="S3140" i="8"/>
  <c r="T3140" i="8"/>
  <c r="R3141" i="8"/>
  <c r="S3141" i="8"/>
  <c r="T3141" i="8"/>
  <c r="R3142" i="8"/>
  <c r="S3142" i="8"/>
  <c r="T3142" i="8"/>
  <c r="R3143" i="8"/>
  <c r="S3143" i="8"/>
  <c r="T3143" i="8"/>
  <c r="R3144" i="8"/>
  <c r="S3144" i="8"/>
  <c r="T3144" i="8"/>
  <c r="R3145" i="8"/>
  <c r="S3145" i="8"/>
  <c r="T3145" i="8"/>
  <c r="R3146" i="8"/>
  <c r="S3146" i="8"/>
  <c r="T3146" i="8"/>
  <c r="R3147" i="8"/>
  <c r="S3147" i="8"/>
  <c r="T3147" i="8"/>
  <c r="R3148" i="8"/>
  <c r="S3148" i="8"/>
  <c r="T3148" i="8"/>
  <c r="R3149" i="8"/>
  <c r="S3149" i="8"/>
  <c r="T3149" i="8"/>
  <c r="R3150" i="8"/>
  <c r="S3150" i="8"/>
  <c r="T3150" i="8"/>
  <c r="R3151" i="8"/>
  <c r="S3151" i="8"/>
  <c r="T3151" i="8"/>
  <c r="R3152" i="8"/>
  <c r="S3152" i="8"/>
  <c r="T3152" i="8"/>
  <c r="R3153" i="8"/>
  <c r="S3153" i="8"/>
  <c r="T3153" i="8"/>
  <c r="R3154" i="8"/>
  <c r="S3154" i="8"/>
  <c r="T3154" i="8"/>
  <c r="R3155" i="8"/>
  <c r="S3155" i="8"/>
  <c r="T3155" i="8"/>
  <c r="R3156" i="8"/>
  <c r="S3156" i="8"/>
  <c r="T3156" i="8"/>
  <c r="R3157" i="8"/>
  <c r="S3157" i="8"/>
  <c r="T3157" i="8"/>
  <c r="R3158" i="8"/>
  <c r="S3158" i="8"/>
  <c r="T3158" i="8"/>
  <c r="R3159" i="8"/>
  <c r="S3159" i="8"/>
  <c r="T3159" i="8"/>
  <c r="R3160" i="8"/>
  <c r="S3160" i="8"/>
  <c r="T3160" i="8"/>
  <c r="R3161" i="8"/>
  <c r="S3161" i="8"/>
  <c r="T3161" i="8"/>
  <c r="R3162" i="8"/>
  <c r="S3162" i="8"/>
  <c r="T3162" i="8"/>
  <c r="R3163" i="8"/>
  <c r="S3163" i="8"/>
  <c r="T3163" i="8"/>
  <c r="R3164" i="8"/>
  <c r="S3164" i="8"/>
  <c r="T3164" i="8"/>
  <c r="R3165" i="8"/>
  <c r="S3165" i="8"/>
  <c r="T3165" i="8"/>
  <c r="R3166" i="8"/>
  <c r="S3166" i="8"/>
  <c r="T3166" i="8"/>
  <c r="R3167" i="8"/>
  <c r="S3167" i="8"/>
  <c r="T3167" i="8"/>
  <c r="R3168" i="8"/>
  <c r="S3168" i="8"/>
  <c r="T3168" i="8"/>
  <c r="R3169" i="8"/>
  <c r="S3169" i="8"/>
  <c r="T3169" i="8"/>
  <c r="R3170" i="8"/>
  <c r="S3170" i="8"/>
  <c r="T3170" i="8"/>
  <c r="R3171" i="8"/>
  <c r="S3171" i="8"/>
  <c r="T3171" i="8"/>
  <c r="R3172" i="8"/>
  <c r="S3172" i="8"/>
  <c r="T3172" i="8"/>
  <c r="R3173" i="8"/>
  <c r="S3173" i="8"/>
  <c r="T3173" i="8"/>
  <c r="R3174" i="8"/>
  <c r="S3174" i="8"/>
  <c r="T3174" i="8"/>
  <c r="R3175" i="8"/>
  <c r="S3175" i="8"/>
  <c r="T3175" i="8"/>
  <c r="R3176" i="8"/>
  <c r="S3176" i="8"/>
  <c r="T3176" i="8"/>
  <c r="R3177" i="8"/>
  <c r="S3177" i="8"/>
  <c r="T3177" i="8"/>
  <c r="R3178" i="8"/>
  <c r="S3178" i="8"/>
  <c r="T3178" i="8"/>
  <c r="R3179" i="8"/>
  <c r="S3179" i="8"/>
  <c r="T3179" i="8"/>
  <c r="R3180" i="8"/>
  <c r="S3180" i="8"/>
  <c r="T3180" i="8"/>
  <c r="R3181" i="8"/>
  <c r="S3181" i="8"/>
  <c r="T3181" i="8"/>
  <c r="R3182" i="8"/>
  <c r="S3182" i="8"/>
  <c r="T3182" i="8"/>
  <c r="R3183" i="8"/>
  <c r="S3183" i="8"/>
  <c r="T3183" i="8"/>
  <c r="R3184" i="8"/>
  <c r="S3184" i="8"/>
  <c r="T3184" i="8"/>
  <c r="R3185" i="8"/>
  <c r="S3185" i="8"/>
  <c r="T3185" i="8"/>
  <c r="R3186" i="8"/>
  <c r="S3186" i="8"/>
  <c r="T3186" i="8"/>
  <c r="R3187" i="8"/>
  <c r="S3187" i="8"/>
  <c r="T3187" i="8"/>
  <c r="R3188" i="8"/>
  <c r="S3188" i="8"/>
  <c r="T3188" i="8"/>
  <c r="R3189" i="8"/>
  <c r="S3189" i="8"/>
  <c r="T3189" i="8"/>
  <c r="R3190" i="8"/>
  <c r="S3190" i="8"/>
  <c r="T3190" i="8"/>
  <c r="R3191" i="8"/>
  <c r="S3191" i="8"/>
  <c r="T3191" i="8"/>
  <c r="R3192" i="8"/>
  <c r="S3192" i="8"/>
  <c r="T3192" i="8"/>
  <c r="R3193" i="8"/>
  <c r="S3193" i="8"/>
  <c r="T3193" i="8"/>
  <c r="R3194" i="8"/>
  <c r="S3194" i="8"/>
  <c r="T3194" i="8"/>
  <c r="R3195" i="8"/>
  <c r="S3195" i="8"/>
  <c r="T3195" i="8"/>
  <c r="R3196" i="8"/>
  <c r="S3196" i="8"/>
  <c r="T3196" i="8"/>
  <c r="R3197" i="8"/>
  <c r="S3197" i="8"/>
  <c r="T3197" i="8"/>
  <c r="R3198" i="8"/>
  <c r="S3198" i="8"/>
  <c r="T3198" i="8"/>
  <c r="R3199" i="8"/>
  <c r="S3199" i="8"/>
  <c r="T3199" i="8"/>
  <c r="R3200" i="8"/>
  <c r="S3200" i="8"/>
  <c r="T3200" i="8"/>
  <c r="R3201" i="8"/>
  <c r="S3201" i="8"/>
  <c r="T3201" i="8"/>
  <c r="R3202" i="8"/>
  <c r="S3202" i="8"/>
  <c r="T3202" i="8"/>
  <c r="R3203" i="8"/>
  <c r="S3203" i="8"/>
  <c r="T3203" i="8"/>
  <c r="R3204" i="8"/>
  <c r="S3204" i="8"/>
  <c r="T3204" i="8"/>
  <c r="R3205" i="8"/>
  <c r="S3205" i="8"/>
  <c r="T3205" i="8"/>
  <c r="R3206" i="8"/>
  <c r="S3206" i="8"/>
  <c r="T3206" i="8"/>
  <c r="R3207" i="8"/>
  <c r="S3207" i="8"/>
  <c r="T3207" i="8"/>
  <c r="R3208" i="8"/>
  <c r="S3208" i="8"/>
  <c r="T3208" i="8"/>
  <c r="R3209" i="8"/>
  <c r="S3209" i="8"/>
  <c r="T3209" i="8"/>
  <c r="R3210" i="8"/>
  <c r="S3210" i="8"/>
  <c r="T3210" i="8"/>
  <c r="R3211" i="8"/>
  <c r="S3211" i="8"/>
  <c r="T3211" i="8"/>
  <c r="R3212" i="8"/>
  <c r="S3212" i="8"/>
  <c r="T3212" i="8"/>
  <c r="R3213" i="8"/>
  <c r="S3213" i="8"/>
  <c r="T3213" i="8"/>
  <c r="R3214" i="8"/>
  <c r="S3214" i="8"/>
  <c r="T3214" i="8"/>
  <c r="R3215" i="8"/>
  <c r="S3215" i="8"/>
  <c r="T3215" i="8"/>
  <c r="R3216" i="8"/>
  <c r="S3216" i="8"/>
  <c r="T3216" i="8"/>
  <c r="R3217" i="8"/>
  <c r="S3217" i="8"/>
  <c r="T3217" i="8"/>
  <c r="R3218" i="8"/>
  <c r="S3218" i="8"/>
  <c r="T3218" i="8"/>
  <c r="R3219" i="8"/>
  <c r="S3219" i="8"/>
  <c r="T3219" i="8"/>
  <c r="R3220" i="8"/>
  <c r="S3220" i="8"/>
  <c r="T3220" i="8"/>
  <c r="R3221" i="8"/>
  <c r="S3221" i="8"/>
  <c r="T3221" i="8"/>
  <c r="R3222" i="8"/>
  <c r="S3222" i="8"/>
  <c r="T3222" i="8"/>
  <c r="R3223" i="8"/>
  <c r="S3223" i="8"/>
  <c r="T3223" i="8"/>
  <c r="R3224" i="8"/>
  <c r="S3224" i="8"/>
  <c r="T3224" i="8"/>
  <c r="R3225" i="8"/>
  <c r="S3225" i="8"/>
  <c r="T3225" i="8"/>
  <c r="R3226" i="8"/>
  <c r="S3226" i="8"/>
  <c r="T3226" i="8"/>
  <c r="R3227" i="8"/>
  <c r="S3227" i="8"/>
  <c r="T3227" i="8"/>
  <c r="R3228" i="8"/>
  <c r="S3228" i="8"/>
  <c r="T3228" i="8"/>
  <c r="R3229" i="8"/>
  <c r="S3229" i="8"/>
  <c r="T3229" i="8"/>
  <c r="R3230" i="8"/>
  <c r="S3230" i="8"/>
  <c r="T3230" i="8"/>
  <c r="R3231" i="8"/>
  <c r="S3231" i="8"/>
  <c r="T3231" i="8"/>
  <c r="R3232" i="8"/>
  <c r="S3232" i="8"/>
  <c r="T3232" i="8"/>
  <c r="R3233" i="8"/>
  <c r="S3233" i="8"/>
  <c r="T3233" i="8"/>
  <c r="R3234" i="8"/>
  <c r="S3234" i="8"/>
  <c r="T3234" i="8"/>
  <c r="R3235" i="8"/>
  <c r="S3235" i="8"/>
  <c r="T3235" i="8"/>
  <c r="R3236" i="8"/>
  <c r="S3236" i="8"/>
  <c r="T3236" i="8"/>
  <c r="R3237" i="8"/>
  <c r="S3237" i="8"/>
  <c r="T3237" i="8"/>
  <c r="R3238" i="8"/>
  <c r="S3238" i="8"/>
  <c r="T3238" i="8"/>
  <c r="R3239" i="8"/>
  <c r="S3239" i="8"/>
  <c r="T3239" i="8"/>
  <c r="R3240" i="8"/>
  <c r="S3240" i="8"/>
  <c r="T3240" i="8"/>
  <c r="R3241" i="8"/>
  <c r="S3241" i="8"/>
  <c r="T3241" i="8"/>
  <c r="R3242" i="8"/>
  <c r="S3242" i="8"/>
  <c r="T3242" i="8"/>
  <c r="R3243" i="8"/>
  <c r="S3243" i="8"/>
  <c r="T3243" i="8"/>
  <c r="R3244" i="8"/>
  <c r="S3244" i="8"/>
  <c r="T3244" i="8"/>
  <c r="R3245" i="8"/>
  <c r="S3245" i="8"/>
  <c r="T3245" i="8"/>
  <c r="R3246" i="8"/>
  <c r="S3246" i="8"/>
  <c r="T3246" i="8"/>
  <c r="R3247" i="8"/>
  <c r="S3247" i="8"/>
  <c r="T3247" i="8"/>
  <c r="R3248" i="8"/>
  <c r="S3248" i="8"/>
  <c r="T3248" i="8"/>
  <c r="R3249" i="8"/>
  <c r="S3249" i="8"/>
  <c r="T3249" i="8"/>
  <c r="R3250" i="8"/>
  <c r="S3250" i="8"/>
  <c r="T3250" i="8"/>
  <c r="R3251" i="8"/>
  <c r="S3251" i="8"/>
  <c r="T3251" i="8"/>
  <c r="R3252" i="8"/>
  <c r="S3252" i="8"/>
  <c r="T3252" i="8"/>
  <c r="R3253" i="8"/>
  <c r="S3253" i="8"/>
  <c r="T3253" i="8"/>
  <c r="R3254" i="8"/>
  <c r="S3254" i="8"/>
  <c r="T3254" i="8"/>
  <c r="R3255" i="8"/>
  <c r="S3255" i="8"/>
  <c r="T3255" i="8"/>
  <c r="R3256" i="8"/>
  <c r="S3256" i="8"/>
  <c r="T3256" i="8"/>
  <c r="R3257" i="8"/>
  <c r="S3257" i="8"/>
  <c r="T3257" i="8"/>
  <c r="R3258" i="8"/>
  <c r="S3258" i="8"/>
  <c r="T3258" i="8"/>
  <c r="R3259" i="8"/>
  <c r="S3259" i="8"/>
  <c r="T3259" i="8"/>
  <c r="R3260" i="8"/>
  <c r="S3260" i="8"/>
  <c r="T3260" i="8"/>
  <c r="R3261" i="8"/>
  <c r="S3261" i="8"/>
  <c r="T3261" i="8"/>
  <c r="R3262" i="8"/>
  <c r="S3262" i="8"/>
  <c r="T3262" i="8"/>
  <c r="R3263" i="8"/>
  <c r="S3263" i="8"/>
  <c r="T3263" i="8"/>
  <c r="R3264" i="8"/>
  <c r="S3264" i="8"/>
  <c r="T3264" i="8"/>
  <c r="R3265" i="8"/>
  <c r="S3265" i="8"/>
  <c r="T3265" i="8"/>
  <c r="R3266" i="8"/>
  <c r="S3266" i="8"/>
  <c r="T3266" i="8"/>
  <c r="R3267" i="8"/>
  <c r="S3267" i="8"/>
  <c r="T3267" i="8"/>
  <c r="R3268" i="8"/>
  <c r="S3268" i="8"/>
  <c r="T3268" i="8"/>
  <c r="R3269" i="8"/>
  <c r="S3269" i="8"/>
  <c r="T3269" i="8"/>
  <c r="R3270" i="8"/>
  <c r="S3270" i="8"/>
  <c r="T3270" i="8"/>
  <c r="R3271" i="8"/>
  <c r="S3271" i="8"/>
  <c r="T3271" i="8"/>
  <c r="R3272" i="8"/>
  <c r="S3272" i="8"/>
  <c r="T3272" i="8"/>
  <c r="R3273" i="8"/>
  <c r="S3273" i="8"/>
  <c r="T3273" i="8"/>
  <c r="R3274" i="8"/>
  <c r="S3274" i="8"/>
  <c r="T3274" i="8"/>
  <c r="R3275" i="8"/>
  <c r="S3275" i="8"/>
  <c r="T3275" i="8"/>
  <c r="R3276" i="8"/>
  <c r="S3276" i="8"/>
  <c r="T3276" i="8"/>
  <c r="R3277" i="8"/>
  <c r="S3277" i="8"/>
  <c r="T3277" i="8"/>
  <c r="R3278" i="8"/>
  <c r="S3278" i="8"/>
  <c r="T3278" i="8"/>
  <c r="R3279" i="8"/>
  <c r="S3279" i="8"/>
  <c r="T3279" i="8"/>
  <c r="R3280" i="8"/>
  <c r="S3280" i="8"/>
  <c r="T3280" i="8"/>
  <c r="R3281" i="8"/>
  <c r="S3281" i="8"/>
  <c r="T3281" i="8"/>
  <c r="R3282" i="8"/>
  <c r="S3282" i="8"/>
  <c r="T3282" i="8"/>
  <c r="R3283" i="8"/>
  <c r="S3283" i="8"/>
  <c r="T3283"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6" i="8"/>
  <c r="O667" i="8"/>
  <c r="O668" i="8"/>
  <c r="O669" i="8"/>
  <c r="O670" i="8"/>
  <c r="O671" i="8"/>
  <c r="O672" i="8"/>
  <c r="O673" i="8"/>
  <c r="O674" i="8"/>
  <c r="O675" i="8"/>
  <c r="O676" i="8"/>
  <c r="O677" i="8"/>
  <c r="O678" i="8"/>
  <c r="O679" i="8"/>
  <c r="O680" i="8"/>
  <c r="O681" i="8"/>
  <c r="O682" i="8"/>
  <c r="O683" i="8"/>
  <c r="O684" i="8"/>
  <c r="O685" i="8"/>
  <c r="O686" i="8"/>
  <c r="O687" i="8"/>
  <c r="O688" i="8"/>
  <c r="O689" i="8"/>
  <c r="O690" i="8"/>
  <c r="O691" i="8"/>
  <c r="O692" i="8"/>
  <c r="O693" i="8"/>
  <c r="O694" i="8"/>
  <c r="O695" i="8"/>
  <c r="O696" i="8"/>
  <c r="O697" i="8"/>
  <c r="O698" i="8"/>
  <c r="O699" i="8"/>
  <c r="O700" i="8"/>
  <c r="O701" i="8"/>
  <c r="O702" i="8"/>
  <c r="O703" i="8"/>
  <c r="O704" i="8"/>
  <c r="O705" i="8"/>
  <c r="O706" i="8"/>
  <c r="O707" i="8"/>
  <c r="O708" i="8"/>
  <c r="O709" i="8"/>
  <c r="O710" i="8"/>
  <c r="O711" i="8"/>
  <c r="O712" i="8"/>
  <c r="O713" i="8"/>
  <c r="O714" i="8"/>
  <c r="O715" i="8"/>
  <c r="O716" i="8"/>
  <c r="O717" i="8"/>
  <c r="O718" i="8"/>
  <c r="O719" i="8"/>
  <c r="O720" i="8"/>
  <c r="O721" i="8"/>
  <c r="O722" i="8"/>
  <c r="O723" i="8"/>
  <c r="O724" i="8"/>
  <c r="O725" i="8"/>
  <c r="O726" i="8"/>
  <c r="O727" i="8"/>
  <c r="O728" i="8"/>
  <c r="O729" i="8"/>
  <c r="O730" i="8"/>
  <c r="O731" i="8"/>
  <c r="O732" i="8"/>
  <c r="O733" i="8"/>
  <c r="O734" i="8"/>
  <c r="O735" i="8"/>
  <c r="O736" i="8"/>
  <c r="O737" i="8"/>
  <c r="O738" i="8"/>
  <c r="O739" i="8"/>
  <c r="O740" i="8"/>
  <c r="O741" i="8"/>
  <c r="O742" i="8"/>
  <c r="O743" i="8"/>
  <c r="O744" i="8"/>
  <c r="O745" i="8"/>
  <c r="O746" i="8"/>
  <c r="O747" i="8"/>
  <c r="O748" i="8"/>
  <c r="O749" i="8"/>
  <c r="O750" i="8"/>
  <c r="O751" i="8"/>
  <c r="O752" i="8"/>
  <c r="O753" i="8"/>
  <c r="O754" i="8"/>
  <c r="O755" i="8"/>
  <c r="O756" i="8"/>
  <c r="O757" i="8"/>
  <c r="O758" i="8"/>
  <c r="O759" i="8"/>
  <c r="O760" i="8"/>
  <c r="O761" i="8"/>
  <c r="O762" i="8"/>
  <c r="O763" i="8"/>
  <c r="O764" i="8"/>
  <c r="O765" i="8"/>
  <c r="O766" i="8"/>
  <c r="O767" i="8"/>
  <c r="O768" i="8"/>
  <c r="O769" i="8"/>
  <c r="O770" i="8"/>
  <c r="O771" i="8"/>
  <c r="O772" i="8"/>
  <c r="O773" i="8"/>
  <c r="O774" i="8"/>
  <c r="O775" i="8"/>
  <c r="O776" i="8"/>
  <c r="O777" i="8"/>
  <c r="O778" i="8"/>
  <c r="O779" i="8"/>
  <c r="O780" i="8"/>
  <c r="O781" i="8"/>
  <c r="O782" i="8"/>
  <c r="O783" i="8"/>
  <c r="O784" i="8"/>
  <c r="O785" i="8"/>
  <c r="O786" i="8"/>
  <c r="O787" i="8"/>
  <c r="O788" i="8"/>
  <c r="O789" i="8"/>
  <c r="O790" i="8"/>
  <c r="O791" i="8"/>
  <c r="O792" i="8"/>
  <c r="O793" i="8"/>
  <c r="O794" i="8"/>
  <c r="O795" i="8"/>
  <c r="O796" i="8"/>
  <c r="O797" i="8"/>
  <c r="O798" i="8"/>
  <c r="O799" i="8"/>
  <c r="O800" i="8"/>
  <c r="O801" i="8"/>
  <c r="O802" i="8"/>
  <c r="O803" i="8"/>
  <c r="O804" i="8"/>
  <c r="O805" i="8"/>
  <c r="O806" i="8"/>
  <c r="O807" i="8"/>
  <c r="O808" i="8"/>
  <c r="O809" i="8"/>
  <c r="O810" i="8"/>
  <c r="O811" i="8"/>
  <c r="O812" i="8"/>
  <c r="O813" i="8"/>
  <c r="O814" i="8"/>
  <c r="O815" i="8"/>
  <c r="O816" i="8"/>
  <c r="O817" i="8"/>
  <c r="O818" i="8"/>
  <c r="O819" i="8"/>
  <c r="O820" i="8"/>
  <c r="O821" i="8"/>
  <c r="O822" i="8"/>
  <c r="O823" i="8"/>
  <c r="O824" i="8"/>
  <c r="O825" i="8"/>
  <c r="O826" i="8"/>
  <c r="O827" i="8"/>
  <c r="O828" i="8"/>
  <c r="O829" i="8"/>
  <c r="O830" i="8"/>
  <c r="O831" i="8"/>
  <c r="O832" i="8"/>
  <c r="O833" i="8"/>
  <c r="O834" i="8"/>
  <c r="O835" i="8"/>
  <c r="O836" i="8"/>
  <c r="O837" i="8"/>
  <c r="O838" i="8"/>
  <c r="O839" i="8"/>
  <c r="O840" i="8"/>
  <c r="O841" i="8"/>
  <c r="O842" i="8"/>
  <c r="O843" i="8"/>
  <c r="O844" i="8"/>
  <c r="O845" i="8"/>
  <c r="O846" i="8"/>
  <c r="O847" i="8"/>
  <c r="O848" i="8"/>
  <c r="O849" i="8"/>
  <c r="O850" i="8"/>
  <c r="O851" i="8"/>
  <c r="O852" i="8"/>
  <c r="O853" i="8"/>
  <c r="O854" i="8"/>
  <c r="O855" i="8"/>
  <c r="O856" i="8"/>
  <c r="O857" i="8"/>
  <c r="O858" i="8"/>
  <c r="O859" i="8"/>
  <c r="O860" i="8"/>
  <c r="O861" i="8"/>
  <c r="O862" i="8"/>
  <c r="O863" i="8"/>
  <c r="O864" i="8"/>
  <c r="O865" i="8"/>
  <c r="O866" i="8"/>
  <c r="O867" i="8"/>
  <c r="O868" i="8"/>
  <c r="O869" i="8"/>
  <c r="O870" i="8"/>
  <c r="O871" i="8"/>
  <c r="O872" i="8"/>
  <c r="O873" i="8"/>
  <c r="O874" i="8"/>
  <c r="O875" i="8"/>
  <c r="O876" i="8"/>
  <c r="O877" i="8"/>
  <c r="O878" i="8"/>
  <c r="O879" i="8"/>
  <c r="O880" i="8"/>
  <c r="O881" i="8"/>
  <c r="O882" i="8"/>
  <c r="O883" i="8"/>
  <c r="O884" i="8"/>
  <c r="O885" i="8"/>
  <c r="O886" i="8"/>
  <c r="O887" i="8"/>
  <c r="O888" i="8"/>
  <c r="O889" i="8"/>
  <c r="O890" i="8"/>
  <c r="O891" i="8"/>
  <c r="O892" i="8"/>
  <c r="O893" i="8"/>
  <c r="O894" i="8"/>
  <c r="O895" i="8"/>
  <c r="O896" i="8"/>
  <c r="O897" i="8"/>
  <c r="O898" i="8"/>
  <c r="O899" i="8"/>
  <c r="O900" i="8"/>
  <c r="O901" i="8"/>
  <c r="O902" i="8"/>
  <c r="O903" i="8"/>
  <c r="O904" i="8"/>
  <c r="O905" i="8"/>
  <c r="O906" i="8"/>
  <c r="O907" i="8"/>
  <c r="O908" i="8"/>
  <c r="O909" i="8"/>
  <c r="O910" i="8"/>
  <c r="O911" i="8"/>
  <c r="O912" i="8"/>
  <c r="O913" i="8"/>
  <c r="O914" i="8"/>
  <c r="O915" i="8"/>
  <c r="O916" i="8"/>
  <c r="O917" i="8"/>
  <c r="O918" i="8"/>
  <c r="O919" i="8"/>
  <c r="O920" i="8"/>
  <c r="O921" i="8"/>
  <c r="O922" i="8"/>
  <c r="O923" i="8"/>
  <c r="O924" i="8"/>
  <c r="O925" i="8"/>
  <c r="O926" i="8"/>
  <c r="O927" i="8"/>
  <c r="O928" i="8"/>
  <c r="O929" i="8"/>
  <c r="O930" i="8"/>
  <c r="O931" i="8"/>
  <c r="O932" i="8"/>
  <c r="O933" i="8"/>
  <c r="O934" i="8"/>
  <c r="O935" i="8"/>
  <c r="O936" i="8"/>
  <c r="O937" i="8"/>
  <c r="O938" i="8"/>
  <c r="O939" i="8"/>
  <c r="O940" i="8"/>
  <c r="O941" i="8"/>
  <c r="O942" i="8"/>
  <c r="O943" i="8"/>
  <c r="O944" i="8"/>
  <c r="O945" i="8"/>
  <c r="O946" i="8"/>
  <c r="O947" i="8"/>
  <c r="O948" i="8"/>
  <c r="O949" i="8"/>
  <c r="O950" i="8"/>
  <c r="O951" i="8"/>
  <c r="O952" i="8"/>
  <c r="O953" i="8"/>
  <c r="O954" i="8"/>
  <c r="O955" i="8"/>
  <c r="O956" i="8"/>
  <c r="O957" i="8"/>
  <c r="O958" i="8"/>
  <c r="O959" i="8"/>
  <c r="O960" i="8"/>
  <c r="O961" i="8"/>
  <c r="O962" i="8"/>
  <c r="O963" i="8"/>
  <c r="O964" i="8"/>
  <c r="O965" i="8"/>
  <c r="O966" i="8"/>
  <c r="O967" i="8"/>
  <c r="O968" i="8"/>
  <c r="O969" i="8"/>
  <c r="O970" i="8"/>
  <c r="O971" i="8"/>
  <c r="O972" i="8"/>
  <c r="O973" i="8"/>
  <c r="O974" i="8"/>
  <c r="O975" i="8"/>
  <c r="O976" i="8"/>
  <c r="O977" i="8"/>
  <c r="O978" i="8"/>
  <c r="O979" i="8"/>
  <c r="O980" i="8"/>
  <c r="O981" i="8"/>
  <c r="O982" i="8"/>
  <c r="O983" i="8"/>
  <c r="O984" i="8"/>
  <c r="O985" i="8"/>
  <c r="O986" i="8"/>
  <c r="O987" i="8"/>
  <c r="O988" i="8"/>
  <c r="O989" i="8"/>
  <c r="O990" i="8"/>
  <c r="O991" i="8"/>
  <c r="O992" i="8"/>
  <c r="O993" i="8"/>
  <c r="O994" i="8"/>
  <c r="O995" i="8"/>
  <c r="O996" i="8"/>
  <c r="O997" i="8"/>
  <c r="O998" i="8"/>
  <c r="O999" i="8"/>
  <c r="O1000" i="8"/>
  <c r="O1001" i="8"/>
  <c r="O1002" i="8"/>
  <c r="O1003" i="8"/>
  <c r="O1004" i="8"/>
  <c r="O1005" i="8"/>
  <c r="O1006" i="8"/>
  <c r="O1007" i="8"/>
  <c r="O1008" i="8"/>
  <c r="O1009" i="8"/>
  <c r="O1010" i="8"/>
  <c r="O1011" i="8"/>
  <c r="O1012" i="8"/>
  <c r="O1013" i="8"/>
  <c r="O1014" i="8"/>
  <c r="O1015" i="8"/>
  <c r="O1016" i="8"/>
  <c r="O1017" i="8"/>
  <c r="O1018" i="8"/>
  <c r="O1019" i="8"/>
  <c r="O1020" i="8"/>
  <c r="O1021" i="8"/>
  <c r="O1022" i="8"/>
  <c r="O1023" i="8"/>
  <c r="O1024" i="8"/>
  <c r="O1025" i="8"/>
  <c r="O1026" i="8"/>
  <c r="O1027" i="8"/>
  <c r="O1028" i="8"/>
  <c r="O1029" i="8"/>
  <c r="O1030" i="8"/>
  <c r="O1031" i="8"/>
  <c r="O1032" i="8"/>
  <c r="O1033" i="8"/>
  <c r="O1034" i="8"/>
  <c r="O1035" i="8"/>
  <c r="O1036" i="8"/>
  <c r="O1037" i="8"/>
  <c r="O1038" i="8"/>
  <c r="O1039" i="8"/>
  <c r="O1040" i="8"/>
  <c r="O1041" i="8"/>
  <c r="O1042" i="8"/>
  <c r="O1043" i="8"/>
  <c r="O1044" i="8"/>
  <c r="O1045" i="8"/>
  <c r="O1046" i="8"/>
  <c r="O1047" i="8"/>
  <c r="O1048" i="8"/>
  <c r="O1049" i="8"/>
  <c r="O1050" i="8"/>
  <c r="O1051" i="8"/>
  <c r="O1052" i="8"/>
  <c r="O1053" i="8"/>
  <c r="O1054" i="8"/>
  <c r="O1055" i="8"/>
  <c r="O1056" i="8"/>
  <c r="O1057" i="8"/>
  <c r="O1058" i="8"/>
  <c r="O1059" i="8"/>
  <c r="O1060" i="8"/>
  <c r="O1061" i="8"/>
  <c r="O1062" i="8"/>
  <c r="O1063" i="8"/>
  <c r="O1064" i="8"/>
  <c r="O1065" i="8"/>
  <c r="O1066" i="8"/>
  <c r="O1067" i="8"/>
  <c r="O1068" i="8"/>
  <c r="O1069" i="8"/>
  <c r="O1070" i="8"/>
  <c r="O1071" i="8"/>
  <c r="O1072" i="8"/>
  <c r="O1073" i="8"/>
  <c r="O1074" i="8"/>
  <c r="O1075" i="8"/>
  <c r="O1076" i="8"/>
  <c r="O1077" i="8"/>
  <c r="O1078" i="8"/>
  <c r="O1079" i="8"/>
  <c r="O1080" i="8"/>
  <c r="O1081" i="8"/>
  <c r="O1082" i="8"/>
  <c r="O1083" i="8"/>
  <c r="O1084" i="8"/>
  <c r="O1085" i="8"/>
  <c r="O1086" i="8"/>
  <c r="O1087" i="8"/>
  <c r="O1088" i="8"/>
  <c r="O1089" i="8"/>
  <c r="O1090" i="8"/>
  <c r="O1091" i="8"/>
  <c r="O1092" i="8"/>
  <c r="O1093" i="8"/>
  <c r="O1094" i="8"/>
  <c r="O1095" i="8"/>
  <c r="O1096" i="8"/>
  <c r="O1097" i="8"/>
  <c r="O1098" i="8"/>
  <c r="O1099" i="8"/>
  <c r="O1100" i="8"/>
  <c r="O1101" i="8"/>
  <c r="O1102" i="8"/>
  <c r="O1103" i="8"/>
  <c r="O1104" i="8"/>
  <c r="O1105" i="8"/>
  <c r="O1106" i="8"/>
  <c r="O1107" i="8"/>
  <c r="O1108" i="8"/>
  <c r="O1109" i="8"/>
  <c r="O1110" i="8"/>
  <c r="O1111" i="8"/>
  <c r="O1112" i="8"/>
  <c r="O1113" i="8"/>
  <c r="O1114" i="8"/>
  <c r="O1115" i="8"/>
  <c r="O1116" i="8"/>
  <c r="O1117" i="8"/>
  <c r="O1118" i="8"/>
  <c r="O1119" i="8"/>
  <c r="O1120" i="8"/>
  <c r="O1121" i="8"/>
  <c r="O1122" i="8"/>
  <c r="O1123" i="8"/>
  <c r="O1124" i="8"/>
  <c r="O1125" i="8"/>
  <c r="O1126" i="8"/>
  <c r="O1127" i="8"/>
  <c r="O1128" i="8"/>
  <c r="O1129" i="8"/>
  <c r="O1130" i="8"/>
  <c r="O1131" i="8"/>
  <c r="O1132" i="8"/>
  <c r="O1133" i="8"/>
  <c r="O1134" i="8"/>
  <c r="O1135" i="8"/>
  <c r="O1136" i="8"/>
  <c r="O1137" i="8"/>
  <c r="O1138" i="8"/>
  <c r="O1139" i="8"/>
  <c r="O1140" i="8"/>
  <c r="O1141" i="8"/>
  <c r="O1142" i="8"/>
  <c r="O1143" i="8"/>
  <c r="O1144" i="8"/>
  <c r="O1145" i="8"/>
  <c r="O1146" i="8"/>
  <c r="O1147" i="8"/>
  <c r="O1148" i="8"/>
  <c r="O1149" i="8"/>
  <c r="O1150" i="8"/>
  <c r="O1151" i="8"/>
  <c r="O1152" i="8"/>
  <c r="O1153" i="8"/>
  <c r="O1154" i="8"/>
  <c r="O1155" i="8"/>
  <c r="O1156" i="8"/>
  <c r="O1157" i="8"/>
  <c r="O1158" i="8"/>
  <c r="O1159" i="8"/>
  <c r="O1160" i="8"/>
  <c r="O1161" i="8"/>
  <c r="O1162" i="8"/>
  <c r="O1163" i="8"/>
  <c r="O1164" i="8"/>
  <c r="O1165" i="8"/>
  <c r="O1166" i="8"/>
  <c r="O1167" i="8"/>
  <c r="O1168" i="8"/>
  <c r="O1169" i="8"/>
  <c r="O1170" i="8"/>
  <c r="O1171" i="8"/>
  <c r="O1172" i="8"/>
  <c r="O1173" i="8"/>
  <c r="O1174" i="8"/>
  <c r="O1175" i="8"/>
  <c r="O1176" i="8"/>
  <c r="O1177" i="8"/>
  <c r="O1178" i="8"/>
  <c r="O1179" i="8"/>
  <c r="O1180" i="8"/>
  <c r="O1181" i="8"/>
  <c r="O1182" i="8"/>
  <c r="O1183" i="8"/>
  <c r="O1184" i="8"/>
  <c r="O1185" i="8"/>
  <c r="O1186" i="8"/>
  <c r="O1187" i="8"/>
  <c r="O1188" i="8"/>
  <c r="O1189" i="8"/>
  <c r="O1190" i="8"/>
  <c r="O1191" i="8"/>
  <c r="O1192" i="8"/>
  <c r="O1193" i="8"/>
  <c r="O1194" i="8"/>
  <c r="O1195" i="8"/>
  <c r="O1196" i="8"/>
  <c r="O1197" i="8"/>
  <c r="O1198" i="8"/>
  <c r="O1199" i="8"/>
  <c r="O1200" i="8"/>
  <c r="O1201" i="8"/>
  <c r="O1202" i="8"/>
  <c r="O1203" i="8"/>
  <c r="O1204" i="8"/>
  <c r="O1205" i="8"/>
  <c r="O1206" i="8"/>
  <c r="O1207" i="8"/>
  <c r="O1208" i="8"/>
  <c r="O1209" i="8"/>
  <c r="O1210" i="8"/>
  <c r="O1211" i="8"/>
  <c r="O1212" i="8"/>
  <c r="O1213" i="8"/>
  <c r="O1214" i="8"/>
  <c r="O1215" i="8"/>
  <c r="O1216" i="8"/>
  <c r="O1217" i="8"/>
  <c r="O1218" i="8"/>
  <c r="O1219" i="8"/>
  <c r="O1220" i="8"/>
  <c r="O1221" i="8"/>
  <c r="O1222" i="8"/>
  <c r="O1223" i="8"/>
  <c r="O1224" i="8"/>
  <c r="O1225" i="8"/>
  <c r="O1226" i="8"/>
  <c r="O1227" i="8"/>
  <c r="O1228" i="8"/>
  <c r="O1229" i="8"/>
  <c r="O1230" i="8"/>
  <c r="O1231" i="8"/>
  <c r="O1232" i="8"/>
  <c r="O1233" i="8"/>
  <c r="O1234" i="8"/>
  <c r="O1235" i="8"/>
  <c r="O1236" i="8"/>
  <c r="O1237" i="8"/>
  <c r="O1238" i="8"/>
  <c r="O1239" i="8"/>
  <c r="O1240" i="8"/>
  <c r="O1241" i="8"/>
  <c r="O1242" i="8"/>
  <c r="O1243" i="8"/>
  <c r="O1244" i="8"/>
  <c r="O1245" i="8"/>
  <c r="O1246" i="8"/>
  <c r="O1247" i="8"/>
  <c r="O1248" i="8"/>
  <c r="O1249" i="8"/>
  <c r="O1250" i="8"/>
  <c r="O1251" i="8"/>
  <c r="O1252" i="8"/>
  <c r="O1253" i="8"/>
  <c r="O1254" i="8"/>
  <c r="O1255" i="8"/>
  <c r="O1256" i="8"/>
  <c r="O1257" i="8"/>
  <c r="O1258" i="8"/>
  <c r="O1259" i="8"/>
  <c r="O1260" i="8"/>
  <c r="O1261" i="8"/>
  <c r="O1262" i="8"/>
  <c r="O1263" i="8"/>
  <c r="O1264" i="8"/>
  <c r="O1265" i="8"/>
  <c r="O1266" i="8"/>
  <c r="O1267" i="8"/>
  <c r="O1268" i="8"/>
  <c r="O1269" i="8"/>
  <c r="O1270" i="8"/>
  <c r="O1271" i="8"/>
  <c r="O1272" i="8"/>
  <c r="O1273" i="8"/>
  <c r="O1274" i="8"/>
  <c r="O1275" i="8"/>
  <c r="O1276" i="8"/>
  <c r="O1277" i="8"/>
  <c r="O1278" i="8"/>
  <c r="O1279" i="8"/>
  <c r="O1280" i="8"/>
  <c r="O1281" i="8"/>
  <c r="O1282" i="8"/>
  <c r="O1283" i="8"/>
  <c r="O1284" i="8"/>
  <c r="O1285" i="8"/>
  <c r="O1286" i="8"/>
  <c r="O1287" i="8"/>
  <c r="O1288" i="8"/>
  <c r="O1289" i="8"/>
  <c r="O1290" i="8"/>
  <c r="O1291" i="8"/>
  <c r="O1292" i="8"/>
  <c r="O1293" i="8"/>
  <c r="O1294" i="8"/>
  <c r="O1295" i="8"/>
  <c r="O1296" i="8"/>
  <c r="O1297" i="8"/>
  <c r="O1298" i="8"/>
  <c r="O1299" i="8"/>
  <c r="O1300" i="8"/>
  <c r="O1301" i="8"/>
  <c r="O1302" i="8"/>
  <c r="O1303" i="8"/>
  <c r="O1304" i="8"/>
  <c r="O1305" i="8"/>
  <c r="O1306" i="8"/>
  <c r="O1307" i="8"/>
  <c r="O1308" i="8"/>
  <c r="O1309" i="8"/>
  <c r="O1310" i="8"/>
  <c r="O1311" i="8"/>
  <c r="O1312" i="8"/>
  <c r="O1313" i="8"/>
  <c r="O1314" i="8"/>
  <c r="O1315" i="8"/>
  <c r="O1316" i="8"/>
  <c r="O1317" i="8"/>
  <c r="O1318" i="8"/>
  <c r="O1319" i="8"/>
  <c r="O1320" i="8"/>
  <c r="O1321" i="8"/>
  <c r="O1322" i="8"/>
  <c r="O1323" i="8"/>
  <c r="O1324" i="8"/>
  <c r="O1325" i="8"/>
  <c r="O1326" i="8"/>
  <c r="O1327" i="8"/>
  <c r="O1328" i="8"/>
  <c r="O1329" i="8"/>
  <c r="O1330" i="8"/>
  <c r="O1331" i="8"/>
  <c r="O1332" i="8"/>
  <c r="O1333" i="8"/>
  <c r="O1334" i="8"/>
  <c r="O1335" i="8"/>
  <c r="O1336" i="8"/>
  <c r="O1337" i="8"/>
  <c r="O1338" i="8"/>
  <c r="O1339" i="8"/>
  <c r="O1340" i="8"/>
  <c r="O1341" i="8"/>
  <c r="O1342" i="8"/>
  <c r="O1343" i="8"/>
  <c r="O1344" i="8"/>
  <c r="O1345" i="8"/>
  <c r="O1346" i="8"/>
  <c r="O1347" i="8"/>
  <c r="O1348" i="8"/>
  <c r="O1349" i="8"/>
  <c r="O1350" i="8"/>
  <c r="O1351" i="8"/>
  <c r="O1352" i="8"/>
  <c r="O1353" i="8"/>
  <c r="O1354" i="8"/>
  <c r="O1355" i="8"/>
  <c r="O1356" i="8"/>
  <c r="O1357" i="8"/>
  <c r="O1358" i="8"/>
  <c r="O1359" i="8"/>
  <c r="O1360" i="8"/>
  <c r="O1361" i="8"/>
  <c r="O1362" i="8"/>
  <c r="O1363" i="8"/>
  <c r="O1364" i="8"/>
  <c r="O1365" i="8"/>
  <c r="O1366" i="8"/>
  <c r="O1367" i="8"/>
  <c r="O1368" i="8"/>
  <c r="O1369" i="8"/>
  <c r="O1370" i="8"/>
  <c r="O1371" i="8"/>
  <c r="O1372" i="8"/>
  <c r="O1373" i="8"/>
  <c r="O1374" i="8"/>
  <c r="O1375" i="8"/>
  <c r="O1376" i="8"/>
  <c r="O1377" i="8"/>
  <c r="O1378" i="8"/>
  <c r="O1379" i="8"/>
  <c r="O1380" i="8"/>
  <c r="O1381" i="8"/>
  <c r="O1382" i="8"/>
  <c r="O1383" i="8"/>
  <c r="O1384" i="8"/>
  <c r="O1385" i="8"/>
  <c r="O1386" i="8"/>
  <c r="O1387" i="8"/>
  <c r="O1388" i="8"/>
  <c r="O1389" i="8"/>
  <c r="O1390" i="8"/>
  <c r="O1391" i="8"/>
  <c r="O1392" i="8"/>
  <c r="O1393" i="8"/>
  <c r="O1394" i="8"/>
  <c r="O1395" i="8"/>
  <c r="O1396" i="8"/>
  <c r="O1397" i="8"/>
  <c r="O1398" i="8"/>
  <c r="O1399" i="8"/>
  <c r="O1400" i="8"/>
  <c r="O1401" i="8"/>
  <c r="O1402" i="8"/>
  <c r="O1403" i="8"/>
  <c r="O1404" i="8"/>
  <c r="O1405" i="8"/>
  <c r="O1406" i="8"/>
  <c r="O1407" i="8"/>
  <c r="O1408" i="8"/>
  <c r="O1409" i="8"/>
  <c r="O1410" i="8"/>
  <c r="O1411" i="8"/>
  <c r="O1412" i="8"/>
  <c r="O1413" i="8"/>
  <c r="O1414" i="8"/>
  <c r="O1415" i="8"/>
  <c r="O1416" i="8"/>
  <c r="O1417" i="8"/>
  <c r="O1418" i="8"/>
  <c r="O1419" i="8"/>
  <c r="O1420" i="8"/>
  <c r="O1421" i="8"/>
  <c r="O1422" i="8"/>
  <c r="O1423" i="8"/>
  <c r="O1424" i="8"/>
  <c r="O1425" i="8"/>
  <c r="O1426" i="8"/>
  <c r="O1427" i="8"/>
  <c r="O1428" i="8"/>
  <c r="O1429" i="8"/>
  <c r="O1430" i="8"/>
  <c r="O1431" i="8"/>
  <c r="O1432" i="8"/>
  <c r="O1433" i="8"/>
  <c r="O1434" i="8"/>
  <c r="O1435" i="8"/>
  <c r="O1436" i="8"/>
  <c r="O1437" i="8"/>
  <c r="O1438" i="8"/>
  <c r="O1439" i="8"/>
  <c r="O1440" i="8"/>
  <c r="O1441" i="8"/>
  <c r="O1442" i="8"/>
  <c r="O1443" i="8"/>
  <c r="O1444" i="8"/>
  <c r="O1445" i="8"/>
  <c r="O1446" i="8"/>
  <c r="O1447" i="8"/>
  <c r="O1448" i="8"/>
  <c r="O1449" i="8"/>
  <c r="O1450" i="8"/>
  <c r="O1451" i="8"/>
  <c r="O1452" i="8"/>
  <c r="O1453" i="8"/>
  <c r="O1454" i="8"/>
  <c r="O1455" i="8"/>
  <c r="O1456" i="8"/>
  <c r="O1457" i="8"/>
  <c r="O1458" i="8"/>
  <c r="O1459" i="8"/>
  <c r="O1460" i="8"/>
  <c r="O1461" i="8"/>
  <c r="O1462" i="8"/>
  <c r="O1463" i="8"/>
  <c r="O1464" i="8"/>
  <c r="O1465" i="8"/>
  <c r="O1466" i="8"/>
  <c r="O1467" i="8"/>
  <c r="O1468" i="8"/>
  <c r="O1469" i="8"/>
  <c r="O1470" i="8"/>
  <c r="O1471" i="8"/>
  <c r="O1472" i="8"/>
  <c r="O1473" i="8"/>
  <c r="O1474" i="8"/>
  <c r="O1475" i="8"/>
  <c r="O1476" i="8"/>
  <c r="O1477" i="8"/>
  <c r="O1478" i="8"/>
  <c r="O1479" i="8"/>
  <c r="O1480" i="8"/>
  <c r="O1481" i="8"/>
  <c r="O1482" i="8"/>
  <c r="O1483" i="8"/>
  <c r="O1484" i="8"/>
  <c r="O1485" i="8"/>
  <c r="O1486" i="8"/>
  <c r="O1487" i="8"/>
  <c r="O1488" i="8"/>
  <c r="O1489" i="8"/>
  <c r="O1490" i="8"/>
  <c r="O1491" i="8"/>
  <c r="O1492" i="8"/>
  <c r="O1493" i="8"/>
  <c r="O1494" i="8"/>
  <c r="O1495" i="8"/>
  <c r="O1496" i="8"/>
  <c r="O1497" i="8"/>
  <c r="O1498" i="8"/>
  <c r="O1499" i="8"/>
  <c r="O1500" i="8"/>
  <c r="O1501" i="8"/>
  <c r="O1502" i="8"/>
  <c r="O1503" i="8"/>
  <c r="O1504" i="8"/>
  <c r="O1505" i="8"/>
  <c r="O1506" i="8"/>
  <c r="O1507" i="8"/>
  <c r="O1508" i="8"/>
  <c r="O1509" i="8"/>
  <c r="O1510" i="8"/>
  <c r="O1511" i="8"/>
  <c r="O1512" i="8"/>
  <c r="O1513" i="8"/>
  <c r="O1514" i="8"/>
  <c r="O1515" i="8"/>
  <c r="O1516" i="8"/>
  <c r="O1517" i="8"/>
  <c r="O1518" i="8"/>
  <c r="O1519" i="8"/>
  <c r="O1520" i="8"/>
  <c r="O1521" i="8"/>
  <c r="O1522" i="8"/>
  <c r="O1523" i="8"/>
  <c r="O1524" i="8"/>
  <c r="O1525" i="8"/>
  <c r="O1526" i="8"/>
  <c r="O1527" i="8"/>
  <c r="O1528" i="8"/>
  <c r="O1529" i="8"/>
  <c r="O1530" i="8"/>
  <c r="O1531" i="8"/>
  <c r="O1532" i="8"/>
  <c r="O1533" i="8"/>
  <c r="O1534" i="8"/>
  <c r="O1535" i="8"/>
  <c r="O1536" i="8"/>
  <c r="O1537" i="8"/>
  <c r="O1538" i="8"/>
  <c r="O1539" i="8"/>
  <c r="O1540" i="8"/>
  <c r="O1541" i="8"/>
  <c r="O1542" i="8"/>
  <c r="O1543" i="8"/>
  <c r="O1544" i="8"/>
  <c r="O1545" i="8"/>
  <c r="O1546" i="8"/>
  <c r="O1547" i="8"/>
  <c r="O1548" i="8"/>
  <c r="O1549" i="8"/>
  <c r="O1550" i="8"/>
  <c r="O1551" i="8"/>
  <c r="O1552" i="8"/>
  <c r="O1553" i="8"/>
  <c r="O1554" i="8"/>
  <c r="O1555" i="8"/>
  <c r="O1556" i="8"/>
  <c r="O1557" i="8"/>
  <c r="O1558" i="8"/>
  <c r="O1559" i="8"/>
  <c r="O1560" i="8"/>
  <c r="O1561" i="8"/>
  <c r="O1562" i="8"/>
  <c r="O1563" i="8"/>
  <c r="O1564" i="8"/>
  <c r="O1565" i="8"/>
  <c r="O1566" i="8"/>
  <c r="O1567" i="8"/>
  <c r="O1568" i="8"/>
  <c r="O1569" i="8"/>
  <c r="O1570" i="8"/>
  <c r="O1571" i="8"/>
  <c r="O1572" i="8"/>
  <c r="O1573" i="8"/>
  <c r="O1574" i="8"/>
  <c r="O1575" i="8"/>
  <c r="O1576" i="8"/>
  <c r="O1577" i="8"/>
  <c r="O1578" i="8"/>
  <c r="O1579" i="8"/>
  <c r="O1580" i="8"/>
  <c r="O1581" i="8"/>
  <c r="O1582" i="8"/>
  <c r="O1583" i="8"/>
  <c r="O1584" i="8"/>
  <c r="O1585" i="8"/>
  <c r="O1586" i="8"/>
  <c r="O1587" i="8"/>
  <c r="O1588" i="8"/>
  <c r="O1589" i="8"/>
  <c r="O1590" i="8"/>
  <c r="O1591" i="8"/>
  <c r="O1592" i="8"/>
  <c r="O1593" i="8"/>
  <c r="O1594" i="8"/>
  <c r="O1595" i="8"/>
  <c r="O1596" i="8"/>
  <c r="O1597" i="8"/>
  <c r="O1598" i="8"/>
  <c r="O1599" i="8"/>
  <c r="O1600" i="8"/>
  <c r="O1601" i="8"/>
  <c r="O1602" i="8"/>
  <c r="O1603" i="8"/>
  <c r="O1604" i="8"/>
  <c r="O1605" i="8"/>
  <c r="O1606" i="8"/>
  <c r="O1607" i="8"/>
  <c r="O1608" i="8"/>
  <c r="O1609" i="8"/>
  <c r="O1610" i="8"/>
  <c r="O1611" i="8"/>
  <c r="O1612" i="8"/>
  <c r="O1613" i="8"/>
  <c r="O1614" i="8"/>
  <c r="O1615" i="8"/>
  <c r="O1616" i="8"/>
  <c r="O1617" i="8"/>
  <c r="O1618" i="8"/>
  <c r="O1619" i="8"/>
  <c r="O1620" i="8"/>
  <c r="O1621" i="8"/>
  <c r="O1622" i="8"/>
  <c r="O1623" i="8"/>
  <c r="O1624" i="8"/>
  <c r="O1625" i="8"/>
  <c r="O1626" i="8"/>
  <c r="O1627" i="8"/>
  <c r="O1628" i="8"/>
  <c r="O1629" i="8"/>
  <c r="O1630" i="8"/>
  <c r="O1631" i="8"/>
  <c r="O1632" i="8"/>
  <c r="O1633" i="8"/>
  <c r="O1634" i="8"/>
  <c r="O1635" i="8"/>
  <c r="O1636" i="8"/>
  <c r="O1637" i="8"/>
  <c r="O1638" i="8"/>
  <c r="O1639" i="8"/>
  <c r="O1640" i="8"/>
  <c r="O1641" i="8"/>
  <c r="O1642" i="8"/>
  <c r="O1643" i="8"/>
  <c r="O1644" i="8"/>
  <c r="O1645" i="8"/>
  <c r="O1646" i="8"/>
  <c r="O1647" i="8"/>
  <c r="O1648" i="8"/>
  <c r="O1649" i="8"/>
  <c r="O1650" i="8"/>
  <c r="O1651" i="8"/>
  <c r="O1652" i="8"/>
  <c r="O1653" i="8"/>
  <c r="O1654" i="8"/>
  <c r="O1655" i="8"/>
  <c r="O1656" i="8"/>
  <c r="O1657" i="8"/>
  <c r="O1658" i="8"/>
  <c r="O1659" i="8"/>
  <c r="O1660" i="8"/>
  <c r="O1661" i="8"/>
  <c r="O1662" i="8"/>
  <c r="O1663" i="8"/>
  <c r="O1664" i="8"/>
  <c r="O1665" i="8"/>
  <c r="O1666" i="8"/>
  <c r="O1667" i="8"/>
  <c r="O1668" i="8"/>
  <c r="O1669" i="8"/>
  <c r="O1670" i="8"/>
  <c r="O1671" i="8"/>
  <c r="O1672" i="8"/>
  <c r="O1673" i="8"/>
  <c r="O1674" i="8"/>
  <c r="O1675" i="8"/>
  <c r="O1676" i="8"/>
  <c r="O1677" i="8"/>
  <c r="O1678" i="8"/>
  <c r="O1679" i="8"/>
  <c r="O1680" i="8"/>
  <c r="O1681" i="8"/>
  <c r="O1682" i="8"/>
  <c r="O1683" i="8"/>
  <c r="O1684" i="8"/>
  <c r="O1685" i="8"/>
  <c r="O1686" i="8"/>
  <c r="O1687" i="8"/>
  <c r="O1688" i="8"/>
  <c r="O1689" i="8"/>
  <c r="O1690" i="8"/>
  <c r="O1691" i="8"/>
  <c r="O1692" i="8"/>
  <c r="O1693" i="8"/>
  <c r="O1694" i="8"/>
  <c r="O1695" i="8"/>
  <c r="O1696" i="8"/>
  <c r="O1697" i="8"/>
  <c r="O1698" i="8"/>
  <c r="O1699" i="8"/>
  <c r="O1700" i="8"/>
  <c r="O1701" i="8"/>
  <c r="O1702" i="8"/>
  <c r="O1703" i="8"/>
  <c r="O1704" i="8"/>
  <c r="O1705" i="8"/>
  <c r="O1706" i="8"/>
  <c r="O1707" i="8"/>
  <c r="O1708" i="8"/>
  <c r="O1709" i="8"/>
  <c r="O1710" i="8"/>
  <c r="O1711" i="8"/>
  <c r="O1712" i="8"/>
  <c r="O1713" i="8"/>
  <c r="O1714" i="8"/>
  <c r="O1715" i="8"/>
  <c r="O1716" i="8"/>
  <c r="O1717" i="8"/>
  <c r="O1718" i="8"/>
  <c r="O1719" i="8"/>
  <c r="O1720" i="8"/>
  <c r="O1721" i="8"/>
  <c r="O1722" i="8"/>
  <c r="O1723" i="8"/>
  <c r="O1724" i="8"/>
  <c r="O1725" i="8"/>
  <c r="O1726" i="8"/>
  <c r="O1727" i="8"/>
  <c r="O1728" i="8"/>
  <c r="O1729" i="8"/>
  <c r="O1730" i="8"/>
  <c r="O1731" i="8"/>
  <c r="O1732" i="8"/>
  <c r="O1733" i="8"/>
  <c r="O1734" i="8"/>
  <c r="O1735" i="8"/>
  <c r="O1736" i="8"/>
  <c r="O1737" i="8"/>
  <c r="O1738" i="8"/>
  <c r="O1739" i="8"/>
  <c r="O1740" i="8"/>
  <c r="O1741" i="8"/>
  <c r="O1742" i="8"/>
  <c r="O1743" i="8"/>
  <c r="O1744" i="8"/>
  <c r="O1745" i="8"/>
  <c r="O1746" i="8"/>
  <c r="O1747" i="8"/>
  <c r="O1748" i="8"/>
  <c r="O1749" i="8"/>
  <c r="O1750" i="8"/>
  <c r="O1751" i="8"/>
  <c r="O1752" i="8"/>
  <c r="O1753" i="8"/>
  <c r="O1754" i="8"/>
  <c r="O1755" i="8"/>
  <c r="O1756" i="8"/>
  <c r="O1757" i="8"/>
  <c r="O1758" i="8"/>
  <c r="O1759" i="8"/>
  <c r="O1760" i="8"/>
  <c r="O1761" i="8"/>
  <c r="O1762" i="8"/>
  <c r="O1763" i="8"/>
  <c r="O1764" i="8"/>
  <c r="O1765" i="8"/>
  <c r="O1766" i="8"/>
  <c r="O1767" i="8"/>
  <c r="O1768" i="8"/>
  <c r="O1769" i="8"/>
  <c r="O1770" i="8"/>
  <c r="O1771" i="8"/>
  <c r="O1772" i="8"/>
  <c r="O1773" i="8"/>
  <c r="O1774" i="8"/>
  <c r="O1775" i="8"/>
  <c r="O1776" i="8"/>
  <c r="O1777" i="8"/>
  <c r="O1778" i="8"/>
  <c r="O1779" i="8"/>
  <c r="O1780" i="8"/>
  <c r="O1781" i="8"/>
  <c r="O1782" i="8"/>
  <c r="O1783" i="8"/>
  <c r="O1784" i="8"/>
  <c r="O1785" i="8"/>
  <c r="O1786" i="8"/>
  <c r="O1787" i="8"/>
  <c r="O1788" i="8"/>
  <c r="O1789" i="8"/>
  <c r="O1790" i="8"/>
  <c r="O1791" i="8"/>
  <c r="O1792" i="8"/>
  <c r="O1793" i="8"/>
  <c r="O1794" i="8"/>
  <c r="O1795" i="8"/>
  <c r="O1796" i="8"/>
  <c r="O1797" i="8"/>
  <c r="O1798" i="8"/>
  <c r="O1799" i="8"/>
  <c r="O1800" i="8"/>
  <c r="O1801" i="8"/>
  <c r="O1802" i="8"/>
  <c r="O1803" i="8"/>
  <c r="O1804" i="8"/>
  <c r="O1805" i="8"/>
  <c r="O1806" i="8"/>
  <c r="O1807" i="8"/>
  <c r="O1808" i="8"/>
  <c r="O1809" i="8"/>
  <c r="O1810" i="8"/>
  <c r="O1811" i="8"/>
  <c r="O1812" i="8"/>
  <c r="O1813" i="8"/>
  <c r="O1814" i="8"/>
  <c r="O1815" i="8"/>
  <c r="O1816" i="8"/>
  <c r="O1817" i="8"/>
  <c r="O1818" i="8"/>
  <c r="O1819" i="8"/>
  <c r="O1820" i="8"/>
  <c r="O1821" i="8"/>
  <c r="O1822" i="8"/>
  <c r="O1823" i="8"/>
  <c r="O1824" i="8"/>
  <c r="O1825" i="8"/>
  <c r="O1826" i="8"/>
  <c r="O1827" i="8"/>
  <c r="O1828" i="8"/>
  <c r="O1829" i="8"/>
  <c r="O1830" i="8"/>
  <c r="O1831" i="8"/>
  <c r="O1832" i="8"/>
  <c r="O1833" i="8"/>
  <c r="O1834" i="8"/>
  <c r="O1835" i="8"/>
  <c r="O1836" i="8"/>
  <c r="O1837" i="8"/>
  <c r="O1838" i="8"/>
  <c r="O1839" i="8"/>
  <c r="O1840" i="8"/>
  <c r="O1841" i="8"/>
  <c r="O1842" i="8"/>
  <c r="O1843" i="8"/>
  <c r="O1844" i="8"/>
  <c r="O1845" i="8"/>
  <c r="O1846" i="8"/>
  <c r="O1847" i="8"/>
  <c r="O1848" i="8"/>
  <c r="O1849" i="8"/>
  <c r="O1850" i="8"/>
  <c r="O1851" i="8"/>
  <c r="O1852" i="8"/>
  <c r="O1853" i="8"/>
  <c r="O1854" i="8"/>
  <c r="O1855" i="8"/>
  <c r="O1856" i="8"/>
  <c r="O1857" i="8"/>
  <c r="O1858" i="8"/>
  <c r="O1859" i="8"/>
  <c r="O1860" i="8"/>
  <c r="O1861" i="8"/>
  <c r="O1862" i="8"/>
  <c r="O1863" i="8"/>
  <c r="O1864" i="8"/>
  <c r="O1865" i="8"/>
  <c r="O1866" i="8"/>
  <c r="O1867" i="8"/>
  <c r="O1868" i="8"/>
  <c r="O1869" i="8"/>
  <c r="O1870" i="8"/>
  <c r="O1871" i="8"/>
  <c r="O1872" i="8"/>
  <c r="O1873" i="8"/>
  <c r="O1874" i="8"/>
  <c r="O1875" i="8"/>
  <c r="O1876" i="8"/>
  <c r="O1877" i="8"/>
  <c r="O1878" i="8"/>
  <c r="O1879" i="8"/>
  <c r="O1880" i="8"/>
  <c r="O1881" i="8"/>
  <c r="O1882" i="8"/>
  <c r="O1883" i="8"/>
  <c r="O1884" i="8"/>
  <c r="O1885" i="8"/>
  <c r="O1886" i="8"/>
  <c r="O1887" i="8"/>
  <c r="O1888" i="8"/>
  <c r="O1889" i="8"/>
  <c r="O1890" i="8"/>
  <c r="O1891" i="8"/>
  <c r="O1892" i="8"/>
  <c r="O1893" i="8"/>
  <c r="O1894" i="8"/>
  <c r="O1895" i="8"/>
  <c r="O1896" i="8"/>
  <c r="O1897" i="8"/>
  <c r="O1898" i="8"/>
  <c r="O1899" i="8"/>
  <c r="O1900" i="8"/>
  <c r="O1901" i="8"/>
  <c r="O1902" i="8"/>
  <c r="O1903" i="8"/>
  <c r="O1904" i="8"/>
  <c r="O1905" i="8"/>
  <c r="O1906" i="8"/>
  <c r="O1907" i="8"/>
  <c r="O1908" i="8"/>
  <c r="O1909" i="8"/>
  <c r="O1910" i="8"/>
  <c r="O1911" i="8"/>
  <c r="O1912" i="8"/>
  <c r="O1913" i="8"/>
  <c r="O1914" i="8"/>
  <c r="O1915" i="8"/>
  <c r="O1916" i="8"/>
  <c r="O1917" i="8"/>
  <c r="O1918" i="8"/>
  <c r="O1919" i="8"/>
  <c r="O1920" i="8"/>
  <c r="O1921" i="8"/>
  <c r="O1922" i="8"/>
  <c r="O1923" i="8"/>
  <c r="O1924" i="8"/>
  <c r="O1925" i="8"/>
  <c r="O1926" i="8"/>
  <c r="O1927" i="8"/>
  <c r="O1928" i="8"/>
  <c r="O1929" i="8"/>
  <c r="O1930" i="8"/>
  <c r="O1931" i="8"/>
  <c r="O1932" i="8"/>
  <c r="O1933" i="8"/>
  <c r="O1934" i="8"/>
  <c r="O1935" i="8"/>
  <c r="O1936" i="8"/>
  <c r="O1937" i="8"/>
  <c r="O1938" i="8"/>
  <c r="O1939" i="8"/>
  <c r="O1940" i="8"/>
  <c r="O1941" i="8"/>
  <c r="O1942" i="8"/>
  <c r="O1943" i="8"/>
  <c r="O1944" i="8"/>
  <c r="O1945" i="8"/>
  <c r="O1946" i="8"/>
  <c r="O1947" i="8"/>
  <c r="O1948" i="8"/>
  <c r="O1949" i="8"/>
  <c r="O1950" i="8"/>
  <c r="O1951" i="8"/>
  <c r="O1952" i="8"/>
  <c r="O1953" i="8"/>
  <c r="O1954" i="8"/>
  <c r="O1955" i="8"/>
  <c r="O1956" i="8"/>
  <c r="O1957" i="8"/>
  <c r="O1958" i="8"/>
  <c r="O1959" i="8"/>
  <c r="O1960" i="8"/>
  <c r="O1961" i="8"/>
  <c r="O1962" i="8"/>
  <c r="O1963" i="8"/>
  <c r="O1964" i="8"/>
  <c r="O1965" i="8"/>
  <c r="O1966" i="8"/>
  <c r="O1967" i="8"/>
  <c r="O1968" i="8"/>
  <c r="O1969" i="8"/>
  <c r="O1970" i="8"/>
  <c r="O1971" i="8"/>
  <c r="O1972" i="8"/>
  <c r="O1973" i="8"/>
  <c r="O1974" i="8"/>
  <c r="O1975" i="8"/>
  <c r="O1976" i="8"/>
  <c r="O1977" i="8"/>
  <c r="O1978" i="8"/>
  <c r="O1979" i="8"/>
  <c r="O1980" i="8"/>
  <c r="O1981" i="8"/>
  <c r="O1982" i="8"/>
  <c r="O1983" i="8"/>
  <c r="O1984" i="8"/>
  <c r="O1985" i="8"/>
  <c r="O1986" i="8"/>
  <c r="O1987" i="8"/>
  <c r="O1988" i="8"/>
  <c r="O1989" i="8"/>
  <c r="O1990" i="8"/>
  <c r="O1991" i="8"/>
  <c r="O1992" i="8"/>
  <c r="O1993" i="8"/>
  <c r="O1994" i="8"/>
  <c r="O1995" i="8"/>
  <c r="O1996" i="8"/>
  <c r="O1997" i="8"/>
  <c r="O1998" i="8"/>
  <c r="O1999" i="8"/>
  <c r="O2000" i="8"/>
  <c r="O2001" i="8"/>
  <c r="O2002" i="8"/>
  <c r="O2003" i="8"/>
  <c r="O2004" i="8"/>
  <c r="O2005" i="8"/>
  <c r="O2006" i="8"/>
  <c r="O2007" i="8"/>
  <c r="O2008" i="8"/>
  <c r="O2009" i="8"/>
  <c r="O2010" i="8"/>
  <c r="O2011" i="8"/>
  <c r="O2012" i="8"/>
  <c r="O2013" i="8"/>
  <c r="O2014" i="8"/>
  <c r="O2015" i="8"/>
  <c r="O2016" i="8"/>
  <c r="O2017" i="8"/>
  <c r="O2018" i="8"/>
  <c r="O2019" i="8"/>
  <c r="O2020" i="8"/>
  <c r="O2021" i="8"/>
  <c r="O2022" i="8"/>
  <c r="O2023" i="8"/>
  <c r="O2024" i="8"/>
  <c r="O2025" i="8"/>
  <c r="O2026" i="8"/>
  <c r="O2027" i="8"/>
  <c r="O2028" i="8"/>
  <c r="O2029" i="8"/>
  <c r="O2030" i="8"/>
  <c r="O2031" i="8"/>
  <c r="O2032" i="8"/>
  <c r="O2033" i="8"/>
  <c r="O2034" i="8"/>
  <c r="O2035" i="8"/>
  <c r="O2036" i="8"/>
  <c r="O2037" i="8"/>
  <c r="O2038" i="8"/>
  <c r="O2039" i="8"/>
  <c r="O2040" i="8"/>
  <c r="O2041" i="8"/>
  <c r="O2042" i="8"/>
  <c r="O2043" i="8"/>
  <c r="O2044" i="8"/>
  <c r="O2045" i="8"/>
  <c r="O2046" i="8"/>
  <c r="O2047" i="8"/>
  <c r="O2048" i="8"/>
  <c r="O2049" i="8"/>
  <c r="O2050" i="8"/>
  <c r="O2051" i="8"/>
  <c r="O2052" i="8"/>
  <c r="O2053" i="8"/>
  <c r="O2054" i="8"/>
  <c r="O2055" i="8"/>
  <c r="O2056" i="8"/>
  <c r="O2057" i="8"/>
  <c r="O2058" i="8"/>
  <c r="O2059" i="8"/>
  <c r="O2060" i="8"/>
  <c r="O2061" i="8"/>
  <c r="O2062" i="8"/>
  <c r="O2063" i="8"/>
  <c r="O2064" i="8"/>
  <c r="O2065" i="8"/>
  <c r="O2066" i="8"/>
  <c r="O2067" i="8"/>
  <c r="O2068" i="8"/>
  <c r="O2069" i="8"/>
  <c r="O2070" i="8"/>
  <c r="O2071" i="8"/>
  <c r="O2072" i="8"/>
  <c r="O2073" i="8"/>
  <c r="O2074" i="8"/>
  <c r="O2075" i="8"/>
  <c r="O2076" i="8"/>
  <c r="O2077" i="8"/>
  <c r="O2078" i="8"/>
  <c r="O2079" i="8"/>
  <c r="O2080" i="8"/>
  <c r="O2081" i="8"/>
  <c r="O2082" i="8"/>
  <c r="O2083" i="8"/>
  <c r="O2084" i="8"/>
  <c r="O2085" i="8"/>
  <c r="O2086" i="8"/>
  <c r="O2087" i="8"/>
  <c r="O2088" i="8"/>
  <c r="O2089" i="8"/>
  <c r="O2090" i="8"/>
  <c r="O2091" i="8"/>
  <c r="O2092" i="8"/>
  <c r="O2093" i="8"/>
  <c r="O2094" i="8"/>
  <c r="O2095" i="8"/>
  <c r="O2096" i="8"/>
  <c r="O2097" i="8"/>
  <c r="O2098" i="8"/>
  <c r="O2099" i="8"/>
  <c r="O2100" i="8"/>
  <c r="O2101" i="8"/>
  <c r="O2102" i="8"/>
  <c r="O2103" i="8"/>
  <c r="O2104" i="8"/>
  <c r="O2105" i="8"/>
  <c r="O2106" i="8"/>
  <c r="O2107" i="8"/>
  <c r="O2108" i="8"/>
  <c r="O2109" i="8"/>
  <c r="O2110" i="8"/>
  <c r="O2111" i="8"/>
  <c r="O2112" i="8"/>
  <c r="O2113" i="8"/>
  <c r="O2114" i="8"/>
  <c r="O2115" i="8"/>
  <c r="O2116" i="8"/>
  <c r="O2117" i="8"/>
  <c r="O2118" i="8"/>
  <c r="O2119" i="8"/>
  <c r="O2120" i="8"/>
  <c r="O2121" i="8"/>
  <c r="O2122" i="8"/>
  <c r="O2123" i="8"/>
  <c r="O2124" i="8"/>
  <c r="O2125" i="8"/>
  <c r="O2126" i="8"/>
  <c r="O2127" i="8"/>
  <c r="O2128" i="8"/>
  <c r="O2129" i="8"/>
  <c r="O2130" i="8"/>
  <c r="O2131" i="8"/>
  <c r="O2132" i="8"/>
  <c r="O2133" i="8"/>
  <c r="O2134" i="8"/>
  <c r="O2135" i="8"/>
  <c r="O2136" i="8"/>
  <c r="O2137" i="8"/>
  <c r="O2138" i="8"/>
  <c r="O2139" i="8"/>
  <c r="O2140" i="8"/>
  <c r="O2141" i="8"/>
  <c r="O2142" i="8"/>
  <c r="O2143" i="8"/>
  <c r="O2144" i="8"/>
  <c r="O2145" i="8"/>
  <c r="O2146" i="8"/>
  <c r="O2147" i="8"/>
  <c r="O2148" i="8"/>
  <c r="O2149" i="8"/>
  <c r="O2150" i="8"/>
  <c r="O2151" i="8"/>
  <c r="O2152" i="8"/>
  <c r="O2153" i="8"/>
  <c r="O2154" i="8"/>
  <c r="O2155" i="8"/>
  <c r="O2156" i="8"/>
  <c r="O2157" i="8"/>
  <c r="O2158" i="8"/>
  <c r="O2159" i="8"/>
  <c r="O2160" i="8"/>
  <c r="O2161" i="8"/>
  <c r="O2162" i="8"/>
  <c r="O2163" i="8"/>
  <c r="O2164" i="8"/>
  <c r="O2165" i="8"/>
  <c r="O2166" i="8"/>
  <c r="O2167" i="8"/>
  <c r="O2168" i="8"/>
  <c r="O2169" i="8"/>
  <c r="O2170" i="8"/>
  <c r="O2171" i="8"/>
  <c r="O2172" i="8"/>
  <c r="O2173" i="8"/>
  <c r="O2174" i="8"/>
  <c r="O2175" i="8"/>
  <c r="O2176" i="8"/>
  <c r="O2177" i="8"/>
  <c r="O2178" i="8"/>
  <c r="O2179" i="8"/>
  <c r="O2180" i="8"/>
  <c r="O2181" i="8"/>
  <c r="O2182" i="8"/>
  <c r="O2183" i="8"/>
  <c r="O2184" i="8"/>
  <c r="O2185" i="8"/>
  <c r="O2186" i="8"/>
  <c r="O2187" i="8"/>
  <c r="O2188" i="8"/>
  <c r="O2189" i="8"/>
  <c r="O2190" i="8"/>
  <c r="O2191" i="8"/>
  <c r="O2192" i="8"/>
  <c r="O2193" i="8"/>
  <c r="O2194" i="8"/>
  <c r="O2195" i="8"/>
  <c r="O2196" i="8"/>
  <c r="O2197" i="8"/>
  <c r="O2198" i="8"/>
  <c r="O2199" i="8"/>
  <c r="O2200" i="8"/>
  <c r="O2201" i="8"/>
  <c r="O2202" i="8"/>
  <c r="O2203" i="8"/>
  <c r="O2204" i="8"/>
  <c r="O2205" i="8"/>
  <c r="O2206" i="8"/>
  <c r="O2207" i="8"/>
  <c r="O2208" i="8"/>
  <c r="O2209" i="8"/>
  <c r="O2210" i="8"/>
  <c r="O2211" i="8"/>
  <c r="O2212" i="8"/>
  <c r="O2213" i="8"/>
  <c r="O2214" i="8"/>
  <c r="O2215" i="8"/>
  <c r="O2216" i="8"/>
  <c r="O2217" i="8"/>
  <c r="O2218" i="8"/>
  <c r="O2219" i="8"/>
  <c r="O2220" i="8"/>
  <c r="O2221" i="8"/>
  <c r="O2222" i="8"/>
  <c r="O2223" i="8"/>
  <c r="O2224" i="8"/>
  <c r="O2225" i="8"/>
  <c r="O2226" i="8"/>
  <c r="O2227" i="8"/>
  <c r="O2228" i="8"/>
  <c r="O2229" i="8"/>
  <c r="O2230" i="8"/>
  <c r="O2231" i="8"/>
  <c r="O2232" i="8"/>
  <c r="O2233" i="8"/>
  <c r="O2234" i="8"/>
  <c r="O2235" i="8"/>
  <c r="O2236" i="8"/>
  <c r="O2237" i="8"/>
  <c r="O2238" i="8"/>
  <c r="O2239" i="8"/>
  <c r="O2240" i="8"/>
  <c r="O2241" i="8"/>
  <c r="O2242" i="8"/>
  <c r="O2243" i="8"/>
  <c r="O2244" i="8"/>
  <c r="O2245" i="8"/>
  <c r="O2246" i="8"/>
  <c r="O2247" i="8"/>
  <c r="O2248" i="8"/>
  <c r="O2249" i="8"/>
  <c r="O2250" i="8"/>
  <c r="O2251" i="8"/>
  <c r="O2252" i="8"/>
  <c r="O2253" i="8"/>
  <c r="O2254" i="8"/>
  <c r="O2255" i="8"/>
  <c r="O2256" i="8"/>
  <c r="O2257" i="8"/>
  <c r="O2258" i="8"/>
  <c r="O2259" i="8"/>
  <c r="O2260" i="8"/>
  <c r="O2261" i="8"/>
  <c r="O2262" i="8"/>
  <c r="O2263" i="8"/>
  <c r="O2264" i="8"/>
  <c r="O2265" i="8"/>
  <c r="O2266" i="8"/>
  <c r="O2267" i="8"/>
  <c r="O2268" i="8"/>
  <c r="O2269" i="8"/>
  <c r="O2270" i="8"/>
  <c r="O2271" i="8"/>
  <c r="O2272" i="8"/>
  <c r="O2273" i="8"/>
  <c r="O2274" i="8"/>
  <c r="O2275" i="8"/>
  <c r="O2276" i="8"/>
  <c r="O2277" i="8"/>
  <c r="O2278" i="8"/>
  <c r="O2279" i="8"/>
  <c r="O2280" i="8"/>
  <c r="O2281" i="8"/>
  <c r="O2282" i="8"/>
  <c r="O2283" i="8"/>
  <c r="O2284" i="8"/>
  <c r="O2285" i="8"/>
  <c r="O2286" i="8"/>
  <c r="O2287" i="8"/>
  <c r="O2288" i="8"/>
  <c r="O2289" i="8"/>
  <c r="O2290" i="8"/>
  <c r="O2291" i="8"/>
  <c r="O2292" i="8"/>
  <c r="O2293" i="8"/>
  <c r="O2294" i="8"/>
  <c r="O2295" i="8"/>
  <c r="O2296" i="8"/>
  <c r="O2297" i="8"/>
  <c r="O2298" i="8"/>
  <c r="O2299" i="8"/>
  <c r="O2300" i="8"/>
  <c r="O2301" i="8"/>
  <c r="O2302" i="8"/>
  <c r="O2303" i="8"/>
  <c r="O2304" i="8"/>
  <c r="O2305" i="8"/>
  <c r="O2306" i="8"/>
  <c r="O2307" i="8"/>
  <c r="O2308" i="8"/>
  <c r="O2309" i="8"/>
  <c r="O2310" i="8"/>
  <c r="O2311" i="8"/>
  <c r="O2312" i="8"/>
  <c r="O2313" i="8"/>
  <c r="O2314" i="8"/>
  <c r="O2315" i="8"/>
  <c r="O2316" i="8"/>
  <c r="O2317" i="8"/>
  <c r="O2318" i="8"/>
  <c r="O2319" i="8"/>
  <c r="O2320" i="8"/>
  <c r="O2321" i="8"/>
  <c r="O2322" i="8"/>
  <c r="O2323" i="8"/>
  <c r="O2324" i="8"/>
  <c r="O2325" i="8"/>
  <c r="O2326" i="8"/>
  <c r="O2327" i="8"/>
  <c r="O2328" i="8"/>
  <c r="O2329" i="8"/>
  <c r="O2330" i="8"/>
  <c r="O2331" i="8"/>
  <c r="O2332" i="8"/>
  <c r="O2333" i="8"/>
  <c r="O2334" i="8"/>
  <c r="O2335" i="8"/>
  <c r="O2336" i="8"/>
  <c r="O2337" i="8"/>
  <c r="O2338" i="8"/>
  <c r="O2339" i="8"/>
  <c r="O2340" i="8"/>
  <c r="O2341" i="8"/>
  <c r="O2342" i="8"/>
  <c r="O2343" i="8"/>
  <c r="O2344" i="8"/>
  <c r="O2345" i="8"/>
  <c r="O2346" i="8"/>
  <c r="O2347" i="8"/>
  <c r="O2348" i="8"/>
  <c r="O2349" i="8"/>
  <c r="O2350" i="8"/>
  <c r="O2351" i="8"/>
  <c r="O2352" i="8"/>
  <c r="O2353" i="8"/>
  <c r="O2354" i="8"/>
  <c r="O2355" i="8"/>
  <c r="O2356" i="8"/>
  <c r="O2357" i="8"/>
  <c r="O2358" i="8"/>
  <c r="O2359" i="8"/>
  <c r="O2360" i="8"/>
  <c r="O2361" i="8"/>
  <c r="O2362" i="8"/>
  <c r="O2363" i="8"/>
  <c r="O2364" i="8"/>
  <c r="O2365" i="8"/>
  <c r="O2366" i="8"/>
  <c r="O2367" i="8"/>
  <c r="O2368" i="8"/>
  <c r="O2369" i="8"/>
  <c r="O2370" i="8"/>
  <c r="O2371" i="8"/>
  <c r="O2372" i="8"/>
  <c r="O2373" i="8"/>
  <c r="O2374" i="8"/>
  <c r="O2375" i="8"/>
  <c r="O2376" i="8"/>
  <c r="O2377" i="8"/>
  <c r="O2378" i="8"/>
  <c r="O2379" i="8"/>
  <c r="O2380" i="8"/>
  <c r="O2381" i="8"/>
  <c r="O2382" i="8"/>
  <c r="O2383" i="8"/>
  <c r="O2384" i="8"/>
  <c r="O2385" i="8"/>
  <c r="O2386" i="8"/>
  <c r="O2387" i="8"/>
  <c r="O2388" i="8"/>
  <c r="O2389" i="8"/>
  <c r="O2390" i="8"/>
  <c r="O2391" i="8"/>
  <c r="O2392" i="8"/>
  <c r="O2393" i="8"/>
  <c r="O2394" i="8"/>
  <c r="O2395" i="8"/>
  <c r="O2396" i="8"/>
  <c r="O2397" i="8"/>
  <c r="O2398" i="8"/>
  <c r="O2399" i="8"/>
  <c r="O2400" i="8"/>
  <c r="O2401" i="8"/>
  <c r="O2402" i="8"/>
  <c r="O2403" i="8"/>
  <c r="O2404" i="8"/>
  <c r="O2405" i="8"/>
  <c r="O2406" i="8"/>
  <c r="O2407" i="8"/>
  <c r="O2408" i="8"/>
  <c r="O2409" i="8"/>
  <c r="O2410" i="8"/>
  <c r="O2411" i="8"/>
  <c r="O2412" i="8"/>
  <c r="O2413" i="8"/>
  <c r="O2414" i="8"/>
  <c r="O2415" i="8"/>
  <c r="O2416" i="8"/>
  <c r="O2417" i="8"/>
  <c r="O2418" i="8"/>
  <c r="O2419" i="8"/>
  <c r="O2420" i="8"/>
  <c r="O2421" i="8"/>
  <c r="O2422" i="8"/>
  <c r="O2423" i="8"/>
  <c r="O2424" i="8"/>
  <c r="O2425" i="8"/>
  <c r="O2426" i="8"/>
  <c r="O2427" i="8"/>
  <c r="O2428" i="8"/>
  <c r="O2429" i="8"/>
  <c r="O2430" i="8"/>
  <c r="O2431" i="8"/>
  <c r="O2432" i="8"/>
  <c r="O2433" i="8"/>
  <c r="O2434" i="8"/>
  <c r="O2435" i="8"/>
  <c r="O2436" i="8"/>
  <c r="O2437" i="8"/>
  <c r="O2438" i="8"/>
  <c r="O2439" i="8"/>
  <c r="O2440" i="8"/>
  <c r="O2441" i="8"/>
  <c r="O2442" i="8"/>
  <c r="O2443" i="8"/>
  <c r="O2444" i="8"/>
  <c r="O2445" i="8"/>
  <c r="O2446" i="8"/>
  <c r="O2447" i="8"/>
  <c r="O2448" i="8"/>
  <c r="O2449" i="8"/>
  <c r="O2450" i="8"/>
  <c r="O2451" i="8"/>
  <c r="O2452" i="8"/>
  <c r="O2453" i="8"/>
  <c r="O2454" i="8"/>
  <c r="O2455" i="8"/>
  <c r="O2456" i="8"/>
  <c r="O2457" i="8"/>
  <c r="O2458" i="8"/>
  <c r="O2459" i="8"/>
  <c r="O2460" i="8"/>
  <c r="O2461" i="8"/>
  <c r="O2462" i="8"/>
  <c r="O2463" i="8"/>
  <c r="O2464" i="8"/>
  <c r="O2465" i="8"/>
  <c r="O2466" i="8"/>
  <c r="O2467" i="8"/>
  <c r="O2468" i="8"/>
  <c r="O2469" i="8"/>
  <c r="O2470" i="8"/>
  <c r="O2471" i="8"/>
  <c r="O2472" i="8"/>
  <c r="O2473" i="8"/>
  <c r="O2474" i="8"/>
  <c r="O2475" i="8"/>
  <c r="O2476" i="8"/>
  <c r="O2477" i="8"/>
  <c r="O2478" i="8"/>
  <c r="O2479" i="8"/>
  <c r="O2480" i="8"/>
  <c r="O2481" i="8"/>
  <c r="O2482" i="8"/>
  <c r="O2483" i="8"/>
  <c r="O2484" i="8"/>
  <c r="O2485" i="8"/>
  <c r="O2486" i="8"/>
  <c r="O2487" i="8"/>
  <c r="O2488" i="8"/>
  <c r="O2489" i="8"/>
  <c r="O2490" i="8"/>
  <c r="O2491" i="8"/>
  <c r="O2492" i="8"/>
  <c r="O2493" i="8"/>
  <c r="O2494" i="8"/>
  <c r="O2495" i="8"/>
  <c r="O2496" i="8"/>
  <c r="O2497" i="8"/>
  <c r="O2498" i="8"/>
  <c r="O2499" i="8"/>
  <c r="O2500" i="8"/>
  <c r="O2501" i="8"/>
  <c r="O2502" i="8"/>
  <c r="O2503" i="8"/>
  <c r="O2504" i="8"/>
  <c r="O2505" i="8"/>
  <c r="O2506" i="8"/>
  <c r="O2507" i="8"/>
  <c r="O2508" i="8"/>
  <c r="O2509" i="8"/>
  <c r="O2510" i="8"/>
  <c r="O2511" i="8"/>
  <c r="O2512" i="8"/>
  <c r="O2513" i="8"/>
  <c r="O2514" i="8"/>
  <c r="O2515" i="8"/>
  <c r="O2516" i="8"/>
  <c r="O2517" i="8"/>
  <c r="O2518" i="8"/>
  <c r="O2519" i="8"/>
  <c r="O2520" i="8"/>
  <c r="O2521" i="8"/>
  <c r="O2522" i="8"/>
  <c r="O2523" i="8"/>
  <c r="O2524" i="8"/>
  <c r="O2525" i="8"/>
  <c r="O2526" i="8"/>
  <c r="O2527" i="8"/>
  <c r="O2528" i="8"/>
  <c r="O2529" i="8"/>
  <c r="O2530" i="8"/>
  <c r="O2531" i="8"/>
  <c r="O2532" i="8"/>
  <c r="O2533" i="8"/>
  <c r="O2534" i="8"/>
  <c r="O2535" i="8"/>
  <c r="O2536" i="8"/>
  <c r="O2537" i="8"/>
  <c r="O2538" i="8"/>
  <c r="O2539" i="8"/>
  <c r="O2540" i="8"/>
  <c r="O2541" i="8"/>
  <c r="O2542" i="8"/>
  <c r="O2543" i="8"/>
  <c r="O2544" i="8"/>
  <c r="O2545" i="8"/>
  <c r="O2546" i="8"/>
  <c r="O2547" i="8"/>
  <c r="O2548" i="8"/>
  <c r="O2549" i="8"/>
  <c r="O2550" i="8"/>
  <c r="O2551" i="8"/>
  <c r="O2552" i="8"/>
  <c r="O2553" i="8"/>
  <c r="O2554" i="8"/>
  <c r="O2555" i="8"/>
  <c r="O2556" i="8"/>
  <c r="O2557" i="8"/>
  <c r="O2558" i="8"/>
  <c r="O2559" i="8"/>
  <c r="O2560" i="8"/>
  <c r="O2561" i="8"/>
  <c r="O2562" i="8"/>
  <c r="O2563" i="8"/>
  <c r="O2564" i="8"/>
  <c r="O2565" i="8"/>
  <c r="O2566" i="8"/>
  <c r="O2567" i="8"/>
  <c r="O2568" i="8"/>
  <c r="O2569" i="8"/>
  <c r="O2570" i="8"/>
  <c r="O2571" i="8"/>
  <c r="O2572" i="8"/>
  <c r="O2573" i="8"/>
  <c r="O2574" i="8"/>
  <c r="O2575" i="8"/>
  <c r="O2576" i="8"/>
  <c r="O2577" i="8"/>
  <c r="O2578" i="8"/>
  <c r="O2579" i="8"/>
  <c r="O2580" i="8"/>
  <c r="O2581" i="8"/>
  <c r="O2582" i="8"/>
  <c r="O2583" i="8"/>
  <c r="O2584" i="8"/>
  <c r="O2585" i="8"/>
  <c r="O2586" i="8"/>
  <c r="O2587" i="8"/>
  <c r="O2588" i="8"/>
  <c r="O2589" i="8"/>
  <c r="O2590" i="8"/>
  <c r="O2591" i="8"/>
  <c r="O2592" i="8"/>
  <c r="O2593" i="8"/>
  <c r="O2594" i="8"/>
  <c r="O2595" i="8"/>
  <c r="O2596" i="8"/>
  <c r="O2597" i="8"/>
  <c r="O2598" i="8"/>
  <c r="O2599" i="8"/>
  <c r="O2600" i="8"/>
  <c r="O2601" i="8"/>
  <c r="O2602" i="8"/>
  <c r="O2603" i="8"/>
  <c r="O2604" i="8"/>
  <c r="O2605" i="8"/>
  <c r="O2606" i="8"/>
  <c r="O2607" i="8"/>
  <c r="O2608" i="8"/>
  <c r="O2609" i="8"/>
  <c r="O2610" i="8"/>
  <c r="O2611" i="8"/>
  <c r="O2612" i="8"/>
  <c r="O2613" i="8"/>
  <c r="O2614" i="8"/>
  <c r="O2615" i="8"/>
  <c r="O2616" i="8"/>
  <c r="O2617" i="8"/>
  <c r="O2618" i="8"/>
  <c r="O2619" i="8"/>
  <c r="O2620" i="8"/>
  <c r="O2621" i="8"/>
  <c r="O2622" i="8"/>
  <c r="O2623" i="8"/>
  <c r="O2624" i="8"/>
  <c r="O2625" i="8"/>
  <c r="O2626" i="8"/>
  <c r="O2627" i="8"/>
  <c r="O2628" i="8"/>
  <c r="O2629" i="8"/>
  <c r="O2630" i="8"/>
  <c r="O2631" i="8"/>
  <c r="O2632" i="8"/>
  <c r="O2633" i="8"/>
  <c r="O2634" i="8"/>
  <c r="O2635" i="8"/>
  <c r="O2636" i="8"/>
  <c r="O2637" i="8"/>
  <c r="O2638" i="8"/>
  <c r="O2639" i="8"/>
  <c r="O2640" i="8"/>
  <c r="O2641" i="8"/>
  <c r="O2642" i="8"/>
  <c r="O2643" i="8"/>
  <c r="O2644" i="8"/>
  <c r="O2645" i="8"/>
  <c r="O2646" i="8"/>
  <c r="O2647" i="8"/>
  <c r="O2648" i="8"/>
  <c r="O2649" i="8"/>
  <c r="O2650" i="8"/>
  <c r="O2651" i="8"/>
  <c r="O2652" i="8"/>
  <c r="O2653" i="8"/>
  <c r="O2654" i="8"/>
  <c r="O2655" i="8"/>
  <c r="O2656" i="8"/>
  <c r="O2657" i="8"/>
  <c r="O2658" i="8"/>
  <c r="O2659" i="8"/>
  <c r="O2660" i="8"/>
  <c r="O2661" i="8"/>
  <c r="O2662" i="8"/>
  <c r="O2663" i="8"/>
  <c r="O2664" i="8"/>
  <c r="O2665" i="8"/>
  <c r="O2666" i="8"/>
  <c r="O2667" i="8"/>
  <c r="O2668" i="8"/>
  <c r="O2669" i="8"/>
  <c r="O2670" i="8"/>
  <c r="O2671" i="8"/>
  <c r="O2672" i="8"/>
  <c r="O2673" i="8"/>
  <c r="O2674" i="8"/>
  <c r="O2675" i="8"/>
  <c r="O2676" i="8"/>
  <c r="O2677" i="8"/>
  <c r="O2678" i="8"/>
  <c r="O2679" i="8"/>
  <c r="O2680" i="8"/>
  <c r="O2681" i="8"/>
  <c r="O2682" i="8"/>
  <c r="O2683" i="8"/>
  <c r="O2684" i="8"/>
  <c r="O2685" i="8"/>
  <c r="O2686" i="8"/>
  <c r="O2687" i="8"/>
  <c r="O2688" i="8"/>
  <c r="O2689" i="8"/>
  <c r="O2690" i="8"/>
  <c r="O2691" i="8"/>
  <c r="O2692" i="8"/>
  <c r="O2693" i="8"/>
  <c r="O2694" i="8"/>
  <c r="O2695" i="8"/>
  <c r="O2696" i="8"/>
  <c r="O2697" i="8"/>
  <c r="O2698" i="8"/>
  <c r="O2699" i="8"/>
  <c r="O2700" i="8"/>
  <c r="O2701" i="8"/>
  <c r="O2702" i="8"/>
  <c r="O2703" i="8"/>
  <c r="O2704" i="8"/>
  <c r="O2705" i="8"/>
  <c r="O2706" i="8"/>
  <c r="O2707" i="8"/>
  <c r="O2708" i="8"/>
  <c r="O2709" i="8"/>
  <c r="O2710" i="8"/>
  <c r="O2711" i="8"/>
  <c r="O2712" i="8"/>
  <c r="O2713" i="8"/>
  <c r="O2714" i="8"/>
  <c r="O2715" i="8"/>
  <c r="O2716" i="8"/>
  <c r="O2717" i="8"/>
  <c r="O2718" i="8"/>
  <c r="O2719" i="8"/>
  <c r="O2720" i="8"/>
  <c r="O2721" i="8"/>
  <c r="O2722" i="8"/>
  <c r="O2723" i="8"/>
  <c r="O2724" i="8"/>
  <c r="O2725" i="8"/>
  <c r="O2726" i="8"/>
  <c r="O2727" i="8"/>
  <c r="O2728" i="8"/>
  <c r="O2729" i="8"/>
  <c r="O2730" i="8"/>
  <c r="O2731" i="8"/>
  <c r="O2732" i="8"/>
  <c r="O2733" i="8"/>
  <c r="O2734" i="8"/>
  <c r="O2735" i="8"/>
  <c r="O2736" i="8"/>
  <c r="O2737" i="8"/>
  <c r="O2738" i="8"/>
  <c r="O2739" i="8"/>
  <c r="O2740" i="8"/>
  <c r="O2741" i="8"/>
  <c r="O2742" i="8"/>
  <c r="O2743" i="8"/>
  <c r="O2744" i="8"/>
  <c r="O2745" i="8"/>
  <c r="O2746" i="8"/>
  <c r="O2747" i="8"/>
  <c r="O2748" i="8"/>
  <c r="O2749" i="8"/>
  <c r="O2750" i="8"/>
  <c r="O2751" i="8"/>
  <c r="O2752" i="8"/>
  <c r="O2753" i="8"/>
  <c r="O2754" i="8"/>
  <c r="O2755" i="8"/>
  <c r="O2756" i="8"/>
  <c r="O2757" i="8"/>
  <c r="O2758" i="8"/>
  <c r="O2759" i="8"/>
  <c r="O2760" i="8"/>
  <c r="O2761" i="8"/>
  <c r="O2762" i="8"/>
  <c r="O2763" i="8"/>
  <c r="O2764" i="8"/>
  <c r="O2765" i="8"/>
  <c r="O2766" i="8"/>
  <c r="O2767" i="8"/>
  <c r="O2768" i="8"/>
  <c r="O2769" i="8"/>
  <c r="O2770" i="8"/>
  <c r="O2771" i="8"/>
  <c r="O2772" i="8"/>
  <c r="O2773" i="8"/>
  <c r="O2774" i="8"/>
  <c r="O2775" i="8"/>
  <c r="O2776" i="8"/>
  <c r="O2777" i="8"/>
  <c r="O2778" i="8"/>
  <c r="O2779" i="8"/>
  <c r="O2780" i="8"/>
  <c r="O2781" i="8"/>
  <c r="O2782" i="8"/>
  <c r="O2783" i="8"/>
  <c r="O2784" i="8"/>
  <c r="O2785" i="8"/>
  <c r="O2786" i="8"/>
  <c r="O2787" i="8"/>
  <c r="O2788" i="8"/>
  <c r="O2789" i="8"/>
  <c r="O2790" i="8"/>
  <c r="O2791" i="8"/>
  <c r="O2792" i="8"/>
  <c r="O2793" i="8"/>
  <c r="O2794" i="8"/>
  <c r="O2795" i="8"/>
  <c r="O2796" i="8"/>
  <c r="O2797" i="8"/>
  <c r="O2798" i="8"/>
  <c r="O2799" i="8"/>
  <c r="O2800" i="8"/>
  <c r="O2801" i="8"/>
  <c r="O2802" i="8"/>
  <c r="O2803" i="8"/>
  <c r="O2804" i="8"/>
  <c r="O2805" i="8"/>
  <c r="O2806" i="8"/>
  <c r="O2807" i="8"/>
  <c r="O2808" i="8"/>
  <c r="O2809" i="8"/>
  <c r="O2810" i="8"/>
  <c r="O2811" i="8"/>
  <c r="O2812" i="8"/>
  <c r="O2813" i="8"/>
  <c r="O2814" i="8"/>
  <c r="O2815" i="8"/>
  <c r="O2816" i="8"/>
  <c r="O2817" i="8"/>
  <c r="O2818" i="8"/>
  <c r="O2819" i="8"/>
  <c r="O2820" i="8"/>
  <c r="O2821" i="8"/>
  <c r="O2822" i="8"/>
  <c r="O2823" i="8"/>
  <c r="O2824" i="8"/>
  <c r="O2825" i="8"/>
  <c r="O2826" i="8"/>
  <c r="O2827" i="8"/>
  <c r="O2828" i="8"/>
  <c r="O2829" i="8"/>
  <c r="O2830" i="8"/>
  <c r="O2831" i="8"/>
  <c r="O2832" i="8"/>
  <c r="O2833" i="8"/>
  <c r="O2834" i="8"/>
  <c r="O2835" i="8"/>
  <c r="O2836" i="8"/>
  <c r="O2837" i="8"/>
  <c r="O2838" i="8"/>
  <c r="O2839" i="8"/>
  <c r="O2840" i="8"/>
  <c r="O2841" i="8"/>
  <c r="O2842" i="8"/>
  <c r="O2843" i="8"/>
  <c r="O2844" i="8"/>
  <c r="O2845" i="8"/>
  <c r="O2846" i="8"/>
  <c r="O2847" i="8"/>
  <c r="O2848" i="8"/>
  <c r="O2849" i="8"/>
  <c r="O2850" i="8"/>
  <c r="O2851" i="8"/>
  <c r="O2852" i="8"/>
  <c r="O2853" i="8"/>
  <c r="O2854" i="8"/>
  <c r="O2855" i="8"/>
  <c r="O2856" i="8"/>
  <c r="O2857" i="8"/>
  <c r="O2858" i="8"/>
  <c r="O2859" i="8"/>
  <c r="O2860" i="8"/>
  <c r="O2861" i="8"/>
  <c r="O2862" i="8"/>
  <c r="O2863" i="8"/>
  <c r="O2864" i="8"/>
  <c r="O2865" i="8"/>
  <c r="O2866" i="8"/>
  <c r="O2867" i="8"/>
  <c r="O2868" i="8"/>
  <c r="O2869" i="8"/>
  <c r="O2870" i="8"/>
  <c r="O2871" i="8"/>
  <c r="O2872" i="8"/>
  <c r="O2873" i="8"/>
  <c r="O2874" i="8"/>
  <c r="O2875" i="8"/>
  <c r="O2876" i="8"/>
  <c r="O2877" i="8"/>
  <c r="O2878" i="8"/>
  <c r="O2879" i="8"/>
  <c r="O2880" i="8"/>
  <c r="O2881" i="8"/>
  <c r="O2882" i="8"/>
  <c r="O2883" i="8"/>
  <c r="O2884" i="8"/>
  <c r="O2885" i="8"/>
  <c r="O2886" i="8"/>
  <c r="O2887" i="8"/>
  <c r="O2888" i="8"/>
  <c r="O2889" i="8"/>
  <c r="O2890" i="8"/>
  <c r="O2891" i="8"/>
  <c r="O2892" i="8"/>
  <c r="O2893" i="8"/>
  <c r="O2894" i="8"/>
  <c r="O2895" i="8"/>
  <c r="O2896" i="8"/>
  <c r="O2897" i="8"/>
  <c r="O2898" i="8"/>
  <c r="O2899" i="8"/>
  <c r="O2900" i="8"/>
  <c r="O2901" i="8"/>
  <c r="O2902" i="8"/>
  <c r="O2903" i="8"/>
  <c r="O2904" i="8"/>
  <c r="O2905" i="8"/>
  <c r="O2906" i="8"/>
  <c r="O2907" i="8"/>
  <c r="O2908" i="8"/>
  <c r="O2909" i="8"/>
  <c r="O2910" i="8"/>
  <c r="O2911" i="8"/>
  <c r="O2912" i="8"/>
  <c r="O2913" i="8"/>
  <c r="O2914" i="8"/>
  <c r="O2915" i="8"/>
  <c r="O2916" i="8"/>
  <c r="O2917" i="8"/>
  <c r="O2918" i="8"/>
  <c r="O2919" i="8"/>
  <c r="O2920" i="8"/>
  <c r="O2921" i="8"/>
  <c r="O2922" i="8"/>
  <c r="O2923" i="8"/>
  <c r="O2924" i="8"/>
  <c r="O2925" i="8"/>
  <c r="O2926" i="8"/>
  <c r="O2927" i="8"/>
  <c r="O2928" i="8"/>
  <c r="O2929" i="8"/>
  <c r="O2930" i="8"/>
  <c r="O2931" i="8"/>
  <c r="O2932" i="8"/>
  <c r="O2933" i="8"/>
  <c r="O2934" i="8"/>
  <c r="O2935" i="8"/>
  <c r="O2936" i="8"/>
  <c r="O2937" i="8"/>
  <c r="O2938" i="8"/>
  <c r="O2939" i="8"/>
  <c r="O2940" i="8"/>
  <c r="O2941" i="8"/>
  <c r="O2942" i="8"/>
  <c r="O2943" i="8"/>
  <c r="O2944" i="8"/>
  <c r="O2945" i="8"/>
  <c r="O2946" i="8"/>
  <c r="O2947" i="8"/>
  <c r="O2948" i="8"/>
  <c r="O2949" i="8"/>
  <c r="O2950" i="8"/>
  <c r="O2951" i="8"/>
  <c r="O2952" i="8"/>
  <c r="O2953" i="8"/>
  <c r="O2954" i="8"/>
  <c r="O2955" i="8"/>
  <c r="O2956" i="8"/>
  <c r="O2957" i="8"/>
  <c r="O2958" i="8"/>
  <c r="O2959" i="8"/>
  <c r="O2960" i="8"/>
  <c r="O2961" i="8"/>
  <c r="O2962" i="8"/>
  <c r="O2963" i="8"/>
  <c r="O2964" i="8"/>
  <c r="O2965" i="8"/>
  <c r="O2966" i="8"/>
  <c r="O2967" i="8"/>
  <c r="O2968" i="8"/>
  <c r="O2969" i="8"/>
  <c r="O2970" i="8"/>
  <c r="O2971" i="8"/>
  <c r="O2972" i="8"/>
  <c r="O2973" i="8"/>
  <c r="O2974" i="8"/>
  <c r="O2975" i="8"/>
  <c r="O2976" i="8"/>
  <c r="O2977" i="8"/>
  <c r="O2978" i="8"/>
  <c r="O2979" i="8"/>
  <c r="O2980" i="8"/>
  <c r="O2981" i="8"/>
  <c r="O2982" i="8"/>
  <c r="O2983" i="8"/>
  <c r="O2984" i="8"/>
  <c r="O2985" i="8"/>
  <c r="O2986" i="8"/>
  <c r="O2987" i="8"/>
  <c r="O2988" i="8"/>
  <c r="O2989" i="8"/>
  <c r="O2990" i="8"/>
  <c r="O2991" i="8"/>
  <c r="O2992" i="8"/>
  <c r="O2993" i="8"/>
  <c r="O2994" i="8"/>
  <c r="O2995" i="8"/>
  <c r="O2996" i="8"/>
  <c r="O2997" i="8"/>
  <c r="O2998" i="8"/>
  <c r="O2999" i="8"/>
  <c r="O3000" i="8"/>
  <c r="O3001" i="8"/>
  <c r="O3002" i="8"/>
  <c r="O3003" i="8"/>
  <c r="O3004" i="8"/>
  <c r="O3005" i="8"/>
  <c r="O3006" i="8"/>
  <c r="O3007" i="8"/>
  <c r="O3008" i="8"/>
  <c r="O3009" i="8"/>
  <c r="O3010" i="8"/>
  <c r="O3011" i="8"/>
  <c r="O3012" i="8"/>
  <c r="O3013" i="8"/>
  <c r="O3014" i="8"/>
  <c r="O3015" i="8"/>
  <c r="O3016" i="8"/>
  <c r="O3017" i="8"/>
  <c r="O3018" i="8"/>
  <c r="O3019" i="8"/>
  <c r="O3020" i="8"/>
  <c r="O3021" i="8"/>
  <c r="O3022" i="8"/>
  <c r="O3023" i="8"/>
  <c r="O3024" i="8"/>
  <c r="O3025" i="8"/>
  <c r="O3026" i="8"/>
  <c r="O3027" i="8"/>
  <c r="O3028" i="8"/>
  <c r="O3029" i="8"/>
  <c r="O3030" i="8"/>
  <c r="O3031" i="8"/>
  <c r="O3032" i="8"/>
  <c r="O3033" i="8"/>
  <c r="O3034" i="8"/>
  <c r="O3035" i="8"/>
  <c r="O3036" i="8"/>
  <c r="O3037" i="8"/>
  <c r="O3038" i="8"/>
  <c r="O3039" i="8"/>
  <c r="O3040" i="8"/>
  <c r="O3041" i="8"/>
  <c r="O3042" i="8"/>
  <c r="O3043" i="8"/>
  <c r="O3044" i="8"/>
  <c r="O3045" i="8"/>
  <c r="O3046" i="8"/>
  <c r="O3047" i="8"/>
  <c r="O3048" i="8"/>
  <c r="O3049" i="8"/>
  <c r="O3050" i="8"/>
  <c r="O3051" i="8"/>
  <c r="O3052" i="8"/>
  <c r="O3053" i="8"/>
  <c r="O3054" i="8"/>
  <c r="O3055" i="8"/>
  <c r="O3056" i="8"/>
  <c r="O3057" i="8"/>
  <c r="O3058" i="8"/>
  <c r="O3059" i="8"/>
  <c r="O3060" i="8"/>
  <c r="O3061" i="8"/>
  <c r="O3062" i="8"/>
  <c r="O3063" i="8"/>
  <c r="O3064" i="8"/>
  <c r="O3065" i="8"/>
  <c r="O3066" i="8"/>
  <c r="O3067" i="8"/>
  <c r="O3068" i="8"/>
  <c r="O3069" i="8"/>
  <c r="O3070" i="8"/>
  <c r="O3071" i="8"/>
  <c r="O3072" i="8"/>
  <c r="O3073" i="8"/>
  <c r="O3074" i="8"/>
  <c r="O3075" i="8"/>
  <c r="O3076" i="8"/>
  <c r="O3077" i="8"/>
  <c r="O3078" i="8"/>
  <c r="O3079" i="8"/>
  <c r="O3080" i="8"/>
  <c r="O3081" i="8"/>
  <c r="O3082" i="8"/>
  <c r="O3083" i="8"/>
  <c r="O3084" i="8"/>
  <c r="O3085" i="8"/>
  <c r="O3086" i="8"/>
  <c r="O3087" i="8"/>
  <c r="O3088" i="8"/>
  <c r="O3089" i="8"/>
  <c r="O3090" i="8"/>
  <c r="O3091" i="8"/>
  <c r="O3092" i="8"/>
  <c r="O3093" i="8"/>
  <c r="O3094" i="8"/>
  <c r="O3095" i="8"/>
  <c r="O3096" i="8"/>
  <c r="O3097" i="8"/>
  <c r="O3098" i="8"/>
  <c r="O3099" i="8"/>
  <c r="O3100" i="8"/>
  <c r="O3101" i="8"/>
  <c r="O3102" i="8"/>
  <c r="O3103" i="8"/>
  <c r="O3104" i="8"/>
  <c r="O3105" i="8"/>
  <c r="O3106" i="8"/>
  <c r="O3107" i="8"/>
  <c r="O3108" i="8"/>
  <c r="O3109" i="8"/>
  <c r="O3110" i="8"/>
  <c r="O3111" i="8"/>
  <c r="O3112" i="8"/>
  <c r="O3113" i="8"/>
  <c r="O3114" i="8"/>
  <c r="O3115" i="8"/>
  <c r="O3116" i="8"/>
  <c r="O3117" i="8"/>
  <c r="O3118" i="8"/>
  <c r="O3119" i="8"/>
  <c r="O3120" i="8"/>
  <c r="O3121" i="8"/>
  <c r="O3122" i="8"/>
  <c r="O3123" i="8"/>
  <c r="O3124" i="8"/>
  <c r="O3125" i="8"/>
  <c r="O3126" i="8"/>
  <c r="O3127" i="8"/>
  <c r="O3128" i="8"/>
  <c r="O3129" i="8"/>
  <c r="O3130" i="8"/>
  <c r="O3131" i="8"/>
  <c r="O3132" i="8"/>
  <c r="O3133" i="8"/>
  <c r="O3134" i="8"/>
  <c r="O3135" i="8"/>
  <c r="O3136" i="8"/>
  <c r="O3137" i="8"/>
  <c r="O3138" i="8"/>
  <c r="O3139" i="8"/>
  <c r="O3140" i="8"/>
  <c r="O3141" i="8"/>
  <c r="O3142" i="8"/>
  <c r="O3143" i="8"/>
  <c r="O3144" i="8"/>
  <c r="O3145" i="8"/>
  <c r="O3146" i="8"/>
  <c r="O3147" i="8"/>
  <c r="O3148" i="8"/>
  <c r="O3149" i="8"/>
  <c r="O3150" i="8"/>
  <c r="O3151" i="8"/>
  <c r="O3152" i="8"/>
  <c r="O3153" i="8"/>
  <c r="O3154" i="8"/>
  <c r="O3155" i="8"/>
  <c r="O3156" i="8"/>
  <c r="O3157" i="8"/>
  <c r="O3158" i="8"/>
  <c r="O3159" i="8"/>
  <c r="O3160" i="8"/>
  <c r="O3161" i="8"/>
  <c r="O3162" i="8"/>
  <c r="O3163" i="8"/>
  <c r="O3164" i="8"/>
  <c r="O3165" i="8"/>
  <c r="O3166" i="8"/>
  <c r="O3167" i="8"/>
  <c r="O3168" i="8"/>
  <c r="O3169" i="8"/>
  <c r="O3170" i="8"/>
  <c r="O3171" i="8"/>
  <c r="O3172" i="8"/>
  <c r="O3173" i="8"/>
  <c r="O3174" i="8"/>
  <c r="O3175" i="8"/>
  <c r="O3176" i="8"/>
  <c r="O3177" i="8"/>
  <c r="O3178" i="8"/>
  <c r="O3179" i="8"/>
  <c r="O3180" i="8"/>
  <c r="O3181" i="8"/>
  <c r="O3182" i="8"/>
  <c r="O3183" i="8"/>
  <c r="O3184" i="8"/>
  <c r="O3185" i="8"/>
  <c r="O3186" i="8"/>
  <c r="O3187" i="8"/>
  <c r="O3188" i="8"/>
  <c r="O3189" i="8"/>
  <c r="O3190" i="8"/>
  <c r="O3191" i="8"/>
  <c r="O3192" i="8"/>
  <c r="O3193" i="8"/>
  <c r="O3194" i="8"/>
  <c r="O3195" i="8"/>
  <c r="O3196" i="8"/>
  <c r="O3197" i="8"/>
  <c r="O3198" i="8"/>
  <c r="O3199" i="8"/>
  <c r="O3200" i="8"/>
  <c r="O3201" i="8"/>
  <c r="O3202" i="8"/>
  <c r="O3203" i="8"/>
  <c r="O3204" i="8"/>
  <c r="O3205" i="8"/>
  <c r="O3206" i="8"/>
  <c r="O3207" i="8"/>
  <c r="O3208" i="8"/>
  <c r="O3209" i="8"/>
  <c r="O3210" i="8"/>
  <c r="O3211" i="8"/>
  <c r="O3212" i="8"/>
  <c r="O3213" i="8"/>
  <c r="O3214" i="8"/>
  <c r="O3215" i="8"/>
  <c r="O3216" i="8"/>
  <c r="O3217" i="8"/>
  <c r="O3218" i="8"/>
  <c r="O3219" i="8"/>
  <c r="O3220" i="8"/>
  <c r="O3221" i="8"/>
  <c r="O3222" i="8"/>
  <c r="O3223" i="8"/>
  <c r="O3224" i="8"/>
  <c r="O3225" i="8"/>
  <c r="O3226" i="8"/>
  <c r="O3227" i="8"/>
  <c r="O3228" i="8"/>
  <c r="O3229" i="8"/>
  <c r="O3230" i="8"/>
  <c r="O3231" i="8"/>
  <c r="O3232" i="8"/>
  <c r="O3233" i="8"/>
  <c r="O3234" i="8"/>
  <c r="O3235" i="8"/>
  <c r="O3236" i="8"/>
  <c r="O3237" i="8"/>
  <c r="O3238" i="8"/>
  <c r="O3239" i="8"/>
  <c r="O3240" i="8"/>
  <c r="O3241" i="8"/>
  <c r="O3242" i="8"/>
  <c r="O3243" i="8"/>
  <c r="O3244" i="8"/>
  <c r="O3245" i="8"/>
  <c r="O3246" i="8"/>
  <c r="O3247" i="8"/>
  <c r="O3248" i="8"/>
  <c r="O3249" i="8"/>
  <c r="O3250" i="8"/>
  <c r="O3251" i="8"/>
  <c r="O3252" i="8"/>
  <c r="O3253" i="8"/>
  <c r="O3254" i="8"/>
  <c r="O3255" i="8"/>
  <c r="O3256" i="8"/>
  <c r="O3257" i="8"/>
  <c r="O3258" i="8"/>
  <c r="O3259" i="8"/>
  <c r="O3260" i="8"/>
  <c r="O3261" i="8"/>
  <c r="O3262" i="8"/>
  <c r="O3263" i="8"/>
  <c r="O3264" i="8"/>
  <c r="O3265" i="8"/>
  <c r="O3266" i="8"/>
  <c r="O3267" i="8"/>
  <c r="O3268" i="8"/>
  <c r="O3269" i="8"/>
  <c r="O3270" i="8"/>
  <c r="O3271" i="8"/>
  <c r="O3272" i="8"/>
  <c r="O3273" i="8"/>
  <c r="O3274" i="8"/>
  <c r="O3275" i="8"/>
  <c r="O3276" i="8"/>
  <c r="O3277" i="8"/>
  <c r="O3278" i="8"/>
  <c r="O3279" i="8"/>
  <c r="O3280" i="8"/>
  <c r="O3281" i="8"/>
  <c r="O3282" i="8"/>
  <c r="O3283" i="8"/>
  <c r="M530" i="64" l="1"/>
  <c r="M529" i="64"/>
  <c r="M528" i="64"/>
  <c r="M527" i="64"/>
  <c r="M526" i="64"/>
  <c r="M525" i="64"/>
  <c r="M524" i="64"/>
  <c r="M523" i="64"/>
  <c r="M522" i="64"/>
  <c r="M521" i="64"/>
  <c r="M520" i="64"/>
  <c r="M519" i="64"/>
  <c r="M518" i="64"/>
  <c r="M517" i="64"/>
  <c r="M516" i="64"/>
  <c r="M515" i="64"/>
  <c r="M514" i="64"/>
  <c r="M513" i="64"/>
  <c r="M512" i="64"/>
  <c r="M511" i="64"/>
  <c r="M499" i="64"/>
  <c r="M498" i="64"/>
  <c r="M497" i="64"/>
  <c r="M496" i="64"/>
  <c r="M494" i="64"/>
  <c r="M493" i="64"/>
  <c r="M492" i="64"/>
  <c r="M491" i="64"/>
  <c r="M489" i="64"/>
  <c r="M488" i="64"/>
  <c r="M487" i="64"/>
  <c r="M486" i="64"/>
  <c r="D486" i="64" s="1"/>
  <c r="M484" i="64"/>
  <c r="M483" i="64"/>
  <c r="M482" i="64"/>
  <c r="M481" i="64"/>
  <c r="M479" i="64"/>
  <c r="M468" i="64"/>
  <c r="M467" i="64"/>
  <c r="M466" i="64"/>
  <c r="M465" i="64"/>
  <c r="M463" i="64"/>
  <c r="M462" i="64"/>
  <c r="M461" i="64"/>
  <c r="M460" i="64"/>
  <c r="M458" i="64"/>
  <c r="M457" i="64"/>
  <c r="M456" i="64"/>
  <c r="M455" i="64"/>
  <c r="M453" i="64"/>
  <c r="M452" i="64"/>
  <c r="M451" i="64"/>
  <c r="M450" i="64"/>
  <c r="M448" i="64"/>
  <c r="M437" i="64"/>
  <c r="M436" i="64"/>
  <c r="M435" i="64"/>
  <c r="M434" i="64"/>
  <c r="M432" i="64"/>
  <c r="M431" i="64"/>
  <c r="M430" i="64"/>
  <c r="M429" i="64"/>
  <c r="M427" i="64"/>
  <c r="M426" i="64"/>
  <c r="M425" i="64"/>
  <c r="M424" i="64"/>
  <c r="M422" i="64"/>
  <c r="M421" i="64"/>
  <c r="M420" i="64"/>
  <c r="M419" i="64"/>
  <c r="M417" i="64"/>
  <c r="M405" i="64"/>
  <c r="M404" i="64"/>
  <c r="M403" i="64"/>
  <c r="M402" i="64"/>
  <c r="M400" i="64"/>
  <c r="M399" i="64"/>
  <c r="M398" i="64"/>
  <c r="M397" i="64"/>
  <c r="M395" i="64"/>
  <c r="M394" i="64"/>
  <c r="M393" i="64"/>
  <c r="M392" i="64"/>
  <c r="M390" i="64"/>
  <c r="M389" i="64"/>
  <c r="M388" i="64"/>
  <c r="M387" i="64"/>
  <c r="M385" i="64"/>
  <c r="M372" i="64"/>
  <c r="M371" i="64"/>
  <c r="M370" i="64"/>
  <c r="M369" i="64"/>
  <c r="M367" i="64"/>
  <c r="M366" i="64"/>
  <c r="M365" i="64"/>
  <c r="M364" i="64"/>
  <c r="M362" i="64"/>
  <c r="M361" i="64"/>
  <c r="M360" i="64"/>
  <c r="M359" i="64"/>
  <c r="M357" i="64"/>
  <c r="M356" i="64"/>
  <c r="M355" i="64"/>
  <c r="M354" i="64"/>
  <c r="M352" i="64"/>
  <c r="M340" i="64"/>
  <c r="M339" i="64"/>
  <c r="M338" i="64"/>
  <c r="M337" i="64"/>
  <c r="M335" i="64"/>
  <c r="M334" i="64"/>
  <c r="M333" i="64"/>
  <c r="M332" i="64"/>
  <c r="M330" i="64"/>
  <c r="M329" i="64"/>
  <c r="M328" i="64"/>
  <c r="M327" i="64"/>
  <c r="M325" i="64"/>
  <c r="M324" i="64"/>
  <c r="M323" i="64"/>
  <c r="M322" i="64"/>
  <c r="M320" i="64"/>
  <c r="M308" i="64"/>
  <c r="C308" i="64" s="1"/>
  <c r="M307" i="64"/>
  <c r="M306" i="64"/>
  <c r="M305" i="64"/>
  <c r="M303" i="64"/>
  <c r="M302" i="64"/>
  <c r="M301" i="64"/>
  <c r="M300" i="64"/>
  <c r="M298" i="64"/>
  <c r="M297" i="64"/>
  <c r="M296" i="64"/>
  <c r="M295" i="64"/>
  <c r="M293" i="64"/>
  <c r="M292" i="64"/>
  <c r="C292" i="64" s="1"/>
  <c r="M291" i="64"/>
  <c r="M290" i="64"/>
  <c r="M288" i="64"/>
  <c r="M277" i="64"/>
  <c r="M276" i="64"/>
  <c r="M275" i="64"/>
  <c r="M274" i="64"/>
  <c r="M272" i="64"/>
  <c r="M271" i="64"/>
  <c r="M270" i="64"/>
  <c r="M269" i="64"/>
  <c r="C269" i="64" s="1"/>
  <c r="M267" i="64"/>
  <c r="M266" i="64"/>
  <c r="M265" i="64"/>
  <c r="D265" i="64" s="1"/>
  <c r="M264" i="64"/>
  <c r="M262" i="64"/>
  <c r="M261" i="64"/>
  <c r="M260" i="64"/>
  <c r="M259" i="64"/>
  <c r="M257" i="64"/>
  <c r="M246" i="64"/>
  <c r="M245" i="64"/>
  <c r="M244" i="64"/>
  <c r="M243" i="64"/>
  <c r="M241" i="64"/>
  <c r="M240" i="64"/>
  <c r="M239" i="64"/>
  <c r="M238" i="64"/>
  <c r="M236" i="64"/>
  <c r="M235" i="64"/>
  <c r="M234" i="64"/>
  <c r="M233" i="64"/>
  <c r="M231" i="64"/>
  <c r="M230" i="64"/>
  <c r="M229" i="64"/>
  <c r="M228" i="64"/>
  <c r="M226" i="64"/>
  <c r="M215" i="64"/>
  <c r="M214" i="64"/>
  <c r="M213" i="64"/>
  <c r="M212" i="64"/>
  <c r="M210" i="64"/>
  <c r="M209" i="64"/>
  <c r="M208" i="64"/>
  <c r="M207" i="64"/>
  <c r="M205" i="64"/>
  <c r="M204" i="64"/>
  <c r="M203" i="64"/>
  <c r="M202" i="64"/>
  <c r="M200" i="64"/>
  <c r="M199" i="64"/>
  <c r="M198" i="64"/>
  <c r="M197" i="64"/>
  <c r="M195" i="64"/>
  <c r="M184" i="64"/>
  <c r="M183" i="64"/>
  <c r="M182" i="64"/>
  <c r="M181" i="64"/>
  <c r="M179" i="64"/>
  <c r="M178" i="64"/>
  <c r="M177" i="64"/>
  <c r="M176" i="64"/>
  <c r="M174" i="64"/>
  <c r="M173" i="64"/>
  <c r="M172" i="64"/>
  <c r="M171" i="64"/>
  <c r="M169" i="64"/>
  <c r="M168" i="64"/>
  <c r="M167" i="64"/>
  <c r="M166" i="64"/>
  <c r="M164" i="64"/>
  <c r="M153" i="64"/>
  <c r="M152" i="64"/>
  <c r="M151" i="64"/>
  <c r="M150" i="64"/>
  <c r="M148" i="64"/>
  <c r="M147" i="64"/>
  <c r="M146" i="64"/>
  <c r="M145" i="64"/>
  <c r="M143" i="64"/>
  <c r="M142" i="64"/>
  <c r="M141" i="64"/>
  <c r="M140" i="64"/>
  <c r="M138" i="64"/>
  <c r="M137" i="64"/>
  <c r="M136" i="64"/>
  <c r="M135" i="64"/>
  <c r="M133" i="64"/>
  <c r="M122" i="64"/>
  <c r="M121" i="64"/>
  <c r="C121" i="64" s="1"/>
  <c r="M120" i="64"/>
  <c r="M119" i="64"/>
  <c r="M117" i="64"/>
  <c r="M116" i="64"/>
  <c r="M115" i="64"/>
  <c r="M114" i="64"/>
  <c r="M112" i="64"/>
  <c r="M111" i="64"/>
  <c r="M110" i="64"/>
  <c r="M109" i="64"/>
  <c r="M107" i="64"/>
  <c r="M106" i="64"/>
  <c r="M105" i="64"/>
  <c r="M104" i="64"/>
  <c r="M102" i="64"/>
  <c r="M90" i="64"/>
  <c r="M89" i="64"/>
  <c r="M88" i="64"/>
  <c r="M87" i="64"/>
  <c r="M85" i="64"/>
  <c r="M84" i="64"/>
  <c r="M83" i="64"/>
  <c r="M82" i="64"/>
  <c r="M80" i="64"/>
  <c r="M79" i="64"/>
  <c r="M78" i="64"/>
  <c r="M77" i="64"/>
  <c r="M75" i="64"/>
  <c r="M74" i="64"/>
  <c r="M73" i="64"/>
  <c r="M72" i="64"/>
  <c r="M70" i="64"/>
  <c r="M58" i="64"/>
  <c r="M57" i="64"/>
  <c r="M56" i="64"/>
  <c r="M55" i="64"/>
  <c r="M53" i="64"/>
  <c r="M52" i="64"/>
  <c r="M51" i="64"/>
  <c r="M50" i="64"/>
  <c r="M48" i="64"/>
  <c r="M47" i="64"/>
  <c r="M46" i="64"/>
  <c r="M45" i="64"/>
  <c r="M43" i="64"/>
  <c r="M42" i="64"/>
  <c r="M41" i="64"/>
  <c r="M40" i="64"/>
  <c r="M38" i="64"/>
  <c r="M27" i="64"/>
  <c r="M26" i="64"/>
  <c r="M25" i="64"/>
  <c r="M24" i="64"/>
  <c r="M22" i="64"/>
  <c r="M21" i="64"/>
  <c r="M20" i="64"/>
  <c r="M19" i="64"/>
  <c r="M17" i="64"/>
  <c r="M16" i="64"/>
  <c r="M15" i="64"/>
  <c r="M14" i="64"/>
  <c r="M12" i="64"/>
  <c r="M11" i="64"/>
  <c r="M10" i="64"/>
  <c r="M9" i="64"/>
  <c r="M7" i="64"/>
  <c r="M545" i="22"/>
  <c r="M544" i="22"/>
  <c r="M513" i="22"/>
  <c r="M512" i="22"/>
  <c r="M511" i="22"/>
  <c r="M510" i="22"/>
  <c r="M508" i="22"/>
  <c r="M507" i="22"/>
  <c r="M506" i="22"/>
  <c r="M505" i="22"/>
  <c r="M503" i="22"/>
  <c r="M502" i="22"/>
  <c r="M501" i="22"/>
  <c r="M500" i="22"/>
  <c r="M498" i="22"/>
  <c r="M497" i="22"/>
  <c r="M496" i="22"/>
  <c r="M495" i="22"/>
  <c r="M493" i="22"/>
  <c r="M481" i="22"/>
  <c r="M480" i="22"/>
  <c r="M479" i="22"/>
  <c r="M478" i="22"/>
  <c r="M476" i="22"/>
  <c r="M475" i="22"/>
  <c r="M474" i="22"/>
  <c r="M473" i="22"/>
  <c r="M471" i="22"/>
  <c r="M470" i="22"/>
  <c r="M469" i="22"/>
  <c r="M468" i="22"/>
  <c r="M466" i="22"/>
  <c r="M465" i="22"/>
  <c r="M464" i="22"/>
  <c r="M463" i="22"/>
  <c r="M461" i="22"/>
  <c r="N449" i="22"/>
  <c r="R449" i="22" s="1"/>
  <c r="M449" i="22"/>
  <c r="N448" i="22"/>
  <c r="R448" i="22" s="1"/>
  <c r="M448" i="22"/>
  <c r="N447" i="22"/>
  <c r="R447" i="22" s="1"/>
  <c r="M447" i="22"/>
  <c r="N446" i="22"/>
  <c r="R446" i="22" s="1"/>
  <c r="M446" i="22"/>
  <c r="N444" i="22"/>
  <c r="R444" i="22" s="1"/>
  <c r="M444" i="22"/>
  <c r="N443" i="22"/>
  <c r="R443" i="22" s="1"/>
  <c r="M443" i="22"/>
  <c r="N442" i="22"/>
  <c r="M442" i="22"/>
  <c r="N441" i="22"/>
  <c r="R441" i="22" s="1"/>
  <c r="M441" i="22"/>
  <c r="N439" i="22"/>
  <c r="R439" i="22" s="1"/>
  <c r="M439" i="22"/>
  <c r="N438" i="22"/>
  <c r="R438" i="22" s="1"/>
  <c r="M438" i="22"/>
  <c r="N437" i="22"/>
  <c r="R437" i="22" s="1"/>
  <c r="M437" i="22"/>
  <c r="N436" i="22"/>
  <c r="M436" i="22"/>
  <c r="N434" i="22"/>
  <c r="M434" i="22"/>
  <c r="N433" i="22"/>
  <c r="M433" i="22"/>
  <c r="N432" i="22"/>
  <c r="M432" i="22"/>
  <c r="N431" i="22"/>
  <c r="M431" i="22"/>
  <c r="N429" i="22"/>
  <c r="M429" i="22"/>
  <c r="C429" i="22" s="1"/>
  <c r="M416" i="22"/>
  <c r="M415" i="22"/>
  <c r="M414" i="22"/>
  <c r="M413" i="22"/>
  <c r="M411" i="22"/>
  <c r="M410" i="22"/>
  <c r="M409" i="22"/>
  <c r="M408" i="22"/>
  <c r="M406" i="22"/>
  <c r="M405" i="22"/>
  <c r="M404" i="22"/>
  <c r="M403" i="22"/>
  <c r="M401" i="22"/>
  <c r="M400" i="22"/>
  <c r="M399" i="22"/>
  <c r="M398" i="22"/>
  <c r="M396" i="22"/>
  <c r="M382" i="22"/>
  <c r="M381" i="22"/>
  <c r="M380" i="22"/>
  <c r="M379" i="22"/>
  <c r="M377" i="22"/>
  <c r="M376" i="22"/>
  <c r="M375" i="22"/>
  <c r="M374" i="22"/>
  <c r="M372" i="22"/>
  <c r="M371" i="22"/>
  <c r="M370" i="22"/>
  <c r="M369" i="22"/>
  <c r="M367" i="22"/>
  <c r="M366" i="22"/>
  <c r="M365" i="22"/>
  <c r="M364" i="22"/>
  <c r="M362" i="22"/>
  <c r="M349" i="22"/>
  <c r="M348" i="22"/>
  <c r="M347" i="22"/>
  <c r="M346" i="22"/>
  <c r="M344" i="22"/>
  <c r="M343" i="22"/>
  <c r="M342" i="22"/>
  <c r="M341" i="22"/>
  <c r="M339" i="22"/>
  <c r="M338" i="22"/>
  <c r="M337" i="22"/>
  <c r="M336" i="22"/>
  <c r="M334" i="22"/>
  <c r="M333" i="22"/>
  <c r="M332" i="22"/>
  <c r="M331" i="22"/>
  <c r="M329" i="22"/>
  <c r="M316" i="22"/>
  <c r="M315" i="22"/>
  <c r="M314" i="22"/>
  <c r="M313" i="22"/>
  <c r="M311" i="22"/>
  <c r="M310" i="22"/>
  <c r="M309" i="22"/>
  <c r="M308" i="22"/>
  <c r="M306" i="22"/>
  <c r="M305" i="22"/>
  <c r="M304" i="22"/>
  <c r="M303" i="22"/>
  <c r="M301" i="22"/>
  <c r="M300" i="22"/>
  <c r="M299" i="22"/>
  <c r="M298" i="22"/>
  <c r="M296" i="22"/>
  <c r="M284" i="22"/>
  <c r="M283" i="22"/>
  <c r="M282" i="22"/>
  <c r="M281" i="22"/>
  <c r="M279" i="22"/>
  <c r="M278" i="22"/>
  <c r="M277" i="22"/>
  <c r="M276" i="22"/>
  <c r="M274" i="22"/>
  <c r="M273" i="22"/>
  <c r="M272" i="22"/>
  <c r="M271" i="22"/>
  <c r="M269" i="22"/>
  <c r="M268" i="22"/>
  <c r="M267" i="22"/>
  <c r="M266" i="22"/>
  <c r="M264" i="22"/>
  <c r="N252" i="22"/>
  <c r="M252" i="22"/>
  <c r="N251" i="22"/>
  <c r="M251" i="22"/>
  <c r="N250" i="22"/>
  <c r="M250" i="22"/>
  <c r="N249" i="22"/>
  <c r="M249" i="22"/>
  <c r="N247" i="22"/>
  <c r="M247" i="22"/>
  <c r="N246" i="22"/>
  <c r="M246" i="22"/>
  <c r="N245" i="22"/>
  <c r="M245" i="22"/>
  <c r="N244" i="22"/>
  <c r="M244" i="22"/>
  <c r="N242" i="22"/>
  <c r="M242" i="22"/>
  <c r="N241" i="22"/>
  <c r="M241" i="22"/>
  <c r="N240" i="22"/>
  <c r="M240" i="22"/>
  <c r="N239" i="22"/>
  <c r="M239" i="22"/>
  <c r="N237" i="22"/>
  <c r="M237" i="22"/>
  <c r="N236" i="22"/>
  <c r="M236" i="22"/>
  <c r="N235" i="22"/>
  <c r="M235" i="22"/>
  <c r="N234" i="22"/>
  <c r="M234" i="22"/>
  <c r="N232" i="22"/>
  <c r="M232" i="22"/>
  <c r="M220" i="22"/>
  <c r="M219" i="22"/>
  <c r="M218" i="22"/>
  <c r="M217" i="22"/>
  <c r="M215" i="22"/>
  <c r="M214" i="22"/>
  <c r="M213" i="22"/>
  <c r="M212" i="22"/>
  <c r="M210" i="22"/>
  <c r="M209" i="22"/>
  <c r="M208" i="22"/>
  <c r="M207" i="22"/>
  <c r="M205" i="22"/>
  <c r="M204" i="22"/>
  <c r="M203" i="22"/>
  <c r="M202" i="22"/>
  <c r="M200" i="22"/>
  <c r="M188" i="22"/>
  <c r="M187" i="22"/>
  <c r="M186" i="22"/>
  <c r="M185" i="22"/>
  <c r="M183" i="22"/>
  <c r="M182" i="22"/>
  <c r="M181" i="22"/>
  <c r="M180" i="22"/>
  <c r="M178" i="22"/>
  <c r="M177" i="22"/>
  <c r="M176" i="22"/>
  <c r="M175" i="22"/>
  <c r="M173" i="22"/>
  <c r="M172" i="22"/>
  <c r="M171" i="22"/>
  <c r="M170" i="22"/>
  <c r="M168" i="22"/>
  <c r="M156" i="22"/>
  <c r="M155" i="22"/>
  <c r="M154" i="22"/>
  <c r="M153" i="22"/>
  <c r="M151" i="22"/>
  <c r="M150" i="22"/>
  <c r="M149" i="22"/>
  <c r="M148" i="22"/>
  <c r="M146" i="22"/>
  <c r="M145" i="22"/>
  <c r="M144" i="22"/>
  <c r="M143" i="22"/>
  <c r="M141" i="22"/>
  <c r="M140" i="22"/>
  <c r="M139" i="22"/>
  <c r="M138" i="22"/>
  <c r="M136" i="22"/>
  <c r="M124" i="22"/>
  <c r="M123" i="22"/>
  <c r="M122" i="22"/>
  <c r="M121" i="22"/>
  <c r="M119" i="22"/>
  <c r="M118" i="22"/>
  <c r="M117" i="22"/>
  <c r="M116" i="22"/>
  <c r="M114" i="22"/>
  <c r="M113" i="22"/>
  <c r="M112" i="22"/>
  <c r="M111" i="22"/>
  <c r="M109" i="22"/>
  <c r="M108" i="22"/>
  <c r="M107" i="22"/>
  <c r="M106" i="22"/>
  <c r="M104" i="22"/>
  <c r="M92" i="22"/>
  <c r="M91" i="22"/>
  <c r="M90" i="22"/>
  <c r="M89" i="22"/>
  <c r="M87" i="22"/>
  <c r="M86" i="22"/>
  <c r="M85" i="22"/>
  <c r="M84" i="22"/>
  <c r="M82" i="22"/>
  <c r="M81" i="22"/>
  <c r="M80" i="22"/>
  <c r="M79" i="22"/>
  <c r="M77" i="22"/>
  <c r="M76" i="22"/>
  <c r="M75" i="22"/>
  <c r="M74" i="22"/>
  <c r="M72" i="22"/>
  <c r="M60" i="22"/>
  <c r="M59" i="22"/>
  <c r="M58" i="22"/>
  <c r="M57" i="22"/>
  <c r="M55" i="22"/>
  <c r="M54" i="22"/>
  <c r="M53" i="22"/>
  <c r="M52" i="22"/>
  <c r="M50" i="22"/>
  <c r="M49" i="22"/>
  <c r="M48" i="22"/>
  <c r="M47" i="22"/>
  <c r="M45" i="22"/>
  <c r="M44" i="22"/>
  <c r="M43" i="22"/>
  <c r="M42" i="22"/>
  <c r="M40" i="22"/>
  <c r="N28" i="22"/>
  <c r="M28" i="22"/>
  <c r="N27" i="22"/>
  <c r="M27" i="22"/>
  <c r="N26" i="22"/>
  <c r="M26" i="22"/>
  <c r="N25" i="22"/>
  <c r="M25" i="22"/>
  <c r="N23" i="22"/>
  <c r="M23" i="22"/>
  <c r="N22" i="22"/>
  <c r="M22" i="22"/>
  <c r="N21" i="22"/>
  <c r="M21" i="22"/>
  <c r="N20" i="22"/>
  <c r="M20" i="22"/>
  <c r="N18" i="22"/>
  <c r="M18" i="22"/>
  <c r="N17" i="22"/>
  <c r="M17" i="22"/>
  <c r="N16" i="22"/>
  <c r="M16" i="22"/>
  <c r="N15" i="22"/>
  <c r="M15" i="22"/>
  <c r="N13" i="22"/>
  <c r="M13" i="22"/>
  <c r="N12" i="22"/>
  <c r="M12" i="22"/>
  <c r="N11" i="22"/>
  <c r="M11" i="22"/>
  <c r="N10" i="22"/>
  <c r="M10" i="22"/>
  <c r="N8" i="22"/>
  <c r="M8" i="22"/>
  <c r="C426" i="64" l="1"/>
  <c r="B426" i="64"/>
  <c r="E426" i="64"/>
  <c r="D426" i="64"/>
  <c r="D436" i="64"/>
  <c r="B436" i="64"/>
  <c r="C436" i="64"/>
  <c r="E436" i="64"/>
  <c r="C417" i="64"/>
  <c r="E417" i="64"/>
  <c r="D417" i="64"/>
  <c r="B417" i="64"/>
  <c r="E427" i="64"/>
  <c r="B427" i="64"/>
  <c r="D427" i="64"/>
  <c r="C427" i="64"/>
  <c r="B437" i="64"/>
  <c r="D437" i="64"/>
  <c r="E437" i="64"/>
  <c r="C437" i="64"/>
  <c r="C419" i="64"/>
  <c r="B419" i="64"/>
  <c r="D419" i="64"/>
  <c r="E419" i="64"/>
  <c r="C429" i="64"/>
  <c r="B429" i="64"/>
  <c r="D429" i="64"/>
  <c r="E429" i="64"/>
  <c r="E422" i="64"/>
  <c r="B422" i="64"/>
  <c r="D422" i="64"/>
  <c r="C422" i="64"/>
  <c r="E432" i="64"/>
  <c r="B432" i="64"/>
  <c r="D432" i="64"/>
  <c r="C432" i="64"/>
  <c r="E420" i="64"/>
  <c r="C420" i="64"/>
  <c r="B420" i="64"/>
  <c r="D420" i="64"/>
  <c r="C431" i="64"/>
  <c r="B431" i="64"/>
  <c r="E431" i="64"/>
  <c r="D431" i="64"/>
  <c r="C424" i="64"/>
  <c r="B424" i="64"/>
  <c r="E424" i="64"/>
  <c r="D424" i="64"/>
  <c r="E434" i="64"/>
  <c r="C434" i="64"/>
  <c r="D434" i="64"/>
  <c r="B434" i="64"/>
  <c r="E430" i="64"/>
  <c r="C430" i="64"/>
  <c r="D430" i="64"/>
  <c r="B430" i="64"/>
  <c r="C421" i="64"/>
  <c r="B421" i="64"/>
  <c r="E421" i="64"/>
  <c r="D421" i="64"/>
  <c r="E425" i="64"/>
  <c r="C425" i="64"/>
  <c r="D425" i="64"/>
  <c r="B425" i="64"/>
  <c r="D435" i="64"/>
  <c r="E435" i="64"/>
  <c r="B435" i="64"/>
  <c r="C435" i="64"/>
  <c r="B42" i="64"/>
  <c r="D42" i="64"/>
  <c r="C42" i="64"/>
  <c r="AB10" i="8" l="1"/>
  <c r="Y10" i="8"/>
  <c r="R10" i="8"/>
  <c r="S10" i="8"/>
  <c r="AI10" i="8" s="1"/>
  <c r="T10" i="8"/>
  <c r="AJ10" i="8" s="1"/>
  <c r="O10" i="8"/>
  <c r="V2685" i="8" l="1"/>
  <c r="J2666" i="8"/>
  <c r="J1631" i="8" l="1"/>
  <c r="AB1" i="8" l="1"/>
  <c r="Y1" i="8"/>
  <c r="T1" i="8"/>
  <c r="AJ1" i="8" s="1"/>
  <c r="S1" i="8"/>
  <c r="AI1" i="8" s="1"/>
  <c r="R1" i="8"/>
  <c r="O1" i="8"/>
  <c r="D447" i="22" l="1"/>
  <c r="C447" i="22"/>
  <c r="B447" i="22"/>
  <c r="E447" i="22"/>
  <c r="E544" i="22"/>
  <c r="J544" i="22" s="1"/>
  <c r="B544" i="22"/>
  <c r="C544" i="22"/>
  <c r="H544" i="22" s="1"/>
  <c r="D544" i="22"/>
  <c r="I544" i="22" s="1"/>
  <c r="S432" i="22"/>
  <c r="R432" i="22"/>
  <c r="S437" i="22"/>
  <c r="S442" i="22"/>
  <c r="R442" i="22"/>
  <c r="S447" i="22"/>
  <c r="D545" i="22"/>
  <c r="I545" i="22" s="1"/>
  <c r="C545" i="22"/>
  <c r="H545" i="22" s="1"/>
  <c r="E545" i="22"/>
  <c r="J545" i="22" s="1"/>
  <c r="B545" i="22"/>
  <c r="E433" i="22"/>
  <c r="D433" i="22"/>
  <c r="C433" i="22"/>
  <c r="B433" i="22"/>
  <c r="B438" i="22"/>
  <c r="E438" i="22"/>
  <c r="D438" i="22"/>
  <c r="C438" i="22"/>
  <c r="E443" i="22"/>
  <c r="D443" i="22"/>
  <c r="C443" i="22"/>
  <c r="B443" i="22"/>
  <c r="D448" i="22"/>
  <c r="E448" i="22"/>
  <c r="C448" i="22"/>
  <c r="B448" i="22"/>
  <c r="D437" i="22"/>
  <c r="E437" i="22"/>
  <c r="C437" i="22"/>
  <c r="B437" i="22"/>
  <c r="R433" i="22"/>
  <c r="S433" i="22"/>
  <c r="S448" i="22"/>
  <c r="D429" i="22"/>
  <c r="E429" i="22"/>
  <c r="B429" i="22"/>
  <c r="D439" i="22"/>
  <c r="C439" i="22"/>
  <c r="B439" i="22"/>
  <c r="E439" i="22"/>
  <c r="S429" i="22"/>
  <c r="R429" i="22"/>
  <c r="S434" i="22"/>
  <c r="R434" i="22"/>
  <c r="S439" i="22"/>
  <c r="S444" i="22"/>
  <c r="S449" i="22"/>
  <c r="D432" i="22"/>
  <c r="C432" i="22"/>
  <c r="E432" i="22"/>
  <c r="B432" i="22"/>
  <c r="S438" i="22"/>
  <c r="D444" i="22"/>
  <c r="C444" i="22"/>
  <c r="B444" i="22"/>
  <c r="E444" i="22"/>
  <c r="D431" i="22"/>
  <c r="E431" i="22"/>
  <c r="B431" i="22"/>
  <c r="C431" i="22"/>
  <c r="E436" i="22"/>
  <c r="D436" i="22"/>
  <c r="B436" i="22"/>
  <c r="C436" i="22"/>
  <c r="D441" i="22"/>
  <c r="E441" i="22"/>
  <c r="B441" i="22"/>
  <c r="C441" i="22"/>
  <c r="E446" i="22"/>
  <c r="D446" i="22"/>
  <c r="B446" i="22"/>
  <c r="C446" i="22"/>
  <c r="D442" i="22"/>
  <c r="E442" i="22"/>
  <c r="C442" i="22"/>
  <c r="B442" i="22"/>
  <c r="S443" i="22"/>
  <c r="D434" i="22"/>
  <c r="C434" i="22"/>
  <c r="B434" i="22"/>
  <c r="E434" i="22"/>
  <c r="D449" i="22"/>
  <c r="C449" i="22"/>
  <c r="E449" i="22"/>
  <c r="B449" i="22"/>
  <c r="S431" i="22"/>
  <c r="R431" i="22"/>
  <c r="S436" i="22"/>
  <c r="R436" i="22"/>
  <c r="S441" i="22"/>
  <c r="S446" i="22"/>
  <c r="F544" i="22" l="1"/>
  <c r="K544" i="22" s="1"/>
  <c r="G544" i="22"/>
  <c r="F545" i="22"/>
  <c r="K545" i="22" s="1"/>
  <c r="G545" i="22"/>
  <c r="I47" i="59" l="1"/>
  <c r="I46" i="59"/>
  <c r="I45" i="59"/>
  <c r="I44" i="59"/>
  <c r="I43" i="59"/>
  <c r="I42" i="59"/>
  <c r="I41" i="59"/>
  <c r="I40" i="59"/>
  <c r="I39" i="59"/>
  <c r="I38" i="59"/>
  <c r="I37" i="59"/>
  <c r="I36" i="59"/>
  <c r="I35" i="59"/>
  <c r="I34" i="59"/>
  <c r="I33" i="59"/>
  <c r="I32" i="59"/>
  <c r="I30" i="59"/>
  <c r="C11" i="64" l="1"/>
  <c r="E7" i="53"/>
  <c r="B371" i="64" l="1"/>
  <c r="C333" i="64" l="1"/>
  <c r="B70" i="64" l="1"/>
  <c r="D70" i="64"/>
  <c r="C70" i="64"/>
  <c r="B499" i="64" l="1"/>
  <c r="AO95" i="51" l="1"/>
  <c r="AN95" i="51"/>
  <c r="AM95" i="51"/>
  <c r="AL95" i="51"/>
  <c r="AK95" i="51"/>
  <c r="AJ95" i="51"/>
  <c r="AI95" i="51"/>
  <c r="AH95" i="51"/>
  <c r="AG95" i="51"/>
  <c r="AF95" i="51"/>
  <c r="AE95" i="51"/>
  <c r="AD95" i="51"/>
  <c r="AC95" i="51"/>
  <c r="AB95" i="51"/>
  <c r="AA95" i="51"/>
  <c r="Z95" i="51"/>
  <c r="AO93" i="51"/>
  <c r="AN93" i="51"/>
  <c r="AM93" i="51"/>
  <c r="AL93" i="51"/>
  <c r="AK93" i="51"/>
  <c r="AJ93" i="51"/>
  <c r="AI93" i="51"/>
  <c r="AH93" i="51"/>
  <c r="AG93" i="51"/>
  <c r="AF93" i="51"/>
  <c r="AE93" i="51"/>
  <c r="AD93" i="51"/>
  <c r="AC93" i="51"/>
  <c r="AB93" i="51"/>
  <c r="AA93" i="51"/>
  <c r="Z93" i="51"/>
  <c r="AO91" i="51"/>
  <c r="AN91" i="51"/>
  <c r="AM91" i="51"/>
  <c r="AL91" i="51"/>
  <c r="AK91" i="51"/>
  <c r="AJ91" i="51"/>
  <c r="AI91" i="51"/>
  <c r="AH91" i="51"/>
  <c r="AG91" i="51"/>
  <c r="AF91" i="51"/>
  <c r="AE91" i="51"/>
  <c r="AD91" i="51"/>
  <c r="AC91" i="51"/>
  <c r="AB91" i="51"/>
  <c r="AA91" i="51"/>
  <c r="Z91" i="51"/>
  <c r="AO89" i="51"/>
  <c r="AN89" i="51"/>
  <c r="AM89" i="51"/>
  <c r="AL89" i="51"/>
  <c r="AK89" i="51"/>
  <c r="AJ89" i="51"/>
  <c r="AI89" i="51"/>
  <c r="AH89" i="51"/>
  <c r="AG89" i="51"/>
  <c r="AF89" i="51"/>
  <c r="AE89" i="51"/>
  <c r="AD89" i="51"/>
  <c r="AC89" i="51"/>
  <c r="AB89" i="51"/>
  <c r="AA89" i="51"/>
  <c r="Z89" i="51"/>
  <c r="AO87" i="51"/>
  <c r="AN87" i="51"/>
  <c r="AM87" i="51"/>
  <c r="AL87" i="51"/>
  <c r="AK87" i="51"/>
  <c r="AJ87" i="51"/>
  <c r="AI87" i="51"/>
  <c r="AH87" i="51"/>
  <c r="AG87" i="51"/>
  <c r="AF87" i="51"/>
  <c r="AE87" i="51"/>
  <c r="AD87" i="51"/>
  <c r="AC87" i="51"/>
  <c r="AB87" i="51"/>
  <c r="AA87" i="51"/>
  <c r="Z87" i="51"/>
  <c r="AO85" i="51"/>
  <c r="AN85" i="51"/>
  <c r="AM85" i="51"/>
  <c r="AL85" i="51"/>
  <c r="AK85" i="51"/>
  <c r="AJ85" i="51"/>
  <c r="AI85" i="51"/>
  <c r="AH85" i="51"/>
  <c r="AG85" i="51"/>
  <c r="AF85" i="51"/>
  <c r="AE85" i="51"/>
  <c r="AD85" i="51"/>
  <c r="AC85" i="51"/>
  <c r="AB85" i="51"/>
  <c r="AA85" i="51"/>
  <c r="Z85" i="51"/>
  <c r="AO83" i="51"/>
  <c r="AN83" i="51"/>
  <c r="AM83" i="51"/>
  <c r="AL83" i="51"/>
  <c r="AK83" i="51"/>
  <c r="AJ83" i="51"/>
  <c r="AI83" i="51"/>
  <c r="AH83" i="51"/>
  <c r="AG83" i="51"/>
  <c r="AF83" i="51"/>
  <c r="AE83" i="51"/>
  <c r="AD83" i="51"/>
  <c r="AC83" i="51"/>
  <c r="AB83" i="51"/>
  <c r="AA83" i="51"/>
  <c r="Z83" i="51"/>
  <c r="AO81" i="51"/>
  <c r="AN81" i="51"/>
  <c r="AM81" i="51"/>
  <c r="AL81" i="51"/>
  <c r="AK81" i="51"/>
  <c r="AJ81" i="51"/>
  <c r="AI81" i="51"/>
  <c r="AH81" i="51"/>
  <c r="AG81" i="51"/>
  <c r="AF81" i="51"/>
  <c r="AE81" i="51"/>
  <c r="AD81" i="51"/>
  <c r="AC81" i="51"/>
  <c r="AB81" i="51"/>
  <c r="AA81" i="51"/>
  <c r="Z81" i="51"/>
  <c r="AO79" i="51"/>
  <c r="AN79" i="51"/>
  <c r="AM79" i="51"/>
  <c r="AL79" i="51"/>
  <c r="AK79" i="51"/>
  <c r="AJ79" i="51"/>
  <c r="AI79" i="51"/>
  <c r="AH79" i="51"/>
  <c r="AG79" i="51"/>
  <c r="AF79" i="51"/>
  <c r="AE79" i="51"/>
  <c r="AD79" i="51"/>
  <c r="AC79" i="51"/>
  <c r="AB79" i="51"/>
  <c r="AA79" i="51"/>
  <c r="Z79" i="51"/>
  <c r="AO77" i="51"/>
  <c r="AN77" i="51"/>
  <c r="AM77" i="51"/>
  <c r="AL77" i="51"/>
  <c r="AK77" i="51"/>
  <c r="AJ77" i="51"/>
  <c r="AI77" i="51"/>
  <c r="AH77" i="51"/>
  <c r="AG77" i="51"/>
  <c r="AF77" i="51"/>
  <c r="AE77" i="51"/>
  <c r="AD77" i="51"/>
  <c r="AC77" i="51"/>
  <c r="AB77" i="51"/>
  <c r="AA77" i="51"/>
  <c r="Z77" i="51"/>
  <c r="AO75" i="51"/>
  <c r="AN75" i="51"/>
  <c r="AM75" i="51"/>
  <c r="AL75" i="51"/>
  <c r="AK75" i="51"/>
  <c r="AJ75" i="51"/>
  <c r="AI75" i="51"/>
  <c r="AH75" i="51"/>
  <c r="AG75" i="51"/>
  <c r="AF75" i="51"/>
  <c r="AE75" i="51"/>
  <c r="AD75" i="51"/>
  <c r="AC75" i="51"/>
  <c r="AB75" i="51"/>
  <c r="AA75" i="51"/>
  <c r="Z75" i="51"/>
  <c r="AO73" i="51"/>
  <c r="AN73" i="51"/>
  <c r="AM73" i="51"/>
  <c r="AL73" i="51"/>
  <c r="AK73" i="51"/>
  <c r="AJ73" i="51"/>
  <c r="AI73" i="51"/>
  <c r="AH73" i="51"/>
  <c r="AG73" i="51"/>
  <c r="AF73" i="51"/>
  <c r="AE73" i="51"/>
  <c r="AD73" i="51"/>
  <c r="AC73" i="51"/>
  <c r="AB73" i="51"/>
  <c r="AA73" i="51"/>
  <c r="Z73" i="51"/>
  <c r="AO71" i="51"/>
  <c r="AN71" i="51"/>
  <c r="AM71" i="51"/>
  <c r="AL71" i="51"/>
  <c r="AK71" i="51"/>
  <c r="AJ71" i="51"/>
  <c r="AI71" i="51"/>
  <c r="AH71" i="51"/>
  <c r="AG71" i="51"/>
  <c r="AF71" i="51"/>
  <c r="AE71" i="51"/>
  <c r="AD71" i="51"/>
  <c r="AC71" i="51"/>
  <c r="AB71" i="51"/>
  <c r="AA71" i="51"/>
  <c r="Z71" i="51"/>
  <c r="AO69" i="51"/>
  <c r="AN69" i="51"/>
  <c r="AM69" i="51"/>
  <c r="AL69" i="51"/>
  <c r="AK69" i="51"/>
  <c r="AJ69" i="51"/>
  <c r="AI69" i="51"/>
  <c r="AH69" i="51"/>
  <c r="AG69" i="51"/>
  <c r="AF69" i="51"/>
  <c r="AE69" i="51"/>
  <c r="AD69" i="51"/>
  <c r="AC69" i="51"/>
  <c r="AB69" i="51"/>
  <c r="AA69" i="51"/>
  <c r="Z69" i="51"/>
  <c r="AO67" i="51"/>
  <c r="AN67" i="51"/>
  <c r="AM67" i="51"/>
  <c r="AL67" i="51"/>
  <c r="AK67" i="51"/>
  <c r="AJ67" i="51"/>
  <c r="AI67" i="51"/>
  <c r="AH67" i="51"/>
  <c r="AG67" i="51"/>
  <c r="AF67" i="51"/>
  <c r="AE67" i="51"/>
  <c r="AD67" i="51"/>
  <c r="AC67" i="51"/>
  <c r="AB67" i="51"/>
  <c r="AA67" i="51"/>
  <c r="Z67" i="51"/>
  <c r="AO65" i="51"/>
  <c r="AN65" i="51"/>
  <c r="AM65" i="51"/>
  <c r="AL65" i="51"/>
  <c r="AK65" i="51"/>
  <c r="AJ65" i="51"/>
  <c r="AI65" i="51"/>
  <c r="AH65" i="51"/>
  <c r="AG65" i="51"/>
  <c r="AF65" i="51"/>
  <c r="AE65" i="51"/>
  <c r="AD65" i="51"/>
  <c r="AC65" i="51"/>
  <c r="AB65" i="51"/>
  <c r="AA65" i="51"/>
  <c r="Z65" i="51"/>
  <c r="AO63" i="51"/>
  <c r="AN63" i="51"/>
  <c r="AM63" i="51"/>
  <c r="AL63" i="51"/>
  <c r="AK63" i="51"/>
  <c r="AJ63" i="51"/>
  <c r="AI63" i="51"/>
  <c r="AH63" i="51"/>
  <c r="AG63" i="51"/>
  <c r="AF63" i="51"/>
  <c r="AE63" i="51"/>
  <c r="AD63" i="51"/>
  <c r="AC63" i="51"/>
  <c r="AB63" i="51"/>
  <c r="AA63" i="51"/>
  <c r="Z63" i="51"/>
  <c r="AO61" i="51"/>
  <c r="AN61" i="51"/>
  <c r="AM61" i="51"/>
  <c r="AL61" i="51"/>
  <c r="AK61" i="51"/>
  <c r="AJ61" i="51"/>
  <c r="AI61" i="51"/>
  <c r="AH61" i="51"/>
  <c r="AG61" i="51"/>
  <c r="AF61" i="51"/>
  <c r="AE61" i="51"/>
  <c r="AD61" i="51"/>
  <c r="AC61" i="51"/>
  <c r="AB61" i="51"/>
  <c r="AA61" i="51"/>
  <c r="Z61" i="51"/>
  <c r="AO59" i="51"/>
  <c r="AN59" i="51"/>
  <c r="AM59" i="51"/>
  <c r="AL59" i="51"/>
  <c r="AK59" i="51"/>
  <c r="AJ59" i="51"/>
  <c r="AI59" i="51"/>
  <c r="AH59" i="51"/>
  <c r="AG59" i="51"/>
  <c r="AF59" i="51"/>
  <c r="AE59" i="51"/>
  <c r="AD59" i="51"/>
  <c r="AC59" i="51"/>
  <c r="AB59" i="51"/>
  <c r="AA59" i="51"/>
  <c r="Z59" i="51"/>
  <c r="AO57" i="51"/>
  <c r="AN57" i="51"/>
  <c r="AM57" i="51"/>
  <c r="AL57" i="51"/>
  <c r="AK57" i="51"/>
  <c r="AJ57" i="51"/>
  <c r="AI57" i="51"/>
  <c r="AH57" i="51"/>
  <c r="AG57" i="51"/>
  <c r="AF57" i="51"/>
  <c r="AE57" i="51"/>
  <c r="AD57" i="51"/>
  <c r="AC57" i="51"/>
  <c r="AB57" i="51"/>
  <c r="AA57" i="51"/>
  <c r="Z57" i="51"/>
  <c r="AO55" i="51"/>
  <c r="AN55" i="51"/>
  <c r="AM55" i="51"/>
  <c r="AL55" i="51"/>
  <c r="AK55" i="51"/>
  <c r="AJ55" i="51"/>
  <c r="AI55" i="51"/>
  <c r="AH55" i="51"/>
  <c r="AG55" i="51"/>
  <c r="AF55" i="51"/>
  <c r="AE55" i="51"/>
  <c r="AD55" i="51"/>
  <c r="AC55" i="51"/>
  <c r="AB55" i="51"/>
  <c r="AA55" i="51"/>
  <c r="Z55" i="51"/>
  <c r="AO53" i="51"/>
  <c r="AN53" i="51"/>
  <c r="AM53" i="51"/>
  <c r="AL53" i="51"/>
  <c r="AK53" i="51"/>
  <c r="AJ53" i="51"/>
  <c r="AI53" i="51"/>
  <c r="AH53" i="51"/>
  <c r="AG53" i="51"/>
  <c r="AF53" i="51"/>
  <c r="AE53" i="51"/>
  <c r="AD53" i="51"/>
  <c r="AC53" i="51"/>
  <c r="AB53" i="51"/>
  <c r="AA53" i="51"/>
  <c r="Z53" i="51"/>
  <c r="AO51" i="51"/>
  <c r="AN51" i="51"/>
  <c r="AM51" i="51"/>
  <c r="AL51" i="51"/>
  <c r="AK51" i="51"/>
  <c r="AJ51" i="51"/>
  <c r="AI51" i="51"/>
  <c r="AH51" i="51"/>
  <c r="AG51" i="51"/>
  <c r="AF51" i="51"/>
  <c r="AE51" i="51"/>
  <c r="AD51" i="51"/>
  <c r="AC51" i="51"/>
  <c r="AB51" i="51"/>
  <c r="AA51" i="51"/>
  <c r="Z51" i="51"/>
  <c r="AO49" i="51"/>
  <c r="AN49" i="51"/>
  <c r="AM49" i="51"/>
  <c r="AL49" i="51"/>
  <c r="AK49" i="51"/>
  <c r="AJ49" i="51"/>
  <c r="AI49" i="51"/>
  <c r="AH49" i="51"/>
  <c r="AG49" i="51"/>
  <c r="AF49" i="51"/>
  <c r="AE49" i="51"/>
  <c r="AD49" i="51"/>
  <c r="AC49" i="51"/>
  <c r="AB49" i="51"/>
  <c r="AA49" i="51"/>
  <c r="Z49" i="51"/>
  <c r="AO47" i="51"/>
  <c r="AN47" i="51"/>
  <c r="AM47" i="51"/>
  <c r="AL47" i="51"/>
  <c r="AK47" i="51"/>
  <c r="AJ47" i="51"/>
  <c r="AI47" i="51"/>
  <c r="AH47" i="51"/>
  <c r="AG47" i="51"/>
  <c r="AF47" i="51"/>
  <c r="AE47" i="51"/>
  <c r="AD47" i="51"/>
  <c r="AC47" i="51"/>
  <c r="AB47" i="51"/>
  <c r="AA47" i="51"/>
  <c r="Z47" i="51"/>
  <c r="AO45" i="51"/>
  <c r="AN45" i="51"/>
  <c r="AM45" i="51"/>
  <c r="AL45" i="51"/>
  <c r="AK45" i="51"/>
  <c r="AJ45" i="51"/>
  <c r="AI45" i="51"/>
  <c r="AH45" i="51"/>
  <c r="AG45" i="51"/>
  <c r="AF45" i="51"/>
  <c r="AE45" i="51"/>
  <c r="AD45" i="51"/>
  <c r="AC45" i="51"/>
  <c r="AB45" i="51"/>
  <c r="AA45" i="51"/>
  <c r="Z45" i="51"/>
  <c r="AO43" i="51"/>
  <c r="AN43" i="51"/>
  <c r="AM43" i="51"/>
  <c r="AL43" i="51"/>
  <c r="AK43" i="51"/>
  <c r="AJ43" i="51"/>
  <c r="AI43" i="51"/>
  <c r="AH43" i="51"/>
  <c r="AG43" i="51"/>
  <c r="AF43" i="51"/>
  <c r="AE43" i="51"/>
  <c r="AD43" i="51"/>
  <c r="AC43" i="51"/>
  <c r="AB43" i="51"/>
  <c r="AA43" i="51"/>
  <c r="Z43" i="51"/>
  <c r="AO41" i="51"/>
  <c r="AN41" i="51"/>
  <c r="AM41" i="51"/>
  <c r="AL41" i="51"/>
  <c r="AK41" i="51"/>
  <c r="AJ41" i="51"/>
  <c r="AI41" i="51"/>
  <c r="AH41" i="51"/>
  <c r="AG41" i="51"/>
  <c r="AF41" i="51"/>
  <c r="AE41" i="51"/>
  <c r="AD41" i="51"/>
  <c r="AC41" i="51"/>
  <c r="AB41" i="51"/>
  <c r="AA41" i="51"/>
  <c r="Z41" i="51"/>
  <c r="AO39" i="51"/>
  <c r="AN39" i="51"/>
  <c r="AM39" i="51"/>
  <c r="AL39" i="51"/>
  <c r="AK39" i="51"/>
  <c r="AJ39" i="51"/>
  <c r="AI39" i="51"/>
  <c r="AH39" i="51"/>
  <c r="AG39" i="51"/>
  <c r="AF39" i="51"/>
  <c r="AE39" i="51"/>
  <c r="AD39" i="51"/>
  <c r="AC39" i="51"/>
  <c r="AB39" i="51"/>
  <c r="AA39" i="51"/>
  <c r="Z39" i="51"/>
  <c r="AO37" i="51"/>
  <c r="AN37" i="51"/>
  <c r="AM37" i="51"/>
  <c r="AL37" i="51"/>
  <c r="AK37" i="51"/>
  <c r="AJ37" i="51"/>
  <c r="AI37" i="51"/>
  <c r="AH37" i="51"/>
  <c r="AG37" i="51"/>
  <c r="AF37" i="51"/>
  <c r="AE37" i="51"/>
  <c r="AD37" i="51"/>
  <c r="AC37" i="51"/>
  <c r="AB37" i="51"/>
  <c r="AA37" i="51"/>
  <c r="Z37" i="51"/>
  <c r="AO35" i="51"/>
  <c r="AN35" i="51"/>
  <c r="AM35" i="51"/>
  <c r="AL35" i="51"/>
  <c r="AK35" i="51"/>
  <c r="AJ35" i="51"/>
  <c r="AI35" i="51"/>
  <c r="AH35" i="51"/>
  <c r="AG35" i="51"/>
  <c r="AF35" i="51"/>
  <c r="AE35" i="51"/>
  <c r="AD35" i="51"/>
  <c r="AC35" i="51"/>
  <c r="AB35" i="51"/>
  <c r="AA35" i="51"/>
  <c r="Z35" i="51"/>
  <c r="AO33" i="51"/>
  <c r="AN33" i="51"/>
  <c r="AM33" i="51"/>
  <c r="AL33" i="51"/>
  <c r="AK33" i="51"/>
  <c r="AJ33" i="51"/>
  <c r="AI33" i="51"/>
  <c r="AH33" i="51"/>
  <c r="AG33" i="51"/>
  <c r="AF33" i="51"/>
  <c r="AE33" i="51"/>
  <c r="AD33" i="51"/>
  <c r="AC33" i="51"/>
  <c r="AB33" i="51"/>
  <c r="AA33" i="51"/>
  <c r="Z33" i="51"/>
  <c r="AO31" i="51"/>
  <c r="AN31" i="51"/>
  <c r="AM31" i="51"/>
  <c r="AL31" i="51"/>
  <c r="AK31" i="51"/>
  <c r="AJ31" i="51"/>
  <c r="AI31" i="51"/>
  <c r="AH31" i="51"/>
  <c r="AG31" i="51"/>
  <c r="AF31" i="51"/>
  <c r="AE31" i="51"/>
  <c r="AD31" i="51"/>
  <c r="AC31" i="51"/>
  <c r="AB31" i="51"/>
  <c r="AA31" i="51"/>
  <c r="Z31" i="51"/>
  <c r="AO29" i="51"/>
  <c r="AN29" i="51"/>
  <c r="AM29" i="51"/>
  <c r="AL29" i="51"/>
  <c r="AK29" i="51"/>
  <c r="AJ29" i="51"/>
  <c r="AI29" i="51"/>
  <c r="AH29" i="51"/>
  <c r="AG29" i="51"/>
  <c r="AF29" i="51"/>
  <c r="AE29" i="51"/>
  <c r="AD29" i="51"/>
  <c r="AC29" i="51"/>
  <c r="AB29" i="51"/>
  <c r="AA29" i="51"/>
  <c r="Z29" i="51"/>
  <c r="AO27" i="51"/>
  <c r="AN27" i="51"/>
  <c r="AM27" i="51"/>
  <c r="AL27" i="51"/>
  <c r="AK27" i="51"/>
  <c r="AJ27" i="51"/>
  <c r="AI27" i="51"/>
  <c r="AH27" i="51"/>
  <c r="AG27" i="51"/>
  <c r="AF27" i="51"/>
  <c r="AE27" i="51"/>
  <c r="AD27" i="51"/>
  <c r="AC27" i="51"/>
  <c r="AB27" i="51"/>
  <c r="AA27" i="51"/>
  <c r="Z27" i="51"/>
  <c r="AO25" i="51"/>
  <c r="AN25" i="51"/>
  <c r="AM25" i="51"/>
  <c r="AL25" i="51"/>
  <c r="AK25" i="51"/>
  <c r="AJ25" i="51"/>
  <c r="AI25" i="51"/>
  <c r="AH25" i="51"/>
  <c r="AG25" i="51"/>
  <c r="AF25" i="51"/>
  <c r="AE25" i="51"/>
  <c r="AD25" i="51"/>
  <c r="AC25" i="51"/>
  <c r="AB25" i="51"/>
  <c r="AA25" i="51"/>
  <c r="Z25" i="51"/>
  <c r="AO23" i="51"/>
  <c r="AN23" i="51"/>
  <c r="AM23" i="51"/>
  <c r="AL23" i="51"/>
  <c r="AK23" i="51"/>
  <c r="AJ23" i="51"/>
  <c r="AI23" i="51"/>
  <c r="AH23" i="51"/>
  <c r="AG23" i="51"/>
  <c r="AF23" i="51"/>
  <c r="AE23" i="51"/>
  <c r="AD23" i="51"/>
  <c r="AC23" i="51"/>
  <c r="AB23" i="51"/>
  <c r="AA23" i="51"/>
  <c r="Z23" i="51"/>
  <c r="AO21" i="51"/>
  <c r="AN21" i="51"/>
  <c r="AM21" i="51"/>
  <c r="AL21" i="51"/>
  <c r="AK21" i="51"/>
  <c r="AJ21" i="51"/>
  <c r="AI21" i="51"/>
  <c r="AH21" i="51"/>
  <c r="AG21" i="51"/>
  <c r="AF21" i="51"/>
  <c r="AE21" i="51"/>
  <c r="AD21" i="51"/>
  <c r="AC21" i="51"/>
  <c r="AB21" i="51"/>
  <c r="AA21" i="51"/>
  <c r="Z21" i="51"/>
  <c r="AO19" i="51"/>
  <c r="AN19" i="51"/>
  <c r="AM19" i="51"/>
  <c r="AL19" i="51"/>
  <c r="AK19" i="51"/>
  <c r="AJ19" i="51"/>
  <c r="AI19" i="51"/>
  <c r="AH19" i="51"/>
  <c r="AG19" i="51"/>
  <c r="AF19" i="51"/>
  <c r="AE19" i="51"/>
  <c r="AD19" i="51"/>
  <c r="AC19" i="51"/>
  <c r="AB19" i="51"/>
  <c r="AA19" i="51"/>
  <c r="Z19" i="51"/>
  <c r="AO17" i="51"/>
  <c r="AN17" i="51"/>
  <c r="AM17" i="51"/>
  <c r="AL17" i="51"/>
  <c r="AK17" i="51"/>
  <c r="AJ17" i="51"/>
  <c r="AI17" i="51"/>
  <c r="AH17" i="51"/>
  <c r="AG17" i="51"/>
  <c r="AF17" i="51"/>
  <c r="AE17" i="51"/>
  <c r="AD17" i="51"/>
  <c r="AC17" i="51"/>
  <c r="AB17" i="51"/>
  <c r="AA17" i="51"/>
  <c r="Z17" i="51"/>
  <c r="AO15" i="51"/>
  <c r="AN15" i="51"/>
  <c r="AM15" i="51"/>
  <c r="AL15" i="51"/>
  <c r="AK15" i="51"/>
  <c r="AJ15" i="51"/>
  <c r="AI15" i="51"/>
  <c r="AH15" i="51"/>
  <c r="AG15" i="51"/>
  <c r="AF15" i="51"/>
  <c r="AE15" i="51"/>
  <c r="AD15" i="51"/>
  <c r="AC15" i="51"/>
  <c r="AB15" i="51"/>
  <c r="AA15" i="51"/>
  <c r="Z15" i="51"/>
  <c r="AO13" i="51"/>
  <c r="AN13" i="51"/>
  <c r="AM13" i="51"/>
  <c r="AL13" i="51"/>
  <c r="AK13" i="51"/>
  <c r="AJ13" i="51"/>
  <c r="AI13" i="51"/>
  <c r="AH13" i="51"/>
  <c r="AG13" i="51"/>
  <c r="AF13" i="51"/>
  <c r="AE13" i="51"/>
  <c r="AD13" i="51"/>
  <c r="AC13" i="51"/>
  <c r="AB13" i="51"/>
  <c r="AA13" i="51"/>
  <c r="Z13" i="51"/>
  <c r="AO11" i="51"/>
  <c r="AN11" i="51"/>
  <c r="AM11" i="51"/>
  <c r="AL11" i="51"/>
  <c r="AK11" i="51"/>
  <c r="AJ11" i="51"/>
  <c r="AI11" i="51"/>
  <c r="AH11" i="51"/>
  <c r="AG11" i="51"/>
  <c r="AF11" i="51"/>
  <c r="AE11" i="51"/>
  <c r="AD11" i="51"/>
  <c r="AC11" i="51"/>
  <c r="AB11" i="51"/>
  <c r="AA11" i="51"/>
  <c r="Z11" i="51"/>
  <c r="AO9" i="51"/>
  <c r="AN9" i="51"/>
  <c r="AM9" i="51"/>
  <c r="AL9" i="51"/>
  <c r="AK9" i="51"/>
  <c r="AJ9" i="51"/>
  <c r="AI9" i="51"/>
  <c r="AH9" i="51"/>
  <c r="AG9" i="51"/>
  <c r="AF9" i="51"/>
  <c r="AE9" i="51"/>
  <c r="AD9" i="51"/>
  <c r="AC9" i="51"/>
  <c r="AB9" i="51"/>
  <c r="AA9" i="51"/>
  <c r="Z9" i="51"/>
  <c r="AO7" i="51"/>
  <c r="AN7" i="51"/>
  <c r="AM7" i="51"/>
  <c r="AL7" i="51"/>
  <c r="AK7" i="51"/>
  <c r="AJ7" i="51"/>
  <c r="AI7" i="51"/>
  <c r="AH7" i="51"/>
  <c r="AG7" i="51"/>
  <c r="AF7" i="51"/>
  <c r="AE7" i="51"/>
  <c r="AD7" i="51"/>
  <c r="AC7" i="51"/>
  <c r="AB7" i="51"/>
  <c r="AA7" i="51"/>
  <c r="Z7" i="51"/>
  <c r="AO5" i="51"/>
  <c r="AN5" i="51"/>
  <c r="AM5" i="51"/>
  <c r="AL5" i="51"/>
  <c r="AK5" i="51"/>
  <c r="AJ5" i="51"/>
  <c r="AI5" i="51"/>
  <c r="AH5" i="51"/>
  <c r="AG5" i="51"/>
  <c r="AF5" i="51"/>
  <c r="AE5" i="51"/>
  <c r="AD5" i="51"/>
  <c r="AC5" i="51"/>
  <c r="AB5" i="51"/>
  <c r="AA5" i="51"/>
  <c r="Z5" i="51"/>
  <c r="E262" i="64" l="1"/>
  <c r="B51" i="64" l="1"/>
  <c r="B55" i="64"/>
  <c r="B50" i="64"/>
  <c r="B58" i="64"/>
  <c r="B43" i="64"/>
  <c r="B46" i="64"/>
  <c r="B52" i="64"/>
  <c r="B41" i="64"/>
  <c r="B56" i="64"/>
  <c r="B48" i="64"/>
  <c r="B57" i="64"/>
  <c r="B47" i="64"/>
  <c r="B45" i="64"/>
  <c r="B53" i="64"/>
  <c r="C38" i="64" l="1"/>
  <c r="D38" i="64"/>
  <c r="B38" i="64"/>
  <c r="C40" i="64"/>
  <c r="D40" i="64"/>
  <c r="B40" i="64"/>
  <c r="L47" i="59"/>
  <c r="L46" i="59"/>
  <c r="L45" i="59"/>
  <c r="L44" i="59"/>
  <c r="L43" i="59"/>
  <c r="L42" i="59"/>
  <c r="L41" i="59"/>
  <c r="L40" i="59"/>
  <c r="L39" i="59"/>
  <c r="L38" i="59"/>
  <c r="L37" i="59"/>
  <c r="L36" i="59"/>
  <c r="L35" i="59"/>
  <c r="L34" i="59"/>
  <c r="L33" i="59"/>
  <c r="L32" i="59"/>
  <c r="L30" i="59"/>
  <c r="L23" i="59"/>
  <c r="L22" i="59"/>
  <c r="L21" i="59"/>
  <c r="L20" i="59"/>
  <c r="L19" i="59"/>
  <c r="L18" i="59"/>
  <c r="L17" i="59"/>
  <c r="L16" i="59"/>
  <c r="L15" i="59"/>
  <c r="L14" i="59"/>
  <c r="L13" i="59"/>
  <c r="L12" i="59"/>
  <c r="L11" i="59"/>
  <c r="L10" i="59"/>
  <c r="L9" i="59"/>
  <c r="L8" i="59"/>
  <c r="L6" i="59"/>
  <c r="S47" i="59"/>
  <c r="S46" i="59"/>
  <c r="S45" i="59"/>
  <c r="S44" i="59"/>
  <c r="S43" i="59"/>
  <c r="S42" i="59"/>
  <c r="S41" i="59"/>
  <c r="S40" i="59"/>
  <c r="S39" i="59"/>
  <c r="S38" i="59"/>
  <c r="S37" i="59"/>
  <c r="S36" i="59"/>
  <c r="S35" i="59"/>
  <c r="S34" i="59"/>
  <c r="S33" i="59"/>
  <c r="S32" i="59"/>
  <c r="S30" i="59"/>
  <c r="R47" i="59"/>
  <c r="R46" i="59"/>
  <c r="R45" i="59"/>
  <c r="R44" i="59"/>
  <c r="R43" i="59"/>
  <c r="R42" i="59"/>
  <c r="R41" i="59"/>
  <c r="R40" i="59"/>
  <c r="R39" i="59"/>
  <c r="R38" i="59"/>
  <c r="R37" i="59"/>
  <c r="R36" i="59"/>
  <c r="R35" i="59"/>
  <c r="R34" i="59"/>
  <c r="R33" i="59"/>
  <c r="R32" i="59"/>
  <c r="R30" i="59"/>
  <c r="Q47" i="59"/>
  <c r="Q46" i="59"/>
  <c r="Q45" i="59"/>
  <c r="Q44" i="59"/>
  <c r="Q43" i="59"/>
  <c r="Q42" i="59"/>
  <c r="Q41" i="59"/>
  <c r="Q40" i="59"/>
  <c r="Q39" i="59"/>
  <c r="Q38" i="59"/>
  <c r="Q37" i="59"/>
  <c r="Q36" i="59"/>
  <c r="Q35" i="59"/>
  <c r="Q34" i="59"/>
  <c r="Q33" i="59"/>
  <c r="Q32" i="59"/>
  <c r="Q30" i="59"/>
  <c r="P47" i="59"/>
  <c r="P46" i="59"/>
  <c r="P45" i="59"/>
  <c r="P44" i="59"/>
  <c r="P43" i="59"/>
  <c r="P42" i="59"/>
  <c r="P41" i="59"/>
  <c r="P40" i="59"/>
  <c r="P39" i="59"/>
  <c r="P38" i="59"/>
  <c r="P37" i="59"/>
  <c r="P36" i="59"/>
  <c r="P35" i="59"/>
  <c r="P34" i="59"/>
  <c r="P33" i="59"/>
  <c r="P32" i="59"/>
  <c r="P30" i="59"/>
  <c r="O47" i="59"/>
  <c r="O46" i="59"/>
  <c r="O45" i="59"/>
  <c r="O44" i="59"/>
  <c r="O43" i="59"/>
  <c r="O42" i="59"/>
  <c r="O41" i="59"/>
  <c r="O40" i="59"/>
  <c r="O39" i="59"/>
  <c r="O38" i="59"/>
  <c r="O37" i="59"/>
  <c r="O36" i="59"/>
  <c r="O35" i="59"/>
  <c r="O34" i="59"/>
  <c r="O33" i="59"/>
  <c r="O32" i="59"/>
  <c r="O30" i="59"/>
  <c r="N47" i="59"/>
  <c r="N46" i="59"/>
  <c r="N45" i="59"/>
  <c r="N44" i="59"/>
  <c r="N43" i="59"/>
  <c r="N42" i="59"/>
  <c r="N41" i="59"/>
  <c r="N40" i="59"/>
  <c r="N39" i="59"/>
  <c r="N38" i="59"/>
  <c r="N37" i="59"/>
  <c r="N36" i="59"/>
  <c r="N35" i="59"/>
  <c r="N34" i="59"/>
  <c r="N33" i="59"/>
  <c r="N32" i="59"/>
  <c r="N30" i="59"/>
  <c r="H47" i="59"/>
  <c r="H46" i="59"/>
  <c r="H45" i="59"/>
  <c r="H44" i="59"/>
  <c r="H43" i="59"/>
  <c r="H42" i="59"/>
  <c r="H41" i="59"/>
  <c r="H40" i="59"/>
  <c r="H39" i="59"/>
  <c r="H38" i="59"/>
  <c r="H37" i="59"/>
  <c r="H36" i="59"/>
  <c r="H35" i="59"/>
  <c r="H34" i="59"/>
  <c r="H33" i="59"/>
  <c r="H32" i="59"/>
  <c r="H30" i="59"/>
  <c r="G47" i="59"/>
  <c r="G46" i="59"/>
  <c r="G45" i="59"/>
  <c r="G44" i="59"/>
  <c r="G43" i="59"/>
  <c r="G42" i="59"/>
  <c r="G41" i="59"/>
  <c r="G40" i="59"/>
  <c r="G39" i="59"/>
  <c r="G38" i="59"/>
  <c r="G37" i="59"/>
  <c r="G36" i="59"/>
  <c r="G35" i="59"/>
  <c r="G34" i="59"/>
  <c r="G33" i="59"/>
  <c r="G32" i="59"/>
  <c r="G30" i="59"/>
  <c r="F47" i="59"/>
  <c r="F46" i="59"/>
  <c r="F45" i="59"/>
  <c r="F44" i="59"/>
  <c r="F43" i="59"/>
  <c r="F42" i="59"/>
  <c r="F41" i="59"/>
  <c r="F40" i="59"/>
  <c r="F39" i="59"/>
  <c r="F38" i="59"/>
  <c r="F37" i="59"/>
  <c r="F36" i="59"/>
  <c r="F35" i="59"/>
  <c r="F34" i="59"/>
  <c r="F33" i="59"/>
  <c r="F32" i="59"/>
  <c r="F30" i="59"/>
  <c r="E47" i="59"/>
  <c r="E46" i="59"/>
  <c r="E45" i="59"/>
  <c r="E44" i="59"/>
  <c r="E43" i="59"/>
  <c r="E42" i="59"/>
  <c r="E41" i="59"/>
  <c r="E40" i="59"/>
  <c r="E39" i="59"/>
  <c r="E38" i="59"/>
  <c r="E37" i="59"/>
  <c r="E36" i="59"/>
  <c r="E35" i="59"/>
  <c r="E34" i="59"/>
  <c r="E33" i="59"/>
  <c r="E32" i="59"/>
  <c r="E30" i="59"/>
  <c r="D47" i="59"/>
  <c r="D46" i="59"/>
  <c r="D45" i="59"/>
  <c r="D44" i="59"/>
  <c r="D43" i="59"/>
  <c r="D42" i="59"/>
  <c r="D41" i="59"/>
  <c r="D40" i="59"/>
  <c r="D39" i="59"/>
  <c r="D38" i="59"/>
  <c r="D37" i="59"/>
  <c r="D36" i="59"/>
  <c r="D35" i="59"/>
  <c r="D34" i="59"/>
  <c r="D33" i="59"/>
  <c r="D32" i="59"/>
  <c r="D30" i="59"/>
  <c r="C47" i="59"/>
  <c r="C46" i="59"/>
  <c r="C45" i="59"/>
  <c r="C44" i="59"/>
  <c r="C43" i="59"/>
  <c r="C42" i="59"/>
  <c r="C41" i="59"/>
  <c r="C40" i="59"/>
  <c r="C39" i="59"/>
  <c r="C38" i="59"/>
  <c r="C37" i="59"/>
  <c r="C36" i="59"/>
  <c r="C35" i="59"/>
  <c r="C34" i="59"/>
  <c r="C33" i="59"/>
  <c r="C32" i="59"/>
  <c r="C30" i="59"/>
  <c r="B47" i="59"/>
  <c r="B46" i="59"/>
  <c r="B45" i="59"/>
  <c r="B44" i="59"/>
  <c r="B43" i="59"/>
  <c r="B42" i="59"/>
  <c r="B41" i="59"/>
  <c r="B40" i="59"/>
  <c r="B39" i="59"/>
  <c r="B38" i="59"/>
  <c r="B37" i="59"/>
  <c r="B36" i="59"/>
  <c r="B35" i="59"/>
  <c r="B34" i="59"/>
  <c r="B33" i="59"/>
  <c r="B32" i="59"/>
  <c r="B30" i="59"/>
  <c r="I23" i="59"/>
  <c r="I22" i="59"/>
  <c r="I21" i="59"/>
  <c r="I20" i="59"/>
  <c r="I19" i="59"/>
  <c r="I18" i="59"/>
  <c r="I17" i="59"/>
  <c r="I16" i="59"/>
  <c r="I15" i="59"/>
  <c r="I14" i="59"/>
  <c r="I13" i="59"/>
  <c r="I12" i="59"/>
  <c r="I11" i="59"/>
  <c r="I10" i="59"/>
  <c r="I9" i="59"/>
  <c r="I8" i="59"/>
  <c r="I6" i="59"/>
  <c r="H23" i="59"/>
  <c r="H22" i="59"/>
  <c r="H21" i="59"/>
  <c r="H20" i="59"/>
  <c r="H19" i="59"/>
  <c r="H18" i="59"/>
  <c r="H17" i="59"/>
  <c r="H16" i="59"/>
  <c r="H15" i="59"/>
  <c r="H14" i="59"/>
  <c r="H13" i="59"/>
  <c r="H12" i="59"/>
  <c r="H11" i="59"/>
  <c r="H10" i="59"/>
  <c r="H9" i="59"/>
  <c r="H8" i="59"/>
  <c r="H6" i="59"/>
  <c r="G23" i="59"/>
  <c r="G22" i="59"/>
  <c r="G21" i="59"/>
  <c r="G20" i="59"/>
  <c r="G19" i="59"/>
  <c r="G18" i="59"/>
  <c r="G17" i="59"/>
  <c r="G16" i="59"/>
  <c r="G15" i="59"/>
  <c r="G14" i="59"/>
  <c r="G13" i="59"/>
  <c r="G12" i="59"/>
  <c r="G11" i="59"/>
  <c r="G10" i="59"/>
  <c r="G9" i="59"/>
  <c r="G8" i="59"/>
  <c r="G6" i="59"/>
  <c r="F23" i="59"/>
  <c r="F22" i="59"/>
  <c r="F21" i="59"/>
  <c r="F20" i="59"/>
  <c r="F19" i="59"/>
  <c r="F18" i="59"/>
  <c r="F17" i="59"/>
  <c r="F16" i="59"/>
  <c r="F15" i="59"/>
  <c r="F14" i="59"/>
  <c r="F13" i="59"/>
  <c r="F12" i="59"/>
  <c r="F11" i="59"/>
  <c r="F10" i="59"/>
  <c r="F9" i="59"/>
  <c r="F8" i="59"/>
  <c r="F6" i="59"/>
  <c r="E23" i="59"/>
  <c r="E22" i="59"/>
  <c r="E21" i="59"/>
  <c r="E20" i="59"/>
  <c r="E19" i="59"/>
  <c r="E18" i="59"/>
  <c r="E17" i="59"/>
  <c r="E16" i="59"/>
  <c r="E15" i="59"/>
  <c r="E14" i="59"/>
  <c r="E13" i="59"/>
  <c r="E12" i="59"/>
  <c r="E11" i="59"/>
  <c r="E10" i="59"/>
  <c r="E9" i="59"/>
  <c r="E8" i="59"/>
  <c r="E6" i="59"/>
  <c r="D23" i="59"/>
  <c r="D22" i="59"/>
  <c r="D21" i="59"/>
  <c r="D20" i="59"/>
  <c r="D19" i="59"/>
  <c r="D18" i="59"/>
  <c r="D17" i="59"/>
  <c r="D16" i="59"/>
  <c r="D15" i="59"/>
  <c r="D14" i="59"/>
  <c r="D13" i="59"/>
  <c r="D12" i="59"/>
  <c r="D11" i="59"/>
  <c r="D10" i="59"/>
  <c r="D9" i="59"/>
  <c r="D8" i="59"/>
  <c r="D6" i="59"/>
  <c r="C23" i="59"/>
  <c r="C22" i="59"/>
  <c r="C21" i="59"/>
  <c r="C20" i="59"/>
  <c r="C19" i="59"/>
  <c r="C18" i="59"/>
  <c r="C17" i="59"/>
  <c r="C16" i="59"/>
  <c r="C15" i="59"/>
  <c r="C14" i="59"/>
  <c r="C13" i="59"/>
  <c r="C12" i="59"/>
  <c r="C11" i="59"/>
  <c r="C10" i="59"/>
  <c r="C9" i="59"/>
  <c r="C8" i="59"/>
  <c r="C6" i="59"/>
  <c r="B23" i="59"/>
  <c r="B22" i="59"/>
  <c r="B21" i="59"/>
  <c r="B20" i="59"/>
  <c r="B19" i="59"/>
  <c r="B18" i="59"/>
  <c r="B17" i="59"/>
  <c r="B16" i="59"/>
  <c r="B15" i="59"/>
  <c r="B14" i="59"/>
  <c r="B13" i="59"/>
  <c r="B12" i="59"/>
  <c r="B11" i="59"/>
  <c r="B10" i="59"/>
  <c r="B9" i="59"/>
  <c r="B8" i="59"/>
  <c r="B6" i="59"/>
  <c r="S22" i="59"/>
  <c r="S21" i="59"/>
  <c r="S20" i="59"/>
  <c r="S19" i="59"/>
  <c r="S18" i="59"/>
  <c r="S17" i="59"/>
  <c r="S16" i="59"/>
  <c r="S15" i="59"/>
  <c r="S14" i="59"/>
  <c r="S13" i="59"/>
  <c r="S12" i="59"/>
  <c r="S11" i="59"/>
  <c r="S10" i="59"/>
  <c r="S9" i="59"/>
  <c r="S8" i="59"/>
  <c r="S6" i="59"/>
  <c r="R23" i="59"/>
  <c r="R22" i="59"/>
  <c r="R21" i="59"/>
  <c r="R20" i="59"/>
  <c r="R19" i="59"/>
  <c r="R18" i="59"/>
  <c r="R17" i="59"/>
  <c r="R16" i="59"/>
  <c r="R15" i="59"/>
  <c r="R14" i="59"/>
  <c r="R13" i="59"/>
  <c r="R12" i="59"/>
  <c r="R11" i="59"/>
  <c r="R10" i="59"/>
  <c r="R9" i="59"/>
  <c r="R8" i="59"/>
  <c r="R6" i="59"/>
  <c r="Q23" i="59"/>
  <c r="Q22" i="59"/>
  <c r="Q21" i="59"/>
  <c r="Q20" i="59"/>
  <c r="Q19" i="59"/>
  <c r="Q18" i="59"/>
  <c r="Q17" i="59"/>
  <c r="Q16" i="59"/>
  <c r="Q15" i="59"/>
  <c r="Q14" i="59"/>
  <c r="Q13" i="59"/>
  <c r="Q12" i="59"/>
  <c r="Q11" i="59"/>
  <c r="Q10" i="59"/>
  <c r="Q9" i="59"/>
  <c r="Q8" i="59"/>
  <c r="Q6" i="59"/>
  <c r="P23" i="59"/>
  <c r="P22" i="59"/>
  <c r="P21" i="59"/>
  <c r="P20" i="59"/>
  <c r="P19" i="59"/>
  <c r="P18" i="59"/>
  <c r="P17" i="59"/>
  <c r="P16" i="59"/>
  <c r="P15" i="59"/>
  <c r="P14" i="59"/>
  <c r="P13" i="59"/>
  <c r="P12" i="59"/>
  <c r="P11" i="59"/>
  <c r="P10" i="59"/>
  <c r="P9" i="59"/>
  <c r="P8" i="59"/>
  <c r="P6" i="59"/>
  <c r="O23" i="59"/>
  <c r="O22" i="59"/>
  <c r="O21" i="59"/>
  <c r="O20" i="59"/>
  <c r="O19" i="59"/>
  <c r="O18" i="59"/>
  <c r="O17" i="59"/>
  <c r="O16" i="59"/>
  <c r="O15" i="59"/>
  <c r="O14" i="59"/>
  <c r="O13" i="59"/>
  <c r="O12" i="59"/>
  <c r="O11" i="59"/>
  <c r="O10" i="59"/>
  <c r="O9" i="59"/>
  <c r="O8" i="59"/>
  <c r="O6" i="59"/>
  <c r="N6" i="59"/>
  <c r="N23" i="59"/>
  <c r="N22" i="59"/>
  <c r="N21" i="59"/>
  <c r="N20" i="59"/>
  <c r="N19" i="59"/>
  <c r="N18" i="59"/>
  <c r="N17" i="59"/>
  <c r="N16" i="59"/>
  <c r="N15" i="59"/>
  <c r="N14" i="59"/>
  <c r="N13" i="59"/>
  <c r="N12" i="59"/>
  <c r="N11" i="59"/>
  <c r="N10" i="59"/>
  <c r="N9" i="59"/>
  <c r="N8" i="59"/>
  <c r="B9" i="21"/>
  <c r="J6" i="59" l="1"/>
  <c r="K6" i="59"/>
  <c r="M6" i="59" l="1"/>
  <c r="T6" i="59" s="1"/>
  <c r="D183" i="64"/>
  <c r="C104" i="64"/>
  <c r="C105" i="64"/>
  <c r="C106" i="64"/>
  <c r="C107" i="64"/>
  <c r="C109" i="64"/>
  <c r="C110" i="64"/>
  <c r="C111" i="64"/>
  <c r="C112" i="64"/>
  <c r="C114" i="64"/>
  <c r="C115" i="64"/>
  <c r="C116" i="64"/>
  <c r="C117" i="64"/>
  <c r="C119" i="64"/>
  <c r="C120" i="64"/>
  <c r="C102" i="64"/>
  <c r="E530" i="64" l="1"/>
  <c r="E524" i="64"/>
  <c r="E520" i="64"/>
  <c r="E518" i="64"/>
  <c r="D510" i="64"/>
  <c r="D463" i="64"/>
  <c r="I463" i="64" s="1"/>
  <c r="D461" i="64"/>
  <c r="D453" i="64"/>
  <c r="I453" i="64" s="1"/>
  <c r="D451" i="64"/>
  <c r="D405" i="64"/>
  <c r="I405" i="64" s="1"/>
  <c r="D403" i="64"/>
  <c r="D395" i="64"/>
  <c r="I395" i="64" s="1"/>
  <c r="D393" i="64"/>
  <c r="I393" i="64" s="1"/>
  <c r="D385" i="64"/>
  <c r="D371" i="64"/>
  <c r="D369" i="64"/>
  <c r="I369" i="64" s="1"/>
  <c r="D361" i="64"/>
  <c r="D359" i="64"/>
  <c r="I359" i="64" s="1"/>
  <c r="D340" i="64"/>
  <c r="I340" i="64" s="1"/>
  <c r="D338" i="64"/>
  <c r="D330" i="64"/>
  <c r="D328" i="64"/>
  <c r="I328" i="64" s="1"/>
  <c r="D320" i="64"/>
  <c r="D307" i="64"/>
  <c r="I307" i="64" s="1"/>
  <c r="D305" i="64"/>
  <c r="D297" i="64"/>
  <c r="D295" i="64"/>
  <c r="B7" i="64"/>
  <c r="E499" i="64"/>
  <c r="J499" i="64" s="1"/>
  <c r="E498" i="64"/>
  <c r="J498" i="64" s="1"/>
  <c r="E497" i="64"/>
  <c r="J497" i="64" s="1"/>
  <c r="E496" i="64"/>
  <c r="E494" i="64"/>
  <c r="J494" i="64" s="1"/>
  <c r="E493" i="64"/>
  <c r="E492" i="64"/>
  <c r="J492" i="64" s="1"/>
  <c r="E491" i="64"/>
  <c r="J491" i="64" s="1"/>
  <c r="E489" i="64"/>
  <c r="J489" i="64" s="1"/>
  <c r="E488" i="64"/>
  <c r="E487" i="64"/>
  <c r="J487" i="64" s="1"/>
  <c r="D499" i="64"/>
  <c r="D498" i="64"/>
  <c r="I498" i="64" s="1"/>
  <c r="D497" i="64"/>
  <c r="D496" i="64"/>
  <c r="I496" i="64" s="1"/>
  <c r="D494" i="64"/>
  <c r="I494" i="64" s="1"/>
  <c r="D493" i="64"/>
  <c r="I493" i="64" s="1"/>
  <c r="D492" i="64"/>
  <c r="D491" i="64"/>
  <c r="I491" i="64" s="1"/>
  <c r="D489" i="64"/>
  <c r="D488" i="64"/>
  <c r="I488" i="64" s="1"/>
  <c r="D487" i="64"/>
  <c r="I487" i="64" s="1"/>
  <c r="C499" i="64"/>
  <c r="C498" i="64"/>
  <c r="H498" i="64" s="1"/>
  <c r="C497" i="64"/>
  <c r="C496" i="64"/>
  <c r="C494" i="64"/>
  <c r="C493" i="64"/>
  <c r="C492" i="64"/>
  <c r="C491" i="64"/>
  <c r="C489" i="64"/>
  <c r="C488" i="64"/>
  <c r="C487" i="64"/>
  <c r="E486" i="64"/>
  <c r="C486" i="64"/>
  <c r="G499" i="64"/>
  <c r="B498" i="64"/>
  <c r="B497" i="64"/>
  <c r="G497" i="64" s="1"/>
  <c r="B496" i="64"/>
  <c r="B494" i="64"/>
  <c r="G494" i="64" s="1"/>
  <c r="B493" i="64"/>
  <c r="B492" i="64"/>
  <c r="G492" i="64" s="1"/>
  <c r="B491" i="64"/>
  <c r="B489" i="64"/>
  <c r="G489" i="64" s="1"/>
  <c r="B488" i="64"/>
  <c r="B487" i="64"/>
  <c r="G487" i="64" s="1"/>
  <c r="B486" i="64"/>
  <c r="D53" i="64"/>
  <c r="D51" i="64"/>
  <c r="C47" i="64"/>
  <c r="C45" i="64"/>
  <c r="D43" i="64"/>
  <c r="C41" i="64"/>
  <c r="D46" i="64"/>
  <c r="D48" i="64"/>
  <c r="C50" i="64"/>
  <c r="C52" i="64"/>
  <c r="C55" i="64"/>
  <c r="D56" i="64"/>
  <c r="C57" i="64"/>
  <c r="D58" i="64"/>
  <c r="D72" i="64"/>
  <c r="C73" i="64"/>
  <c r="D74" i="64"/>
  <c r="H74" i="64" s="1"/>
  <c r="C75" i="64"/>
  <c r="D77" i="64"/>
  <c r="C78" i="64"/>
  <c r="G78" i="64" s="1"/>
  <c r="D79" i="64"/>
  <c r="C80" i="64"/>
  <c r="D82" i="64"/>
  <c r="C83" i="64"/>
  <c r="D84" i="64"/>
  <c r="H84" i="64" s="1"/>
  <c r="C85" i="64"/>
  <c r="G85" i="64" s="1"/>
  <c r="D87" i="64"/>
  <c r="C88" i="64"/>
  <c r="D89" i="64"/>
  <c r="C90" i="64"/>
  <c r="G90" i="64" s="1"/>
  <c r="D102" i="64"/>
  <c r="B105" i="64"/>
  <c r="D106" i="64"/>
  <c r="D107" i="64"/>
  <c r="G109" i="64"/>
  <c r="D110" i="64"/>
  <c r="D112" i="64"/>
  <c r="G114" i="64"/>
  <c r="D115" i="64"/>
  <c r="D117" i="64"/>
  <c r="D120" i="64"/>
  <c r="D122" i="64"/>
  <c r="C133" i="64"/>
  <c r="D135" i="64"/>
  <c r="C136" i="64"/>
  <c r="D137" i="64"/>
  <c r="C138" i="64"/>
  <c r="D140" i="64"/>
  <c r="C141" i="64"/>
  <c r="D142" i="64"/>
  <c r="C143" i="64"/>
  <c r="D145" i="64"/>
  <c r="C146" i="64"/>
  <c r="D147" i="64"/>
  <c r="C148" i="64"/>
  <c r="D150" i="64"/>
  <c r="C151" i="64"/>
  <c r="D152" i="64"/>
  <c r="C153" i="64"/>
  <c r="G153" i="64" s="1"/>
  <c r="D164" i="64"/>
  <c r="C166" i="64"/>
  <c r="D167" i="64"/>
  <c r="C168" i="64"/>
  <c r="G168" i="64" s="1"/>
  <c r="D169" i="64"/>
  <c r="H169" i="64" s="1"/>
  <c r="C171" i="64"/>
  <c r="D172" i="64"/>
  <c r="C173" i="64"/>
  <c r="G173" i="64" s="1"/>
  <c r="D174" i="64"/>
  <c r="C176" i="64"/>
  <c r="D177" i="64"/>
  <c r="C178" i="64"/>
  <c r="D179" i="64"/>
  <c r="C181" i="64"/>
  <c r="D182" i="64"/>
  <c r="C183" i="64"/>
  <c r="D184" i="64"/>
  <c r="C195" i="64"/>
  <c r="D197" i="64"/>
  <c r="C198" i="64"/>
  <c r="D199" i="64"/>
  <c r="C200" i="64"/>
  <c r="D202" i="64"/>
  <c r="C203" i="64"/>
  <c r="G203" i="64" s="1"/>
  <c r="D204" i="64"/>
  <c r="C205" i="64"/>
  <c r="D207" i="64"/>
  <c r="C208" i="64"/>
  <c r="D209" i="64"/>
  <c r="C210" i="64"/>
  <c r="D212" i="64"/>
  <c r="H212" i="64" s="1"/>
  <c r="B213" i="64"/>
  <c r="D214" i="64"/>
  <c r="C215" i="64"/>
  <c r="D226" i="64"/>
  <c r="D228" i="64"/>
  <c r="D229" i="64"/>
  <c r="D230" i="64"/>
  <c r="D231" i="64"/>
  <c r="D233" i="64"/>
  <c r="D234" i="64"/>
  <c r="D235" i="64"/>
  <c r="D236" i="64"/>
  <c r="D238" i="64"/>
  <c r="D239" i="64"/>
  <c r="D240" i="64"/>
  <c r="D241" i="64"/>
  <c r="D243" i="64"/>
  <c r="D244" i="64"/>
  <c r="D245" i="64"/>
  <c r="D246" i="64"/>
  <c r="D257" i="64"/>
  <c r="D259" i="64"/>
  <c r="I259" i="64" s="1"/>
  <c r="D260" i="64"/>
  <c r="D261" i="64"/>
  <c r="I261" i="64" s="1"/>
  <c r="D262" i="64"/>
  <c r="D264" i="64"/>
  <c r="I265" i="64"/>
  <c r="D266" i="64"/>
  <c r="I266" i="64" s="1"/>
  <c r="D267" i="64"/>
  <c r="D269" i="64"/>
  <c r="D270" i="64"/>
  <c r="D271" i="64"/>
  <c r="D272" i="64"/>
  <c r="I272" i="64" s="1"/>
  <c r="D274" i="64"/>
  <c r="I274" i="64" s="1"/>
  <c r="D275" i="64"/>
  <c r="D276" i="64"/>
  <c r="I276" i="64" s="1"/>
  <c r="D277" i="64"/>
  <c r="I277" i="64" s="1"/>
  <c r="D288" i="64"/>
  <c r="D290" i="64"/>
  <c r="D291" i="64"/>
  <c r="D292" i="64"/>
  <c r="D293" i="64"/>
  <c r="D296" i="64"/>
  <c r="D298" i="64"/>
  <c r="D300" i="64"/>
  <c r="D301" i="64"/>
  <c r="D302" i="64"/>
  <c r="D303" i="64"/>
  <c r="D306" i="64"/>
  <c r="D308" i="64"/>
  <c r="I308" i="64" s="1"/>
  <c r="D322" i="64"/>
  <c r="D323" i="64"/>
  <c r="D324" i="64"/>
  <c r="D325" i="64"/>
  <c r="D327" i="64"/>
  <c r="I327" i="64" s="1"/>
  <c r="D329" i="64"/>
  <c r="D332" i="64"/>
  <c r="D333" i="64"/>
  <c r="D334" i="64"/>
  <c r="D335" i="64"/>
  <c r="D337" i="64"/>
  <c r="D339" i="64"/>
  <c r="I339" i="64" s="1"/>
  <c r="D352" i="64"/>
  <c r="D354" i="64"/>
  <c r="D355" i="64"/>
  <c r="D356" i="64"/>
  <c r="I356" i="64" s="1"/>
  <c r="D357" i="64"/>
  <c r="D360" i="64"/>
  <c r="I360" i="64" s="1"/>
  <c r="D362" i="64"/>
  <c r="D364" i="64"/>
  <c r="D365" i="64"/>
  <c r="D366" i="64"/>
  <c r="D367" i="64"/>
  <c r="D370" i="64"/>
  <c r="D372" i="64"/>
  <c r="I372" i="64" s="1"/>
  <c r="D387" i="64"/>
  <c r="I387" i="64" s="1"/>
  <c r="D388" i="64"/>
  <c r="D389" i="64"/>
  <c r="I389" i="64" s="1"/>
  <c r="D390" i="64"/>
  <c r="I390" i="64" s="1"/>
  <c r="D392" i="64"/>
  <c r="I392" i="64" s="1"/>
  <c r="D394" i="64"/>
  <c r="D397" i="64"/>
  <c r="I397" i="64" s="1"/>
  <c r="D398" i="64"/>
  <c r="D399" i="64"/>
  <c r="I399" i="64" s="1"/>
  <c r="D400" i="64"/>
  <c r="D402" i="64"/>
  <c r="D404" i="64"/>
  <c r="I424" i="64"/>
  <c r="I425" i="64"/>
  <c r="I426" i="64"/>
  <c r="I427" i="64"/>
  <c r="I429" i="64"/>
  <c r="I430" i="64"/>
  <c r="D448" i="64"/>
  <c r="D450" i="64"/>
  <c r="I450" i="64" s="1"/>
  <c r="D452" i="64"/>
  <c r="I452" i="64" s="1"/>
  <c r="D455" i="64"/>
  <c r="I455" i="64" s="1"/>
  <c r="D456" i="64"/>
  <c r="I456" i="64" s="1"/>
  <c r="D457" i="64"/>
  <c r="D458" i="64"/>
  <c r="I458" i="64" s="1"/>
  <c r="D460" i="64"/>
  <c r="I460" i="64" s="1"/>
  <c r="D462" i="64"/>
  <c r="I462" i="64" s="1"/>
  <c r="D465" i="64"/>
  <c r="I465" i="64" s="1"/>
  <c r="D466" i="64"/>
  <c r="I466" i="64" s="1"/>
  <c r="D467" i="64"/>
  <c r="I467" i="64" s="1"/>
  <c r="D468" i="64"/>
  <c r="I468" i="64" s="1"/>
  <c r="D479" i="64"/>
  <c r="D481" i="64"/>
  <c r="I481" i="64" s="1"/>
  <c r="D482" i="64"/>
  <c r="D483" i="64"/>
  <c r="I483" i="64" s="1"/>
  <c r="D484" i="64"/>
  <c r="D512" i="64"/>
  <c r="I512" i="64" s="1"/>
  <c r="D513" i="64"/>
  <c r="I513" i="64" s="1"/>
  <c r="D514" i="64"/>
  <c r="I514" i="64" s="1"/>
  <c r="D515" i="64"/>
  <c r="I515" i="64" s="1"/>
  <c r="D517" i="64"/>
  <c r="I517" i="64" s="1"/>
  <c r="D519" i="64"/>
  <c r="I519" i="64" s="1"/>
  <c r="E522" i="64"/>
  <c r="E528" i="64"/>
  <c r="J528" i="64" s="1"/>
  <c r="F526" i="64"/>
  <c r="F521" i="64"/>
  <c r="F516" i="64"/>
  <c r="F511" i="64"/>
  <c r="I371" i="64" l="1"/>
  <c r="I337" i="64"/>
  <c r="I305" i="64"/>
  <c r="I366" i="64"/>
  <c r="I297" i="64"/>
  <c r="I361" i="64"/>
  <c r="I329" i="64"/>
  <c r="I324" i="64"/>
  <c r="I292" i="64"/>
  <c r="I486" i="64"/>
  <c r="I269" i="64"/>
  <c r="I364" i="64"/>
  <c r="I300" i="64"/>
  <c r="I332" i="64"/>
  <c r="H420" i="64"/>
  <c r="J420" i="64"/>
  <c r="H421" i="64"/>
  <c r="J421" i="64"/>
  <c r="H422" i="64"/>
  <c r="J422" i="64"/>
  <c r="H424" i="64"/>
  <c r="H425" i="64"/>
  <c r="H426" i="64"/>
  <c r="H427" i="64"/>
  <c r="J427" i="64"/>
  <c r="H429" i="64"/>
  <c r="J429" i="64"/>
  <c r="H430" i="64"/>
  <c r="J430" i="64"/>
  <c r="H431" i="64"/>
  <c r="C448" i="64"/>
  <c r="E448" i="64"/>
  <c r="C450" i="64"/>
  <c r="E450" i="64"/>
  <c r="C451" i="64"/>
  <c r="H451" i="64" s="1"/>
  <c r="E451" i="64"/>
  <c r="J451" i="64" s="1"/>
  <c r="C452" i="64"/>
  <c r="H452" i="64" s="1"/>
  <c r="E452" i="64"/>
  <c r="J452" i="64" s="1"/>
  <c r="C453" i="64"/>
  <c r="H453" i="64" s="1"/>
  <c r="E453" i="64"/>
  <c r="J453" i="64" s="1"/>
  <c r="C455" i="64"/>
  <c r="E455" i="64"/>
  <c r="C456" i="64"/>
  <c r="H456" i="64" s="1"/>
  <c r="E456" i="64"/>
  <c r="C457" i="64"/>
  <c r="E457" i="64"/>
  <c r="C458" i="64"/>
  <c r="H458" i="64" s="1"/>
  <c r="E458" i="64"/>
  <c r="J458" i="64" s="1"/>
  <c r="C460" i="64"/>
  <c r="H460" i="64" s="1"/>
  <c r="E460" i="64"/>
  <c r="J460" i="64" s="1"/>
  <c r="C461" i="64"/>
  <c r="H461" i="64" s="1"/>
  <c r="E461" i="64"/>
  <c r="J461" i="64" s="1"/>
  <c r="C462" i="64"/>
  <c r="E462" i="64"/>
  <c r="C463" i="64"/>
  <c r="H463" i="64" s="1"/>
  <c r="E463" i="64"/>
  <c r="J463" i="64" s="1"/>
  <c r="C465" i="64"/>
  <c r="H465" i="64" s="1"/>
  <c r="E465" i="64"/>
  <c r="C466" i="64"/>
  <c r="H466" i="64" s="1"/>
  <c r="E466" i="64"/>
  <c r="J466" i="64" s="1"/>
  <c r="C467" i="64"/>
  <c r="H467" i="64" s="1"/>
  <c r="E467" i="64"/>
  <c r="J467" i="64" s="1"/>
  <c r="C468" i="64"/>
  <c r="H468" i="64" s="1"/>
  <c r="E468" i="64"/>
  <c r="J468" i="64" s="1"/>
  <c r="C479" i="64"/>
  <c r="E479" i="64"/>
  <c r="C481" i="64"/>
  <c r="H491" i="64" s="1"/>
  <c r="E481" i="64"/>
  <c r="C482" i="64"/>
  <c r="H482" i="64" s="1"/>
  <c r="E482" i="64"/>
  <c r="J482" i="64" s="1"/>
  <c r="C483" i="64"/>
  <c r="H483" i="64" s="1"/>
  <c r="E483" i="64"/>
  <c r="J483" i="64" s="1"/>
  <c r="C484" i="64"/>
  <c r="H484" i="64" s="1"/>
  <c r="E484" i="64"/>
  <c r="J484" i="64" s="1"/>
  <c r="C510" i="64"/>
  <c r="E510" i="64"/>
  <c r="C512" i="64"/>
  <c r="H512" i="64" s="1"/>
  <c r="E512" i="64"/>
  <c r="J512" i="64" s="1"/>
  <c r="C513" i="64"/>
  <c r="H513" i="64" s="1"/>
  <c r="E513" i="64"/>
  <c r="J513" i="64" s="1"/>
  <c r="C514" i="64"/>
  <c r="H514" i="64" s="1"/>
  <c r="E514" i="64"/>
  <c r="J514" i="64" s="1"/>
  <c r="C515" i="64"/>
  <c r="H515" i="64" s="1"/>
  <c r="E515" i="64"/>
  <c r="J515" i="64" s="1"/>
  <c r="C517" i="64"/>
  <c r="H517" i="64" s="1"/>
  <c r="E517" i="64"/>
  <c r="J517" i="64" s="1"/>
  <c r="C518" i="64"/>
  <c r="H518" i="64" s="1"/>
  <c r="C519" i="64"/>
  <c r="E519" i="64"/>
  <c r="C520" i="64"/>
  <c r="H520" i="64" s="1"/>
  <c r="C522" i="64"/>
  <c r="H522" i="64" s="1"/>
  <c r="C523" i="64"/>
  <c r="H523" i="64" s="1"/>
  <c r="E523" i="64"/>
  <c r="J523" i="64" s="1"/>
  <c r="C524" i="64"/>
  <c r="H524" i="64" s="1"/>
  <c r="C525" i="64"/>
  <c r="H525" i="64" s="1"/>
  <c r="E525" i="64"/>
  <c r="J525" i="64" s="1"/>
  <c r="C527" i="64"/>
  <c r="H527" i="64" s="1"/>
  <c r="E527" i="64"/>
  <c r="J527" i="64" s="1"/>
  <c r="C528" i="64"/>
  <c r="H528" i="64" s="1"/>
  <c r="C529" i="64"/>
  <c r="H529" i="64" s="1"/>
  <c r="E529" i="64"/>
  <c r="J529" i="64" s="1"/>
  <c r="C530" i="64"/>
  <c r="H530" i="64" s="1"/>
  <c r="J530" i="64"/>
  <c r="J524" i="64"/>
  <c r="J522" i="64"/>
  <c r="J520" i="64"/>
  <c r="J518" i="64"/>
  <c r="G420" i="64"/>
  <c r="G421" i="64"/>
  <c r="G422" i="64"/>
  <c r="G427" i="64"/>
  <c r="G429" i="64"/>
  <c r="G430" i="64"/>
  <c r="G432" i="64"/>
  <c r="B448" i="64"/>
  <c r="B450" i="64"/>
  <c r="B451" i="64"/>
  <c r="G451" i="64" s="1"/>
  <c r="B452" i="64"/>
  <c r="G452" i="64" s="1"/>
  <c r="B453" i="64"/>
  <c r="G453" i="64" s="1"/>
  <c r="B455" i="64"/>
  <c r="B456" i="64"/>
  <c r="B457" i="64"/>
  <c r="B458" i="64"/>
  <c r="G458" i="64" s="1"/>
  <c r="B460" i="64"/>
  <c r="G460" i="64" s="1"/>
  <c r="B461" i="64"/>
  <c r="G461" i="64" s="1"/>
  <c r="B462" i="64"/>
  <c r="B463" i="64"/>
  <c r="G463" i="64" s="1"/>
  <c r="B465" i="64"/>
  <c r="B466" i="64"/>
  <c r="G466" i="64" s="1"/>
  <c r="B467" i="64"/>
  <c r="G467" i="64" s="1"/>
  <c r="B468" i="64"/>
  <c r="G468" i="64" s="1"/>
  <c r="B479" i="64"/>
  <c r="B481" i="64"/>
  <c r="B482" i="64"/>
  <c r="G482" i="64" s="1"/>
  <c r="B483" i="64"/>
  <c r="G483" i="64" s="1"/>
  <c r="B484" i="64"/>
  <c r="G484" i="64" s="1"/>
  <c r="B510" i="64"/>
  <c r="B512" i="64"/>
  <c r="G512" i="64" s="1"/>
  <c r="B513" i="64"/>
  <c r="G513" i="64" s="1"/>
  <c r="B514" i="64"/>
  <c r="G514" i="64" s="1"/>
  <c r="B515" i="64"/>
  <c r="G515" i="64" s="1"/>
  <c r="B517" i="64"/>
  <c r="G517" i="64" s="1"/>
  <c r="B518" i="64"/>
  <c r="G518" i="64" s="1"/>
  <c r="D518" i="64"/>
  <c r="I518" i="64" s="1"/>
  <c r="B519" i="64"/>
  <c r="B520" i="64"/>
  <c r="G520" i="64" s="1"/>
  <c r="D520" i="64"/>
  <c r="I520" i="64" s="1"/>
  <c r="B522" i="64"/>
  <c r="G522" i="64" s="1"/>
  <c r="D522" i="64"/>
  <c r="I522" i="64" s="1"/>
  <c r="B523" i="64"/>
  <c r="G523" i="64" s="1"/>
  <c r="D523" i="64"/>
  <c r="I523" i="64" s="1"/>
  <c r="B524" i="64"/>
  <c r="G524" i="64" s="1"/>
  <c r="D524" i="64"/>
  <c r="I524" i="64" s="1"/>
  <c r="B525" i="64"/>
  <c r="G525" i="64" s="1"/>
  <c r="D525" i="64"/>
  <c r="I525" i="64" s="1"/>
  <c r="B527" i="64"/>
  <c r="G527" i="64" s="1"/>
  <c r="D527" i="64"/>
  <c r="I527" i="64" s="1"/>
  <c r="B528" i="64"/>
  <c r="G528" i="64" s="1"/>
  <c r="D528" i="64"/>
  <c r="I528" i="64" s="1"/>
  <c r="B529" i="64"/>
  <c r="G529" i="64" s="1"/>
  <c r="D529" i="64"/>
  <c r="I529" i="64" s="1"/>
  <c r="B530" i="64"/>
  <c r="G530" i="64" s="1"/>
  <c r="D530" i="64"/>
  <c r="I530" i="64" s="1"/>
  <c r="C228" i="64"/>
  <c r="E228" i="64"/>
  <c r="C229" i="64"/>
  <c r="E229" i="64"/>
  <c r="C230" i="64"/>
  <c r="E230" i="64"/>
  <c r="C231" i="64"/>
  <c r="E231" i="64"/>
  <c r="C233" i="64"/>
  <c r="E233" i="64"/>
  <c r="C234" i="64"/>
  <c r="E234" i="64"/>
  <c r="C235" i="64"/>
  <c r="E235" i="64"/>
  <c r="C236" i="64"/>
  <c r="E236" i="64"/>
  <c r="C238" i="64"/>
  <c r="E238" i="64"/>
  <c r="C239" i="64"/>
  <c r="E239" i="64"/>
  <c r="C240" i="64"/>
  <c r="E240" i="64"/>
  <c r="C241" i="64"/>
  <c r="E241" i="64"/>
  <c r="C243" i="64"/>
  <c r="E243" i="64"/>
  <c r="C244" i="64"/>
  <c r="E244" i="64"/>
  <c r="C245" i="64"/>
  <c r="E245" i="64"/>
  <c r="C246" i="64"/>
  <c r="E246" i="64"/>
  <c r="C257" i="64"/>
  <c r="E257" i="64"/>
  <c r="C259" i="64"/>
  <c r="H259" i="64" s="1"/>
  <c r="E259" i="64"/>
  <c r="J259" i="64" s="1"/>
  <c r="C260" i="64"/>
  <c r="H260" i="64" s="1"/>
  <c r="E260" i="64"/>
  <c r="J260" i="64" s="1"/>
  <c r="C261" i="64"/>
  <c r="H261" i="64" s="1"/>
  <c r="E261" i="64"/>
  <c r="J261" i="64" s="1"/>
  <c r="C262" i="64"/>
  <c r="C264" i="64"/>
  <c r="H264" i="64" s="1"/>
  <c r="E264" i="64"/>
  <c r="C265" i="64"/>
  <c r="H265" i="64" s="1"/>
  <c r="E265" i="64"/>
  <c r="C266" i="64"/>
  <c r="H266" i="64" s="1"/>
  <c r="E266" i="64"/>
  <c r="C267" i="64"/>
  <c r="H267" i="64" s="1"/>
  <c r="E267" i="64"/>
  <c r="J267" i="64" s="1"/>
  <c r="E269" i="64"/>
  <c r="C270" i="64"/>
  <c r="H270" i="64" s="1"/>
  <c r="E270" i="64"/>
  <c r="J270" i="64" s="1"/>
  <c r="C271" i="64"/>
  <c r="E271" i="64"/>
  <c r="C272" i="64"/>
  <c r="H272" i="64" s="1"/>
  <c r="E272" i="64"/>
  <c r="J272" i="64" s="1"/>
  <c r="C274" i="64"/>
  <c r="H274" i="64" s="1"/>
  <c r="E274" i="64"/>
  <c r="J274" i="64" s="1"/>
  <c r="C275" i="64"/>
  <c r="E275" i="64"/>
  <c r="C276" i="64"/>
  <c r="H276" i="64" s="1"/>
  <c r="E276" i="64"/>
  <c r="J276" i="64" s="1"/>
  <c r="C277" i="64"/>
  <c r="E277" i="64"/>
  <c r="C288" i="64"/>
  <c r="E288" i="64"/>
  <c r="C290" i="64"/>
  <c r="E290" i="64"/>
  <c r="C291" i="64"/>
  <c r="H291" i="64" s="1"/>
  <c r="E291" i="64"/>
  <c r="E292" i="64"/>
  <c r="C293" i="64"/>
  <c r="E293" i="64"/>
  <c r="C295" i="64"/>
  <c r="H295" i="64" s="1"/>
  <c r="E295" i="64"/>
  <c r="C296" i="64"/>
  <c r="H296" i="64" s="1"/>
  <c r="E296" i="64"/>
  <c r="C297" i="64"/>
  <c r="E297" i="64"/>
  <c r="C298" i="64"/>
  <c r="E298" i="64"/>
  <c r="C300" i="64"/>
  <c r="E300" i="64"/>
  <c r="C301" i="64"/>
  <c r="E301" i="64"/>
  <c r="C302" i="64"/>
  <c r="E302" i="64"/>
  <c r="C303" i="64"/>
  <c r="E303" i="64"/>
  <c r="C305" i="64"/>
  <c r="E305" i="64"/>
  <c r="C306" i="64"/>
  <c r="E306" i="64"/>
  <c r="C307" i="64"/>
  <c r="H307" i="64" s="1"/>
  <c r="E307" i="64"/>
  <c r="J307" i="64" s="1"/>
  <c r="H308" i="64"/>
  <c r="E308" i="64"/>
  <c r="J308" i="64" s="1"/>
  <c r="C320" i="64"/>
  <c r="E320" i="64"/>
  <c r="C322" i="64"/>
  <c r="E322" i="64"/>
  <c r="C323" i="64"/>
  <c r="E323" i="64"/>
  <c r="C324" i="64"/>
  <c r="E324" i="64"/>
  <c r="C325" i="64"/>
  <c r="E325" i="64"/>
  <c r="C327" i="64"/>
  <c r="H327" i="64" s="1"/>
  <c r="E327" i="64"/>
  <c r="C328" i="64"/>
  <c r="H328" i="64" s="1"/>
  <c r="E328" i="64"/>
  <c r="C329" i="64"/>
  <c r="E329" i="64"/>
  <c r="C330" i="64"/>
  <c r="E330" i="64"/>
  <c r="C332" i="64"/>
  <c r="E332" i="64"/>
  <c r="E333" i="64"/>
  <c r="C334" i="64"/>
  <c r="E334" i="64"/>
  <c r="C335" i="64"/>
  <c r="E335" i="64"/>
  <c r="C337" i="64"/>
  <c r="E337" i="64"/>
  <c r="C338" i="64"/>
  <c r="E338" i="64"/>
  <c r="C339" i="64"/>
  <c r="H339" i="64" s="1"/>
  <c r="E339" i="64"/>
  <c r="J339" i="64" s="1"/>
  <c r="C340" i="64"/>
  <c r="H340" i="64" s="1"/>
  <c r="E340" i="64"/>
  <c r="C352" i="64"/>
  <c r="E352" i="64"/>
  <c r="C354" i="64"/>
  <c r="E354" i="64"/>
  <c r="C355" i="64"/>
  <c r="E355" i="64"/>
  <c r="C356" i="64"/>
  <c r="H356" i="64" s="1"/>
  <c r="E356" i="64"/>
  <c r="J356" i="64" s="1"/>
  <c r="C357" i="64"/>
  <c r="E357" i="64"/>
  <c r="C359" i="64"/>
  <c r="E359" i="64"/>
  <c r="C360" i="64"/>
  <c r="E360" i="64"/>
  <c r="C361" i="64"/>
  <c r="E361" i="64"/>
  <c r="C362" i="64"/>
  <c r="E362" i="64"/>
  <c r="C364" i="64"/>
  <c r="E364" i="64"/>
  <c r="C365" i="64"/>
  <c r="E365" i="64"/>
  <c r="C366" i="64"/>
  <c r="E366" i="64"/>
  <c r="C367" i="64"/>
  <c r="E367" i="64"/>
  <c r="C369" i="64"/>
  <c r="H369" i="64" s="1"/>
  <c r="E369" i="64"/>
  <c r="C370" i="64"/>
  <c r="E370" i="64"/>
  <c r="C371" i="64"/>
  <c r="E371" i="64"/>
  <c r="C372" i="64"/>
  <c r="E372" i="64"/>
  <c r="C385" i="64"/>
  <c r="E385" i="64"/>
  <c r="C387" i="64"/>
  <c r="H387" i="64" s="1"/>
  <c r="E387" i="64"/>
  <c r="J387" i="64" s="1"/>
  <c r="C388" i="64"/>
  <c r="H388" i="64" s="1"/>
  <c r="E388" i="64"/>
  <c r="J388" i="64" s="1"/>
  <c r="C389" i="64"/>
  <c r="H389" i="64" s="1"/>
  <c r="E389" i="64"/>
  <c r="J389" i="64" s="1"/>
  <c r="C390" i="64"/>
  <c r="H390" i="64" s="1"/>
  <c r="E390" i="64"/>
  <c r="J390" i="64" s="1"/>
  <c r="C392" i="64"/>
  <c r="H392" i="64" s="1"/>
  <c r="E392" i="64"/>
  <c r="J392" i="64" s="1"/>
  <c r="C393" i="64"/>
  <c r="H393" i="64" s="1"/>
  <c r="E393" i="64"/>
  <c r="J393" i="64" s="1"/>
  <c r="C394" i="64"/>
  <c r="H394" i="64" s="1"/>
  <c r="E394" i="64"/>
  <c r="J394" i="64" s="1"/>
  <c r="C395" i="64"/>
  <c r="H395" i="64" s="1"/>
  <c r="E395" i="64"/>
  <c r="J395" i="64" s="1"/>
  <c r="C397" i="64"/>
  <c r="H397" i="64" s="1"/>
  <c r="E397" i="64"/>
  <c r="J397" i="64" s="1"/>
  <c r="C398" i="64"/>
  <c r="H398" i="64" s="1"/>
  <c r="E398" i="64"/>
  <c r="J398" i="64" s="1"/>
  <c r="C399" i="64"/>
  <c r="H399" i="64" s="1"/>
  <c r="E399" i="64"/>
  <c r="J399" i="64" s="1"/>
  <c r="C400" i="64"/>
  <c r="H400" i="64" s="1"/>
  <c r="E400" i="64"/>
  <c r="J400" i="64" s="1"/>
  <c r="C402" i="64"/>
  <c r="H402" i="64" s="1"/>
  <c r="E402" i="64"/>
  <c r="J402" i="64" s="1"/>
  <c r="C403" i="64"/>
  <c r="E403" i="64"/>
  <c r="C404" i="64"/>
  <c r="E404" i="64"/>
  <c r="C405" i="64"/>
  <c r="H405" i="64" s="1"/>
  <c r="E405" i="64"/>
  <c r="J405" i="64" s="1"/>
  <c r="B228" i="64"/>
  <c r="B229" i="64"/>
  <c r="B230" i="64"/>
  <c r="B231" i="64"/>
  <c r="B233" i="64"/>
  <c r="B234" i="64"/>
  <c r="B235" i="64"/>
  <c r="B236" i="64"/>
  <c r="B238" i="64"/>
  <c r="B239" i="64"/>
  <c r="B240" i="64"/>
  <c r="B241" i="64"/>
  <c r="B243" i="64"/>
  <c r="B244" i="64"/>
  <c r="B245" i="64"/>
  <c r="B246" i="64"/>
  <c r="B257" i="64"/>
  <c r="B259" i="64"/>
  <c r="G259" i="64" s="1"/>
  <c r="B260" i="64"/>
  <c r="G260" i="64" s="1"/>
  <c r="B261" i="64"/>
  <c r="G261" i="64" s="1"/>
  <c r="B262" i="64"/>
  <c r="B264" i="64"/>
  <c r="B265" i="64"/>
  <c r="G265" i="64" s="1"/>
  <c r="B266" i="64"/>
  <c r="B267" i="64"/>
  <c r="G267" i="64" s="1"/>
  <c r="B269" i="64"/>
  <c r="G269" i="64" s="1"/>
  <c r="B270" i="64"/>
  <c r="G270" i="64" s="1"/>
  <c r="B271" i="64"/>
  <c r="B272" i="64"/>
  <c r="G272" i="64" s="1"/>
  <c r="B274" i="64"/>
  <c r="G274" i="64" s="1"/>
  <c r="B275" i="64"/>
  <c r="B276" i="64"/>
  <c r="G276" i="64" s="1"/>
  <c r="B277" i="64"/>
  <c r="B288" i="64"/>
  <c r="B290" i="64"/>
  <c r="B291" i="64"/>
  <c r="B292" i="64"/>
  <c r="B293" i="64"/>
  <c r="B295" i="64"/>
  <c r="B296" i="64"/>
  <c r="B297" i="64"/>
  <c r="B298" i="64"/>
  <c r="B300" i="64"/>
  <c r="B301" i="64"/>
  <c r="B302" i="64"/>
  <c r="B303" i="64"/>
  <c r="B305" i="64"/>
  <c r="B306" i="64"/>
  <c r="B307" i="64"/>
  <c r="G307" i="64" s="1"/>
  <c r="B308" i="64"/>
  <c r="G308" i="64" s="1"/>
  <c r="B320" i="64"/>
  <c r="B322" i="64"/>
  <c r="B323" i="64"/>
  <c r="B324" i="64"/>
  <c r="B325" i="64"/>
  <c r="B327" i="64"/>
  <c r="B328" i="64"/>
  <c r="B329" i="64"/>
  <c r="B330" i="64"/>
  <c r="B332" i="64"/>
  <c r="B333" i="64"/>
  <c r="B334" i="64"/>
  <c r="B335" i="64"/>
  <c r="B337" i="64"/>
  <c r="B338" i="64"/>
  <c r="B339" i="64"/>
  <c r="G339" i="64" s="1"/>
  <c r="B340" i="64"/>
  <c r="B352" i="64"/>
  <c r="B354" i="64"/>
  <c r="B355" i="64"/>
  <c r="B356" i="64"/>
  <c r="G356" i="64" s="1"/>
  <c r="B357" i="64"/>
  <c r="B359" i="64"/>
  <c r="B360" i="64"/>
  <c r="B361" i="64"/>
  <c r="B362" i="64"/>
  <c r="B364" i="64"/>
  <c r="B365" i="64"/>
  <c r="B366" i="64"/>
  <c r="B367" i="64"/>
  <c r="B369" i="64"/>
  <c r="B370" i="64"/>
  <c r="B372" i="64"/>
  <c r="B385" i="64"/>
  <c r="B387" i="64"/>
  <c r="G387" i="64" s="1"/>
  <c r="B388" i="64"/>
  <c r="G388" i="64" s="1"/>
  <c r="B389" i="64"/>
  <c r="G389" i="64" s="1"/>
  <c r="B390" i="64"/>
  <c r="G390" i="64" s="1"/>
  <c r="B392" i="64"/>
  <c r="G392" i="64" s="1"/>
  <c r="B393" i="64"/>
  <c r="G393" i="64" s="1"/>
  <c r="B394" i="64"/>
  <c r="G394" i="64" s="1"/>
  <c r="B395" i="64"/>
  <c r="G395" i="64" s="1"/>
  <c r="B397" i="64"/>
  <c r="G397" i="64" s="1"/>
  <c r="B398" i="64"/>
  <c r="G398" i="64" s="1"/>
  <c r="B399" i="64"/>
  <c r="G399" i="64" s="1"/>
  <c r="B400" i="64"/>
  <c r="G400" i="64" s="1"/>
  <c r="B402" i="64"/>
  <c r="G402" i="64" s="1"/>
  <c r="B403" i="64"/>
  <c r="B404" i="64"/>
  <c r="B405" i="64"/>
  <c r="G405" i="64" s="1"/>
  <c r="D41" i="64"/>
  <c r="C43" i="64"/>
  <c r="D45" i="64"/>
  <c r="C46" i="64"/>
  <c r="D47" i="64"/>
  <c r="C48" i="64"/>
  <c r="D50" i="64"/>
  <c r="C51" i="64"/>
  <c r="D52" i="64"/>
  <c r="C53" i="64"/>
  <c r="D55" i="64"/>
  <c r="C56" i="64"/>
  <c r="D57" i="64"/>
  <c r="C58" i="64"/>
  <c r="E58" i="64" s="1"/>
  <c r="C72" i="64"/>
  <c r="B73" i="64"/>
  <c r="D73" i="64"/>
  <c r="C74" i="64"/>
  <c r="G74" i="64" s="1"/>
  <c r="B75" i="64"/>
  <c r="D75" i="64"/>
  <c r="C77" i="64"/>
  <c r="B78" i="64"/>
  <c r="F78" i="64" s="1"/>
  <c r="D78" i="64"/>
  <c r="H78" i="64" s="1"/>
  <c r="C79" i="64"/>
  <c r="B80" i="64"/>
  <c r="D80" i="64"/>
  <c r="C82" i="64"/>
  <c r="B83" i="64"/>
  <c r="D83" i="64"/>
  <c r="C84" i="64"/>
  <c r="G84" i="64" s="1"/>
  <c r="B85" i="64"/>
  <c r="F85" i="64" s="1"/>
  <c r="D85" i="64"/>
  <c r="H85" i="64" s="1"/>
  <c r="C87" i="64"/>
  <c r="B88" i="64"/>
  <c r="D88" i="64"/>
  <c r="C89" i="64"/>
  <c r="B90" i="64"/>
  <c r="F90" i="64" s="1"/>
  <c r="D90" i="64"/>
  <c r="H90" i="64" s="1"/>
  <c r="B104" i="64"/>
  <c r="D104" i="64"/>
  <c r="G106" i="64"/>
  <c r="D105" i="64"/>
  <c r="B109" i="64"/>
  <c r="D109" i="64"/>
  <c r="B111" i="64"/>
  <c r="D111" i="64"/>
  <c r="B114" i="64"/>
  <c r="D114" i="64"/>
  <c r="H114" i="64" s="1"/>
  <c r="B116" i="64"/>
  <c r="D116" i="64"/>
  <c r="B119" i="64"/>
  <c r="D119" i="64"/>
  <c r="B121" i="64"/>
  <c r="D121" i="64"/>
  <c r="C122" i="64"/>
  <c r="B133" i="64"/>
  <c r="D133" i="64"/>
  <c r="C135" i="64"/>
  <c r="B136" i="64"/>
  <c r="D136" i="64"/>
  <c r="C137" i="64"/>
  <c r="B138" i="64"/>
  <c r="D138" i="64"/>
  <c r="C140" i="64"/>
  <c r="B141" i="64"/>
  <c r="D141" i="64"/>
  <c r="C142" i="64"/>
  <c r="B143" i="64"/>
  <c r="D143" i="64"/>
  <c r="C145" i="64"/>
  <c r="B146" i="64"/>
  <c r="D146" i="64"/>
  <c r="C147" i="64"/>
  <c r="G147" i="64" s="1"/>
  <c r="B148" i="64"/>
  <c r="D148" i="64"/>
  <c r="C150" i="64"/>
  <c r="B151" i="64"/>
  <c r="D151" i="64"/>
  <c r="C152" i="64"/>
  <c r="B153" i="64"/>
  <c r="F153" i="64" s="1"/>
  <c r="D153" i="64"/>
  <c r="H153" i="64" s="1"/>
  <c r="C164" i="64"/>
  <c r="B166" i="64"/>
  <c r="D166" i="64"/>
  <c r="C167" i="64"/>
  <c r="B168" i="64"/>
  <c r="F168" i="64" s="1"/>
  <c r="D168" i="64"/>
  <c r="H168" i="64" s="1"/>
  <c r="C169" i="64"/>
  <c r="G169" i="64" s="1"/>
  <c r="B171" i="64"/>
  <c r="D171" i="64"/>
  <c r="C172" i="64"/>
  <c r="B173" i="64"/>
  <c r="D173" i="64"/>
  <c r="C174" i="64"/>
  <c r="G174" i="64" s="1"/>
  <c r="B176" i="64"/>
  <c r="D176" i="64"/>
  <c r="C177" i="64"/>
  <c r="B178" i="64"/>
  <c r="D178" i="64"/>
  <c r="C179" i="64"/>
  <c r="B181" i="64"/>
  <c r="D181" i="64"/>
  <c r="C182" i="64"/>
  <c r="B183" i="64"/>
  <c r="C184" i="64"/>
  <c r="B195" i="64"/>
  <c r="D195" i="64"/>
  <c r="C197" i="64"/>
  <c r="B198" i="64"/>
  <c r="D198" i="64"/>
  <c r="C199" i="64"/>
  <c r="G199" i="64" s="1"/>
  <c r="B200" i="64"/>
  <c r="D200" i="64"/>
  <c r="C202" i="64"/>
  <c r="G202" i="64" s="1"/>
  <c r="B203" i="64"/>
  <c r="F203" i="64" s="1"/>
  <c r="D203" i="64"/>
  <c r="H203" i="64" s="1"/>
  <c r="C204" i="64"/>
  <c r="B205" i="64"/>
  <c r="D205" i="64"/>
  <c r="C207" i="64"/>
  <c r="G207" i="64" s="1"/>
  <c r="B208" i="64"/>
  <c r="D208" i="64"/>
  <c r="C209" i="64"/>
  <c r="B210" i="64"/>
  <c r="D210" i="64"/>
  <c r="D213" i="64"/>
  <c r="C214" i="64"/>
  <c r="B215" i="64"/>
  <c r="D215" i="64"/>
  <c r="C212" i="64"/>
  <c r="G212" i="64" s="1"/>
  <c r="C213" i="64"/>
  <c r="C226" i="64"/>
  <c r="E226" i="64"/>
  <c r="B72" i="64"/>
  <c r="B74" i="64"/>
  <c r="F74" i="64" s="1"/>
  <c r="B77" i="64"/>
  <c r="B79" i="64"/>
  <c r="B82" i="64"/>
  <c r="B84" i="64"/>
  <c r="F84" i="64" s="1"/>
  <c r="B87" i="64"/>
  <c r="B89" i="64"/>
  <c r="B102" i="64"/>
  <c r="B106" i="64"/>
  <c r="B107" i="64"/>
  <c r="B110" i="64"/>
  <c r="B112" i="64"/>
  <c r="B115" i="64"/>
  <c r="B117" i="64"/>
  <c r="B120" i="64"/>
  <c r="B122" i="64"/>
  <c r="B135" i="64"/>
  <c r="B137" i="64"/>
  <c r="B140" i="64"/>
  <c r="B142" i="64"/>
  <c r="B145" i="64"/>
  <c r="B147" i="64"/>
  <c r="B150" i="64"/>
  <c r="B152" i="64"/>
  <c r="B164" i="64"/>
  <c r="B167" i="64"/>
  <c r="B169" i="64"/>
  <c r="F169" i="64" s="1"/>
  <c r="B172" i="64"/>
  <c r="B174" i="64"/>
  <c r="B177" i="64"/>
  <c r="B179" i="64"/>
  <c r="B182" i="64"/>
  <c r="B184" i="64"/>
  <c r="B197" i="64"/>
  <c r="B199" i="64"/>
  <c r="F199" i="64" s="1"/>
  <c r="B202" i="64"/>
  <c r="B204" i="64"/>
  <c r="B207" i="64"/>
  <c r="F207" i="64" s="1"/>
  <c r="B209" i="64"/>
  <c r="B214" i="64"/>
  <c r="B212" i="64"/>
  <c r="F212" i="64" s="1"/>
  <c r="B226" i="64"/>
  <c r="D26" i="64"/>
  <c r="B26" i="64"/>
  <c r="C26" i="64"/>
  <c r="D24" i="64"/>
  <c r="B24" i="64"/>
  <c r="C24" i="64"/>
  <c r="D21" i="64"/>
  <c r="B21" i="64"/>
  <c r="C21" i="64"/>
  <c r="D19" i="64"/>
  <c r="B19" i="64"/>
  <c r="C19" i="64"/>
  <c r="D16" i="64"/>
  <c r="B16" i="64"/>
  <c r="C16" i="64"/>
  <c r="D14" i="64"/>
  <c r="B14" i="64"/>
  <c r="C14" i="64"/>
  <c r="D11" i="64"/>
  <c r="B11" i="64"/>
  <c r="D9" i="64"/>
  <c r="B9" i="64"/>
  <c r="C9" i="64"/>
  <c r="C7" i="64"/>
  <c r="D7" i="64"/>
  <c r="C27" i="64"/>
  <c r="D27" i="64"/>
  <c r="B27" i="64"/>
  <c r="C25" i="64"/>
  <c r="D25" i="64"/>
  <c r="B25" i="64"/>
  <c r="C22" i="64"/>
  <c r="D22" i="64"/>
  <c r="B22" i="64"/>
  <c r="C20" i="64"/>
  <c r="D20" i="64"/>
  <c r="B20" i="64"/>
  <c r="C17" i="64"/>
  <c r="B17" i="64"/>
  <c r="D17" i="64"/>
  <c r="C15" i="64"/>
  <c r="D15" i="64"/>
  <c r="B15" i="64"/>
  <c r="C12" i="64"/>
  <c r="D12" i="64"/>
  <c r="B12" i="64"/>
  <c r="C10" i="64"/>
  <c r="B10" i="64"/>
  <c r="D10" i="64"/>
  <c r="I419" i="64"/>
  <c r="I420" i="64"/>
  <c r="I421" i="64"/>
  <c r="I422" i="64"/>
  <c r="F488" i="64"/>
  <c r="F496" i="64"/>
  <c r="I264" i="64"/>
  <c r="I271" i="64"/>
  <c r="I295" i="64"/>
  <c r="I431" i="64"/>
  <c r="E38" i="64"/>
  <c r="E42" i="64"/>
  <c r="E70" i="64"/>
  <c r="G198" i="64"/>
  <c r="H199" i="64"/>
  <c r="H207" i="64"/>
  <c r="I260" i="64"/>
  <c r="I262" i="64"/>
  <c r="I267" i="64"/>
  <c r="I270" i="64"/>
  <c r="I293" i="64"/>
  <c r="I296" i="64"/>
  <c r="H150" i="64"/>
  <c r="I275" i="64"/>
  <c r="I301" i="64"/>
  <c r="I303" i="64"/>
  <c r="I325" i="64"/>
  <c r="I357" i="64"/>
  <c r="I394" i="64"/>
  <c r="I398" i="64"/>
  <c r="I400" i="64"/>
  <c r="I402" i="64"/>
  <c r="I451" i="64"/>
  <c r="I457" i="64"/>
  <c r="I461" i="64"/>
  <c r="I482" i="64"/>
  <c r="I484" i="64"/>
  <c r="F486" i="64"/>
  <c r="I489" i="64"/>
  <c r="F491" i="64"/>
  <c r="G491" i="64"/>
  <c r="I492" i="64"/>
  <c r="F493" i="64"/>
  <c r="I497" i="64"/>
  <c r="F498" i="64"/>
  <c r="K498" i="64" s="1"/>
  <c r="G498" i="64"/>
  <c r="I499" i="64"/>
  <c r="E40" i="64"/>
  <c r="I228" i="64"/>
  <c r="I229" i="64"/>
  <c r="I230" i="64"/>
  <c r="I231" i="64"/>
  <c r="I233" i="64"/>
  <c r="I234" i="64"/>
  <c r="I235" i="64"/>
  <c r="I236" i="64"/>
  <c r="I238" i="64"/>
  <c r="I239" i="64"/>
  <c r="I240" i="64"/>
  <c r="I241" i="64"/>
  <c r="I243" i="64"/>
  <c r="I244" i="64"/>
  <c r="I245" i="64"/>
  <c r="I403" i="64"/>
  <c r="I388" i="64"/>
  <c r="I246" i="64"/>
  <c r="I291" i="64"/>
  <c r="I323" i="64"/>
  <c r="I367" i="64"/>
  <c r="I298" i="64"/>
  <c r="I302" i="64"/>
  <c r="I404" i="64"/>
  <c r="I432" i="64"/>
  <c r="I434" i="64"/>
  <c r="I435" i="64"/>
  <c r="I436" i="64"/>
  <c r="I437" i="64"/>
  <c r="G435" i="64"/>
  <c r="G436" i="64"/>
  <c r="G437" i="64"/>
  <c r="H487" i="64"/>
  <c r="H489" i="64"/>
  <c r="H492" i="64"/>
  <c r="H494" i="64"/>
  <c r="H497" i="64"/>
  <c r="H499" i="64"/>
  <c r="G73" i="64" l="1"/>
  <c r="F173" i="64"/>
  <c r="H173" i="64"/>
  <c r="F73" i="64"/>
  <c r="H73" i="64"/>
  <c r="H455" i="64"/>
  <c r="H106" i="64"/>
  <c r="H147" i="64"/>
  <c r="J465" i="64"/>
  <c r="G465" i="64"/>
  <c r="H174" i="64"/>
  <c r="F174" i="64"/>
  <c r="F147" i="64"/>
  <c r="F106" i="64"/>
  <c r="G115" i="64"/>
  <c r="G121" i="64"/>
  <c r="H404" i="64"/>
  <c r="G214" i="64"/>
  <c r="H371" i="64"/>
  <c r="H370" i="64"/>
  <c r="H338" i="64"/>
  <c r="H306" i="64"/>
  <c r="H275" i="64"/>
  <c r="H403" i="64"/>
  <c r="G181" i="64"/>
  <c r="H305" i="64"/>
  <c r="H337" i="64"/>
  <c r="G178" i="64"/>
  <c r="G112" i="64"/>
  <c r="G116" i="64"/>
  <c r="H334" i="64"/>
  <c r="H302" i="64"/>
  <c r="H271" i="64"/>
  <c r="H462" i="64"/>
  <c r="G209" i="64"/>
  <c r="H366" i="64"/>
  <c r="G177" i="64"/>
  <c r="G146" i="64"/>
  <c r="G83" i="64"/>
  <c r="G208" i="64"/>
  <c r="G176" i="64"/>
  <c r="H329" i="64"/>
  <c r="H360" i="64"/>
  <c r="G142" i="64"/>
  <c r="G79" i="64"/>
  <c r="H297" i="64"/>
  <c r="H457" i="64"/>
  <c r="G205" i="64"/>
  <c r="G80" i="64"/>
  <c r="H298" i="64"/>
  <c r="G143" i="64"/>
  <c r="H361" i="64"/>
  <c r="G204" i="64"/>
  <c r="H325" i="64"/>
  <c r="G137" i="64"/>
  <c r="H357" i="64"/>
  <c r="H324" i="64"/>
  <c r="H293" i="64"/>
  <c r="H262" i="64"/>
  <c r="H292" i="64"/>
  <c r="H323" i="64"/>
  <c r="H204" i="64"/>
  <c r="J292" i="64"/>
  <c r="H87" i="64"/>
  <c r="F87" i="64"/>
  <c r="G340" i="64"/>
  <c r="J340" i="64"/>
  <c r="G292" i="64"/>
  <c r="F204" i="64"/>
  <c r="G87" i="64"/>
  <c r="H372" i="64"/>
  <c r="H362" i="64"/>
  <c r="H330" i="64"/>
  <c r="G72" i="64"/>
  <c r="E215" i="64"/>
  <c r="E200" i="64"/>
  <c r="F257" i="64"/>
  <c r="F479" i="64"/>
  <c r="F425" i="64"/>
  <c r="J262" i="64"/>
  <c r="J277" i="64"/>
  <c r="E151" i="64"/>
  <c r="J333" i="64"/>
  <c r="J323" i="64"/>
  <c r="J302" i="64"/>
  <c r="F114" i="64"/>
  <c r="E114" i="64"/>
  <c r="I114" i="64" s="1"/>
  <c r="J322" i="64"/>
  <c r="J329" i="64"/>
  <c r="J297" i="64"/>
  <c r="J291" i="64"/>
  <c r="J275" i="64"/>
  <c r="H277" i="64"/>
  <c r="E122" i="64"/>
  <c r="G105" i="64"/>
  <c r="E145" i="64"/>
  <c r="E115" i="64"/>
  <c r="F419" i="64"/>
  <c r="E105" i="64"/>
  <c r="E184" i="64"/>
  <c r="E135" i="64"/>
  <c r="F208" i="64"/>
  <c r="J481" i="64"/>
  <c r="E79" i="64"/>
  <c r="J493" i="64"/>
  <c r="F359" i="64"/>
  <c r="E89" i="64"/>
  <c r="J488" i="64"/>
  <c r="E11" i="64"/>
  <c r="E181" i="64"/>
  <c r="E176" i="64"/>
  <c r="E171" i="64"/>
  <c r="E141" i="64"/>
  <c r="G122" i="64"/>
  <c r="E119" i="64"/>
  <c r="E109" i="64"/>
  <c r="E88" i="64"/>
  <c r="E75" i="64"/>
  <c r="E55" i="64"/>
  <c r="E45" i="64"/>
  <c r="E41" i="64"/>
  <c r="E22" i="64"/>
  <c r="E183" i="64"/>
  <c r="E26" i="64"/>
  <c r="E210" i="64"/>
  <c r="E148" i="64"/>
  <c r="F367" i="64"/>
  <c r="E116" i="64"/>
  <c r="E52" i="64"/>
  <c r="G328" i="64"/>
  <c r="J519" i="64"/>
  <c r="G266" i="64"/>
  <c r="G262" i="64"/>
  <c r="G419" i="64"/>
  <c r="G290" i="64"/>
  <c r="J327" i="64"/>
  <c r="J295" i="64"/>
  <c r="J305" i="64"/>
  <c r="J298" i="64"/>
  <c r="J335" i="64"/>
  <c r="J271" i="64"/>
  <c r="E48" i="64"/>
  <c r="H83" i="64"/>
  <c r="G50" i="64"/>
  <c r="G371" i="64"/>
  <c r="E16" i="64"/>
  <c r="G277" i="64"/>
  <c r="H202" i="64"/>
  <c r="G295" i="64"/>
  <c r="G238" i="64"/>
  <c r="G462" i="64"/>
  <c r="E12" i="64"/>
  <c r="F10" i="64"/>
  <c r="G135" i="64"/>
  <c r="G367" i="64"/>
  <c r="G228" i="64"/>
  <c r="E166" i="64"/>
  <c r="G19" i="64"/>
  <c r="G21" i="64"/>
  <c r="G496" i="64"/>
  <c r="F430" i="64"/>
  <c r="K430" i="64" s="1"/>
  <c r="F427" i="64"/>
  <c r="K427" i="64" s="1"/>
  <c r="E78" i="64"/>
  <c r="I78" i="64" s="1"/>
  <c r="E21" i="64"/>
  <c r="F276" i="64"/>
  <c r="K276" i="64" s="1"/>
  <c r="F458" i="64"/>
  <c r="K458" i="64" s="1"/>
  <c r="F426" i="64"/>
  <c r="F424" i="64"/>
  <c r="E172" i="64"/>
  <c r="I172" i="64" s="1"/>
  <c r="G22" i="64"/>
  <c r="H198" i="64"/>
  <c r="H141" i="64"/>
  <c r="E82" i="64"/>
  <c r="E51" i="64"/>
  <c r="G335" i="64"/>
  <c r="G334" i="64"/>
  <c r="G300" i="64"/>
  <c r="G301" i="64"/>
  <c r="G243" i="64"/>
  <c r="G233" i="64"/>
  <c r="F332" i="64"/>
  <c r="G117" i="64"/>
  <c r="G40" i="64"/>
  <c r="F397" i="64"/>
  <c r="K397" i="64" s="1"/>
  <c r="F214" i="64"/>
  <c r="E142" i="64"/>
  <c r="E112" i="64"/>
  <c r="G172" i="64"/>
  <c r="G52" i="64"/>
  <c r="G148" i="64"/>
  <c r="G110" i="64"/>
  <c r="F324" i="64"/>
  <c r="H167" i="64"/>
  <c r="F122" i="64"/>
  <c r="E17" i="64"/>
  <c r="E27" i="64"/>
  <c r="E7" i="64"/>
  <c r="E19" i="64"/>
  <c r="F417" i="64"/>
  <c r="F389" i="64"/>
  <c r="K389" i="64" s="1"/>
  <c r="F387" i="64"/>
  <c r="K387" i="64" s="1"/>
  <c r="G365" i="64"/>
  <c r="G364" i="64"/>
  <c r="G327" i="64"/>
  <c r="G325" i="64"/>
  <c r="G298" i="64"/>
  <c r="G293" i="64"/>
  <c r="G297" i="64"/>
  <c r="G230" i="64"/>
  <c r="J371" i="64"/>
  <c r="F369" i="64"/>
  <c r="F361" i="64"/>
  <c r="F354" i="64"/>
  <c r="J338" i="64"/>
  <c r="J337" i="64"/>
  <c r="J334" i="64"/>
  <c r="J330" i="64"/>
  <c r="J325" i="64"/>
  <c r="F320" i="64"/>
  <c r="J306" i="64"/>
  <c r="J303" i="64"/>
  <c r="J301" i="64"/>
  <c r="J296" i="64"/>
  <c r="J293" i="64"/>
  <c r="J290" i="64"/>
  <c r="J266" i="64"/>
  <c r="J264" i="64"/>
  <c r="G488" i="64"/>
  <c r="J486" i="64"/>
  <c r="F210" i="64"/>
  <c r="G215" i="64"/>
  <c r="G166" i="64"/>
  <c r="G434" i="64"/>
  <c r="G12" i="64"/>
  <c r="F12" i="64"/>
  <c r="G14" i="64"/>
  <c r="G24" i="64"/>
  <c r="J496" i="64"/>
  <c r="F452" i="64"/>
  <c r="K452" i="64" s="1"/>
  <c r="F421" i="64"/>
  <c r="K421" i="64" s="1"/>
  <c r="F388" i="64"/>
  <c r="K388" i="64" s="1"/>
  <c r="G366" i="64"/>
  <c r="G302" i="64"/>
  <c r="G403" i="64"/>
  <c r="F393" i="64"/>
  <c r="K393" i="64" s="1"/>
  <c r="G338" i="64"/>
  <c r="G330" i="64"/>
  <c r="G275" i="64"/>
  <c r="G450" i="64"/>
  <c r="E203" i="64"/>
  <c r="I203" i="64" s="1"/>
  <c r="E197" i="64"/>
  <c r="E177" i="64"/>
  <c r="E167" i="64"/>
  <c r="E72" i="64"/>
  <c r="E24" i="64"/>
  <c r="E14" i="64"/>
  <c r="F213" i="64"/>
  <c r="E204" i="64"/>
  <c r="E138" i="64"/>
  <c r="E106" i="64"/>
  <c r="E85" i="64"/>
  <c r="I85" i="64" s="1"/>
  <c r="G183" i="64"/>
  <c r="G57" i="64"/>
  <c r="G46" i="64"/>
  <c r="G245" i="64"/>
  <c r="G240" i="64"/>
  <c r="G235" i="64"/>
  <c r="G141" i="64"/>
  <c r="G89" i="64"/>
  <c r="G9" i="64"/>
  <c r="G15" i="64"/>
  <c r="F527" i="64"/>
  <c r="K527" i="64" s="1"/>
  <c r="F522" i="64"/>
  <c r="F460" i="64"/>
  <c r="K460" i="64" s="1"/>
  <c r="F405" i="64"/>
  <c r="K405" i="64" s="1"/>
  <c r="H176" i="64"/>
  <c r="H151" i="64"/>
  <c r="F107" i="64"/>
  <c r="H42" i="64"/>
  <c r="H10" i="64"/>
  <c r="E10" i="64"/>
  <c r="E15" i="64"/>
  <c r="F17" i="64"/>
  <c r="E20" i="64"/>
  <c r="E25" i="64"/>
  <c r="G25" i="64"/>
  <c r="E207" i="64"/>
  <c r="I207" i="64" s="1"/>
  <c r="F202" i="64"/>
  <c r="F215" i="64"/>
  <c r="E152" i="64"/>
  <c r="E137" i="64"/>
  <c r="E117" i="64"/>
  <c r="E107" i="64"/>
  <c r="E102" i="64"/>
  <c r="E77" i="64"/>
  <c r="E56" i="64"/>
  <c r="E46" i="64"/>
  <c r="G213" i="64"/>
  <c r="H210" i="64"/>
  <c r="E205" i="64"/>
  <c r="H208" i="64"/>
  <c r="E198" i="64"/>
  <c r="G179" i="64"/>
  <c r="E178" i="64"/>
  <c r="H171" i="64"/>
  <c r="H166" i="64"/>
  <c r="E153" i="64"/>
  <c r="I153" i="64" s="1"/>
  <c r="E146" i="64"/>
  <c r="G145" i="64"/>
  <c r="E143" i="64"/>
  <c r="E140" i="64"/>
  <c r="H140" i="64"/>
  <c r="G138" i="64"/>
  <c r="E121" i="64"/>
  <c r="G120" i="64"/>
  <c r="E111" i="64"/>
  <c r="E110" i="64"/>
  <c r="H117" i="64"/>
  <c r="G107" i="64"/>
  <c r="E104" i="64"/>
  <c r="E83" i="64"/>
  <c r="E80" i="64"/>
  <c r="E57" i="64"/>
  <c r="E53" i="64"/>
  <c r="E50" i="64"/>
  <c r="E47" i="64"/>
  <c r="G45" i="64"/>
  <c r="F385" i="64"/>
  <c r="F371" i="64"/>
  <c r="G369" i="64"/>
  <c r="F366" i="64"/>
  <c r="F364" i="64"/>
  <c r="G359" i="64"/>
  <c r="F356" i="64"/>
  <c r="K356" i="64" s="1"/>
  <c r="G355" i="64"/>
  <c r="G333" i="64"/>
  <c r="G324" i="64"/>
  <c r="G305" i="64"/>
  <c r="F292" i="64"/>
  <c r="F290" i="64"/>
  <c r="G264" i="64"/>
  <c r="G229" i="64"/>
  <c r="F365" i="64"/>
  <c r="F352" i="64"/>
  <c r="F322" i="64"/>
  <c r="F301" i="64"/>
  <c r="H300" i="64"/>
  <c r="F288" i="64"/>
  <c r="F269" i="64"/>
  <c r="F529" i="64"/>
  <c r="K529" i="64" s="1"/>
  <c r="F524" i="64"/>
  <c r="K524" i="64" s="1"/>
  <c r="G519" i="64"/>
  <c r="F462" i="64"/>
  <c r="G457" i="64"/>
  <c r="G455" i="64"/>
  <c r="G456" i="64"/>
  <c r="F422" i="64"/>
  <c r="K422" i="64" s="1"/>
  <c r="F420" i="64"/>
  <c r="K420" i="64" s="1"/>
  <c r="F519" i="64"/>
  <c r="F510" i="64"/>
  <c r="F448" i="64"/>
  <c r="F431" i="64"/>
  <c r="F429" i="64"/>
  <c r="K429" i="64" s="1"/>
  <c r="G493" i="64"/>
  <c r="G486" i="64"/>
  <c r="F450" i="64"/>
  <c r="G404" i="64"/>
  <c r="F390" i="64"/>
  <c r="K390" i="64" s="1"/>
  <c r="G370" i="64"/>
  <c r="G329" i="64"/>
  <c r="G296" i="64"/>
  <c r="F399" i="64"/>
  <c r="K399" i="64" s="1"/>
  <c r="F395" i="64"/>
  <c r="K395" i="64" s="1"/>
  <c r="G362" i="64"/>
  <c r="G360" i="64"/>
  <c r="G357" i="64"/>
  <c r="G323" i="64"/>
  <c r="G303" i="64"/>
  <c r="G291" i="64"/>
  <c r="G246" i="64"/>
  <c r="H214" i="64"/>
  <c r="E199" i="64"/>
  <c r="I199" i="64" s="1"/>
  <c r="G197" i="64"/>
  <c r="E179" i="64"/>
  <c r="E173" i="64"/>
  <c r="E169" i="64"/>
  <c r="I169" i="64" s="1"/>
  <c r="E147" i="64"/>
  <c r="E90" i="64"/>
  <c r="I90" i="64" s="1"/>
  <c r="E84" i="64"/>
  <c r="I84" i="64" s="1"/>
  <c r="E74" i="64"/>
  <c r="I74" i="64" s="1"/>
  <c r="E43" i="64"/>
  <c r="F27" i="64"/>
  <c r="F25" i="64"/>
  <c r="F22" i="64"/>
  <c r="F20" i="64"/>
  <c r="F15" i="64"/>
  <c r="E9" i="64"/>
  <c r="E209" i="64"/>
  <c r="E202" i="64"/>
  <c r="E174" i="64"/>
  <c r="E168" i="64"/>
  <c r="I168" i="64" s="1"/>
  <c r="E136" i="64"/>
  <c r="E120" i="64"/>
  <c r="E87" i="64"/>
  <c r="E73" i="64"/>
  <c r="G11" i="64"/>
  <c r="G152" i="64"/>
  <c r="G119" i="64"/>
  <c r="G82" i="64"/>
  <c r="G56" i="64"/>
  <c r="G47" i="64"/>
  <c r="G26" i="64"/>
  <c r="G16" i="64"/>
  <c r="G244" i="64"/>
  <c r="G241" i="64"/>
  <c r="G239" i="64"/>
  <c r="G236" i="64"/>
  <c r="G234" i="64"/>
  <c r="G231" i="64"/>
  <c r="G151" i="64"/>
  <c r="G111" i="64"/>
  <c r="G55" i="64"/>
  <c r="G27" i="64"/>
  <c r="F483" i="64"/>
  <c r="K483" i="64" s="1"/>
  <c r="F481" i="64"/>
  <c r="F334" i="64"/>
  <c r="F327" i="64"/>
  <c r="F261" i="64"/>
  <c r="K261" i="64" s="1"/>
  <c r="F259" i="64"/>
  <c r="K259" i="64" s="1"/>
  <c r="H177" i="64"/>
  <c r="F329" i="64"/>
  <c r="F266" i="64"/>
  <c r="F456" i="64"/>
  <c r="F372" i="64"/>
  <c r="E150" i="64"/>
  <c r="I150" i="64" s="1"/>
  <c r="H111" i="64"/>
  <c r="F52" i="64"/>
  <c r="H110" i="64"/>
  <c r="F121" i="64"/>
  <c r="F77" i="64"/>
  <c r="H488" i="64"/>
  <c r="H519" i="64"/>
  <c r="H493" i="64"/>
  <c r="H486" i="64"/>
  <c r="F9" i="64"/>
  <c r="G332" i="64"/>
  <c r="J328" i="64"/>
  <c r="F209" i="64"/>
  <c r="F26" i="64"/>
  <c r="F24" i="64"/>
  <c r="F21" i="64"/>
  <c r="F19" i="64"/>
  <c r="F16" i="64"/>
  <c r="F14" i="64"/>
  <c r="F11" i="64"/>
  <c r="G88" i="64"/>
  <c r="G77" i="64"/>
  <c r="F337" i="64"/>
  <c r="F200" i="64"/>
  <c r="H116" i="64"/>
  <c r="F183" i="64"/>
  <c r="E164" i="64"/>
  <c r="E195" i="64"/>
  <c r="G184" i="64"/>
  <c r="F146" i="64"/>
  <c r="F181" i="64"/>
  <c r="F136" i="64"/>
  <c r="F145" i="64"/>
  <c r="F135" i="64"/>
  <c r="F182" i="64"/>
  <c r="F80" i="64"/>
  <c r="F75" i="64"/>
  <c r="H364" i="64"/>
  <c r="H332" i="64"/>
  <c r="E213" i="64"/>
  <c r="G167" i="64"/>
  <c r="G41" i="64"/>
  <c r="E182" i="64"/>
  <c r="G182" i="64"/>
  <c r="G53" i="64"/>
  <c r="G43" i="64"/>
  <c r="G58" i="64"/>
  <c r="G51" i="64"/>
  <c r="G48" i="64"/>
  <c r="F403" i="64"/>
  <c r="H269" i="64"/>
  <c r="H496" i="64"/>
  <c r="J269" i="64"/>
  <c r="J265" i="64"/>
  <c r="E208" i="64"/>
  <c r="E214" i="64"/>
  <c r="F42" i="64"/>
  <c r="G42" i="64"/>
  <c r="H137" i="64"/>
  <c r="H11" i="64"/>
  <c r="J324" i="64"/>
  <c r="F137" i="64"/>
  <c r="H48" i="64"/>
  <c r="H19" i="64"/>
  <c r="G10" i="64"/>
  <c r="H14" i="64"/>
  <c r="F177" i="64"/>
  <c r="F172" i="64"/>
  <c r="F167" i="64"/>
  <c r="F152" i="64"/>
  <c r="F142" i="64"/>
  <c r="F117" i="64"/>
  <c r="F112" i="64"/>
  <c r="F104" i="64"/>
  <c r="F56" i="64"/>
  <c r="F51" i="64"/>
  <c r="F45" i="64"/>
  <c r="H200" i="64"/>
  <c r="G210" i="64"/>
  <c r="F171" i="64"/>
  <c r="F178" i="64"/>
  <c r="F151" i="64"/>
  <c r="H148" i="64"/>
  <c r="F141" i="64"/>
  <c r="H135" i="64"/>
  <c r="E133" i="64"/>
  <c r="H121" i="64"/>
  <c r="F111" i="64"/>
  <c r="H120" i="64"/>
  <c r="H107" i="64"/>
  <c r="H80" i="64"/>
  <c r="H79" i="64"/>
  <c r="G75" i="64"/>
  <c r="G17" i="64"/>
  <c r="G20" i="64"/>
  <c r="G200" i="64"/>
  <c r="H184" i="64"/>
  <c r="H181" i="64"/>
  <c r="H145" i="64"/>
  <c r="H138" i="64"/>
  <c r="H89" i="64"/>
  <c r="G136" i="64"/>
  <c r="G104" i="64"/>
  <c r="H17" i="64"/>
  <c r="H58" i="64"/>
  <c r="H41" i="64"/>
  <c r="E212" i="64"/>
  <c r="I212" i="64" s="1"/>
  <c r="J364" i="64"/>
  <c r="J332" i="64"/>
  <c r="J300" i="64"/>
  <c r="H40" i="64"/>
  <c r="H359" i="64"/>
  <c r="G171" i="64"/>
  <c r="G140" i="64"/>
  <c r="G150" i="64"/>
  <c r="H56" i="64"/>
  <c r="I330" i="64"/>
  <c r="F58" i="64"/>
  <c r="J426" i="64"/>
  <c r="F119" i="64"/>
  <c r="F89" i="64"/>
  <c r="F83" i="64"/>
  <c r="F79" i="64"/>
  <c r="F72" i="64"/>
  <c r="J367" i="64"/>
  <c r="F339" i="64"/>
  <c r="K339" i="64" s="1"/>
  <c r="J431" i="64"/>
  <c r="J419" i="64"/>
  <c r="H367" i="64"/>
  <c r="G424" i="64"/>
  <c r="J424" i="64"/>
  <c r="J425" i="64"/>
  <c r="F291" i="64"/>
  <c r="J370" i="64"/>
  <c r="F48" i="64"/>
  <c r="F437" i="64"/>
  <c r="K437" i="64" s="1"/>
  <c r="F245" i="64"/>
  <c r="F243" i="64"/>
  <c r="F240" i="64"/>
  <c r="F238" i="64"/>
  <c r="F235" i="64"/>
  <c r="F233" i="64"/>
  <c r="F230" i="64"/>
  <c r="F228" i="64"/>
  <c r="F515" i="64"/>
  <c r="K515" i="64" s="1"/>
  <c r="F487" i="64"/>
  <c r="K487" i="64" s="1"/>
  <c r="F436" i="64"/>
  <c r="K436" i="64" s="1"/>
  <c r="F340" i="64"/>
  <c r="F338" i="64"/>
  <c r="F328" i="64"/>
  <c r="G426" i="64"/>
  <c r="F306" i="64"/>
  <c r="F184" i="64"/>
  <c r="H152" i="64"/>
  <c r="F138" i="64"/>
  <c r="H122" i="64"/>
  <c r="F57" i="64"/>
  <c r="F46" i="64"/>
  <c r="F246" i="64"/>
  <c r="F244" i="64"/>
  <c r="F241" i="64"/>
  <c r="F239" i="64"/>
  <c r="F236" i="64"/>
  <c r="F234" i="64"/>
  <c r="F231" i="64"/>
  <c r="F229" i="64"/>
  <c r="H20" i="64"/>
  <c r="J361" i="64"/>
  <c r="I338" i="64"/>
  <c r="F197" i="64"/>
  <c r="H172" i="64"/>
  <c r="F148" i="64"/>
  <c r="F110" i="64"/>
  <c r="H105" i="64"/>
  <c r="I306" i="64"/>
  <c r="I290" i="64"/>
  <c r="F434" i="64"/>
  <c r="F260" i="64"/>
  <c r="J372" i="64"/>
  <c r="J365" i="64"/>
  <c r="H354" i="64"/>
  <c r="G425" i="64"/>
  <c r="G431" i="64"/>
  <c r="I362" i="64"/>
  <c r="G354" i="64"/>
  <c r="G372" i="64"/>
  <c r="I335" i="64"/>
  <c r="I333" i="64"/>
  <c r="G322" i="64"/>
  <c r="F308" i="64"/>
  <c r="K308" i="64" s="1"/>
  <c r="F300" i="64"/>
  <c r="F296" i="64"/>
  <c r="H205" i="64"/>
  <c r="H215" i="64"/>
  <c r="H197" i="64"/>
  <c r="H182" i="64"/>
  <c r="H178" i="64"/>
  <c r="F166" i="64"/>
  <c r="F150" i="64"/>
  <c r="F143" i="64"/>
  <c r="F140" i="64"/>
  <c r="F120" i="64"/>
  <c r="F116" i="64"/>
  <c r="F105" i="64"/>
  <c r="F88" i="64"/>
  <c r="F82" i="64"/>
  <c r="H75" i="64"/>
  <c r="F53" i="64"/>
  <c r="F50" i="64"/>
  <c r="F47" i="64"/>
  <c r="F43" i="64"/>
  <c r="F40" i="64"/>
  <c r="H25" i="64"/>
  <c r="F55" i="64"/>
  <c r="H50" i="64"/>
  <c r="H45" i="64"/>
  <c r="H27" i="64"/>
  <c r="H22" i="64"/>
  <c r="H12" i="64"/>
  <c r="F271" i="64"/>
  <c r="F264" i="64"/>
  <c r="H209" i="64"/>
  <c r="F205" i="64"/>
  <c r="G306" i="64"/>
  <c r="H183" i="64"/>
  <c r="H26" i="64"/>
  <c r="H179" i="64"/>
  <c r="H115" i="64"/>
  <c r="H82" i="64"/>
  <c r="H57" i="64"/>
  <c r="H43" i="64"/>
  <c r="H16" i="64"/>
  <c r="H21" i="64"/>
  <c r="I355" i="64"/>
  <c r="I354" i="64"/>
  <c r="I334" i="64"/>
  <c r="I322" i="64"/>
  <c r="H419" i="64"/>
  <c r="G481" i="64"/>
  <c r="I370" i="64"/>
  <c r="F517" i="64"/>
  <c r="K517" i="64" s="1"/>
  <c r="F514" i="64"/>
  <c r="K514" i="64" s="1"/>
  <c r="F512" i="64"/>
  <c r="K512" i="64" s="1"/>
  <c r="F468" i="64"/>
  <c r="K468" i="64" s="1"/>
  <c r="F466" i="64"/>
  <c r="K466" i="64" s="1"/>
  <c r="F370" i="64"/>
  <c r="I365" i="64"/>
  <c r="G361" i="64"/>
  <c r="G337" i="64"/>
  <c r="F302" i="64"/>
  <c r="F298" i="64"/>
  <c r="H213" i="64"/>
  <c r="F179" i="64"/>
  <c r="F176" i="64"/>
  <c r="H146" i="64"/>
  <c r="H142" i="64"/>
  <c r="H136" i="64"/>
  <c r="F115" i="64"/>
  <c r="H112" i="64"/>
  <c r="F109" i="64"/>
  <c r="H104" i="64"/>
  <c r="H77" i="64"/>
  <c r="H52" i="64"/>
  <c r="H46" i="64"/>
  <c r="H15" i="64"/>
  <c r="H55" i="64"/>
  <c r="H51" i="64"/>
  <c r="F41" i="64"/>
  <c r="H24" i="64"/>
  <c r="H9" i="64"/>
  <c r="G271" i="64"/>
  <c r="H143" i="64"/>
  <c r="F274" i="64"/>
  <c r="F198" i="64"/>
  <c r="H119" i="64"/>
  <c r="H109" i="64"/>
  <c r="H88" i="64"/>
  <c r="H72" i="64"/>
  <c r="H47" i="64"/>
  <c r="H53" i="64"/>
  <c r="J437" i="64"/>
  <c r="J436" i="64"/>
  <c r="J435" i="64"/>
  <c r="J434" i="64"/>
  <c r="J432" i="64"/>
  <c r="J245" i="64"/>
  <c r="J244" i="64"/>
  <c r="J243" i="64"/>
  <c r="J241" i="64"/>
  <c r="J240" i="64"/>
  <c r="J239" i="64"/>
  <c r="J238" i="64"/>
  <c r="J236" i="64"/>
  <c r="J235" i="64"/>
  <c r="J234" i="64"/>
  <c r="J233" i="64"/>
  <c r="J231" i="64"/>
  <c r="J230" i="64"/>
  <c r="J229" i="64"/>
  <c r="J228" i="64"/>
  <c r="F530" i="64"/>
  <c r="K530" i="64" s="1"/>
  <c r="F525" i="64"/>
  <c r="K525" i="64" s="1"/>
  <c r="F520" i="64"/>
  <c r="K520" i="64" s="1"/>
  <c r="F518" i="64"/>
  <c r="K518" i="64" s="1"/>
  <c r="F513" i="64"/>
  <c r="F497" i="64"/>
  <c r="K497" i="64" s="1"/>
  <c r="F494" i="64"/>
  <c r="K494" i="64" s="1"/>
  <c r="F492" i="64"/>
  <c r="K492" i="64" s="1"/>
  <c r="F482" i="64"/>
  <c r="K491" i="64" s="1"/>
  <c r="F465" i="64"/>
  <c r="F461" i="64"/>
  <c r="K461" i="64" s="1"/>
  <c r="F455" i="64"/>
  <c r="J450" i="64"/>
  <c r="F435" i="64"/>
  <c r="F432" i="64"/>
  <c r="H481" i="64"/>
  <c r="J457" i="64"/>
  <c r="J456" i="64"/>
  <c r="J455" i="64"/>
  <c r="F355" i="64"/>
  <c r="F323" i="64"/>
  <c r="J404" i="64"/>
  <c r="J403" i="64"/>
  <c r="F400" i="64"/>
  <c r="K400" i="64" s="1"/>
  <c r="H335" i="64"/>
  <c r="H333" i="64"/>
  <c r="J369" i="64"/>
  <c r="J366" i="64"/>
  <c r="J360" i="64"/>
  <c r="F307" i="64"/>
  <c r="K307" i="64" s="1"/>
  <c r="F297" i="64"/>
  <c r="F277" i="64"/>
  <c r="F275" i="64"/>
  <c r="F265" i="64"/>
  <c r="F362" i="64"/>
  <c r="J359" i="64"/>
  <c r="F357" i="64"/>
  <c r="J354" i="64"/>
  <c r="F335" i="64"/>
  <c r="H290" i="64"/>
  <c r="F270" i="64"/>
  <c r="K270" i="64" s="1"/>
  <c r="J246" i="64"/>
  <c r="H437" i="64"/>
  <c r="H436" i="64"/>
  <c r="H435" i="64"/>
  <c r="H434" i="64"/>
  <c r="H432" i="64"/>
  <c r="H246" i="64"/>
  <c r="H245" i="64"/>
  <c r="H244" i="64"/>
  <c r="H243" i="64"/>
  <c r="H241" i="64"/>
  <c r="H240" i="64"/>
  <c r="H239" i="64"/>
  <c r="H238" i="64"/>
  <c r="H236" i="64"/>
  <c r="H235" i="64"/>
  <c r="H234" i="64"/>
  <c r="H233" i="64"/>
  <c r="H231" i="64"/>
  <c r="H230" i="64"/>
  <c r="H229" i="64"/>
  <c r="H228" i="64"/>
  <c r="F226" i="64"/>
  <c r="F528" i="64"/>
  <c r="K528" i="64" s="1"/>
  <c r="F523" i="64"/>
  <c r="K523" i="64" s="1"/>
  <c r="F499" i="64"/>
  <c r="F489" i="64"/>
  <c r="F484" i="64"/>
  <c r="K484" i="64" s="1"/>
  <c r="F467" i="64"/>
  <c r="K467" i="64" s="1"/>
  <c r="F463" i="64"/>
  <c r="K463" i="64" s="1"/>
  <c r="F457" i="64"/>
  <c r="H450" i="64"/>
  <c r="J462" i="64"/>
  <c r="F453" i="64"/>
  <c r="K453" i="64" s="1"/>
  <c r="F404" i="64"/>
  <c r="F402" i="64"/>
  <c r="K402" i="64" s="1"/>
  <c r="H355" i="64"/>
  <c r="H303" i="64"/>
  <c r="H301" i="64"/>
  <c r="F451" i="64"/>
  <c r="F360" i="64"/>
  <c r="F305" i="64"/>
  <c r="F303" i="64"/>
  <c r="F272" i="64"/>
  <c r="K272" i="64" s="1"/>
  <c r="F392" i="64"/>
  <c r="K392" i="64" s="1"/>
  <c r="J362" i="64"/>
  <c r="J357" i="64"/>
  <c r="J355" i="64"/>
  <c r="H365" i="64"/>
  <c r="F333" i="64"/>
  <c r="F330" i="64"/>
  <c r="F325" i="64"/>
  <c r="H322" i="64"/>
  <c r="F295" i="64"/>
  <c r="F293" i="64"/>
  <c r="F267" i="64"/>
  <c r="F262" i="64"/>
  <c r="F398" i="64"/>
  <c r="K398" i="64" s="1"/>
  <c r="F394" i="64"/>
  <c r="K394" i="64" s="1"/>
  <c r="I73" i="64" l="1"/>
  <c r="I173" i="64"/>
  <c r="K465" i="64"/>
  <c r="I174" i="64"/>
  <c r="I147" i="64"/>
  <c r="I106" i="64"/>
  <c r="K340" i="64"/>
  <c r="K292" i="64"/>
  <c r="I204" i="64"/>
  <c r="I87" i="64"/>
  <c r="K234" i="64"/>
  <c r="I43" i="64"/>
  <c r="I72" i="64"/>
  <c r="I122" i="64"/>
  <c r="I79" i="64"/>
  <c r="I83" i="64"/>
  <c r="I48" i="64"/>
  <c r="I58" i="64"/>
  <c r="I53" i="64"/>
  <c r="I55" i="64"/>
  <c r="I20" i="64"/>
  <c r="I136" i="64"/>
  <c r="I179" i="64"/>
  <c r="I46" i="64"/>
  <c r="I111" i="64"/>
  <c r="I181" i="64"/>
  <c r="I167" i="64"/>
  <c r="I21" i="64"/>
  <c r="I9" i="64"/>
  <c r="I80" i="64"/>
  <c r="I115" i="64"/>
  <c r="I152" i="64"/>
  <c r="I27" i="64"/>
  <c r="I45" i="64"/>
  <c r="I184" i="64"/>
  <c r="I119" i="64"/>
  <c r="I205" i="64"/>
  <c r="I142" i="64"/>
  <c r="I56" i="64"/>
  <c r="I110" i="64"/>
  <c r="I146" i="64"/>
  <c r="I166" i="64"/>
  <c r="I176" i="64"/>
  <c r="I105" i="64"/>
  <c r="I141" i="64"/>
  <c r="I177" i="64"/>
  <c r="I112" i="64"/>
  <c r="I121" i="64"/>
  <c r="I182" i="64"/>
  <c r="I117" i="64"/>
  <c r="I57" i="64"/>
  <c r="I198" i="64"/>
  <c r="I214" i="64"/>
  <c r="I215" i="64"/>
  <c r="I209" i="64"/>
  <c r="I208" i="64"/>
  <c r="I17" i="64"/>
  <c r="I16" i="64"/>
  <c r="I26" i="64"/>
  <c r="I10" i="64"/>
  <c r="I42" i="64"/>
  <c r="K230" i="64"/>
  <c r="I210" i="64"/>
  <c r="I40" i="64"/>
  <c r="I50" i="64"/>
  <c r="I77" i="64"/>
  <c r="I104" i="64"/>
  <c r="I120" i="64"/>
  <c r="I140" i="64"/>
  <c r="I202" i="64"/>
  <c r="I213" i="64"/>
  <c r="I41" i="64"/>
  <c r="I51" i="64"/>
  <c r="I82" i="64"/>
  <c r="I109" i="64"/>
  <c r="I135" i="64"/>
  <c r="I145" i="64"/>
  <c r="I171" i="64"/>
  <c r="I197" i="64"/>
  <c r="I12" i="64"/>
  <c r="I22" i="64"/>
  <c r="I14" i="64"/>
  <c r="I19" i="64"/>
  <c r="I24" i="64"/>
  <c r="I52" i="64"/>
  <c r="I75" i="64"/>
  <c r="I89" i="64"/>
  <c r="I116" i="64"/>
  <c r="I138" i="64"/>
  <c r="I148" i="64"/>
  <c r="I178" i="64"/>
  <c r="I200" i="64"/>
  <c r="I47" i="64"/>
  <c r="I107" i="64"/>
  <c r="I143" i="64"/>
  <c r="I183" i="64"/>
  <c r="I11" i="64"/>
  <c r="I15" i="64"/>
  <c r="I25" i="64"/>
  <c r="I88" i="64"/>
  <c r="I151" i="64"/>
  <c r="I137" i="64"/>
  <c r="K267" i="64"/>
  <c r="K489" i="64"/>
  <c r="K265" i="64"/>
  <c r="K260" i="64"/>
  <c r="K269" i="64"/>
  <c r="K499" i="64"/>
  <c r="K274" i="64"/>
  <c r="K522" i="64"/>
  <c r="K324" i="64"/>
  <c r="K434" i="64"/>
  <c r="K364" i="64"/>
  <c r="K332" i="64"/>
  <c r="K300" i="64"/>
  <c r="K238" i="64"/>
  <c r="K246" i="64"/>
  <c r="K239" i="64"/>
  <c r="K244" i="64"/>
  <c r="K229" i="64"/>
  <c r="K231" i="64"/>
  <c r="K236" i="64"/>
  <c r="K241" i="64"/>
  <c r="K419" i="64"/>
  <c r="K372" i="64"/>
  <c r="K245" i="64"/>
  <c r="K233" i="64"/>
  <c r="K243" i="64"/>
  <c r="K360" i="64"/>
  <c r="K228" i="64"/>
  <c r="K235" i="64"/>
  <c r="K240" i="64"/>
  <c r="K425" i="64"/>
  <c r="K325" i="64"/>
  <c r="K361" i="64"/>
  <c r="K367" i="64"/>
  <c r="K450" i="64"/>
  <c r="K262" i="64"/>
  <c r="K293" i="64"/>
  <c r="K366" i="64"/>
  <c r="K370" i="64"/>
  <c r="K333" i="64"/>
  <c r="K432" i="64"/>
  <c r="K482" i="64"/>
  <c r="K488" i="64"/>
  <c r="K496" i="64"/>
  <c r="K481" i="64"/>
  <c r="K486" i="64"/>
  <c r="K493" i="64"/>
  <c r="K513" i="64"/>
  <c r="K519" i="64"/>
  <c r="K302" i="64"/>
  <c r="K295" i="64"/>
  <c r="K330" i="64"/>
  <c r="K303" i="64"/>
  <c r="K328" i="64"/>
  <c r="K354" i="64"/>
  <c r="K371" i="64"/>
  <c r="K457" i="64"/>
  <c r="K266" i="64"/>
  <c r="K306" i="64"/>
  <c r="K275" i="64"/>
  <c r="K290" i="64"/>
  <c r="K291" i="64"/>
  <c r="K355" i="64"/>
  <c r="K403" i="64"/>
  <c r="K426" i="64"/>
  <c r="K431" i="64"/>
  <c r="K301" i="64"/>
  <c r="K451" i="64"/>
  <c r="K456" i="64"/>
  <c r="K462" i="64"/>
  <c r="K323" i="64"/>
  <c r="K322" i="64"/>
  <c r="K334" i="64"/>
  <c r="K329" i="64"/>
  <c r="K327" i="64"/>
  <c r="K337" i="64"/>
  <c r="K435" i="64"/>
  <c r="K264" i="64"/>
  <c r="K296" i="64"/>
  <c r="K305" i="64"/>
  <c r="K338" i="64"/>
  <c r="K404" i="64"/>
  <c r="K298" i="64"/>
  <c r="K335" i="64"/>
  <c r="K357" i="64"/>
  <c r="K362" i="64"/>
  <c r="K271" i="64"/>
  <c r="K277" i="64"/>
  <c r="K297" i="64"/>
  <c r="K359" i="64"/>
  <c r="K369" i="64"/>
  <c r="K455" i="64"/>
  <c r="K424" i="64"/>
  <c r="K365" i="64"/>
  <c r="T430" i="22" l="1"/>
  <c r="Q233" i="22"/>
  <c r="P233" i="22"/>
  <c r="O233" i="22"/>
  <c r="T233" i="22"/>
  <c r="S234" i="22"/>
  <c r="R235" i="22"/>
  <c r="S236" i="22"/>
  <c r="R237" i="22"/>
  <c r="S239" i="22"/>
  <c r="R240" i="22"/>
  <c r="S241" i="22"/>
  <c r="R242" i="22"/>
  <c r="S244" i="22"/>
  <c r="R245" i="22"/>
  <c r="S246" i="22"/>
  <c r="R247" i="22"/>
  <c r="S249" i="22"/>
  <c r="R250" i="22"/>
  <c r="S251" i="22"/>
  <c r="R252" i="22"/>
  <c r="R232" i="22"/>
  <c r="S10" i="22"/>
  <c r="S11" i="22"/>
  <c r="S12" i="22"/>
  <c r="R13" i="22"/>
  <c r="R15" i="22"/>
  <c r="R16" i="22"/>
  <c r="R17" i="22"/>
  <c r="R18" i="22"/>
  <c r="S20" i="22"/>
  <c r="S21" i="22"/>
  <c r="S22" i="22"/>
  <c r="S23" i="22"/>
  <c r="S25" i="22"/>
  <c r="S26" i="22"/>
  <c r="S27" i="22"/>
  <c r="S28" i="22"/>
  <c r="R8" i="22"/>
  <c r="S8" i="22" l="1"/>
  <c r="T8" i="22" s="1"/>
  <c r="R10" i="22"/>
  <c r="T10" i="22" s="1"/>
  <c r="R11" i="22"/>
  <c r="T11" i="22" s="1"/>
  <c r="S13" i="22"/>
  <c r="T13" i="22" s="1"/>
  <c r="R12" i="22"/>
  <c r="T12" i="22" s="1"/>
  <c r="S15" i="22"/>
  <c r="T15" i="22" s="1"/>
  <c r="S16" i="22"/>
  <c r="T16" i="22" s="1"/>
  <c r="S17" i="22"/>
  <c r="T17" i="22" s="1"/>
  <c r="S18" i="22"/>
  <c r="T18" i="22" s="1"/>
  <c r="R20" i="22"/>
  <c r="T20" i="22" s="1"/>
  <c r="R21" i="22"/>
  <c r="T21" i="22" s="1"/>
  <c r="R22" i="22"/>
  <c r="T22" i="22" s="1"/>
  <c r="R23" i="22"/>
  <c r="T23" i="22" s="1"/>
  <c r="R25" i="22"/>
  <c r="T25" i="22" s="1"/>
  <c r="R26" i="22"/>
  <c r="T26" i="22" s="1"/>
  <c r="R27" i="22"/>
  <c r="T27" i="22" s="1"/>
  <c r="R28" i="22"/>
  <c r="T28" i="22" s="1"/>
  <c r="S232" i="22"/>
  <c r="T232" i="22" s="1"/>
  <c r="S235" i="22"/>
  <c r="T235" i="22" s="1"/>
  <c r="S237" i="22"/>
  <c r="T237" i="22" s="1"/>
  <c r="S240" i="22"/>
  <c r="T240" i="22" s="1"/>
  <c r="S242" i="22"/>
  <c r="T242" i="22" s="1"/>
  <c r="S245" i="22"/>
  <c r="T245" i="22" s="1"/>
  <c r="S247" i="22"/>
  <c r="T247" i="22" s="1"/>
  <c r="S250" i="22"/>
  <c r="T250" i="22" s="1"/>
  <c r="S252" i="22"/>
  <c r="T252" i="22" s="1"/>
  <c r="R234" i="22"/>
  <c r="T234" i="22" s="1"/>
  <c r="R236" i="22"/>
  <c r="T236" i="22" s="1"/>
  <c r="R239" i="22"/>
  <c r="T239" i="22" s="1"/>
  <c r="R241" i="22"/>
  <c r="T241" i="22" s="1"/>
  <c r="R244" i="22"/>
  <c r="T244" i="22" s="1"/>
  <c r="R246" i="22"/>
  <c r="T246" i="22" s="1"/>
  <c r="R249" i="22"/>
  <c r="T249" i="22" s="1"/>
  <c r="R251" i="22"/>
  <c r="T251" i="22" s="1"/>
  <c r="T431" i="22" l="1"/>
  <c r="T432" i="22" l="1"/>
  <c r="T433" i="22"/>
  <c r="T434" i="22"/>
  <c r="T436" i="22"/>
  <c r="T437" i="22"/>
  <c r="T438" i="22"/>
  <c r="T439" i="22"/>
  <c r="T441" i="22"/>
  <c r="T442" i="22"/>
  <c r="T443" i="22"/>
  <c r="T444" i="22"/>
  <c r="T446" i="22"/>
  <c r="T447" i="22"/>
  <c r="T448" i="22"/>
  <c r="T449" i="22"/>
  <c r="N22" i="65"/>
  <c r="G17" i="65"/>
  <c r="D25" i="65"/>
  <c r="M21" i="65"/>
  <c r="G7" i="65"/>
  <c r="D26" i="65"/>
  <c r="L9" i="65"/>
  <c r="F16" i="65"/>
  <c r="K27" i="65"/>
  <c r="N19" i="65"/>
  <c r="B26" i="65"/>
  <c r="D19" i="65"/>
  <c r="L12" i="65"/>
  <c r="K25" i="65"/>
  <c r="N11" i="65"/>
  <c r="J12" i="65"/>
  <c r="E12" i="65"/>
  <c r="E16" i="65"/>
  <c r="F22" i="65"/>
  <c r="E19" i="65"/>
  <c r="L7" i="65"/>
  <c r="M12" i="65"/>
  <c r="C16" i="65"/>
  <c r="I14" i="65"/>
  <c r="N14" i="65"/>
  <c r="G10" i="65"/>
  <c r="I25" i="65"/>
  <c r="C12" i="65"/>
  <c r="E24" i="65"/>
  <c r="G26" i="65"/>
  <c r="B11" i="65"/>
  <c r="C19" i="65"/>
  <c r="M19" i="65"/>
  <c r="F10" i="65"/>
  <c r="M24" i="65"/>
  <c r="N9" i="65"/>
  <c r="M26" i="65"/>
  <c r="N27" i="65"/>
  <c r="M25" i="65"/>
  <c r="E26" i="65"/>
  <c r="B12" i="65"/>
  <c r="N16" i="65"/>
  <c r="N17" i="65"/>
  <c r="N24" i="65"/>
  <c r="B9" i="65"/>
  <c r="J26" i="65"/>
  <c r="C26" i="65"/>
  <c r="L22" i="65"/>
  <c r="B14" i="65"/>
  <c r="F24" i="65"/>
  <c r="G12" i="65"/>
  <c r="D24" i="65"/>
  <c r="L17" i="65"/>
  <c r="I9" i="65"/>
  <c r="N15" i="65"/>
  <c r="N26" i="65"/>
  <c r="D9" i="65"/>
  <c r="D22" i="65"/>
  <c r="C27" i="65"/>
  <c r="E11" i="65"/>
  <c r="B19" i="65"/>
  <c r="K9" i="65"/>
  <c r="D11" i="65"/>
  <c r="D15" i="65"/>
  <c r="M11" i="65"/>
  <c r="F14" i="65"/>
  <c r="E22" i="65"/>
  <c r="E15" i="65"/>
  <c r="N25" i="65"/>
  <c r="G9" i="65"/>
  <c r="J9" i="65"/>
  <c r="C14" i="65"/>
  <c r="F20" i="65"/>
  <c r="M9" i="65"/>
  <c r="J22" i="65"/>
  <c r="D27" i="65"/>
  <c r="C15" i="65"/>
  <c r="C24" i="65"/>
  <c r="F26" i="65"/>
  <c r="M10" i="65"/>
  <c r="F12" i="65"/>
  <c r="C21" i="65"/>
  <c r="E10" i="65"/>
  <c r="N7" i="65"/>
  <c r="B21" i="65"/>
  <c r="J15" i="65"/>
  <c r="D17" i="65"/>
  <c r="J25" i="65"/>
  <c r="M17" i="65"/>
  <c r="E27" i="65"/>
  <c r="I17" i="65"/>
  <c r="L14" i="65"/>
  <c r="D16" i="65"/>
  <c r="C20" i="65"/>
  <c r="E7" i="65"/>
  <c r="E25" i="65"/>
  <c r="F25" i="65"/>
  <c r="N10" i="65"/>
  <c r="I16" i="65"/>
  <c r="C7" i="65"/>
  <c r="J17" i="65"/>
  <c r="L19" i="65"/>
  <c r="B24" i="65"/>
  <c r="G14" i="65"/>
  <c r="I12" i="65"/>
  <c r="F9" i="65"/>
  <c r="K21" i="65"/>
  <c r="B17" i="65"/>
  <c r="L21" i="65"/>
  <c r="L11" i="65"/>
  <c r="J16" i="65"/>
  <c r="D20" i="65"/>
  <c r="K15" i="65"/>
  <c r="F17" i="65"/>
  <c r="K26" i="65"/>
  <c r="B27" i="65"/>
  <c r="L24" i="65"/>
  <c r="K16" i="65"/>
  <c r="I21" i="65"/>
  <c r="E21" i="65"/>
  <c r="K22" i="65"/>
  <c r="C17" i="65"/>
  <c r="G15" i="65"/>
  <c r="I24" i="65"/>
  <c r="G11" i="65"/>
  <c r="C25" i="65"/>
  <c r="J10" i="65"/>
  <c r="E14" i="65"/>
  <c r="K24" i="65"/>
  <c r="K10" i="65"/>
  <c r="K14" i="65"/>
  <c r="J19" i="65"/>
  <c r="F15" i="65"/>
  <c r="M22" i="65"/>
  <c r="B25" i="65"/>
  <c r="G21" i="65"/>
  <c r="K20" i="65"/>
  <c r="F21" i="65"/>
  <c r="I7" i="65"/>
  <c r="E20" i="65"/>
  <c r="B10" i="65"/>
  <c r="J7" i="65"/>
  <c r="I15" i="65"/>
  <c r="L25" i="65"/>
  <c r="G22" i="65"/>
  <c r="G19" i="65"/>
  <c r="I10" i="65"/>
  <c r="B16" i="65"/>
  <c r="G25" i="65"/>
  <c r="F27" i="65"/>
  <c r="N12" i="65"/>
  <c r="M20" i="65"/>
  <c r="E17" i="65"/>
  <c r="I19" i="65"/>
  <c r="I22" i="65"/>
  <c r="C9" i="65"/>
  <c r="K17" i="65"/>
  <c r="M14" i="65"/>
  <c r="J21" i="65"/>
  <c r="K12" i="65"/>
  <c r="D12" i="65"/>
  <c r="B20" i="65"/>
  <c r="L10" i="65"/>
  <c r="I11" i="65"/>
  <c r="C11" i="65"/>
  <c r="L27" i="65"/>
  <c r="F11" i="65"/>
  <c r="F19" i="65"/>
  <c r="J14" i="65"/>
  <c r="K7" i="65"/>
  <c r="C10" i="65"/>
  <c r="M27" i="65"/>
  <c r="M15" i="65"/>
  <c r="M16" i="65"/>
  <c r="B7" i="65"/>
  <c r="D10" i="65"/>
  <c r="J20" i="65"/>
  <c r="I27" i="65"/>
  <c r="J27" i="65"/>
  <c r="M7" i="65"/>
  <c r="D7" i="65"/>
  <c r="B22" i="65"/>
  <c r="L16" i="65"/>
  <c r="C22" i="65"/>
  <c r="N20" i="65"/>
  <c r="G24" i="65"/>
  <c r="K19" i="65"/>
  <c r="B15" i="65"/>
  <c r="G20" i="65"/>
  <c r="I20" i="65"/>
  <c r="L15" i="65"/>
  <c r="I26" i="65"/>
  <c r="J24" i="65"/>
  <c r="D14" i="65"/>
  <c r="L26" i="65"/>
  <c r="G27" i="65"/>
  <c r="K11" i="65"/>
  <c r="F7" i="65"/>
  <c r="J11" i="65"/>
  <c r="E9" i="65"/>
  <c r="D21" i="65"/>
  <c r="L20" i="65"/>
  <c r="G16" i="65"/>
  <c r="N21" i="65"/>
  <c r="O9" i="65" l="1"/>
  <c r="H21" i="65"/>
  <c r="O26" i="65"/>
  <c r="H20" i="65"/>
  <c r="H17" i="65"/>
  <c r="H24" i="65"/>
  <c r="O25" i="65"/>
  <c r="O16" i="65"/>
  <c r="H11" i="65"/>
  <c r="H27" i="65"/>
  <c r="H22" i="65"/>
  <c r="O21" i="65"/>
  <c r="O15" i="65"/>
  <c r="H25" i="65"/>
  <c r="O7" i="65"/>
  <c r="O20" i="65"/>
  <c r="H7" i="65"/>
  <c r="O27" i="65"/>
  <c r="H15" i="65"/>
  <c r="O24" i="65"/>
  <c r="O19" i="65"/>
  <c r="O17" i="65"/>
  <c r="O14" i="65"/>
  <c r="H14" i="65"/>
  <c r="H26" i="65"/>
  <c r="O10" i="65"/>
  <c r="O11" i="65"/>
  <c r="O22" i="65"/>
  <c r="H12" i="65"/>
  <c r="O12" i="65"/>
  <c r="H10" i="65"/>
  <c r="H19" i="65"/>
  <c r="H16" i="65"/>
  <c r="H9" i="65"/>
  <c r="P11" i="65" l="1"/>
  <c r="U11" i="65" s="1"/>
  <c r="P16" i="65"/>
  <c r="W16" i="65" s="1"/>
  <c r="P24" i="65"/>
  <c r="AB24" i="65" s="1"/>
  <c r="P27" i="65"/>
  <c r="AC27" i="65" s="1"/>
  <c r="P21" i="65"/>
  <c r="X21" i="65" s="1"/>
  <c r="P9" i="65"/>
  <c r="S9" i="65" s="1"/>
  <c r="P20" i="65"/>
  <c r="U20" i="65" s="1"/>
  <c r="P25" i="65"/>
  <c r="V25" i="65" s="1"/>
  <c r="P19" i="65"/>
  <c r="U19" i="65" s="1"/>
  <c r="P22" i="65"/>
  <c r="AE22" i="65" s="1"/>
  <c r="P10" i="65"/>
  <c r="S10" i="65" s="1"/>
  <c r="P14" i="65"/>
  <c r="S14" i="65" s="1"/>
  <c r="P17" i="65"/>
  <c r="U17" i="65" s="1"/>
  <c r="P12" i="65"/>
  <c r="S12" i="65" s="1"/>
  <c r="P7" i="65"/>
  <c r="AF7" i="65" s="1"/>
  <c r="P15" i="65"/>
  <c r="P26" i="65"/>
  <c r="AB20" i="65" l="1"/>
  <c r="AF24" i="65"/>
  <c r="Z24" i="65"/>
  <c r="T16" i="65"/>
  <c r="W9" i="65"/>
  <c r="S24" i="65"/>
  <c r="S11" i="65"/>
  <c r="Z11" i="65"/>
  <c r="AA11" i="65"/>
  <c r="AD19" i="65"/>
  <c r="AE11" i="65"/>
  <c r="V11" i="65"/>
  <c r="W11" i="65"/>
  <c r="AF11" i="65"/>
  <c r="AB11" i="65"/>
  <c r="X11" i="65"/>
  <c r="Z25" i="65"/>
  <c r="T11" i="65"/>
  <c r="AC11" i="65"/>
  <c r="T25" i="65"/>
  <c r="AD11" i="65"/>
  <c r="X17" i="65"/>
  <c r="S25" i="65"/>
  <c r="X20" i="65"/>
  <c r="AE25" i="65"/>
  <c r="U25" i="65"/>
  <c r="AF25" i="65"/>
  <c r="AA25" i="65"/>
  <c r="AB9" i="65"/>
  <c r="T14" i="65"/>
  <c r="AE17" i="65"/>
  <c r="V9" i="65"/>
  <c r="AE24" i="65"/>
  <c r="AE16" i="65"/>
  <c r="U24" i="65"/>
  <c r="AF14" i="65"/>
  <c r="AA24" i="65"/>
  <c r="AD24" i="65"/>
  <c r="AF16" i="65"/>
  <c r="U16" i="65"/>
  <c r="V24" i="65"/>
  <c r="AD16" i="65"/>
  <c r="AC24" i="65"/>
  <c r="AB16" i="65"/>
  <c r="Z17" i="65"/>
  <c r="T24" i="65"/>
  <c r="AA16" i="65"/>
  <c r="Z16" i="65"/>
  <c r="AC16" i="65"/>
  <c r="W24" i="65"/>
  <c r="X16" i="65"/>
  <c r="T22" i="65"/>
  <c r="AB14" i="65"/>
  <c r="X24" i="65"/>
  <c r="W22" i="65"/>
  <c r="X14" i="65"/>
  <c r="V16" i="65"/>
  <c r="AA17" i="65"/>
  <c r="S16" i="65"/>
  <c r="U14" i="65"/>
  <c r="AA14" i="65"/>
  <c r="V14" i="65"/>
  <c r="Z14" i="65"/>
  <c r="AF21" i="65"/>
  <c r="AB21" i="65"/>
  <c r="AA10" i="65"/>
  <c r="AC14" i="65"/>
  <c r="S17" i="65"/>
  <c r="AF10" i="65"/>
  <c r="AD14" i="65"/>
  <c r="AC17" i="65"/>
  <c r="T27" i="65"/>
  <c r="W20" i="65"/>
  <c r="AE20" i="65"/>
  <c r="AA12" i="65"/>
  <c r="T21" i="65"/>
  <c r="Z21" i="65"/>
  <c r="W19" i="65"/>
  <c r="AB27" i="65"/>
  <c r="AA22" i="65"/>
  <c r="W21" i="65"/>
  <c r="AD10" i="65"/>
  <c r="AA19" i="65"/>
  <c r="Z27" i="65"/>
  <c r="AF27" i="65"/>
  <c r="T9" i="65"/>
  <c r="V22" i="65"/>
  <c r="AE21" i="65"/>
  <c r="AB10" i="65"/>
  <c r="AE14" i="65"/>
  <c r="X27" i="65"/>
  <c r="AE27" i="65"/>
  <c r="X25" i="65"/>
  <c r="AD9" i="65"/>
  <c r="S22" i="65"/>
  <c r="AA21" i="65"/>
  <c r="AD20" i="65"/>
  <c r="AC21" i="65"/>
  <c r="AA27" i="65"/>
  <c r="S27" i="65"/>
  <c r="X9" i="65"/>
  <c r="AC9" i="65"/>
  <c r="AC22" i="65"/>
  <c r="AD21" i="65"/>
  <c r="S21" i="65"/>
  <c r="AC19" i="65"/>
  <c r="AD27" i="65"/>
  <c r="U27" i="65"/>
  <c r="AF9" i="65"/>
  <c r="AB22" i="65"/>
  <c r="V21" i="65"/>
  <c r="V27" i="65"/>
  <c r="W27" i="65"/>
  <c r="Z9" i="65"/>
  <c r="U22" i="65"/>
  <c r="AF22" i="65"/>
  <c r="U21" i="65"/>
  <c r="AC10" i="65"/>
  <c r="X19" i="65"/>
  <c r="AB25" i="65"/>
  <c r="AE9" i="65"/>
  <c r="U9" i="65"/>
  <c r="X22" i="65"/>
  <c r="S20" i="65"/>
  <c r="AA20" i="65"/>
  <c r="AC20" i="65"/>
  <c r="AE10" i="65"/>
  <c r="W14" i="65"/>
  <c r="AF19" i="65"/>
  <c r="AD25" i="65"/>
  <c r="W25" i="65"/>
  <c r="AA9" i="65"/>
  <c r="AD22" i="65"/>
  <c r="AF20" i="65"/>
  <c r="Z10" i="65"/>
  <c r="AB17" i="65"/>
  <c r="AB19" i="65"/>
  <c r="AC25" i="65"/>
  <c r="Z22" i="65"/>
  <c r="T20" i="65"/>
  <c r="V20" i="65"/>
  <c r="Z20" i="65"/>
  <c r="U12" i="65"/>
  <c r="X12" i="65"/>
  <c r="T10" i="65"/>
  <c r="V10" i="65"/>
  <c r="W10" i="65"/>
  <c r="U10" i="65"/>
  <c r="X10" i="65"/>
  <c r="AD17" i="65"/>
  <c r="T17" i="65"/>
  <c r="W17" i="65"/>
  <c r="AF17" i="65"/>
  <c r="V17" i="65"/>
  <c r="V19" i="65"/>
  <c r="Z19" i="65"/>
  <c r="T19" i="65"/>
  <c r="S19" i="65"/>
  <c r="AE19" i="65"/>
  <c r="AD12" i="65"/>
  <c r="T12" i="65"/>
  <c r="AC12" i="65"/>
  <c r="Z12" i="65"/>
  <c r="AB12" i="65"/>
  <c r="AE12" i="65"/>
  <c r="AF12" i="65"/>
  <c r="W12" i="65"/>
  <c r="V12" i="65"/>
  <c r="T7" i="65"/>
  <c r="AD7" i="65"/>
  <c r="AE7" i="65"/>
  <c r="AC7" i="65"/>
  <c r="S7" i="65"/>
  <c r="W7" i="65"/>
  <c r="Z7" i="65"/>
  <c r="X7" i="65"/>
  <c r="V7" i="65"/>
  <c r="AA7" i="65"/>
  <c r="AB7" i="65"/>
  <c r="U7" i="65"/>
  <c r="AC15" i="65"/>
  <c r="AA15" i="65"/>
  <c r="Z15" i="65"/>
  <c r="AF15" i="65"/>
  <c r="V15" i="65"/>
  <c r="AD15" i="65"/>
  <c r="U15" i="65"/>
  <c r="S15" i="65"/>
  <c r="W15" i="65"/>
  <c r="X15" i="65"/>
  <c r="AB15" i="65"/>
  <c r="AE15" i="65"/>
  <c r="T15" i="65"/>
  <c r="AF26" i="65"/>
  <c r="AB26" i="65"/>
  <c r="T26" i="65"/>
  <c r="AE26" i="65"/>
  <c r="X26" i="65"/>
  <c r="AD26" i="65"/>
  <c r="W26" i="65"/>
  <c r="AA26" i="65"/>
  <c r="V26" i="65"/>
  <c r="AC26" i="65"/>
  <c r="S26" i="65"/>
  <c r="Z26" i="65"/>
  <c r="U26" i="65"/>
  <c r="T429" i="22"/>
  <c r="B8" i="22"/>
  <c r="Y16" i="65" l="1"/>
  <c r="AG16" i="65" s="1"/>
  <c r="Y11" i="65"/>
  <c r="AG11" i="65" s="1"/>
  <c r="Y22" i="65"/>
  <c r="AG22" i="65" s="1"/>
  <c r="Y17" i="65"/>
  <c r="AG17" i="65" s="1"/>
  <c r="Y9" i="65"/>
  <c r="AG9" i="65" s="1"/>
  <c r="Y24" i="65"/>
  <c r="AG24" i="65" s="1"/>
  <c r="Y10" i="65"/>
  <c r="AG10" i="65" s="1"/>
  <c r="Y20" i="65"/>
  <c r="AG20" i="65" s="1"/>
  <c r="Y14" i="65"/>
  <c r="AG14" i="65" s="1"/>
  <c r="Y27" i="65"/>
  <c r="AG27" i="65" s="1"/>
  <c r="Y25" i="65"/>
  <c r="AG25" i="65" s="1"/>
  <c r="Y19" i="65"/>
  <c r="AG19" i="65" s="1"/>
  <c r="Y21" i="65"/>
  <c r="AG21" i="65" s="1"/>
  <c r="Y12" i="65"/>
  <c r="AG12" i="65" s="1"/>
  <c r="Y7" i="65"/>
  <c r="AG7" i="65" s="1"/>
  <c r="Y26" i="65"/>
  <c r="AG26" i="65" s="1"/>
  <c r="Y15" i="65"/>
  <c r="AG15" i="65" s="1"/>
  <c r="AB429" i="22"/>
  <c r="AC429" i="22" l="1"/>
  <c r="P429" i="22"/>
  <c r="V429" i="22" s="1"/>
  <c r="AA429" i="22"/>
  <c r="H52" i="59"/>
  <c r="I52" i="59"/>
  <c r="J52" i="59"/>
  <c r="I54" i="59"/>
  <c r="J54" i="59"/>
  <c r="H55" i="59"/>
  <c r="I55" i="59"/>
  <c r="J55" i="59"/>
  <c r="H56" i="59"/>
  <c r="J56" i="59"/>
  <c r="H57" i="59"/>
  <c r="I57" i="59"/>
  <c r="J57" i="59"/>
  <c r="I58" i="59"/>
  <c r="J58" i="59"/>
  <c r="H59" i="59"/>
  <c r="J59" i="59"/>
  <c r="H60" i="59"/>
  <c r="I60" i="59"/>
  <c r="H61" i="59"/>
  <c r="I61" i="59"/>
  <c r="J61" i="59"/>
  <c r="I62" i="59"/>
  <c r="J62" i="59"/>
  <c r="H63" i="59"/>
  <c r="J63" i="59"/>
  <c r="H64" i="59"/>
  <c r="I64" i="59"/>
  <c r="H65" i="59"/>
  <c r="I65" i="59"/>
  <c r="J65" i="59"/>
  <c r="I66" i="59"/>
  <c r="J66" i="59"/>
  <c r="H67" i="59"/>
  <c r="J67" i="59"/>
  <c r="H68" i="59"/>
  <c r="I68" i="59"/>
  <c r="H69" i="59"/>
  <c r="I69" i="59"/>
  <c r="J69" i="59"/>
  <c r="I74" i="59"/>
  <c r="J74" i="59"/>
  <c r="H76" i="59"/>
  <c r="J76" i="59"/>
  <c r="H77" i="59"/>
  <c r="I77" i="59"/>
  <c r="H78" i="59"/>
  <c r="I78" i="59"/>
  <c r="J78" i="59"/>
  <c r="I79" i="59"/>
  <c r="J79" i="59"/>
  <c r="H80" i="59"/>
  <c r="J80" i="59"/>
  <c r="H81" i="59"/>
  <c r="I81" i="59"/>
  <c r="H82" i="59"/>
  <c r="I82" i="59"/>
  <c r="I103" i="59" s="1"/>
  <c r="J82" i="59"/>
  <c r="I83" i="59"/>
  <c r="I104" i="59" s="1"/>
  <c r="J83" i="59"/>
  <c r="H84" i="59"/>
  <c r="J84" i="59"/>
  <c r="H85" i="59"/>
  <c r="I85" i="59"/>
  <c r="H86" i="59"/>
  <c r="H107" i="59" s="1"/>
  <c r="I86" i="59"/>
  <c r="J86" i="59"/>
  <c r="H87" i="59"/>
  <c r="I87" i="59"/>
  <c r="H88" i="59"/>
  <c r="I88" i="59"/>
  <c r="I109" i="59" s="1"/>
  <c r="J88" i="59"/>
  <c r="H89" i="59"/>
  <c r="H110" i="59" s="1"/>
  <c r="I89" i="59"/>
  <c r="J89" i="59"/>
  <c r="H90" i="59"/>
  <c r="I90" i="59"/>
  <c r="J90" i="59"/>
  <c r="H91" i="59"/>
  <c r="H112" i="59" s="1"/>
  <c r="I91" i="59"/>
  <c r="I112" i="59" s="1"/>
  <c r="J91" i="59"/>
  <c r="H54" i="59"/>
  <c r="E56" i="59"/>
  <c r="I56" i="59"/>
  <c r="H58" i="59"/>
  <c r="I59" i="59"/>
  <c r="J60" i="59"/>
  <c r="H62" i="59"/>
  <c r="I63" i="59"/>
  <c r="J64" i="59"/>
  <c r="H66" i="59"/>
  <c r="I67" i="59"/>
  <c r="J68" i="59"/>
  <c r="H74" i="59"/>
  <c r="I76" i="59"/>
  <c r="J77" i="59"/>
  <c r="H79" i="59"/>
  <c r="I80" i="59"/>
  <c r="J81" i="59"/>
  <c r="H83" i="59"/>
  <c r="I84" i="59"/>
  <c r="J85" i="59"/>
  <c r="J87" i="59"/>
  <c r="D10" i="22"/>
  <c r="P10" i="22" s="1"/>
  <c r="V10" i="22" s="1"/>
  <c r="B12" i="22"/>
  <c r="C11" i="22"/>
  <c r="AA11" i="22" s="1"/>
  <c r="C12" i="22"/>
  <c r="AA12" i="22" s="1"/>
  <c r="D12" i="22"/>
  <c r="P12" i="22" s="1"/>
  <c r="V12" i="22" s="1"/>
  <c r="B13" i="22"/>
  <c r="B15" i="22"/>
  <c r="C16" i="22"/>
  <c r="AA16" i="22" s="1"/>
  <c r="B17" i="22"/>
  <c r="B21" i="22"/>
  <c r="C21" i="22"/>
  <c r="AA21" i="22" s="1"/>
  <c r="B23" i="22"/>
  <c r="C23" i="22"/>
  <c r="AA23" i="22" s="1"/>
  <c r="B25" i="22"/>
  <c r="C25" i="22"/>
  <c r="AA25" i="22" s="1"/>
  <c r="B27" i="22"/>
  <c r="C27" i="22"/>
  <c r="AA27" i="22" s="1"/>
  <c r="B40" i="22"/>
  <c r="C40" i="22"/>
  <c r="B42" i="22"/>
  <c r="D43" i="22"/>
  <c r="C44" i="22"/>
  <c r="C45" i="22"/>
  <c r="C47" i="22"/>
  <c r="B48" i="22"/>
  <c r="C48" i="22"/>
  <c r="B50" i="22"/>
  <c r="B52" i="22"/>
  <c r="C52" i="22"/>
  <c r="C53" i="22"/>
  <c r="B54" i="22"/>
  <c r="C54" i="22"/>
  <c r="D54" i="22"/>
  <c r="B58" i="22"/>
  <c r="C59" i="22"/>
  <c r="B60" i="22"/>
  <c r="B75" i="22"/>
  <c r="B76" i="22"/>
  <c r="F76" i="22" s="1"/>
  <c r="D75" i="22"/>
  <c r="C75" i="22"/>
  <c r="B77" i="22"/>
  <c r="B79" i="22"/>
  <c r="C79" i="22"/>
  <c r="C80" i="22"/>
  <c r="G80" i="22" s="1"/>
  <c r="B81" i="22"/>
  <c r="C81" i="22"/>
  <c r="C82" i="22"/>
  <c r="C84" i="22"/>
  <c r="B85" i="22"/>
  <c r="C86" i="22"/>
  <c r="G86" i="22" s="1"/>
  <c r="B87" i="22"/>
  <c r="F87" i="22" s="1"/>
  <c r="B89" i="22"/>
  <c r="C89" i="22"/>
  <c r="C90" i="22"/>
  <c r="B91" i="22"/>
  <c r="C91" i="22"/>
  <c r="B104" i="22"/>
  <c r="B106" i="22"/>
  <c r="C106" i="22"/>
  <c r="D107" i="22"/>
  <c r="C108" i="22"/>
  <c r="G108" i="22" s="1"/>
  <c r="C109" i="22"/>
  <c r="C111" i="22"/>
  <c r="G111" i="22" s="1"/>
  <c r="B112" i="22"/>
  <c r="B114" i="22"/>
  <c r="C114" i="22"/>
  <c r="B116" i="22"/>
  <c r="C116" i="22"/>
  <c r="G116" i="22" s="1"/>
  <c r="B118" i="22"/>
  <c r="B122" i="22"/>
  <c r="C122" i="22"/>
  <c r="D122" i="22"/>
  <c r="B124" i="22"/>
  <c r="C124" i="22"/>
  <c r="D124" i="22"/>
  <c r="C136" i="22"/>
  <c r="C138" i="22"/>
  <c r="B139" i="22"/>
  <c r="B140" i="22"/>
  <c r="C139" i="22"/>
  <c r="D139" i="22"/>
  <c r="B141" i="22"/>
  <c r="C141" i="22"/>
  <c r="D141" i="22"/>
  <c r="B143" i="22"/>
  <c r="C143" i="22"/>
  <c r="D143" i="22"/>
  <c r="B145" i="22"/>
  <c r="B149" i="22"/>
  <c r="B151" i="22"/>
  <c r="B153" i="22"/>
  <c r="B155" i="22"/>
  <c r="C156" i="22"/>
  <c r="G156" i="22" s="1"/>
  <c r="B168" i="22"/>
  <c r="C168" i="22"/>
  <c r="B170" i="22"/>
  <c r="D171" i="22"/>
  <c r="C172" i="22"/>
  <c r="G172" i="22" s="1"/>
  <c r="B176" i="22"/>
  <c r="C176" i="22"/>
  <c r="D176" i="22"/>
  <c r="C177" i="22"/>
  <c r="G177" i="22" s="1"/>
  <c r="B178" i="22"/>
  <c r="C178" i="22"/>
  <c r="G178" i="22" s="1"/>
  <c r="B180" i="22"/>
  <c r="C181" i="22"/>
  <c r="B182" i="22"/>
  <c r="C183" i="22"/>
  <c r="C185" i="22"/>
  <c r="B186" i="22"/>
  <c r="C187" i="22"/>
  <c r="B188" i="22"/>
  <c r="C200" i="22"/>
  <c r="C202" i="22"/>
  <c r="B203" i="22"/>
  <c r="B204" i="22"/>
  <c r="C203" i="22"/>
  <c r="D204" i="22"/>
  <c r="H204" i="22" s="1"/>
  <c r="B205" i="22"/>
  <c r="B207" i="22"/>
  <c r="C207" i="22"/>
  <c r="G207" i="22" s="1"/>
  <c r="D207" i="22"/>
  <c r="C208" i="22"/>
  <c r="G208" i="22" s="1"/>
  <c r="B209" i="22"/>
  <c r="C209" i="22"/>
  <c r="D209" i="22"/>
  <c r="C210" i="22"/>
  <c r="C212" i="22"/>
  <c r="G212" i="22" s="1"/>
  <c r="B213" i="22"/>
  <c r="C213" i="22"/>
  <c r="D213" i="22"/>
  <c r="C214" i="22"/>
  <c r="B215" i="22"/>
  <c r="C215" i="22"/>
  <c r="D215" i="22"/>
  <c r="B217" i="22"/>
  <c r="F217" i="22" s="1"/>
  <c r="C217" i="22"/>
  <c r="G217" i="22" s="1"/>
  <c r="D217" i="22"/>
  <c r="H217" i="22" s="1"/>
  <c r="B218" i="22"/>
  <c r="B219" i="22"/>
  <c r="C219" i="22"/>
  <c r="D219" i="22"/>
  <c r="B220" i="22"/>
  <c r="B232" i="22"/>
  <c r="C232" i="22"/>
  <c r="AA232" i="22" s="1"/>
  <c r="D232" i="22"/>
  <c r="AB232" i="22" s="1"/>
  <c r="E232" i="22"/>
  <c r="B234" i="22"/>
  <c r="B235" i="22"/>
  <c r="B236" i="22"/>
  <c r="E236" i="22"/>
  <c r="P236" i="22" s="1"/>
  <c r="V236" i="22" s="1"/>
  <c r="B237" i="22"/>
  <c r="C237" i="22"/>
  <c r="D237" i="22"/>
  <c r="I237" i="22" s="1"/>
  <c r="E237" i="22"/>
  <c r="B239" i="22"/>
  <c r="C239" i="22"/>
  <c r="AA239" i="22" s="1"/>
  <c r="E239" i="22"/>
  <c r="B240" i="22"/>
  <c r="B241" i="22"/>
  <c r="C241" i="22"/>
  <c r="AA241" i="22" s="1"/>
  <c r="E241" i="22"/>
  <c r="B242" i="22"/>
  <c r="B244" i="22"/>
  <c r="C244" i="22"/>
  <c r="AA244" i="22" s="1"/>
  <c r="E244" i="22"/>
  <c r="B245" i="22"/>
  <c r="C245" i="22"/>
  <c r="AA245" i="22" s="1"/>
  <c r="E245" i="22"/>
  <c r="B246" i="22"/>
  <c r="B247" i="22"/>
  <c r="C247" i="22"/>
  <c r="AA247" i="22" s="1"/>
  <c r="D247" i="22"/>
  <c r="AB247" i="22" s="1"/>
  <c r="E247" i="22"/>
  <c r="B249" i="22"/>
  <c r="B250" i="22"/>
  <c r="C250" i="22"/>
  <c r="AA250" i="22" s="1"/>
  <c r="E250" i="22"/>
  <c r="B251" i="22"/>
  <c r="C251" i="22"/>
  <c r="AA251" i="22" s="1"/>
  <c r="D251" i="22"/>
  <c r="AB251" i="22" s="1"/>
  <c r="E251" i="22"/>
  <c r="B252" i="22"/>
  <c r="B278" i="22"/>
  <c r="B279" i="22"/>
  <c r="C279" i="22"/>
  <c r="E279" i="22"/>
  <c r="B281" i="22"/>
  <c r="E281" i="22"/>
  <c r="B282" i="22"/>
  <c r="E282" i="22"/>
  <c r="B283" i="22"/>
  <c r="B284" i="22"/>
  <c r="E284" i="22"/>
  <c r="B296" i="22"/>
  <c r="C296" i="22"/>
  <c r="E296" i="22"/>
  <c r="B298" i="22"/>
  <c r="B299" i="22"/>
  <c r="B300" i="22"/>
  <c r="D299" i="22"/>
  <c r="B301" i="22"/>
  <c r="E301" i="22"/>
  <c r="B303" i="22"/>
  <c r="E303" i="22"/>
  <c r="B304" i="22"/>
  <c r="E304" i="22"/>
  <c r="B305" i="22"/>
  <c r="B306" i="22"/>
  <c r="E306" i="22"/>
  <c r="B308" i="22"/>
  <c r="C308" i="22"/>
  <c r="E308" i="22"/>
  <c r="B309" i="22"/>
  <c r="B310" i="22"/>
  <c r="E310" i="22"/>
  <c r="B311" i="22"/>
  <c r="E311" i="22"/>
  <c r="B313" i="22"/>
  <c r="E313" i="22"/>
  <c r="B314" i="22"/>
  <c r="C314" i="22"/>
  <c r="E314" i="22"/>
  <c r="B315" i="22"/>
  <c r="C315" i="22"/>
  <c r="H315" i="22" s="1"/>
  <c r="E315" i="22"/>
  <c r="J315" i="22" s="1"/>
  <c r="B316" i="22"/>
  <c r="B329" i="22"/>
  <c r="B331" i="22"/>
  <c r="E331" i="22"/>
  <c r="B332" i="22"/>
  <c r="B333" i="22"/>
  <c r="C332" i="22"/>
  <c r="E332" i="22"/>
  <c r="E334" i="22"/>
  <c r="B336" i="22"/>
  <c r="E336" i="22"/>
  <c r="B337" i="22"/>
  <c r="C337" i="22"/>
  <c r="H337" i="22" s="1"/>
  <c r="E337" i="22"/>
  <c r="C338" i="22"/>
  <c r="B339" i="22"/>
  <c r="C341" i="22"/>
  <c r="E342" i="22"/>
  <c r="B343" i="22"/>
  <c r="C343" i="22"/>
  <c r="E343" i="22"/>
  <c r="B344" i="22"/>
  <c r="E344" i="22"/>
  <c r="C346" i="22"/>
  <c r="E346" i="22"/>
  <c r="E347" i="22"/>
  <c r="B348" i="22"/>
  <c r="G348" i="22" s="1"/>
  <c r="E348" i="22"/>
  <c r="J348" i="22" s="1"/>
  <c r="B349" i="22"/>
  <c r="C349" i="22"/>
  <c r="H349" i="22" s="1"/>
  <c r="E349" i="22"/>
  <c r="C362" i="22"/>
  <c r="C364" i="22"/>
  <c r="E364" i="22"/>
  <c r="B365" i="22"/>
  <c r="C365" i="22"/>
  <c r="E365" i="22"/>
  <c r="E367" i="22"/>
  <c r="B369" i="22"/>
  <c r="C369" i="22"/>
  <c r="D369" i="22"/>
  <c r="I369" i="22" s="1"/>
  <c r="E369" i="22"/>
  <c r="B370" i="22"/>
  <c r="C371" i="22"/>
  <c r="B372" i="22"/>
  <c r="E372" i="22"/>
  <c r="C374" i="22"/>
  <c r="E374" i="22"/>
  <c r="E375" i="22"/>
  <c r="B376" i="22"/>
  <c r="C376" i="22"/>
  <c r="D376" i="22"/>
  <c r="E376" i="22"/>
  <c r="B377" i="22"/>
  <c r="C379" i="22"/>
  <c r="H379" i="22" s="1"/>
  <c r="E380" i="22"/>
  <c r="B381" i="22"/>
  <c r="C381" i="22"/>
  <c r="E381" i="22"/>
  <c r="B382" i="22"/>
  <c r="E382" i="22"/>
  <c r="C396" i="22"/>
  <c r="E396" i="22"/>
  <c r="B398" i="22"/>
  <c r="C399" i="22"/>
  <c r="H399" i="22" s="1"/>
  <c r="E400" i="22"/>
  <c r="J400" i="22" s="1"/>
  <c r="B401" i="22"/>
  <c r="G401" i="22" s="1"/>
  <c r="C401" i="22"/>
  <c r="H401" i="22" s="1"/>
  <c r="E401" i="22"/>
  <c r="J401" i="22" s="1"/>
  <c r="B403" i="22"/>
  <c r="G403" i="22" s="1"/>
  <c r="C403" i="22"/>
  <c r="H403" i="22" s="1"/>
  <c r="E403" i="22"/>
  <c r="J403" i="22" s="1"/>
  <c r="B404" i="22"/>
  <c r="E404" i="22"/>
  <c r="J404" i="22" s="1"/>
  <c r="C405" i="22"/>
  <c r="H405" i="22" s="1"/>
  <c r="E405" i="22"/>
  <c r="J405" i="22" s="1"/>
  <c r="E406" i="22"/>
  <c r="J406" i="22" s="1"/>
  <c r="E408" i="22"/>
  <c r="J408" i="22" s="1"/>
  <c r="B409" i="22"/>
  <c r="G409" i="22" s="1"/>
  <c r="C409" i="22"/>
  <c r="H409" i="22" s="1"/>
  <c r="D409" i="22"/>
  <c r="I409" i="22" s="1"/>
  <c r="E409" i="22"/>
  <c r="J409" i="22" s="1"/>
  <c r="B410" i="22"/>
  <c r="C411" i="22"/>
  <c r="H411" i="22" s="1"/>
  <c r="E411" i="22"/>
  <c r="J411" i="22" s="1"/>
  <c r="C413" i="22"/>
  <c r="H413" i="22" s="1"/>
  <c r="E413" i="22"/>
  <c r="J413" i="22" s="1"/>
  <c r="B414" i="22"/>
  <c r="E414" i="22"/>
  <c r="B415" i="22"/>
  <c r="B416" i="22"/>
  <c r="D415" i="22"/>
  <c r="E416" i="22"/>
  <c r="J416" i="22" s="1"/>
  <c r="C415" i="22"/>
  <c r="C416" i="22"/>
  <c r="H416" i="22" s="1"/>
  <c r="I432" i="22"/>
  <c r="H434" i="22"/>
  <c r="AA436" i="22"/>
  <c r="AA438" i="22"/>
  <c r="AA441" i="22"/>
  <c r="AA442" i="22"/>
  <c r="AA444" i="22"/>
  <c r="AA448" i="22"/>
  <c r="B461" i="22"/>
  <c r="C461" i="22"/>
  <c r="D461" i="22"/>
  <c r="E461" i="22"/>
  <c r="B463" i="22"/>
  <c r="B465" i="22"/>
  <c r="E465" i="22"/>
  <c r="J465" i="22" s="1"/>
  <c r="C466" i="22"/>
  <c r="E466" i="22"/>
  <c r="J466" i="22" s="1"/>
  <c r="E468" i="22"/>
  <c r="B469" i="22"/>
  <c r="E470" i="22"/>
  <c r="B471" i="22"/>
  <c r="C474" i="22"/>
  <c r="E474" i="22"/>
  <c r="J474" i="22" s="1"/>
  <c r="B475" i="22"/>
  <c r="C475" i="22"/>
  <c r="E475" i="22"/>
  <c r="C476" i="22"/>
  <c r="C478" i="22"/>
  <c r="H478" i="22" s="1"/>
  <c r="B479" i="22"/>
  <c r="C479" i="22"/>
  <c r="H479" i="22" s="1"/>
  <c r="E479" i="22"/>
  <c r="J479" i="22" s="1"/>
  <c r="E480" i="22"/>
  <c r="J480" i="22" s="1"/>
  <c r="B481" i="22"/>
  <c r="B493" i="22"/>
  <c r="E493" i="22"/>
  <c r="C495" i="22"/>
  <c r="B496" i="22"/>
  <c r="G496" i="22" s="1"/>
  <c r="B497" i="22"/>
  <c r="C496" i="22"/>
  <c r="H496" i="22" s="1"/>
  <c r="E496" i="22"/>
  <c r="J496" i="22" s="1"/>
  <c r="D496" i="22"/>
  <c r="I496" i="22" s="1"/>
  <c r="C498" i="22"/>
  <c r="H498" i="22" s="1"/>
  <c r="B500" i="22"/>
  <c r="C500" i="22"/>
  <c r="E500" i="22"/>
  <c r="C502" i="22"/>
  <c r="E502" i="22"/>
  <c r="C503" i="22"/>
  <c r="H503" i="22" s="1"/>
  <c r="E503" i="22"/>
  <c r="J503" i="22" s="1"/>
  <c r="B505" i="22"/>
  <c r="G505" i="22" s="1"/>
  <c r="C505" i="22"/>
  <c r="H505" i="22" s="1"/>
  <c r="D505" i="22"/>
  <c r="I505" i="22" s="1"/>
  <c r="E505" i="22"/>
  <c r="J505" i="22" s="1"/>
  <c r="E507" i="22"/>
  <c r="C508" i="22"/>
  <c r="H508" i="22" s="1"/>
  <c r="E508" i="22"/>
  <c r="J508" i="22" s="1"/>
  <c r="B510" i="22"/>
  <c r="C510" i="22"/>
  <c r="D510" i="22"/>
  <c r="I510" i="22" s="1"/>
  <c r="E510" i="22"/>
  <c r="C512" i="22"/>
  <c r="H512" i="22" s="1"/>
  <c r="E512" i="22"/>
  <c r="J512" i="22" s="1"/>
  <c r="C513" i="22"/>
  <c r="H513" i="22" s="1"/>
  <c r="I101" i="59" l="1"/>
  <c r="I107" i="59"/>
  <c r="H109" i="59"/>
  <c r="J108" i="59"/>
  <c r="H102" i="59"/>
  <c r="H103" i="59"/>
  <c r="H104" i="59"/>
  <c r="H101" i="59"/>
  <c r="J99" i="59"/>
  <c r="J110" i="59"/>
  <c r="I97" i="59"/>
  <c r="H99" i="59"/>
  <c r="I110" i="59"/>
  <c r="I99" i="59"/>
  <c r="H105" i="59"/>
  <c r="O27" i="22"/>
  <c r="U27" i="22" s="1"/>
  <c r="O25" i="22"/>
  <c r="U25" i="22" s="1"/>
  <c r="O23" i="22"/>
  <c r="U23" i="22" s="1"/>
  <c r="O21" i="22"/>
  <c r="U21" i="22" s="1"/>
  <c r="AC250" i="22"/>
  <c r="P250" i="22"/>
  <c r="V250" i="22" s="1"/>
  <c r="Z232" i="22"/>
  <c r="O232" i="22"/>
  <c r="U232" i="22" s="1"/>
  <c r="O12" i="22"/>
  <c r="U12" i="22" s="1"/>
  <c r="AC444" i="22"/>
  <c r="P444" i="22"/>
  <c r="V444" i="22" s="1"/>
  <c r="Z251" i="22"/>
  <c r="O251" i="22"/>
  <c r="U251" i="22" s="1"/>
  <c r="AC247" i="22"/>
  <c r="P247" i="22"/>
  <c r="V247" i="22" s="1"/>
  <c r="AC441" i="22"/>
  <c r="P441" i="22"/>
  <c r="V441" i="22" s="1"/>
  <c r="AC438" i="22"/>
  <c r="P438" i="22"/>
  <c r="V438" i="22" s="1"/>
  <c r="Z438" i="22"/>
  <c r="AC436" i="22"/>
  <c r="P436" i="22"/>
  <c r="V436" i="22" s="1"/>
  <c r="Z436" i="22"/>
  <c r="J434" i="22"/>
  <c r="P434" i="22"/>
  <c r="V434" i="22" s="1"/>
  <c r="G434" i="22"/>
  <c r="J433" i="22"/>
  <c r="P433" i="22"/>
  <c r="V433" i="22" s="1"/>
  <c r="AC431" i="22"/>
  <c r="P431" i="22"/>
  <c r="V431" i="22" s="1"/>
  <c r="AC251" i="22"/>
  <c r="P251" i="22"/>
  <c r="V251" i="22" s="1"/>
  <c r="Z247" i="22"/>
  <c r="O247" i="22"/>
  <c r="U247" i="22" s="1"/>
  <c r="AC245" i="22"/>
  <c r="P245" i="22"/>
  <c r="V245" i="22" s="1"/>
  <c r="AC244" i="22"/>
  <c r="P244" i="22"/>
  <c r="V244" i="22" s="1"/>
  <c r="AC241" i="22"/>
  <c r="P241" i="22"/>
  <c r="V241" i="22" s="1"/>
  <c r="AC239" i="22"/>
  <c r="P239" i="22"/>
  <c r="V239" i="22" s="1"/>
  <c r="AC237" i="22"/>
  <c r="P237" i="22"/>
  <c r="V237" i="22" s="1"/>
  <c r="AC232" i="22"/>
  <c r="P232" i="22"/>
  <c r="V232" i="22" s="1"/>
  <c r="Z15" i="22"/>
  <c r="Z429" i="22"/>
  <c r="O429" i="22"/>
  <c r="U429" i="22" s="1"/>
  <c r="O237" i="22"/>
  <c r="U237" i="22" s="1"/>
  <c r="B52" i="59"/>
  <c r="I102" i="59"/>
  <c r="G56" i="59"/>
  <c r="C56" i="59"/>
  <c r="I98" i="59"/>
  <c r="I95" i="59"/>
  <c r="D276" i="22"/>
  <c r="B277" i="22"/>
  <c r="G277" i="22" s="1"/>
  <c r="I106" i="59"/>
  <c r="I108" i="59"/>
  <c r="I100" i="59"/>
  <c r="AB432" i="22"/>
  <c r="AA237" i="22"/>
  <c r="C493" i="22"/>
  <c r="E478" i="22"/>
  <c r="E513" i="22"/>
  <c r="J513" i="22" s="1"/>
  <c r="D500" i="22"/>
  <c r="I500" i="22" s="1"/>
  <c r="E498" i="22"/>
  <c r="J498" i="22" s="1"/>
  <c r="D497" i="22"/>
  <c r="I497" i="22" s="1"/>
  <c r="E497" i="22"/>
  <c r="J497" i="22" s="1"/>
  <c r="C497" i="22"/>
  <c r="H497" i="22" s="1"/>
  <c r="E495" i="22"/>
  <c r="D493" i="22"/>
  <c r="E481" i="22"/>
  <c r="J481" i="22" s="1"/>
  <c r="E471" i="22"/>
  <c r="J471" i="22" s="1"/>
  <c r="AC442" i="22"/>
  <c r="AB441" i="22"/>
  <c r="F438" i="22"/>
  <c r="AB436" i="22"/>
  <c r="E410" i="22"/>
  <c r="J410" i="22" s="1"/>
  <c r="D403" i="22"/>
  <c r="I403" i="22" s="1"/>
  <c r="E399" i="22"/>
  <c r="J399" i="22" s="1"/>
  <c r="E398" i="22"/>
  <c r="J398" i="22" s="1"/>
  <c r="C382" i="22"/>
  <c r="E379" i="22"/>
  <c r="E377" i="22"/>
  <c r="C372" i="22"/>
  <c r="E371" i="22"/>
  <c r="E370" i="22"/>
  <c r="C348" i="22"/>
  <c r="H348" i="22" s="1"/>
  <c r="C344" i="22"/>
  <c r="E341" i="22"/>
  <c r="E339" i="22"/>
  <c r="E338" i="22"/>
  <c r="C336" i="22"/>
  <c r="H336" i="22" s="1"/>
  <c r="C331" i="22"/>
  <c r="E316" i="22"/>
  <c r="J316" i="22" s="1"/>
  <c r="C310" i="22"/>
  <c r="E309" i="22"/>
  <c r="C306" i="22"/>
  <c r="C303" i="22"/>
  <c r="H303" i="22" s="1"/>
  <c r="C301" i="22"/>
  <c r="C284" i="22"/>
  <c r="C281" i="22"/>
  <c r="H281" i="22" s="1"/>
  <c r="E277" i="22"/>
  <c r="J277" i="22" s="1"/>
  <c r="E234" i="22"/>
  <c r="C188" i="22"/>
  <c r="C170" i="22"/>
  <c r="C155" i="22"/>
  <c r="C153" i="22"/>
  <c r="G153" i="22" s="1"/>
  <c r="C151" i="22"/>
  <c r="C149" i="22"/>
  <c r="C145" i="22"/>
  <c r="C118" i="22"/>
  <c r="D114" i="22"/>
  <c r="E114" i="22" s="1"/>
  <c r="C104" i="22"/>
  <c r="C77" i="22"/>
  <c r="C60" i="22"/>
  <c r="C50" i="22"/>
  <c r="D40" i="22"/>
  <c r="E40" i="22" s="1"/>
  <c r="C17" i="22"/>
  <c r="AA17" i="22" s="1"/>
  <c r="C15" i="22"/>
  <c r="AA15" i="22" s="1"/>
  <c r="C13" i="22"/>
  <c r="AA13" i="22" s="1"/>
  <c r="C63" i="59"/>
  <c r="G62" i="59"/>
  <c r="D60" i="59"/>
  <c r="C59" i="59"/>
  <c r="G58" i="59"/>
  <c r="AC434" i="22"/>
  <c r="F237" i="22"/>
  <c r="F369" i="22"/>
  <c r="G91" i="59"/>
  <c r="E91" i="59"/>
  <c r="E90" i="59"/>
  <c r="G89" i="59"/>
  <c r="C89" i="59"/>
  <c r="G88" i="59"/>
  <c r="C88" i="59"/>
  <c r="E87" i="59"/>
  <c r="E86" i="59"/>
  <c r="F85" i="59"/>
  <c r="D85" i="59"/>
  <c r="B85" i="59"/>
  <c r="G84" i="59"/>
  <c r="C84" i="59"/>
  <c r="G83" i="59"/>
  <c r="E83" i="59"/>
  <c r="C83" i="59"/>
  <c r="E82" i="59"/>
  <c r="F81" i="59"/>
  <c r="D81" i="59"/>
  <c r="B81" i="59"/>
  <c r="G80" i="59"/>
  <c r="C80" i="59"/>
  <c r="G79" i="59"/>
  <c r="E79" i="59"/>
  <c r="C79" i="59"/>
  <c r="E78" i="59"/>
  <c r="E99" i="59" s="1"/>
  <c r="F77" i="59"/>
  <c r="D77" i="59"/>
  <c r="B77" i="59"/>
  <c r="G76" i="59"/>
  <c r="C76" i="59"/>
  <c r="F74" i="59"/>
  <c r="D74" i="59"/>
  <c r="B74" i="59"/>
  <c r="G74" i="59"/>
  <c r="E74" i="59"/>
  <c r="C74" i="59"/>
  <c r="G69" i="59"/>
  <c r="E69" i="59"/>
  <c r="C69" i="59"/>
  <c r="F68" i="59"/>
  <c r="D68" i="59"/>
  <c r="B68" i="59"/>
  <c r="G67" i="59"/>
  <c r="C67" i="59"/>
  <c r="G66" i="59"/>
  <c r="E66" i="59"/>
  <c r="C66" i="59"/>
  <c r="E65" i="59"/>
  <c r="F64" i="59"/>
  <c r="D64" i="59"/>
  <c r="B64" i="59"/>
  <c r="G63" i="59"/>
  <c r="E62" i="59"/>
  <c r="C62" i="59"/>
  <c r="E61" i="59"/>
  <c r="F60" i="59"/>
  <c r="B60" i="59"/>
  <c r="G59" i="59"/>
  <c r="E58" i="59"/>
  <c r="C58" i="59"/>
  <c r="E57" i="59"/>
  <c r="F55" i="59"/>
  <c r="D55" i="59"/>
  <c r="B55" i="59"/>
  <c r="F54" i="59"/>
  <c r="D54" i="59"/>
  <c r="B54" i="59"/>
  <c r="F52" i="59"/>
  <c r="D52" i="59"/>
  <c r="J102" i="59"/>
  <c r="F505" i="22"/>
  <c r="K505" i="22" s="1"/>
  <c r="H474" i="22"/>
  <c r="H466" i="22"/>
  <c r="AA434" i="22"/>
  <c r="F232" i="22"/>
  <c r="J112" i="59"/>
  <c r="J98" i="59"/>
  <c r="G55" i="59"/>
  <c r="J9" i="59"/>
  <c r="C55" i="59"/>
  <c r="G52" i="59"/>
  <c r="C52" i="59"/>
  <c r="I105" i="59"/>
  <c r="G90" i="59"/>
  <c r="C90" i="59"/>
  <c r="E89" i="59"/>
  <c r="E88" i="59"/>
  <c r="J109" i="59"/>
  <c r="G87" i="59"/>
  <c r="G86" i="59"/>
  <c r="C86" i="59"/>
  <c r="J107" i="59"/>
  <c r="G85" i="59"/>
  <c r="E85" i="59"/>
  <c r="E84" i="59"/>
  <c r="J105" i="59"/>
  <c r="F83" i="59"/>
  <c r="D83" i="59"/>
  <c r="B83" i="59"/>
  <c r="G82" i="59"/>
  <c r="C82" i="59"/>
  <c r="J103" i="59"/>
  <c r="G81" i="59"/>
  <c r="E81" i="59"/>
  <c r="E80" i="59"/>
  <c r="J101" i="59"/>
  <c r="F79" i="59"/>
  <c r="D79" i="59"/>
  <c r="B79" i="59"/>
  <c r="G78" i="59"/>
  <c r="C78" i="59"/>
  <c r="G77" i="59"/>
  <c r="E77" i="59"/>
  <c r="E76" i="59"/>
  <c r="G68" i="59"/>
  <c r="E68" i="59"/>
  <c r="E67" i="59"/>
  <c r="F66" i="59"/>
  <c r="D66" i="59"/>
  <c r="B66" i="59"/>
  <c r="G65" i="59"/>
  <c r="C65" i="59"/>
  <c r="G64" i="59"/>
  <c r="E64" i="59"/>
  <c r="E63" i="59"/>
  <c r="F62" i="59"/>
  <c r="D62" i="59"/>
  <c r="B62" i="59"/>
  <c r="G61" i="59"/>
  <c r="C61" i="59"/>
  <c r="G60" i="59"/>
  <c r="E60" i="59"/>
  <c r="E59" i="59"/>
  <c r="F58" i="59"/>
  <c r="D58" i="59"/>
  <c r="B58" i="59"/>
  <c r="G57" i="59"/>
  <c r="C57" i="59"/>
  <c r="K8" i="59"/>
  <c r="F461" i="22"/>
  <c r="H444" i="22"/>
  <c r="K47" i="59"/>
  <c r="K45" i="59"/>
  <c r="K43" i="59"/>
  <c r="K41" i="59"/>
  <c r="K39" i="59"/>
  <c r="K37" i="59"/>
  <c r="K35" i="59"/>
  <c r="K33" i="59"/>
  <c r="K30" i="59"/>
  <c r="K22" i="59"/>
  <c r="K20" i="59"/>
  <c r="K18" i="59"/>
  <c r="K16" i="59"/>
  <c r="K14" i="59"/>
  <c r="K12" i="59"/>
  <c r="I111" i="59"/>
  <c r="C91" i="59"/>
  <c r="C87" i="59"/>
  <c r="C85" i="59"/>
  <c r="C81" i="59"/>
  <c r="C77" i="59"/>
  <c r="C68" i="59"/>
  <c r="C64" i="59"/>
  <c r="C60" i="59"/>
  <c r="E55" i="59"/>
  <c r="E52" i="59"/>
  <c r="J46" i="59"/>
  <c r="J44" i="59"/>
  <c r="J42" i="59"/>
  <c r="J40" i="59"/>
  <c r="J38" i="59"/>
  <c r="J36" i="59"/>
  <c r="J34" i="59"/>
  <c r="J32" i="59"/>
  <c r="J23" i="59"/>
  <c r="J21" i="59"/>
  <c r="J19" i="59"/>
  <c r="J17" i="59"/>
  <c r="J15" i="59"/>
  <c r="J13" i="59"/>
  <c r="J11" i="59"/>
  <c r="K9" i="59"/>
  <c r="H98" i="59"/>
  <c r="J95" i="59"/>
  <c r="H95" i="59"/>
  <c r="F91" i="59"/>
  <c r="D91" i="59"/>
  <c r="B91" i="59"/>
  <c r="H111" i="59"/>
  <c r="K46" i="59"/>
  <c r="F89" i="59"/>
  <c r="D89" i="59"/>
  <c r="B89" i="59"/>
  <c r="K44" i="59"/>
  <c r="F87" i="59"/>
  <c r="D87" i="59"/>
  <c r="B87" i="59"/>
  <c r="K42" i="59"/>
  <c r="K40" i="59"/>
  <c r="K38" i="59"/>
  <c r="K36" i="59"/>
  <c r="K34" i="59"/>
  <c r="K32" i="59"/>
  <c r="K23" i="59"/>
  <c r="K21" i="59"/>
  <c r="K19" i="59"/>
  <c r="K17" i="59"/>
  <c r="K15" i="59"/>
  <c r="K13" i="59"/>
  <c r="K11" i="59"/>
  <c r="J111" i="59"/>
  <c r="J10" i="59"/>
  <c r="H476" i="22"/>
  <c r="Z433" i="22"/>
  <c r="H433" i="22"/>
  <c r="B413" i="22"/>
  <c r="G413" i="22" s="1"/>
  <c r="D413" i="22"/>
  <c r="I413" i="22" s="1"/>
  <c r="B411" i="22"/>
  <c r="D411" i="22"/>
  <c r="I411" i="22" s="1"/>
  <c r="B406" i="22"/>
  <c r="G406" i="22" s="1"/>
  <c r="C406" i="22"/>
  <c r="H406" i="22" s="1"/>
  <c r="B405" i="22"/>
  <c r="D405" i="22"/>
  <c r="I405" i="22" s="1"/>
  <c r="B396" i="22"/>
  <c r="D396" i="22"/>
  <c r="B375" i="22"/>
  <c r="C375" i="22"/>
  <c r="B374" i="22"/>
  <c r="D374" i="22"/>
  <c r="B367" i="22"/>
  <c r="C367" i="22"/>
  <c r="B366" i="22"/>
  <c r="C366" i="22"/>
  <c r="D366" i="22"/>
  <c r="I366" i="22" s="1"/>
  <c r="E366" i="22"/>
  <c r="B364" i="22"/>
  <c r="D364" i="22"/>
  <c r="B347" i="22"/>
  <c r="C347" i="22"/>
  <c r="B346" i="22"/>
  <c r="D346" i="22"/>
  <c r="B338" i="22"/>
  <c r="D338" i="22"/>
  <c r="G316" i="22"/>
  <c r="Z17" i="22"/>
  <c r="F496" i="22"/>
  <c r="K496" i="22" s="1"/>
  <c r="D495" i="22"/>
  <c r="B495" i="22"/>
  <c r="C481" i="22"/>
  <c r="H481" i="22" s="1"/>
  <c r="D480" i="22"/>
  <c r="I480" i="22" s="1"/>
  <c r="D476" i="22"/>
  <c r="I476" i="22" s="1"/>
  <c r="B476" i="22"/>
  <c r="G476" i="22" s="1"/>
  <c r="C473" i="22"/>
  <c r="H473" i="22" s="1"/>
  <c r="C471" i="22"/>
  <c r="H471" i="22" s="1"/>
  <c r="C469" i="22"/>
  <c r="H469" i="22" s="1"/>
  <c r="D468" i="22"/>
  <c r="I468" i="22" s="1"/>
  <c r="C465" i="22"/>
  <c r="H465" i="22" s="1"/>
  <c r="C463" i="22"/>
  <c r="AB448" i="22"/>
  <c r="P447" i="22"/>
  <c r="V447" i="22" s="1"/>
  <c r="D365" i="22"/>
  <c r="F365" i="22" s="1"/>
  <c r="AB442" i="22"/>
  <c r="Z441" i="22"/>
  <c r="G441" i="22"/>
  <c r="AA431" i="22"/>
  <c r="B408" i="22"/>
  <c r="G408" i="22" s="1"/>
  <c r="C408" i="22"/>
  <c r="H408" i="22" s="1"/>
  <c r="B400" i="22"/>
  <c r="G400" i="22" s="1"/>
  <c r="C400" i="22"/>
  <c r="H400" i="22" s="1"/>
  <c r="B399" i="22"/>
  <c r="D399" i="22"/>
  <c r="I399" i="22" s="1"/>
  <c r="B380" i="22"/>
  <c r="C380" i="22"/>
  <c r="B379" i="22"/>
  <c r="D379" i="22"/>
  <c r="I379" i="22" s="1"/>
  <c r="B371" i="22"/>
  <c r="D371" i="22"/>
  <c r="B362" i="22"/>
  <c r="D362" i="22"/>
  <c r="B342" i="22"/>
  <c r="C342" i="22"/>
  <c r="B341" i="22"/>
  <c r="D341" i="22"/>
  <c r="B334" i="22"/>
  <c r="C334" i="22"/>
  <c r="Z250" i="22"/>
  <c r="Z245" i="22"/>
  <c r="Z244" i="22"/>
  <c r="G244" i="22"/>
  <c r="Z241" i="22"/>
  <c r="G241" i="22"/>
  <c r="Z239" i="22"/>
  <c r="G239" i="22"/>
  <c r="E476" i="22"/>
  <c r="J476" i="22" s="1"/>
  <c r="E469" i="22"/>
  <c r="E463" i="22"/>
  <c r="P448" i="22"/>
  <c r="V448" i="22" s="1"/>
  <c r="E209" i="22"/>
  <c r="F409" i="22"/>
  <c r="K409" i="22" s="1"/>
  <c r="F376" i="22"/>
  <c r="E333" i="22"/>
  <c r="D333" i="22"/>
  <c r="C333" i="22"/>
  <c r="D331" i="22"/>
  <c r="C329" i="22"/>
  <c r="D316" i="22"/>
  <c r="I316" i="22" s="1"/>
  <c r="D314" i="22"/>
  <c r="F314" i="22" s="1"/>
  <c r="D311" i="22"/>
  <c r="D309" i="22"/>
  <c r="C305" i="22"/>
  <c r="D304" i="22"/>
  <c r="I304" i="22" s="1"/>
  <c r="D301" i="22"/>
  <c r="E300" i="22"/>
  <c r="C300" i="22"/>
  <c r="C298" i="22"/>
  <c r="C283" i="22"/>
  <c r="H283" i="22" s="1"/>
  <c r="D282" i="22"/>
  <c r="C278" i="22"/>
  <c r="D277" i="22"/>
  <c r="I277" i="22" s="1"/>
  <c r="D250" i="22"/>
  <c r="AB250" i="22" s="1"/>
  <c r="D245" i="22"/>
  <c r="AB245" i="22" s="1"/>
  <c r="D244" i="22"/>
  <c r="F244" i="22" s="1"/>
  <c r="Q244" i="22" s="1"/>
  <c r="W244" i="22" s="1"/>
  <c r="D241" i="22"/>
  <c r="F241" i="22" s="1"/>
  <c r="Q241" i="22" s="1"/>
  <c r="W241" i="22" s="1"/>
  <c r="D239" i="22"/>
  <c r="F239" i="22" s="1"/>
  <c r="Q239" i="22" s="1"/>
  <c r="W239" i="22" s="1"/>
  <c r="D235" i="22"/>
  <c r="AB235" i="22" s="1"/>
  <c r="C220" i="22"/>
  <c r="C218" i="22"/>
  <c r="D205" i="22"/>
  <c r="D203" i="22"/>
  <c r="E203" i="22" s="1"/>
  <c r="C204" i="22"/>
  <c r="E204" i="22" s="1"/>
  <c r="I204" i="22" s="1"/>
  <c r="D186" i="22"/>
  <c r="D182" i="22"/>
  <c r="D180" i="22"/>
  <c r="D178" i="22"/>
  <c r="D170" i="22"/>
  <c r="D140" i="22"/>
  <c r="C140" i="22"/>
  <c r="D112" i="22"/>
  <c r="D106" i="22"/>
  <c r="E106" i="22" s="1"/>
  <c r="D91" i="22"/>
  <c r="E91" i="22" s="1"/>
  <c r="D89" i="22"/>
  <c r="E89" i="22" s="1"/>
  <c r="D87" i="22"/>
  <c r="H87" i="22" s="1"/>
  <c r="D85" i="22"/>
  <c r="D81" i="22"/>
  <c r="D79" i="22"/>
  <c r="E79" i="22" s="1"/>
  <c r="D60" i="22"/>
  <c r="D58" i="22"/>
  <c r="D52" i="22"/>
  <c r="E52" i="22" s="1"/>
  <c r="D48" i="22"/>
  <c r="E48" i="22" s="1"/>
  <c r="D42" i="22"/>
  <c r="D17" i="22"/>
  <c r="P17" i="22" s="1"/>
  <c r="V17" i="22" s="1"/>
  <c r="C8" i="22"/>
  <c r="H448" i="22"/>
  <c r="J444" i="22"/>
  <c r="H442" i="22"/>
  <c r="G309" i="22"/>
  <c r="G306" i="22"/>
  <c r="F251" i="22"/>
  <c r="F247" i="22"/>
  <c r="E139" i="22"/>
  <c r="J47" i="59"/>
  <c r="J45" i="59"/>
  <c r="J43" i="59"/>
  <c r="J41" i="59"/>
  <c r="J39" i="59"/>
  <c r="J37" i="59"/>
  <c r="J35" i="59"/>
  <c r="J33" i="59"/>
  <c r="J97" i="59"/>
  <c r="J30" i="59"/>
  <c r="J22" i="59"/>
  <c r="J20" i="59"/>
  <c r="J18" i="59"/>
  <c r="J106" i="59"/>
  <c r="J16" i="59"/>
  <c r="J104" i="59"/>
  <c r="J14" i="59"/>
  <c r="J12" i="59"/>
  <c r="J100" i="59"/>
  <c r="K10" i="59"/>
  <c r="G54" i="59"/>
  <c r="J8" i="59"/>
  <c r="C54" i="59"/>
  <c r="B56" i="59"/>
  <c r="F510" i="22"/>
  <c r="E219" i="22"/>
  <c r="B90" i="59"/>
  <c r="B88" i="59"/>
  <c r="B86" i="59"/>
  <c r="B84" i="59"/>
  <c r="B82" i="59"/>
  <c r="B80" i="59"/>
  <c r="B78" i="59"/>
  <c r="H97" i="59"/>
  <c r="B76" i="59"/>
  <c r="B69" i="59"/>
  <c r="B67" i="59"/>
  <c r="H108" i="59"/>
  <c r="B65" i="59"/>
  <c r="H106" i="59"/>
  <c r="B63" i="59"/>
  <c r="B61" i="59"/>
  <c r="B59" i="59"/>
  <c r="H100" i="59"/>
  <c r="B57" i="59"/>
  <c r="G481" i="22"/>
  <c r="G471" i="22"/>
  <c r="G465" i="22"/>
  <c r="Z443" i="22"/>
  <c r="G410" i="22"/>
  <c r="G404" i="22"/>
  <c r="G398" i="22"/>
  <c r="G315" i="22"/>
  <c r="G313" i="22"/>
  <c r="G310" i="22"/>
  <c r="G303" i="22"/>
  <c r="G299" i="22"/>
  <c r="G252" i="22"/>
  <c r="Z252" i="22"/>
  <c r="Z249" i="22"/>
  <c r="G249" i="22"/>
  <c r="Z246" i="22"/>
  <c r="G246" i="22"/>
  <c r="G235" i="22"/>
  <c r="Z235" i="22"/>
  <c r="G314" i="22"/>
  <c r="G311" i="22"/>
  <c r="G304" i="22"/>
  <c r="G301" i="22"/>
  <c r="G237" i="22"/>
  <c r="B513" i="22"/>
  <c r="D513" i="22"/>
  <c r="I513" i="22" s="1"/>
  <c r="B511" i="22"/>
  <c r="D511" i="22"/>
  <c r="I511" i="22" s="1"/>
  <c r="B508" i="22"/>
  <c r="D508" i="22"/>
  <c r="I508" i="22" s="1"/>
  <c r="B506" i="22"/>
  <c r="D506" i="22"/>
  <c r="I506" i="22" s="1"/>
  <c r="B503" i="22"/>
  <c r="D503" i="22"/>
  <c r="I503" i="22" s="1"/>
  <c r="B501" i="22"/>
  <c r="D501" i="22"/>
  <c r="I501" i="22" s="1"/>
  <c r="B498" i="22"/>
  <c r="D498" i="22"/>
  <c r="I498" i="22" s="1"/>
  <c r="G497" i="22"/>
  <c r="G479" i="22"/>
  <c r="G449" i="22"/>
  <c r="Z449" i="22"/>
  <c r="Z446" i="22"/>
  <c r="G439" i="22"/>
  <c r="Z439" i="22"/>
  <c r="Z437" i="22"/>
  <c r="G432" i="22"/>
  <c r="Z432" i="22"/>
  <c r="G416" i="22"/>
  <c r="G308" i="22"/>
  <c r="G305" i="22"/>
  <c r="G300" i="22"/>
  <c r="G298" i="22"/>
  <c r="G283" i="22"/>
  <c r="G242" i="22"/>
  <c r="Z242" i="22"/>
  <c r="G240" i="22"/>
  <c r="Z240" i="22"/>
  <c r="G236" i="22"/>
  <c r="Z236" i="22"/>
  <c r="G234" i="22"/>
  <c r="Z234" i="22"/>
  <c r="B175" i="22"/>
  <c r="D175" i="22"/>
  <c r="B173" i="22"/>
  <c r="D173" i="22"/>
  <c r="B172" i="22"/>
  <c r="D172" i="22"/>
  <c r="B154" i="22"/>
  <c r="D154" i="22"/>
  <c r="B150" i="22"/>
  <c r="D150" i="22"/>
  <c r="B148" i="22"/>
  <c r="D148" i="22"/>
  <c r="B146" i="22"/>
  <c r="D146" i="22"/>
  <c r="B144" i="22"/>
  <c r="D144" i="22"/>
  <c r="B123" i="22"/>
  <c r="D123" i="22"/>
  <c r="B121" i="22"/>
  <c r="D121" i="22"/>
  <c r="B119" i="22"/>
  <c r="D119" i="22"/>
  <c r="B117" i="22"/>
  <c r="D117" i="22"/>
  <c r="B113" i="22"/>
  <c r="D113" i="22"/>
  <c r="B107" i="22"/>
  <c r="C107" i="22"/>
  <c r="B92" i="22"/>
  <c r="D92" i="22"/>
  <c r="H92" i="22" s="1"/>
  <c r="B74" i="22"/>
  <c r="D74" i="22"/>
  <c r="B72" i="22"/>
  <c r="D72" i="22"/>
  <c r="B57" i="22"/>
  <c r="D57" i="22"/>
  <c r="B55" i="22"/>
  <c r="D55" i="22"/>
  <c r="B49" i="22"/>
  <c r="D49" i="22"/>
  <c r="B43" i="22"/>
  <c r="C43" i="22"/>
  <c r="B28" i="22"/>
  <c r="D28" i="22"/>
  <c r="P28" i="22" s="1"/>
  <c r="V28" i="22" s="1"/>
  <c r="B26" i="22"/>
  <c r="D26" i="22"/>
  <c r="P26" i="22" s="1"/>
  <c r="V26" i="22" s="1"/>
  <c r="B22" i="22"/>
  <c r="D22" i="22"/>
  <c r="P22" i="22" s="1"/>
  <c r="V22" i="22" s="1"/>
  <c r="B20" i="22"/>
  <c r="D20" i="22"/>
  <c r="P20" i="22" s="1"/>
  <c r="V20" i="22" s="1"/>
  <c r="B18" i="22"/>
  <c r="D18" i="22"/>
  <c r="P18" i="22" s="1"/>
  <c r="V18" i="22" s="1"/>
  <c r="AB12" i="22"/>
  <c r="E12" i="22"/>
  <c r="Q12" i="22" s="1"/>
  <c r="Z12" i="22"/>
  <c r="AB10" i="22"/>
  <c r="Z8" i="22"/>
  <c r="E176" i="22"/>
  <c r="E143" i="22"/>
  <c r="E141" i="22"/>
  <c r="E124" i="22"/>
  <c r="E122" i="22"/>
  <c r="E75" i="22"/>
  <c r="B214" i="22"/>
  <c r="D214" i="22"/>
  <c r="B212" i="22"/>
  <c r="D212" i="22"/>
  <c r="H212" i="22" s="1"/>
  <c r="B210" i="22"/>
  <c r="D210" i="22"/>
  <c r="B208" i="22"/>
  <c r="D208" i="22"/>
  <c r="H208" i="22" s="1"/>
  <c r="F204" i="22"/>
  <c r="B202" i="22"/>
  <c r="D202" i="22"/>
  <c r="B200" i="22"/>
  <c r="D200" i="22"/>
  <c r="B187" i="22"/>
  <c r="D187" i="22"/>
  <c r="B185" i="22"/>
  <c r="D185" i="22"/>
  <c r="B183" i="22"/>
  <c r="D183" i="22"/>
  <c r="B181" i="22"/>
  <c r="D181" i="22"/>
  <c r="B177" i="22"/>
  <c r="D177" i="22"/>
  <c r="B171" i="22"/>
  <c r="C171" i="22"/>
  <c r="B156" i="22"/>
  <c r="D156" i="22"/>
  <c r="H156" i="22" s="1"/>
  <c r="B138" i="22"/>
  <c r="D138" i="22"/>
  <c r="B136" i="22"/>
  <c r="D136" i="22"/>
  <c r="B111" i="22"/>
  <c r="D111" i="22"/>
  <c r="B109" i="22"/>
  <c r="D109" i="22"/>
  <c r="B108" i="22"/>
  <c r="D108" i="22"/>
  <c r="B90" i="22"/>
  <c r="D90" i="22"/>
  <c r="B86" i="22"/>
  <c r="D86" i="22"/>
  <c r="H86" i="22" s="1"/>
  <c r="B84" i="22"/>
  <c r="D84" i="22"/>
  <c r="B82" i="22"/>
  <c r="D82" i="22"/>
  <c r="B80" i="22"/>
  <c r="D80" i="22"/>
  <c r="H80" i="22" s="1"/>
  <c r="B59" i="22"/>
  <c r="D59" i="22"/>
  <c r="B53" i="22"/>
  <c r="D53" i="22"/>
  <c r="B47" i="22"/>
  <c r="D47" i="22"/>
  <c r="B45" i="22"/>
  <c r="D45" i="22"/>
  <c r="B44" i="22"/>
  <c r="D44" i="22"/>
  <c r="B16" i="22"/>
  <c r="O16" i="22" s="1"/>
  <c r="U16" i="22" s="1"/>
  <c r="D16" i="22"/>
  <c r="P16" i="22" s="1"/>
  <c r="V16" i="22" s="1"/>
  <c r="D11" i="22"/>
  <c r="P11" i="22" s="1"/>
  <c r="V11" i="22" s="1"/>
  <c r="B11" i="22"/>
  <c r="O11" i="22" s="1"/>
  <c r="U11" i="22" s="1"/>
  <c r="B10" i="22"/>
  <c r="C10" i="22"/>
  <c r="D481" i="22"/>
  <c r="I481" i="22" s="1"/>
  <c r="D479" i="22"/>
  <c r="I479" i="22" s="1"/>
  <c r="D475" i="22"/>
  <c r="I475" i="22" s="1"/>
  <c r="D473" i="22"/>
  <c r="I473" i="22" s="1"/>
  <c r="D471" i="22"/>
  <c r="I471" i="22" s="1"/>
  <c r="D469" i="22"/>
  <c r="I469" i="22" s="1"/>
  <c r="D465" i="22"/>
  <c r="I465" i="22" s="1"/>
  <c r="E464" i="22"/>
  <c r="C464" i="22"/>
  <c r="H464" i="22" s="1"/>
  <c r="D463" i="22"/>
  <c r="P449" i="22"/>
  <c r="V449" i="22" s="1"/>
  <c r="P446" i="22"/>
  <c r="V446" i="22" s="1"/>
  <c r="P443" i="22"/>
  <c r="V443" i="22" s="1"/>
  <c r="J441" i="22"/>
  <c r="H441" i="22"/>
  <c r="P439" i="22"/>
  <c r="V439" i="22" s="1"/>
  <c r="H438" i="22"/>
  <c r="P437" i="22"/>
  <c r="V437" i="22" s="1"/>
  <c r="H436" i="22"/>
  <c r="Z434" i="22"/>
  <c r="AC433" i="22"/>
  <c r="P432" i="22"/>
  <c r="V432" i="22" s="1"/>
  <c r="O432" i="22"/>
  <c r="U432" i="22" s="1"/>
  <c r="E415" i="22"/>
  <c r="D416" i="22"/>
  <c r="I416" i="22" s="1"/>
  <c r="D414" i="22"/>
  <c r="D410" i="22"/>
  <c r="I410" i="22" s="1"/>
  <c r="D408" i="22"/>
  <c r="I408" i="22" s="1"/>
  <c r="D406" i="22"/>
  <c r="I406" i="22" s="1"/>
  <c r="D404" i="22"/>
  <c r="I404" i="22" s="1"/>
  <c r="D400" i="22"/>
  <c r="I400" i="22" s="1"/>
  <c r="D398" i="22"/>
  <c r="I398" i="22" s="1"/>
  <c r="D382" i="22"/>
  <c r="I382" i="22" s="1"/>
  <c r="D380" i="22"/>
  <c r="D377" i="22"/>
  <c r="D375" i="22"/>
  <c r="D372" i="22"/>
  <c r="D370" i="22"/>
  <c r="I370" i="22" s="1"/>
  <c r="D367" i="22"/>
  <c r="D349" i="22"/>
  <c r="I349" i="22" s="1"/>
  <c r="D347" i="22"/>
  <c r="D344" i="22"/>
  <c r="D342" i="22"/>
  <c r="D339" i="22"/>
  <c r="D337" i="22"/>
  <c r="I337" i="22" s="1"/>
  <c r="D334" i="22"/>
  <c r="D329" i="22"/>
  <c r="D315" i="22"/>
  <c r="I315" i="22" s="1"/>
  <c r="D313" i="22"/>
  <c r="D310" i="22"/>
  <c r="D308" i="22"/>
  <c r="D305" i="22"/>
  <c r="D303" i="22"/>
  <c r="I303" i="22" s="1"/>
  <c r="E299" i="22"/>
  <c r="D300" i="22"/>
  <c r="C299" i="22"/>
  <c r="D298" i="22"/>
  <c r="D296" i="22"/>
  <c r="F296" i="22" s="1"/>
  <c r="D283" i="22"/>
  <c r="I283" i="22" s="1"/>
  <c r="D281" i="22"/>
  <c r="I281" i="22" s="1"/>
  <c r="D278" i="22"/>
  <c r="G251" i="22"/>
  <c r="G250" i="22"/>
  <c r="E252" i="22"/>
  <c r="P252" i="22" s="1"/>
  <c r="V252" i="22" s="1"/>
  <c r="D252" i="22"/>
  <c r="C252" i="22"/>
  <c r="G247" i="22"/>
  <c r="E249" i="22"/>
  <c r="P249" i="22" s="1"/>
  <c r="V249" i="22" s="1"/>
  <c r="D249" i="22"/>
  <c r="C249" i="22"/>
  <c r="G245" i="22"/>
  <c r="E246" i="22"/>
  <c r="P246" i="22" s="1"/>
  <c r="V246" i="22" s="1"/>
  <c r="D246" i="22"/>
  <c r="C246" i="22"/>
  <c r="E242" i="22"/>
  <c r="P242" i="22" s="1"/>
  <c r="V242" i="22" s="1"/>
  <c r="D242" i="22"/>
  <c r="C242" i="22"/>
  <c r="E240" i="22"/>
  <c r="P240" i="22" s="1"/>
  <c r="V240" i="22" s="1"/>
  <c r="D240" i="22"/>
  <c r="C240" i="22"/>
  <c r="AB237" i="22"/>
  <c r="Z237" i="22"/>
  <c r="AC236" i="22"/>
  <c r="E235" i="22"/>
  <c r="P235" i="22" s="1"/>
  <c r="V235" i="22" s="1"/>
  <c r="D236" i="22"/>
  <c r="C235" i="22"/>
  <c r="D234" i="22"/>
  <c r="D220" i="22"/>
  <c r="D218" i="22"/>
  <c r="E217" i="22"/>
  <c r="I217" i="22" s="1"/>
  <c r="E215" i="22"/>
  <c r="E213" i="22"/>
  <c r="E207" i="22"/>
  <c r="C175" i="22"/>
  <c r="C173" i="22"/>
  <c r="C154" i="22"/>
  <c r="C150" i="22"/>
  <c r="G150" i="22" s="1"/>
  <c r="C148" i="22"/>
  <c r="C146" i="22"/>
  <c r="C144" i="22"/>
  <c r="C123" i="22"/>
  <c r="C121" i="22"/>
  <c r="C119" i="22"/>
  <c r="C117" i="22"/>
  <c r="F116" i="22"/>
  <c r="C113" i="22"/>
  <c r="C92" i="22"/>
  <c r="G92" i="22" s="1"/>
  <c r="C74" i="22"/>
  <c r="C72" i="22"/>
  <c r="C57" i="22"/>
  <c r="C55" i="22"/>
  <c r="E54" i="22"/>
  <c r="C49" i="22"/>
  <c r="C28" i="22"/>
  <c r="Z27" i="22"/>
  <c r="C26" i="22"/>
  <c r="Z25" i="22"/>
  <c r="Z23" i="22"/>
  <c r="C22" i="22"/>
  <c r="Z21" i="22"/>
  <c r="C20" i="22"/>
  <c r="C18" i="22"/>
  <c r="Z13" i="22"/>
  <c r="F90" i="59"/>
  <c r="D90" i="59"/>
  <c r="F88" i="59"/>
  <c r="D88" i="59"/>
  <c r="D109" i="59" s="1"/>
  <c r="F86" i="59"/>
  <c r="D86" i="59"/>
  <c r="D107" i="59" s="1"/>
  <c r="F84" i="59"/>
  <c r="D84" i="59"/>
  <c r="F82" i="59"/>
  <c r="D82" i="59"/>
  <c r="F80" i="59"/>
  <c r="D80" i="59"/>
  <c r="D101" i="59" s="1"/>
  <c r="F78" i="59"/>
  <c r="D78" i="59"/>
  <c r="F76" i="59"/>
  <c r="D76" i="59"/>
  <c r="F69" i="59"/>
  <c r="D69" i="59"/>
  <c r="F67" i="59"/>
  <c r="D67" i="59"/>
  <c r="F65" i="59"/>
  <c r="D65" i="59"/>
  <c r="F63" i="59"/>
  <c r="D63" i="59"/>
  <c r="F61" i="59"/>
  <c r="D61" i="59"/>
  <c r="F59" i="59"/>
  <c r="D59" i="59"/>
  <c r="F57" i="59"/>
  <c r="D57" i="59"/>
  <c r="F56" i="59"/>
  <c r="D56" i="59"/>
  <c r="E54" i="59"/>
  <c r="D8" i="22"/>
  <c r="F75" i="22" l="1"/>
  <c r="F178" i="22"/>
  <c r="C110" i="59"/>
  <c r="B107" i="59"/>
  <c r="F107" i="59"/>
  <c r="E110" i="59"/>
  <c r="G110" i="59"/>
  <c r="D110" i="59"/>
  <c r="B110" i="59"/>
  <c r="E107" i="59"/>
  <c r="G149" i="22"/>
  <c r="G105" i="59"/>
  <c r="G145" i="22"/>
  <c r="G146" i="22"/>
  <c r="G99" i="59"/>
  <c r="W12" i="22"/>
  <c r="F209" i="22"/>
  <c r="H209" i="22"/>
  <c r="G349" i="22"/>
  <c r="D111" i="59"/>
  <c r="D105" i="59"/>
  <c r="C112" i="59"/>
  <c r="F100" i="59"/>
  <c r="B98" i="59"/>
  <c r="F103" i="59"/>
  <c r="F111" i="59"/>
  <c r="B104" i="59"/>
  <c r="M9" i="59"/>
  <c r="T9" i="59" s="1"/>
  <c r="D112" i="59"/>
  <c r="C95" i="59"/>
  <c r="M46" i="59"/>
  <c r="T46" i="59" s="1"/>
  <c r="F97" i="59"/>
  <c r="F105" i="59"/>
  <c r="D106" i="59"/>
  <c r="C99" i="59"/>
  <c r="I448" i="22"/>
  <c r="C106" i="59"/>
  <c r="C102" i="59"/>
  <c r="C98" i="59"/>
  <c r="F109" i="59"/>
  <c r="F101" i="59"/>
  <c r="E103" i="59"/>
  <c r="F493" i="22"/>
  <c r="M10" i="59"/>
  <c r="T10" i="59" s="1"/>
  <c r="D95" i="59"/>
  <c r="B106" i="59"/>
  <c r="B95" i="59"/>
  <c r="D100" i="59"/>
  <c r="D102" i="59"/>
  <c r="D104" i="59"/>
  <c r="D108" i="59"/>
  <c r="D97" i="59"/>
  <c r="D103" i="59"/>
  <c r="B111" i="59"/>
  <c r="M16" i="59"/>
  <c r="T16" i="59" s="1"/>
  <c r="M35" i="59"/>
  <c r="T35" i="59" s="1"/>
  <c r="M39" i="59"/>
  <c r="T39" i="59" s="1"/>
  <c r="M43" i="59"/>
  <c r="T43" i="59" s="1"/>
  <c r="M47" i="59"/>
  <c r="T47" i="59" s="1"/>
  <c r="E178" i="22"/>
  <c r="E170" i="22"/>
  <c r="F331" i="22"/>
  <c r="G102" i="59"/>
  <c r="G106" i="59"/>
  <c r="K54" i="59"/>
  <c r="D98" i="59"/>
  <c r="G375" i="22"/>
  <c r="G337" i="22"/>
  <c r="J375" i="22"/>
  <c r="B99" i="59"/>
  <c r="G347" i="22"/>
  <c r="G364" i="22"/>
  <c r="G415" i="22"/>
  <c r="J365" i="22"/>
  <c r="F188" i="22"/>
  <c r="O235" i="22"/>
  <c r="U235" i="22" s="1"/>
  <c r="G382" i="22"/>
  <c r="J374" i="22"/>
  <c r="G332" i="22"/>
  <c r="G365" i="22"/>
  <c r="G414" i="22"/>
  <c r="I438" i="22"/>
  <c r="G381" i="22"/>
  <c r="B108" i="59"/>
  <c r="B102" i="59"/>
  <c r="O246" i="22"/>
  <c r="U246" i="22" s="1"/>
  <c r="O249" i="22"/>
  <c r="U249" i="22" s="1"/>
  <c r="O252" i="22"/>
  <c r="U252" i="22" s="1"/>
  <c r="O437" i="22"/>
  <c r="U437" i="22" s="1"/>
  <c r="O439" i="22"/>
  <c r="U439" i="22" s="1"/>
  <c r="O446" i="22"/>
  <c r="U446" i="22" s="1"/>
  <c r="O240" i="22"/>
  <c r="U240" i="22" s="1"/>
  <c r="O242" i="22"/>
  <c r="U242" i="22" s="1"/>
  <c r="O443" i="22"/>
  <c r="U443" i="22" s="1"/>
  <c r="O449" i="22"/>
  <c r="U449" i="22" s="1"/>
  <c r="Z448" i="22"/>
  <c r="O448" i="22"/>
  <c r="U448" i="22" s="1"/>
  <c r="G433" i="22"/>
  <c r="O433" i="22"/>
  <c r="U433" i="22" s="1"/>
  <c r="AD237" i="22"/>
  <c r="Q237" i="22"/>
  <c r="W237" i="22" s="1"/>
  <c r="AC234" i="22"/>
  <c r="P234" i="22"/>
  <c r="V234" i="22" s="1"/>
  <c r="AD438" i="22"/>
  <c r="Q438" i="22"/>
  <c r="W438" i="22" s="1"/>
  <c r="J442" i="22"/>
  <c r="P442" i="22"/>
  <c r="V442" i="22" s="1"/>
  <c r="O241" i="22"/>
  <c r="U241" i="22" s="1"/>
  <c r="O245" i="22"/>
  <c r="U245" i="22" s="1"/>
  <c r="O441" i="22"/>
  <c r="U441" i="22" s="1"/>
  <c r="O15" i="22"/>
  <c r="U15" i="22" s="1"/>
  <c r="O436" i="22"/>
  <c r="U436" i="22" s="1"/>
  <c r="O438" i="22"/>
  <c r="U438" i="22" s="1"/>
  <c r="AD247" i="22"/>
  <c r="Q247" i="22"/>
  <c r="W247" i="22" s="1"/>
  <c r="AB8" i="22"/>
  <c r="P8" i="22"/>
  <c r="V8" i="22" s="1"/>
  <c r="AD251" i="22"/>
  <c r="Q251" i="22"/>
  <c r="W251" i="22" s="1"/>
  <c r="AA8" i="22"/>
  <c r="O8" i="22"/>
  <c r="U8" i="22" s="1"/>
  <c r="Z431" i="22"/>
  <c r="O431" i="22"/>
  <c r="U431" i="22" s="1"/>
  <c r="Z442" i="22"/>
  <c r="O442" i="22"/>
  <c r="U442" i="22" s="1"/>
  <c r="AD232" i="22"/>
  <c r="Q232" i="22"/>
  <c r="W232" i="22" s="1"/>
  <c r="O10" i="22"/>
  <c r="U10" i="22" s="1"/>
  <c r="O18" i="22"/>
  <c r="U18" i="22" s="1"/>
  <c r="O20" i="22"/>
  <c r="U20" i="22" s="1"/>
  <c r="O22" i="22"/>
  <c r="U22" i="22" s="1"/>
  <c r="O26" i="22"/>
  <c r="U26" i="22" s="1"/>
  <c r="O28" i="22"/>
  <c r="U28" i="22" s="1"/>
  <c r="O17" i="22"/>
  <c r="U17" i="22" s="1"/>
  <c r="O239" i="22"/>
  <c r="U239" i="22" s="1"/>
  <c r="O244" i="22"/>
  <c r="U244" i="22" s="1"/>
  <c r="O250" i="22"/>
  <c r="U250" i="22" s="1"/>
  <c r="O13" i="22"/>
  <c r="U13" i="22" s="1"/>
  <c r="J380" i="22"/>
  <c r="J337" i="22"/>
  <c r="J382" i="22"/>
  <c r="F441" i="22"/>
  <c r="K441" i="22" s="1"/>
  <c r="F203" i="22"/>
  <c r="G95" i="59"/>
  <c r="G154" i="22"/>
  <c r="M32" i="59"/>
  <c r="T32" i="59" s="1"/>
  <c r="M17" i="59"/>
  <c r="T17" i="59" s="1"/>
  <c r="M40" i="59"/>
  <c r="T40" i="59" s="1"/>
  <c r="K55" i="59"/>
  <c r="C121" i="59" s="1"/>
  <c r="B112" i="59"/>
  <c r="G97" i="59"/>
  <c r="M14" i="59"/>
  <c r="T14" i="59" s="1"/>
  <c r="M18" i="59"/>
  <c r="T18" i="59" s="1"/>
  <c r="M22" i="59"/>
  <c r="T22" i="59" s="1"/>
  <c r="M13" i="59"/>
  <c r="T13" i="59" s="1"/>
  <c r="M21" i="59"/>
  <c r="T21" i="59" s="1"/>
  <c r="M36" i="59"/>
  <c r="T36" i="59" s="1"/>
  <c r="E97" i="59"/>
  <c r="F102" i="59"/>
  <c r="G104" i="59"/>
  <c r="E60" i="22"/>
  <c r="J377" i="22"/>
  <c r="AA433" i="22"/>
  <c r="G442" i="22"/>
  <c r="G339" i="22"/>
  <c r="G372" i="22"/>
  <c r="G343" i="22"/>
  <c r="G376" i="22"/>
  <c r="F442" i="22"/>
  <c r="K442" i="22" s="1"/>
  <c r="AB438" i="22"/>
  <c r="F124" i="22"/>
  <c r="F141" i="22"/>
  <c r="F110" i="59"/>
  <c r="M44" i="59"/>
  <c r="T44" i="59" s="1"/>
  <c r="M11" i="59"/>
  <c r="T11" i="59" s="1"/>
  <c r="M15" i="59"/>
  <c r="T15" i="59" s="1"/>
  <c r="M19" i="59"/>
  <c r="T19" i="59" s="1"/>
  <c r="M23" i="59"/>
  <c r="T23" i="59" s="1"/>
  <c r="M34" i="59"/>
  <c r="T34" i="59" s="1"/>
  <c r="M38" i="59"/>
  <c r="T38" i="59" s="1"/>
  <c r="M42" i="59"/>
  <c r="T42" i="59" s="1"/>
  <c r="B100" i="59"/>
  <c r="B97" i="59"/>
  <c r="B103" i="59"/>
  <c r="F95" i="59"/>
  <c r="F205" i="22"/>
  <c r="G342" i="22"/>
  <c r="G380" i="22"/>
  <c r="G377" i="22"/>
  <c r="G367" i="22"/>
  <c r="G370" i="22"/>
  <c r="G334" i="22"/>
  <c r="G344" i="22"/>
  <c r="G331" i="22"/>
  <c r="F413" i="22"/>
  <c r="K413" i="22" s="1"/>
  <c r="E95" i="59"/>
  <c r="C111" i="59"/>
  <c r="E111" i="59"/>
  <c r="J342" i="22"/>
  <c r="J347" i="22"/>
  <c r="F207" i="22"/>
  <c r="F366" i="22"/>
  <c r="J379" i="22"/>
  <c r="E140" i="22"/>
  <c r="F122" i="22"/>
  <c r="J415" i="22"/>
  <c r="F433" i="22"/>
  <c r="Q433" i="22" s="1"/>
  <c r="W433" i="22" s="1"/>
  <c r="I442" i="22"/>
  <c r="G448" i="22"/>
  <c r="F497" i="22"/>
  <c r="K497" i="22" s="1"/>
  <c r="F436" i="22"/>
  <c r="I436" i="22"/>
  <c r="I441" i="22"/>
  <c r="E17" i="22"/>
  <c r="J372" i="22"/>
  <c r="J376" i="22"/>
  <c r="J381" i="22"/>
  <c r="F403" i="22"/>
  <c r="K403" i="22" s="1"/>
  <c r="F500" i="22"/>
  <c r="F448" i="22"/>
  <c r="C276" i="22"/>
  <c r="B276" i="22"/>
  <c r="E276" i="22"/>
  <c r="G151" i="22"/>
  <c r="E109" i="59"/>
  <c r="K74" i="59"/>
  <c r="K52" i="59"/>
  <c r="C118" i="59" s="1"/>
  <c r="G100" i="59"/>
  <c r="G109" i="59"/>
  <c r="M8" i="59"/>
  <c r="T8" i="59" s="1"/>
  <c r="M33" i="59"/>
  <c r="T33" i="59" s="1"/>
  <c r="M37" i="59"/>
  <c r="T37" i="59" s="1"/>
  <c r="M41" i="59"/>
  <c r="T41" i="59" s="1"/>
  <c r="M45" i="59"/>
  <c r="T45" i="59" s="1"/>
  <c r="G204" i="22"/>
  <c r="J370" i="22"/>
  <c r="G141" i="22"/>
  <c r="F15" i="22"/>
  <c r="F176" i="22"/>
  <c r="F155" i="22"/>
  <c r="F153" i="22"/>
  <c r="F145" i="22"/>
  <c r="F143" i="22"/>
  <c r="F139" i="22"/>
  <c r="F58" i="22"/>
  <c r="F77" i="22"/>
  <c r="F118" i="22"/>
  <c r="F50" i="22"/>
  <c r="F114" i="22"/>
  <c r="F149" i="22"/>
  <c r="F151" i="22"/>
  <c r="F170" i="22"/>
  <c r="F333" i="22"/>
  <c r="C108" i="59"/>
  <c r="F108" i="59"/>
  <c r="G107" i="59"/>
  <c r="C97" i="59"/>
  <c r="C100" i="59"/>
  <c r="C105" i="59"/>
  <c r="F106" i="59"/>
  <c r="F112" i="59"/>
  <c r="C103" i="59"/>
  <c r="F104" i="59"/>
  <c r="C101" i="59"/>
  <c r="C104" i="59"/>
  <c r="C109" i="59"/>
  <c r="J367" i="22"/>
  <c r="E98" i="59"/>
  <c r="C107" i="59"/>
  <c r="G98" i="59"/>
  <c r="F12" i="22"/>
  <c r="F140" i="22"/>
  <c r="J236" i="22"/>
  <c r="F99" i="59"/>
  <c r="G148" i="22"/>
  <c r="G12" i="22"/>
  <c r="F27" i="22"/>
  <c r="G366" i="22"/>
  <c r="K62" i="59"/>
  <c r="C128" i="59" s="1"/>
  <c r="K83" i="59"/>
  <c r="D99" i="59"/>
  <c r="G333" i="22"/>
  <c r="F495" i="22"/>
  <c r="C511" i="22"/>
  <c r="H511" i="22" s="1"/>
  <c r="E511" i="22"/>
  <c r="J511" i="22" s="1"/>
  <c r="B507" i="22"/>
  <c r="D507" i="22"/>
  <c r="I507" i="22" s="1"/>
  <c r="C501" i="22"/>
  <c r="E501" i="22"/>
  <c r="B473" i="22"/>
  <c r="G473" i="22" s="1"/>
  <c r="E473" i="22"/>
  <c r="J473" i="22" s="1"/>
  <c r="B470" i="22"/>
  <c r="D470" i="22"/>
  <c r="I470" i="22" s="1"/>
  <c r="B464" i="22"/>
  <c r="D464" i="22"/>
  <c r="I464" i="22" s="1"/>
  <c r="B512" i="22"/>
  <c r="D512" i="22"/>
  <c r="I512" i="22" s="1"/>
  <c r="C506" i="22"/>
  <c r="H506" i="22" s="1"/>
  <c r="E506" i="22"/>
  <c r="J506" i="22" s="1"/>
  <c r="B502" i="22"/>
  <c r="D502" i="22"/>
  <c r="I502" i="22" s="1"/>
  <c r="B480" i="22"/>
  <c r="C480" i="22"/>
  <c r="H480" i="22" s="1"/>
  <c r="B478" i="22"/>
  <c r="D478" i="22"/>
  <c r="I478" i="22" s="1"/>
  <c r="B474" i="22"/>
  <c r="D474" i="22"/>
  <c r="I474" i="22" s="1"/>
  <c r="B468" i="22"/>
  <c r="C468" i="22"/>
  <c r="H468" i="22" s="1"/>
  <c r="B466" i="22"/>
  <c r="D466" i="22"/>
  <c r="I466" i="22" s="1"/>
  <c r="C507" i="22"/>
  <c r="C470" i="22"/>
  <c r="O434" i="22"/>
  <c r="U434" i="22" s="1"/>
  <c r="F429" i="22"/>
  <c r="C414" i="22"/>
  <c r="H414" i="22" s="1"/>
  <c r="C410" i="22"/>
  <c r="H410" i="22" s="1"/>
  <c r="C404" i="22"/>
  <c r="H404" i="22" s="1"/>
  <c r="D401" i="22"/>
  <c r="I414" i="22" s="1"/>
  <c r="C398" i="22"/>
  <c r="D381" i="22"/>
  <c r="I380" i="22" s="1"/>
  <c r="C377" i="22"/>
  <c r="F377" i="22" s="1"/>
  <c r="C370" i="22"/>
  <c r="E362" i="22"/>
  <c r="F362" i="22" s="1"/>
  <c r="D348" i="22"/>
  <c r="D343" i="22"/>
  <c r="F343" i="22" s="1"/>
  <c r="C339" i="22"/>
  <c r="H339" i="22" s="1"/>
  <c r="D336" i="22"/>
  <c r="D332" i="22"/>
  <c r="F332" i="22" s="1"/>
  <c r="E329" i="22"/>
  <c r="F329" i="22" s="1"/>
  <c r="C316" i="22"/>
  <c r="H316" i="22" s="1"/>
  <c r="C313" i="22"/>
  <c r="H313" i="22" s="1"/>
  <c r="C311" i="22"/>
  <c r="C309" i="22"/>
  <c r="F309" i="22" s="1"/>
  <c r="D306" i="22"/>
  <c r="F306" i="22" s="1"/>
  <c r="E305" i="22"/>
  <c r="F305" i="22" s="1"/>
  <c r="C304" i="22"/>
  <c r="H304" i="22" s="1"/>
  <c r="E298" i="22"/>
  <c r="D284" i="22"/>
  <c r="E283" i="22"/>
  <c r="J283" i="22" s="1"/>
  <c r="C282" i="22"/>
  <c r="D279" i="22"/>
  <c r="E278" i="22"/>
  <c r="F278" i="22" s="1"/>
  <c r="C277" i="22"/>
  <c r="H277" i="22" s="1"/>
  <c r="D274" i="22"/>
  <c r="C236" i="22"/>
  <c r="C234" i="22"/>
  <c r="C205" i="22"/>
  <c r="G219" i="22" s="1"/>
  <c r="D188" i="22"/>
  <c r="H183" i="22" s="1"/>
  <c r="C186" i="22"/>
  <c r="C182" i="22"/>
  <c r="C180" i="22"/>
  <c r="D168" i="22"/>
  <c r="E168" i="22" s="1"/>
  <c r="D155" i="22"/>
  <c r="E155" i="22" s="1"/>
  <c r="D153" i="22"/>
  <c r="E153" i="22" s="1"/>
  <c r="D151" i="22"/>
  <c r="E151" i="22" s="1"/>
  <c r="D149" i="22"/>
  <c r="E149" i="22" s="1"/>
  <c r="D145" i="22"/>
  <c r="E145" i="22" s="1"/>
  <c r="D118" i="22"/>
  <c r="E118" i="22" s="1"/>
  <c r="D116" i="22"/>
  <c r="C112" i="22"/>
  <c r="G117" i="22" s="1"/>
  <c r="D104" i="22"/>
  <c r="E104" i="22" s="1"/>
  <c r="C87" i="22"/>
  <c r="C85" i="22"/>
  <c r="D77" i="22"/>
  <c r="E77" i="22" s="1"/>
  <c r="C76" i="22"/>
  <c r="D76" i="22"/>
  <c r="H76" i="22" s="1"/>
  <c r="C58" i="22"/>
  <c r="E58" i="22" s="1"/>
  <c r="D50" i="22"/>
  <c r="H49" i="22" s="1"/>
  <c r="C42" i="22"/>
  <c r="D27" i="22"/>
  <c r="P27" i="22" s="1"/>
  <c r="V27" i="22" s="1"/>
  <c r="D25" i="22"/>
  <c r="P25" i="22" s="1"/>
  <c r="V25" i="22" s="1"/>
  <c r="D23" i="22"/>
  <c r="P23" i="22" s="1"/>
  <c r="V23" i="22" s="1"/>
  <c r="D21" i="22"/>
  <c r="P21" i="22" s="1"/>
  <c r="V21" i="22" s="1"/>
  <c r="D15" i="22"/>
  <c r="P15" i="22" s="1"/>
  <c r="V15" i="22" s="1"/>
  <c r="D13" i="22"/>
  <c r="P13" i="22" s="1"/>
  <c r="V13" i="22" s="1"/>
  <c r="K89" i="59"/>
  <c r="B101" i="59"/>
  <c r="B105" i="59"/>
  <c r="B109" i="59"/>
  <c r="M12" i="59"/>
  <c r="T12" i="59" s="1"/>
  <c r="M20" i="59"/>
  <c r="T20" i="59" s="1"/>
  <c r="M30" i="59"/>
  <c r="T30" i="59" s="1"/>
  <c r="K91" i="59"/>
  <c r="E101" i="59"/>
  <c r="E105" i="59"/>
  <c r="G101" i="59"/>
  <c r="F21" i="22"/>
  <c r="F180" i="22"/>
  <c r="K60" i="59"/>
  <c r="C126" i="59" s="1"/>
  <c r="F98" i="59"/>
  <c r="E104" i="59"/>
  <c r="E108" i="59"/>
  <c r="E112" i="59"/>
  <c r="E100" i="59"/>
  <c r="G112" i="59"/>
  <c r="H207" i="22"/>
  <c r="F52" i="22"/>
  <c r="F79" i="22"/>
  <c r="G369" i="22"/>
  <c r="G108" i="59"/>
  <c r="J438" i="22"/>
  <c r="F17" i="22"/>
  <c r="K58" i="59"/>
  <c r="C124" i="59" s="1"/>
  <c r="K66" i="59"/>
  <c r="C132" i="59" s="1"/>
  <c r="K79" i="59"/>
  <c r="E102" i="59"/>
  <c r="G103" i="59"/>
  <c r="E106" i="59"/>
  <c r="G111" i="59"/>
  <c r="G140" i="22"/>
  <c r="G143" i="22"/>
  <c r="J332" i="22"/>
  <c r="J336" i="22"/>
  <c r="J366" i="22"/>
  <c r="J369" i="22"/>
  <c r="G144" i="22"/>
  <c r="J244" i="22"/>
  <c r="J239" i="22"/>
  <c r="J241" i="22"/>
  <c r="G15" i="22"/>
  <c r="F25" i="22"/>
  <c r="F81" i="22"/>
  <c r="G336" i="22"/>
  <c r="J338" i="22"/>
  <c r="J371" i="22"/>
  <c r="G17" i="22"/>
  <c r="K87" i="59"/>
  <c r="K77" i="59"/>
  <c r="K68" i="59"/>
  <c r="C134" i="59" s="1"/>
  <c r="K81" i="59"/>
  <c r="K85" i="59"/>
  <c r="K64" i="59"/>
  <c r="C130" i="59" s="1"/>
  <c r="AD241" i="22"/>
  <c r="AB239" i="22"/>
  <c r="I239" i="22"/>
  <c r="AB244" i="22"/>
  <c r="I244" i="22"/>
  <c r="G341" i="22"/>
  <c r="F341" i="22"/>
  <c r="G371" i="22"/>
  <c r="F371" i="22"/>
  <c r="G379" i="22"/>
  <c r="F379" i="22"/>
  <c r="G399" i="22"/>
  <c r="F399" i="22"/>
  <c r="K399" i="22" s="1"/>
  <c r="AC447" i="22"/>
  <c r="J447" i="22"/>
  <c r="G338" i="22"/>
  <c r="F338" i="22"/>
  <c r="G346" i="22"/>
  <c r="F346" i="22"/>
  <c r="G374" i="22"/>
  <c r="F374" i="22"/>
  <c r="G405" i="22"/>
  <c r="F405" i="22"/>
  <c r="K405" i="22" s="1"/>
  <c r="G411" i="22"/>
  <c r="F411" i="22"/>
  <c r="K411" i="22" s="1"/>
  <c r="G155" i="22"/>
  <c r="J339" i="22"/>
  <c r="J343" i="22"/>
  <c r="E81" i="22"/>
  <c r="J341" i="22"/>
  <c r="F245" i="22"/>
  <c r="F364" i="22"/>
  <c r="F396" i="22"/>
  <c r="J364" i="22"/>
  <c r="F476" i="22"/>
  <c r="K476" i="22" s="1"/>
  <c r="AB17" i="22"/>
  <c r="AB241" i="22"/>
  <c r="I241" i="22"/>
  <c r="J333" i="22"/>
  <c r="J331" i="22"/>
  <c r="AC448" i="22"/>
  <c r="J448" i="22"/>
  <c r="AA447" i="22"/>
  <c r="H447" i="22"/>
  <c r="H366" i="22"/>
  <c r="G139" i="22"/>
  <c r="F300" i="22"/>
  <c r="F465" i="22"/>
  <c r="K465" i="22" s="1"/>
  <c r="J344" i="22"/>
  <c r="J349" i="22"/>
  <c r="F250" i="22"/>
  <c r="G138" i="22"/>
  <c r="F301" i="22"/>
  <c r="J346" i="22"/>
  <c r="J334" i="22"/>
  <c r="AD239" i="22"/>
  <c r="K56" i="59"/>
  <c r="C122" i="59" s="1"/>
  <c r="K67" i="59"/>
  <c r="C133" i="59" s="1"/>
  <c r="H218" i="22"/>
  <c r="AD244" i="22"/>
  <c r="G18" i="22"/>
  <c r="AA18" i="22"/>
  <c r="I234" i="22"/>
  <c r="AB234" i="22"/>
  <c r="I240" i="22"/>
  <c r="AB240" i="22"/>
  <c r="AB246" i="22"/>
  <c r="I246" i="22"/>
  <c r="AB249" i="22"/>
  <c r="I249" i="22"/>
  <c r="J432" i="22"/>
  <c r="AC432" i="22"/>
  <c r="I437" i="22"/>
  <c r="AB437" i="22"/>
  <c r="AB443" i="22"/>
  <c r="I443" i="22"/>
  <c r="G20" i="22"/>
  <c r="AA20" i="22"/>
  <c r="G26" i="22"/>
  <c r="AA26" i="22"/>
  <c r="AA235" i="22"/>
  <c r="J235" i="22"/>
  <c r="AC235" i="22"/>
  <c r="J237" i="22"/>
  <c r="J245" i="22"/>
  <c r="J247" i="22"/>
  <c r="J250" i="22"/>
  <c r="J251" i="22"/>
  <c r="AA240" i="22"/>
  <c r="AC240" i="22"/>
  <c r="J240" i="22"/>
  <c r="AA242" i="22"/>
  <c r="AC242" i="22"/>
  <c r="J242" i="22"/>
  <c r="AA246" i="22"/>
  <c r="J246" i="22"/>
  <c r="AC246" i="22"/>
  <c r="AA249" i="22"/>
  <c r="J249" i="22"/>
  <c r="AC249" i="22"/>
  <c r="AA252" i="22"/>
  <c r="AC252" i="22"/>
  <c r="J252" i="22"/>
  <c r="H299" i="22"/>
  <c r="H432" i="22"/>
  <c r="AA432" i="22"/>
  <c r="I433" i="22"/>
  <c r="AB433" i="22"/>
  <c r="AA437" i="22"/>
  <c r="H437" i="22"/>
  <c r="AC437" i="22"/>
  <c r="J437" i="22"/>
  <c r="I439" i="22"/>
  <c r="AB439" i="22"/>
  <c r="H443" i="22"/>
  <c r="AA443" i="22"/>
  <c r="J443" i="22"/>
  <c r="AC443" i="22"/>
  <c r="H446" i="22"/>
  <c r="AA446" i="22"/>
  <c r="J446" i="22"/>
  <c r="AC446" i="22"/>
  <c r="AA449" i="22"/>
  <c r="H449" i="22"/>
  <c r="AC449" i="22"/>
  <c r="J449" i="22"/>
  <c r="E10" i="22"/>
  <c r="Q10" i="22" s="1"/>
  <c r="Z10" i="22"/>
  <c r="F10" i="22"/>
  <c r="AB11" i="22"/>
  <c r="F16" i="22"/>
  <c r="Z16" i="22"/>
  <c r="E16" i="22"/>
  <c r="Q16" i="22" s="1"/>
  <c r="F44" i="22"/>
  <c r="E44" i="22"/>
  <c r="F45" i="22"/>
  <c r="E45" i="22"/>
  <c r="F47" i="22"/>
  <c r="E47" i="22"/>
  <c r="F53" i="22"/>
  <c r="E53" i="22"/>
  <c r="F59" i="22"/>
  <c r="E59" i="22"/>
  <c r="F80" i="22"/>
  <c r="E80" i="22"/>
  <c r="I80" i="22" s="1"/>
  <c r="F82" i="22"/>
  <c r="E82" i="22"/>
  <c r="F84" i="22"/>
  <c r="E84" i="22"/>
  <c r="F86" i="22"/>
  <c r="E86" i="22"/>
  <c r="I86" i="22" s="1"/>
  <c r="F90" i="22"/>
  <c r="E90" i="22"/>
  <c r="F108" i="22"/>
  <c r="E108" i="22"/>
  <c r="F109" i="22"/>
  <c r="E109" i="22"/>
  <c r="F111" i="22"/>
  <c r="E111" i="22"/>
  <c r="F138" i="22"/>
  <c r="E138" i="22"/>
  <c r="F156" i="22"/>
  <c r="E156" i="22"/>
  <c r="I156" i="22" s="1"/>
  <c r="E171" i="22"/>
  <c r="F171" i="22"/>
  <c r="F182" i="22"/>
  <c r="F186" i="22"/>
  <c r="F177" i="22"/>
  <c r="E177" i="22"/>
  <c r="F181" i="22"/>
  <c r="E181" i="22"/>
  <c r="F183" i="22"/>
  <c r="E183" i="22"/>
  <c r="F185" i="22"/>
  <c r="E185" i="22"/>
  <c r="F187" i="22"/>
  <c r="E187" i="22"/>
  <c r="F202" i="22"/>
  <c r="E202" i="22"/>
  <c r="F213" i="22"/>
  <c r="F215" i="22"/>
  <c r="F219" i="22"/>
  <c r="F208" i="22"/>
  <c r="E208" i="22"/>
  <c r="I208" i="22" s="1"/>
  <c r="F210" i="22"/>
  <c r="E210" i="22"/>
  <c r="F212" i="22"/>
  <c r="E212" i="22"/>
  <c r="I212" i="22" s="1"/>
  <c r="F214" i="22"/>
  <c r="E214" i="22"/>
  <c r="AB18" i="22"/>
  <c r="AB20" i="22"/>
  <c r="AB22" i="22"/>
  <c r="AB26" i="22"/>
  <c r="AB28" i="22"/>
  <c r="H172" i="22"/>
  <c r="F13" i="22"/>
  <c r="F23" i="22"/>
  <c r="G173" i="22"/>
  <c r="H220" i="22"/>
  <c r="I245" i="22"/>
  <c r="I247" i="22"/>
  <c r="I250" i="22"/>
  <c r="E136" i="22"/>
  <c r="E200" i="22"/>
  <c r="K57" i="59"/>
  <c r="C123" i="59" s="1"/>
  <c r="K59" i="59"/>
  <c r="C125" i="59" s="1"/>
  <c r="K61" i="59"/>
  <c r="C127" i="59" s="1"/>
  <c r="K63" i="59"/>
  <c r="C129" i="59" s="1"/>
  <c r="K65" i="59"/>
  <c r="C131" i="59" s="1"/>
  <c r="K69" i="59"/>
  <c r="C135" i="59" s="1"/>
  <c r="K76" i="59"/>
  <c r="K78" i="59"/>
  <c r="K80" i="59"/>
  <c r="K82" i="59"/>
  <c r="K84" i="59"/>
  <c r="K86" i="59"/>
  <c r="K88" i="59"/>
  <c r="K90" i="59"/>
  <c r="H173" i="22"/>
  <c r="J234" i="22"/>
  <c r="J414" i="22"/>
  <c r="F240" i="22"/>
  <c r="Q240" i="22" s="1"/>
  <c r="W240" i="22" s="1"/>
  <c r="F242" i="22"/>
  <c r="Q242" i="22" s="1"/>
  <c r="W242" i="22" s="1"/>
  <c r="F308" i="22"/>
  <c r="F337" i="22"/>
  <c r="F342" i="22"/>
  <c r="F347" i="22"/>
  <c r="F375" i="22"/>
  <c r="F380" i="22"/>
  <c r="F400" i="22"/>
  <c r="K400" i="22" s="1"/>
  <c r="F406" i="22"/>
  <c r="K406" i="22" s="1"/>
  <c r="F408" i="22"/>
  <c r="K408" i="22" s="1"/>
  <c r="F416" i="22"/>
  <c r="K416" i="22" s="1"/>
  <c r="F437" i="22"/>
  <c r="Q437" i="22" s="1"/>
  <c r="W437" i="22" s="1"/>
  <c r="F446" i="22"/>
  <c r="Q446" i="22" s="1"/>
  <c r="W446" i="22" s="1"/>
  <c r="E218" i="22"/>
  <c r="E220" i="22"/>
  <c r="F299" i="22"/>
  <c r="G22" i="22"/>
  <c r="AA22" i="22"/>
  <c r="G28" i="22"/>
  <c r="AA28" i="22"/>
  <c r="I236" i="22"/>
  <c r="AB236" i="22"/>
  <c r="I242" i="22"/>
  <c r="AB242" i="22"/>
  <c r="I252" i="22"/>
  <c r="AB252" i="22"/>
  <c r="AB431" i="22"/>
  <c r="I431" i="22"/>
  <c r="AA439" i="22"/>
  <c r="H439" i="22"/>
  <c r="AC439" i="22"/>
  <c r="J439" i="22"/>
  <c r="AB446" i="22"/>
  <c r="I446" i="22"/>
  <c r="I449" i="22"/>
  <c r="AB449" i="22"/>
  <c r="J464" i="22"/>
  <c r="G13" i="22"/>
  <c r="G21" i="22"/>
  <c r="G23" i="22"/>
  <c r="G25" i="22"/>
  <c r="G27" i="22"/>
  <c r="G10" i="22"/>
  <c r="AA10" i="22"/>
  <c r="G11" i="22"/>
  <c r="G16" i="22"/>
  <c r="F11" i="22"/>
  <c r="Z11" i="22"/>
  <c r="E11" i="22"/>
  <c r="Q11" i="22" s="1"/>
  <c r="AB16" i="22"/>
  <c r="H202" i="22"/>
  <c r="H203" i="22"/>
  <c r="H205" i="22"/>
  <c r="H213" i="22"/>
  <c r="H215" i="22"/>
  <c r="H219" i="22"/>
  <c r="AC12" i="22"/>
  <c r="F18" i="22"/>
  <c r="Z18" i="22"/>
  <c r="E18" i="22"/>
  <c r="Q18" i="22" s="1"/>
  <c r="F20" i="22"/>
  <c r="Z20" i="22"/>
  <c r="E20" i="22"/>
  <c r="Q20" i="22" s="1"/>
  <c r="F22" i="22"/>
  <c r="Z22" i="22"/>
  <c r="E22" i="22"/>
  <c r="Q22" i="22" s="1"/>
  <c r="F26" i="22"/>
  <c r="Z26" i="22"/>
  <c r="E26" i="22"/>
  <c r="Q26" i="22" s="1"/>
  <c r="F28" i="22"/>
  <c r="Z28" i="22"/>
  <c r="E28" i="22"/>
  <c r="Q28" i="22" s="1"/>
  <c r="E43" i="22"/>
  <c r="F43" i="22"/>
  <c r="F42" i="22"/>
  <c r="F48" i="22"/>
  <c r="F54" i="22"/>
  <c r="F60" i="22"/>
  <c r="F49" i="22"/>
  <c r="E49" i="22"/>
  <c r="F55" i="22"/>
  <c r="E55" i="22"/>
  <c r="F57" i="22"/>
  <c r="E57" i="22"/>
  <c r="F74" i="22"/>
  <c r="E74" i="22"/>
  <c r="F85" i="22"/>
  <c r="F89" i="22"/>
  <c r="F91" i="22"/>
  <c r="F92" i="22"/>
  <c r="E92" i="22"/>
  <c r="I92" i="22" s="1"/>
  <c r="E107" i="22"/>
  <c r="F107" i="22"/>
  <c r="F106" i="22"/>
  <c r="F112" i="22"/>
  <c r="F113" i="22"/>
  <c r="E113" i="22"/>
  <c r="F117" i="22"/>
  <c r="E117" i="22"/>
  <c r="F119" i="22"/>
  <c r="E119" i="22"/>
  <c r="F121" i="22"/>
  <c r="E121" i="22"/>
  <c r="F123" i="22"/>
  <c r="E123" i="22"/>
  <c r="F144" i="22"/>
  <c r="E144" i="22"/>
  <c r="F146" i="22"/>
  <c r="E146" i="22"/>
  <c r="F148" i="22"/>
  <c r="E148" i="22"/>
  <c r="F150" i="22"/>
  <c r="E150" i="22"/>
  <c r="F154" i="22"/>
  <c r="E154" i="22"/>
  <c r="E172" i="22"/>
  <c r="I172" i="22" s="1"/>
  <c r="F172" i="22"/>
  <c r="F173" i="22"/>
  <c r="E173" i="22"/>
  <c r="F175" i="22"/>
  <c r="E175" i="22"/>
  <c r="F498" i="22"/>
  <c r="K498" i="22" s="1"/>
  <c r="G498" i="22"/>
  <c r="G501" i="22"/>
  <c r="F503" i="22"/>
  <c r="K503" i="22" s="1"/>
  <c r="G503" i="22"/>
  <c r="G506" i="22"/>
  <c r="F508" i="22"/>
  <c r="K508" i="22" s="1"/>
  <c r="G508" i="22"/>
  <c r="G511" i="22"/>
  <c r="F513" i="22"/>
  <c r="K513" i="22" s="1"/>
  <c r="G513" i="22"/>
  <c r="I251" i="22"/>
  <c r="J436" i="22"/>
  <c r="H210" i="22"/>
  <c r="H214" i="22"/>
  <c r="E8" i="22"/>
  <c r="E72" i="22"/>
  <c r="I235" i="22"/>
  <c r="H431" i="22"/>
  <c r="F432" i="22"/>
  <c r="Q432" i="22" s="1"/>
  <c r="W432" i="22" s="1"/>
  <c r="F439" i="22"/>
  <c r="Q439" i="22" s="1"/>
  <c r="W439" i="22" s="1"/>
  <c r="F449" i="22"/>
  <c r="Q449" i="22" s="1"/>
  <c r="W449" i="22" s="1"/>
  <c r="F469" i="22"/>
  <c r="F475" i="22"/>
  <c r="F479" i="22"/>
  <c r="K479" i="22" s="1"/>
  <c r="J431" i="22"/>
  <c r="F218" i="22"/>
  <c r="F220" i="22"/>
  <c r="F235" i="22"/>
  <c r="Q235" i="22" s="1"/>
  <c r="W235" i="22" s="1"/>
  <c r="F246" i="22"/>
  <c r="Q246" i="22" s="1"/>
  <c r="W246" i="22" s="1"/>
  <c r="F249" i="22"/>
  <c r="Q249" i="22" s="1"/>
  <c r="W249" i="22" s="1"/>
  <c r="F252" i="22"/>
  <c r="Q252" i="22" s="1"/>
  <c r="W252" i="22" s="1"/>
  <c r="F281" i="22"/>
  <c r="F303" i="22"/>
  <c r="F310" i="22"/>
  <c r="F315" i="22"/>
  <c r="K315" i="22" s="1"/>
  <c r="F334" i="22"/>
  <c r="F344" i="22"/>
  <c r="F349" i="22"/>
  <c r="F367" i="22"/>
  <c r="F372" i="22"/>
  <c r="F382" i="22"/>
  <c r="F415" i="22"/>
  <c r="F431" i="22"/>
  <c r="Q431" i="22" s="1"/>
  <c r="W431" i="22" s="1"/>
  <c r="F443" i="22"/>
  <c r="Q443" i="22" s="1"/>
  <c r="W443" i="22" s="1"/>
  <c r="F463" i="22"/>
  <c r="F471" i="22"/>
  <c r="K471" i="22" s="1"/>
  <c r="F481" i="22"/>
  <c r="K481" i="22" s="1"/>
  <c r="G75" i="22" l="1"/>
  <c r="H75" i="22"/>
  <c r="I463" i="22"/>
  <c r="I495" i="22"/>
  <c r="H108" i="22"/>
  <c r="J478" i="22"/>
  <c r="H178" i="22"/>
  <c r="I150" i="22"/>
  <c r="H150" i="22"/>
  <c r="H371" i="22"/>
  <c r="H249" i="22"/>
  <c r="G123" i="22"/>
  <c r="H381" i="22"/>
  <c r="H380" i="22"/>
  <c r="H250" i="22"/>
  <c r="H347" i="22"/>
  <c r="H314" i="22"/>
  <c r="G185" i="22"/>
  <c r="I346" i="22"/>
  <c r="I313" i="22"/>
  <c r="H346" i="22"/>
  <c r="G118" i="22"/>
  <c r="H246" i="22"/>
  <c r="I376" i="22"/>
  <c r="H310" i="22"/>
  <c r="G215" i="22"/>
  <c r="G214" i="22"/>
  <c r="H343" i="22"/>
  <c r="H475" i="22"/>
  <c r="H507" i="22"/>
  <c r="H376" i="22"/>
  <c r="G181" i="22"/>
  <c r="G213" i="22"/>
  <c r="G82" i="22"/>
  <c r="H470" i="22"/>
  <c r="I371" i="22"/>
  <c r="I338" i="22"/>
  <c r="H305" i="22"/>
  <c r="H240" i="22"/>
  <c r="I305" i="22"/>
  <c r="G81" i="22"/>
  <c r="H241" i="22"/>
  <c r="H338" i="22"/>
  <c r="G210" i="22"/>
  <c r="H306" i="22"/>
  <c r="E112" i="22"/>
  <c r="G114" i="22"/>
  <c r="G209" i="22"/>
  <c r="H333" i="22"/>
  <c r="H367" i="22"/>
  <c r="I301" i="22"/>
  <c r="I333" i="22"/>
  <c r="H334" i="22"/>
  <c r="H300" i="22"/>
  <c r="I367" i="22"/>
  <c r="H301" i="22"/>
  <c r="I300" i="22"/>
  <c r="H237" i="22"/>
  <c r="I334" i="22"/>
  <c r="H332" i="22"/>
  <c r="W28" i="22"/>
  <c r="W11" i="22"/>
  <c r="W22" i="22"/>
  <c r="W10" i="22"/>
  <c r="W26" i="22"/>
  <c r="W16" i="22"/>
  <c r="W20" i="22"/>
  <c r="W18" i="22"/>
  <c r="H242" i="22"/>
  <c r="H372" i="22"/>
  <c r="J300" i="22"/>
  <c r="G89" i="22"/>
  <c r="H89" i="22"/>
  <c r="H251" i="22"/>
  <c r="H398" i="22"/>
  <c r="H415" i="22"/>
  <c r="I299" i="22"/>
  <c r="K107" i="59"/>
  <c r="B130" i="59" s="1"/>
  <c r="I415" i="22"/>
  <c r="G502" i="22"/>
  <c r="G52" i="22"/>
  <c r="J299" i="22"/>
  <c r="K105" i="59"/>
  <c r="B128" i="59" s="1"/>
  <c r="AD433" i="22"/>
  <c r="K98" i="59"/>
  <c r="B121" i="59" s="1"/>
  <c r="H502" i="22"/>
  <c r="H44" i="22"/>
  <c r="I374" i="22"/>
  <c r="G74" i="22"/>
  <c r="F398" i="22"/>
  <c r="K398" i="22" s="1"/>
  <c r="J313" i="22"/>
  <c r="G45" i="22"/>
  <c r="G470" i="22"/>
  <c r="G50" i="22"/>
  <c r="J309" i="22"/>
  <c r="G510" i="22"/>
  <c r="G188" i="22"/>
  <c r="C120" i="59"/>
  <c r="D120" i="59" s="1"/>
  <c r="K101" i="59"/>
  <c r="B124" i="59" s="1"/>
  <c r="D127" i="59"/>
  <c r="F370" i="22"/>
  <c r="H382" i="22"/>
  <c r="H510" i="22"/>
  <c r="H500" i="22"/>
  <c r="I341" i="22"/>
  <c r="F404" i="22"/>
  <c r="K404" i="22" s="1"/>
  <c r="F313" i="22"/>
  <c r="J298" i="22"/>
  <c r="I154" i="22"/>
  <c r="J310" i="22"/>
  <c r="F414" i="22"/>
  <c r="F283" i="22"/>
  <c r="K283" i="22" s="1"/>
  <c r="G59" i="22"/>
  <c r="G58" i="22"/>
  <c r="G43" i="22"/>
  <c r="J314" i="22"/>
  <c r="J301" i="22"/>
  <c r="G55" i="22"/>
  <c r="G220" i="22"/>
  <c r="H10" i="22"/>
  <c r="G106" i="22"/>
  <c r="H85" i="22"/>
  <c r="F339" i="22"/>
  <c r="H151" i="22"/>
  <c r="H109" i="22"/>
  <c r="H124" i="22"/>
  <c r="H107" i="22"/>
  <c r="H463" i="22"/>
  <c r="I309" i="22"/>
  <c r="H114" i="22"/>
  <c r="H146" i="22"/>
  <c r="H176" i="22"/>
  <c r="G109" i="22"/>
  <c r="H27" i="22"/>
  <c r="D122" i="59"/>
  <c r="A122" i="59" s="1"/>
  <c r="G77" i="22"/>
  <c r="G183" i="22"/>
  <c r="F501" i="22"/>
  <c r="K501" i="22" s="1"/>
  <c r="AD250" i="22"/>
  <c r="Q250" i="22"/>
  <c r="W250" i="22" s="1"/>
  <c r="H252" i="22"/>
  <c r="O234" i="22"/>
  <c r="U234" i="22" s="1"/>
  <c r="Q429" i="22"/>
  <c r="W429" i="22" s="1"/>
  <c r="AD429" i="22"/>
  <c r="AD448" i="22"/>
  <c r="Q448" i="22"/>
  <c r="W448" i="22" s="1"/>
  <c r="AD436" i="22"/>
  <c r="Q436" i="22"/>
  <c r="W436" i="22" s="1"/>
  <c r="AD442" i="22"/>
  <c r="Q442" i="22"/>
  <c r="W442" i="22" s="1"/>
  <c r="AD441" i="22"/>
  <c r="Q441" i="22"/>
  <c r="W441" i="22" s="1"/>
  <c r="AC8" i="22"/>
  <c r="Q8" i="22"/>
  <c r="AD245" i="22"/>
  <c r="Q245" i="22"/>
  <c r="W245" i="22" s="1"/>
  <c r="F236" i="22"/>
  <c r="O236" i="22"/>
  <c r="U236" i="22" s="1"/>
  <c r="G443" i="22"/>
  <c r="O444" i="22"/>
  <c r="U444" i="22" s="1"/>
  <c r="AC17" i="22"/>
  <c r="Q17" i="22"/>
  <c r="H53" i="22"/>
  <c r="G171" i="22"/>
  <c r="H16" i="22"/>
  <c r="H149" i="22"/>
  <c r="H119" i="22"/>
  <c r="I310" i="22"/>
  <c r="H60" i="22"/>
  <c r="K433" i="22"/>
  <c r="G112" i="22"/>
  <c r="H91" i="22"/>
  <c r="H13" i="22"/>
  <c r="H11" i="22"/>
  <c r="H245" i="22"/>
  <c r="H235" i="22"/>
  <c r="F468" i="22"/>
  <c r="I343" i="22"/>
  <c r="I372" i="22"/>
  <c r="H331" i="22"/>
  <c r="O447" i="22"/>
  <c r="U447" i="22" s="1"/>
  <c r="H23" i="22"/>
  <c r="F473" i="22"/>
  <c r="K473" i="22" s="1"/>
  <c r="F410" i="22"/>
  <c r="K410" i="22" s="1"/>
  <c r="F276" i="22"/>
  <c r="H298" i="22"/>
  <c r="H106" i="22"/>
  <c r="F464" i="22"/>
  <c r="K464" i="22" s="1"/>
  <c r="H118" i="22"/>
  <c r="H59" i="22"/>
  <c r="H45" i="22"/>
  <c r="F511" i="22"/>
  <c r="K511" i="22" s="1"/>
  <c r="F506" i="22"/>
  <c r="K506" i="22" s="1"/>
  <c r="H139" i="22"/>
  <c r="H58" i="22"/>
  <c r="J468" i="22"/>
  <c r="I314" i="22"/>
  <c r="I311" i="22"/>
  <c r="H234" i="22"/>
  <c r="F234" i="22"/>
  <c r="Q234" i="22" s="1"/>
  <c r="W234" i="22" s="1"/>
  <c r="H123" i="22"/>
  <c r="H57" i="22"/>
  <c r="H186" i="22"/>
  <c r="G124" i="22"/>
  <c r="G107" i="22"/>
  <c r="H77" i="22"/>
  <c r="H74" i="22"/>
  <c r="H309" i="22"/>
  <c r="I365" i="22"/>
  <c r="G170" i="22"/>
  <c r="G176" i="22"/>
  <c r="H182" i="22"/>
  <c r="H170" i="22"/>
  <c r="H181" i="22"/>
  <c r="G475" i="22"/>
  <c r="J475" i="22"/>
  <c r="G90" i="22"/>
  <c r="G187" i="22"/>
  <c r="G122" i="22"/>
  <c r="G218" i="22"/>
  <c r="G57" i="22"/>
  <c r="J303" i="22"/>
  <c r="H374" i="22"/>
  <c r="J507" i="22"/>
  <c r="H341" i="22"/>
  <c r="H308" i="22"/>
  <c r="H244" i="22"/>
  <c r="G49" i="22"/>
  <c r="H364" i="22"/>
  <c r="H50" i="22"/>
  <c r="H43" i="22"/>
  <c r="H55" i="22"/>
  <c r="H48" i="22"/>
  <c r="H18" i="22"/>
  <c r="H21" i="22"/>
  <c r="H25" i="22"/>
  <c r="G91" i="22"/>
  <c r="H117" i="22"/>
  <c r="J305" i="22"/>
  <c r="D121" i="59"/>
  <c r="A121" i="59" s="1"/>
  <c r="D126" i="59"/>
  <c r="A126" i="59" s="1"/>
  <c r="D133" i="59"/>
  <c r="A133" i="59" s="1"/>
  <c r="D128" i="59"/>
  <c r="A128" i="59" s="1"/>
  <c r="D118" i="59"/>
  <c r="A118" i="59" s="1"/>
  <c r="H155" i="22"/>
  <c r="H138" i="22"/>
  <c r="F298" i="22"/>
  <c r="H154" i="22"/>
  <c r="H144" i="22"/>
  <c r="H121" i="22"/>
  <c r="K111" i="59"/>
  <c r="B134" i="59" s="1"/>
  <c r="K103" i="59"/>
  <c r="B126" i="59" s="1"/>
  <c r="K99" i="59"/>
  <c r="B122" i="59" s="1"/>
  <c r="G53" i="22"/>
  <c r="G60" i="22"/>
  <c r="G54" i="22"/>
  <c r="G48" i="22"/>
  <c r="G42" i="22"/>
  <c r="H28" i="22"/>
  <c r="H26" i="22"/>
  <c r="H22" i="22"/>
  <c r="H20" i="22"/>
  <c r="J311" i="22"/>
  <c r="J306" i="22"/>
  <c r="F277" i="22"/>
  <c r="K277" i="22" s="1"/>
  <c r="G202" i="22"/>
  <c r="G47" i="22"/>
  <c r="F447" i="22"/>
  <c r="Q447" i="22" s="1"/>
  <c r="W447" i="22" s="1"/>
  <c r="F282" i="22"/>
  <c r="I342" i="22"/>
  <c r="H122" i="22"/>
  <c r="H113" i="22"/>
  <c r="H375" i="22"/>
  <c r="F316" i="22"/>
  <c r="K316" i="22" s="1"/>
  <c r="H342" i="22"/>
  <c r="F304" i="22"/>
  <c r="I332" i="22"/>
  <c r="I364" i="22"/>
  <c r="I377" i="22"/>
  <c r="I347" i="22"/>
  <c r="I308" i="22"/>
  <c r="I375" i="22"/>
  <c r="H17" i="22"/>
  <c r="I331" i="22"/>
  <c r="H185" i="22"/>
  <c r="H82" i="22"/>
  <c r="I339" i="22"/>
  <c r="H175" i="22"/>
  <c r="K448" i="22"/>
  <c r="G79" i="22"/>
  <c r="H369" i="22"/>
  <c r="H81" i="22"/>
  <c r="H180" i="22"/>
  <c r="H177" i="22"/>
  <c r="H171" i="22"/>
  <c r="H187" i="22"/>
  <c r="H90" i="22"/>
  <c r="I344" i="22"/>
  <c r="G121" i="22"/>
  <c r="H145" i="22"/>
  <c r="H52" i="22"/>
  <c r="H148" i="22"/>
  <c r="H143" i="22"/>
  <c r="H153" i="22"/>
  <c r="H47" i="22"/>
  <c r="J470" i="22"/>
  <c r="H247" i="22"/>
  <c r="B274" i="22"/>
  <c r="G274" i="22" s="1"/>
  <c r="E274" i="22"/>
  <c r="J274" i="22" s="1"/>
  <c r="C274" i="22"/>
  <c r="H274" i="22" s="1"/>
  <c r="H377" i="22"/>
  <c r="I306" i="22"/>
  <c r="I298" i="22"/>
  <c r="H344" i="22"/>
  <c r="H311" i="22"/>
  <c r="K95" i="59"/>
  <c r="B118" i="59" s="1"/>
  <c r="G119" i="22"/>
  <c r="H15" i="22"/>
  <c r="H141" i="22"/>
  <c r="I141" i="22"/>
  <c r="K109" i="59"/>
  <c r="B132" i="59" s="1"/>
  <c r="K97" i="59"/>
  <c r="B120" i="59" s="1"/>
  <c r="H12" i="22"/>
  <c r="I140" i="22"/>
  <c r="E42" i="22"/>
  <c r="G44" i="22"/>
  <c r="H79" i="22"/>
  <c r="H111" i="22"/>
  <c r="H84" i="22"/>
  <c r="H42" i="22"/>
  <c r="H140" i="22"/>
  <c r="G84" i="22"/>
  <c r="H112" i="22"/>
  <c r="AB15" i="22"/>
  <c r="E15" i="22"/>
  <c r="AB23" i="22"/>
  <c r="E23" i="22"/>
  <c r="AB27" i="22"/>
  <c r="E27" i="22"/>
  <c r="E50" i="22"/>
  <c r="H54" i="22"/>
  <c r="G87" i="22"/>
  <c r="E87" i="22"/>
  <c r="I87" i="22" s="1"/>
  <c r="G182" i="22"/>
  <c r="E182" i="22"/>
  <c r="H188" i="22"/>
  <c r="E188" i="22"/>
  <c r="H239" i="22"/>
  <c r="AA234" i="22"/>
  <c r="I274" i="22"/>
  <c r="I284" i="22"/>
  <c r="F284" i="22"/>
  <c r="I348" i="22"/>
  <c r="F348" i="22"/>
  <c r="K348" i="22" s="1"/>
  <c r="H370" i="22"/>
  <c r="H365" i="22"/>
  <c r="I381" i="22"/>
  <c r="F381" i="22"/>
  <c r="I401" i="22"/>
  <c r="F401" i="22"/>
  <c r="K401" i="22" s="1"/>
  <c r="AB444" i="22"/>
  <c r="I444" i="22"/>
  <c r="AB447" i="22"/>
  <c r="I447" i="22"/>
  <c r="G463" i="22"/>
  <c r="G464" i="22"/>
  <c r="G469" i="22"/>
  <c r="H501" i="22"/>
  <c r="H495" i="22"/>
  <c r="G507" i="22"/>
  <c r="F507" i="22"/>
  <c r="F470" i="22"/>
  <c r="G113" i="22"/>
  <c r="AB13" i="22"/>
  <c r="E13" i="22"/>
  <c r="Q13" i="22" s="1"/>
  <c r="AB21" i="22"/>
  <c r="E21" i="22"/>
  <c r="AB25" i="22"/>
  <c r="E25" i="22"/>
  <c r="G76" i="22"/>
  <c r="E76" i="22"/>
  <c r="I76" i="22" s="1"/>
  <c r="G85" i="22"/>
  <c r="E85" i="22"/>
  <c r="H116" i="22"/>
  <c r="E116" i="22"/>
  <c r="G180" i="22"/>
  <c r="E180" i="22"/>
  <c r="G186" i="22"/>
  <c r="E186" i="22"/>
  <c r="G205" i="22"/>
  <c r="E205" i="22"/>
  <c r="I207" i="22" s="1"/>
  <c r="G203" i="22"/>
  <c r="H236" i="22"/>
  <c r="AA236" i="22"/>
  <c r="F279" i="22"/>
  <c r="I336" i="22"/>
  <c r="F336" i="22"/>
  <c r="I434" i="22"/>
  <c r="F434" i="22"/>
  <c r="Q434" i="22" s="1"/>
  <c r="W434" i="22" s="1"/>
  <c r="AB434" i="22"/>
  <c r="Z444" i="22"/>
  <c r="G431" i="22"/>
  <c r="G446" i="22"/>
  <c r="F444" i="22"/>
  <c r="Q444" i="22" s="1"/>
  <c r="W444" i="22" s="1"/>
  <c r="G438" i="22"/>
  <c r="G436" i="22"/>
  <c r="G437" i="22"/>
  <c r="G444" i="22"/>
  <c r="Z447" i="22"/>
  <c r="G447" i="22"/>
  <c r="G466" i="22"/>
  <c r="F466" i="22"/>
  <c r="K466" i="22" s="1"/>
  <c r="G474" i="22"/>
  <c r="F474" i="22"/>
  <c r="K474" i="22" s="1"/>
  <c r="G478" i="22"/>
  <c r="F478" i="22"/>
  <c r="G480" i="22"/>
  <c r="F480" i="22"/>
  <c r="K480" i="22" s="1"/>
  <c r="F502" i="22"/>
  <c r="G495" i="22"/>
  <c r="G512" i="22"/>
  <c r="F512" i="22"/>
  <c r="K512" i="22" s="1"/>
  <c r="J501" i="22"/>
  <c r="J500" i="22"/>
  <c r="J502" i="22"/>
  <c r="J495" i="22"/>
  <c r="J510" i="22"/>
  <c r="G468" i="22"/>
  <c r="F311" i="22"/>
  <c r="J463" i="22"/>
  <c r="G175" i="22"/>
  <c r="G500" i="22"/>
  <c r="I143" i="22"/>
  <c r="K110" i="59"/>
  <c r="B133" i="59" s="1"/>
  <c r="I148" i="22"/>
  <c r="I153" i="22"/>
  <c r="I145" i="22"/>
  <c r="I146" i="22"/>
  <c r="I144" i="22"/>
  <c r="I151" i="22"/>
  <c r="I155" i="22"/>
  <c r="I149" i="22"/>
  <c r="AD431" i="22"/>
  <c r="AD235" i="22"/>
  <c r="K439" i="22"/>
  <c r="AD439" i="22"/>
  <c r="AC28" i="22"/>
  <c r="AC22" i="22"/>
  <c r="AC18" i="22"/>
  <c r="AD446" i="22"/>
  <c r="AD240" i="22"/>
  <c r="K108" i="59"/>
  <c r="B131" i="59" s="1"/>
  <c r="K104" i="59"/>
  <c r="B127" i="59" s="1"/>
  <c r="K100" i="59"/>
  <c r="B123" i="59" s="1"/>
  <c r="AD249" i="22"/>
  <c r="AD443" i="22"/>
  <c r="AD252" i="22"/>
  <c r="AD246" i="22"/>
  <c r="K449" i="22"/>
  <c r="AD449" i="22"/>
  <c r="K432" i="22"/>
  <c r="AD432" i="22"/>
  <c r="AC26" i="22"/>
  <c r="AC20" i="22"/>
  <c r="AC11" i="22"/>
  <c r="AD437" i="22"/>
  <c r="AD242" i="22"/>
  <c r="K112" i="59"/>
  <c r="B135" i="59" s="1"/>
  <c r="K106" i="59"/>
  <c r="B129" i="59" s="1"/>
  <c r="K102" i="59"/>
  <c r="B125" i="59" s="1"/>
  <c r="I138" i="22"/>
  <c r="I139" i="22"/>
  <c r="AC16" i="22"/>
  <c r="AC10" i="22"/>
  <c r="I173" i="22"/>
  <c r="I75" i="22" l="1"/>
  <c r="I108" i="22"/>
  <c r="K478" i="22"/>
  <c r="I178" i="22"/>
  <c r="I113" i="22"/>
  <c r="W17" i="22"/>
  <c r="W13" i="22"/>
  <c r="W8" i="22"/>
  <c r="K377" i="22"/>
  <c r="K349" i="22"/>
  <c r="I58" i="22"/>
  <c r="K300" i="22"/>
  <c r="I209" i="22"/>
  <c r="K240" i="22"/>
  <c r="K235" i="22"/>
  <c r="I85" i="22"/>
  <c r="K251" i="22"/>
  <c r="K239" i="22"/>
  <c r="K374" i="22"/>
  <c r="K367" i="22"/>
  <c r="K333" i="22"/>
  <c r="K247" i="22"/>
  <c r="AD234" i="22"/>
  <c r="K246" i="22"/>
  <c r="AD447" i="22"/>
  <c r="I186" i="22"/>
  <c r="K414" i="22"/>
  <c r="K415" i="22"/>
  <c r="I91" i="22"/>
  <c r="I59" i="22"/>
  <c r="I50" i="22"/>
  <c r="K236" i="22"/>
  <c r="I90" i="22"/>
  <c r="K245" i="22"/>
  <c r="K250" i="22"/>
  <c r="K237" i="22"/>
  <c r="K234" i="22"/>
  <c r="K242" i="22"/>
  <c r="K252" i="22"/>
  <c r="K249" i="22"/>
  <c r="K447" i="22"/>
  <c r="K241" i="22"/>
  <c r="K244" i="22"/>
  <c r="K303" i="22"/>
  <c r="I187" i="22"/>
  <c r="I183" i="22"/>
  <c r="I106" i="22"/>
  <c r="K376" i="22"/>
  <c r="K380" i="22"/>
  <c r="K372" i="22"/>
  <c r="I170" i="22"/>
  <c r="K382" i="22"/>
  <c r="I219" i="22"/>
  <c r="AC25" i="22"/>
  <c r="Q25" i="22"/>
  <c r="AC21" i="22"/>
  <c r="Q21" i="22"/>
  <c r="AC27" i="22"/>
  <c r="Q27" i="22"/>
  <c r="AC23" i="22"/>
  <c r="Q23" i="22"/>
  <c r="AC15" i="22"/>
  <c r="Q15" i="22"/>
  <c r="AD236" i="22"/>
  <c r="Q236" i="22"/>
  <c r="W236" i="22" s="1"/>
  <c r="K443" i="22"/>
  <c r="I122" i="22"/>
  <c r="I123" i="22"/>
  <c r="I47" i="22"/>
  <c r="I53" i="22"/>
  <c r="I55" i="22"/>
  <c r="K343" i="22"/>
  <c r="K375" i="22"/>
  <c r="K379" i="22"/>
  <c r="K475" i="22"/>
  <c r="I117" i="22"/>
  <c r="K507" i="22"/>
  <c r="I188" i="22"/>
  <c r="K371" i="22"/>
  <c r="K369" i="22"/>
  <c r="K346" i="22"/>
  <c r="K344" i="22"/>
  <c r="K314" i="22"/>
  <c r="I45" i="22"/>
  <c r="I42" i="22"/>
  <c r="I48" i="22"/>
  <c r="I49" i="22"/>
  <c r="I43" i="22"/>
  <c r="I52" i="22"/>
  <c r="D130" i="59"/>
  <c r="A130" i="59" s="1"/>
  <c r="A120" i="59"/>
  <c r="D135" i="59"/>
  <c r="A135" i="59" s="1"/>
  <c r="D124" i="59"/>
  <c r="A124" i="59" s="1"/>
  <c r="I60" i="22"/>
  <c r="I54" i="22"/>
  <c r="I57" i="22"/>
  <c r="D129" i="59"/>
  <c r="A129" i="59" s="1"/>
  <c r="D131" i="59"/>
  <c r="A131" i="59" s="1"/>
  <c r="D125" i="59"/>
  <c r="A125" i="59" s="1"/>
  <c r="A127" i="59"/>
  <c r="D123" i="59"/>
  <c r="A123" i="59" s="1"/>
  <c r="D132" i="59"/>
  <c r="A132" i="59" s="1"/>
  <c r="D134" i="59"/>
  <c r="A134" i="59" s="1"/>
  <c r="K436" i="22"/>
  <c r="I28" i="22"/>
  <c r="K468" i="22"/>
  <c r="I112" i="22"/>
  <c r="K446" i="22"/>
  <c r="I22" i="22"/>
  <c r="I171" i="22"/>
  <c r="I26" i="22"/>
  <c r="I182" i="22"/>
  <c r="I82" i="22"/>
  <c r="I181" i="22"/>
  <c r="I185" i="22"/>
  <c r="I23" i="22"/>
  <c r="I89" i="22"/>
  <c r="I121" i="22"/>
  <c r="I77" i="22"/>
  <c r="I10" i="22"/>
  <c r="I16" i="22"/>
  <c r="I202" i="22"/>
  <c r="I20" i="22"/>
  <c r="I218" i="22"/>
  <c r="I220" i="22"/>
  <c r="K431" i="22"/>
  <c r="F274" i="22"/>
  <c r="K274" i="22" s="1"/>
  <c r="B273" i="22"/>
  <c r="D273" i="22"/>
  <c r="I273" i="22" s="1"/>
  <c r="C273" i="22"/>
  <c r="H273" i="22" s="1"/>
  <c r="E273" i="22"/>
  <c r="E272" i="22"/>
  <c r="B272" i="22"/>
  <c r="D272" i="22"/>
  <c r="I272" i="22" s="1"/>
  <c r="C272" i="22"/>
  <c r="H272" i="22" s="1"/>
  <c r="K310" i="22"/>
  <c r="K313" i="22"/>
  <c r="K381" i="22"/>
  <c r="K438" i="22"/>
  <c r="K304" i="22"/>
  <c r="I214" i="22"/>
  <c r="I25" i="22"/>
  <c r="K364" i="22"/>
  <c r="K370" i="22"/>
  <c r="I84" i="22"/>
  <c r="J469" i="22"/>
  <c r="J308" i="22"/>
  <c r="J304" i="22"/>
  <c r="K463" i="22"/>
  <c r="K309" i="22"/>
  <c r="K341" i="22"/>
  <c r="K332" i="22"/>
  <c r="K305" i="22"/>
  <c r="I15" i="22"/>
  <c r="I177" i="22"/>
  <c r="I13" i="22"/>
  <c r="I109" i="22"/>
  <c r="I27" i="22"/>
  <c r="I119" i="22"/>
  <c r="I118" i="22"/>
  <c r="K469" i="22"/>
  <c r="I203" i="22"/>
  <c r="K437" i="22"/>
  <c r="I11" i="22"/>
  <c r="I176" i="22"/>
  <c r="K306" i="22"/>
  <c r="K301" i="22"/>
  <c r="K311" i="22"/>
  <c r="K298" i="22"/>
  <c r="I18" i="22"/>
  <c r="I210" i="22"/>
  <c r="I213" i="22"/>
  <c r="I21" i="22"/>
  <c r="I107" i="22"/>
  <c r="I114" i="22"/>
  <c r="K365" i="22"/>
  <c r="I215" i="22"/>
  <c r="K337" i="22"/>
  <c r="K299" i="22"/>
  <c r="K342" i="22"/>
  <c r="K336" i="22"/>
  <c r="K502" i="22"/>
  <c r="I180" i="22"/>
  <c r="K470" i="22"/>
  <c r="AC13" i="22"/>
  <c r="I12" i="22"/>
  <c r="I44" i="22"/>
  <c r="K366" i="22"/>
  <c r="K347" i="22"/>
  <c r="K500" i="22"/>
  <c r="K334" i="22"/>
  <c r="K308" i="22"/>
  <c r="K510" i="22"/>
  <c r="K495" i="22"/>
  <c r="I74" i="22"/>
  <c r="K339" i="22"/>
  <c r="I111" i="22"/>
  <c r="I205" i="22"/>
  <c r="K331" i="22"/>
  <c r="K338" i="22"/>
  <c r="I81" i="22"/>
  <c r="I17" i="22"/>
  <c r="I175" i="22"/>
  <c r="I79" i="22"/>
  <c r="AD444" i="22"/>
  <c r="K444" i="22"/>
  <c r="K434" i="22"/>
  <c r="AD434" i="22"/>
  <c r="I116" i="22"/>
  <c r="I124" i="22"/>
  <c r="J43" i="66"/>
  <c r="L35" i="66"/>
  <c r="D12" i="66"/>
  <c r="H34" i="66"/>
  <c r="P20" i="66"/>
  <c r="D11" i="66"/>
  <c r="O44" i="66"/>
  <c r="L14" i="66"/>
  <c r="D42" i="66"/>
  <c r="E44" i="66"/>
  <c r="E9" i="66"/>
  <c r="S13" i="66"/>
  <c r="K31" i="66"/>
  <c r="J52" i="66"/>
  <c r="D45" i="66"/>
  <c r="K9" i="66"/>
  <c r="F52" i="66"/>
  <c r="G48" i="66"/>
  <c r="R46" i="66"/>
  <c r="N8" i="66"/>
  <c r="E52" i="66"/>
  <c r="I14" i="66"/>
  <c r="Q52" i="66"/>
  <c r="O5" i="66"/>
  <c r="J27" i="66"/>
  <c r="J22" i="66"/>
  <c r="I45" i="66"/>
  <c r="M31" i="66"/>
  <c r="D53" i="66"/>
  <c r="F40" i="66"/>
  <c r="E43" i="66"/>
  <c r="S43" i="66"/>
  <c r="H33" i="66"/>
  <c r="D17" i="66"/>
  <c r="H13" i="66"/>
  <c r="G22" i="66"/>
  <c r="D44" i="66"/>
  <c r="M9" i="66"/>
  <c r="O39" i="66"/>
  <c r="D39" i="66"/>
  <c r="N48" i="66"/>
  <c r="M8" i="66"/>
  <c r="P33" i="66"/>
  <c r="H20" i="66"/>
  <c r="Q22" i="66"/>
  <c r="N27" i="66"/>
  <c r="O34" i="66"/>
  <c r="T27" i="66"/>
  <c r="M43" i="66"/>
  <c r="P44" i="66"/>
  <c r="N35" i="66"/>
  <c r="J51" i="66"/>
  <c r="O27" i="66"/>
  <c r="O9" i="66"/>
  <c r="I19" i="66"/>
  <c r="T40" i="66"/>
  <c r="L29" i="66"/>
  <c r="P47" i="66"/>
  <c r="M49" i="66"/>
  <c r="F41" i="66"/>
  <c r="R50" i="66"/>
  <c r="E40" i="66"/>
  <c r="I11" i="66"/>
  <c r="I20" i="66"/>
  <c r="F29" i="66"/>
  <c r="H42" i="66"/>
  <c r="O11" i="66"/>
  <c r="K49" i="66"/>
  <c r="H49" i="66"/>
  <c r="L45" i="66"/>
  <c r="D35" i="66"/>
  <c r="I5" i="66"/>
  <c r="M41" i="66"/>
  <c r="I21" i="66"/>
  <c r="R41" i="66"/>
  <c r="P53" i="66"/>
  <c r="M28" i="66"/>
  <c r="S53" i="66"/>
  <c r="P5" i="66"/>
  <c r="P8" i="66"/>
  <c r="J48" i="66"/>
  <c r="G50" i="66"/>
  <c r="S14" i="66"/>
  <c r="F28" i="66"/>
  <c r="L44" i="66"/>
  <c r="I28" i="66"/>
  <c r="O47" i="66"/>
  <c r="L17" i="66"/>
  <c r="F10" i="66"/>
  <c r="E41" i="66"/>
  <c r="K50" i="66"/>
  <c r="P27" i="66"/>
  <c r="I10" i="66"/>
  <c r="G44" i="66"/>
  <c r="E46" i="66"/>
  <c r="N40" i="66"/>
  <c r="D52" i="66"/>
  <c r="P29" i="66"/>
  <c r="N13" i="66"/>
  <c r="F30" i="66"/>
  <c r="N47" i="66"/>
  <c r="I54" i="66"/>
  <c r="I52" i="66"/>
  <c r="H10" i="66"/>
  <c r="I9" i="66"/>
  <c r="J53" i="66"/>
  <c r="F39" i="66"/>
  <c r="E29" i="66"/>
  <c r="J39" i="66"/>
  <c r="Q29" i="66"/>
  <c r="S37" i="66"/>
  <c r="M27" i="66"/>
  <c r="S51" i="66"/>
  <c r="M42" i="66"/>
  <c r="E8" i="66"/>
  <c r="D8" i="66"/>
  <c r="N53" i="66"/>
  <c r="H8" i="66"/>
  <c r="R10" i="66"/>
  <c r="M29" i="66"/>
  <c r="M50" i="66"/>
  <c r="N10" i="66"/>
  <c r="Q10" i="66"/>
  <c r="I34" i="66"/>
  <c r="Q18" i="66"/>
  <c r="E37" i="66"/>
  <c r="N14" i="66"/>
  <c r="N34" i="66"/>
  <c r="G41" i="66"/>
  <c r="T28" i="66"/>
  <c r="D46" i="66"/>
  <c r="P46" i="66"/>
  <c r="O12" i="66"/>
  <c r="J30" i="66"/>
  <c r="H14" i="66"/>
  <c r="S41" i="66"/>
  <c r="O30" i="66"/>
  <c r="T51" i="66"/>
  <c r="R48" i="66"/>
  <c r="K48" i="66"/>
  <c r="Q8" i="66"/>
  <c r="R14" i="66"/>
  <c r="M54" i="66"/>
  <c r="I41" i="66"/>
  <c r="P12" i="66"/>
  <c r="R13" i="66"/>
  <c r="F27" i="66"/>
  <c r="N21" i="66"/>
  <c r="L42" i="66"/>
  <c r="F54" i="66"/>
  <c r="L30" i="66"/>
  <c r="O45" i="66"/>
  <c r="N45" i="66"/>
  <c r="D41" i="66"/>
  <c r="N50" i="66"/>
  <c r="F34" i="66"/>
  <c r="N30" i="66"/>
  <c r="N49" i="66"/>
  <c r="Q41" i="66"/>
  <c r="S29" i="66"/>
  <c r="M33" i="66"/>
  <c r="H51" i="66"/>
  <c r="F18" i="66"/>
  <c r="M39" i="66"/>
  <c r="H19" i="66"/>
  <c r="L50" i="66"/>
  <c r="H43" i="66"/>
  <c r="P43" i="66"/>
  <c r="G52" i="66"/>
  <c r="P9" i="66"/>
  <c r="O41" i="66"/>
  <c r="D9" i="66"/>
  <c r="P14" i="66"/>
  <c r="H48" i="66"/>
  <c r="I16" i="66"/>
  <c r="E5" i="66"/>
  <c r="K40" i="66"/>
  <c r="P49" i="66"/>
  <c r="E17" i="66"/>
  <c r="O21" i="66"/>
  <c r="I38" i="66"/>
  <c r="P17" i="66"/>
  <c r="D10" i="66"/>
  <c r="K45" i="66"/>
  <c r="P28" i="66"/>
  <c r="N9" i="66"/>
  <c r="P30" i="66"/>
  <c r="M52" i="66"/>
  <c r="E30" i="66"/>
  <c r="I43" i="66"/>
  <c r="Q47" i="66"/>
  <c r="K21" i="66"/>
  <c r="I33" i="66"/>
  <c r="G19" i="66"/>
  <c r="M51" i="66"/>
  <c r="E39" i="66"/>
  <c r="J37" i="66"/>
  <c r="M13" i="66"/>
  <c r="G43" i="66"/>
  <c r="Q16" i="66"/>
  <c r="G18" i="66"/>
  <c r="K14" i="66"/>
  <c r="P21" i="66"/>
  <c r="F51" i="66"/>
  <c r="S21" i="66"/>
  <c r="Q38" i="66"/>
  <c r="L13" i="66"/>
  <c r="Q50" i="66"/>
  <c r="R17" i="66"/>
  <c r="H12" i="66"/>
  <c r="S47" i="66"/>
  <c r="F12" i="66"/>
  <c r="R51" i="66"/>
  <c r="Q54" i="66"/>
  <c r="O20" i="66"/>
  <c r="L22" i="66"/>
  <c r="O19" i="66"/>
  <c r="S34" i="66"/>
  <c r="M12" i="66"/>
  <c r="I31" i="66"/>
  <c r="D49" i="66"/>
  <c r="T54" i="66"/>
  <c r="O22" i="66"/>
  <c r="J17" i="66"/>
  <c r="T37" i="66"/>
  <c r="T22" i="66"/>
  <c r="M47" i="66"/>
  <c r="P41" i="66"/>
  <c r="R54" i="66"/>
  <c r="H52" i="66"/>
  <c r="E10" i="66"/>
  <c r="T34" i="66"/>
  <c r="J12" i="66"/>
  <c r="N19" i="66"/>
  <c r="D34" i="66"/>
  <c r="S52" i="66"/>
  <c r="O50" i="66"/>
  <c r="L51" i="66"/>
  <c r="T38" i="66"/>
  <c r="R33" i="66"/>
  <c r="F9" i="66"/>
  <c r="N46" i="66"/>
  <c r="H41" i="66"/>
  <c r="E31" i="66"/>
  <c r="S40" i="66"/>
  <c r="K20" i="66"/>
  <c r="S11" i="66"/>
  <c r="E49" i="66"/>
  <c r="E50" i="66"/>
  <c r="Q37" i="66"/>
  <c r="N44" i="66"/>
  <c r="T49" i="66"/>
  <c r="R42" i="66"/>
  <c r="K16" i="66"/>
  <c r="E34" i="66"/>
  <c r="G39" i="66"/>
  <c r="O38" i="66"/>
  <c r="T50" i="66"/>
  <c r="J40" i="66"/>
  <c r="S48" i="66"/>
  <c r="N37" i="66"/>
  <c r="K51" i="66"/>
  <c r="T44" i="66"/>
  <c r="I44" i="66"/>
  <c r="H50" i="66"/>
  <c r="T42" i="66"/>
  <c r="S38" i="66"/>
  <c r="H46" i="66"/>
  <c r="T17" i="66"/>
  <c r="I39" i="66"/>
  <c r="F44" i="66"/>
  <c r="D18" i="66"/>
  <c r="K43" i="66"/>
  <c r="P37" i="66"/>
  <c r="S19" i="66"/>
  <c r="N17" i="66"/>
  <c r="G34" i="66"/>
  <c r="Q30" i="66"/>
  <c r="K53" i="66"/>
  <c r="J20" i="66"/>
  <c r="K18" i="66"/>
  <c r="O51" i="66"/>
  <c r="E16" i="66"/>
  <c r="L21" i="66"/>
  <c r="T29" i="66"/>
  <c r="G20" i="66"/>
  <c r="K22" i="66"/>
  <c r="N41" i="66"/>
  <c r="J35" i="66"/>
  <c r="J8" i="66"/>
  <c r="Q27" i="66"/>
  <c r="O14" i="66"/>
  <c r="F50" i="66"/>
  <c r="N20" i="66"/>
  <c r="K35" i="66"/>
  <c r="M35" i="66"/>
  <c r="F37" i="66"/>
  <c r="R28" i="66"/>
  <c r="K29" i="66"/>
  <c r="F14" i="66"/>
  <c r="R21" i="66"/>
  <c r="D28" i="66"/>
  <c r="Q9" i="66"/>
  <c r="H11" i="66"/>
  <c r="M37" i="66"/>
  <c r="K12" i="66"/>
  <c r="M46" i="66"/>
  <c r="T41" i="66"/>
  <c r="L43" i="66"/>
  <c r="F38" i="66"/>
  <c r="K52" i="66"/>
  <c r="J31" i="66"/>
  <c r="K46" i="66"/>
  <c r="J42" i="66"/>
  <c r="K8" i="66"/>
  <c r="S28" i="66"/>
  <c r="R47" i="66"/>
  <c r="T33" i="66"/>
  <c r="P35" i="66"/>
  <c r="H31" i="66"/>
  <c r="F48" i="66"/>
  <c r="G30" i="66"/>
  <c r="T13" i="66"/>
  <c r="S30" i="66"/>
  <c r="Q12" i="66"/>
  <c r="N5" i="66"/>
  <c r="P48" i="66"/>
  <c r="L52" i="66"/>
  <c r="R11" i="66"/>
  <c r="L11" i="66"/>
  <c r="L40" i="66"/>
  <c r="E21" i="66"/>
  <c r="P42" i="66"/>
  <c r="D27" i="66"/>
  <c r="J9" i="66"/>
  <c r="I37" i="66"/>
  <c r="Q53" i="66"/>
  <c r="K30" i="66"/>
  <c r="S31" i="66"/>
  <c r="J46" i="66"/>
  <c r="S17" i="66"/>
  <c r="T35" i="66"/>
  <c r="T9" i="66"/>
  <c r="I18" i="66"/>
  <c r="I50" i="66"/>
  <c r="T30" i="66"/>
  <c r="Q35" i="66"/>
  <c r="E38" i="66"/>
  <c r="O37" i="66"/>
  <c r="F47" i="66"/>
  <c r="P50" i="66"/>
  <c r="Q20" i="66"/>
  <c r="F8" i="66"/>
  <c r="J38" i="66"/>
  <c r="H21" i="66"/>
  <c r="I42" i="66"/>
  <c r="O53" i="66"/>
  <c r="J44" i="66"/>
  <c r="F20" i="66"/>
  <c r="O29" i="66"/>
  <c r="N16" i="66"/>
  <c r="D30" i="66"/>
  <c r="J45" i="66"/>
  <c r="P51" i="66"/>
  <c r="E33" i="66"/>
  <c r="T20" i="66"/>
  <c r="S39" i="66"/>
  <c r="I8" i="66"/>
  <c r="Q13" i="66"/>
  <c r="Q34" i="66"/>
  <c r="L39" i="66"/>
  <c r="N52" i="66"/>
  <c r="N22" i="66"/>
  <c r="R40" i="66"/>
  <c r="O18" i="66"/>
  <c r="F5" i="66"/>
  <c r="S9" i="66"/>
  <c r="S16" i="66"/>
  <c r="S50" i="66"/>
  <c r="D29" i="66"/>
  <c r="K41" i="66"/>
  <c r="O28" i="66"/>
  <c r="R52" i="66"/>
  <c r="M48" i="66"/>
  <c r="S12" i="66"/>
  <c r="K27" i="66"/>
  <c r="J54" i="66"/>
  <c r="D33" i="66"/>
  <c r="M21" i="66"/>
  <c r="L48" i="66"/>
  <c r="E47" i="66"/>
  <c r="L5" i="66"/>
  <c r="Q48" i="66"/>
  <c r="R18" i="66"/>
  <c r="N54" i="66"/>
  <c r="F45" i="66"/>
  <c r="D54" i="66"/>
  <c r="S22" i="66"/>
  <c r="J29" i="66"/>
  <c r="D5" i="66"/>
  <c r="G35" i="66"/>
  <c r="E12" i="66"/>
  <c r="E54" i="66"/>
  <c r="R16" i="66"/>
  <c r="Q45" i="66"/>
  <c r="J34" i="66"/>
  <c r="R5" i="66"/>
  <c r="I46" i="66"/>
  <c r="O13" i="66"/>
  <c r="G42" i="66"/>
  <c r="L12" i="66"/>
  <c r="T8" i="66"/>
  <c r="R30" i="66"/>
  <c r="S33" i="66"/>
  <c r="I53" i="66"/>
  <c r="O46" i="66"/>
  <c r="E11" i="66"/>
  <c r="D47" i="66"/>
  <c r="R27" i="66"/>
  <c r="D22" i="66"/>
  <c r="E42" i="66"/>
  <c r="L28" i="66"/>
  <c r="F13" i="66"/>
  <c r="T53" i="66"/>
  <c r="H29" i="66"/>
  <c r="D16" i="66"/>
  <c r="G17" i="66"/>
  <c r="L53" i="66"/>
  <c r="Q11" i="66"/>
  <c r="K37" i="66"/>
  <c r="I30" i="66"/>
  <c r="I17" i="66"/>
  <c r="L19" i="66"/>
  <c r="M44" i="66"/>
  <c r="T10" i="66"/>
  <c r="L47" i="66"/>
  <c r="H30" i="66"/>
  <c r="L31" i="66"/>
  <c r="R44" i="66"/>
  <c r="P31" i="66"/>
  <c r="M10" i="66"/>
  <c r="P45" i="66"/>
  <c r="H9" i="66"/>
  <c r="S46" i="66"/>
  <c r="H40" i="66"/>
  <c r="K47" i="66"/>
  <c r="R38" i="66"/>
  <c r="E27" i="66"/>
  <c r="Q33" i="66"/>
  <c r="T48" i="66"/>
  <c r="L20" i="66"/>
  <c r="D48" i="66"/>
  <c r="E35" i="66"/>
  <c r="O35" i="66"/>
  <c r="P16" i="66"/>
  <c r="H28" i="66"/>
  <c r="G33" i="66"/>
  <c r="S54" i="66"/>
  <c r="Q51" i="66"/>
  <c r="F49" i="66"/>
  <c r="T18" i="66"/>
  <c r="J11" i="66"/>
  <c r="D37" i="66"/>
  <c r="J47" i="66"/>
  <c r="M53" i="66"/>
  <c r="R39" i="66"/>
  <c r="R31" i="66"/>
  <c r="S20" i="66"/>
  <c r="G49" i="66"/>
  <c r="O8" i="66"/>
  <c r="K33" i="66"/>
  <c r="I48" i="66"/>
  <c r="J33" i="66"/>
  <c r="P54" i="66"/>
  <c r="E53" i="66"/>
  <c r="D19" i="66"/>
  <c r="G53" i="66"/>
  <c r="M14" i="66"/>
  <c r="T11" i="66"/>
  <c r="E14" i="66"/>
  <c r="N29" i="66"/>
  <c r="G31" i="66"/>
  <c r="R53" i="66"/>
  <c r="G13" i="66"/>
  <c r="H54" i="66"/>
  <c r="J14" i="66"/>
  <c r="N28" i="66"/>
  <c r="R22" i="66"/>
  <c r="L33" i="66"/>
  <c r="E48" i="66"/>
  <c r="E20" i="66"/>
  <c r="M22" i="66"/>
  <c r="H22" i="66"/>
  <c r="M38" i="66"/>
  <c r="H45" i="66"/>
  <c r="G8" i="66"/>
  <c r="G51" i="66"/>
  <c r="E45" i="66"/>
  <c r="J28" i="66"/>
  <c r="T52" i="66"/>
  <c r="Q46" i="66"/>
  <c r="N43" i="66"/>
  <c r="F43" i="66"/>
  <c r="I40" i="66"/>
  <c r="F21" i="66"/>
  <c r="I51" i="66"/>
  <c r="P18" i="66"/>
  <c r="R12" i="66"/>
  <c r="H44" i="66"/>
  <c r="G16" i="66"/>
  <c r="G14" i="66"/>
  <c r="Q40" i="66"/>
  <c r="O52" i="66"/>
  <c r="L46" i="66"/>
  <c r="F17" i="66"/>
  <c r="K42" i="66"/>
  <c r="I47" i="66"/>
  <c r="P22" i="66"/>
  <c r="O33" i="66"/>
  <c r="J10" i="66"/>
  <c r="T31" i="66"/>
  <c r="T47" i="66"/>
  <c r="S10" i="66"/>
  <c r="Q43" i="66"/>
  <c r="S35" i="66"/>
  <c r="M5" i="66"/>
  <c r="P13" i="66"/>
  <c r="G9" i="66"/>
  <c r="R9" i="66"/>
  <c r="Q39" i="66"/>
  <c r="G37" i="66"/>
  <c r="H16" i="66"/>
  <c r="O17" i="66"/>
  <c r="M34" i="66"/>
  <c r="D43" i="66"/>
  <c r="T43" i="66"/>
  <c r="O31" i="66"/>
  <c r="R29" i="66"/>
  <c r="L8" i="66"/>
  <c r="K17" i="66"/>
  <c r="Q21" i="66"/>
  <c r="G45" i="66"/>
  <c r="R35" i="66"/>
  <c r="L9" i="66"/>
  <c r="K5" i="66"/>
  <c r="D31" i="66"/>
  <c r="O42" i="66"/>
  <c r="D38" i="66"/>
  <c r="Q19" i="66"/>
  <c r="S45" i="66"/>
  <c r="E28" i="66"/>
  <c r="F22" i="66"/>
  <c r="F35" i="66"/>
  <c r="R19" i="66"/>
  <c r="P10" i="66"/>
  <c r="H18" i="66"/>
  <c r="P19" i="66"/>
  <c r="J5" i="66"/>
  <c r="R8" i="66"/>
  <c r="K11" i="66"/>
  <c r="E22" i="66"/>
  <c r="O40" i="66"/>
  <c r="K44" i="66"/>
  <c r="S42" i="66"/>
  <c r="T14" i="66"/>
  <c r="L18" i="66"/>
  <c r="D21" i="66"/>
  <c r="F11" i="66"/>
  <c r="P40" i="66"/>
  <c r="K54" i="66"/>
  <c r="J41" i="66"/>
  <c r="O49" i="66"/>
  <c r="I22" i="66"/>
  <c r="E18" i="66"/>
  <c r="K39" i="66"/>
  <c r="M45" i="66"/>
  <c r="G11" i="66"/>
  <c r="O54" i="66"/>
  <c r="G28" i="66"/>
  <c r="F31" i="66"/>
  <c r="S5" i="66"/>
  <c r="M20" i="66"/>
  <c r="R20" i="66"/>
  <c r="K19" i="66"/>
  <c r="O48" i="66"/>
  <c r="R49" i="66"/>
  <c r="G29" i="66"/>
  <c r="G47" i="66"/>
  <c r="H53" i="66"/>
  <c r="J16" i="66"/>
  <c r="Q5" i="66"/>
  <c r="N33" i="66"/>
  <c r="H35" i="66"/>
  <c r="Q28" i="66"/>
  <c r="M18" i="66"/>
  <c r="N11" i="66"/>
  <c r="J50" i="66"/>
  <c r="O10" i="66"/>
  <c r="L41" i="66"/>
  <c r="E13" i="66"/>
  <c r="S27" i="66"/>
  <c r="F19" i="66"/>
  <c r="J21" i="66"/>
  <c r="D20" i="66"/>
  <c r="D51" i="66"/>
  <c r="E19" i="66"/>
  <c r="Q42" i="66"/>
  <c r="P52" i="66"/>
  <c r="G38" i="66"/>
  <c r="Q17" i="66"/>
  <c r="J49" i="66"/>
  <c r="F53" i="66"/>
  <c r="L54" i="66"/>
  <c r="N39" i="66"/>
  <c r="N51" i="66"/>
  <c r="F46" i="66"/>
  <c r="P39" i="66"/>
  <c r="K38" i="66"/>
  <c r="K28" i="66"/>
  <c r="G40" i="66"/>
  <c r="D40" i="66"/>
  <c r="I12" i="66"/>
  <c r="H5" i="66"/>
  <c r="H39" i="66"/>
  <c r="T12" i="66"/>
  <c r="S49" i="66"/>
  <c r="F16" i="66"/>
  <c r="G5" i="66"/>
  <c r="M30" i="66"/>
  <c r="N38" i="66"/>
  <c r="T5" i="66"/>
  <c r="S44" i="66"/>
  <c r="L38" i="66"/>
  <c r="K34" i="66"/>
  <c r="R45" i="66"/>
  <c r="H47" i="66"/>
  <c r="D14" i="66"/>
  <c r="G54" i="66"/>
  <c r="G27" i="66"/>
  <c r="F42" i="66"/>
  <c r="M19" i="66"/>
  <c r="N18" i="66"/>
  <c r="G46" i="66"/>
  <c r="R34" i="66"/>
  <c r="P38" i="66"/>
  <c r="H37" i="66"/>
  <c r="D50" i="66"/>
  <c r="J19" i="66"/>
  <c r="F33" i="66"/>
  <c r="S8" i="66"/>
  <c r="L27" i="66"/>
  <c r="E51" i="66"/>
  <c r="K13" i="66"/>
  <c r="Q31" i="66"/>
  <c r="J18" i="66"/>
  <c r="I35" i="66"/>
  <c r="J13" i="66"/>
  <c r="M11" i="66"/>
  <c r="L10" i="66"/>
  <c r="N31" i="66"/>
  <c r="Q49" i="66"/>
  <c r="H27" i="66"/>
  <c r="N42" i="66"/>
  <c r="T19" i="66"/>
  <c r="I27" i="66"/>
  <c r="M40" i="66"/>
  <c r="G12" i="66"/>
  <c r="P34" i="66"/>
  <c r="T16" i="66"/>
  <c r="G10" i="66"/>
  <c r="T21" i="66"/>
  <c r="R43" i="66"/>
  <c r="Q44" i="66"/>
  <c r="N12" i="66"/>
  <c r="S18" i="66"/>
  <c r="T46" i="66"/>
  <c r="I29" i="66"/>
  <c r="M17" i="66"/>
  <c r="G21" i="66"/>
  <c r="D13" i="66"/>
  <c r="O16" i="66"/>
  <c r="H17" i="66"/>
  <c r="T45" i="66"/>
  <c r="L37" i="66"/>
  <c r="L16" i="66"/>
  <c r="I13" i="66"/>
  <c r="L49" i="66"/>
  <c r="L34" i="66"/>
  <c r="K10" i="66"/>
  <c r="O43" i="66"/>
  <c r="P11" i="66"/>
  <c r="R37" i="66"/>
  <c r="H38" i="66"/>
  <c r="I49" i="66"/>
  <c r="T39" i="66"/>
  <c r="M16" i="66"/>
  <c r="Q14" i="66"/>
  <c r="W27" i="22" l="1"/>
  <c r="W21" i="22"/>
  <c r="W15" i="22"/>
  <c r="W25" i="22"/>
  <c r="W23" i="22"/>
  <c r="D36" i="66"/>
  <c r="D13" i="67" s="1"/>
  <c r="Q11" i="67"/>
  <c r="I14" i="67"/>
  <c r="K11" i="67"/>
  <c r="O15" i="67"/>
  <c r="D14" i="67"/>
  <c r="O36" i="66"/>
  <c r="O13" i="67" s="1"/>
  <c r="E26" i="66"/>
  <c r="E10" i="67" s="1"/>
  <c r="M6" i="66"/>
  <c r="J32" i="66"/>
  <c r="J12" i="67" s="1"/>
  <c r="M15" i="67"/>
  <c r="T32" i="66"/>
  <c r="T12" i="67" s="1"/>
  <c r="G15" i="66"/>
  <c r="G8" i="67" s="1"/>
  <c r="E15" i="66"/>
  <c r="E8" i="67" s="1"/>
  <c r="N32" i="66"/>
  <c r="N12" i="67" s="1"/>
  <c r="E11" i="67"/>
  <c r="E5" i="67"/>
  <c r="I15" i="66"/>
  <c r="I8" i="67" s="1"/>
  <c r="J6" i="66"/>
  <c r="S16" i="67"/>
  <c r="T9" i="67"/>
  <c r="F15" i="66"/>
  <c r="F8" i="67" s="1"/>
  <c r="R15" i="67"/>
  <c r="L26" i="66"/>
  <c r="L10" i="67" s="1"/>
  <c r="I32" i="66"/>
  <c r="I12" i="67" s="1"/>
  <c r="T14" i="67"/>
  <c r="D16" i="67"/>
  <c r="Q15" i="67"/>
  <c r="N6" i="66"/>
  <c r="L32" i="66"/>
  <c r="L12" i="67" s="1"/>
  <c r="T6" i="66"/>
  <c r="E36" i="66"/>
  <c r="E13" i="67" s="1"/>
  <c r="K14" i="67"/>
  <c r="F5" i="67"/>
  <c r="K26" i="66"/>
  <c r="K10" i="67" s="1"/>
  <c r="K15" i="67"/>
  <c r="R6" i="66"/>
  <c r="O26" i="66"/>
  <c r="O10" i="67" s="1"/>
  <c r="D5" i="67"/>
  <c r="O6" i="66"/>
  <c r="O6" i="67" s="1"/>
  <c r="P16" i="67"/>
  <c r="I26" i="66"/>
  <c r="I10" i="67" s="1"/>
  <c r="R15" i="66"/>
  <c r="R8" i="67" s="1"/>
  <c r="I5" i="67"/>
  <c r="H9" i="67"/>
  <c r="G16" i="67"/>
  <c r="I6" i="66"/>
  <c r="D26" i="66"/>
  <c r="D10" i="67" s="1"/>
  <c r="L11" i="67"/>
  <c r="D11" i="67"/>
  <c r="Q15" i="66"/>
  <c r="Q8" i="67" s="1"/>
  <c r="Q32" i="66"/>
  <c r="Q12" i="67" s="1"/>
  <c r="G14" i="67"/>
  <c r="K32" i="66"/>
  <c r="K12" i="67" s="1"/>
  <c r="L16" i="67"/>
  <c r="Q36" i="66"/>
  <c r="Q13" i="67" s="1"/>
  <c r="R9" i="67"/>
  <c r="L36" i="66"/>
  <c r="L13" i="67" s="1"/>
  <c r="O16" i="67"/>
  <c r="S26" i="66"/>
  <c r="S10" i="67" s="1"/>
  <c r="F16" i="67"/>
  <c r="G15" i="67"/>
  <c r="H26" i="66"/>
  <c r="H10" i="67" s="1"/>
  <c r="O11" i="67"/>
  <c r="K6" i="66"/>
  <c r="M26" i="66"/>
  <c r="M10" i="67" s="1"/>
  <c r="K16" i="67"/>
  <c r="J36" i="66"/>
  <c r="J13" i="67" s="1"/>
  <c r="R26" i="66"/>
  <c r="R10" i="67" s="1"/>
  <c r="P5" i="67"/>
  <c r="L15" i="66"/>
  <c r="L8" i="67" s="1"/>
  <c r="K9" i="67"/>
  <c r="N14" i="67"/>
  <c r="F6" i="66"/>
  <c r="I9" i="67"/>
  <c r="T15" i="67"/>
  <c r="L5" i="67"/>
  <c r="H15" i="66"/>
  <c r="H8" i="67" s="1"/>
  <c r="J9" i="67"/>
  <c r="R36" i="66"/>
  <c r="R13" i="67" s="1"/>
  <c r="Q16" i="67"/>
  <c r="D15" i="66"/>
  <c r="D8" i="67" s="1"/>
  <c r="G26" i="66"/>
  <c r="G10" i="67" s="1"/>
  <c r="T26" i="66"/>
  <c r="T10" i="67" s="1"/>
  <c r="R16" i="67"/>
  <c r="M32" i="66"/>
  <c r="M12" i="67" s="1"/>
  <c r="M5" i="67"/>
  <c r="N5" i="67"/>
  <c r="K36" i="66"/>
  <c r="K13" i="67" s="1"/>
  <c r="H15" i="67"/>
  <c r="L14" i="67"/>
  <c r="P9" i="67"/>
  <c r="K15" i="66"/>
  <c r="K8" i="67" s="1"/>
  <c r="H36" i="66"/>
  <c r="H13" i="67" s="1"/>
  <c r="R14" i="67"/>
  <c r="P15" i="67"/>
  <c r="Q9" i="67"/>
  <c r="Q14" i="67"/>
  <c r="H14" i="67"/>
  <c r="F9" i="67"/>
  <c r="D6" i="66"/>
  <c r="D6" i="67" s="1"/>
  <c r="N15" i="67"/>
  <c r="G9" i="67"/>
  <c r="H32" i="66"/>
  <c r="H12" i="67" s="1"/>
  <c r="P36" i="66"/>
  <c r="P13" i="67" s="1"/>
  <c r="G32" i="66"/>
  <c r="G12" i="67" s="1"/>
  <c r="H11" i="67"/>
  <c r="T11" i="67"/>
  <c r="K5" i="67"/>
  <c r="I36" i="66"/>
  <c r="I13" i="67" s="1"/>
  <c r="L9" i="67"/>
  <c r="F26" i="66"/>
  <c r="F10" i="67" s="1"/>
  <c r="M15" i="66"/>
  <c r="M8" i="67" s="1"/>
  <c r="E6" i="66"/>
  <c r="N26" i="66"/>
  <c r="N10" i="67" s="1"/>
  <c r="Q26" i="66"/>
  <c r="Q10" i="67" s="1"/>
  <c r="N15" i="66"/>
  <c r="N8" i="67" s="1"/>
  <c r="F11" i="67"/>
  <c r="O32" i="66"/>
  <c r="O12" i="67" s="1"/>
  <c r="F36" i="66"/>
  <c r="F13" i="67" s="1"/>
  <c r="O14" i="67"/>
  <c r="S6" i="66"/>
  <c r="H6" i="66"/>
  <c r="J5" i="67"/>
  <c r="E32" i="66"/>
  <c r="E12" i="67" s="1"/>
  <c r="M36" i="66"/>
  <c r="M13" i="67" s="1"/>
  <c r="F32" i="66"/>
  <c r="F12" i="67" s="1"/>
  <c r="G36" i="66"/>
  <c r="G13" i="67" s="1"/>
  <c r="H5" i="67"/>
  <c r="M11" i="67"/>
  <c r="S36" i="66"/>
  <c r="S13" i="67" s="1"/>
  <c r="O15" i="66"/>
  <c r="O8" i="67" s="1"/>
  <c r="D32" i="66"/>
  <c r="D12" i="67" s="1"/>
  <c r="M14" i="67"/>
  <c r="F15" i="67"/>
  <c r="R5" i="67"/>
  <c r="Q5" i="67"/>
  <c r="N11" i="67"/>
  <c r="F14" i="67"/>
  <c r="P14" i="67"/>
  <c r="M9" i="67"/>
  <c r="H16" i="67"/>
  <c r="J14" i="67"/>
  <c r="J15" i="66"/>
  <c r="J8" i="67" s="1"/>
  <c r="T15" i="66"/>
  <c r="T8" i="67" s="1"/>
  <c r="S14" i="67"/>
  <c r="I15" i="67"/>
  <c r="J15" i="67"/>
  <c r="P11" i="67"/>
  <c r="I11" i="67"/>
  <c r="D15" i="67"/>
  <c r="E9" i="67"/>
  <c r="S11" i="67"/>
  <c r="P26" i="66"/>
  <c r="P10" i="67" s="1"/>
  <c r="S15" i="67"/>
  <c r="E15" i="67"/>
  <c r="D9" i="67"/>
  <c r="L15" i="67"/>
  <c r="S15" i="66"/>
  <c r="S8" i="67" s="1"/>
  <c r="O5" i="67"/>
  <c r="O7" i="67" s="1"/>
  <c r="T36" i="66"/>
  <c r="T13" i="67" s="1"/>
  <c r="S5" i="67"/>
  <c r="G5" i="67"/>
  <c r="J26" i="66"/>
  <c r="J10" i="67" s="1"/>
  <c r="O9" i="67"/>
  <c r="M16" i="67"/>
  <c r="J16" i="67"/>
  <c r="P6" i="66"/>
  <c r="Q6" i="66"/>
  <c r="Q7" i="66" s="1"/>
  <c r="N36" i="66"/>
  <c r="N13" i="67" s="1"/>
  <c r="J11" i="67"/>
  <c r="I16" i="67"/>
  <c r="T5" i="67"/>
  <c r="S9" i="67"/>
  <c r="R32" i="66"/>
  <c r="R12" i="67" s="1"/>
  <c r="N16" i="67"/>
  <c r="E14" i="67"/>
  <c r="G6" i="66"/>
  <c r="G11" i="67"/>
  <c r="S32" i="66"/>
  <c r="S12" i="67" s="1"/>
  <c r="R11" i="67"/>
  <c r="E16" i="67"/>
  <c r="N9" i="67"/>
  <c r="L6" i="66"/>
  <c r="L7" i="66" s="1"/>
  <c r="P32" i="66"/>
  <c r="P12" i="67" s="1"/>
  <c r="T16" i="67"/>
  <c r="P15" i="66"/>
  <c r="P8" i="67" s="1"/>
  <c r="F273" i="22"/>
  <c r="F272" i="22"/>
  <c r="E271" i="22"/>
  <c r="B271" i="22"/>
  <c r="C271" i="22"/>
  <c r="H271" i="22" s="1"/>
  <c r="D271" i="22"/>
  <c r="I271" i="22" s="1"/>
  <c r="D7" i="67" l="1"/>
  <c r="D17" i="67" s="1"/>
  <c r="C7" i="67"/>
  <c r="D7" i="66"/>
  <c r="D55" i="66" s="1"/>
  <c r="L55" i="66"/>
  <c r="Q6" i="67"/>
  <c r="Q7" i="67" s="1"/>
  <c r="Q17" i="67" s="1"/>
  <c r="G7" i="66"/>
  <c r="G55" i="66" s="1"/>
  <c r="G6" i="67"/>
  <c r="G7" i="67" s="1"/>
  <c r="G17" i="67" s="1"/>
  <c r="P7" i="66"/>
  <c r="P55" i="66" s="1"/>
  <c r="P6" i="67"/>
  <c r="P7" i="67" s="1"/>
  <c r="P17" i="67" s="1"/>
  <c r="S7" i="66"/>
  <c r="S55" i="66" s="1"/>
  <c r="S6" i="67"/>
  <c r="S7" i="67" s="1"/>
  <c r="S17" i="67" s="1"/>
  <c r="H6" i="67"/>
  <c r="H7" i="67" s="1"/>
  <c r="H17" i="67" s="1"/>
  <c r="H7" i="66"/>
  <c r="H55" i="66" s="1"/>
  <c r="K6" i="67"/>
  <c r="K7" i="67" s="1"/>
  <c r="K17" i="67" s="1"/>
  <c r="K7" i="66"/>
  <c r="K55" i="66" s="1"/>
  <c r="I7" i="66"/>
  <c r="I55" i="66" s="1"/>
  <c r="I6" i="67"/>
  <c r="I7" i="67" s="1"/>
  <c r="I17" i="67" s="1"/>
  <c r="R7" i="66"/>
  <c r="R55" i="66" s="1"/>
  <c r="R6" i="67"/>
  <c r="R7" i="67" s="1"/>
  <c r="R17" i="67" s="1"/>
  <c r="T6" i="67"/>
  <c r="T7" i="67" s="1"/>
  <c r="T17" i="67" s="1"/>
  <c r="T7" i="66"/>
  <c r="T55" i="66" s="1"/>
  <c r="N6" i="67"/>
  <c r="N7" i="67" s="1"/>
  <c r="N17" i="67" s="1"/>
  <c r="N7" i="66"/>
  <c r="N55" i="66" s="1"/>
  <c r="J7" i="66"/>
  <c r="J55" i="66" s="1"/>
  <c r="J6" i="67"/>
  <c r="J7" i="67" s="1"/>
  <c r="J17" i="67" s="1"/>
  <c r="M7" i="66"/>
  <c r="M55" i="66" s="1"/>
  <c r="M6" i="67"/>
  <c r="M7" i="67" s="1"/>
  <c r="M17" i="67" s="1"/>
  <c r="L6" i="67"/>
  <c r="L7" i="67" s="1"/>
  <c r="L17" i="67" s="1"/>
  <c r="Q55" i="66"/>
  <c r="E6" i="67"/>
  <c r="E7" i="67" s="1"/>
  <c r="E17" i="67" s="1"/>
  <c r="E7" i="66"/>
  <c r="E55" i="66" s="1"/>
  <c r="F6" i="67"/>
  <c r="F7" i="67" s="1"/>
  <c r="F17" i="67" s="1"/>
  <c r="F7" i="66"/>
  <c r="F55" i="66" s="1"/>
  <c r="O7" i="66"/>
  <c r="O55" i="66" s="1"/>
  <c r="O17" i="67"/>
  <c r="F271" i="22"/>
  <c r="C269" i="22"/>
  <c r="B269" i="22"/>
  <c r="E269" i="22"/>
  <c r="D269" i="22"/>
  <c r="C268" i="22"/>
  <c r="H268" i="22" s="1"/>
  <c r="B268" i="22"/>
  <c r="E268" i="22"/>
  <c r="J268" i="22" s="1"/>
  <c r="D268" i="22"/>
  <c r="I268" i="22" s="1"/>
  <c r="G268" i="22" l="1"/>
  <c r="F268" i="22"/>
  <c r="K268" i="22" s="1"/>
  <c r="F269" i="22"/>
  <c r="B264" i="22"/>
  <c r="E264" i="22"/>
  <c r="C264" i="22"/>
  <c r="D264" i="22"/>
  <c r="C266" i="22"/>
  <c r="H282" i="22" s="1"/>
  <c r="B266" i="22"/>
  <c r="E266" i="22"/>
  <c r="D266" i="22"/>
  <c r="B267" i="22"/>
  <c r="E267" i="22"/>
  <c r="J267" i="22" s="1"/>
  <c r="D267" i="22"/>
  <c r="I267" i="22" s="1"/>
  <c r="C267" i="22"/>
  <c r="H267" i="22" s="1"/>
  <c r="H276" i="22" l="1"/>
  <c r="H278" i="22"/>
  <c r="I269" i="22"/>
  <c r="H269" i="22"/>
  <c r="J281" i="22"/>
  <c r="J276" i="22"/>
  <c r="J272" i="22"/>
  <c r="I276" i="22"/>
  <c r="I279" i="22"/>
  <c r="G281" i="22"/>
  <c r="G276" i="22"/>
  <c r="G272" i="22"/>
  <c r="I278" i="22"/>
  <c r="J282" i="22"/>
  <c r="I266" i="22"/>
  <c r="I282" i="22"/>
  <c r="G282" i="22"/>
  <c r="H284" i="22"/>
  <c r="J269" i="22"/>
  <c r="J278" i="22"/>
  <c r="G278" i="22"/>
  <c r="F264" i="22"/>
  <c r="G279" i="22"/>
  <c r="G266" i="22"/>
  <c r="G284" i="22"/>
  <c r="F266" i="22"/>
  <c r="G273" i="22"/>
  <c r="G271" i="22"/>
  <c r="G269" i="22"/>
  <c r="G267" i="22"/>
  <c r="F267" i="22"/>
  <c r="K267" i="22" s="1"/>
  <c r="J266" i="22"/>
  <c r="J279" i="22"/>
  <c r="J284" i="22"/>
  <c r="J273" i="22"/>
  <c r="J271" i="22"/>
  <c r="H266" i="22"/>
  <c r="H279" i="22"/>
  <c r="K281" i="22" l="1"/>
  <c r="K276" i="22"/>
  <c r="K272" i="22"/>
  <c r="K282" i="22"/>
  <c r="K269" i="22"/>
  <c r="K278" i="22"/>
  <c r="K266" i="22"/>
  <c r="K284" i="22"/>
  <c r="K279" i="22"/>
  <c r="K273" i="22"/>
  <c r="K271" i="22"/>
  <c r="L9" i="21"/>
  <c r="G12" i="21"/>
  <c r="F12" i="21"/>
  <c r="I21" i="21"/>
  <c r="I22" i="21"/>
  <c r="D9" i="21"/>
  <c r="L17" i="21"/>
  <c r="B24" i="21"/>
  <c r="C16" i="21"/>
  <c r="D24" i="21"/>
  <c r="B27" i="21"/>
  <c r="G9" i="21"/>
  <c r="N28" i="21"/>
  <c r="B18" i="21"/>
  <c r="N13" i="21"/>
  <c r="I11" i="21"/>
  <c r="I12" i="21"/>
  <c r="C11" i="21"/>
  <c r="E13" i="21"/>
  <c r="M14" i="21"/>
  <c r="C19" i="21"/>
  <c r="M13" i="21"/>
  <c r="I23" i="21"/>
  <c r="L24" i="21"/>
  <c r="I24" i="21"/>
  <c r="F26" i="21"/>
  <c r="M23" i="21"/>
  <c r="D19" i="21"/>
  <c r="N12" i="21"/>
  <c r="B16" i="21"/>
  <c r="D14" i="21"/>
  <c r="N14" i="21"/>
  <c r="I9" i="21"/>
  <c r="M29" i="21"/>
  <c r="L28" i="21"/>
  <c r="K17" i="21"/>
  <c r="K13" i="21"/>
  <c r="D21" i="21"/>
  <c r="C14" i="21"/>
  <c r="J24" i="21"/>
  <c r="E27" i="21"/>
  <c r="C29" i="21"/>
  <c r="D17" i="21"/>
  <c r="E23" i="21"/>
  <c r="E17" i="21"/>
  <c r="K26" i="21"/>
  <c r="E18" i="21"/>
  <c r="E29" i="21"/>
  <c r="J27" i="21"/>
  <c r="F24" i="21"/>
  <c r="E11" i="21"/>
  <c r="N21" i="21"/>
  <c r="B21" i="21"/>
  <c r="E22" i="21"/>
  <c r="G24" i="21"/>
  <c r="D16" i="21"/>
  <c r="C21" i="21"/>
  <c r="B26" i="21"/>
  <c r="N9" i="21"/>
  <c r="B17" i="21"/>
  <c r="L19" i="21"/>
  <c r="K14" i="21"/>
  <c r="F17" i="21"/>
  <c r="G18" i="21"/>
  <c r="L21" i="21"/>
  <c r="N17" i="21"/>
  <c r="F13" i="21"/>
  <c r="D22" i="21"/>
  <c r="F19" i="21"/>
  <c r="K18" i="21"/>
  <c r="E24" i="21"/>
  <c r="L13" i="21"/>
  <c r="L29" i="21"/>
  <c r="G27" i="21"/>
  <c r="F28" i="21"/>
  <c r="K23" i="21"/>
  <c r="B13" i="21"/>
  <c r="G19" i="21"/>
  <c r="B28" i="21"/>
  <c r="M12" i="21"/>
  <c r="I29" i="21"/>
  <c r="M21" i="21"/>
  <c r="G13" i="21"/>
  <c r="M27" i="21"/>
  <c r="K24" i="21"/>
  <c r="M26" i="21"/>
  <c r="G29" i="21"/>
  <c r="C27" i="21"/>
  <c r="J26" i="21"/>
  <c r="D29" i="21"/>
  <c r="K19" i="21"/>
  <c r="D11" i="21"/>
  <c r="C26" i="21"/>
  <c r="G21" i="21"/>
  <c r="D27" i="21"/>
  <c r="K22" i="21"/>
  <c r="M19" i="21"/>
  <c r="C18" i="21"/>
  <c r="B12" i="21"/>
  <c r="F14" i="21"/>
  <c r="C22" i="21"/>
  <c r="G23" i="21"/>
  <c r="B19" i="21"/>
  <c r="B23" i="21"/>
  <c r="N22" i="21"/>
  <c r="L11" i="21"/>
  <c r="K27" i="21"/>
  <c r="C12" i="21"/>
  <c r="J29" i="21"/>
  <c r="M11" i="21"/>
  <c r="I13" i="21"/>
  <c r="G22" i="21"/>
  <c r="C28" i="21"/>
  <c r="M28" i="21"/>
  <c r="K16" i="21"/>
  <c r="J12" i="21"/>
  <c r="F18" i="21"/>
  <c r="I16" i="21"/>
  <c r="J16" i="21"/>
  <c r="J19" i="21"/>
  <c r="N26" i="21"/>
  <c r="N27" i="21"/>
  <c r="F22" i="21"/>
  <c r="N16" i="21"/>
  <c r="E21" i="21"/>
  <c r="E9" i="21"/>
  <c r="E16" i="21"/>
  <c r="M17" i="21"/>
  <c r="F29" i="21"/>
  <c r="C13" i="21"/>
  <c r="K28" i="21"/>
  <c r="E12" i="21"/>
  <c r="M9" i="21"/>
  <c r="L27" i="21"/>
  <c r="F23" i="21"/>
  <c r="I19" i="21"/>
  <c r="J13" i="21"/>
  <c r="E26" i="21"/>
  <c r="L22" i="21"/>
  <c r="F11" i="21"/>
  <c r="M24" i="21"/>
  <c r="I27" i="21"/>
  <c r="N23" i="21"/>
  <c r="M22" i="21"/>
  <c r="L26" i="21"/>
  <c r="C17" i="21"/>
  <c r="B29" i="21"/>
  <c r="B22" i="21"/>
  <c r="N19" i="21"/>
  <c r="J22" i="21"/>
  <c r="J9" i="21"/>
  <c r="G16" i="21"/>
  <c r="I14" i="21"/>
  <c r="M18" i="21"/>
  <c r="C23" i="21"/>
  <c r="B14" i="21"/>
  <c r="C9" i="21"/>
  <c r="K12" i="21"/>
  <c r="L23" i="21"/>
  <c r="M16" i="21"/>
  <c r="D13" i="21"/>
  <c r="D26" i="21"/>
  <c r="B11" i="21"/>
  <c r="K9" i="21"/>
  <c r="N18" i="21"/>
  <c r="F27" i="21"/>
  <c r="L12" i="21"/>
  <c r="E14" i="21"/>
  <c r="L14" i="21"/>
  <c r="D12" i="21"/>
  <c r="N29" i="21"/>
  <c r="E28" i="21"/>
  <c r="E19" i="21"/>
  <c r="G26" i="21"/>
  <c r="F9" i="21"/>
  <c r="J17" i="21"/>
  <c r="J18" i="21"/>
  <c r="L18" i="21"/>
  <c r="L16" i="21"/>
  <c r="K29" i="21"/>
  <c r="D28" i="21"/>
  <c r="I26" i="21"/>
  <c r="I17" i="21"/>
  <c r="J23" i="21"/>
  <c r="N24" i="21"/>
  <c r="J28" i="21"/>
  <c r="J21" i="21"/>
  <c r="I28" i="21"/>
  <c r="C24" i="21"/>
  <c r="I18" i="21"/>
  <c r="F16" i="21"/>
  <c r="D23" i="21"/>
  <c r="G17" i="21"/>
  <c r="G28" i="21"/>
  <c r="J14" i="21"/>
  <c r="K21" i="21"/>
  <c r="G11" i="21"/>
  <c r="K11" i="21"/>
  <c r="D18" i="21"/>
  <c r="N11" i="21"/>
  <c r="G14" i="21"/>
  <c r="F21" i="21"/>
  <c r="J11" i="21"/>
  <c r="H18" i="21" l="1"/>
  <c r="H23" i="21"/>
  <c r="O28" i="21"/>
  <c r="O21" i="21"/>
  <c r="O24" i="21"/>
  <c r="O23" i="21"/>
  <c r="O13" i="21"/>
  <c r="H27" i="21"/>
  <c r="H12" i="21"/>
  <c r="O17" i="21"/>
  <c r="O12" i="21"/>
  <c r="O18" i="21"/>
  <c r="O9" i="21"/>
  <c r="O29" i="21"/>
  <c r="H14" i="21"/>
  <c r="O16" i="21"/>
  <c r="O22" i="21"/>
  <c r="H11" i="21"/>
  <c r="H21" i="21"/>
  <c r="O26" i="21"/>
  <c r="H17" i="21"/>
  <c r="H29" i="21"/>
  <c r="H24" i="21"/>
  <c r="O14" i="21"/>
  <c r="O27" i="21"/>
  <c r="H28" i="21"/>
  <c r="H16" i="21"/>
  <c r="H9" i="21"/>
  <c r="O11" i="21"/>
  <c r="H13" i="21"/>
  <c r="H22" i="21"/>
  <c r="H19" i="21"/>
  <c r="O19" i="21"/>
  <c r="H26" i="21"/>
  <c r="P26" i="21" l="1"/>
  <c r="AD26" i="21" s="1"/>
  <c r="P12" i="21"/>
  <c r="AF12" i="21" s="1"/>
  <c r="P23" i="21"/>
  <c r="Z23" i="21" s="1"/>
  <c r="P13" i="21"/>
  <c r="AA13" i="21" s="1"/>
  <c r="P14" i="21"/>
  <c r="T14" i="21" s="1"/>
  <c r="P11" i="21"/>
  <c r="V11" i="21" s="1"/>
  <c r="P17" i="21"/>
  <c r="U17" i="21" s="1"/>
  <c r="P27" i="21"/>
  <c r="AC27" i="21" s="1"/>
  <c r="P16" i="21"/>
  <c r="AE16" i="21" s="1"/>
  <c r="P18" i="21"/>
  <c r="AF18" i="21" s="1"/>
  <c r="P29" i="21"/>
  <c r="S29" i="21" s="1"/>
  <c r="P19" i="21"/>
  <c r="U19" i="21" s="1"/>
  <c r="P24" i="21"/>
  <c r="P28" i="21"/>
  <c r="P22" i="21"/>
  <c r="P9" i="21"/>
  <c r="P21" i="21"/>
  <c r="AB26" i="21" l="1"/>
  <c r="T23" i="21"/>
  <c r="V23" i="21"/>
  <c r="AF14" i="21"/>
  <c r="AC26" i="21"/>
  <c r="T26" i="21"/>
  <c r="V26" i="21"/>
  <c r="W13" i="21"/>
  <c r="AA14" i="21"/>
  <c r="Z14" i="21"/>
  <c r="W14" i="21"/>
  <c r="U11" i="21"/>
  <c r="AF11" i="21"/>
  <c r="S11" i="21"/>
  <c r="W26" i="21"/>
  <c r="U26" i="21"/>
  <c r="Z27" i="21"/>
  <c r="AE26" i="21"/>
  <c r="U27" i="21"/>
  <c r="S26" i="21"/>
  <c r="AB16" i="21"/>
  <c r="AF23" i="21"/>
  <c r="AA26" i="21"/>
  <c r="S16" i="21"/>
  <c r="T12" i="21"/>
  <c r="T13" i="21"/>
  <c r="V13" i="21"/>
  <c r="X14" i="21"/>
  <c r="U14" i="21"/>
  <c r="X13" i="21"/>
  <c r="AB14" i="21"/>
  <c r="AC14" i="21"/>
  <c r="V14" i="21"/>
  <c r="S14" i="21"/>
  <c r="AE14" i="21"/>
  <c r="S13" i="21"/>
  <c r="Z26" i="21"/>
  <c r="X26" i="21"/>
  <c r="AD14" i="21"/>
  <c r="AF26" i="21"/>
  <c r="T17" i="21"/>
  <c r="AC13" i="21"/>
  <c r="Z17" i="21"/>
  <c r="AC16" i="21"/>
  <c r="AE11" i="21"/>
  <c r="AA12" i="21"/>
  <c r="AA23" i="21"/>
  <c r="AE23" i="21"/>
  <c r="S12" i="21"/>
  <c r="W12" i="21"/>
  <c r="AE12" i="21"/>
  <c r="Z12" i="21"/>
  <c r="AB12" i="21"/>
  <c r="AC12" i="21"/>
  <c r="AB17" i="21"/>
  <c r="X12" i="21"/>
  <c r="S17" i="21"/>
  <c r="U23" i="21"/>
  <c r="S23" i="21"/>
  <c r="AD12" i="21"/>
  <c r="X23" i="21"/>
  <c r="W23" i="21"/>
  <c r="V12" i="21"/>
  <c r="T18" i="21"/>
  <c r="AD23" i="21"/>
  <c r="U12" i="21"/>
  <c r="AA17" i="21"/>
  <c r="W17" i="21"/>
  <c r="AD16" i="21"/>
  <c r="T11" i="21"/>
  <c r="AC23" i="21"/>
  <c r="AB23" i="21"/>
  <c r="X16" i="21"/>
  <c r="U16" i="21"/>
  <c r="X11" i="21"/>
  <c r="V17" i="21"/>
  <c r="AE19" i="21"/>
  <c r="AB19" i="21"/>
  <c r="V16" i="21"/>
  <c r="W16" i="21"/>
  <c r="T16" i="21"/>
  <c r="AF16" i="21"/>
  <c r="AA16" i="21"/>
  <c r="Z16" i="21"/>
  <c r="AB11" i="21"/>
  <c r="W11" i="21"/>
  <c r="AC11" i="21"/>
  <c r="AD11" i="21"/>
  <c r="Z11" i="21"/>
  <c r="AA11" i="21"/>
  <c r="X19" i="21"/>
  <c r="Z18" i="21"/>
  <c r="AF13" i="21"/>
  <c r="U13" i="21"/>
  <c r="AD13" i="21"/>
  <c r="Z13" i="21"/>
  <c r="AB13" i="21"/>
  <c r="AE13" i="21"/>
  <c r="AD17" i="21"/>
  <c r="AC17" i="21"/>
  <c r="X17" i="21"/>
  <c r="AF17" i="21"/>
  <c r="AE17" i="21"/>
  <c r="AE27" i="21"/>
  <c r="S27" i="21"/>
  <c r="AE29" i="21"/>
  <c r="V27" i="21"/>
  <c r="T27" i="21"/>
  <c r="AF27" i="21"/>
  <c r="AB29" i="21"/>
  <c r="U29" i="21"/>
  <c r="W29" i="21"/>
  <c r="AB27" i="21"/>
  <c r="AD27" i="21"/>
  <c r="AA27" i="21"/>
  <c r="W27" i="21"/>
  <c r="X27" i="21"/>
  <c r="Z29" i="21"/>
  <c r="AA29" i="21"/>
  <c r="AC29" i="21"/>
  <c r="X29" i="21"/>
  <c r="T29" i="21"/>
  <c r="AF29" i="21"/>
  <c r="AD29" i="21"/>
  <c r="V29" i="21"/>
  <c r="S19" i="21"/>
  <c r="AC19" i="21"/>
  <c r="V19" i="21"/>
  <c r="AA19" i="21"/>
  <c r="W19" i="21"/>
  <c r="W18" i="21"/>
  <c r="AB18" i="21"/>
  <c r="S18" i="21"/>
  <c r="AA18" i="21"/>
  <c r="AD18" i="21"/>
  <c r="AC18" i="21"/>
  <c r="U18" i="21"/>
  <c r="AE18" i="21"/>
  <c r="X18" i="21"/>
  <c r="V18" i="21"/>
  <c r="AD19" i="21"/>
  <c r="Z19" i="21"/>
  <c r="AF19" i="21"/>
  <c r="V9" i="21"/>
  <c r="W9" i="21"/>
  <c r="T9" i="21"/>
  <c r="AD9" i="21"/>
  <c r="AC9" i="21"/>
  <c r="X9" i="21"/>
  <c r="U9" i="21"/>
  <c r="AA9" i="21"/>
  <c r="AE9" i="21"/>
  <c r="AB9" i="21"/>
  <c r="AF9" i="21"/>
  <c r="Z9" i="21"/>
  <c r="S9" i="21"/>
  <c r="V28" i="21"/>
  <c r="X28" i="21"/>
  <c r="AB28" i="21"/>
  <c r="AA28" i="21"/>
  <c r="Z28" i="21"/>
  <c r="AC28" i="21"/>
  <c r="W28" i="21"/>
  <c r="AD28" i="21"/>
  <c r="U28" i="21"/>
  <c r="S28" i="21"/>
  <c r="AE28" i="21"/>
  <c r="AF28" i="21"/>
  <c r="T28" i="21"/>
  <c r="V21" i="21"/>
  <c r="AE21" i="21"/>
  <c r="AB21" i="21"/>
  <c r="AA21" i="21"/>
  <c r="U21" i="21"/>
  <c r="X21" i="21"/>
  <c r="AC21" i="21"/>
  <c r="AF21" i="21"/>
  <c r="T21" i="21"/>
  <c r="Z21" i="21"/>
  <c r="AD21" i="21"/>
  <c r="W21" i="21"/>
  <c r="S21" i="21"/>
  <c r="AF22" i="21"/>
  <c r="U22" i="21"/>
  <c r="S22" i="21"/>
  <c r="W22" i="21"/>
  <c r="AD22" i="21"/>
  <c r="AE22" i="21"/>
  <c r="Z22" i="21"/>
  <c r="X22" i="21"/>
  <c r="T22" i="21"/>
  <c r="AC22" i="21"/>
  <c r="AA22" i="21"/>
  <c r="V22" i="21"/>
  <c r="AB22" i="21"/>
  <c r="AB24" i="21"/>
  <c r="T24" i="21"/>
  <c r="AD24" i="21"/>
  <c r="AA24" i="21"/>
  <c r="W24" i="21"/>
  <c r="AF24" i="21"/>
  <c r="X24" i="21"/>
  <c r="AC24" i="21"/>
  <c r="AE24" i="21"/>
  <c r="S24" i="21"/>
  <c r="U24" i="21"/>
  <c r="V24" i="21"/>
  <c r="Z24" i="21"/>
  <c r="Y13" i="21" l="1"/>
  <c r="AG13" i="21" s="1"/>
  <c r="Y11" i="21"/>
  <c r="AG11" i="21" s="1"/>
  <c r="Y26" i="21"/>
  <c r="AG26" i="21" s="1"/>
  <c r="Y27" i="21"/>
  <c r="AG27" i="21" s="1"/>
  <c r="Y14" i="21"/>
  <c r="AG14" i="21" s="1"/>
  <c r="Y16" i="21"/>
  <c r="AG16" i="21" s="1"/>
  <c r="Y17" i="21"/>
  <c r="AG17" i="21" s="1"/>
  <c r="Y12" i="21"/>
  <c r="AG12" i="21" s="1"/>
  <c r="Y29" i="21"/>
  <c r="AG29" i="21" s="1"/>
  <c r="Y23" i="21"/>
  <c r="AG23" i="21" s="1"/>
  <c r="T19" i="21"/>
  <c r="Y19" i="21" s="1"/>
  <c r="AG19" i="21" s="1"/>
  <c r="Y9" i="21"/>
  <c r="AG9" i="21" s="1"/>
  <c r="Y18" i="21"/>
  <c r="AG18" i="21" s="1"/>
  <c r="Y21" i="21"/>
  <c r="AG21" i="21" s="1"/>
  <c r="Y28" i="21"/>
  <c r="AG28" i="21" s="1"/>
  <c r="Y24" i="21"/>
  <c r="AG24" i="21" s="1"/>
  <c r="Y22" i="21"/>
  <c r="AG22" i="21" s="1"/>
  <c r="D16" i="53"/>
  <c r="N55" i="53"/>
  <c r="O32" i="53"/>
  <c r="D43" i="53"/>
  <c r="P55" i="53"/>
  <c r="H23" i="53"/>
  <c r="Q30" i="53"/>
  <c r="S46" i="53"/>
  <c r="T37" i="53"/>
  <c r="O37" i="53"/>
  <c r="J31" i="53"/>
  <c r="D33" i="53"/>
  <c r="I31" i="53"/>
  <c r="P41" i="53"/>
  <c r="T32" i="53"/>
  <c r="P56" i="53"/>
  <c r="D12" i="53"/>
  <c r="P44" i="53"/>
  <c r="L53" i="53"/>
  <c r="T45" i="53"/>
  <c r="J30" i="53"/>
  <c r="D47" i="53"/>
  <c r="R10" i="53"/>
  <c r="L33" i="53"/>
  <c r="Q19" i="53"/>
  <c r="K36" i="53"/>
  <c r="L10" i="53"/>
  <c r="T38" i="53"/>
  <c r="M49" i="53"/>
  <c r="J42" i="53"/>
  <c r="I56" i="53"/>
  <c r="T40" i="53"/>
  <c r="D11" i="53"/>
  <c r="K34" i="53"/>
  <c r="O36" i="53"/>
  <c r="J20" i="53"/>
  <c r="P54" i="53"/>
  <c r="T11" i="53"/>
  <c r="Q42" i="53"/>
  <c r="L52" i="53"/>
  <c r="K52" i="53"/>
  <c r="J41" i="53"/>
  <c r="H7" i="53"/>
  <c r="J38" i="53"/>
  <c r="R18" i="53"/>
  <c r="D7" i="53"/>
  <c r="G43" i="53"/>
  <c r="K55" i="53"/>
  <c r="G30" i="53"/>
  <c r="L31" i="53"/>
  <c r="O54" i="53"/>
  <c r="E14" i="53"/>
  <c r="K43" i="53"/>
  <c r="R30" i="53"/>
  <c r="G40" i="53"/>
  <c r="L16" i="53"/>
  <c r="M40" i="53"/>
  <c r="E49" i="53"/>
  <c r="I21" i="53"/>
  <c r="G20" i="53"/>
  <c r="N14" i="53"/>
  <c r="O10" i="53"/>
  <c r="G53" i="53"/>
  <c r="D51" i="53"/>
  <c r="E53" i="53"/>
  <c r="D40" i="53"/>
  <c r="F16" i="53"/>
  <c r="I32" i="53"/>
  <c r="R47" i="53"/>
  <c r="S15" i="53"/>
  <c r="T52" i="53"/>
  <c r="R46" i="53"/>
  <c r="R12" i="53"/>
  <c r="L15" i="53"/>
  <c r="F57" i="53"/>
  <c r="G31" i="53"/>
  <c r="H36" i="53"/>
  <c r="J47" i="53"/>
  <c r="H48" i="53"/>
  <c r="E24" i="53"/>
  <c r="G48" i="53"/>
  <c r="G37" i="53"/>
  <c r="E56" i="53"/>
  <c r="T13" i="53"/>
  <c r="Q10" i="53"/>
  <c r="Q14" i="53"/>
  <c r="H55" i="53"/>
  <c r="P21" i="53"/>
  <c r="G13" i="53"/>
  <c r="E46" i="53"/>
  <c r="N22" i="53"/>
  <c r="E40" i="53"/>
  <c r="L48" i="53"/>
  <c r="E43" i="53"/>
  <c r="H37" i="53"/>
  <c r="P49" i="53"/>
  <c r="Q32" i="53"/>
  <c r="O31" i="53"/>
  <c r="L22" i="53"/>
  <c r="R42" i="53"/>
  <c r="M43" i="53"/>
  <c r="N36" i="53"/>
  <c r="Q12" i="53"/>
  <c r="R43" i="53"/>
  <c r="O15" i="53"/>
  <c r="R24" i="53"/>
  <c r="F50" i="53"/>
  <c r="G49" i="53"/>
  <c r="D19" i="53"/>
  <c r="F46" i="53"/>
  <c r="M51" i="53"/>
  <c r="S10" i="53"/>
  <c r="D56" i="53"/>
  <c r="K15" i="53"/>
  <c r="G19" i="53"/>
  <c r="D10" i="53"/>
  <c r="I43" i="53"/>
  <c r="T33" i="53"/>
  <c r="S13" i="53"/>
  <c r="Q11" i="53"/>
  <c r="J52" i="53"/>
  <c r="L44" i="53"/>
  <c r="D45" i="53"/>
  <c r="G41" i="53"/>
  <c r="M37" i="53"/>
  <c r="E19" i="53"/>
  <c r="D30" i="53"/>
  <c r="J32" i="53"/>
  <c r="J14" i="53"/>
  <c r="L49" i="53"/>
  <c r="O12" i="53"/>
  <c r="L41" i="53"/>
  <c r="K16" i="53"/>
  <c r="M54" i="53"/>
  <c r="Q52" i="53"/>
  <c r="S23" i="53"/>
  <c r="E52" i="53"/>
  <c r="L57" i="53"/>
  <c r="N24" i="53"/>
  <c r="Q57" i="53"/>
  <c r="K45" i="53"/>
  <c r="K47" i="53"/>
  <c r="P20" i="53"/>
  <c r="E41" i="53"/>
  <c r="S18" i="53"/>
  <c r="J21" i="53"/>
  <c r="T16" i="53"/>
  <c r="R7" i="53"/>
  <c r="K30" i="53"/>
  <c r="G16" i="53"/>
  <c r="F22" i="53"/>
  <c r="N44" i="53"/>
  <c r="I11" i="53"/>
  <c r="Q53" i="53"/>
  <c r="M48" i="53"/>
  <c r="N16" i="53"/>
  <c r="R51" i="53"/>
  <c r="S31" i="53"/>
  <c r="D18" i="53"/>
  <c r="H41" i="53"/>
  <c r="S44" i="53"/>
  <c r="O24" i="53"/>
  <c r="F33" i="53"/>
  <c r="G33" i="53"/>
  <c r="D50" i="53"/>
  <c r="F48" i="53"/>
  <c r="L32" i="53"/>
  <c r="R52" i="53"/>
  <c r="T7" i="53"/>
  <c r="L37" i="53"/>
  <c r="D41" i="53"/>
  <c r="I47" i="53"/>
  <c r="I23" i="53"/>
  <c r="K24" i="53"/>
  <c r="S57" i="53"/>
  <c r="E20" i="53"/>
  <c r="K23" i="53"/>
  <c r="D14" i="53"/>
  <c r="O33" i="53"/>
  <c r="S38" i="53"/>
  <c r="Q54" i="53"/>
  <c r="I45" i="53"/>
  <c r="S43" i="53"/>
  <c r="K14" i="53"/>
  <c r="R22" i="53"/>
  <c r="H31" i="53"/>
  <c r="P16" i="53"/>
  <c r="K46" i="53"/>
  <c r="M10" i="53"/>
  <c r="J36" i="53"/>
  <c r="J13" i="53"/>
  <c r="F14" i="53"/>
  <c r="M18" i="53"/>
  <c r="S33" i="53"/>
  <c r="I24" i="53"/>
  <c r="I19" i="53"/>
  <c r="D21" i="53"/>
  <c r="Q40" i="53"/>
  <c r="Q13" i="53"/>
  <c r="K32" i="53"/>
  <c r="K10" i="53"/>
  <c r="I52" i="53"/>
  <c r="I42" i="53"/>
  <c r="H11" i="53"/>
  <c r="F31" i="53"/>
  <c r="K49" i="53"/>
  <c r="S51" i="53"/>
  <c r="L21" i="53"/>
  <c r="H47" i="53"/>
  <c r="F20" i="53"/>
  <c r="O55" i="53"/>
  <c r="H15" i="53"/>
  <c r="K22" i="53"/>
  <c r="Q16" i="53"/>
  <c r="E50" i="53"/>
  <c r="L19" i="53"/>
  <c r="Q7" i="53"/>
  <c r="J48" i="53"/>
  <c r="I55" i="53"/>
  <c r="M44" i="53"/>
  <c r="L12" i="53"/>
  <c r="S37" i="53"/>
  <c r="L11" i="53"/>
  <c r="F44" i="53"/>
  <c r="E47" i="53"/>
  <c r="F23" i="53"/>
  <c r="E44" i="53"/>
  <c r="H46" i="53"/>
  <c r="O50" i="53"/>
  <c r="F52" i="53"/>
  <c r="N13" i="53"/>
  <c r="T46" i="53"/>
  <c r="E30" i="53"/>
  <c r="M15" i="53"/>
  <c r="Q47" i="53"/>
  <c r="T44" i="53"/>
  <c r="N47" i="53"/>
  <c r="Q33" i="53"/>
  <c r="T14" i="53"/>
  <c r="F10" i="53"/>
  <c r="O43" i="53"/>
  <c r="N40" i="53"/>
  <c r="G22" i="53"/>
  <c r="F11" i="53"/>
  <c r="N56" i="53"/>
  <c r="T12" i="53"/>
  <c r="D34" i="53"/>
  <c r="I33" i="53"/>
  <c r="Q34" i="53"/>
  <c r="P14" i="53"/>
  <c r="D38" i="53"/>
  <c r="I13" i="53"/>
  <c r="S21" i="53"/>
  <c r="G44" i="53"/>
  <c r="J54" i="53"/>
  <c r="H20" i="53"/>
  <c r="N11" i="53"/>
  <c r="P51" i="53"/>
  <c r="T36" i="53"/>
  <c r="D53" i="53"/>
  <c r="E48" i="53"/>
  <c r="R44" i="53"/>
  <c r="M21" i="53"/>
  <c r="T23" i="53"/>
  <c r="Q55" i="53"/>
  <c r="K51" i="53"/>
  <c r="M23" i="53"/>
  <c r="O49" i="53"/>
  <c r="Q51" i="53"/>
  <c r="I10" i="53"/>
  <c r="M22" i="53"/>
  <c r="D23" i="53"/>
  <c r="H22" i="53"/>
  <c r="M16" i="53"/>
  <c r="T31" i="53"/>
  <c r="S48" i="53"/>
  <c r="Q23" i="53"/>
  <c r="S55" i="53"/>
  <c r="T54" i="53"/>
  <c r="S16" i="53"/>
  <c r="R37" i="53"/>
  <c r="M33" i="53"/>
  <c r="G56" i="53"/>
  <c r="M12" i="53"/>
  <c r="S45" i="53"/>
  <c r="N31" i="53"/>
  <c r="L36" i="53"/>
  <c r="P19" i="53"/>
  <c r="J43" i="53"/>
  <c r="O11" i="53"/>
  <c r="F43" i="53"/>
  <c r="N33" i="53"/>
  <c r="O44" i="53"/>
  <c r="T47" i="53"/>
  <c r="N7" i="53"/>
  <c r="O38" i="53"/>
  <c r="S56" i="53"/>
  <c r="D54" i="53"/>
  <c r="Q37" i="53"/>
  <c r="F36" i="53"/>
  <c r="N57" i="53"/>
  <c r="L47" i="53"/>
  <c r="L54" i="53"/>
  <c r="O16" i="53"/>
  <c r="T20" i="53"/>
  <c r="H38" i="53"/>
  <c r="R16" i="53"/>
  <c r="H40" i="53"/>
  <c r="O30" i="53"/>
  <c r="K31" i="53"/>
  <c r="O21" i="53"/>
  <c r="N32" i="53"/>
  <c r="Q56" i="53"/>
  <c r="G57" i="53"/>
  <c r="D55" i="53"/>
  <c r="F34" i="53"/>
  <c r="J33" i="53"/>
  <c r="P52" i="53"/>
  <c r="E10" i="53"/>
  <c r="L18" i="53"/>
  <c r="R53" i="53"/>
  <c r="M38" i="53"/>
  <c r="S24" i="53"/>
  <c r="H21" i="53"/>
  <c r="Q50" i="53"/>
  <c r="T34" i="53"/>
  <c r="K12" i="53"/>
  <c r="D15" i="53"/>
  <c r="R23" i="53"/>
  <c r="I51" i="53"/>
  <c r="L23" i="53"/>
  <c r="T51" i="53"/>
  <c r="E21" i="53"/>
  <c r="G32" i="53"/>
  <c r="Q31" i="53"/>
  <c r="G51" i="53"/>
  <c r="G42" i="53"/>
  <c r="Q18" i="53"/>
  <c r="H12" i="53"/>
  <c r="H16" i="53"/>
  <c r="E13" i="53"/>
  <c r="M41" i="53"/>
  <c r="F7" i="53"/>
  <c r="S52" i="53"/>
  <c r="R21" i="53"/>
  <c r="G14" i="53"/>
  <c r="O51" i="53"/>
  <c r="S49" i="53"/>
  <c r="K41" i="53"/>
  <c r="N30" i="53"/>
  <c r="K40" i="53"/>
  <c r="L14" i="53"/>
  <c r="P47" i="53"/>
  <c r="O7" i="53"/>
  <c r="I7" i="53"/>
  <c r="E15" i="53"/>
  <c r="F56" i="53"/>
  <c r="N23" i="53"/>
  <c r="K38" i="53"/>
  <c r="R57" i="53"/>
  <c r="E38" i="53"/>
  <c r="F55" i="53"/>
  <c r="M53" i="53"/>
  <c r="R32" i="53"/>
  <c r="N51" i="53"/>
  <c r="I20" i="53"/>
  <c r="E54" i="53"/>
  <c r="I57" i="53"/>
  <c r="J16" i="53"/>
  <c r="P57" i="53"/>
  <c r="S40" i="53"/>
  <c r="F42" i="53"/>
  <c r="L30" i="53"/>
  <c r="L38" i="53"/>
  <c r="R20" i="53"/>
  <c r="M11" i="53"/>
  <c r="F53" i="53"/>
  <c r="T49" i="53"/>
  <c r="P10" i="53"/>
  <c r="M36" i="53"/>
  <c r="N41" i="53"/>
  <c r="S50" i="53"/>
  <c r="R50" i="53"/>
  <c r="F24" i="53"/>
  <c r="P22" i="53"/>
  <c r="E12" i="53"/>
  <c r="S53" i="53"/>
  <c r="S32" i="53"/>
  <c r="J56" i="53"/>
  <c r="T19" i="53"/>
  <c r="I49" i="53"/>
  <c r="F38" i="53"/>
  <c r="M13" i="53"/>
  <c r="J12" i="53"/>
  <c r="E31" i="53"/>
  <c r="G55" i="53"/>
  <c r="E16" i="53"/>
  <c r="L51" i="53"/>
  <c r="M57" i="53"/>
  <c r="H53" i="53"/>
  <c r="O18" i="53"/>
  <c r="K21" i="53"/>
  <c r="G11" i="53"/>
  <c r="S54" i="53"/>
  <c r="I36" i="53"/>
  <c r="P42" i="53"/>
  <c r="H33" i="53"/>
  <c r="D22" i="53"/>
  <c r="K53" i="53"/>
  <c r="O20" i="53"/>
  <c r="E42" i="53"/>
  <c r="P46" i="53"/>
  <c r="R54" i="53"/>
  <c r="D32" i="53"/>
  <c r="K56" i="53"/>
  <c r="K57" i="53"/>
  <c r="M7" i="53"/>
  <c r="G54" i="53"/>
  <c r="O19" i="53"/>
  <c r="R49" i="53"/>
  <c r="L7" i="53"/>
  <c r="N12" i="53"/>
  <c r="P37" i="53"/>
  <c r="N53" i="53"/>
  <c r="F45" i="53"/>
  <c r="R13" i="53"/>
  <c r="K54" i="53"/>
  <c r="F21" i="53"/>
  <c r="F30" i="53"/>
  <c r="M14" i="53"/>
  <c r="T43" i="53"/>
  <c r="Q36" i="53"/>
  <c r="D42" i="53"/>
  <c r="M31" i="53"/>
  <c r="K48" i="53"/>
  <c r="D49" i="53"/>
  <c r="T50" i="53"/>
  <c r="O57" i="53"/>
  <c r="E23" i="53"/>
  <c r="H10" i="53"/>
  <c r="E33" i="53"/>
  <c r="P32" i="53"/>
  <c r="R40" i="53"/>
  <c r="M52" i="53"/>
  <c r="F51" i="53"/>
  <c r="R38" i="53"/>
  <c r="N19" i="53"/>
  <c r="F19" i="53"/>
  <c r="I14" i="53"/>
  <c r="R41" i="53"/>
  <c r="N43" i="53"/>
  <c r="S12" i="53"/>
  <c r="S47" i="53"/>
  <c r="T22" i="53"/>
  <c r="H44" i="53"/>
  <c r="I40" i="53"/>
  <c r="G45" i="53"/>
  <c r="M24" i="53"/>
  <c r="E37" i="53"/>
  <c r="F49" i="53"/>
  <c r="F40" i="53"/>
  <c r="Q45" i="53"/>
  <c r="P7" i="53"/>
  <c r="I54" i="53"/>
  <c r="P24" i="53"/>
  <c r="T48" i="53"/>
  <c r="N48" i="53"/>
  <c r="I48" i="53"/>
  <c r="K33" i="53"/>
  <c r="Q21" i="53"/>
  <c r="J37" i="53"/>
  <c r="S34" i="53"/>
  <c r="L34" i="53"/>
  <c r="P45" i="53"/>
  <c r="O52" i="53"/>
  <c r="R36" i="53"/>
  <c r="O23" i="53"/>
  <c r="R14" i="53"/>
  <c r="S14" i="53"/>
  <c r="K20" i="53"/>
  <c r="D13" i="53"/>
  <c r="I46" i="53"/>
  <c r="O14" i="53"/>
  <c r="I44" i="53"/>
  <c r="G34" i="53"/>
  <c r="S22" i="53"/>
  <c r="N42" i="53"/>
  <c r="G47" i="53"/>
  <c r="R34" i="53"/>
  <c r="J24" i="53"/>
  <c r="J19" i="53"/>
  <c r="D44" i="53"/>
  <c r="N54" i="53"/>
  <c r="N34" i="53"/>
  <c r="J46" i="53"/>
  <c r="S42" i="53"/>
  <c r="M55" i="53"/>
  <c r="R45" i="53"/>
  <c r="D48" i="53"/>
  <c r="J23" i="53"/>
  <c r="M47" i="53"/>
  <c r="S11" i="53"/>
  <c r="E18" i="53"/>
  <c r="K13" i="53"/>
  <c r="P50" i="53"/>
  <c r="I16" i="53"/>
  <c r="F41" i="53"/>
  <c r="O48" i="53"/>
  <c r="T42" i="53"/>
  <c r="I22" i="53"/>
  <c r="N20" i="53"/>
  <c r="J45" i="53"/>
  <c r="K50" i="53"/>
  <c r="I15" i="53"/>
  <c r="H45" i="53"/>
  <c r="N21" i="53"/>
  <c r="Q44" i="53"/>
  <c r="H18" i="53"/>
  <c r="J57" i="53"/>
  <c r="I37" i="53"/>
  <c r="O34" i="53"/>
  <c r="S19" i="53"/>
  <c r="S36" i="53"/>
  <c r="S7" i="53"/>
  <c r="H56" i="53"/>
  <c r="J11" i="53"/>
  <c r="N18" i="53"/>
  <c r="N45" i="53"/>
  <c r="Q38" i="53"/>
  <c r="G18" i="53"/>
  <c r="L46" i="53"/>
  <c r="P18" i="53"/>
  <c r="R31" i="53"/>
  <c r="M42" i="53"/>
  <c r="S41" i="53"/>
  <c r="N38" i="53"/>
  <c r="T56" i="53"/>
  <c r="L40" i="53"/>
  <c r="H57" i="53"/>
  <c r="O47" i="53"/>
  <c r="H24" i="53"/>
  <c r="P38" i="53"/>
  <c r="N52" i="53"/>
  <c r="P36" i="53"/>
  <c r="D46" i="53"/>
  <c r="M32" i="53"/>
  <c r="H13" i="53"/>
  <c r="K19" i="53"/>
  <c r="O40" i="53"/>
  <c r="F15" i="53"/>
  <c r="E32" i="53"/>
  <c r="L43" i="53"/>
  <c r="P53" i="53"/>
  <c r="H49" i="53"/>
  <c r="J50" i="53"/>
  <c r="K42" i="53"/>
  <c r="O53" i="53"/>
  <c r="Q43" i="53"/>
  <c r="N10" i="53"/>
  <c r="K11" i="53"/>
  <c r="O13" i="53"/>
  <c r="T21" i="53"/>
  <c r="I30" i="53"/>
  <c r="F54" i="53"/>
  <c r="N50" i="53"/>
  <c r="E34" i="53"/>
  <c r="H34" i="53"/>
  <c r="J22" i="53"/>
  <c r="J34" i="53"/>
  <c r="E11" i="53"/>
  <c r="P13" i="53"/>
  <c r="P31" i="53"/>
  <c r="F47" i="53"/>
  <c r="L42" i="53"/>
  <c r="K44" i="53"/>
  <c r="S30" i="53"/>
  <c r="N15" i="53"/>
  <c r="M30" i="53"/>
  <c r="L56" i="53"/>
  <c r="T24" i="53"/>
  <c r="T57" i="53"/>
  <c r="G10" i="53"/>
  <c r="J7" i="53"/>
  <c r="E22" i="53"/>
  <c r="R48" i="53"/>
  <c r="M46" i="53"/>
  <c r="D20" i="53"/>
  <c r="M45" i="53"/>
  <c r="G15" i="53"/>
  <c r="G38" i="53"/>
  <c r="L24" i="53"/>
  <c r="P48" i="53"/>
  <c r="R55" i="53"/>
  <c r="I38" i="53"/>
  <c r="G50" i="53"/>
  <c r="T30" i="53"/>
  <c r="P12" i="53"/>
  <c r="L45" i="53"/>
  <c r="G12" i="53"/>
  <c r="K18" i="53"/>
  <c r="M50" i="53"/>
  <c r="O45" i="53"/>
  <c r="R33" i="53"/>
  <c r="O41" i="53"/>
  <c r="K7" i="53"/>
  <c r="P15" i="53"/>
  <c r="L50" i="53"/>
  <c r="Q20" i="53"/>
  <c r="T41" i="53"/>
  <c r="G52" i="53"/>
  <c r="L55" i="53"/>
  <c r="T55" i="53"/>
  <c r="F12" i="53"/>
  <c r="H54" i="53"/>
  <c r="P34" i="53"/>
  <c r="J53" i="53"/>
  <c r="N49" i="53"/>
  <c r="D52" i="53"/>
  <c r="M19" i="53"/>
  <c r="R19" i="53"/>
  <c r="O46" i="53"/>
  <c r="E36" i="53"/>
  <c r="I34" i="53"/>
  <c r="Q41" i="53"/>
  <c r="D31" i="53"/>
  <c r="H14" i="53"/>
  <c r="R15" i="53"/>
  <c r="F18" i="53"/>
  <c r="J44" i="53"/>
  <c r="Q15" i="53"/>
  <c r="D24" i="53"/>
  <c r="T53" i="53"/>
  <c r="I12" i="53"/>
  <c r="J40" i="53"/>
  <c r="H19" i="53"/>
  <c r="H42" i="53"/>
  <c r="E57" i="53"/>
  <c r="O42" i="53"/>
  <c r="H50" i="53"/>
  <c r="P40" i="53"/>
  <c r="M34" i="53"/>
  <c r="E51" i="53"/>
  <c r="G7" i="53"/>
  <c r="E55" i="53"/>
  <c r="D37" i="53"/>
  <c r="I50" i="53"/>
  <c r="M20" i="53"/>
  <c r="D36" i="53"/>
  <c r="D57" i="53"/>
  <c r="Q48" i="53"/>
  <c r="I41" i="53"/>
  <c r="O22" i="53"/>
  <c r="M56" i="53"/>
  <c r="G36" i="53"/>
  <c r="R11" i="53"/>
  <c r="F37" i="53"/>
  <c r="N46" i="53"/>
  <c r="Q22" i="53"/>
  <c r="H43" i="53"/>
  <c r="P30" i="53"/>
  <c r="K37" i="53"/>
  <c r="P23" i="53"/>
  <c r="T10" i="53"/>
  <c r="S20" i="53"/>
  <c r="J15" i="53"/>
  <c r="O56" i="53"/>
  <c r="Q49" i="53"/>
  <c r="G21" i="53"/>
  <c r="I18" i="53"/>
  <c r="P43" i="53"/>
  <c r="P33" i="53"/>
  <c r="P11" i="53"/>
  <c r="J10" i="53"/>
  <c r="F13" i="53"/>
  <c r="H52" i="53"/>
  <c r="G24" i="53"/>
  <c r="Q24" i="53"/>
  <c r="E45" i="53"/>
  <c r="R56" i="53"/>
  <c r="J18" i="53"/>
  <c r="L20" i="53"/>
  <c r="L13" i="53"/>
  <c r="J55" i="53"/>
  <c r="I53" i="53"/>
  <c r="N37" i="53"/>
  <c r="Q46" i="53"/>
  <c r="H32" i="53"/>
  <c r="F32" i="53"/>
  <c r="H51" i="53"/>
  <c r="G46" i="53"/>
  <c r="J49" i="53"/>
  <c r="T15" i="53"/>
  <c r="J51" i="53"/>
  <c r="T18" i="53"/>
  <c r="G23" i="53"/>
  <c r="H30" i="53"/>
  <c r="L13" i="52" l="1"/>
  <c r="N16" i="52"/>
  <c r="O16" i="52"/>
  <c r="O18" i="52"/>
  <c r="F16" i="52"/>
  <c r="S16" i="52"/>
  <c r="G16" i="52"/>
  <c r="J13" i="52"/>
  <c r="F35" i="53"/>
  <c r="F14" i="52" s="1"/>
  <c r="O17" i="52"/>
  <c r="R7" i="52"/>
  <c r="O29" i="53"/>
  <c r="O12" i="52" s="1"/>
  <c r="H7" i="52"/>
  <c r="I11" i="52"/>
  <c r="N17" i="53"/>
  <c r="N10" i="52" s="1"/>
  <c r="I29" i="53"/>
  <c r="I12" i="52" s="1"/>
  <c r="D39" i="53"/>
  <c r="D15" i="52" s="1"/>
  <c r="S35" i="53"/>
  <c r="S14" i="52" s="1"/>
  <c r="P17" i="52"/>
  <c r="S8" i="53"/>
  <c r="E7" i="52"/>
  <c r="K17" i="52"/>
  <c r="R39" i="53"/>
  <c r="R15" i="52" s="1"/>
  <c r="J39" i="53"/>
  <c r="J15" i="52" s="1"/>
  <c r="G35" i="53"/>
  <c r="G14" i="52" s="1"/>
  <c r="T13" i="52"/>
  <c r="N11" i="52"/>
  <c r="L11" i="52"/>
  <c r="T35" i="53"/>
  <c r="T14" i="52" s="1"/>
  <c r="G29" i="53"/>
  <c r="G12" i="52" s="1"/>
  <c r="K29" i="53"/>
  <c r="K12" i="52" s="1"/>
  <c r="D13" i="52"/>
  <c r="D17" i="52"/>
  <c r="S39" i="53"/>
  <c r="S15" i="52" s="1"/>
  <c r="H39" i="53"/>
  <c r="H15" i="52" s="1"/>
  <c r="J18" i="52"/>
  <c r="I35" i="53"/>
  <c r="I14" i="52" s="1"/>
  <c r="R13" i="52"/>
  <c r="N8" i="53"/>
  <c r="M8" i="53"/>
  <c r="T11" i="52"/>
  <c r="R17" i="53"/>
  <c r="R10" i="52" s="1"/>
  <c r="T39" i="53"/>
  <c r="T15" i="52" s="1"/>
  <c r="P35" i="53"/>
  <c r="P14" i="52" s="1"/>
  <c r="D16" i="52"/>
  <c r="J8" i="53"/>
  <c r="D17" i="53"/>
  <c r="D10" i="52" s="1"/>
  <c r="M16" i="52"/>
  <c r="I16" i="52"/>
  <c r="P13" i="52"/>
  <c r="L17" i="52"/>
  <c r="H8" i="53"/>
  <c r="E29" i="53"/>
  <c r="E12" i="52" s="1"/>
  <c r="R18" i="52"/>
  <c r="T8" i="53"/>
  <c r="J35" i="53"/>
  <c r="J14" i="52" s="1"/>
  <c r="K17" i="53"/>
  <c r="K10" i="52" s="1"/>
  <c r="N13" i="52"/>
  <c r="F39" i="53"/>
  <c r="F15" i="52" s="1"/>
  <c r="H17" i="53"/>
  <c r="H10" i="52" s="1"/>
  <c r="G7" i="52"/>
  <c r="Q35" i="53"/>
  <c r="Q14" i="52" s="1"/>
  <c r="P39" i="53"/>
  <c r="P15" i="52" s="1"/>
  <c r="N29" i="53"/>
  <c r="N12" i="52" s="1"/>
  <c r="H18" i="52"/>
  <c r="F11" i="52"/>
  <c r="Q39" i="53"/>
  <c r="Q15" i="52" s="1"/>
  <c r="T16" i="52"/>
  <c r="S17" i="53"/>
  <c r="S10" i="52" s="1"/>
  <c r="K7" i="52"/>
  <c r="H29" i="53"/>
  <c r="H12" i="52" s="1"/>
  <c r="F17" i="53"/>
  <c r="F10" i="52" s="1"/>
  <c r="E39" i="53"/>
  <c r="E15" i="52" s="1"/>
  <c r="P8" i="53"/>
  <c r="P18" i="52"/>
  <c r="R29" i="53"/>
  <c r="R12" i="52" s="1"/>
  <c r="P11" i="52"/>
  <c r="H11" i="52"/>
  <c r="T17" i="52"/>
  <c r="S29" i="53"/>
  <c r="S12" i="52" s="1"/>
  <c r="G18" i="52"/>
  <c r="J7" i="52"/>
  <c r="D8" i="53"/>
  <c r="N17" i="52"/>
  <c r="Q13" i="52"/>
  <c r="S7" i="52"/>
  <c r="M17" i="53"/>
  <c r="M10" i="52" s="1"/>
  <c r="R11" i="52"/>
  <c r="F8" i="53"/>
  <c r="G13" i="52"/>
  <c r="M18" i="52"/>
  <c r="M11" i="52"/>
  <c r="G8" i="53"/>
  <c r="L35" i="53"/>
  <c r="L14" i="52" s="1"/>
  <c r="G39" i="53"/>
  <c r="G15" i="52" s="1"/>
  <c r="M29" i="53"/>
  <c r="M12" i="52" s="1"/>
  <c r="T7" i="52"/>
  <c r="I39" i="53"/>
  <c r="I15" i="52" s="1"/>
  <c r="D7" i="52"/>
  <c r="H16" i="52"/>
  <c r="S18" i="52"/>
  <c r="R8" i="53"/>
  <c r="I17" i="53"/>
  <c r="I10" i="52" s="1"/>
  <c r="Q17" i="53"/>
  <c r="Q10" i="52" s="1"/>
  <c r="O7" i="52"/>
  <c r="O9" i="52" s="1"/>
  <c r="P17" i="53"/>
  <c r="P10" i="52" s="1"/>
  <c r="I13" i="52"/>
  <c r="J29" i="53"/>
  <c r="J12" i="52" s="1"/>
  <c r="O11" i="52"/>
  <c r="H35" i="53"/>
  <c r="H14" i="52" s="1"/>
  <c r="G17" i="52"/>
  <c r="L29" i="53"/>
  <c r="L12" i="52" s="1"/>
  <c r="L39" i="53"/>
  <c r="L15" i="52" s="1"/>
  <c r="L8" i="53"/>
  <c r="I7" i="52"/>
  <c r="K8" i="53"/>
  <c r="J16" i="52"/>
  <c r="L17" i="53"/>
  <c r="L10" i="52" s="1"/>
  <c r="O35" i="53"/>
  <c r="O14" i="52" s="1"/>
  <c r="E18" i="52"/>
  <c r="Q11" i="52"/>
  <c r="M39" i="53"/>
  <c r="M15" i="52" s="1"/>
  <c r="N7" i="52"/>
  <c r="G17" i="53"/>
  <c r="G10" i="52" s="1"/>
  <c r="O17" i="53"/>
  <c r="O10" i="52" s="1"/>
  <c r="T18" i="52"/>
  <c r="K18" i="52"/>
  <c r="L18" i="52"/>
  <c r="I17" i="52"/>
  <c r="F29" i="53"/>
  <c r="F12" i="52" s="1"/>
  <c r="D35" i="53"/>
  <c r="D14" i="52" s="1"/>
  <c r="K11" i="52"/>
  <c r="O13" i="52"/>
  <c r="D29" i="53"/>
  <c r="D12" i="52" s="1"/>
  <c r="J17" i="53"/>
  <c r="J10" i="52" s="1"/>
  <c r="M17" i="52"/>
  <c r="Q29" i="53"/>
  <c r="Q12" i="52" s="1"/>
  <c r="P16" i="52"/>
  <c r="T29" i="53"/>
  <c r="T12" i="52" s="1"/>
  <c r="G11" i="52"/>
  <c r="F7" i="52"/>
  <c r="N39" i="53"/>
  <c r="N15" i="52" s="1"/>
  <c r="Q8" i="53"/>
  <c r="Q7" i="52"/>
  <c r="S17" i="52"/>
  <c r="T17" i="53"/>
  <c r="T10" i="52" s="1"/>
  <c r="D18" i="52"/>
  <c r="E16" i="52"/>
  <c r="O39" i="53"/>
  <c r="O15" i="52" s="1"/>
  <c r="E13" i="52"/>
  <c r="N18" i="52"/>
  <c r="M35" i="53"/>
  <c r="M14" i="52" s="1"/>
  <c r="D11" i="52"/>
  <c r="L16" i="52"/>
  <c r="H13" i="52"/>
  <c r="Q17" i="52"/>
  <c r="M7" i="52"/>
  <c r="E17" i="52"/>
  <c r="F17" i="52"/>
  <c r="S11" i="52"/>
  <c r="F13" i="52"/>
  <c r="Q16" i="52"/>
  <c r="O8" i="53"/>
  <c r="O8" i="52" s="1"/>
  <c r="E11" i="52"/>
  <c r="I18" i="52"/>
  <c r="R17" i="52"/>
  <c r="P7" i="52"/>
  <c r="N35" i="53"/>
  <c r="N14" i="52" s="1"/>
  <c r="E8" i="53"/>
  <c r="K13" i="52"/>
  <c r="R35" i="53"/>
  <c r="R14" i="52" s="1"/>
  <c r="K35" i="53"/>
  <c r="K14" i="52" s="1"/>
  <c r="P29" i="53"/>
  <c r="P12" i="52" s="1"/>
  <c r="K16" i="52"/>
  <c r="I8" i="53"/>
  <c r="J17" i="52"/>
  <c r="L7" i="52"/>
  <c r="M13" i="52"/>
  <c r="R16" i="52"/>
  <c r="K39" i="53"/>
  <c r="K15" i="52" s="1"/>
  <c r="E35" i="53"/>
  <c r="E14" i="52" s="1"/>
  <c r="H17" i="52"/>
  <c r="F18" i="52"/>
  <c r="J11" i="52"/>
  <c r="E17" i="53"/>
  <c r="E10" i="52" s="1"/>
  <c r="S13" i="52"/>
  <c r="Q18" i="52"/>
  <c r="G8" i="52" l="1"/>
  <c r="G9" i="52" s="1"/>
  <c r="G19" i="52" s="1"/>
  <c r="G9" i="53"/>
  <c r="G58" i="53" s="1"/>
  <c r="E9" i="53"/>
  <c r="E58" i="53" s="1"/>
  <c r="E8" i="52"/>
  <c r="E9" i="52" s="1"/>
  <c r="E19" i="52" s="1"/>
  <c r="M8" i="52"/>
  <c r="M9" i="52" s="1"/>
  <c r="M19" i="52" s="1"/>
  <c r="M9" i="53"/>
  <c r="M58" i="53" s="1"/>
  <c r="I9" i="53"/>
  <c r="I58" i="53" s="1"/>
  <c r="I8" i="52"/>
  <c r="I9" i="52" s="1"/>
  <c r="I19" i="52" s="1"/>
  <c r="Q9" i="53"/>
  <c r="Q58" i="53" s="1"/>
  <c r="Q8" i="52"/>
  <c r="Q9" i="52" s="1"/>
  <c r="Q19" i="52" s="1"/>
  <c r="T9" i="53"/>
  <c r="T58" i="53" s="1"/>
  <c r="T8" i="52"/>
  <c r="T9" i="52" s="1"/>
  <c r="T19" i="52" s="1"/>
  <c r="N8" i="52"/>
  <c r="N9" i="52" s="1"/>
  <c r="N19" i="52" s="1"/>
  <c r="N9" i="53"/>
  <c r="N58" i="53" s="1"/>
  <c r="R8" i="52"/>
  <c r="R9" i="52" s="1"/>
  <c r="R19" i="52" s="1"/>
  <c r="R9" i="53"/>
  <c r="R58" i="53" s="1"/>
  <c r="J9" i="53"/>
  <c r="J58" i="53" s="1"/>
  <c r="J8" i="52"/>
  <c r="J9" i="52" s="1"/>
  <c r="J19" i="52" s="1"/>
  <c r="K8" i="52"/>
  <c r="K9" i="52" s="1"/>
  <c r="K19" i="52" s="1"/>
  <c r="K9" i="53"/>
  <c r="K58" i="53" s="1"/>
  <c r="H9" i="53"/>
  <c r="H58" i="53" s="1"/>
  <c r="H8" i="52"/>
  <c r="H9" i="52" s="1"/>
  <c r="H19" i="52" s="1"/>
  <c r="O19" i="52"/>
  <c r="O9" i="53"/>
  <c r="O58" i="53" s="1"/>
  <c r="D8" i="52"/>
  <c r="D9" i="53"/>
  <c r="D58" i="53" s="1"/>
  <c r="S8" i="52"/>
  <c r="S9" i="52" s="1"/>
  <c r="S19" i="52" s="1"/>
  <c r="S9" i="53"/>
  <c r="S58" i="53" s="1"/>
  <c r="L9" i="53"/>
  <c r="L58" i="53" s="1"/>
  <c r="L8" i="52"/>
  <c r="L9" i="52" s="1"/>
  <c r="L19" i="52" s="1"/>
  <c r="P8" i="52"/>
  <c r="P9" i="52" s="1"/>
  <c r="P19" i="52" s="1"/>
  <c r="P9" i="53"/>
  <c r="P58" i="53" s="1"/>
  <c r="F8" i="52"/>
  <c r="F9" i="52" s="1"/>
  <c r="F19" i="52" s="1"/>
  <c r="F9" i="53"/>
  <c r="F58" i="53" s="1"/>
  <c r="C9" i="52" l="1"/>
  <c r="D9" i="52"/>
  <c r="D19" i="52" s="1"/>
</calcChain>
</file>

<file path=xl/comments1.xml><?xml version="1.0" encoding="utf-8"?>
<comments xmlns="http://schemas.openxmlformats.org/spreadsheetml/2006/main">
  <authors>
    <author>Lisa Cowan</author>
  </authors>
  <commentList>
    <comment ref="O9" authorId="0" shapeId="0">
      <text>
        <r>
          <rPr>
            <b/>
            <sz val="9"/>
            <color indexed="81"/>
            <rFont val="Tahoma"/>
            <family val="2"/>
          </rPr>
          <t>Lisa Cowan:</t>
        </r>
        <r>
          <rPr>
            <sz val="9"/>
            <color indexed="81"/>
            <rFont val="Tahoma"/>
            <family val="2"/>
          </rPr>
          <t xml:space="preserve">
Formula manually changed, due to zero state ed. special purpose funding</t>
        </r>
      </text>
    </comment>
  </commentList>
</comments>
</file>

<file path=xl/comments2.xml><?xml version="1.0" encoding="utf-8"?>
<comments xmlns="http://schemas.openxmlformats.org/spreadsheetml/2006/main">
  <authors>
    <author>Lisa Cowan</author>
  </authors>
  <commentList>
    <comment ref="O7" authorId="0" shapeId="0">
      <text>
        <r>
          <rPr>
            <b/>
            <sz val="9"/>
            <color indexed="81"/>
            <rFont val="Tahoma"/>
            <family val="2"/>
          </rPr>
          <t>Lisa Cowan:</t>
        </r>
        <r>
          <rPr>
            <sz val="9"/>
            <color indexed="81"/>
            <rFont val="Tahoma"/>
            <family val="2"/>
          </rPr>
          <t xml:space="preserve">
Formula manually changed, due to zero state ed. special purpose funding</t>
        </r>
      </text>
    </comment>
  </commentList>
</comments>
</file>

<file path=xl/comments3.xml><?xml version="1.0" encoding="utf-8"?>
<comments xmlns="http://schemas.openxmlformats.org/spreadsheetml/2006/main">
  <authors>
    <author>jmarks</author>
  </authors>
  <commentList>
    <comment ref="B117" authorId="0" shapeId="0">
      <text>
        <r>
          <rPr>
            <b/>
            <sz val="10"/>
            <color indexed="81"/>
            <rFont val="Tahoma"/>
            <family val="2"/>
          </rPr>
          <t>jmarks:</t>
        </r>
        <r>
          <rPr>
            <sz val="10"/>
            <color indexed="81"/>
            <rFont val="Tahoma"/>
            <family val="2"/>
          </rPr>
          <t xml:space="preserve">
Must be range valued to sort right. But don't. See note above.</t>
        </r>
      </text>
    </comment>
  </commentList>
</comments>
</file>

<file path=xl/comments4.xml><?xml version="1.0" encoding="utf-8"?>
<comments xmlns="http://schemas.openxmlformats.org/spreadsheetml/2006/main">
  <authors>
    <author>JLM</author>
    <author>Cagle, Susan</author>
    <author>Alicia A. Diaz</author>
    <author>jmarks</author>
    <author xml:space="preserve"> </author>
    <author>johnd</author>
    <author>ashleyp</author>
    <author>claudiag</author>
    <author>cwise</author>
    <author>aphillips</author>
    <author>FLDOE</author>
    <author>mloverde</author>
    <author>Pat Roessler</author>
    <author>Board of Regents</author>
    <author>Kincaid, Kenneth</author>
    <author>Lee, Cynthia M.</author>
    <author>Boelscher, Scott (CPE)</author>
    <author>mevilsiz</author>
    <author>Clarke, Shauna</author>
    <author>Michael Vollmer</author>
    <author>Crystal Collins</author>
    <author>adiaz</author>
    <author>..</author>
  </authors>
  <commentList>
    <comment ref="G8" authorId="0" shapeId="0">
      <text>
        <r>
          <rPr>
            <b/>
            <sz val="10"/>
            <color indexed="81"/>
            <rFont val="Tahoma"/>
            <family val="2"/>
          </rPr>
          <t>JLM:</t>
        </r>
        <r>
          <rPr>
            <sz val="10"/>
            <color indexed="81"/>
            <rFont val="Tahoma"/>
            <family val="2"/>
          </rPr>
          <t xml:space="preserve">
Reflecting end-of-year amounts. </t>
        </r>
      </text>
    </comment>
    <comment ref="I8" authorId="0" shapeId="0">
      <text>
        <r>
          <rPr>
            <b/>
            <sz val="10"/>
            <color indexed="81"/>
            <rFont val="Tahoma"/>
            <family val="2"/>
          </rPr>
          <t>JLM:</t>
        </r>
        <r>
          <rPr>
            <sz val="10"/>
            <color indexed="81"/>
            <rFont val="Tahoma"/>
            <family val="2"/>
          </rPr>
          <t xml:space="preserve">
Reflecting end-of-year amounts. </t>
        </r>
      </text>
    </comment>
    <comment ref="K8" authorId="0" shapeId="0">
      <text>
        <r>
          <rPr>
            <b/>
            <sz val="10"/>
            <color indexed="81"/>
            <rFont val="Tahoma"/>
            <family val="2"/>
          </rPr>
          <t>JLM:</t>
        </r>
        <r>
          <rPr>
            <sz val="10"/>
            <color indexed="81"/>
            <rFont val="Tahoma"/>
            <family val="2"/>
          </rPr>
          <t xml:space="preserve">
Reflecting end-of-year amounts. </t>
        </r>
      </text>
    </comment>
    <comment ref="M8" authorId="0" shapeId="0">
      <text>
        <r>
          <rPr>
            <b/>
            <sz val="10"/>
            <color indexed="81"/>
            <rFont val="Tahoma"/>
            <family val="2"/>
          </rPr>
          <t>JLM:</t>
        </r>
        <r>
          <rPr>
            <sz val="10"/>
            <color indexed="81"/>
            <rFont val="Tahoma"/>
            <family val="2"/>
          </rPr>
          <t xml:space="preserve">
Reflecting end-of-year amounts. </t>
        </r>
      </text>
    </comment>
    <comment ref="N8" authorId="0" shapeId="0">
      <text>
        <r>
          <rPr>
            <b/>
            <sz val="10"/>
            <color indexed="81"/>
            <rFont val="Tahoma"/>
            <family val="2"/>
          </rPr>
          <t>JLM:</t>
        </r>
        <r>
          <rPr>
            <sz val="10"/>
            <color indexed="81"/>
            <rFont val="Tahoma"/>
            <family val="2"/>
          </rPr>
          <t xml:space="preserve">
Reflecting end-of-year amounts. </t>
        </r>
      </text>
    </comment>
    <comment ref="U8" authorId="0" shapeId="0">
      <text>
        <r>
          <rPr>
            <b/>
            <sz val="10"/>
            <color indexed="81"/>
            <rFont val="Tahoma"/>
            <family val="2"/>
          </rPr>
          <t>JLM:</t>
        </r>
        <r>
          <rPr>
            <sz val="10"/>
            <color indexed="81"/>
            <rFont val="Tahoma"/>
            <family val="2"/>
          </rPr>
          <t xml:space="preserve">
Reflecting end-of-year amounts. </t>
        </r>
      </text>
    </comment>
    <comment ref="W8" authorId="0" shapeId="0">
      <text>
        <r>
          <rPr>
            <b/>
            <sz val="10"/>
            <color indexed="81"/>
            <rFont val="Tahoma"/>
            <family val="2"/>
          </rPr>
          <t>JLM:</t>
        </r>
        <r>
          <rPr>
            <sz val="10"/>
            <color indexed="81"/>
            <rFont val="Tahoma"/>
            <family val="2"/>
          </rPr>
          <t xml:space="preserve">
Reflecting end-of-year amounts. </t>
        </r>
      </text>
    </comment>
    <comment ref="X8" authorId="0" shapeId="0">
      <text>
        <r>
          <rPr>
            <b/>
            <sz val="10"/>
            <color indexed="81"/>
            <rFont val="Tahoma"/>
            <family val="2"/>
          </rPr>
          <t>JLM:</t>
        </r>
        <r>
          <rPr>
            <sz val="10"/>
            <color indexed="81"/>
            <rFont val="Tahoma"/>
            <family val="2"/>
          </rPr>
          <t xml:space="preserve">
Reflecting end-of-year amounts. </t>
        </r>
      </text>
    </comment>
    <comment ref="AC8" authorId="0" shapeId="0">
      <text>
        <r>
          <rPr>
            <b/>
            <sz val="10"/>
            <color indexed="81"/>
            <rFont val="Tahoma"/>
            <family val="2"/>
          </rPr>
          <t>JLM:</t>
        </r>
        <r>
          <rPr>
            <sz val="10"/>
            <color indexed="81"/>
            <rFont val="Tahoma"/>
            <family val="2"/>
          </rPr>
          <t xml:space="preserve">
Reflecting end-of-year amounts. </t>
        </r>
      </text>
    </comment>
    <comment ref="AE8" authorId="0" shapeId="0">
      <text>
        <r>
          <rPr>
            <b/>
            <sz val="10"/>
            <color indexed="81"/>
            <rFont val="Tahoma"/>
            <family val="2"/>
          </rPr>
          <t>JLM:</t>
        </r>
        <r>
          <rPr>
            <sz val="10"/>
            <color indexed="81"/>
            <rFont val="Tahoma"/>
            <family val="2"/>
          </rPr>
          <t xml:space="preserve">
Reflecting end-of-year amounts. </t>
        </r>
      </text>
    </comment>
    <comment ref="AF8" authorId="0" shapeId="0">
      <text>
        <r>
          <rPr>
            <b/>
            <sz val="10"/>
            <color indexed="81"/>
            <rFont val="Tahoma"/>
            <family val="2"/>
          </rPr>
          <t>JLM:</t>
        </r>
        <r>
          <rPr>
            <sz val="10"/>
            <color indexed="81"/>
            <rFont val="Tahoma"/>
            <family val="2"/>
          </rPr>
          <t xml:space="preserve">
Reflecting end-of-year amounts. </t>
        </r>
      </text>
    </comment>
    <comment ref="C33" authorId="1" shapeId="0">
      <text>
        <r>
          <rPr>
            <b/>
            <sz val="9"/>
            <color indexed="81"/>
            <rFont val="Tahoma"/>
            <family val="2"/>
          </rPr>
          <t>Cagle, Susan:</t>
        </r>
        <r>
          <rPr>
            <sz val="9"/>
            <color indexed="81"/>
            <rFont val="Tahoma"/>
            <family val="2"/>
          </rPr>
          <t xml:space="preserve">
Line Moved</t>
        </r>
      </text>
    </comment>
    <comment ref="E95" authorId="2" shapeId="0">
      <text>
        <r>
          <rPr>
            <b/>
            <sz val="8"/>
            <color indexed="81"/>
            <rFont val="Tahoma"/>
            <family val="2"/>
          </rPr>
          <t>No Freshmen, Upper Level school - will not have data in every section.</t>
        </r>
      </text>
    </comment>
    <comment ref="E96" authorId="2" shapeId="0">
      <text>
        <r>
          <rPr>
            <b/>
            <sz val="8"/>
            <color indexed="81"/>
            <rFont val="Tahoma"/>
            <family val="2"/>
          </rPr>
          <t>No Freshmen, Upper Level school - will not have data in every section.</t>
        </r>
      </text>
    </comment>
    <comment ref="E97" authorId="2" shapeId="0">
      <text>
        <r>
          <rPr>
            <b/>
            <sz val="8"/>
            <color indexed="81"/>
            <rFont val="Tahoma"/>
            <family val="2"/>
          </rPr>
          <t>No Freshmen, Upper Level school - will not have data in every section.</t>
        </r>
      </text>
    </comment>
    <comment ref="C255" authorId="1" shapeId="0">
      <text>
        <r>
          <rPr>
            <b/>
            <sz val="9"/>
            <color indexed="81"/>
            <rFont val="Tahoma"/>
            <family val="2"/>
          </rPr>
          <t>Cagle, Susan:</t>
        </r>
        <r>
          <rPr>
            <sz val="9"/>
            <color indexed="81"/>
            <rFont val="Tahoma"/>
            <family val="2"/>
          </rPr>
          <t xml:space="preserve">
Moved from under Shelton State CC
</t>
        </r>
      </text>
    </comment>
    <comment ref="C278" authorId="1" shapeId="0">
      <text>
        <r>
          <rPr>
            <b/>
            <sz val="9"/>
            <color indexed="81"/>
            <rFont val="Tahoma"/>
            <family val="2"/>
          </rPr>
          <t>Cagle, Susan:</t>
        </r>
        <r>
          <rPr>
            <sz val="9"/>
            <color indexed="81"/>
            <rFont val="Tahoma"/>
            <family val="2"/>
          </rPr>
          <t xml:space="preserve">
I wasn't sure what group number this should be given.</t>
        </r>
      </text>
    </comment>
    <comment ref="C387" authorId="3" shapeId="0">
      <text>
        <r>
          <rPr>
            <b/>
            <sz val="8"/>
            <color indexed="81"/>
            <rFont val="Tahoma"/>
            <family val="2"/>
          </rPr>
          <t xml:space="preserve">jmarks: </t>
        </r>
        <r>
          <rPr>
            <sz val="8"/>
            <color indexed="81"/>
            <rFont val="Tahoma"/>
            <family val="2"/>
          </rPr>
          <t xml:space="preserve">note statewide unit code to left: reported here for comparability among land grants
</t>
        </r>
      </text>
    </comment>
    <comment ref="C388" authorId="3" shapeId="0">
      <text>
        <r>
          <rPr>
            <b/>
            <sz val="8"/>
            <color indexed="81"/>
            <rFont val="Tahoma"/>
            <family val="2"/>
          </rPr>
          <t>jmarks:</t>
        </r>
        <r>
          <rPr>
            <sz val="8"/>
            <color indexed="81"/>
            <rFont val="Tahoma"/>
            <family val="2"/>
          </rPr>
          <t xml:space="preserve"> jmarks: note statewide unit code to left: reported here for comparability among land grants
</t>
        </r>
      </text>
    </comment>
    <comment ref="C389" authorId="3" shapeId="0">
      <text>
        <r>
          <rPr>
            <b/>
            <sz val="8"/>
            <color indexed="81"/>
            <rFont val="Tahoma"/>
            <family val="2"/>
          </rPr>
          <t>jmarks:</t>
        </r>
        <r>
          <rPr>
            <sz val="8"/>
            <color indexed="81"/>
            <rFont val="Tahoma"/>
            <family val="2"/>
          </rPr>
          <t xml:space="preserve"> jmarks: note statewide unit code to left: reported here for comparability among land grants
</t>
        </r>
      </text>
    </comment>
    <comment ref="C397" authorId="4" shapeId="0">
      <text>
        <r>
          <rPr>
            <sz val="10"/>
            <color indexed="81"/>
            <rFont val="Tahoma"/>
            <family val="2"/>
          </rPr>
          <t xml:space="preserve">Institution name changed - formerly Arkansas Valley Technical Institute now reported as part of main campus.
</t>
        </r>
      </text>
    </comment>
    <comment ref="C452" authorId="5" shapeId="0">
      <text>
        <r>
          <rPr>
            <b/>
            <sz val="8"/>
            <color indexed="81"/>
            <rFont val="Tahoma"/>
            <family val="2"/>
          </rPr>
          <t>johnd:</t>
        </r>
        <r>
          <rPr>
            <sz val="8"/>
            <color indexed="81"/>
            <rFont val="Tahoma"/>
            <family val="2"/>
          </rPr>
          <t xml:space="preserve">
changed name from Dr. William M Scholl College of Podiatric Medicine</t>
        </r>
      </text>
    </comment>
    <comment ref="C455" authorId="6" shapeId="0">
      <text>
        <r>
          <rPr>
            <b/>
            <sz val="8"/>
            <color indexed="81"/>
            <rFont val="Tahoma"/>
            <family val="2"/>
          </rPr>
          <t>ashleyp:</t>
        </r>
        <r>
          <rPr>
            <sz val="8"/>
            <color indexed="81"/>
            <rFont val="Tahoma"/>
            <family val="2"/>
          </rPr>
          <t xml:space="preserve">
new institution added </t>
        </r>
      </text>
    </comment>
    <comment ref="C483" authorId="6" shapeId="0">
      <text>
        <r>
          <rPr>
            <b/>
            <sz val="8"/>
            <color indexed="81"/>
            <rFont val="Tahoma"/>
            <family val="2"/>
          </rPr>
          <t>ashleyp:</t>
        </r>
        <r>
          <rPr>
            <sz val="8"/>
            <color indexed="81"/>
            <rFont val="Tahoma"/>
            <family val="2"/>
          </rPr>
          <t xml:space="preserve">
new program
</t>
        </r>
      </text>
    </comment>
    <comment ref="C490" authorId="7" shapeId="0">
      <text>
        <r>
          <rPr>
            <b/>
            <sz val="8"/>
            <color indexed="81"/>
            <rFont val="Tahoma"/>
            <family val="2"/>
          </rPr>
          <t>claudiag:</t>
        </r>
        <r>
          <rPr>
            <sz val="8"/>
            <color indexed="81"/>
            <rFont val="Tahoma"/>
            <family val="2"/>
          </rPr>
          <t xml:space="preserve">
Name changedfrom Teacher Retraining Grants to Teacher Opportunity Program</t>
        </r>
      </text>
    </comment>
    <comment ref="G566" authorId="8" shapeId="0">
      <text>
        <r>
          <rPr>
            <b/>
            <sz val="9"/>
            <color indexed="81"/>
            <rFont val="Tahoma"/>
            <family val="2"/>
          </rPr>
          <t>cwise:</t>
        </r>
        <r>
          <rPr>
            <sz val="9"/>
            <color indexed="81"/>
            <rFont val="Tahoma"/>
            <family val="2"/>
          </rPr>
          <t xml:space="preserve">
updated previous version included allocation for Geological survey</t>
        </r>
      </text>
    </comment>
    <comment ref="M580" authorId="8" shapeId="0">
      <text>
        <r>
          <rPr>
            <b/>
            <sz val="9"/>
            <color indexed="81"/>
            <rFont val="Tahoma"/>
            <family val="2"/>
          </rPr>
          <t>cwise:</t>
        </r>
        <r>
          <rPr>
            <sz val="9"/>
            <color indexed="81"/>
            <rFont val="Tahoma"/>
            <family val="2"/>
          </rPr>
          <t xml:space="preserve">
was updated from 49,121,388</t>
        </r>
      </text>
    </comment>
    <comment ref="N580" authorId="8" shapeId="0">
      <text>
        <r>
          <rPr>
            <b/>
            <sz val="9"/>
            <color indexed="81"/>
            <rFont val="Tahoma"/>
            <family val="2"/>
          </rPr>
          <t>cwise:</t>
        </r>
        <r>
          <rPr>
            <sz val="9"/>
            <color indexed="81"/>
            <rFont val="Tahoma"/>
            <family val="2"/>
          </rPr>
          <t xml:space="preserve">
was updated from 1519800</t>
        </r>
      </text>
    </comment>
    <comment ref="C595" authorId="3" shapeId="0">
      <text>
        <r>
          <rPr>
            <b/>
            <sz val="8"/>
            <color indexed="81"/>
            <rFont val="Tahoma"/>
            <family val="2"/>
          </rPr>
          <t>jmarks:</t>
        </r>
        <r>
          <rPr>
            <sz val="8"/>
            <color indexed="81"/>
            <rFont val="Tahoma"/>
            <family val="2"/>
          </rPr>
          <t xml:space="preserve">
In DE  H.Ed. Office budget
</t>
        </r>
      </text>
    </comment>
    <comment ref="C599" authorId="9" shapeId="0">
      <text>
        <r>
          <rPr>
            <b/>
            <sz val="8"/>
            <color indexed="81"/>
            <rFont val="Tahoma"/>
            <family val="2"/>
          </rPr>
          <t xml:space="preserve">aphillips: </t>
        </r>
        <r>
          <rPr>
            <sz val="8"/>
            <color indexed="81"/>
            <rFont val="Tahoma"/>
            <family val="2"/>
          </rPr>
          <t xml:space="preserve">Delaware remits a total of $1,250,000 to private medical colleges to reserve admissions slots for DE residents.  The remainder is overhead support.
</t>
        </r>
      </text>
    </comment>
    <comment ref="C602" authorId="9" shapeId="0">
      <text>
        <r>
          <rPr>
            <b/>
            <sz val="8"/>
            <color indexed="81"/>
            <rFont val="Tahoma"/>
            <family val="2"/>
          </rPr>
          <t xml:space="preserve">aphillips: </t>
        </r>
        <r>
          <rPr>
            <sz val="8"/>
            <color indexed="81"/>
            <rFont val="Tahoma"/>
            <family val="2"/>
          </rPr>
          <t xml:space="preserve">2007-08 $75,000 remitted to Temple University to reserve admission slots for DE residents. $90,000 awarded to students for non-need based scholarships ("stipends"). $60,000 awarded to students for need-based scholarships. Temple is a public Pennsylvania university.
</t>
        </r>
      </text>
    </comment>
    <comment ref="U602" authorId="8" shapeId="0">
      <text>
        <r>
          <rPr>
            <b/>
            <sz val="9"/>
            <color indexed="81"/>
            <rFont val="Tahoma"/>
            <family val="2"/>
          </rPr>
          <t>cwise:</t>
        </r>
        <r>
          <rPr>
            <sz val="9"/>
            <color indexed="81"/>
            <rFont val="Tahoma"/>
            <family val="2"/>
          </rPr>
          <t xml:space="preserve">
updated 2015
</t>
        </r>
      </text>
    </comment>
    <comment ref="C669" authorId="3" shapeId="0">
      <text>
        <r>
          <rPr>
            <b/>
            <sz val="10"/>
            <color indexed="81"/>
            <rFont val="Tahoma"/>
            <family val="2"/>
          </rPr>
          <t>Aphillips: program being phased out</t>
        </r>
      </text>
    </comment>
    <comment ref="C683" authorId="3" shapeId="0">
      <text>
        <r>
          <rPr>
            <b/>
            <sz val="10"/>
            <color indexed="81"/>
            <rFont val="Tahoma"/>
            <family val="2"/>
          </rPr>
          <t>APhillips:</t>
        </r>
        <r>
          <rPr>
            <sz val="10"/>
            <color indexed="81"/>
            <rFont val="Tahoma"/>
            <family val="2"/>
          </rPr>
          <t xml:space="preserve">
previously Gov's Workforce Dvlpmt Grant</t>
        </r>
      </text>
    </comment>
    <comment ref="C690" authorId="3" shapeId="0">
      <text>
        <r>
          <rPr>
            <b/>
            <sz val="10"/>
            <color indexed="81"/>
            <rFont val="Tahoma"/>
            <family val="2"/>
          </rPr>
          <t>Aphillips: 
new program</t>
        </r>
      </text>
    </comment>
    <comment ref="C725" authorId="9" shapeId="0">
      <text>
        <r>
          <rPr>
            <b/>
            <sz val="8"/>
            <color indexed="81"/>
            <rFont val="Tahoma"/>
            <family val="2"/>
          </rPr>
          <t>aphillips:</t>
        </r>
        <r>
          <rPr>
            <sz val="8"/>
            <color indexed="81"/>
            <rFont val="Tahoma"/>
            <family val="2"/>
          </rPr>
          <t xml:space="preserve">
Payments are made to individuals, not institutions for course reimbursements</t>
        </r>
      </text>
    </comment>
    <comment ref="C732" authorId="9" shapeId="0">
      <text>
        <r>
          <rPr>
            <b/>
            <sz val="8"/>
            <color indexed="81"/>
            <rFont val="Tahoma"/>
            <family val="2"/>
          </rPr>
          <t>aphillips:</t>
        </r>
        <r>
          <rPr>
            <sz val="8"/>
            <color indexed="81"/>
            <rFont val="Tahoma"/>
            <family val="2"/>
          </rPr>
          <t xml:space="preserve">
Payments are made to individuals, not institutions, for application toward individual education debt.</t>
        </r>
      </text>
    </comment>
    <comment ref="C741" authorId="9" shapeId="0">
      <text>
        <r>
          <rPr>
            <b/>
            <sz val="8"/>
            <color indexed="81"/>
            <rFont val="Tahoma"/>
            <family val="2"/>
          </rPr>
          <t>aphillips:</t>
        </r>
        <r>
          <rPr>
            <sz val="8"/>
            <color indexed="81"/>
            <rFont val="Tahoma"/>
            <family val="2"/>
          </rPr>
          <t xml:space="preserve">
New scholarship program effective 2006-2007, Dental Medicine student, Temple University only.</t>
        </r>
      </text>
    </comment>
    <comment ref="C966" authorId="10" shapeId="0">
      <text>
        <r>
          <rPr>
            <b/>
            <sz val="8"/>
            <color indexed="81"/>
            <rFont val="Tahoma"/>
            <family val="2"/>
          </rPr>
          <t>FLDOE:</t>
        </r>
        <r>
          <rPr>
            <sz val="8"/>
            <color indexed="81"/>
            <rFont val="Tahoma"/>
            <family val="2"/>
          </rPr>
          <t xml:space="preserve">
Formely the Division of Community Colleges
</t>
        </r>
      </text>
    </comment>
    <comment ref="C971" authorId="11" shapeId="0">
      <text>
        <r>
          <rPr>
            <b/>
            <sz val="8"/>
            <color indexed="81"/>
            <rFont val="Tahoma"/>
            <family val="2"/>
          </rPr>
          <t>according to Susan Wright, this is the first year this has been broken out</t>
        </r>
      </text>
    </comment>
    <comment ref="C981" authorId="12" shapeId="0">
      <text>
        <r>
          <rPr>
            <b/>
            <sz val="9"/>
            <color indexed="81"/>
            <rFont val="Tahoma"/>
            <family val="2"/>
          </rPr>
          <t>Pat Roessler:</t>
        </r>
        <r>
          <rPr>
            <sz val="9"/>
            <color indexed="81"/>
            <rFont val="Tahoma"/>
            <family val="2"/>
          </rPr>
          <t xml:space="preserve">
Moved here for FY14</t>
        </r>
      </text>
    </comment>
    <comment ref="C1023" authorId="13" shapeId="0">
      <text>
        <r>
          <rPr>
            <b/>
            <sz val="8"/>
            <color indexed="81"/>
            <rFont val="Tahoma"/>
            <family val="2"/>
          </rPr>
          <t>Board of Regents:</t>
        </r>
        <r>
          <rPr>
            <sz val="8"/>
            <color indexed="81"/>
            <rFont val="Tahoma"/>
            <family val="2"/>
          </rPr>
          <t xml:space="preserve">
The Board of Regents has a Shared Services Center that is supported by the institutions</t>
        </r>
      </text>
    </comment>
    <comment ref="C1024" authorId="3" shapeId="0">
      <text>
        <r>
          <rPr>
            <sz val="10"/>
            <color indexed="81"/>
            <rFont val="Tahoma"/>
            <family val="2"/>
          </rPr>
          <t xml:space="preserve">Includes functions or positions in the System Office which directly support instruction or instruction related functions and programs at the institutions as well as for the University System in general. </t>
        </r>
      </text>
    </comment>
    <comment ref="C1027" authorId="3" shapeId="0">
      <text>
        <r>
          <rPr>
            <sz val="10"/>
            <color indexed="81"/>
            <rFont val="Tahoma"/>
            <family val="2"/>
          </rPr>
          <t>Represents the portion of the System Office which supports non-instruction functions at the System Office and the institutions.</t>
        </r>
      </text>
    </comment>
    <comment ref="C1029" authorId="3" shapeId="0">
      <text>
        <r>
          <rPr>
            <b/>
            <sz val="8"/>
            <color indexed="81"/>
            <rFont val="Tahoma"/>
            <family val="2"/>
          </rPr>
          <t>jmarks:</t>
        </r>
        <r>
          <rPr>
            <sz val="8"/>
            <color indexed="81"/>
            <rFont val="Tahoma"/>
            <family val="2"/>
          </rPr>
          <t xml:space="preserve">
adjusted for building</t>
        </r>
      </text>
    </comment>
    <comment ref="C1044" authorId="3" shapeId="0">
      <text>
        <r>
          <rPr>
            <b/>
            <sz val="8"/>
            <color indexed="81"/>
            <rFont val="Tahoma"/>
            <family val="2"/>
          </rPr>
          <t>jmarks:</t>
        </r>
        <r>
          <rPr>
            <sz val="8"/>
            <color indexed="81"/>
            <rFont val="Tahoma"/>
            <family val="2"/>
          </rPr>
          <t xml:space="preserve">
Formerly SREB contract but now not. (In Dept. Community Health: GA. Bd. for Physician Workforce budgets.)</t>
        </r>
      </text>
    </comment>
    <comment ref="V1046" authorId="12" shapeId="0">
      <text>
        <r>
          <rPr>
            <b/>
            <sz val="9"/>
            <color indexed="81"/>
            <rFont val="Tahoma"/>
            <family val="2"/>
          </rPr>
          <t>Pat Roessler:</t>
        </r>
        <r>
          <rPr>
            <sz val="9"/>
            <color indexed="81"/>
            <rFont val="Tahoma"/>
            <family val="2"/>
          </rPr>
          <t xml:space="preserve">
Funds were transferred to the Morehouse SOM Operating Grant in FY14 per Cherri Tucker</t>
        </r>
      </text>
    </comment>
    <comment ref="C1048" authorId="12" shapeId="0">
      <text>
        <r>
          <rPr>
            <b/>
            <sz val="9"/>
            <color indexed="81"/>
            <rFont val="Tahoma"/>
            <family val="2"/>
          </rPr>
          <t>Pat Roessler:</t>
        </r>
        <r>
          <rPr>
            <sz val="9"/>
            <color indexed="81"/>
            <rFont val="Tahoma"/>
            <family val="2"/>
          </rPr>
          <t xml:space="preserve">
Added in FY15</t>
        </r>
      </text>
    </comment>
    <comment ref="C1080" authorId="14" shapeId="0">
      <text>
        <r>
          <rPr>
            <b/>
            <sz val="9"/>
            <color indexed="81"/>
            <rFont val="Tahoma"/>
            <family val="2"/>
          </rPr>
          <t>Kincaid, Kenneth:</t>
        </r>
        <r>
          <rPr>
            <sz val="9"/>
            <color indexed="81"/>
            <rFont val="Tahoma"/>
            <family val="2"/>
          </rPr>
          <t xml:space="preserve">
Middle Ga Tech merged with Central Ga Tech on July 1, 2013
</t>
        </r>
      </text>
    </comment>
    <comment ref="D1082" authorId="14" shapeId="0">
      <text>
        <r>
          <rPr>
            <b/>
            <sz val="9"/>
            <color indexed="81"/>
            <rFont val="Tahoma"/>
            <family val="2"/>
          </rPr>
          <t>Kincaid, Kenneth:</t>
        </r>
        <r>
          <rPr>
            <sz val="9"/>
            <color indexed="81"/>
            <rFont val="Tahoma"/>
            <family val="2"/>
          </rPr>
          <t xml:space="preserve">
Altamaha and Okefenokee merged 7/1/2014 to become Coastal Pines
</t>
        </r>
      </text>
    </comment>
    <comment ref="C1085" authorId="15" shapeId="0">
      <text>
        <r>
          <rPr>
            <b/>
            <sz val="8"/>
            <color indexed="81"/>
            <rFont val="Tahoma"/>
            <family val="2"/>
          </rPr>
          <t>Lee, Cynthia M.:</t>
        </r>
        <r>
          <rPr>
            <sz val="8"/>
            <color indexed="81"/>
            <rFont val="Tahoma"/>
            <family val="2"/>
          </rPr>
          <t xml:space="preserve">
DeKalb was renamed to Georgia Piedmont as of 10/1/11</t>
        </r>
      </text>
    </comment>
    <comment ref="M1106" authorId="16" shapeId="0">
      <text>
        <r>
          <rPr>
            <sz val="9"/>
            <color indexed="81"/>
            <rFont val="Tahoma"/>
            <family val="2"/>
          </rPr>
          <t>Revised for 14-15 survey</t>
        </r>
      </text>
    </comment>
    <comment ref="AE1107" authorId="16" shapeId="0">
      <text>
        <r>
          <rPr>
            <sz val="9"/>
            <color indexed="81"/>
            <rFont val="Tahoma"/>
            <family val="2"/>
          </rPr>
          <t>updated for 13-14 survey</t>
        </r>
      </text>
    </comment>
    <comment ref="M1121" authorId="16" shapeId="0">
      <text>
        <r>
          <rPr>
            <b/>
            <sz val="9"/>
            <color indexed="81"/>
            <rFont val="Tahoma"/>
            <family val="2"/>
          </rPr>
          <t>Revised for 14-15 survey</t>
        </r>
      </text>
    </comment>
    <comment ref="N1121" authorId="16" shapeId="0">
      <text>
        <r>
          <rPr>
            <sz val="9"/>
            <color indexed="81"/>
            <rFont val="Tahoma"/>
            <family val="2"/>
          </rPr>
          <t>Revised for 14-15 survey</t>
        </r>
      </text>
    </comment>
    <comment ref="P1121" authorId="16" shapeId="0">
      <text>
        <r>
          <rPr>
            <sz val="9"/>
            <color indexed="81"/>
            <rFont val="Tahoma"/>
            <family val="2"/>
          </rPr>
          <t>updated 8-3-15</t>
        </r>
      </text>
    </comment>
    <comment ref="Q1121" authorId="16" shapeId="0">
      <text>
        <r>
          <rPr>
            <sz val="9"/>
            <color indexed="81"/>
            <rFont val="Tahoma"/>
            <family val="2"/>
          </rPr>
          <t>updated 8-3-15</t>
        </r>
      </text>
    </comment>
    <comment ref="AD1122" authorId="16" shapeId="0">
      <text>
        <r>
          <rPr>
            <sz val="9"/>
            <color indexed="81"/>
            <rFont val="Tahoma"/>
            <family val="2"/>
          </rPr>
          <t>State support for UL Hospital ended</t>
        </r>
      </text>
    </comment>
    <comment ref="G1127" authorId="16" shapeId="0">
      <text>
        <r>
          <rPr>
            <sz val="9"/>
            <color indexed="81"/>
            <rFont val="Tahoma"/>
            <family val="2"/>
          </rPr>
          <t>updated for 14-15 survey</t>
        </r>
      </text>
    </comment>
    <comment ref="H1127" authorId="16" shapeId="0">
      <text>
        <r>
          <rPr>
            <b/>
            <sz val="9"/>
            <color indexed="81"/>
            <rFont val="Tahoma"/>
            <family val="2"/>
          </rPr>
          <t>update 3-14 template,
update # for community operations board</t>
        </r>
      </text>
    </comment>
    <comment ref="M1127" authorId="16" shapeId="0">
      <text>
        <r>
          <rPr>
            <sz val="9"/>
            <color indexed="81"/>
            <rFont val="Tahoma"/>
            <family val="2"/>
          </rPr>
          <t>Revised for 14-15 survey</t>
        </r>
      </text>
    </comment>
    <comment ref="C1128" authorId="16" shapeId="0">
      <text>
        <r>
          <rPr>
            <sz val="9"/>
            <color indexed="81"/>
            <rFont val="Tahoma"/>
            <family val="2"/>
          </rPr>
          <t>added for 14-15 survey</t>
        </r>
      </text>
    </comment>
    <comment ref="I1128" authorId="16" shapeId="0">
      <text>
        <r>
          <rPr>
            <b/>
            <sz val="9"/>
            <color indexed="81"/>
            <rFont val="Tahoma"/>
            <family val="2"/>
          </rPr>
          <t>updated for 13-14 survey</t>
        </r>
      </text>
    </comment>
    <comment ref="G1129" authorId="16" shapeId="0">
      <text>
        <r>
          <rPr>
            <sz val="9"/>
            <color indexed="81"/>
            <rFont val="Tahoma"/>
            <family val="2"/>
          </rPr>
          <t>revised for 14 survey</t>
        </r>
      </text>
    </comment>
    <comment ref="M1129" authorId="16" shapeId="0">
      <text>
        <r>
          <rPr>
            <b/>
            <sz val="9"/>
            <color indexed="81"/>
            <rFont val="Tahoma"/>
            <family val="2"/>
          </rPr>
          <t>Revised for 14-15 survey</t>
        </r>
      </text>
    </comment>
    <comment ref="N1129" authorId="16" shapeId="0">
      <text>
        <r>
          <rPr>
            <sz val="9"/>
            <color indexed="81"/>
            <rFont val="Tahoma"/>
            <family val="2"/>
          </rPr>
          <t>Added in the 2013-14 survey</t>
        </r>
      </text>
    </comment>
    <comment ref="C1131" authorId="16" shapeId="0">
      <text>
        <r>
          <rPr>
            <sz val="9"/>
            <color indexed="81"/>
            <rFont val="Tahoma"/>
            <family val="2"/>
          </rPr>
          <t>For 14-15 Survey: 
-Deleted Appalachian Regional Service
-Entered KY Folk Art Center
-Updated amounts for 13-14 and 14-15 to reflect KY Folk Art Center direct support</t>
        </r>
      </text>
    </comment>
    <comment ref="M1134" authorId="16" shapeId="0">
      <text>
        <r>
          <rPr>
            <sz val="9"/>
            <color indexed="81"/>
            <rFont val="Tahoma"/>
            <family val="2"/>
          </rPr>
          <t>Revised for 14-15 survey</t>
        </r>
      </text>
    </comment>
    <comment ref="M1137" authorId="16" shapeId="0">
      <text>
        <r>
          <rPr>
            <sz val="9"/>
            <color indexed="81"/>
            <rFont val="Tahoma"/>
            <family val="2"/>
          </rPr>
          <t>Revised for 14-15 survey</t>
        </r>
      </text>
    </comment>
    <comment ref="N1137" authorId="16" shapeId="0">
      <text>
        <r>
          <rPr>
            <sz val="9"/>
            <color indexed="81"/>
            <rFont val="Tahoma"/>
            <family val="2"/>
          </rPr>
          <t>Revised for 14-15 survey</t>
        </r>
      </text>
    </comment>
    <comment ref="G1140" authorId="16" shapeId="0">
      <text>
        <r>
          <rPr>
            <sz val="9"/>
            <color indexed="81"/>
            <rFont val="Tahoma"/>
            <family val="2"/>
          </rPr>
          <t>revised for 14-15 survey</t>
        </r>
      </text>
    </comment>
    <comment ref="M1140" authorId="16" shapeId="0">
      <text>
        <r>
          <rPr>
            <b/>
            <sz val="9"/>
            <color indexed="81"/>
            <rFont val="Tahoma"/>
            <family val="2"/>
          </rPr>
          <t>Revised for 14-15 survey</t>
        </r>
      </text>
    </comment>
    <comment ref="M1143" authorId="16" shapeId="0">
      <text>
        <r>
          <rPr>
            <sz val="9"/>
            <color indexed="81"/>
            <rFont val="Tahoma"/>
            <family val="2"/>
          </rPr>
          <t>Revised for 14-15 survey</t>
        </r>
      </text>
    </comment>
    <comment ref="N1143" authorId="16" shapeId="0">
      <text>
        <r>
          <rPr>
            <sz val="9"/>
            <color indexed="81"/>
            <rFont val="Tahoma"/>
            <family val="2"/>
          </rPr>
          <t>Revised from 2013-14 survey.</t>
        </r>
      </text>
    </comment>
    <comment ref="Q1143" authorId="16" shapeId="0">
      <text>
        <r>
          <rPr>
            <sz val="9"/>
            <color indexed="81"/>
            <rFont val="Tahoma"/>
            <family val="2"/>
          </rPr>
          <t>There is a large change from 13-14 to 14-15 . Both 14-15 and 13-14 amounts are correct.</t>
        </r>
      </text>
    </comment>
    <comment ref="C1161" authorId="17" shapeId="0">
      <text>
        <r>
          <rPr>
            <b/>
            <sz val="8"/>
            <color indexed="81"/>
            <rFont val="Tahoma"/>
            <family val="2"/>
          </rPr>
          <t>mevilsiz:</t>
        </r>
        <r>
          <rPr>
            <sz val="8"/>
            <color indexed="81"/>
            <rFont val="Tahoma"/>
            <family val="2"/>
          </rPr>
          <t xml:space="preserve">
Formerly Bowling Green Technical College</t>
        </r>
      </text>
    </comment>
    <comment ref="I1165" authorId="16" shapeId="0">
      <text>
        <r>
          <rPr>
            <sz val="9"/>
            <color indexed="81"/>
            <rFont val="Tahoma"/>
            <family val="2"/>
          </rPr>
          <t>corrected</t>
        </r>
      </text>
    </comment>
    <comment ref="C1179" authorId="16" shapeId="0">
      <text>
        <r>
          <rPr>
            <sz val="9"/>
            <color indexed="81"/>
            <rFont val="Tahoma"/>
            <family val="2"/>
          </rPr>
          <t>Entered for first time in 2013-14. It incorrectly was not included in the 2012-13 survey.</t>
        </r>
      </text>
    </comment>
    <comment ref="V1204" authorId="16" shapeId="0">
      <text>
        <r>
          <rPr>
            <sz val="9"/>
            <color indexed="81"/>
            <rFont val="Tahoma"/>
            <family val="2"/>
          </rPr>
          <t>updated 10-1-15</t>
        </r>
      </text>
    </comment>
    <comment ref="V1207" authorId="16" shapeId="0">
      <text>
        <r>
          <rPr>
            <sz val="9"/>
            <color indexed="81"/>
            <rFont val="Tahoma"/>
            <family val="2"/>
          </rPr>
          <t>updated 10-1-15</t>
        </r>
      </text>
    </comment>
    <comment ref="V1210" authorId="16" shapeId="0">
      <text>
        <r>
          <rPr>
            <sz val="9"/>
            <color indexed="81"/>
            <rFont val="Tahoma"/>
            <family val="2"/>
          </rPr>
          <t>updated 10-1-15</t>
        </r>
      </text>
    </comment>
    <comment ref="V1213" authorId="16" shapeId="0">
      <text>
        <r>
          <rPr>
            <sz val="9"/>
            <color indexed="81"/>
            <rFont val="Tahoma"/>
            <family val="2"/>
          </rPr>
          <t>updated 10-1-15</t>
        </r>
      </text>
    </comment>
    <comment ref="V1218" authorId="16" shapeId="0">
      <text>
        <r>
          <rPr>
            <sz val="9"/>
            <color indexed="81"/>
            <rFont val="Tahoma"/>
            <family val="2"/>
          </rPr>
          <t>updated 10-1-15</t>
        </r>
      </text>
    </comment>
    <comment ref="V1222" authorId="16" shapeId="0">
      <text>
        <r>
          <rPr>
            <sz val="9"/>
            <color indexed="81"/>
            <rFont val="Tahoma"/>
            <family val="2"/>
          </rPr>
          <t>updated 10-1-15</t>
        </r>
      </text>
    </comment>
    <comment ref="C1225" authorId="3" shapeId="0">
      <text>
        <r>
          <rPr>
            <b/>
            <sz val="8"/>
            <color indexed="81"/>
            <rFont val="Tahoma"/>
            <family val="2"/>
          </rPr>
          <t xml:space="preserve">jmarks: </t>
        </r>
        <r>
          <rPr>
            <sz val="8"/>
            <color indexed="81"/>
            <rFont val="Tahoma"/>
            <family val="2"/>
          </rPr>
          <t xml:space="preserve"> note statewide unit code to left: reported here for comparability among land grants
</t>
        </r>
      </text>
    </comment>
    <comment ref="C1229" authorId="3" shapeId="0">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C1230" authorId="3" shapeId="0">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C1231" authorId="3" shapeId="0">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C1237" authorId="3" shapeId="0">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C1238" authorId="3" shapeId="0">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C1239" authorId="3" shapeId="0">
      <text>
        <r>
          <rPr>
            <b/>
            <sz val="8"/>
            <color indexed="81"/>
            <rFont val="Tahoma"/>
            <family val="2"/>
          </rPr>
          <t xml:space="preserve">jmarks: </t>
        </r>
        <r>
          <rPr>
            <sz val="8"/>
            <color indexed="81"/>
            <rFont val="Tahoma"/>
            <family val="2"/>
          </rPr>
          <t xml:space="preserve"> Operates as a statewide but reported here for comparability among land grants
</t>
        </r>
      </text>
    </comment>
    <comment ref="U1483" authorId="18" shapeId="0">
      <text>
        <r>
          <rPr>
            <b/>
            <sz val="9"/>
            <color indexed="81"/>
            <rFont val="Tahoma"/>
            <family val="2"/>
          </rPr>
          <t>Clarke, Shauna:</t>
        </r>
        <r>
          <rPr>
            <sz val="9"/>
            <color indexed="81"/>
            <rFont val="Tahoma"/>
            <family val="2"/>
          </rPr>
          <t xml:space="preserve">
$76,152,186 from Donna</t>
        </r>
      </text>
    </comment>
    <comment ref="U1484" authorId="18" shapeId="0">
      <text>
        <r>
          <rPr>
            <b/>
            <sz val="9"/>
            <color indexed="81"/>
            <rFont val="Tahoma"/>
            <family val="2"/>
          </rPr>
          <t>Clarke, Shauna:</t>
        </r>
        <r>
          <rPr>
            <sz val="9"/>
            <color indexed="81"/>
            <rFont val="Tahoma"/>
            <family val="2"/>
          </rPr>
          <t xml:space="preserve">
$8,642,361 from Donna</t>
        </r>
      </text>
    </comment>
    <comment ref="U1486" authorId="18" shapeId="0">
      <text>
        <r>
          <rPr>
            <b/>
            <sz val="9"/>
            <color indexed="81"/>
            <rFont val="Tahoma"/>
            <family val="2"/>
          </rPr>
          <t>Clarke, Shauna:</t>
        </r>
        <r>
          <rPr>
            <sz val="9"/>
            <color indexed="81"/>
            <rFont val="Tahoma"/>
            <family val="2"/>
          </rPr>
          <t xml:space="preserve">
$16,816,125 from Donna</t>
        </r>
      </text>
    </comment>
    <comment ref="U1487" authorId="18" shapeId="0">
      <text>
        <r>
          <rPr>
            <b/>
            <sz val="9"/>
            <color indexed="81"/>
            <rFont val="Tahoma"/>
            <family val="2"/>
          </rPr>
          <t>Clarke, Shauna:</t>
        </r>
        <r>
          <rPr>
            <sz val="9"/>
            <color indexed="81"/>
            <rFont val="Tahoma"/>
            <family val="2"/>
          </rPr>
          <t xml:space="preserve">
$1,913,471 from Donna</t>
        </r>
      </text>
    </comment>
    <comment ref="C1572" authorId="3" shapeId="0">
      <text>
        <r>
          <rPr>
            <sz val="10"/>
            <color indexed="81"/>
            <rFont val="Tahoma"/>
            <family val="2"/>
          </rPr>
          <t xml:space="preserve">WWTS, WWAR, NELB, NELR, CSA, GTS, NELM, NELP, NTSP, HCP (Excludes CNTP, CNAR, MTLR, SREB, STSC, MED, DENT, SDSP, VMMP)
</t>
        </r>
      </text>
    </comment>
    <comment ref="AD1638" authorId="19" shapeId="0">
      <text>
        <r>
          <rPr>
            <b/>
            <sz val="9"/>
            <color indexed="81"/>
            <rFont val="Tahoma"/>
            <family val="2"/>
          </rPr>
          <t>Michael Vollmer:</t>
        </r>
        <r>
          <rPr>
            <sz val="9"/>
            <color indexed="81"/>
            <rFont val="Tahoma"/>
            <family val="2"/>
          </rPr>
          <t xml:space="preserve">
Required reversions brought Actual (2014) below budget (2015)</t>
        </r>
      </text>
    </comment>
    <comment ref="P1646" authorId="19" shapeId="0">
      <text>
        <r>
          <rPr>
            <b/>
            <sz val="9"/>
            <color indexed="81"/>
            <rFont val="Tahoma"/>
            <family val="2"/>
          </rPr>
          <t>Michael Vollmer:</t>
        </r>
        <r>
          <rPr>
            <sz val="9"/>
            <color indexed="81"/>
            <rFont val="Tahoma"/>
            <family val="2"/>
          </rPr>
          <t xml:space="preserve">
Increases in profesional school tuition rates.</t>
        </r>
      </text>
    </comment>
    <comment ref="P1650" authorId="19" shapeId="0">
      <text>
        <r>
          <rPr>
            <b/>
            <sz val="9"/>
            <color indexed="81"/>
            <rFont val="Tahoma"/>
            <family val="2"/>
          </rPr>
          <t>Michael Vollmer:</t>
        </r>
        <r>
          <rPr>
            <sz val="9"/>
            <color indexed="81"/>
            <rFont val="Tahoma"/>
            <family val="2"/>
          </rPr>
          <t xml:space="preserve">
Budgeted Tuition (2015) Exceeded Actual (2014) due to enrollment</t>
        </r>
      </text>
    </comment>
    <comment ref="P1655" authorId="19" shapeId="0">
      <text>
        <r>
          <rPr>
            <b/>
            <sz val="9"/>
            <color indexed="81"/>
            <rFont val="Tahoma"/>
            <family val="2"/>
          </rPr>
          <t>Michael Vollmer:</t>
        </r>
        <r>
          <rPr>
            <sz val="9"/>
            <color indexed="81"/>
            <rFont val="Tahoma"/>
            <family val="2"/>
          </rPr>
          <t xml:space="preserve">
Budgeted Tuition (2015) Exceeded Actual (2014) due to enrollment
</t>
        </r>
      </text>
    </comment>
    <comment ref="P1657" authorId="19" shapeId="0">
      <text>
        <r>
          <rPr>
            <b/>
            <sz val="9"/>
            <color indexed="81"/>
            <rFont val="Tahoma"/>
            <family val="2"/>
          </rPr>
          <t>Michael Vollmer:</t>
        </r>
        <r>
          <rPr>
            <sz val="9"/>
            <color indexed="81"/>
            <rFont val="Tahoma"/>
            <family val="2"/>
          </rPr>
          <t xml:space="preserve">
Budgeted Tuition (2015) Exceeded Actual (2014) due to enrollment</t>
        </r>
      </text>
    </comment>
    <comment ref="J1663" authorId="19" shapeId="0">
      <text>
        <r>
          <rPr>
            <b/>
            <sz val="9"/>
            <color indexed="81"/>
            <rFont val="Tahoma"/>
            <family val="2"/>
          </rPr>
          <t>Michael Vollmer:</t>
        </r>
        <r>
          <rPr>
            <sz val="9"/>
            <color indexed="81"/>
            <rFont val="Tahoma"/>
            <family val="2"/>
          </rPr>
          <t xml:space="preserve">
Actual spending was reduced in 2014 below regular budgeted levels (2015)</t>
        </r>
      </text>
    </comment>
    <comment ref="J1670" authorId="19" shapeId="0">
      <text>
        <r>
          <rPr>
            <b/>
            <sz val="9"/>
            <color indexed="81"/>
            <rFont val="Tahoma"/>
            <family val="2"/>
          </rPr>
          <t>Michael Vollmer:</t>
        </r>
        <r>
          <rPr>
            <sz val="9"/>
            <color indexed="81"/>
            <rFont val="Tahoma"/>
            <family val="2"/>
          </rPr>
          <t xml:space="preserve">
Amount varies year to year between budget and actual.</t>
        </r>
      </text>
    </comment>
    <comment ref="V1673" authorId="19" shapeId="0">
      <text>
        <r>
          <rPr>
            <b/>
            <sz val="9"/>
            <color indexed="81"/>
            <rFont val="Tahoma"/>
            <family val="2"/>
          </rPr>
          <t>Michael Vollmer:</t>
        </r>
        <r>
          <rPr>
            <sz val="9"/>
            <color indexed="81"/>
            <rFont val="Tahoma"/>
            <family val="2"/>
          </rPr>
          <t xml:space="preserve">
Required reversions brought Actual (2014) below budget (2015)</t>
        </r>
      </text>
    </comment>
    <comment ref="A1805" authorId="3" shapeId="0">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C1841" authorId="3" shapeId="0">
      <text>
        <r>
          <rPr>
            <b/>
            <sz val="10"/>
            <color indexed="81"/>
            <rFont val="Tahoma"/>
            <family val="2"/>
          </rPr>
          <t>jmarks:</t>
        </r>
        <r>
          <rPr>
            <sz val="10"/>
            <color indexed="81"/>
            <rFont val="Tahoma"/>
            <family val="2"/>
          </rPr>
          <t xml:space="preserve">
Met the criteria for Two-Year 1 in 2009-10.</t>
        </r>
      </text>
    </comment>
    <comment ref="C1845" authorId="3" shapeId="0">
      <text>
        <r>
          <rPr>
            <b/>
            <sz val="10"/>
            <color indexed="81"/>
            <rFont val="Tahoma"/>
            <family val="2"/>
          </rPr>
          <t>jmarks:</t>
        </r>
        <r>
          <rPr>
            <sz val="10"/>
            <color indexed="81"/>
            <rFont val="Tahoma"/>
            <family val="2"/>
          </rPr>
          <t xml:space="preserve">
Met the criteria for Two-Year 1 in 2009-10.</t>
        </r>
      </text>
    </comment>
    <comment ref="C1861" authorId="2" shapeId="0">
      <text>
        <r>
          <rPr>
            <sz val="10"/>
            <color indexed="81"/>
            <rFont val="Tahoma"/>
            <family val="2"/>
          </rPr>
          <t>Met the criteria for SREB 2 Year 1 in 2008-09 and 2009-10.</t>
        </r>
      </text>
    </comment>
    <comment ref="C1941" authorId="3" shapeId="0">
      <text>
        <r>
          <rPr>
            <sz val="10"/>
            <color indexed="81"/>
            <rFont val="Tahoma"/>
            <family val="2"/>
          </rPr>
          <t>Met the criteria for Two-Year 2 in 2009-10.</t>
        </r>
      </text>
    </comment>
    <comment ref="C1957" authorId="3" shapeId="0">
      <text>
        <r>
          <rPr>
            <sz val="10"/>
            <color indexed="81"/>
            <rFont val="Tahoma"/>
            <family val="2"/>
          </rPr>
          <t>Met the criteria for Two-Year 2 in 2009-10.</t>
        </r>
      </text>
    </comment>
    <comment ref="C2013" authorId="3" shapeId="0">
      <text>
        <r>
          <rPr>
            <sz val="10"/>
            <color indexed="81"/>
            <rFont val="Tahoma"/>
            <family val="2"/>
          </rPr>
          <t>Met the criteria for Two-Year 2 in 2009-10.</t>
        </r>
      </text>
    </comment>
    <comment ref="C2042" authorId="3" shapeId="0">
      <text>
        <r>
          <rPr>
            <b/>
            <sz val="8"/>
            <color indexed="81"/>
            <rFont val="Tahoma"/>
            <family val="2"/>
          </rPr>
          <t>jmarks:</t>
        </r>
        <r>
          <rPr>
            <sz val="8"/>
            <color indexed="81"/>
            <rFont val="Tahoma"/>
            <family val="2"/>
          </rPr>
          <t xml:space="preserve">
Includes funds to develop statewide computer information ststem (CIS).</t>
        </r>
      </text>
    </comment>
    <comment ref="C2093" authorId="3" shapeId="0">
      <text>
        <r>
          <rPr>
            <b/>
            <sz val="10"/>
            <color indexed="81"/>
            <rFont val="Tahoma"/>
            <family val="2"/>
          </rPr>
          <t>jmarks:</t>
        </r>
        <r>
          <rPr>
            <sz val="10"/>
            <color indexed="81"/>
            <rFont val="Tahoma"/>
            <family val="2"/>
          </rPr>
          <t xml:space="preserve">
System office funded out of institutional appropriations and not identified to state office.</t>
        </r>
      </text>
    </comment>
    <comment ref="C2104" authorId="3" shapeId="0">
      <text>
        <r>
          <rPr>
            <b/>
            <sz val="8"/>
            <color indexed="81"/>
            <rFont val="Tahoma"/>
            <family val="2"/>
          </rPr>
          <t>jmarks:</t>
        </r>
        <r>
          <rPr>
            <sz val="8"/>
            <color indexed="81"/>
            <rFont val="Tahoma"/>
            <family val="2"/>
          </rPr>
          <t xml:space="preserve">
In the future, please identify amounts to public sector students and to private sector students, if possible.</t>
        </r>
      </text>
    </comment>
    <comment ref="AE2769" authorId="20" shapeId="0">
      <text>
        <r>
          <rPr>
            <b/>
            <sz val="9"/>
            <color indexed="81"/>
            <rFont val="Tahoma"/>
            <family val="2"/>
          </rPr>
          <t>Crystal Collins:</t>
        </r>
        <r>
          <rPr>
            <sz val="9"/>
            <color indexed="81"/>
            <rFont val="Tahoma"/>
            <family val="2"/>
          </rPr>
          <t xml:space="preserve">
Includes College of Medicine and College of Pharmacy.</t>
        </r>
      </text>
    </comment>
    <comment ref="AG2769" authorId="20" shapeId="0">
      <text>
        <r>
          <rPr>
            <b/>
            <sz val="9"/>
            <color indexed="81"/>
            <rFont val="Tahoma"/>
            <family val="2"/>
          </rPr>
          <t>Crystal Collins:</t>
        </r>
        <r>
          <rPr>
            <sz val="9"/>
            <color indexed="81"/>
            <rFont val="Tahoma"/>
            <family val="2"/>
          </rPr>
          <t xml:space="preserve">
Includes College of Medicine and College of Pharmacy.</t>
        </r>
      </text>
    </comment>
    <comment ref="V2839" authorId="20" shapeId="0">
      <text>
        <r>
          <rPr>
            <b/>
            <sz val="9"/>
            <color indexed="81"/>
            <rFont val="Tahoma"/>
            <family val="2"/>
          </rPr>
          <t>Crystal Collins:</t>
        </r>
        <r>
          <rPr>
            <sz val="9"/>
            <color indexed="81"/>
            <rFont val="Tahoma"/>
            <family val="2"/>
          </rPr>
          <t xml:space="preserve">
THEC will provide this information in the fall after the TSAC September Board meeting.</t>
        </r>
      </text>
    </comment>
    <comment ref="A2850" authorId="21" shapeId="0">
      <text>
        <r>
          <rPr>
            <b/>
            <sz val="8"/>
            <color indexed="81"/>
            <rFont val="Tahoma"/>
            <family val="2"/>
          </rPr>
          <t>The Texas Transportation Institute received general revenue this year. When added to the benefits amount they receive every year, that’s the jump you see. 
The Howard College amount increased substantially. And that ties to their audited financial statements. I left out from last year’s survey the debt service amount. 
The tuition and fees for debt service column is correct. The amounts in that column are from an old bond program in Texas called the Skiles Act. That program ended in 1997 so it’s winding down in the amounts. 
In the special purpose area, state column, the amount for the Coordinating Board increased due to the following:
$16.7M for ARP. The Advanced Research Program is funded every other year. 
$12.3M for various trusteed funds including developmental education and others. Legislative priorities. 
$4.9M in additional funding for indirect administration and closing the gaps. 
Also the Joint Medical Admission program is funded every other year. 
For the health professions area, the Alzheimer’s program and the nursing hospital program are both funded every other year. 
The amounts for MD Anderson spiked because I remove capital project funding from the general state support amount. Last year, they received $150M for a capital project so that dragged last year’s number down. And therefore it looks like it spiked this year. 
I’m not sure why MD Anderson’s tuition collections went up. But the numbers tie to their financial reports. 
Galveston received additional funding for Hurricane recovery efforts. 
the increase in tuition collections at MD Anderson was from students at Galveston who evacuated from the hurricane and attended there. 
for the community colleges, $150M in group health insurance funding was vetoed and therefore not included in the 2008-09 numbers; group health insurance funding is included in 2009-10</t>
        </r>
      </text>
    </comment>
    <comment ref="C2852" authorId="22" shapeId="0">
      <text>
        <r>
          <rPr>
            <b/>
            <sz val="9"/>
            <color indexed="81"/>
            <rFont val="Tahoma"/>
            <family val="2"/>
          </rPr>
          <t>..:</t>
        </r>
        <r>
          <rPr>
            <sz val="9"/>
            <color indexed="81"/>
            <rFont val="Tahoma"/>
            <family val="2"/>
          </rPr>
          <t xml:space="preserve">
Reporting Moved to Texas A&amp;M Row.</t>
        </r>
      </text>
    </comment>
    <comment ref="C2883" authorId="22" shapeId="0">
      <text>
        <r>
          <rPr>
            <b/>
            <sz val="9"/>
            <color indexed="81"/>
            <rFont val="Tahoma"/>
            <family val="2"/>
          </rPr>
          <t>..:</t>
        </r>
        <r>
          <rPr>
            <sz val="9"/>
            <color indexed="81"/>
            <rFont val="Tahoma"/>
            <family val="2"/>
          </rPr>
          <t xml:space="preserve">
San Marcos is no longer a part of the name.</t>
        </r>
      </text>
    </comment>
    <comment ref="G2884" authorId="22" shapeId="0">
      <text>
        <r>
          <rPr>
            <b/>
            <sz val="9"/>
            <color indexed="81"/>
            <rFont val="Tahoma"/>
            <family val="2"/>
          </rPr>
          <t>..:</t>
        </r>
        <r>
          <rPr>
            <sz val="9"/>
            <color indexed="81"/>
            <rFont val="Tahoma"/>
            <family val="2"/>
          </rPr>
          <t xml:space="preserve">
Revised Number.</t>
        </r>
      </text>
    </comment>
    <comment ref="C2903" authorId="3" shapeId="0">
      <text>
        <r>
          <rPr>
            <b/>
            <sz val="8"/>
            <color indexed="81"/>
            <rFont val="Tahoma"/>
            <family val="2"/>
          </rPr>
          <t>jmarks:</t>
        </r>
        <r>
          <rPr>
            <sz val="8"/>
            <color indexed="81"/>
            <rFont val="Tahoma"/>
            <family val="2"/>
          </rPr>
          <t xml:space="preserve">
Reported the same way as SCH data (by campus) preferred.</t>
        </r>
      </text>
    </comment>
    <comment ref="C2907" authorId="3" shapeId="0">
      <text>
        <r>
          <rPr>
            <b/>
            <sz val="8"/>
            <color indexed="81"/>
            <rFont val="Tahoma"/>
            <family val="2"/>
          </rPr>
          <t>jmarks:</t>
        </r>
        <r>
          <rPr>
            <sz val="8"/>
            <color indexed="81"/>
            <rFont val="Tahoma"/>
            <family val="2"/>
          </rPr>
          <t xml:space="preserve">
Reported the same way as SCH data (by campus) preferred.</t>
        </r>
      </text>
    </comment>
    <comment ref="C2917" authorId="3" shapeId="0">
      <text>
        <r>
          <rPr>
            <b/>
            <sz val="8"/>
            <color indexed="81"/>
            <rFont val="Tahoma"/>
            <family val="2"/>
          </rPr>
          <t>jmarks:</t>
        </r>
        <r>
          <rPr>
            <sz val="8"/>
            <color indexed="81"/>
            <rFont val="Tahoma"/>
            <family val="2"/>
          </rPr>
          <t xml:space="preserve">
Reported the same way as SCH data (by campus) preferred.</t>
        </r>
      </text>
    </comment>
    <comment ref="C2918" authorId="3" shapeId="0">
      <text>
        <r>
          <rPr>
            <b/>
            <sz val="8"/>
            <color indexed="81"/>
            <rFont val="Tahoma"/>
            <family val="2"/>
          </rPr>
          <t>jmarks:</t>
        </r>
        <r>
          <rPr>
            <sz val="8"/>
            <color indexed="81"/>
            <rFont val="Tahoma"/>
            <family val="2"/>
          </rPr>
          <t xml:space="preserve">
Reported the same way as SCH data (by campus) preferred.</t>
        </r>
      </text>
    </comment>
    <comment ref="C2919" authorId="3" shapeId="0">
      <text>
        <r>
          <rPr>
            <b/>
            <sz val="8"/>
            <color indexed="81"/>
            <rFont val="Tahoma"/>
            <family val="2"/>
          </rPr>
          <t>jmarks:</t>
        </r>
        <r>
          <rPr>
            <sz val="8"/>
            <color indexed="81"/>
            <rFont val="Tahoma"/>
            <family val="2"/>
          </rPr>
          <t xml:space="preserve">
Reported the same way as SCH data (by campus) preferred.</t>
        </r>
      </text>
    </comment>
    <comment ref="C2920" authorId="3" shapeId="0">
      <text>
        <r>
          <rPr>
            <b/>
            <sz val="8"/>
            <color indexed="81"/>
            <rFont val="Tahoma"/>
            <family val="2"/>
          </rPr>
          <t>jmarks:</t>
        </r>
        <r>
          <rPr>
            <sz val="8"/>
            <color indexed="81"/>
            <rFont val="Tahoma"/>
            <family val="2"/>
          </rPr>
          <t xml:space="preserve">
Reported the same way as SCH data (by campus) preferred.</t>
        </r>
      </text>
    </comment>
    <comment ref="C2921" authorId="3" shapeId="0">
      <text>
        <r>
          <rPr>
            <b/>
            <sz val="8"/>
            <color indexed="81"/>
            <rFont val="Tahoma"/>
            <family val="2"/>
          </rPr>
          <t>jmarks:</t>
        </r>
        <r>
          <rPr>
            <sz val="8"/>
            <color indexed="81"/>
            <rFont val="Tahoma"/>
            <family val="2"/>
          </rPr>
          <t xml:space="preserve">
Reported the same way as SCH data (by campus) preferred.</t>
        </r>
      </text>
    </comment>
    <comment ref="C2924" authorId="3" shapeId="0">
      <text>
        <r>
          <rPr>
            <b/>
            <sz val="8"/>
            <color indexed="81"/>
            <rFont val="Tahoma"/>
            <family val="2"/>
          </rPr>
          <t>jmarks:</t>
        </r>
        <r>
          <rPr>
            <sz val="8"/>
            <color indexed="81"/>
            <rFont val="Tahoma"/>
            <family val="2"/>
          </rPr>
          <t xml:space="preserve">
Reported the same way as SCH data (by campus) preferred.</t>
        </r>
      </text>
    </comment>
    <comment ref="C2965" authorId="3" shapeId="0">
      <text>
        <r>
          <rPr>
            <b/>
            <sz val="8"/>
            <color indexed="81"/>
            <rFont val="Tahoma"/>
            <family val="2"/>
          </rPr>
          <t>jmarks:</t>
        </r>
        <r>
          <rPr>
            <sz val="8"/>
            <color indexed="81"/>
            <rFont val="Tahoma"/>
            <family val="2"/>
          </rPr>
          <t xml:space="preserve">
Reported the same way as SCH data (by campus) preferred.</t>
        </r>
      </text>
    </comment>
    <comment ref="C2966" authorId="3" shapeId="0">
      <text>
        <r>
          <rPr>
            <b/>
            <sz val="8"/>
            <color indexed="81"/>
            <rFont val="Tahoma"/>
            <family val="2"/>
          </rPr>
          <t>jmarks:</t>
        </r>
        <r>
          <rPr>
            <sz val="8"/>
            <color indexed="81"/>
            <rFont val="Tahoma"/>
            <family val="2"/>
          </rPr>
          <t xml:space="preserve">
Reported the same way as SCH data (by campus) preferred.</t>
        </r>
      </text>
    </comment>
    <comment ref="C2970" authorId="22" shapeId="0">
      <text>
        <r>
          <rPr>
            <b/>
            <sz val="9"/>
            <color indexed="81"/>
            <rFont val="Tahoma"/>
            <family val="2"/>
          </rPr>
          <t>..:</t>
        </r>
        <r>
          <rPr>
            <sz val="9"/>
            <color indexed="81"/>
            <rFont val="Tahoma"/>
            <family val="2"/>
          </rPr>
          <t xml:space="preserve">
New Separate Institution.</t>
        </r>
      </text>
    </comment>
    <comment ref="C2991" authorId="3" shapeId="0">
      <text>
        <r>
          <rPr>
            <b/>
            <sz val="8"/>
            <color indexed="81"/>
            <rFont val="Tahoma"/>
            <family val="2"/>
          </rPr>
          <t>jmarks:</t>
        </r>
        <r>
          <rPr>
            <sz val="8"/>
            <color indexed="81"/>
            <rFont val="Tahoma"/>
            <family val="2"/>
          </rPr>
          <t xml:space="preserve">
in HECB ?  Yes.</t>
        </r>
      </text>
    </comment>
    <comment ref="C3000" authorId="22" shapeId="0">
      <text>
        <r>
          <rPr>
            <b/>
            <sz val="9"/>
            <color indexed="81"/>
            <rFont val="Tahoma"/>
            <family val="2"/>
          </rPr>
          <t>..:</t>
        </r>
        <r>
          <rPr>
            <sz val="9"/>
            <color indexed="81"/>
            <rFont val="Tahoma"/>
            <family val="2"/>
          </rPr>
          <t xml:space="preserve">
Funded every other year.</t>
        </r>
      </text>
    </comment>
    <comment ref="C3086" authorId="3" shapeId="0">
      <text>
        <r>
          <rPr>
            <b/>
            <sz val="8"/>
            <color indexed="81"/>
            <rFont val="Tahoma"/>
            <family val="2"/>
          </rPr>
          <t>jmarks:</t>
        </r>
        <r>
          <rPr>
            <sz val="8"/>
            <color indexed="81"/>
            <rFont val="Tahoma"/>
            <family val="2"/>
          </rPr>
          <t xml:space="preserve">
Please itemize, if possible.</t>
        </r>
      </text>
    </comment>
  </commentList>
</comments>
</file>

<file path=xl/sharedStrings.xml><?xml version="1.0" encoding="utf-8"?>
<sst xmlns="http://schemas.openxmlformats.org/spreadsheetml/2006/main" count="13155" uniqueCount="1955">
  <si>
    <t>* Less than 0.1%</t>
  </si>
  <si>
    <r>
      <t>Net Tuition &amp; Fees</t>
    </r>
    <r>
      <rPr>
        <b/>
        <vertAlign val="superscript"/>
        <sz val="8"/>
        <color indexed="18"/>
        <rFont val="Arial"/>
        <family val="2"/>
      </rPr>
      <t xml:space="preserve"> </t>
    </r>
    <r>
      <rPr>
        <b/>
        <sz val="8"/>
        <color indexed="18"/>
        <rFont val="Arial"/>
        <family val="2"/>
      </rPr>
      <t>Available for Operations</t>
    </r>
    <r>
      <rPr>
        <b/>
        <vertAlign val="superscript"/>
        <sz val="8"/>
        <color indexed="18"/>
        <rFont val="Arial"/>
        <family val="2"/>
      </rPr>
      <t>3</t>
    </r>
  </si>
  <si>
    <r>
      <t>Total Funds Available for Operations</t>
    </r>
    <r>
      <rPr>
        <vertAlign val="superscript"/>
        <sz val="8"/>
        <color indexed="18"/>
        <rFont val="Arial"/>
        <family val="2"/>
      </rPr>
      <t xml:space="preserve">4 </t>
    </r>
  </si>
  <si>
    <r>
      <t>Totals</t>
    </r>
    <r>
      <rPr>
        <vertAlign val="superscript"/>
        <sz val="8"/>
        <color indexed="18"/>
        <rFont val="Arial"/>
        <family val="2"/>
      </rPr>
      <t>3</t>
    </r>
  </si>
  <si>
    <t>Sum of State Gen Purp-New</t>
  </si>
  <si>
    <t>Sum of Local-Old</t>
  </si>
  <si>
    <t>Sum of Local-New</t>
  </si>
  <si>
    <t>Total Sum of State Gen Purp-Old</t>
  </si>
  <si>
    <t>Total Sum of State Gen Purp-New</t>
  </si>
  <si>
    <t>Total Sum of Local-Old</t>
  </si>
  <si>
    <t>Total Sum of Local-New</t>
  </si>
  <si>
    <t>State</t>
  </si>
  <si>
    <t>Educational special-purpose funds to statewide units</t>
  </si>
  <si>
    <t>Tuition Tot-New</t>
  </si>
  <si>
    <t>Sum of Tuition Ops-New</t>
  </si>
  <si>
    <t>Total Sum of Tuition Ops-New</t>
  </si>
  <si>
    <t>Amount for Debt Service</t>
  </si>
  <si>
    <r>
      <t>1</t>
    </r>
    <r>
      <rPr>
        <sz val="8"/>
        <rFont val="Arial"/>
        <family val="2"/>
      </rPr>
      <t>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 revenue.</t>
    </r>
  </si>
  <si>
    <r>
      <t>Funds</t>
    </r>
    <r>
      <rPr>
        <b/>
        <vertAlign val="superscript"/>
        <sz val="12"/>
        <rFont val="Arial"/>
        <family val="2"/>
      </rPr>
      <t>1</t>
    </r>
    <r>
      <rPr>
        <b/>
        <sz val="12"/>
        <rFont val="Arial"/>
        <family val="2"/>
      </rPr>
      <t xml:space="preserve"> for E&amp;G Operations Per Full-Time-Equivalent Student</t>
    </r>
  </si>
  <si>
    <t>Sum of Total E&amp;G-Old</t>
  </si>
  <si>
    <t>Total Sum of Total E&amp;G-Old</t>
  </si>
  <si>
    <t>Sum of Total E&amp;G-New</t>
  </si>
  <si>
    <t>Total Sum of Total E&amp;G-New</t>
  </si>
  <si>
    <t xml:space="preserve"> % change in total E&amp;G funds</t>
  </si>
  <si>
    <t>Total  % change in total E&amp;G funds</t>
  </si>
  <si>
    <r>
      <t>Distribution of Funds</t>
    </r>
    <r>
      <rPr>
        <b/>
        <vertAlign val="superscript"/>
        <sz val="12"/>
        <rFont val="Arial"/>
        <family val="2"/>
      </rPr>
      <t>1</t>
    </r>
    <r>
      <rPr>
        <b/>
        <sz val="12"/>
        <rFont val="Arial"/>
        <family val="2"/>
      </rPr>
      <t xml:space="preserve"> for Higher Education-Related Operations</t>
    </r>
  </si>
  <si>
    <r>
      <t>3</t>
    </r>
    <r>
      <rPr>
        <sz val="8"/>
        <rFont val="Arial"/>
        <family val="2"/>
      </rPr>
      <t>Tuition &amp; fee revenue excluding state appropriations for student financial aid administered off campus awarded to public institution students &amp; excluding tuition &amp; fees revenues dedicated to debt service.</t>
    </r>
  </si>
  <si>
    <t>Virginia**</t>
  </si>
  <si>
    <t>Educational Special Purpose to Four-Year and Two-Year Universities, Colleges and Technical Institutes</t>
  </si>
  <si>
    <t>Educational Special Purpose to Statewide Units</t>
  </si>
  <si>
    <t>Health Professions Education</t>
  </si>
  <si>
    <t>General Purpose Appropriations to Public Four-Year Universities, Two-Year Colleges and Technical Institutes or Colleges</t>
  </si>
  <si>
    <t>Special Purpose Public Institutions Other Than Health Sciences</t>
  </si>
  <si>
    <t>Health Professions Education at Public Medical Schools</t>
  </si>
  <si>
    <t>Available to public &amp; private sector students</t>
  </si>
  <si>
    <t>Health professions education funds - to specialized institutions</t>
  </si>
  <si>
    <t>State Funds</t>
  </si>
  <si>
    <t>Need Basis Not Identified</t>
  </si>
  <si>
    <t>Sector of Students &amp; Need Basis Not Identified</t>
  </si>
  <si>
    <t>SREB states</t>
  </si>
  <si>
    <t>Public Need Based</t>
  </si>
  <si>
    <t>Public Non Need Based</t>
  </si>
  <si>
    <t>Public Not Identified</t>
  </si>
  <si>
    <t>Private Need Based</t>
  </si>
  <si>
    <t>Private Non Need Based</t>
  </si>
  <si>
    <t>Private Not Identified</t>
  </si>
  <si>
    <t>Sector of Students Not Identified</t>
  </si>
  <si>
    <t>Sector Not Identified Need Based</t>
  </si>
  <si>
    <t>Sector Not Identified Non Need Based</t>
  </si>
  <si>
    <t>Sector &amp; Need Basis Not Identified</t>
  </si>
  <si>
    <t>Subtotal</t>
  </si>
  <si>
    <t>Tuition and Fee Revenue (estm.)</t>
  </si>
  <si>
    <t>Available to public &amp; priv. sect. students</t>
  </si>
  <si>
    <t>Educational Special Purpose to Public Four-Year Universities, Two-Year Colleges and Technical Institutes or Colleges</t>
  </si>
  <si>
    <r>
      <t>2</t>
    </r>
    <r>
      <rPr>
        <sz val="8"/>
        <rFont val="Arial"/>
        <family val="2"/>
      </rPr>
      <t>Tuition and fee revenue minus amounts dedicated to debt service. Includes tuition and fee revenue from students receiving state student financial aid.</t>
    </r>
  </si>
  <si>
    <t>Dollars Per FTE Student</t>
  </si>
  <si>
    <r>
      <t>SREB states</t>
    </r>
    <r>
      <rPr>
        <vertAlign val="superscript"/>
        <sz val="10"/>
        <rFont val="Arial"/>
        <family val="2"/>
      </rPr>
      <t>3</t>
    </r>
  </si>
  <si>
    <t xml:space="preserve"> % change in tuition total</t>
  </si>
  <si>
    <t>Total  % change in tuition total</t>
  </si>
  <si>
    <t xml:space="preserve"> % change in tuition sp ops</t>
  </si>
  <si>
    <r>
      <t>3</t>
    </r>
    <r>
      <rPr>
        <sz val="8"/>
        <rFont val="Arial"/>
        <family val="2"/>
      </rPr>
      <t xml:space="preserve">The SREB SREB states' averages must be interpreted with caution because the number of states with each type of funding varies. </t>
    </r>
  </si>
  <si>
    <t>Need-Based</t>
  </si>
  <si>
    <t>Non Need-Based</t>
  </si>
  <si>
    <t>To Public Sector Students</t>
  </si>
  <si>
    <t>Available to Public &amp; Private Sector Students</t>
  </si>
  <si>
    <t>To Private Sector Students</t>
  </si>
  <si>
    <t>Sector of Students Unknown</t>
  </si>
  <si>
    <t>Limited to Public College Students Only</t>
  </si>
  <si>
    <t>Limited to Private College Students Only</t>
  </si>
  <si>
    <t>Limited to private sector students</t>
  </si>
  <si>
    <t>Sum of Tuition Tot-New</t>
  </si>
  <si>
    <t>Total Sum of Tuition Tot-New</t>
  </si>
  <si>
    <t>Sum of Other Spec Purp State-Old</t>
  </si>
  <si>
    <t>Total Sum of Other Spec Purp State-Old</t>
  </si>
  <si>
    <t>Sum of Other Spec Purp State-New</t>
  </si>
  <si>
    <t>Total Sum of Other Spec Purp State-New</t>
  </si>
  <si>
    <t xml:space="preserve"> % change in other spec purp state</t>
  </si>
  <si>
    <t>Total  % change in other spec purp state</t>
  </si>
  <si>
    <t>Sum of Health State-Old</t>
  </si>
  <si>
    <t>Total Sum of Health State-Old</t>
  </si>
  <si>
    <t>Sum of Health State-New</t>
  </si>
  <si>
    <t>Sum of Health Tuition-Old</t>
  </si>
  <si>
    <t>Total Sum of Health Tuition-Old</t>
  </si>
  <si>
    <r>
      <t>2</t>
    </r>
    <r>
      <rPr>
        <sz val="8"/>
        <rFont val="Arial"/>
        <family val="2"/>
      </rPr>
      <t>The SREB states' averages must be interpreted with caution because the number of states with each type of funding varies.</t>
    </r>
  </si>
  <si>
    <t>SREB contract program with priv. col.</t>
  </si>
  <si>
    <t>SREB contract program with pub. col.</t>
  </si>
  <si>
    <t>Educational special-purpose funds-- all other</t>
  </si>
  <si>
    <t>State General Purpose</t>
  </si>
  <si>
    <t>Local</t>
  </si>
  <si>
    <t>State Educational Special Purpose</t>
  </si>
  <si>
    <t>Tennessee</t>
  </si>
  <si>
    <t xml:space="preserve"> </t>
  </si>
  <si>
    <t>Tuition &amp; Fees</t>
  </si>
  <si>
    <r>
      <t>1</t>
    </r>
    <r>
      <rPr>
        <sz val="8"/>
        <rFont val="Arial"/>
        <family val="2"/>
      </rPr>
      <t>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fees revenue.</t>
    </r>
  </si>
  <si>
    <t>Statewide student financial aid progs. administered off campus</t>
  </si>
  <si>
    <r>
      <t>SREB</t>
    </r>
    <r>
      <rPr>
        <vertAlign val="superscript"/>
        <sz val="9"/>
        <rFont val="Arial"/>
        <family val="2"/>
      </rPr>
      <t>2</t>
    </r>
  </si>
  <si>
    <r>
      <t>1</t>
    </r>
    <r>
      <rPr>
        <sz val="8"/>
        <rFont val="Arial"/>
        <family val="2"/>
      </rPr>
      <t>Public 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fees revenue.</t>
    </r>
  </si>
  <si>
    <t>Total</t>
  </si>
  <si>
    <t>Calculated</t>
  </si>
  <si>
    <t>Four-Year Total</t>
  </si>
  <si>
    <t>Sum of Tuition SP Debt-New</t>
  </si>
  <si>
    <t>Total Sum of Tuition SP Debt-New</t>
  </si>
  <si>
    <t>Sum of Tuition SP Tot-New</t>
  </si>
  <si>
    <t xml:space="preserve">   
Local</t>
  </si>
  <si>
    <t>Total Sum of Tuition Tot-Old</t>
  </si>
  <si>
    <t>Tuition Ops-Old</t>
  </si>
  <si>
    <t>Tuition Debt-Old</t>
  </si>
  <si>
    <t>Tuition Ops-New</t>
  </si>
  <si>
    <t>Tuition Debt-New</t>
  </si>
  <si>
    <t>Statewide System Operations</t>
  </si>
  <si>
    <t xml:space="preserve"> % change in tuition sp debt</t>
  </si>
  <si>
    <t>Tuition &amp; Fees Revenues</t>
  </si>
  <si>
    <t>Limited to public sector students</t>
  </si>
  <si>
    <t>State Ed Spec Purp-Old</t>
  </si>
  <si>
    <t>State Ed Spec Purp-New</t>
  </si>
  <si>
    <t>Tuition Tot-Old</t>
  </si>
  <si>
    <t xml:space="preserve"> % change in state gen purp</t>
  </si>
  <si>
    <t>Total  % change in state gen purp</t>
  </si>
  <si>
    <t>Data</t>
  </si>
  <si>
    <t>Rankings</t>
  </si>
  <si>
    <t>Statewide system operations</t>
  </si>
  <si>
    <t>Limited to public college students</t>
  </si>
  <si>
    <t>state</t>
  </si>
  <si>
    <t>item</t>
  </si>
  <si>
    <t>group</t>
  </si>
  <si>
    <t>category</t>
  </si>
  <si>
    <t>ID #</t>
  </si>
  <si>
    <t>State Gen Purp-Old</t>
  </si>
  <si>
    <t>State Gen Purp-New</t>
  </si>
  <si>
    <t>Local-Old</t>
  </si>
  <si>
    <t>Local-New</t>
  </si>
  <si>
    <t>Health State-Old</t>
  </si>
  <si>
    <t>Health State-New</t>
  </si>
  <si>
    <t>Health Tuition-Old</t>
  </si>
  <si>
    <t>Health Tuition-New</t>
  </si>
  <si>
    <t>Other Spec Purp State-Old</t>
  </si>
  <si>
    <t>Other Spec Purp State-New</t>
  </si>
  <si>
    <t>Other contract education programs</t>
  </si>
  <si>
    <t>National or regional associations, compacts or consortia</t>
  </si>
  <si>
    <t>Two-year system(s), if any</t>
  </si>
  <si>
    <t>Colleges and universities</t>
  </si>
  <si>
    <t>Administration of Statewide Student Aid Programs (including centralized guaranteed student loans)</t>
  </si>
  <si>
    <t>AL</t>
  </si>
  <si>
    <t>AR</t>
  </si>
  <si>
    <t>GA</t>
  </si>
  <si>
    <t>LA</t>
  </si>
  <si>
    <t>SC</t>
  </si>
  <si>
    <t>TX</t>
  </si>
  <si>
    <t>DE</t>
  </si>
  <si>
    <t>FL</t>
  </si>
  <si>
    <t>KY</t>
  </si>
  <si>
    <t>MD</t>
  </si>
  <si>
    <t>MS</t>
  </si>
  <si>
    <t>NC</t>
  </si>
  <si>
    <t>OK</t>
  </si>
  <si>
    <t>TN</t>
  </si>
  <si>
    <t>VA</t>
  </si>
  <si>
    <t>WV</t>
  </si>
  <si>
    <r>
      <t>SREB states</t>
    </r>
    <r>
      <rPr>
        <vertAlign val="superscript"/>
        <sz val="10"/>
        <rFont val="Arial"/>
        <family val="2"/>
      </rPr>
      <t>5</t>
    </r>
  </si>
  <si>
    <t>Sum of Tuition SP Debt-Old</t>
  </si>
  <si>
    <t>Total Sum of Tuition SP Debt-Old</t>
  </si>
  <si>
    <t>Sum of Tuition SP Tot-Old</t>
  </si>
  <si>
    <t>Total Sum of Tuition SP Tot-Old</t>
  </si>
  <si>
    <t>Sum of Tuition SP Ops-New</t>
  </si>
  <si>
    <t>Total Sum of Tuition SP Ops-New</t>
  </si>
  <si>
    <r>
      <t>Net Tuition &amp; Fees</t>
    </r>
    <r>
      <rPr>
        <b/>
        <vertAlign val="superscript"/>
        <sz val="8"/>
        <rFont val="Arial"/>
        <family val="2"/>
      </rPr>
      <t xml:space="preserve">2 </t>
    </r>
    <r>
      <rPr>
        <b/>
        <sz val="8"/>
        <rFont val="Arial"/>
        <family val="2"/>
      </rPr>
      <t>Available for Operations</t>
    </r>
  </si>
  <si>
    <t>Sum of Tuition Debt-New</t>
  </si>
  <si>
    <t>Total Sum of Tuition Debt-New</t>
  </si>
  <si>
    <r>
      <t>Total Public Funds Available for Operations</t>
    </r>
    <r>
      <rPr>
        <vertAlign val="superscript"/>
        <sz val="8"/>
        <rFont val="Arial"/>
        <family val="2"/>
      </rPr>
      <t xml:space="preserve">4 </t>
    </r>
  </si>
  <si>
    <r>
      <t>SREB states</t>
    </r>
    <r>
      <rPr>
        <vertAlign val="superscript"/>
        <sz val="10"/>
        <rFont val="Arial"/>
        <family val="2"/>
      </rPr>
      <t>2</t>
    </r>
  </si>
  <si>
    <t>Tuition SP Ops-Old</t>
  </si>
  <si>
    <t>Tuition SP Debt-Old</t>
  </si>
  <si>
    <t>Tuition SP Tot-Old</t>
  </si>
  <si>
    <t>Tuition SP Ops-New</t>
  </si>
  <si>
    <t>Tuition SP Debt-New</t>
  </si>
  <si>
    <t xml:space="preserve"> % change in tuition debt</t>
  </si>
  <si>
    <t>Total  % change in tuition debt</t>
  </si>
  <si>
    <t>Texas*</t>
  </si>
  <si>
    <t>Virginia*</t>
  </si>
  <si>
    <t>Specialized</t>
  </si>
  <si>
    <t>Public Four-Year Universities, Two-Year Colleges and Technical Institutes</t>
  </si>
  <si>
    <r>
      <t>SREB states</t>
    </r>
    <r>
      <rPr>
        <vertAlign val="superscript"/>
        <sz val="9"/>
        <rFont val="Arial"/>
        <family val="2"/>
      </rPr>
      <t>5</t>
    </r>
  </si>
  <si>
    <t>Total  % change in tuition sp debt</t>
  </si>
  <si>
    <t xml:space="preserve"> % change in tuition sp total</t>
  </si>
  <si>
    <t>Total  % change in tuition sp total</t>
  </si>
  <si>
    <t>category2</t>
  </si>
  <si>
    <t>Four-Year</t>
  </si>
  <si>
    <t>State support to private colleges other than student financial aid</t>
  </si>
  <si>
    <t>Contract education programs</t>
  </si>
  <si>
    <r>
      <t>5</t>
    </r>
    <r>
      <rPr>
        <sz val="8"/>
        <rFont val="Arial"/>
        <family val="2"/>
      </rPr>
      <t>The SREB states averages must be interpreted with caution because the number of states with each type of funding varies.</t>
    </r>
  </si>
  <si>
    <t>Sum of State Gen Purp-Old</t>
  </si>
  <si>
    <t>Specialized Total</t>
  </si>
  <si>
    <t>Health professions education funds to public campuses</t>
  </si>
  <si>
    <t>Total Funds-Old</t>
  </si>
  <si>
    <t>Total Funds-New</t>
  </si>
  <si>
    <t>Sum of State Ed Spec Purp-Old</t>
  </si>
  <si>
    <t>Total Sum of State Ed Spec Purp-Old</t>
  </si>
  <si>
    <t>Total-Old</t>
  </si>
  <si>
    <t>Total Total-Old</t>
  </si>
  <si>
    <t>Total-New</t>
  </si>
  <si>
    <t>Total Total-New</t>
  </si>
  <si>
    <t xml:space="preserve">*Texas reflects colleges except those in the Alamo Community College District and the Dallas County Community College District that were not reported by campus. </t>
  </si>
  <si>
    <t>Total E&amp;G-Old</t>
  </si>
  <si>
    <t>Total E&amp;G-New</t>
  </si>
  <si>
    <t>2D1c2</t>
  </si>
  <si>
    <t>2D1d</t>
  </si>
  <si>
    <t>Tuition SP Tot-New</t>
  </si>
  <si>
    <t>Gross Tuition and Fees Revenue</t>
  </si>
  <si>
    <t>Special Purpose Institutions Other Than Health Sciences</t>
  </si>
  <si>
    <t>2D1c</t>
  </si>
  <si>
    <t>2D1c1</t>
  </si>
  <si>
    <t>Total Sum of Tuition SP Tot-New</t>
  </si>
  <si>
    <t>Four-Year and Two-Year Universities, Colleges and Technical Institutes</t>
  </si>
  <si>
    <t>General Purpose Appropriations to Four-Year and Two-Year Universities, Colleges and Technical Institutes</t>
  </si>
  <si>
    <t>Total Sum of Health State-New</t>
  </si>
  <si>
    <t xml:space="preserve"> % change in health state</t>
  </si>
  <si>
    <t>Total  % change in health state</t>
  </si>
  <si>
    <t>Louisiana*</t>
  </si>
  <si>
    <t>2D1d1</t>
  </si>
  <si>
    <t>2D1d2</t>
  </si>
  <si>
    <t>For Operations</t>
  </si>
  <si>
    <t>For Debt Service</t>
  </si>
  <si>
    <t>To private sector students</t>
  </si>
  <si>
    <t>Sum of Tuition Ops-Old</t>
  </si>
  <si>
    <t>Total Sum of Tuition Ops-Old</t>
  </si>
  <si>
    <t>Sum of Tuition Debt-Old</t>
  </si>
  <si>
    <t>National or regional associations</t>
  </si>
  <si>
    <t>Administration of statewide student aid</t>
  </si>
  <si>
    <t>SREB contract program with private institutions</t>
  </si>
  <si>
    <t>SREB contract program with public institutions</t>
  </si>
  <si>
    <t>Statewide student financial aid</t>
  </si>
  <si>
    <r>
      <t>3</t>
    </r>
    <r>
      <rPr>
        <sz val="8"/>
        <rFont val="Arial"/>
        <family val="2"/>
      </rPr>
      <t>Tuition and fee revenue excluding state appropriations for student financial aid administered off campus awarded to public institution students and excluding tuition and fees revenues dedicated to debt service.</t>
    </r>
  </si>
  <si>
    <r>
      <t>3</t>
    </r>
    <r>
      <rPr>
        <sz val="8"/>
        <rFont val="Arial"/>
        <family val="2"/>
      </rPr>
      <t>Totals may not equal sum of the column due to rounding.</t>
    </r>
  </si>
  <si>
    <r>
      <t>3</t>
    </r>
    <r>
      <rPr>
        <sz val="8"/>
        <rFont val="Arial"/>
        <family val="2"/>
      </rPr>
      <t>The SREB states' averages must be interpreted with caution because the number of states with each type of funding varies.</t>
    </r>
  </si>
  <si>
    <t>Public Special Purpose Institutions Other Than Health Sciences</t>
  </si>
  <si>
    <t>Total Sum of Health Tuition-New</t>
  </si>
  <si>
    <t xml:space="preserve"> % change in health tuition</t>
  </si>
  <si>
    <t>Total  % change in health tuition</t>
  </si>
  <si>
    <t>Health professions education funds - to public campuses</t>
  </si>
  <si>
    <t>Total Sum of Tuition Debt-Old</t>
  </si>
  <si>
    <t>Sum of Tuition SP Ops-Old</t>
  </si>
  <si>
    <t>Total Sum of Tuition SP Ops-Old</t>
  </si>
  <si>
    <t>Sum of State Ed Spec Purp-New</t>
  </si>
  <si>
    <t>Total Sum of State Ed Spec Purp-New</t>
  </si>
  <si>
    <t xml:space="preserve"> % change in state ed spec purp</t>
  </si>
  <si>
    <t>General purpose funds to public campuses</t>
  </si>
  <si>
    <r>
      <t>4</t>
    </r>
    <r>
      <rPr>
        <sz val="8"/>
        <rFont val="Arial"/>
        <family val="2"/>
      </rPr>
      <t>Total of state appropriations, local appropriations and net tuition revenues available for operations.</t>
    </r>
  </si>
  <si>
    <t xml:space="preserve"> % change in tuition ops</t>
  </si>
  <si>
    <t>Total  % change in tuition ops</t>
  </si>
  <si>
    <t>Non need-based</t>
  </si>
  <si>
    <t>To public sector students</t>
  </si>
  <si>
    <t>2D1b</t>
  </si>
  <si>
    <t>2D2a</t>
  </si>
  <si>
    <t>2D2b</t>
  </si>
  <si>
    <t>2D3a</t>
  </si>
  <si>
    <t>2D3b</t>
  </si>
  <si>
    <t>Agricultural experiment stations</t>
  </si>
  <si>
    <t>Agricultural cooperative extension</t>
  </si>
  <si>
    <t>Non-credit continuing education</t>
  </si>
  <si>
    <t>Statewide student financial aid programs administered off campus</t>
  </si>
  <si>
    <t>FTE</t>
  </si>
  <si>
    <r>
      <t>Other Special Purpose</t>
    </r>
    <r>
      <rPr>
        <b/>
        <vertAlign val="superscript"/>
        <sz val="8"/>
        <rFont val="Arial"/>
        <family val="2"/>
      </rPr>
      <t>2</t>
    </r>
  </si>
  <si>
    <t>Item Group</t>
  </si>
  <si>
    <t>Item Group Code</t>
  </si>
  <si>
    <t>1A</t>
  </si>
  <si>
    <t>1B</t>
  </si>
  <si>
    <t>1B1</t>
  </si>
  <si>
    <t>1B2</t>
  </si>
  <si>
    <t>1B3</t>
  </si>
  <si>
    <t>1B4</t>
  </si>
  <si>
    <t>1B5</t>
  </si>
  <si>
    <t>1B6</t>
  </si>
  <si>
    <t>1B7</t>
  </si>
  <si>
    <t>1C</t>
  </si>
  <si>
    <t>1C1</t>
  </si>
  <si>
    <t>1C2</t>
  </si>
  <si>
    <t>1C3</t>
  </si>
  <si>
    <t>1C5</t>
  </si>
  <si>
    <t>1C6</t>
  </si>
  <si>
    <t>1C7</t>
  </si>
  <si>
    <t>1D</t>
  </si>
  <si>
    <t>2A</t>
  </si>
  <si>
    <t>2A1</t>
  </si>
  <si>
    <t>2A2</t>
  </si>
  <si>
    <t>2A3</t>
  </si>
  <si>
    <t>2A4</t>
  </si>
  <si>
    <t>2B</t>
  </si>
  <si>
    <t>2C</t>
  </si>
  <si>
    <t>2C1</t>
  </si>
  <si>
    <t>2C2</t>
  </si>
  <si>
    <t>2C3</t>
  </si>
  <si>
    <t>2D</t>
  </si>
  <si>
    <t>2D1</t>
  </si>
  <si>
    <t>2D2</t>
  </si>
  <si>
    <t>2D3</t>
  </si>
  <si>
    <t>Other</t>
  </si>
  <si>
    <t>Total  % change in tuition sp ops</t>
  </si>
  <si>
    <t>Total  % change in state ed spec purp</t>
  </si>
  <si>
    <t xml:space="preserve"> % change in local</t>
  </si>
  <si>
    <t>Total  % change in local</t>
  </si>
  <si>
    <t>Support to private colleges other than student financial aid</t>
  </si>
  <si>
    <t>1E</t>
  </si>
  <si>
    <t>1F</t>
  </si>
  <si>
    <t>1G</t>
  </si>
  <si>
    <t>Health professions education funds to specialized institutions</t>
  </si>
  <si>
    <t>Special purpose institutions other than health professions education</t>
  </si>
  <si>
    <r>
      <t>Net Tuition &amp; Fee Revenue</t>
    </r>
    <r>
      <rPr>
        <b/>
        <vertAlign val="superscript"/>
        <sz val="8"/>
        <rFont val="Arial"/>
        <family val="2"/>
      </rPr>
      <t>2</t>
    </r>
  </si>
  <si>
    <t>Limited to private college students</t>
  </si>
  <si>
    <t>Engineering experiment stations</t>
  </si>
  <si>
    <t>Research centers/institutes</t>
  </si>
  <si>
    <t>2D1a</t>
  </si>
  <si>
    <t>Need-based</t>
  </si>
  <si>
    <r>
      <t>2</t>
    </r>
    <r>
      <rPr>
        <sz val="8"/>
        <rFont val="Arial"/>
        <family val="2"/>
      </rPr>
      <t>System operations, state support to private colleges other than student aid, contract education and statewide student financial aid administered off campus.</t>
    </r>
  </si>
  <si>
    <r>
      <t>Distribution of Public</t>
    </r>
    <r>
      <rPr>
        <b/>
        <vertAlign val="superscript"/>
        <sz val="12"/>
        <rFont val="Arial"/>
        <family val="2"/>
      </rPr>
      <t>1</t>
    </r>
    <r>
      <rPr>
        <b/>
        <sz val="12"/>
        <rFont val="Arial"/>
        <family val="2"/>
      </rPr>
      <t xml:space="preserve"> Funds for Higher Education-Related Operations</t>
    </r>
  </si>
  <si>
    <r>
      <t>Other Special Purpose</t>
    </r>
    <r>
      <rPr>
        <b/>
        <vertAlign val="superscript"/>
        <sz val="8"/>
        <rFont val="Arial"/>
        <family val="2"/>
      </rPr>
      <t>3</t>
    </r>
  </si>
  <si>
    <t>Health Professions</t>
  </si>
  <si>
    <t>Sub-Total</t>
  </si>
  <si>
    <t>Sum of Tuition Tot-Old</t>
  </si>
  <si>
    <t>Sum of Health Tuition-New</t>
  </si>
  <si>
    <t>Community or public service units</t>
  </si>
  <si>
    <t>Alabama</t>
  </si>
  <si>
    <t>Delaware</t>
  </si>
  <si>
    <t>Kentucky</t>
  </si>
  <si>
    <t>Mississippi</t>
  </si>
  <si>
    <t>North Carolina</t>
  </si>
  <si>
    <t>South Carolina</t>
  </si>
  <si>
    <t>Texas</t>
  </si>
  <si>
    <t>Virginia</t>
  </si>
  <si>
    <t>Florida</t>
  </si>
  <si>
    <t>Georgia</t>
  </si>
  <si>
    <t>Louisiana</t>
  </si>
  <si>
    <t>Oklahoma</t>
  </si>
  <si>
    <t>West Virginia</t>
  </si>
  <si>
    <t>Maryland</t>
  </si>
  <si>
    <t>Arkansas</t>
  </si>
  <si>
    <t>Grand Total</t>
  </si>
  <si>
    <t>A. Funds for E&amp;G Operations</t>
  </si>
  <si>
    <t>Funds for 
Non-Specialized Campus Operations</t>
  </si>
  <si>
    <t>Special Purpose Funds</t>
  </si>
  <si>
    <r>
      <t>1</t>
    </r>
    <r>
      <rPr>
        <sz val="8"/>
        <rFont val="Arial"/>
        <family val="2"/>
      </rPr>
      <t>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 revenue. Items in "A. General-purpose funds to public campuses and educational special-purpose funds to public campuses are the basis for the per student funding statistics.</t>
    </r>
  </si>
  <si>
    <r>
      <t>Distribution of Funds</t>
    </r>
    <r>
      <rPr>
        <b/>
        <sz val="12"/>
        <rFont val="Arial"/>
        <family val="2"/>
      </rPr>
      <t xml:space="preserve"> for Higher Education-Related Operations</t>
    </r>
  </si>
  <si>
    <r>
      <t>General-purpose funds to public campuses</t>
    </r>
    <r>
      <rPr>
        <b/>
        <vertAlign val="superscript"/>
        <sz val="10"/>
        <rFont val="Arial"/>
        <family val="2"/>
      </rPr>
      <t>1</t>
    </r>
  </si>
  <si>
    <r>
      <t>Educational special-purpose funds to public campuses</t>
    </r>
    <r>
      <rPr>
        <b/>
        <vertAlign val="superscript"/>
        <sz val="10"/>
        <rFont val="Arial"/>
        <family val="2"/>
      </rPr>
      <t>1</t>
    </r>
  </si>
  <si>
    <t>billion</t>
  </si>
  <si>
    <t>million</t>
  </si>
  <si>
    <r>
      <t>General-purpose funds to public campuses</t>
    </r>
    <r>
      <rPr>
        <b/>
        <vertAlign val="superscript"/>
        <sz val="8"/>
        <rFont val="Arial"/>
        <family val="2"/>
      </rPr>
      <t>1</t>
    </r>
  </si>
  <si>
    <r>
      <t>Educational special-purpose funds to public campuses</t>
    </r>
    <r>
      <rPr>
        <b/>
        <vertAlign val="superscript"/>
        <sz val="8"/>
        <rFont val="Arial"/>
        <family val="2"/>
      </rPr>
      <t>1</t>
    </r>
  </si>
  <si>
    <t>Funds for Non- Specialized Campus Operations</t>
  </si>
  <si>
    <t>Sub-total for per FTE Funding Statistics</t>
  </si>
  <si>
    <t>Technical Institute or College Size Unknown, 2009-10</t>
  </si>
  <si>
    <t>Health Tuition Debt - Old</t>
  </si>
  <si>
    <t>Health Tuition Debt - New</t>
  </si>
  <si>
    <r>
      <t xml:space="preserve">Educational special purpose funds - </t>
    </r>
    <r>
      <rPr>
        <b/>
        <u/>
        <sz val="10"/>
        <rFont val="Arial"/>
        <family val="2"/>
      </rPr>
      <t>to public campuses</t>
    </r>
  </si>
  <si>
    <r>
      <t xml:space="preserve">Educational special purpose funds - to </t>
    </r>
    <r>
      <rPr>
        <b/>
        <u/>
        <sz val="10"/>
        <rFont val="Arial"/>
        <family val="2"/>
      </rPr>
      <t>statewide units</t>
    </r>
  </si>
  <si>
    <t>Precent Changes</t>
  </si>
  <si>
    <t>Table 113</t>
  </si>
  <si>
    <t>Table 114</t>
  </si>
  <si>
    <t>Table 115</t>
  </si>
  <si>
    <t>Table 116</t>
  </si>
  <si>
    <t>Table 117</t>
  </si>
  <si>
    <t>Table 118</t>
  </si>
  <si>
    <t>Table 119</t>
  </si>
  <si>
    <t>Table 120</t>
  </si>
  <si>
    <t>Table 121</t>
  </si>
  <si>
    <t>Table 122</t>
  </si>
  <si>
    <t>Table 123</t>
  </si>
  <si>
    <t>Table 124</t>
  </si>
  <si>
    <t>Table 125</t>
  </si>
  <si>
    <t>Table 126</t>
  </si>
  <si>
    <t>Table 127</t>
  </si>
  <si>
    <t>Table 128</t>
  </si>
  <si>
    <t>Table 129</t>
  </si>
  <si>
    <t>Table 130</t>
  </si>
  <si>
    <t>Table 131</t>
  </si>
  <si>
    <t>Base Table-NEW</t>
  </si>
  <si>
    <t>Base Table-OLD</t>
  </si>
  <si>
    <t>Simplified Table-NEW</t>
  </si>
  <si>
    <t>Simplified Table-OLD</t>
  </si>
  <si>
    <t>SUMMARY FIGURES FOR HIGHLIGHTS REPORT</t>
  </si>
  <si>
    <t>Change</t>
  </si>
  <si>
    <t>FTE-NEW</t>
  </si>
  <si>
    <t>FTE-OLD</t>
  </si>
  <si>
    <t>Amounts For FB 75</t>
  </si>
  <si>
    <t>Tuition</t>
  </si>
  <si>
    <t>NEW Per FTE for Highlights</t>
  </si>
  <si>
    <t>OLD Per FTE for Highlights</t>
  </si>
  <si>
    <t>State/Local</t>
  </si>
  <si>
    <t>Percent Changes</t>
  </si>
  <si>
    <t>For Highlights</t>
  </si>
  <si>
    <r>
      <t>3</t>
    </r>
    <r>
      <rPr>
        <sz val="8"/>
        <rFont val="Arial"/>
        <family val="2"/>
      </rPr>
      <t xml:space="preserve">The SREB states' averages must be interpreted with caution because the number of states with each type of funding varies. </t>
    </r>
  </si>
  <si>
    <t>By Source and Purpose, All Types and Statewide……..OLD</t>
  </si>
  <si>
    <t>Do sorting in Highlights sheet to keep ability to calculate here.</t>
  </si>
  <si>
    <r>
      <t>SREB states</t>
    </r>
    <r>
      <rPr>
        <b/>
        <vertAlign val="superscript"/>
        <sz val="9"/>
        <rFont val="Arial"/>
        <family val="2"/>
      </rPr>
      <t>2</t>
    </r>
  </si>
  <si>
    <r>
      <t>SREB</t>
    </r>
    <r>
      <rPr>
        <b/>
        <vertAlign val="superscript"/>
        <sz val="9"/>
        <rFont val="Arial"/>
        <family val="2"/>
      </rPr>
      <t>2</t>
    </r>
  </si>
  <si>
    <r>
      <t>Other Special Purpose</t>
    </r>
    <r>
      <rPr>
        <b/>
        <vertAlign val="superscript"/>
        <sz val="9"/>
        <rFont val="Arial"/>
        <family val="2"/>
      </rPr>
      <t>2</t>
    </r>
  </si>
  <si>
    <r>
      <t>Net Tuition &amp; Fees</t>
    </r>
    <r>
      <rPr>
        <b/>
        <vertAlign val="superscript"/>
        <sz val="9"/>
        <color indexed="18"/>
        <rFont val="Arial"/>
        <family val="2"/>
      </rPr>
      <t xml:space="preserve"> </t>
    </r>
    <r>
      <rPr>
        <b/>
        <sz val="9"/>
        <color indexed="18"/>
        <rFont val="Arial"/>
        <family val="2"/>
      </rPr>
      <t>Available for Operations</t>
    </r>
    <r>
      <rPr>
        <b/>
        <vertAlign val="superscript"/>
        <sz val="9"/>
        <color indexed="18"/>
        <rFont val="Arial"/>
        <family val="2"/>
      </rPr>
      <t>3</t>
    </r>
  </si>
  <si>
    <r>
      <t>Total Funds Available for Operations</t>
    </r>
    <r>
      <rPr>
        <vertAlign val="superscript"/>
        <sz val="9"/>
        <color indexed="18"/>
        <rFont val="Arial"/>
        <family val="2"/>
      </rPr>
      <t xml:space="preserve">4 </t>
    </r>
  </si>
  <si>
    <r>
      <t>Net Tuition &amp; Fee Revenue</t>
    </r>
    <r>
      <rPr>
        <b/>
        <vertAlign val="superscript"/>
        <sz val="9"/>
        <rFont val="Arial"/>
        <family val="2"/>
      </rPr>
      <t>2</t>
    </r>
  </si>
  <si>
    <t>Sub-Total Revenue</t>
  </si>
  <si>
    <r>
      <t xml:space="preserve">Total for Operations                         </t>
    </r>
    <r>
      <rPr>
        <i/>
        <sz val="10"/>
        <color rgb="FF0000FF"/>
        <rFont val="Arial"/>
        <family val="2"/>
      </rPr>
      <t>(Net Debt Service)</t>
    </r>
  </si>
  <si>
    <t>Non-Med Specialized Tuition and Fee Revenue (estimated)</t>
  </si>
  <si>
    <t>Med-Specialized Tuition &amp; Fee Revenue (estimated)</t>
  </si>
  <si>
    <t>Total Funds (A+B+C)</t>
  </si>
  <si>
    <t>Classificatin Notes</t>
  </si>
  <si>
    <t>Technical Institute or College Size Unknown, 2010-11</t>
  </si>
  <si>
    <t>Percent Change</t>
  </si>
  <si>
    <t>New$</t>
  </si>
  <si>
    <t>lines</t>
  </si>
  <si>
    <t>By Source and Purpose, All Types and Statewide</t>
  </si>
  <si>
    <t>Amounts For FB</t>
  </si>
  <si>
    <t>For use in FB</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</si>
  <si>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</si>
  <si>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</si>
  <si>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Institution</t>
  </si>
  <si>
    <t>Classification Notes</t>
  </si>
  <si>
    <t>IPEDS #</t>
  </si>
  <si>
    <t>Category</t>
  </si>
  <si>
    <r>
      <t>(</t>
    </r>
    <r>
      <rPr>
        <vertAlign val="superscript"/>
        <sz val="10"/>
        <rFont val="Arial"/>
        <family val="2"/>
      </rPr>
      <t xml:space="preserve">1 </t>
    </r>
    <r>
      <rPr>
        <sz val="10"/>
        <rFont val="Arial"/>
        <family val="2"/>
      </rPr>
      <t xml:space="preserve">State + local + tuition and fees. </t>
    </r>
    <r>
      <rPr>
        <vertAlign val="superscript"/>
        <sz val="10"/>
        <rFont val="Arial"/>
        <family val="2"/>
      </rPr>
      <t xml:space="preserve"> 2</t>
    </r>
    <r>
      <rPr>
        <sz val="10"/>
        <rFont val="Arial"/>
        <family val="2"/>
      </rPr>
      <t>System operations, state support to private colleges other than student aid, contract education and statewide student financial aid administered off campus and Special Purpose institutions.)</t>
    </r>
  </si>
  <si>
    <t>% Change</t>
  </si>
  <si>
    <t>1. System Operations, State Support to Private Colleges other than student aid, contract education and statewide student aid adm. off campus and non-med Special purp insts.</t>
  </si>
  <si>
    <t>2. Health Professions Education &amp; Institutions</t>
  </si>
  <si>
    <t>B. Other Special Purpose Funds and Funds for Health Professions Education</t>
  </si>
  <si>
    <t>(Multiple Items)</t>
  </si>
  <si>
    <t>Technical</t>
  </si>
  <si>
    <t>Technical Total</t>
  </si>
  <si>
    <t>Two-Year</t>
  </si>
  <si>
    <t>Two-Year Total</t>
  </si>
  <si>
    <t>Special line items for E&amp;G operations</t>
  </si>
  <si>
    <t xml:space="preserve">Special line items for E&amp;G operations </t>
  </si>
  <si>
    <t>Education special-purpose--all other</t>
  </si>
  <si>
    <t>2013-14</t>
  </si>
  <si>
    <r>
      <t>Part 6: Funds</t>
    </r>
    <r>
      <rPr>
        <b/>
        <vertAlign val="superscript"/>
        <sz val="10"/>
        <color theme="0"/>
        <rFont val="Arial"/>
        <family val="2"/>
      </rPr>
      <t>1</t>
    </r>
    <r>
      <rPr>
        <b/>
        <sz val="10"/>
        <color theme="0"/>
        <rFont val="Arial"/>
        <family val="2"/>
      </rPr>
      <t xml:space="preserve"> for Public Colleges, Universities and Technical Institutes and for Other</t>
    </r>
    <r>
      <rPr>
        <b/>
        <vertAlign val="superscript"/>
        <sz val="10"/>
        <color theme="0"/>
        <rFont val="Arial"/>
        <family val="2"/>
      </rPr>
      <t>2</t>
    </r>
    <r>
      <rPr>
        <b/>
        <sz val="10"/>
        <color theme="0"/>
        <rFont val="Arial"/>
        <family val="2"/>
      </rPr>
      <t xml:space="preserve"> Higher Education-Related Operating Expenses</t>
    </r>
  </si>
  <si>
    <t>Public Four-Year, 2013-14</t>
  </si>
  <si>
    <t>All Two-Year, 2013-14</t>
  </si>
  <si>
    <t>By Purpose, Summary Distribution, 2013-14</t>
  </si>
  <si>
    <t>By Purpose, Detail Distribution, 2013-14</t>
  </si>
  <si>
    <t>By Source and Purpose, 2013-14</t>
  </si>
  <si>
    <t>Public Four-Year 1, 2013-14</t>
  </si>
  <si>
    <t>Public Four-Year 2, 2013-14</t>
  </si>
  <si>
    <t>Public Four-Year 3, 2013-14</t>
  </si>
  <si>
    <t>Public Four-Year 4, 2013-14</t>
  </si>
  <si>
    <t>Public Four-Year 5, 2013-14</t>
  </si>
  <si>
    <t>Public Four-Year 6, 2013-14</t>
  </si>
  <si>
    <t>Two-Year with Bachelor's, 2013-14</t>
  </si>
  <si>
    <t>Two-Year 1, 2013-14</t>
  </si>
  <si>
    <t>XXX Table 131b</t>
  </si>
  <si>
    <t>XX Table 131b</t>
  </si>
  <si>
    <t>2014-15</t>
  </si>
  <si>
    <t xml:space="preserve">Georgia State University </t>
  </si>
  <si>
    <t>University of Georgia</t>
  </si>
  <si>
    <t>Heatlh Professions Education</t>
  </si>
  <si>
    <t>College of Veterinary Medicine</t>
  </si>
  <si>
    <t>Vet Med Teaching Hospital</t>
  </si>
  <si>
    <t>Public Service Units</t>
  </si>
  <si>
    <t>Ag Cooperative Extension Service</t>
  </si>
  <si>
    <t>Ag Experiment Stations</t>
  </si>
  <si>
    <t>Research Units</t>
  </si>
  <si>
    <t>Marine Extension Service</t>
  </si>
  <si>
    <t>Vet Med Exp Station</t>
  </si>
  <si>
    <t>Marine Institute</t>
  </si>
  <si>
    <t>Forest Research</t>
  </si>
  <si>
    <t>Skidaway Inst of Oceanography</t>
  </si>
  <si>
    <t>Georgia Institute of Technology</t>
  </si>
  <si>
    <t>Advanced Technology Development Center</t>
  </si>
  <si>
    <t>Eng Experiment Station (Ga. Tech. Resch Inst.)</t>
  </si>
  <si>
    <t>Georgia Southern University</t>
  </si>
  <si>
    <t>Kennesaw State University</t>
  </si>
  <si>
    <t>University of West Georgia</t>
  </si>
  <si>
    <t>Valdosta State University</t>
  </si>
  <si>
    <t xml:space="preserve">Albany State University </t>
  </si>
  <si>
    <t>Armstrong Atlantic State University</t>
  </si>
  <si>
    <t>Columbus State University</t>
  </si>
  <si>
    <t>Georgia College and State University</t>
  </si>
  <si>
    <t>Georgia Regents University</t>
  </si>
  <si>
    <t>University of North Georgia</t>
  </si>
  <si>
    <t>Clayton State University</t>
  </si>
  <si>
    <t>Fort Valley State University</t>
  </si>
  <si>
    <t>Georgia Southwestern State University</t>
  </si>
  <si>
    <t>Savannah State University</t>
  </si>
  <si>
    <t xml:space="preserve">Dalton State College </t>
  </si>
  <si>
    <t>Georgia Gwinnett College</t>
  </si>
  <si>
    <t>Middle Georgia State College</t>
  </si>
  <si>
    <t xml:space="preserve">Abraham Baldwin Agricultural College </t>
  </si>
  <si>
    <t>College of Coastal Georgia</t>
  </si>
  <si>
    <t xml:space="preserve">Gordon State College </t>
  </si>
  <si>
    <t xml:space="preserve">Georgia Perimeter College </t>
  </si>
  <si>
    <t>Atlanta Metropolitan State College</t>
  </si>
  <si>
    <t xml:space="preserve">Bainbridge State College </t>
  </si>
  <si>
    <t xml:space="preserve">Darton State College </t>
  </si>
  <si>
    <t>East Georgia State College</t>
  </si>
  <si>
    <t xml:space="preserve">Georgia Highlands College </t>
  </si>
  <si>
    <t>South Georgia State College</t>
  </si>
  <si>
    <t>Southern Polytechnic State University</t>
  </si>
  <si>
    <t>Statewide Special-Purpose Units</t>
  </si>
  <si>
    <t>Georgia Archives</t>
  </si>
  <si>
    <t>Georgia Public Libraries</t>
  </si>
  <si>
    <t>Education special purpose funds -all other</t>
  </si>
  <si>
    <t>Residence Instruction Reserve</t>
  </si>
  <si>
    <t>Office of Information and Instructional Technology</t>
  </si>
  <si>
    <t>(SHARED SERVICES) University System Regents</t>
  </si>
  <si>
    <t>"RCO A"</t>
  </si>
  <si>
    <t>"RCO B"</t>
  </si>
  <si>
    <t>SREB membership</t>
  </si>
  <si>
    <t>Doctoral Scholars</t>
  </si>
  <si>
    <t>Adm. of Statewide Student Aid Progs. (incldng centralized guaranteed student loans)</t>
  </si>
  <si>
    <t>Ga Student Finance Commission</t>
  </si>
  <si>
    <t>State Support to Private Colleges Other Than Student Aid</t>
  </si>
  <si>
    <t>Ga Military College</t>
  </si>
  <si>
    <t>Mercer University (Medicine)</t>
  </si>
  <si>
    <t>Morehouse School of Medicine</t>
  </si>
  <si>
    <t>Contract Education Programs</t>
  </si>
  <si>
    <t>SREB contract program with private colleges</t>
  </si>
  <si>
    <t>Georgia Military College</t>
  </si>
  <si>
    <t>Southern College (Optometry)</t>
  </si>
  <si>
    <t>Nova Southeastern University (Osteopathic Medicine)</t>
  </si>
  <si>
    <t>SREB contract program with public colleges</t>
  </si>
  <si>
    <t>University of Alabama at Birmingham (Medicine)</t>
  </si>
  <si>
    <t>Other contracted programs (Med. Student Capitation Grants)</t>
  </si>
  <si>
    <t>Emory University (Medicine)</t>
  </si>
  <si>
    <t xml:space="preserve">Philadelphia College of Osteopathic Medicine – Georgia Campus </t>
  </si>
  <si>
    <t>Statewide Student Financial Aid Programs Administered Off Campus</t>
  </si>
  <si>
    <t>Public Safety Memorial Grant</t>
  </si>
  <si>
    <t>Amount to public sector students</t>
  </si>
  <si>
    <t>Amount to private sector students</t>
  </si>
  <si>
    <t>Engineer Scholarships</t>
  </si>
  <si>
    <t>Limited to public college students only</t>
  </si>
  <si>
    <t>HOPE Scholarships</t>
  </si>
  <si>
    <t>Georgia Military College Scholarships</t>
  </si>
  <si>
    <t>Reclassified: met the criteria for Four-Year 4 in 2012-13, 2013-14, and 2014-15.</t>
  </si>
  <si>
    <t>Met the criteria for Four-Year 4 in 2013-14 and 2014-15.</t>
  </si>
  <si>
    <t xml:space="preserve">Met the criteria for Four-Year 6 in 2014-15. </t>
  </si>
  <si>
    <t xml:space="preserve">Met the criteria for Two-Year with Bachelor's in 2014-15. </t>
  </si>
  <si>
    <t>Met the criteria for Two-Year 3 in 2014-15.</t>
  </si>
  <si>
    <t>Mississippi State University</t>
  </si>
  <si>
    <t>Vet Med School</t>
  </si>
  <si>
    <t>Agricultural Cooperative Extension</t>
  </si>
  <si>
    <t>Agricultural Experiment Stations</t>
  </si>
  <si>
    <t>State Chemical Lab</t>
  </si>
  <si>
    <t>Forest/wildlife Research Center</t>
  </si>
  <si>
    <t>Water resources institute</t>
  </si>
  <si>
    <t>Stennis Institute</t>
  </si>
  <si>
    <t>Advanced Vehicular Systems</t>
  </si>
  <si>
    <t>University of Southern Mississippi</t>
  </si>
  <si>
    <t>Gulf-Coast Research Lab</t>
  </si>
  <si>
    <t>Polymer Institute</t>
  </si>
  <si>
    <t>Stennis Center</t>
  </si>
  <si>
    <t xml:space="preserve">Jackson State University </t>
  </si>
  <si>
    <t>Urban Research Center</t>
  </si>
  <si>
    <t>University of Mississippi</t>
  </si>
  <si>
    <t>Community/Public Service  Units</t>
  </si>
  <si>
    <t>Small Business Development Ctr.</t>
  </si>
  <si>
    <t>Pharmaceutical research</t>
  </si>
  <si>
    <t>Law Research Institute</t>
  </si>
  <si>
    <t>Mineral Resources Institute</t>
  </si>
  <si>
    <t>Supercomputer</t>
  </si>
  <si>
    <t xml:space="preserve">Center for Manufacturing Excellence </t>
  </si>
  <si>
    <t>Alcorn State University</t>
  </si>
  <si>
    <t>Agricultural Units</t>
  </si>
  <si>
    <t>Delta State University</t>
  </si>
  <si>
    <t>Mississippi Valley State University</t>
  </si>
  <si>
    <t>Mississippi University for Women</t>
  </si>
  <si>
    <t>University of Mississippi Medical Center</t>
  </si>
  <si>
    <t>Volunteer Commission</t>
  </si>
  <si>
    <t>Education special purpose funds — all other</t>
  </si>
  <si>
    <t>AYERS Endowment/Summer Programs</t>
  </si>
  <si>
    <t>Ms Board of Trustees I.H.L</t>
  </si>
  <si>
    <t>SREB</t>
  </si>
  <si>
    <t>Student Financial Aid Administration</t>
  </si>
  <si>
    <t>Southern College of Optometry</t>
  </si>
  <si>
    <t>Edward Via VA College of Osteopathic Medicine</t>
  </si>
  <si>
    <t>University of Houston (Optometry)</t>
  </si>
  <si>
    <t>University of Alabama at Birmingham (Optometry)</t>
  </si>
  <si>
    <t>Higher Education Legislative Plan</t>
  </si>
  <si>
    <t>Scholarship/Grant Programs</t>
  </si>
  <si>
    <t>Need-based (GUMS and State LEAP)</t>
  </si>
  <si>
    <t>Non need-based (CGSA)</t>
  </si>
  <si>
    <t>Critical NeedsTeacherScholarship</t>
  </si>
  <si>
    <t>Amount to private sector students Non need-based</t>
  </si>
  <si>
    <t>MS Resident Tuition Assistance Grant</t>
  </si>
  <si>
    <t>MS Eminent Scholars Grant</t>
  </si>
  <si>
    <t>Loan/Scholarship Programs</t>
  </si>
  <si>
    <t>Mississippi Teacher Loan Repayment Program</t>
  </si>
  <si>
    <t>Need-based (SUMD)</t>
  </si>
  <si>
    <t>Non need-based (DENT, LAW, MED,PMGT, SDSP, VMMP,NISS)</t>
  </si>
  <si>
    <t>Limited to private college students only</t>
  </si>
  <si>
    <t>Non need-based (STSC)</t>
  </si>
  <si>
    <t xml:space="preserve">Auburn University  </t>
  </si>
  <si>
    <t>Veterinary School</t>
  </si>
  <si>
    <t>Educational Special-Purpose funds to public campuses</t>
  </si>
  <si>
    <t>Teacher In-service Center</t>
  </si>
  <si>
    <t>Cyber Security Center</t>
  </si>
  <si>
    <t xml:space="preserve">University of Alabama </t>
  </si>
  <si>
    <t>Health Center</t>
  </si>
  <si>
    <t>AL Center for Civic Life</t>
  </si>
  <si>
    <t>Small Business Institute of Commerce</t>
  </si>
  <si>
    <t>Special Outreach PGM</t>
  </si>
  <si>
    <t>Institute for Automotive Eng</t>
  </si>
  <si>
    <t>Trails Commission</t>
  </si>
  <si>
    <t>Ctr fot Ethics &amp; Social Responsibility</t>
  </si>
  <si>
    <t>Insurance Info &amp; Res Ctr</t>
  </si>
  <si>
    <t>Water Resource Center</t>
  </si>
  <si>
    <t>University of Alabama at Birmingham</t>
  </si>
  <si>
    <t>Medical Center</t>
  </si>
  <si>
    <t>Chauncey-Sparks Mental Health Center</t>
  </si>
  <si>
    <t>James Cystic Fibrosis Ctr</t>
  </si>
  <si>
    <t>Diabetes Res Ctr</t>
  </si>
  <si>
    <t>T.J. Atchison Spinal Cord Inj Res</t>
  </si>
  <si>
    <t>Minority Bus Training Econ Dev Pgm</t>
  </si>
  <si>
    <t>University of Alabama in Huntsville</t>
  </si>
  <si>
    <t>Climatology Prg</t>
  </si>
  <si>
    <t>Alabama Agricultural &amp; Mechanical University</t>
  </si>
  <si>
    <t>Black Archives Museum</t>
  </si>
  <si>
    <t>Huntsville Network for Urban School Renewal</t>
  </si>
  <si>
    <t>Agricultural</t>
  </si>
  <si>
    <t>AL Agricultural LG Alliance</t>
  </si>
  <si>
    <t xml:space="preserve">Jacksonville State University </t>
  </si>
  <si>
    <t>Little River Canyon Field School</t>
  </si>
  <si>
    <t>AL Film Initiative</t>
  </si>
  <si>
    <t>AL Scenic River Trail</t>
  </si>
  <si>
    <t>Troy University</t>
  </si>
  <si>
    <t>Ctr for International Bus &amp; Econ Development</t>
  </si>
  <si>
    <t>Transfer Ag Center Board</t>
  </si>
  <si>
    <t>University of South Alabama</t>
  </si>
  <si>
    <t xml:space="preserve">Alabama State University </t>
  </si>
  <si>
    <t>Auburn University at Montgomery</t>
  </si>
  <si>
    <t>Institute for Accoutability &amp; Governement Efficiency</t>
  </si>
  <si>
    <t>Senior Resource Center</t>
  </si>
  <si>
    <t>University of North Alabama</t>
  </si>
  <si>
    <t>University of Montevallo</t>
  </si>
  <si>
    <t>American Village</t>
  </si>
  <si>
    <t>University of West Alabama</t>
  </si>
  <si>
    <t>AL Medical Ed Consortium</t>
  </si>
  <si>
    <t>Econ &amp; Small Bus Devel Prm</t>
  </si>
  <si>
    <t>National Young Farmers Ed Assoc</t>
  </si>
  <si>
    <t>Athens State University</t>
  </si>
  <si>
    <t>Gadsden State Community College</t>
  </si>
  <si>
    <t>Special line items for education operations</t>
  </si>
  <si>
    <t>Special Population Training</t>
  </si>
  <si>
    <t>Adult Basic Education</t>
  </si>
  <si>
    <t>Workforce Development</t>
  </si>
  <si>
    <t>Dual Enrollment</t>
  </si>
  <si>
    <t>Jefferson State Community College</t>
  </si>
  <si>
    <t xml:space="preserve">John C. Calhoun State Community College </t>
  </si>
  <si>
    <t>Wallace Community College - Hanceville</t>
  </si>
  <si>
    <t>Bevill State Community College</t>
  </si>
  <si>
    <t>Bishop State Community College</t>
  </si>
  <si>
    <t>Central Alabama Community College</t>
  </si>
  <si>
    <t>Enterprise State Community College</t>
  </si>
  <si>
    <t>George C. Wallace Community College - Dothan</t>
  </si>
  <si>
    <t>James H. Faulkner State Community College</t>
  </si>
  <si>
    <t xml:space="preserve">Lawson State Community College </t>
  </si>
  <si>
    <t xml:space="preserve">Northeast Alabama State Community College </t>
  </si>
  <si>
    <t xml:space="preserve">Northwest-Shoals Community College </t>
  </si>
  <si>
    <t>Shelton State Community College</t>
  </si>
  <si>
    <t>Southern Union State Community College</t>
  </si>
  <si>
    <t>Alabama Southern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</si>
  <si>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</si>
  <si>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</si>
  <si>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</si>
  <si>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</si>
  <si>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</si>
  <si>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Trenholm State Technical College</t>
  </si>
  <si>
    <t xml:space="preserve">J.F. Drake State Technical College </t>
  </si>
  <si>
    <t xml:space="preserve">J.F. Ingram State Technical College </t>
  </si>
  <si>
    <t xml:space="preserve">Reid State Technical College </t>
  </si>
  <si>
    <t>Marion Military Institute</t>
  </si>
  <si>
    <t>Educational special purpose funds - to statewide units</t>
  </si>
  <si>
    <t>Exprmntl Prog. for the Stimulation of Competitive Rsrch (EPSCOR) Consort.</t>
  </si>
  <si>
    <t>MESC/Dauphin Isl Sealab/Marine Environmental Sci Consort.</t>
  </si>
  <si>
    <t>Network of Al Academic Libraries (NAAL)</t>
  </si>
  <si>
    <t>AL Firefighters' Personnel Standards &amp; Ed Commission’s “Alabama Fire College”</t>
  </si>
  <si>
    <t>Alabama Technology Network</t>
  </si>
  <si>
    <t>Prison Education - Therapeutic Training</t>
  </si>
  <si>
    <t>LifeTech</t>
  </si>
  <si>
    <t>Washington Ctr Internship Pgm</t>
  </si>
  <si>
    <t>Continuing Ed for EMT Personnel</t>
  </si>
  <si>
    <t>Mine Safety Training Pgm</t>
  </si>
  <si>
    <t>Educational special purpose funds - all other</t>
  </si>
  <si>
    <t xml:space="preserve">Articulation </t>
  </si>
  <si>
    <t>Arts Council</t>
  </si>
  <si>
    <t>Adaptive &amp; Disability Sports ED</t>
  </si>
  <si>
    <t>Knight v Alabama</t>
  </si>
  <si>
    <t xml:space="preserve">School &amp; University Partnership for Education Renewal </t>
  </si>
  <si>
    <t>Alabama Innovation Fund</t>
  </si>
  <si>
    <t xml:space="preserve">Commission on Higher Education (CHE) Operations </t>
  </si>
  <si>
    <t>Department of Postsecondary Education Operations</t>
  </si>
  <si>
    <t>Two Year College appropriation not yet Distributed</t>
  </si>
  <si>
    <t>SREB Membership  *</t>
  </si>
  <si>
    <t>SREB ACHE Administrative Costs</t>
  </si>
  <si>
    <t>Adm. of Statewide Student Aid Progs. (including centralized guaranteed student loans)</t>
  </si>
  <si>
    <t>AL A&amp;M-Miles College Consortium</t>
  </si>
  <si>
    <t>Talladega College</t>
  </si>
  <si>
    <t>Tuskegee University</t>
  </si>
  <si>
    <t>AL Agricultural LG Alliance Tuskegee University</t>
  </si>
  <si>
    <t>Meharry Medical College (Dentistry &amp; Medicine)</t>
  </si>
  <si>
    <t>for medical students</t>
  </si>
  <si>
    <t>for dental students</t>
  </si>
  <si>
    <t>for optometry students</t>
  </si>
  <si>
    <t>Board of Nursing program</t>
  </si>
  <si>
    <t>SREB minority doctoral fellows</t>
  </si>
  <si>
    <t>Alabama Student Assistance Program</t>
  </si>
  <si>
    <t>Dependents of blind parents program</t>
  </si>
  <si>
    <t>Department of Veterans Affairs programs</t>
  </si>
  <si>
    <t>Police Officer's scholarships</t>
  </si>
  <si>
    <t>National Guard Ed Assistance</t>
  </si>
  <si>
    <t>American Legion program</t>
  </si>
  <si>
    <t>Two-Year Transfer Scholarship Program</t>
  </si>
  <si>
    <t>Alabama Student Grant Program</t>
  </si>
  <si>
    <t>Met the criteria for Four-Year 1 in 2014-15.</t>
  </si>
  <si>
    <t>Met the criteria for Four-Year 3 in 2014-15.</t>
  </si>
  <si>
    <t>Met the criteria for Two-Year 2 in 2013-14 and 2014-15.</t>
  </si>
  <si>
    <t>Reclassified: Met the criteria for Two-Year 2 in 2012-13, 2013-14, and 2014-15.</t>
  </si>
  <si>
    <t>Reclassified: Met the criteria for Two-Year 3 in 2012-13, 2013-14, and 2014-15.</t>
  </si>
  <si>
    <t xml:space="preserve">North Carolina State University </t>
  </si>
  <si>
    <t>Agricultural Research Service</t>
  </si>
  <si>
    <t xml:space="preserve">University of North Carolina at Chapel Hill </t>
  </si>
  <si>
    <t>Health professions education</t>
  </si>
  <si>
    <t>Medical School</t>
  </si>
  <si>
    <t>University of North Carolina at Greensboro</t>
  </si>
  <si>
    <t xml:space="preserve">East Carolina University </t>
  </si>
  <si>
    <t>University of North Carolina at Charlotte</t>
  </si>
  <si>
    <t xml:space="preserve">Appalachian State University </t>
  </si>
  <si>
    <t>North Carolina Agricultural &amp; Technical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</si>
  <si>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</si>
  <si>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</si>
  <si>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</si>
  <si>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</si>
  <si>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</si>
  <si>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</si>
  <si>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</si>
  <si>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</si>
  <si>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</si>
  <si>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Education special purpose funds- statewide units</t>
  </si>
  <si>
    <t>Statewide Educational TV</t>
  </si>
  <si>
    <t>Univ Syst Community Service Programs</t>
  </si>
  <si>
    <t>Univ Syst Educational Computing Service</t>
  </si>
  <si>
    <t>UNC Hospitals</t>
  </si>
  <si>
    <t>UNC Area Health Education Centers Program</t>
  </si>
  <si>
    <t>Microelectronic Computing Center of North Carolina</t>
  </si>
  <si>
    <t>Education special purpose funds- all other</t>
  </si>
  <si>
    <t>UNC Reserve for Future Allocation</t>
  </si>
  <si>
    <t>UNC General Administration</t>
  </si>
  <si>
    <t>SREB Membership</t>
  </si>
  <si>
    <t>Capitation pymnts &amp; fnncl ad for rsdnt stdnts nrlld at prvt md schls</t>
  </si>
  <si>
    <t>Meharry Medical College (Dentistry, Medicine, Special Aid)</t>
  </si>
  <si>
    <t>Board of Governors Medical Scholarships</t>
  </si>
  <si>
    <t>NC Student Incentive Grant</t>
  </si>
  <si>
    <t>NC Student Loan Program for Health, Science and Mathematics</t>
  </si>
  <si>
    <t>Nurse Education Scholarship/Loans</t>
  </si>
  <si>
    <t>Graduate Nurse Scholars Program</t>
  </si>
  <si>
    <t>Prospective Teacher Scholarship Loan Program</t>
  </si>
  <si>
    <t>Future Teachers of North Carolina Scholarship Loan Program</t>
  </si>
  <si>
    <t>Nurse Scholars Program</t>
  </si>
  <si>
    <t>NC Veterans Scholarships</t>
  </si>
  <si>
    <t>Forgivable Education Loans for Service</t>
  </si>
  <si>
    <t>UNC Need-Based Grant</t>
  </si>
  <si>
    <t>NCSSM Tuition Grant</t>
  </si>
  <si>
    <t>Teacher Assistant Scholarships</t>
  </si>
  <si>
    <t>Board of Governor's Dental Scholarships</t>
  </si>
  <si>
    <t>Principal Fellows Program</t>
  </si>
  <si>
    <t>State Contractual Scholarship Fund</t>
  </si>
  <si>
    <t>Private College Need Based Aid</t>
  </si>
  <si>
    <t>Legislative Tuition Grant</t>
  </si>
  <si>
    <t>Met the criteria for Four-Year 2 in 2014-15.</t>
  </si>
  <si>
    <t>Reclassified: Met the criteria for Four-Year 1 in 2012-13, 2013-14, and 2014-15.</t>
  </si>
  <si>
    <t>Met the criteria for Four-Year 5 in 2013-14 and 2014-15.</t>
  </si>
  <si>
    <t>University of Memphis</t>
  </si>
  <si>
    <t>University of Tennessee, Knoxville</t>
  </si>
  <si>
    <t>Community/Public Service Units</t>
  </si>
  <si>
    <t>Municipal Technology Advisory Service</t>
  </si>
  <si>
    <t>County Technology Advisory Service</t>
  </si>
  <si>
    <t>Institute for Public Service</t>
  </si>
  <si>
    <t xml:space="preserve">Tennessee State University </t>
  </si>
  <si>
    <t>McMinnville Center Station</t>
  </si>
  <si>
    <t>TSU Institute of Agr and Environmental Research</t>
  </si>
  <si>
    <t>TSU Cooperative Education</t>
  </si>
  <si>
    <t>TSU McIntire-Stennis Forestry Research</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</si>
  <si>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</si>
  <si>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</si>
  <si>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</si>
  <si>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</si>
  <si>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</si>
  <si>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</si>
  <si>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</si>
  <si>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</si>
  <si>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</si>
  <si>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</si>
  <si>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</si>
  <si>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</si>
  <si>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</si>
  <si>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</si>
  <si>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</si>
  <si>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</si>
  <si>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</si>
  <si>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</si>
  <si>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</si>
  <si>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</si>
  <si>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</si>
  <si>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</si>
  <si>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</si>
  <si>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</si>
  <si>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</si>
  <si>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</si>
  <si>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</si>
  <si>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</si>
  <si>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</si>
  <si>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</si>
  <si>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</si>
  <si>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</si>
  <si>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</si>
  <si>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</si>
  <si>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</si>
  <si>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</si>
  <si>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</si>
  <si>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</si>
  <si>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</si>
  <si>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</si>
  <si>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</si>
  <si>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</si>
  <si>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</si>
  <si>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</si>
  <si>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</si>
  <si>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</si>
  <si>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</si>
  <si>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Tennessee Health Science Center</t>
  </si>
  <si>
    <t>University of Tennessee Space Institute</t>
  </si>
  <si>
    <t>Educational special purpose funds — all other</t>
  </si>
  <si>
    <t>Foreign Language Institute</t>
  </si>
  <si>
    <t>TN H.Ed. Commission</t>
  </si>
  <si>
    <t>Univ TN System Adm &amp; TN Board of Regents</t>
  </si>
  <si>
    <t>Academic Scholarships</t>
  </si>
  <si>
    <t>Met the criteria for Four-Year 2 in 2013-14 and 2014-15.</t>
  </si>
  <si>
    <t>West Virginia University</t>
  </si>
  <si>
    <t>School of Health Sciences</t>
  </si>
  <si>
    <t>BRIM insurance subsidy</t>
  </si>
  <si>
    <t>HSTA Program</t>
  </si>
  <si>
    <t>Health Sciences Career Opportunities</t>
  </si>
  <si>
    <t>WVU HSC - Blanchette Rockefeller Neuroligical Institute</t>
  </si>
  <si>
    <t>Public Health Program &amp; Health Science Technology</t>
  </si>
  <si>
    <t>WVUHSC - Graduate Medical Education</t>
  </si>
  <si>
    <t>WVU Health Sciences Center - Academy of Family Physicians Doc of the Day Program</t>
  </si>
  <si>
    <t>WVU - PRT</t>
  </si>
  <si>
    <t>Special Line items for education operations</t>
  </si>
  <si>
    <t>Center for Excellence in Disabilities</t>
  </si>
  <si>
    <t xml:space="preserve">Marshall University </t>
  </si>
  <si>
    <t>MU/SWVVCTC 2+2 Program</t>
  </si>
  <si>
    <t>Autism Training Center</t>
  </si>
  <si>
    <t>MU SOM- Graduate Medical Education</t>
  </si>
  <si>
    <t>MU SOM- Academy of Family Physicians Doc of the Day Program</t>
  </si>
  <si>
    <t>MUSOM - Center for Rural Health</t>
  </si>
  <si>
    <t>Forensic Lab</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</si>
  <si>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</si>
  <si>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</si>
  <si>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</si>
  <si>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</si>
  <si>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</si>
  <si>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</si>
  <si>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</si>
  <si>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</si>
  <si>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Accreditation supplement</t>
  </si>
  <si>
    <t>Potomac State College of West Virginia University</t>
  </si>
  <si>
    <t>West Virginia University at Parkersburg</t>
  </si>
  <si>
    <t>New River Community &amp; Technical College</t>
  </si>
  <si>
    <t>Pierpont Community &amp; Technical College</t>
  </si>
  <si>
    <t>West Virginia Northern Community College</t>
  </si>
  <si>
    <t>Blue Ridge Community &amp; Technical College</t>
  </si>
  <si>
    <t>BridgeValley Community and Technical College</t>
  </si>
  <si>
    <t>New</t>
  </si>
  <si>
    <t>484932</t>
  </si>
  <si>
    <t>Eastern West Virginia Community &amp; Technical College</t>
  </si>
  <si>
    <t>Mountwest Community &amp; Technical College</t>
  </si>
  <si>
    <t xml:space="preserve">Southern West Virginia Community &amp; Technical College </t>
  </si>
  <si>
    <t>West Virginia School of Osteopathic Medicine</t>
  </si>
  <si>
    <t>Rural Health Initiative</t>
  </si>
  <si>
    <t>RHI Program and Site Support - Gradutate Medical Education Fiscal Oversight</t>
  </si>
  <si>
    <t>RHI Program and Site Support - District Consortia</t>
  </si>
  <si>
    <t>Vice Chancellor for Health Sciences/Rural Health Program Support</t>
  </si>
  <si>
    <t>College Transition Program</t>
  </si>
  <si>
    <t>Transit Training Partnership</t>
  </si>
  <si>
    <t>WV Advanced Workforce Development &amp; Technical  Programs</t>
  </si>
  <si>
    <t>Higher Education Policy Commission</t>
  </si>
  <si>
    <t>WV Network for Education Telecommunications Computer Center</t>
  </si>
  <si>
    <t>WV Council for Community &amp; Technical Education</t>
  </si>
  <si>
    <t>Ohio College of Podiatric Medicine</t>
  </si>
  <si>
    <t>Tuskegee University (Veterinary Medicine)</t>
  </si>
  <si>
    <t>University of Georgia (Veterinary Medicine)</t>
  </si>
  <si>
    <t>Auburn University</t>
  </si>
  <si>
    <t>UAB Birmingham (IL)</t>
  </si>
  <si>
    <t>Higher Education Grant Program</t>
  </si>
  <si>
    <r>
      <t xml:space="preserve">Amount to </t>
    </r>
    <r>
      <rPr>
        <i/>
        <sz val="10"/>
        <rFont val="Arial"/>
        <family val="2"/>
      </rPr>
      <t>public</t>
    </r>
    <r>
      <rPr>
        <sz val="10"/>
        <rFont val="Arial"/>
        <family val="2"/>
      </rPr>
      <t xml:space="preserve"> sector students</t>
    </r>
  </si>
  <si>
    <r>
      <t xml:space="preserve">Amount to </t>
    </r>
    <r>
      <rPr>
        <i/>
        <sz val="10"/>
        <rFont val="Arial"/>
        <family val="2"/>
      </rPr>
      <t>private</t>
    </r>
    <r>
      <rPr>
        <sz val="10"/>
        <rFont val="Arial"/>
        <family val="2"/>
      </rPr>
      <t xml:space="preserve"> sector students</t>
    </r>
  </si>
  <si>
    <t>PROMISE Scholarship</t>
  </si>
  <si>
    <t>SREB Minority Doctoral Fellows Program</t>
  </si>
  <si>
    <t>Underwood-Smith Teacher Scholarship Fund</t>
  </si>
  <si>
    <t>WV Engineering Science Technology Program</t>
  </si>
  <si>
    <t>Health Sciences Scholarship Fund</t>
  </si>
  <si>
    <r>
      <t xml:space="preserve">Amount to </t>
    </r>
    <r>
      <rPr>
        <i/>
        <sz val="10"/>
        <rFont val="Arial"/>
        <family val="2"/>
      </rPr>
      <t xml:space="preserve">public </t>
    </r>
    <r>
      <rPr>
        <sz val="10"/>
        <rFont val="Arial"/>
        <family val="2"/>
      </rPr>
      <t>sector students</t>
    </r>
  </si>
  <si>
    <t>HEAPS Grant Program</t>
  </si>
  <si>
    <t>Met the criteria for Four-Year 5 in 2014-15.</t>
  </si>
  <si>
    <t>Met the criteria for Four-Year 6 in 2013-14 and 2014-15.</t>
  </si>
  <si>
    <t>Met the criteria for Two-Year 2 in 2014-15.</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</si>
  <si>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</si>
  <si>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</si>
  <si>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</si>
  <si>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</si>
  <si>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</si>
  <si>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</si>
  <si>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</si>
  <si>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</si>
  <si>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</si>
  <si>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</si>
  <si>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</si>
  <si>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</si>
  <si>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Moultrie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</si>
  <si>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</si>
  <si>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</si>
  <si>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</si>
  <si>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</si>
  <si>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</si>
  <si>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</si>
  <si>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</si>
  <si>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</si>
  <si>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</si>
  <si>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</si>
  <si>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Education special purpose funds -statewide units</t>
  </si>
  <si>
    <t>TCSG Technical Divisions at USG Schools</t>
  </si>
  <si>
    <t>TCSG Oversight Unit</t>
  </si>
  <si>
    <t xml:space="preserve">Benjamin Franklin Vocational Center </t>
  </si>
  <si>
    <t xml:space="preserve">Boone County Career &amp; Technical Center </t>
  </si>
  <si>
    <t>Cabell County Vocational-Technical Center</t>
  </si>
  <si>
    <t xml:space="preserve">Carver Vocational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</si>
  <si>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</si>
  <si>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</si>
  <si>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</si>
  <si>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</si>
  <si>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</si>
  <si>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</si>
  <si>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</si>
  <si>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Vocational-Technical Center</t>
  </si>
  <si>
    <t xml:space="preserve">Mineral County Vocational-Technical Center </t>
  </si>
  <si>
    <t xml:space="preserve">Monongalia County Technical Education Center </t>
  </si>
  <si>
    <t>Putnam County Vocational-Technical Center</t>
  </si>
  <si>
    <t>Raleigh County Academy of Careers and Technology</t>
  </si>
  <si>
    <t>Ralph R. Willis Vocational-Technical Center</t>
  </si>
  <si>
    <t>Roane-Jackson Technical Center</t>
  </si>
  <si>
    <t>South Branch Career &amp; Technical Center</t>
  </si>
  <si>
    <t>United Technical Center</t>
  </si>
  <si>
    <t>Greenbrier Practical School of Nursing</t>
  </si>
  <si>
    <t>???</t>
  </si>
  <si>
    <t>Mingo County Extended Learning Center</t>
  </si>
  <si>
    <t>Randolph County Career Technical Center</t>
  </si>
  <si>
    <t>Summers County School of Nursing</t>
  </si>
  <si>
    <t>Wood County School of Practical Nursing</t>
  </si>
  <si>
    <t xml:space="preserve">Wyoming County </t>
  </si>
  <si>
    <t>Florida International University</t>
  </si>
  <si>
    <t>Student Financial Aid</t>
  </si>
  <si>
    <t>Risk Management/Casualty Insurance</t>
  </si>
  <si>
    <t xml:space="preserve">Florida State University </t>
  </si>
  <si>
    <t>College of Medicine Autism Program</t>
  </si>
  <si>
    <t>Off-Campus Volunteers</t>
  </si>
  <si>
    <t>Developmental Research School</t>
  </si>
  <si>
    <t xml:space="preserve">University of Central Florida </t>
  </si>
  <si>
    <t>Autism Program</t>
  </si>
  <si>
    <t>University of Florida</t>
  </si>
  <si>
    <t>Jacksonville Autism Program</t>
  </si>
  <si>
    <t xml:space="preserve">University of South Florida </t>
  </si>
  <si>
    <t>Phosphate Research</t>
  </si>
  <si>
    <t>Mental Health Institute Autism Program</t>
  </si>
  <si>
    <t xml:space="preserve">Florida Atlantic University </t>
  </si>
  <si>
    <t xml:space="preserve">Florida Agricultural &amp; Mechanical University </t>
  </si>
  <si>
    <t>University of North Florida</t>
  </si>
  <si>
    <t>University of West Florida</t>
  </si>
  <si>
    <t>Florida Gulf Coast University</t>
  </si>
  <si>
    <t>New College of Florida</t>
  </si>
  <si>
    <t>Florida Polytech University</t>
  </si>
  <si>
    <t>482936</t>
  </si>
  <si>
    <t>Moffitt Cancer Center</t>
  </si>
  <si>
    <t xml:space="preserve">Institute for Human and Machine Cognition </t>
  </si>
  <si>
    <t>Distance Learning Consortium</t>
  </si>
  <si>
    <t>FL. Board of Governors</t>
  </si>
  <si>
    <t>1st Accredited Medical School Support for Univ Miami</t>
  </si>
  <si>
    <t>Regional Diabetes Center at Univ of Miami</t>
  </si>
  <si>
    <t>Autism Program at Univ Miami</t>
  </si>
  <si>
    <t>Nova SE Univ-health programs (osteopathy, pharmacy, optometry)</t>
  </si>
  <si>
    <t>Bethune-Cookman</t>
  </si>
  <si>
    <t>Edwards Waters College</t>
  </si>
  <si>
    <t>Fl Memorial College</t>
  </si>
  <si>
    <t>Library resources for HBCU's</t>
  </si>
  <si>
    <t>University of Miami academic program contracts</t>
  </si>
  <si>
    <t>Nova SE Univ academic program contracts</t>
  </si>
  <si>
    <t>FL Inst. Of Technology</t>
  </si>
  <si>
    <t>Barry University</t>
  </si>
  <si>
    <t>Le Comm/Florida Health Programs</t>
  </si>
  <si>
    <t>Bright Futures Scholarships</t>
  </si>
  <si>
    <t>Children of deceased/disabled Veterans</t>
  </si>
  <si>
    <t>Florida Work Experience</t>
  </si>
  <si>
    <t>Jose Marti Scholarship Challenge Grant</t>
  </si>
  <si>
    <t>50, 000</t>
  </si>
  <si>
    <t>Prepaid Tuition Scholarships</t>
  </si>
  <si>
    <t>Florida Student Assistance - Public - Full &amp; Part-time</t>
  </si>
  <si>
    <t>Minority Teachers Scholarships</t>
  </si>
  <si>
    <t>Rosewood Family Scholarships</t>
  </si>
  <si>
    <t>Florida Resident Access Grant</t>
  </si>
  <si>
    <t>Access to Better Learning and Education</t>
  </si>
  <si>
    <t>Postsecondary Student Assistance Grant</t>
  </si>
  <si>
    <t>Private Student Assistance Grants</t>
  </si>
  <si>
    <t>Mary McCleod Bethune Scholarship</t>
  </si>
  <si>
    <t xml:space="preserve">Broward College </t>
  </si>
  <si>
    <t xml:space="preserve">Chipola College </t>
  </si>
  <si>
    <t xml:space="preserve">Daytona State College </t>
  </si>
  <si>
    <t>Florida SouthWestern State College</t>
  </si>
  <si>
    <t>Florida State College at Jacksonville</t>
  </si>
  <si>
    <t xml:space="preserve">Indian River State College </t>
  </si>
  <si>
    <t xml:space="preserve">Miami Dade College </t>
  </si>
  <si>
    <t>Northwest Florida State College</t>
  </si>
  <si>
    <t xml:space="preserve">Palm Beach State College </t>
  </si>
  <si>
    <t xml:space="preserve">Polk State College </t>
  </si>
  <si>
    <t xml:space="preserve">St. Johns River State College </t>
  </si>
  <si>
    <t xml:space="preserve">St. Petersburg College </t>
  </si>
  <si>
    <t>State College of Florida, Manatee-Sarasota</t>
  </si>
  <si>
    <t>College of Central Florida</t>
  </si>
  <si>
    <t>Eastern Florida State College</t>
  </si>
  <si>
    <t xml:space="preserve">Hillsborough Community College </t>
  </si>
  <si>
    <t xml:space="preserve">Pasco-Hernando Community College </t>
  </si>
  <si>
    <t xml:space="preserve">Pensacola State College </t>
  </si>
  <si>
    <t xml:space="preserve">Santa Fe College </t>
  </si>
  <si>
    <t>Seminole State College of Florida</t>
  </si>
  <si>
    <t xml:space="preserve">Tallahassee Community College </t>
  </si>
  <si>
    <t xml:space="preserve">Valencia College </t>
  </si>
  <si>
    <t>Florida Gateway College</t>
  </si>
  <si>
    <t xml:space="preserve">Gulf Coast State College </t>
  </si>
  <si>
    <t xml:space="preserve">Lake-Sumter State College </t>
  </si>
  <si>
    <t xml:space="preserve">South Florida State College </t>
  </si>
  <si>
    <t xml:space="preserve">Florida Keys Community College </t>
  </si>
  <si>
    <t xml:space="preserve">North Florida Community College </t>
  </si>
  <si>
    <t xml:space="preserve">Division of Florida Colleges Central Office </t>
  </si>
  <si>
    <t>Met the criteria for Two-Year with Bachelor's in 2013-14 and 2014-15.</t>
  </si>
  <si>
    <t>Reclassified: Met the criteria for Two-Year with Bachelor's in 2012-13, 2013-14, and 2014-15.</t>
  </si>
  <si>
    <t>Met the criteria for Two-Year with Bachelor's in 2014-15.</t>
  </si>
  <si>
    <t>Louisiana State University and A &amp; M College</t>
  </si>
  <si>
    <t>Paul M. Hebert Law Center</t>
  </si>
  <si>
    <t>Vet School</t>
  </si>
  <si>
    <t>Agricultural Center</t>
  </si>
  <si>
    <t>Administration</t>
  </si>
  <si>
    <t xml:space="preserve">Louisiana Tech University </t>
  </si>
  <si>
    <t>University of Louisiana at Lafayette</t>
  </si>
  <si>
    <t>University of New Orleans</t>
  </si>
  <si>
    <t xml:space="preserve">Southeastern Louisiana University </t>
  </si>
  <si>
    <t xml:space="preserve">Southern University and A&amp;M College at Baton Rouge </t>
  </si>
  <si>
    <t>Law Center</t>
  </si>
  <si>
    <t>Agriculture Center</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</si>
  <si>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</si>
  <si>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</si>
  <si>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</si>
  <si>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</si>
  <si>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</si>
  <si>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</si>
  <si>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</si>
  <si>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</si>
  <si>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</si>
  <si>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</si>
  <si>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</si>
  <si>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</si>
  <si>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Louisiana State University at Eunice</t>
  </si>
  <si>
    <t>South Louisiana Community College</t>
  </si>
  <si>
    <t>Southern University in Shreveport</t>
  </si>
  <si>
    <t>Nunez Community College</t>
  </si>
  <si>
    <t>River Parishes Community College</t>
  </si>
  <si>
    <t>Central LA Technical College</t>
  </si>
  <si>
    <t>L.E. Fletcher Technical Community College</t>
  </si>
  <si>
    <t>Northshore Technical College</t>
  </si>
  <si>
    <t>Northwest LA Technical College</t>
  </si>
  <si>
    <t>South Central LA Technical College</t>
  </si>
  <si>
    <t>Sowela Technical Community College</t>
  </si>
  <si>
    <t>Louisiana State University Health Sciences Center—New Orleans</t>
  </si>
  <si>
    <t>Louisiana State University Health Sciences Center — Shreveport</t>
  </si>
  <si>
    <t>Center for Innovative Teaching and Learning (CITAL)</t>
  </si>
  <si>
    <t>LA Universities' Marine Consortium</t>
  </si>
  <si>
    <t>Pennington Biomedical Research Center</t>
  </si>
  <si>
    <t>Health Care WorkForce</t>
  </si>
  <si>
    <t>Distance learning</t>
  </si>
  <si>
    <t>LA Online Library Network (LOUIS)</t>
  </si>
  <si>
    <t>LA Endowment for the Humanities</t>
  </si>
  <si>
    <t>Endowed Chairs/Professorships</t>
  </si>
  <si>
    <t>Endowed Scholarships</t>
  </si>
  <si>
    <t>LONI</t>
  </si>
  <si>
    <t>Other Initiatives</t>
  </si>
  <si>
    <t>Adult Education</t>
  </si>
  <si>
    <t>Board of Regents</t>
  </si>
  <si>
    <t>Southern University System Office</t>
  </si>
  <si>
    <t>LA State University System Office</t>
  </si>
  <si>
    <t>Univ. of LA System Office</t>
  </si>
  <si>
    <t>LA Community and Technical College System Office</t>
  </si>
  <si>
    <t>Louisiana Office of Student Financial Aid (LOSFA)</t>
  </si>
  <si>
    <t>State Support to Private Colleges Other Than Student Aid (ATI)</t>
  </si>
  <si>
    <t>TOPS,GO GRANT, LEAP</t>
  </si>
  <si>
    <t>ROCKEFELLER/DUAL ENROLLMENT</t>
  </si>
  <si>
    <t xml:space="preserve">Texas A&amp;M University </t>
  </si>
  <si>
    <t>Veterinary Medicine School</t>
  </si>
  <si>
    <t>Texas AgriLife Research</t>
  </si>
  <si>
    <t>Texas AgriLife Extension Service</t>
  </si>
  <si>
    <t>Texas Engineering Experiment Station</t>
  </si>
  <si>
    <t>Texas Transportation Institute</t>
  </si>
  <si>
    <t>Texas Engineering extension service</t>
  </si>
  <si>
    <t>Texas Forest Service</t>
  </si>
  <si>
    <t>Texas Vet Med Diagnostic Lab</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</si>
  <si>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</si>
  <si>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</si>
  <si>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</si>
  <si>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</si>
  <si>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</si>
  <si>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</si>
  <si>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</si>
  <si>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</si>
  <si>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</si>
  <si>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</si>
  <si>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</si>
  <si>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 xml:space="preserve">Midwestern State University  </t>
  </si>
  <si>
    <t>Prairie View A&amp;M University</t>
  </si>
  <si>
    <t xml:space="preserve">Sam Houston State University </t>
  </si>
  <si>
    <t>Stephen F. Austin State University</t>
  </si>
  <si>
    <t xml:space="preserve">Sul Ross State University </t>
  </si>
  <si>
    <t xml:space="preserve">Tarleton State University  </t>
  </si>
  <si>
    <t>Texas A&amp;M International University</t>
  </si>
  <si>
    <t>Texas A&amp;M University-Commerce</t>
  </si>
  <si>
    <t xml:space="preserve">Texas A&amp;M University-Corpus Christi </t>
  </si>
  <si>
    <t>Texas A&amp;M University-Kingsville</t>
  </si>
  <si>
    <t xml:space="preserve">Texas Southern University </t>
  </si>
  <si>
    <t>Texas State University</t>
  </si>
  <si>
    <t xml:space="preserve">University of Houston-Clear Lake </t>
  </si>
  <si>
    <t>University of Texas at Brownsville</t>
  </si>
  <si>
    <t>University of Texas at Tyler</t>
  </si>
  <si>
    <t>University of Texas of the Permian Basin</t>
  </si>
  <si>
    <t>University of Texas-Pan American</t>
  </si>
  <si>
    <t>West Texas A&amp;M University</t>
  </si>
  <si>
    <t>Texas A&amp;M Univ-Central Texas</t>
  </si>
  <si>
    <t>Texas A&amp;M -Texarkana</t>
  </si>
  <si>
    <t>University of Houston-Victoria</t>
  </si>
  <si>
    <t>Sul Ross State University-Rio Grande College</t>
  </si>
  <si>
    <t>Texas A&amp;M Univ-San Antonio</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</si>
  <si>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</si>
  <si>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</si>
  <si>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</si>
  <si>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</si>
  <si>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</si>
  <si>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</si>
  <si>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</si>
  <si>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</si>
  <si>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</si>
  <si>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</si>
  <si>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</si>
  <si>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</si>
  <si>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</si>
  <si>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</si>
  <si>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</si>
  <si>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</si>
  <si>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</si>
  <si>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</si>
  <si>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</si>
  <si>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</si>
  <si>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</si>
  <si>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</si>
  <si>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</si>
  <si>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</si>
  <si>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</si>
  <si>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</si>
  <si>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</si>
  <si>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 (SJCDS)</t>
  </si>
  <si>
    <t xml:space="preserve">South Plains College </t>
  </si>
  <si>
    <t>St. Philip's College  (ACCD)</t>
  </si>
  <si>
    <t>Tarrant County College (TCJCD)</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</si>
  <si>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</si>
  <si>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</si>
  <si>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</si>
  <si>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</si>
  <si>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</si>
  <si>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</si>
  <si>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</si>
  <si>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</si>
  <si>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</si>
  <si>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</si>
  <si>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</si>
  <si>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</si>
  <si>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</si>
  <si>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</si>
  <si>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</si>
  <si>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</si>
  <si>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</si>
  <si>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</si>
  <si>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</si>
  <si>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</si>
  <si>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</si>
  <si>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</si>
  <si>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</si>
  <si>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</si>
  <si>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</si>
  <si>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</si>
  <si>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</si>
  <si>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</si>
  <si>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</si>
  <si>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</si>
  <si>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</si>
  <si>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</si>
  <si>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</si>
  <si>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Panola College</t>
  </si>
  <si>
    <t xml:space="preserve">Ranger College </t>
  </si>
  <si>
    <t>Southwest Collegiate Institute for the Deaf (HCJCD)</t>
  </si>
  <si>
    <t>Texas State Technical College-Marshall</t>
  </si>
  <si>
    <t>Texas State Technical College-West Texas</t>
  </si>
  <si>
    <t xml:space="preserve">Western Texas College </t>
  </si>
  <si>
    <t>Alamo Community College District (ACCD)</t>
  </si>
  <si>
    <t>Dallas County Community College District (DCCD)</t>
  </si>
  <si>
    <t>Texas A&amp;M Health Science Center</t>
  </si>
  <si>
    <t>Texas Tech University Health Sciences Center</t>
  </si>
  <si>
    <t>Texas Tech University Health Sciences Center El Paso</t>
  </si>
  <si>
    <t>????</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</si>
  <si>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</si>
  <si>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</si>
  <si>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</si>
  <si>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</si>
  <si>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</si>
  <si>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t>
  </si>
  <si>
    <t>University of Texas Health Center at Tyler</t>
  </si>
  <si>
    <t>Univ. of North Texas at Dallas</t>
  </si>
  <si>
    <t xml:space="preserve">Family practice residency </t>
  </si>
  <si>
    <t>Other Health Related- Tobacco Settle-Minority Health Res. &amp; Ed.</t>
  </si>
  <si>
    <t>Other Health Related- Tobacco Settle-Nursing, Allied Health, etc.</t>
  </si>
  <si>
    <t>Nursing Shortage Reduction Program</t>
  </si>
  <si>
    <t>African American Museum</t>
  </si>
  <si>
    <t>Colleges and universities System Admin.</t>
  </si>
  <si>
    <t>Texas Higher Education Coordinating Board</t>
  </si>
  <si>
    <t>Texas State Technical College System Office</t>
  </si>
  <si>
    <t>Baylor College of Medicine</t>
  </si>
  <si>
    <t>Centers for Teacher Education</t>
  </si>
  <si>
    <t>TX Student Aid</t>
  </si>
  <si>
    <t>Teach for TX Conditional Grants</t>
  </si>
  <si>
    <t>Joint Admission Medical Program</t>
  </si>
  <si>
    <t>Border Faculty Loan Repayment Program</t>
  </si>
  <si>
    <t>University of Arkansas, Fayetteville</t>
  </si>
  <si>
    <t>Univ of Ark. System Divison of Agriculture</t>
  </si>
  <si>
    <t>Univ of Ark. System Archeological Survey</t>
  </si>
  <si>
    <t>Univ of Ark. System Criminal Justice Institute</t>
  </si>
  <si>
    <t>Univ. of Ark. System Arkansas School of Mathematics, Sciences and the Arts</t>
  </si>
  <si>
    <t>Clinton School for Public Service</t>
  </si>
  <si>
    <t>Arkansas State University</t>
  </si>
  <si>
    <t>Arkansas Tech University</t>
  </si>
  <si>
    <t>Arkansas Tech University - Ozark</t>
  </si>
  <si>
    <t>University of Arkansas at Little Rock</t>
  </si>
  <si>
    <t>Research and Public Service Unit</t>
  </si>
  <si>
    <t xml:space="preserve">University of Central Arkansas </t>
  </si>
  <si>
    <t xml:space="preserve">Henderson State University </t>
  </si>
  <si>
    <t xml:space="preserve">Henderson State Community Education Center </t>
  </si>
  <si>
    <t>Southern Arkansas University</t>
  </si>
  <si>
    <t>University of Arkansas at Monticello</t>
  </si>
  <si>
    <t>UAM College of Technology-McGehee</t>
  </si>
  <si>
    <t xml:space="preserve">UAM College of Technology-Crossett </t>
  </si>
  <si>
    <t>University of Arkansas at Fort Smith</t>
  </si>
  <si>
    <t>.</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</si>
  <si>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</si>
  <si>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</si>
  <si>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</si>
  <si>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</si>
  <si>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</si>
  <si>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</si>
  <si>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</si>
  <si>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</si>
  <si>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</si>
  <si>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</si>
  <si>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</si>
  <si>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</si>
  <si>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</si>
  <si>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</si>
  <si>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</si>
  <si>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</si>
  <si>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</si>
  <si>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</si>
  <si>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</si>
  <si>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</si>
  <si>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Environmental Control Academy &amp; Fire Control Academy</t>
  </si>
  <si>
    <t>University of Arkansas Community College at Batesville</t>
  </si>
  <si>
    <t>University of Arkansas Community College at Hope</t>
  </si>
  <si>
    <t>University of Arkansas Community College at Morrilton</t>
  </si>
  <si>
    <t>University of Arkansas for Medical Sciences</t>
  </si>
  <si>
    <t>All Other State Operating Appropriations Related to Postsecondary Education</t>
  </si>
  <si>
    <t>Y.O.U. Program for At-Risk Youth</t>
  </si>
  <si>
    <t>Tuition Waiver Adjustments</t>
  </si>
  <si>
    <t>Higher Education Coordinating Board</t>
  </si>
  <si>
    <t>Univ. of Ark System Office</t>
  </si>
  <si>
    <t>Arkansas State University System Office</t>
  </si>
  <si>
    <t>Meharry Medical College (Dentistry)</t>
  </si>
  <si>
    <t>Rosalind Franklin University</t>
  </si>
  <si>
    <t>Virginia College of Osteopathic Medicine</t>
  </si>
  <si>
    <t>Southeastern University College of Osteopathic Medicine (NOVA)</t>
  </si>
  <si>
    <t>Louisiana State Univ. Medical Center (Dentistry)</t>
  </si>
  <si>
    <t>Mississippi State University (Veterinary Medicine)</t>
  </si>
  <si>
    <t>Oklahoma State University (Osteopathic Medicine)</t>
  </si>
  <si>
    <t>University of Tennessee (Dentistry)</t>
  </si>
  <si>
    <t>University of Oklahoma (Dentistry)</t>
  </si>
  <si>
    <t>Baylor College of Medicine-Texas A&amp;M (Dentistry)</t>
  </si>
  <si>
    <t>Louisiana State University (Veterinary Medicine)</t>
  </si>
  <si>
    <t>Northeastern University (Optometry)</t>
  </si>
  <si>
    <t>University of Louisville (Dentistry)</t>
  </si>
  <si>
    <t>Governor's Scholars</t>
  </si>
  <si>
    <t>Arkansas Academic Challenge Scholarship</t>
  </si>
  <si>
    <t>Higher Education Opportunities Grant (GO! Opportunities Grant)</t>
  </si>
  <si>
    <t>Teacher Opportunity Program</t>
  </si>
  <si>
    <t>Second Effort Scholarships</t>
  </si>
  <si>
    <t>MIA/KIA Dependents' Scholarship</t>
  </si>
  <si>
    <t>National Guard Scholarships</t>
  </si>
  <si>
    <t>Junior/Senior Minority Scholarships</t>
  </si>
  <si>
    <t>Minority Master's Fellows Program</t>
  </si>
  <si>
    <t>SREB Doctoral Scholars Program</t>
  </si>
  <si>
    <t>Geographical Critical Needs Teacher Scholarship</t>
  </si>
  <si>
    <t>Workforce Improvement Grant</t>
  </si>
  <si>
    <t>State Teacher Education Program</t>
  </si>
  <si>
    <t>Surviving Chidren of Law Enforcement Offs.</t>
  </si>
  <si>
    <t>Reclassified: Met the criteria for Four-Year 2 in 2012-13, 2013-14, and 2014-15.</t>
  </si>
  <si>
    <t>Reclassified: Met the criteria for Four-Year 5 in 2012-13, 2013-14, and 2014-15.</t>
  </si>
  <si>
    <t xml:space="preserve">Met the criteria for Two-Year 3 in 2013-14 and 2014-15. </t>
  </si>
  <si>
    <t>Asheville-Buncombe Technical Community College</t>
  </si>
  <si>
    <t>Nursing / allied health supplement</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</si>
  <si>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</si>
  <si>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</si>
  <si>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</si>
  <si>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</si>
  <si>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</si>
  <si>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</si>
  <si>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</si>
  <si>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</si>
  <si>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</si>
  <si>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</si>
  <si>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</si>
  <si>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</si>
  <si>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</si>
  <si>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</si>
  <si>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</si>
  <si>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</si>
  <si>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</si>
  <si>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</si>
  <si>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</si>
  <si>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</si>
  <si>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</si>
  <si>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</si>
  <si>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</si>
  <si>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</si>
  <si>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</si>
  <si>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</si>
  <si>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</si>
  <si>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</si>
  <si>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</si>
  <si>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</si>
  <si>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</si>
  <si>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</si>
  <si>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</si>
  <si>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</si>
  <si>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</si>
  <si>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</si>
  <si>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</si>
  <si>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</si>
  <si>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</si>
  <si>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</si>
  <si>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Haywood Community College</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</si>
  <si>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</si>
  <si>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</si>
  <si>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</si>
  <si>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</si>
  <si>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</si>
  <si>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</si>
  <si>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</si>
  <si>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</si>
  <si>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</si>
  <si>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</si>
  <si>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</si>
  <si>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</si>
  <si>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</si>
  <si>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</si>
  <si>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</si>
  <si>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Technical Community College</t>
  </si>
  <si>
    <t>Prison Education</t>
  </si>
  <si>
    <t>New &amp; Expanding Industry</t>
  </si>
  <si>
    <t>NC State Board for Community Colleges</t>
  </si>
  <si>
    <t>Oklahoma State University Main Campus</t>
  </si>
  <si>
    <t>College of Osteopathic Medicine</t>
  </si>
  <si>
    <t>Tulsa Branch</t>
  </si>
  <si>
    <t>University of Oklahoma Norman Campus</t>
  </si>
  <si>
    <t>Health Sciences Center</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</si>
  <si>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</si>
  <si>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</si>
  <si>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</si>
  <si>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</si>
  <si>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</si>
  <si>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</si>
  <si>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</si>
  <si>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</si>
  <si>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</si>
  <si>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</si>
  <si>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</si>
  <si>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University-Oklahoma City </t>
  </si>
  <si>
    <t xml:space="preserve">Oklahoma State University Technical Branch-Okmulgee </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</si>
  <si>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</si>
  <si>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</si>
  <si>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</si>
  <si>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</si>
  <si>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</si>
  <si>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</si>
  <si>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</si>
  <si>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</si>
  <si>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</si>
  <si>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</si>
  <si>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</si>
  <si>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</si>
  <si>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Kerr Conference Center</t>
  </si>
  <si>
    <t>Educational special-purpose funds — all other</t>
  </si>
  <si>
    <t>Ardmore H.Ed. Program</t>
  </si>
  <si>
    <t>Jane Brooks School-USAO</t>
  </si>
  <si>
    <t>Fire Science Training</t>
  </si>
  <si>
    <t>Scholar Leadership Program</t>
  </si>
  <si>
    <t>Academic Scholar Program</t>
  </si>
  <si>
    <t>Oklahoma Teacher Connection Center</t>
  </si>
  <si>
    <t>OneNet User Fee Charges</t>
  </si>
  <si>
    <t>Student Preparation  Program</t>
  </si>
  <si>
    <t>Statewide Literacy Program</t>
  </si>
  <si>
    <t>Ok State Regents for H. Ed.</t>
  </si>
  <si>
    <t>Oklahoma College System</t>
  </si>
  <si>
    <t>SREB Dues</t>
  </si>
  <si>
    <t>Oklahoma Promise</t>
  </si>
  <si>
    <t>Chiropractic Education Assistance</t>
  </si>
  <si>
    <t>Prospective Teachers Scholars</t>
  </si>
  <si>
    <t>Regional University Scholarships</t>
  </si>
  <si>
    <t>OTAG</t>
  </si>
  <si>
    <t>OTEG</t>
  </si>
  <si>
    <t>Met the criteria for Two-Year 2 institution in 2013-14 and 2014-15.</t>
  </si>
  <si>
    <t>Met the criteria for Two-Year 3 institution in 2013-14 and 2014-15.</t>
  </si>
  <si>
    <t>University of Maryland College Park</t>
  </si>
  <si>
    <t>Non-Credit Continuing Education</t>
  </si>
  <si>
    <t>Center for Environmental Science</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</si>
  <si>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</si>
  <si>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</si>
  <si>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</si>
  <si>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</si>
  <si>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</si>
  <si>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</si>
  <si>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</si>
  <si>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</si>
  <si>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</si>
  <si>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</si>
  <si>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</si>
  <si>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</si>
  <si>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t>
  </si>
  <si>
    <t xml:space="preserve">Howard Community College </t>
  </si>
  <si>
    <t>Montgomery College</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</si>
  <si>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</si>
  <si>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</si>
  <si>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</si>
  <si>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</si>
  <si>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</si>
  <si>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</si>
  <si>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</si>
  <si>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</si>
  <si>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</si>
  <si>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</si>
  <si>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</si>
  <si>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</si>
  <si>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University of Maryland at Baltimore</t>
  </si>
  <si>
    <t>Community College Statewide Programs</t>
  </si>
  <si>
    <t>Univ MD System Adm</t>
  </si>
  <si>
    <t>Md Commission on Higher Education</t>
  </si>
  <si>
    <t>Campus-Based Educational Assistance Grant</t>
  </si>
  <si>
    <t>Educational Excellence Awards</t>
  </si>
  <si>
    <t>Senatorial Scholarship</t>
  </si>
  <si>
    <t>Edward Conroy Grant</t>
  </si>
  <si>
    <t>Non-need based</t>
  </si>
  <si>
    <t>Delegate Scholarship</t>
  </si>
  <si>
    <t>Firemen's Tuition Reimbursement</t>
  </si>
  <si>
    <t>Distinguished Scholar Award</t>
  </si>
  <si>
    <t>Jack F. Tolbert Memorial Student Grant Program</t>
  </si>
  <si>
    <t>Child Care Providers Scholarship</t>
  </si>
  <si>
    <t xml:space="preserve">Developmental Disabilities, Mental Health, Child Welfare, and Juvenile Justice Workforce Tuition Assistance Program </t>
  </si>
  <si>
    <t>Distinguished Scholar Community College Transfer Program</t>
  </si>
  <si>
    <t>Gear Up Scholarship</t>
  </si>
  <si>
    <t xml:space="preserve">Graduate Nursing Faculy Scholarship </t>
  </si>
  <si>
    <t xml:space="preserve">Graduate Nursing Faculy Living Expenses Grant </t>
  </si>
  <si>
    <t xml:space="preserve">Veterans of Afghanistan and Iraq Conflicts Scholarship </t>
  </si>
  <si>
    <t>Workforce Shortage Student Assistance Grant</t>
  </si>
  <si>
    <t>University of Kentucky</t>
  </si>
  <si>
    <t>Livestock Disease Diagnostic Laboratory</t>
  </si>
  <si>
    <t>Agriculture Public Service</t>
  </si>
  <si>
    <t>Kentucky Geological Survey</t>
  </si>
  <si>
    <t>University Press</t>
  </si>
  <si>
    <t>Japanese Saturday School</t>
  </si>
  <si>
    <t>Rural Health Care</t>
  </si>
  <si>
    <t>Center for Applied Energy Research</t>
  </si>
  <si>
    <t>KY Cancer Registry</t>
  </si>
  <si>
    <t>University of Louisville</t>
  </si>
  <si>
    <t>Community Cancer Program</t>
  </si>
  <si>
    <t>State Data Center</t>
  </si>
  <si>
    <t xml:space="preserve">Eastern Kentucky University </t>
  </si>
  <si>
    <t>Community Operations Board</t>
  </si>
  <si>
    <t xml:space="preserve">Morehead State University </t>
  </si>
  <si>
    <t>KY Folk Art Center</t>
  </si>
  <si>
    <t>Institute for Correctional Training/Research</t>
  </si>
  <si>
    <t xml:space="preserve">Murray State University </t>
  </si>
  <si>
    <t>Breathitt Veterinary Clinic</t>
  </si>
  <si>
    <t xml:space="preserve">Western Kentucky University </t>
  </si>
  <si>
    <t>Kentucky Academy for Math and Science</t>
  </si>
  <si>
    <t xml:space="preserve">Kentucky State University </t>
  </si>
  <si>
    <t xml:space="preserve">Northern Kentucky University </t>
  </si>
  <si>
    <t>Kentucky Center for Mathematics</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</si>
  <si>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</si>
  <si>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</si>
  <si>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</si>
  <si>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</si>
  <si>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</si>
  <si>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</si>
  <si>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</si>
  <si>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</si>
  <si>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</si>
  <si>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</si>
  <si>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</si>
  <si>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</si>
  <si>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</si>
  <si>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</si>
  <si>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</si>
  <si>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</si>
  <si>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KY WINS</t>
  </si>
  <si>
    <t>Kentucky Coal Academy</t>
  </si>
  <si>
    <t>University Health Insurance Premium Supplement</t>
  </si>
  <si>
    <t>Kentucky Board of Emergency Medical Services</t>
  </si>
  <si>
    <t>Fire Commission</t>
  </si>
  <si>
    <t>(PEPP) Health Programs</t>
  </si>
  <si>
    <t>Minority Student Col Prep</t>
  </si>
  <si>
    <t>Research Challenge Trust Fund-Lung Cancer Research</t>
  </si>
  <si>
    <t>KY Postsecondary Education Network</t>
  </si>
  <si>
    <t>Commonwealth Virtual Univ</t>
  </si>
  <si>
    <t>Adult Education Operations</t>
  </si>
  <si>
    <t xml:space="preserve"> Adult Education and Literacy Funding Program</t>
  </si>
  <si>
    <t>State Autism Training Center</t>
  </si>
  <si>
    <t>Science and Technology Trust Fund</t>
  </si>
  <si>
    <t xml:space="preserve"> Ky Council on Postsecondary Education</t>
  </si>
  <si>
    <t>Ky Community and Technical College System operations</t>
  </si>
  <si>
    <t>SREB (General Operations + Small Grants)</t>
  </si>
  <si>
    <t>SREB Doctoral Scholar Program</t>
  </si>
  <si>
    <t>H. Ed. Asst. Authority</t>
  </si>
  <si>
    <t>Auburn University (Veterinary Medicine)</t>
  </si>
  <si>
    <t>Other contract education programs (Indiana University)</t>
  </si>
  <si>
    <t>KEES Kentucky Educational Excellence Scholarship</t>
  </si>
  <si>
    <t>College Access Program(CAP)</t>
  </si>
  <si>
    <t>Kentucky Tuition Grant (KTG)</t>
  </si>
  <si>
    <t>Pikeville College Osteopathic Medicine Scholarship</t>
  </si>
  <si>
    <t>Reclassified: Met the criteria for Four-Year 3 in 2012-13, 2013-14, and 2014-15.</t>
  </si>
  <si>
    <t>University of Delaware</t>
  </si>
  <si>
    <t>Community/Public Service</t>
  </si>
  <si>
    <t>The College School</t>
  </si>
  <si>
    <t>Delaware Biotech Institute Operating Funds</t>
  </si>
  <si>
    <t>Sea Grant</t>
  </si>
  <si>
    <t>Urban Agent</t>
  </si>
  <si>
    <t>Public Service &amp; Applied Research Projects</t>
  </si>
  <si>
    <t>Local Government Research &amp; Assistance</t>
  </si>
  <si>
    <t>Research on School Finance</t>
  </si>
  <si>
    <t>Delaware Education Research &amp; Development Center</t>
  </si>
  <si>
    <t>Geological Survey</t>
  </si>
  <si>
    <t>Delaware State University</t>
  </si>
  <si>
    <t>Delaware Technical and Community College--Stanton-Wilmington</t>
  </si>
  <si>
    <t>Delaware Technical and Community College--Owens</t>
  </si>
  <si>
    <t>Delaware Technical and Community College--Terry</t>
  </si>
  <si>
    <t>Matching Funds Minority Engineering Recruitment</t>
  </si>
  <si>
    <t>Matching Funds; Advancement of Minorities in Engineering</t>
  </si>
  <si>
    <t>Associate in Arts Program (joint Del. Tech - UD program administered by Del Tech)</t>
  </si>
  <si>
    <t>DE Higher Education Commission</t>
  </si>
  <si>
    <t>Delaware Tech College System Office</t>
  </si>
  <si>
    <t>Adm. of Statewide Student Aid Programs (including centralized guaranteed student loans)</t>
  </si>
  <si>
    <t>Del Institute for Medical Ed &amp; Rsch (DIMER)</t>
  </si>
  <si>
    <t>Del Institute for Vet Medical Education (DIVME)</t>
  </si>
  <si>
    <t>Del Institute for Dental Ed &amp; Rsch (DIDER)</t>
  </si>
  <si>
    <t>Scholarship Incentive Program</t>
  </si>
  <si>
    <t>Diamond State Scholarship</t>
  </si>
  <si>
    <t>Ed Benefits for Children of Deceased Vets &amp; Others</t>
  </si>
  <si>
    <t>Christa McAuliffe Teacher Scholarship Loan</t>
  </si>
  <si>
    <t>Librarian and Archivist Incentive Program</t>
  </si>
  <si>
    <t>Delaware Nursing Incentive Program</t>
  </si>
  <si>
    <t>B. Bradford Barnes Memorial Scholarship</t>
  </si>
  <si>
    <t>Speech/Language Pathologist Incentive Program</t>
  </si>
  <si>
    <t>Herman M. Holloway, Sr. Memorial Scholarship</t>
  </si>
  <si>
    <t>Legislative Essay Scholarship</t>
  </si>
  <si>
    <t>Charles L. Hebner Memorial Scholarship</t>
  </si>
  <si>
    <t>Gov's Ed Grants for Working  Adults</t>
  </si>
  <si>
    <t>Governor's Education Grants for Unemployed Adults</t>
  </si>
  <si>
    <t>Del. Institute for Med. Ed. &amp; Research</t>
  </si>
  <si>
    <t>Ivy D.F. Davis Memorial Scholarship</t>
  </si>
  <si>
    <t>Michael C. Ferguson Achievement Scholarship</t>
  </si>
  <si>
    <t>Delaware Optometric Institutional Aid</t>
  </si>
  <si>
    <t>Critical Need Scholarship</t>
  </si>
  <si>
    <t>DE State Loan Repayment Program/Physicians &amp; Dentists</t>
  </si>
  <si>
    <t>DE Institute for Dental Education &amp; Research Scholarships</t>
  </si>
  <si>
    <t>Inspire Scholarship</t>
  </si>
  <si>
    <t>Met the criteria for Two-Year 3 institution in 2014-15.</t>
  </si>
  <si>
    <t xml:space="preserve">Hinds Community College </t>
  </si>
  <si>
    <t>Post-Secondary Vocational Education</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</si>
  <si>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</si>
  <si>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</si>
  <si>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</si>
  <si>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</si>
  <si>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</si>
  <si>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</si>
  <si>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</si>
  <si>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</si>
  <si>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</si>
  <si>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</si>
  <si>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</si>
  <si>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</si>
  <si>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</si>
  <si>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 xml:space="preserve">Southwest Mississippi Community College  </t>
  </si>
  <si>
    <t>Education special purpose funds — statewide units</t>
  </si>
  <si>
    <t>Internet and Line Charges for community colleges</t>
  </si>
  <si>
    <t>Greenville Higher Education Center (MDCC via MCCB)</t>
  </si>
  <si>
    <t>MS Community College Board</t>
  </si>
  <si>
    <t xml:space="preserve">George Mason University </t>
  </si>
  <si>
    <t xml:space="preserve">Old Dominion University </t>
  </si>
  <si>
    <t>University of Virginia</t>
  </si>
  <si>
    <t xml:space="preserve">Virginia Tech </t>
  </si>
  <si>
    <t>Agricultural &amp; Foresty Research</t>
  </si>
  <si>
    <t>Cooperative Extension</t>
  </si>
  <si>
    <t>College of William &amp; Mary</t>
  </si>
  <si>
    <t>Va Inst of Marine Science</t>
  </si>
  <si>
    <t>Virginia Commonwealth University</t>
  </si>
  <si>
    <t xml:space="preserve">James Madison University  </t>
  </si>
  <si>
    <t xml:space="preserve">Longwood University </t>
  </si>
  <si>
    <t xml:space="preserve">Norfolk State University </t>
  </si>
  <si>
    <t>Radford University</t>
  </si>
  <si>
    <t>University of Mary Washington</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</si>
  <si>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</si>
  <si>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</si>
  <si>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</si>
  <si>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</si>
  <si>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</si>
  <si>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</si>
  <si>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</si>
  <si>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</si>
  <si>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</si>
  <si>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</si>
  <si>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</si>
  <si>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</si>
  <si>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 xml:space="preserve">Lord Fairfax Community College  </t>
  </si>
  <si>
    <t>Mountain Empire Community College</t>
  </si>
  <si>
    <t xml:space="preserve">New River Community College </t>
  </si>
  <si>
    <t xml:space="preserve">Patrick Henry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</si>
  <si>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</si>
  <si>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</si>
  <si>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</si>
  <si>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</si>
  <si>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Wytheville Community College </t>
  </si>
  <si>
    <t xml:space="preserve">D.S. Lancaster Community College </t>
  </si>
  <si>
    <t xml:space="preserve">Eastern Shore Community College  </t>
  </si>
  <si>
    <t xml:space="preserve">Paul D. Camp Community College  </t>
  </si>
  <si>
    <t xml:space="preserve">Rappahannock Community College  </t>
  </si>
  <si>
    <t xml:space="preserve">Richard Bland College </t>
  </si>
  <si>
    <t xml:space="preserve">Virginia Highlands Community College </t>
  </si>
  <si>
    <t>All Community Colleges except R.Bland</t>
  </si>
  <si>
    <t>Virginia Military Institute</t>
  </si>
  <si>
    <t>Commerce and Trade</t>
  </si>
  <si>
    <t>Jefferson Science Associates</t>
  </si>
  <si>
    <t>Higher Education Research Initiatives</t>
  </si>
  <si>
    <t>New College Institute</t>
  </si>
  <si>
    <t>Eminent Scholars</t>
  </si>
  <si>
    <t>Library Sharing</t>
  </si>
  <si>
    <t>VMI/MBC Contract</t>
  </si>
  <si>
    <t>Space Grant</t>
  </si>
  <si>
    <t>Melcher's-Monroe Memorials</t>
  </si>
  <si>
    <t>Medical College Hampton Rds./Eastern VA Medical Auth.</t>
  </si>
  <si>
    <t>VCBA-Eq Trust Fund</t>
  </si>
  <si>
    <t>Southern Virginia Higher Education Center</t>
  </si>
  <si>
    <t>SW Va Higher Education Center</t>
  </si>
  <si>
    <t>Roanoke H. Ed. Authority</t>
  </si>
  <si>
    <t>Institute of Advanced Learning and Research</t>
  </si>
  <si>
    <t>interest earnings</t>
  </si>
  <si>
    <t>VCCS economic development</t>
  </si>
  <si>
    <t>VCU state health service</t>
  </si>
  <si>
    <t>University of North Carolina at Chapel Hill (Library Science)</t>
  </si>
  <si>
    <t>North Carolina State University (Pulp/Paper)</t>
  </si>
  <si>
    <t>North Carolina Central University (Library Science)</t>
  </si>
  <si>
    <t>Program name(s)???</t>
  </si>
  <si>
    <t>(Military stipend) Non need-based</t>
  </si>
  <si>
    <t>Transfer grant</t>
  </si>
  <si>
    <t>Student Tuition Aid Grant</t>
  </si>
  <si>
    <t>Other Student Financial Aid</t>
  </si>
  <si>
    <t>Met the criteria for Four-Year 1 in 2013-14 and 2014-2015.</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</si>
  <si>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</si>
  <si>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</si>
  <si>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</si>
  <si>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</si>
  <si>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</si>
  <si>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</si>
  <si>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</si>
  <si>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</si>
  <si>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</si>
  <si>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</si>
  <si>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</si>
  <si>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</si>
  <si>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</si>
  <si>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</si>
  <si>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</si>
  <si>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</si>
  <si>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</si>
  <si>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</si>
  <si>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</si>
  <si>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</si>
  <si>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</si>
  <si>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</si>
  <si>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</si>
  <si>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</si>
  <si>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</si>
  <si>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</si>
  <si>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</si>
  <si>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</si>
  <si>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</si>
  <si>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</si>
  <si>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</si>
  <si>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</si>
  <si>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</si>
  <si>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</si>
  <si>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</si>
  <si>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</si>
  <si>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</si>
  <si>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</si>
  <si>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</si>
  <si>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</si>
  <si>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</si>
  <si>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</si>
  <si>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</si>
  <si>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</si>
  <si>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t xml:space="preserve">Tulsa Technology Center-Riverside Campus          </t>
  </si>
  <si>
    <t xml:space="preserve">Wes Watkins Technology Center                     </t>
  </si>
  <si>
    <t xml:space="preserve">Western Technology Center                         </t>
  </si>
  <si>
    <t>Indian Capital……..All Campuses</t>
  </si>
  <si>
    <t>Kiamichi………All Campuses</t>
  </si>
  <si>
    <t>Northeast………..All Campuses</t>
  </si>
  <si>
    <t>Northwest………..All Campuses</t>
  </si>
  <si>
    <t>Tulsa County Dist 18………..All Campuses</t>
  </si>
  <si>
    <t xml:space="preserve">State Board </t>
  </si>
  <si>
    <t>Met the criteria for Technical Institute or College 1 in 2013-14 and 2014-15.</t>
  </si>
  <si>
    <r>
      <t xml:space="preserve">Tulsa Technology Center-Owasso - </t>
    </r>
    <r>
      <rPr>
        <sz val="10"/>
        <color rgb="FFFF0000"/>
        <rFont val="Arial"/>
        <family val="2"/>
      </rPr>
      <t>NEW</t>
    </r>
  </si>
  <si>
    <r>
      <t xml:space="preserve">Tulsa Technology Center-Sand Springs - </t>
    </r>
    <r>
      <rPr>
        <sz val="10"/>
        <color rgb="FFFF0000"/>
        <rFont val="Arial"/>
        <family val="2"/>
      </rPr>
      <t>NEW</t>
    </r>
  </si>
  <si>
    <t>Met the criteria for Four-Year 1 in 2013-14 and 2014-15.</t>
  </si>
  <si>
    <t>Met the criteria for Four-Year 4 in 2014-15.</t>
  </si>
  <si>
    <t>Met the criteria for Two-Year 1 in 2014-15.</t>
  </si>
  <si>
    <t>Clemson University</t>
  </si>
  <si>
    <t>Fringe Benefits</t>
  </si>
  <si>
    <t>Other Operating Expense</t>
  </si>
  <si>
    <t>Ag Research, Extension Service, and Inspection</t>
  </si>
  <si>
    <t>Ag Research, Ext. Svc, &amp; Insp. Supplemental for Other Op.Exp. (NR)</t>
  </si>
  <si>
    <t>Research Centers/institutes</t>
  </si>
  <si>
    <t>Centers for Energy Systems</t>
  </si>
  <si>
    <r>
      <t>Student Career Opportunity Program</t>
    </r>
    <r>
      <rPr>
        <strike/>
        <sz val="10"/>
        <rFont val="Arial"/>
        <family val="2"/>
      </rPr>
      <t>(NR)</t>
    </r>
  </si>
  <si>
    <t>Deferred Maintenance (NR &amp; Lottery)</t>
  </si>
  <si>
    <t>Building Repair &amp; Maintenance (Lottery)</t>
  </si>
  <si>
    <t>Critical EquipRepair &amp; Replacement(Lottery)</t>
  </si>
  <si>
    <t>Academic Endowment</t>
  </si>
  <si>
    <t>Focus on Student Success</t>
  </si>
  <si>
    <t>Higher Ed Efficiency, Effectiveness &amp; Accountability Review(NR)</t>
  </si>
  <si>
    <t>Main Campus Electrical Infrastructure Maintenance &amp; Improvements(NR)</t>
  </si>
  <si>
    <t>University of South Carolina-Columbia</t>
  </si>
  <si>
    <t>Palmetto Poison Center</t>
  </si>
  <si>
    <t>Palmetto College (Recurring &amp; NR)</t>
  </si>
  <si>
    <t>School Improvement Council</t>
  </si>
  <si>
    <t>Small Business Development Center</t>
  </si>
  <si>
    <t>On Your Time (NR &amp; Rec)</t>
  </si>
  <si>
    <t>Deferred Maintenance (Lottery)</t>
  </si>
  <si>
    <t>Law Library</t>
  </si>
  <si>
    <t>Medical School-E&amp;G</t>
  </si>
  <si>
    <t>Medical School-Fringe Benefits</t>
  </si>
  <si>
    <t>Medical School-Child Abuse</t>
  </si>
  <si>
    <t>College of Charleston</t>
  </si>
  <si>
    <t>Other Operating Expenses</t>
  </si>
  <si>
    <t>Avery Center</t>
  </si>
  <si>
    <t>Computer Science Program</t>
  </si>
  <si>
    <t>Critical Equip Repair &amp; Replacement (Lottery)</t>
  </si>
  <si>
    <t>Interactive Digital Technology Pilot Project</t>
  </si>
  <si>
    <t>Lottery Technology (NR)</t>
  </si>
  <si>
    <t xml:space="preserve">The Citadel, the Military College of South Carolina </t>
  </si>
  <si>
    <t>Critical Equipment Repair &amp; Replacement</t>
  </si>
  <si>
    <t>Cadet Accountability System</t>
  </si>
  <si>
    <t>Jenkins Hall Arms Room Upgrade (NR)</t>
  </si>
  <si>
    <t>Mechanical Engineering Lab &amp; Equip</t>
  </si>
  <si>
    <t xml:space="preserve">Winthrop University </t>
  </si>
  <si>
    <t>Critical Equip Repair &amp; Replacement(Lottery)</t>
  </si>
  <si>
    <t>Personal Services &amp; Operating</t>
  </si>
  <si>
    <t>Withers Roof Replacement Maint. &amp; Repairs</t>
  </si>
  <si>
    <t>Visual &amp; Performing Arts Accreditation/ADA Access</t>
  </si>
  <si>
    <t>Student Info. Technology Infrastructure Update (NR)</t>
  </si>
  <si>
    <t>Coastal Carolina University</t>
  </si>
  <si>
    <t>Research Vessel (NR)</t>
  </si>
  <si>
    <t>Scientific Equipment for Research Vessel (NR)</t>
  </si>
  <si>
    <t>Parity Funding</t>
  </si>
  <si>
    <t xml:space="preserve">Francis Marion University </t>
  </si>
  <si>
    <t>Nurse Practitioner Program</t>
  </si>
  <si>
    <t>Industrial Engineering</t>
  </si>
  <si>
    <t>Physicians Assistant Degree Program</t>
  </si>
  <si>
    <t>Repair &amp; Maintenance-Classroom Buildings Renovation</t>
  </si>
  <si>
    <t>Founders Hall Renovation</t>
  </si>
  <si>
    <t xml:space="preserve">South Carolina State University </t>
  </si>
  <si>
    <t>Public Service Activities</t>
  </si>
  <si>
    <t>Critical Equip Repair &amp; Replacement(lottery)</t>
  </si>
  <si>
    <t>Higher Education Efficiency, Effectiveness &amp; Accountability Review</t>
  </si>
  <si>
    <t xml:space="preserve">S.C. State Univ. Business School </t>
  </si>
  <si>
    <t>Enrollment Management</t>
  </si>
  <si>
    <t>Transportation Center Match</t>
  </si>
  <si>
    <t>South Carolina Alliance for Minority Participation (SCAMP)</t>
  </si>
  <si>
    <t>African American Loan Program</t>
  </si>
  <si>
    <t>Operating Funds (Lottery) (NR)</t>
  </si>
  <si>
    <t>Higher Education Excellence Enhancement Program (Lottery)(NR)</t>
  </si>
  <si>
    <t>Lander University</t>
  </si>
  <si>
    <t>Other Operaing Expenses</t>
  </si>
  <si>
    <t>Energy Management</t>
  </si>
  <si>
    <t>National Center for Montessori Education</t>
  </si>
  <si>
    <t>University of South Carolina-Aiken</t>
  </si>
  <si>
    <t>Personal Services and Operating</t>
  </si>
  <si>
    <t>Palmetto College (Recurring)</t>
  </si>
  <si>
    <t>Building-Roof &amp; HVAC Repair/Replacement</t>
  </si>
  <si>
    <t>University of South Carolina-Beaufort</t>
  </si>
  <si>
    <t>Palmetto College</t>
  </si>
  <si>
    <t>University of South Carolina-Upstate</t>
  </si>
  <si>
    <t xml:space="preserve">Florence-Darlington Technical College </t>
  </si>
  <si>
    <t>Personnel Services</t>
  </si>
  <si>
    <t>Performance Funding</t>
  </si>
  <si>
    <t>Critical Needs Workforce</t>
  </si>
  <si>
    <t>Critical Needs Nursing Initiative</t>
  </si>
  <si>
    <t>Deferred Maintenance</t>
  </si>
  <si>
    <t>SIMT</t>
  </si>
  <si>
    <t>Operations</t>
  </si>
  <si>
    <t>Pathways to Prosperity</t>
  </si>
  <si>
    <t>Automotive Technology Program Equipment</t>
  </si>
  <si>
    <t>Critical  Equip Repair &amp; Replacement(Lottery)</t>
  </si>
  <si>
    <t xml:space="preserve">Greenville Technical College </t>
  </si>
  <si>
    <t xml:space="preserve">Horry-Georgetown Technical College </t>
  </si>
  <si>
    <t>Capital Reserve and Surplus 90.20</t>
  </si>
  <si>
    <t>Culinary Arts Academic Building</t>
  </si>
  <si>
    <t xml:space="preserve">Midlands Technical College </t>
  </si>
  <si>
    <t>Nursing Program</t>
  </si>
  <si>
    <t>Midlands Quick Jobs Program-Equipment</t>
  </si>
  <si>
    <t>Building Capacity for STEM Education</t>
  </si>
  <si>
    <t xml:space="preserve">Piedmont Technical College </t>
  </si>
  <si>
    <t xml:space="preserve">Tri-County Technical College </t>
  </si>
  <si>
    <t>CNC and Megatronics Program</t>
  </si>
  <si>
    <t xml:space="preserve">Trident Technical College </t>
  </si>
  <si>
    <t>Culinary Arts</t>
  </si>
  <si>
    <t xml:space="preserve">Aiken Technical College </t>
  </si>
  <si>
    <t>Renovation of IT Infrastructure</t>
  </si>
  <si>
    <t xml:space="preserve">Central Carolina Technical College </t>
  </si>
  <si>
    <t>Kershaw Campus &amp; Industrial Building Renovation</t>
  </si>
  <si>
    <t xml:space="preserve">Orangeburg-Calhoun Technical College </t>
  </si>
  <si>
    <t>Health Sciences &amp; Nursing Building Annex</t>
  </si>
  <si>
    <t xml:space="preserve">Spartanburg Community College </t>
  </si>
  <si>
    <t>Academic Student Center-Industry  Training</t>
  </si>
  <si>
    <t>Spartanburg-Cherokee Expansion</t>
  </si>
  <si>
    <t>Cherokee Campus-Adv. Manufacturing &amp; Industrial Equip</t>
  </si>
  <si>
    <t>York Technical College</t>
  </si>
  <si>
    <t xml:space="preserve">Denmark Technical College </t>
  </si>
  <si>
    <t>Plant Funding for Science Building</t>
  </si>
  <si>
    <t>Northeastern Technical College</t>
  </si>
  <si>
    <t>Technical College of the Lowcountry</t>
  </si>
  <si>
    <t>Transitioning Milt. Support and Training</t>
  </si>
  <si>
    <t>University of South Carolina-Lancaster</t>
  </si>
  <si>
    <t>Deferred Maintenance (NR)</t>
  </si>
  <si>
    <t>Repair &amp; Renewal for Science Labs &amp; Nursing Simulation</t>
  </si>
  <si>
    <t>University of South Carolina-Salkehatchie</t>
  </si>
  <si>
    <t xml:space="preserve">  Salkehatchie Leadership Institute</t>
  </si>
  <si>
    <t>University of South Carolina-Sumter</t>
  </si>
  <si>
    <t>University of South Carolina-Union</t>
  </si>
  <si>
    <t xml:space="preserve">Willamsburg Technical College </t>
  </si>
  <si>
    <t>Facilities Management Building</t>
  </si>
  <si>
    <t>Medical University of South Carolina</t>
  </si>
  <si>
    <t>E&amp;G Other-Operating</t>
  </si>
  <si>
    <t>Hypertension Initiative</t>
  </si>
  <si>
    <t>Diabetic Center (MUSC)</t>
  </si>
  <si>
    <t>Rural Dentist Incentive(MUSC)</t>
  </si>
  <si>
    <t>Institute of Medicine</t>
  </si>
  <si>
    <t>Mobile Cancer Screening &amp; Early Detection</t>
  </si>
  <si>
    <t>Hospital Authority-Telemedicine</t>
  </si>
  <si>
    <t>Telemedicine</t>
  </si>
  <si>
    <t>AHEC-Administration</t>
  </si>
  <si>
    <t>AHEC-Fringe Benefits</t>
  </si>
  <si>
    <t>AHEC-Operating Expenses</t>
  </si>
  <si>
    <t>AHEC-Health Professions Students' Rural Infrastructure Prog.</t>
  </si>
  <si>
    <t>AHEC-Rural Physicans Program</t>
  </si>
  <si>
    <t>AHEC-Nursing Recruitment</t>
  </si>
  <si>
    <t>Office of Healthcare Workforce &amp; Analysis Planning</t>
  </si>
  <si>
    <t>Greenville Tech-Univ Center</t>
  </si>
  <si>
    <t>Greenville Center Operating Cost</t>
  </si>
  <si>
    <t>University Center of Greenville-Infrastructure Development(NR)</t>
  </si>
  <si>
    <t>Lowcountry Graduate Center</t>
  </si>
  <si>
    <t xml:space="preserve"> National Foundation of Teaching Entrepreneurship (NFTE)</t>
  </si>
  <si>
    <t>South Carolina Manufacturing Extension Program (SCMEP)</t>
  </si>
  <si>
    <t>GEARUP</t>
  </si>
  <si>
    <t>Statewide Electronic Library Supplemental</t>
  </si>
  <si>
    <t>Experimental Program for the Stimulation of Competitive Research (EPSCOR) Constorium</t>
  </si>
  <si>
    <t>Charleston Transition Connection</t>
  </si>
  <si>
    <t>SC Commission on H.Ed.</t>
  </si>
  <si>
    <t>Education &amp; Economic Development Act</t>
  </si>
  <si>
    <t>Statewide Electronic Library-Admin</t>
  </si>
  <si>
    <t>National Guard Tuition</t>
  </si>
  <si>
    <t>LIFE Scholarships Admin</t>
  </si>
  <si>
    <t>SC Tech College System</t>
  </si>
  <si>
    <t>SC Tech College System-Fringe Benefits</t>
  </si>
  <si>
    <t>SC Tech College System Data Processing Support</t>
  </si>
  <si>
    <t>Manufacturing Skills Standards Council Initiative</t>
  </si>
  <si>
    <t>Innovative Technical Training</t>
  </si>
  <si>
    <t>SBTCE Special Schools (Economic Development)</t>
  </si>
  <si>
    <t>System Wide Programs</t>
  </si>
  <si>
    <t>System Wide Programs(Lottery)</t>
  </si>
  <si>
    <t>Other Direct Training Costs</t>
  </si>
  <si>
    <t>SBTCE CATT (NR)</t>
  </si>
  <si>
    <t>SBTCE CATT</t>
  </si>
  <si>
    <t>SREB - Technology Cooperative</t>
  </si>
  <si>
    <t>Higher Education Excellence Enhancement Program (Lottery)</t>
  </si>
  <si>
    <t>Other Private Institutions(Lottery)</t>
  </si>
  <si>
    <t>Doctoral Scholars Program</t>
  </si>
  <si>
    <t>Life Scholarships</t>
  </si>
  <si>
    <t>Lottery Tuition Assistance Program</t>
  </si>
  <si>
    <t xml:space="preserve">  Palmetto Fellows Scholarships</t>
  </si>
  <si>
    <t>SC HOPE</t>
  </si>
  <si>
    <t>SC Need-Based Grants</t>
  </si>
  <si>
    <t>National Guard College Assistance Program</t>
  </si>
  <si>
    <t>S.C. Tuition Grants</t>
  </si>
  <si>
    <t>February 2016</t>
  </si>
  <si>
    <t>By Purpose, Detail Distribution, 2014-15</t>
  </si>
  <si>
    <t xml:space="preserve"> February 2016</t>
  </si>
  <si>
    <t>By Purpose, Summary Distribution, 2014-15</t>
  </si>
  <si>
    <t>March 2016</t>
  </si>
  <si>
    <t>By Source and Purpose, 2014-15</t>
  </si>
  <si>
    <t>Public Four-Year, 2014-15</t>
  </si>
  <si>
    <t>Public Four-Year 1, 2014-15</t>
  </si>
  <si>
    <t>Public Four-Year 2, 2014-15</t>
  </si>
  <si>
    <t>Public Four-Year 3, 2014-15</t>
  </si>
  <si>
    <t>Public Four-Year 4, 2014-15</t>
  </si>
  <si>
    <t>Public Four-Year 5, 2014-15</t>
  </si>
  <si>
    <t>Public Four-Year 6, 2014-15</t>
  </si>
  <si>
    <t>All Two-Year, 2014-15</t>
  </si>
  <si>
    <t>Two-Year with Bachelor's, 2014-15</t>
  </si>
  <si>
    <t>Two-Year 1, 2014-15</t>
  </si>
  <si>
    <t>Two-Year 2, 2014-15</t>
  </si>
  <si>
    <t>Two-Year 3, 2014-15</t>
  </si>
  <si>
    <t>Two-Year Size Unknown, 2014-15</t>
  </si>
  <si>
    <t>All Technical Institutes or Colleges, 2014-15</t>
  </si>
  <si>
    <t>Technical Institute or College 1, 2014-15</t>
  </si>
  <si>
    <t>Technical Institute or College 2, 2014-15</t>
  </si>
  <si>
    <t>Two-Year 2, 2013-14</t>
  </si>
  <si>
    <t>Two-Year 3, 2013-14</t>
  </si>
  <si>
    <t>Two-Year Size Unknown, 2013-14</t>
  </si>
  <si>
    <t>All Technical Institutes or Colleges, 2013-14</t>
  </si>
  <si>
    <t>Technical Institute or College 1, 2013-14</t>
  </si>
  <si>
    <t>Technical Institute or College 2, 2013-14</t>
  </si>
  <si>
    <r>
      <t>1</t>
    </r>
    <r>
      <rPr>
        <sz val="8"/>
        <rFont val="Arial"/>
        <family val="2"/>
      </rPr>
      <t>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 revenue. Items in "A. General-purpose funds to public campuses and educational special-purpose funds to public campuses" are the basis for the per student funding statistics.</t>
    </r>
  </si>
  <si>
    <t>**Virginia reflects Richard Bland College only.</t>
  </si>
  <si>
    <t xml:space="preserve">*Texas reflects colleges in this category except those in the Alamo Community College District and the Dallas County Community College District that were not reported by campus. </t>
  </si>
  <si>
    <t>*Virginia reflects all community colleges except Richard Bland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</si>
</sst>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1" formatCode="_(* #,##0_);_(* \(#,##0\);_(* &quot;-&quot;_);_(@_)"/>
    <numFmt numFmtId="43" formatCode="_(* #,##0.00_);_(* \(#,##0.00\);_(* &quot;-&quot;??_);_(@_)"/>
    <numFmt numFmtId="164" formatCode="&quot;$&quot;#,##0"/>
    <numFmt numFmtId="165" formatCode="0_)"/>
    <numFmt numFmtId="166" formatCode="_(* #,##0_);_(* \(#,##0\);_(* &quot;-&quot;??_);_(@_)"/>
    <numFmt numFmtId="167" formatCode="#,##0.000_);\(#,##0.000\)"/>
    <numFmt numFmtId="168" formatCode="#,##0.0"/>
    <numFmt numFmtId="169" formatCode="0.0%"/>
    <numFmt numFmtId="170" formatCode="&quot;$&quot;#,##0.00"/>
    <numFmt numFmtId="171" formatCode="General_)"/>
    <numFmt numFmtId="172" formatCode="#,##0.0_);\(#,##0.0\)"/>
  </numFmts>
  <fonts count="124">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0"/>
      <name val="Courier"/>
      <family val="3"/>
    </font>
    <font>
      <b/>
      <sz val="8"/>
      <name val="Arial"/>
      <family val="2"/>
    </font>
    <font>
      <sz val="8"/>
      <name val="Arial"/>
      <family val="2"/>
    </font>
    <font>
      <sz val="8"/>
      <name val="Courier"/>
      <family val="3"/>
    </font>
    <font>
      <b/>
      <sz val="12"/>
      <name val="Arial"/>
      <family val="2"/>
    </font>
    <font>
      <vertAlign val="superscript"/>
      <sz val="8"/>
      <name val="Arial"/>
      <family val="2"/>
    </font>
    <font>
      <sz val="10"/>
      <name val="Arial"/>
      <family val="2"/>
    </font>
    <font>
      <vertAlign val="superscript"/>
      <sz val="10"/>
      <name val="Arial"/>
      <family val="2"/>
    </font>
    <font>
      <b/>
      <sz val="10"/>
      <name val="Arial"/>
      <family val="2"/>
    </font>
    <font>
      <b/>
      <vertAlign val="superscript"/>
      <sz val="8"/>
      <name val="Arial"/>
      <family val="2"/>
    </font>
    <font>
      <b/>
      <vertAlign val="superscript"/>
      <sz val="12"/>
      <name val="Arial"/>
      <family val="2"/>
    </font>
    <font>
      <sz val="9"/>
      <name val="Arial"/>
      <family val="2"/>
    </font>
    <font>
      <b/>
      <sz val="14"/>
      <name val="Arial"/>
      <family val="2"/>
    </font>
    <font>
      <sz val="8.5"/>
      <name val="Arial"/>
      <family val="2"/>
    </font>
    <font>
      <sz val="12"/>
      <name val="AGaramond"/>
      <family val="1"/>
    </font>
    <font>
      <sz val="10"/>
      <color indexed="18"/>
      <name val="Arial"/>
      <family val="2"/>
    </font>
    <font>
      <sz val="8"/>
      <color indexed="18"/>
      <name val="Arial"/>
      <family val="2"/>
    </font>
    <font>
      <b/>
      <sz val="9"/>
      <name val="Arial"/>
      <family val="2"/>
    </font>
    <font>
      <sz val="6"/>
      <name val="Arial"/>
      <family val="2"/>
    </font>
    <font>
      <vertAlign val="superscript"/>
      <sz val="9"/>
      <name val="Arial"/>
      <family val="2"/>
    </font>
    <font>
      <sz val="10"/>
      <color indexed="10"/>
      <name val="Arial"/>
      <family val="2"/>
    </font>
    <font>
      <sz val="12"/>
      <name val="Arial"/>
      <family val="2"/>
    </font>
    <font>
      <b/>
      <sz val="9"/>
      <color indexed="18"/>
      <name val="Arial"/>
      <family val="2"/>
    </font>
    <font>
      <sz val="9"/>
      <color indexed="8"/>
      <name val="Arial"/>
      <family val="2"/>
    </font>
    <font>
      <sz val="4"/>
      <name val="Arial"/>
      <family val="2"/>
    </font>
    <font>
      <b/>
      <sz val="6"/>
      <name val="Arial"/>
      <family val="2"/>
    </font>
    <font>
      <b/>
      <sz val="10"/>
      <color indexed="12"/>
      <name val="Arial"/>
      <family val="2"/>
    </font>
    <font>
      <b/>
      <vertAlign val="superscript"/>
      <sz val="10"/>
      <name val="Arial"/>
      <family val="2"/>
    </font>
    <font>
      <i/>
      <sz val="10"/>
      <name val="Arial"/>
      <family val="2"/>
    </font>
    <font>
      <b/>
      <i/>
      <sz val="10"/>
      <color indexed="12"/>
      <name val="Arial"/>
      <family val="2"/>
    </font>
    <font>
      <u/>
      <sz val="10"/>
      <name val="Arial"/>
      <family val="2"/>
    </font>
    <font>
      <b/>
      <sz val="10"/>
      <color indexed="81"/>
      <name val="Tahoma"/>
      <family val="2"/>
    </font>
    <font>
      <sz val="10"/>
      <color indexed="81"/>
      <name val="Tahoma"/>
      <family val="2"/>
    </font>
    <font>
      <b/>
      <u/>
      <sz val="10"/>
      <name val="Arial"/>
      <family val="2"/>
    </font>
    <font>
      <sz val="10"/>
      <name val="Verdana"/>
      <family val="2"/>
    </font>
    <font>
      <sz val="10"/>
      <color indexed="16"/>
      <name val="Verdana"/>
      <family val="2"/>
    </font>
    <font>
      <sz val="10"/>
      <color indexed="12"/>
      <name val="Arial"/>
      <family val="2"/>
    </font>
    <font>
      <b/>
      <sz val="8"/>
      <color indexed="12"/>
      <name val="Arial"/>
      <family val="2"/>
    </font>
    <font>
      <sz val="10"/>
      <color indexed="16"/>
      <name val="Arial"/>
      <family val="2"/>
    </font>
    <font>
      <b/>
      <sz val="10"/>
      <color indexed="16"/>
      <name val="Arial"/>
      <family val="2"/>
    </font>
    <font>
      <sz val="6"/>
      <color indexed="16"/>
      <name val="Arial"/>
      <family val="2"/>
    </font>
    <font>
      <b/>
      <sz val="8"/>
      <color indexed="16"/>
      <name val="Arial"/>
      <family val="2"/>
    </font>
    <font>
      <sz val="8"/>
      <color indexed="16"/>
      <name val="Arial"/>
      <family val="2"/>
    </font>
    <font>
      <b/>
      <sz val="8"/>
      <color indexed="18"/>
      <name val="Arial"/>
      <family val="2"/>
    </font>
    <font>
      <sz val="9"/>
      <color indexed="18"/>
      <name val="Arial"/>
      <family val="2"/>
    </font>
    <font>
      <b/>
      <vertAlign val="superscript"/>
      <sz val="8"/>
      <color indexed="18"/>
      <name val="Arial"/>
      <family val="2"/>
    </font>
    <font>
      <vertAlign val="superscript"/>
      <sz val="8"/>
      <color indexed="18"/>
      <name val="Arial"/>
      <family val="2"/>
    </font>
    <font>
      <b/>
      <u/>
      <sz val="10"/>
      <color indexed="12"/>
      <name val="Arial"/>
      <family val="2"/>
    </font>
    <font>
      <b/>
      <sz val="10"/>
      <color indexed="18"/>
      <name val="Arial"/>
      <family val="2"/>
    </font>
    <font>
      <sz val="12"/>
      <name val="AGaramond"/>
      <family val="3"/>
    </font>
    <font>
      <sz val="10"/>
      <color indexed="17"/>
      <name val="Arial"/>
      <family val="2"/>
    </font>
    <font>
      <b/>
      <sz val="18"/>
      <color rgb="FFFF0000"/>
      <name val="Arial"/>
      <family val="2"/>
    </font>
    <font>
      <sz val="10"/>
      <color rgb="FF0000FF"/>
      <name val="Arial"/>
      <family val="2"/>
    </font>
    <font>
      <b/>
      <sz val="10"/>
      <color rgb="FF0000FF"/>
      <name val="Arial"/>
      <family val="2"/>
    </font>
    <font>
      <b/>
      <sz val="10"/>
      <color rgb="FFFF0000"/>
      <name val="Arial"/>
      <family val="2"/>
    </font>
    <font>
      <b/>
      <vertAlign val="superscript"/>
      <sz val="9"/>
      <name val="Arial"/>
      <family val="2"/>
    </font>
    <font>
      <b/>
      <vertAlign val="superscript"/>
      <sz val="9"/>
      <color indexed="18"/>
      <name val="Arial"/>
      <family val="2"/>
    </font>
    <font>
      <vertAlign val="superscript"/>
      <sz val="9"/>
      <color indexed="18"/>
      <name val="Arial"/>
      <family val="2"/>
    </font>
    <font>
      <sz val="9"/>
      <name val="Courier"/>
      <family val="3"/>
    </font>
    <font>
      <i/>
      <sz val="10"/>
      <color rgb="FF0000FF"/>
      <name val="Arial"/>
      <family val="2"/>
    </font>
    <font>
      <b/>
      <i/>
      <sz val="10"/>
      <color theme="7" tint="0.39997558519241921"/>
      <name val="Arial"/>
      <family val="2"/>
    </font>
    <font>
      <sz val="10"/>
      <color rgb="FFC00000"/>
      <name val="Arial"/>
      <family val="2"/>
    </font>
    <font>
      <b/>
      <sz val="10"/>
      <color theme="0"/>
      <name val="Arial"/>
      <family val="2"/>
    </font>
    <font>
      <b/>
      <sz val="10"/>
      <color rgb="FFC00000"/>
      <name val="Arial"/>
      <family val="2"/>
    </font>
    <font>
      <sz val="12"/>
      <name val="Arial"/>
      <family val="2"/>
    </font>
    <font>
      <sz val="12"/>
      <name val="AGaramond"/>
      <family val="1"/>
    </font>
    <font>
      <sz val="10"/>
      <color indexed="8"/>
      <name val="Arial"/>
      <family val="2"/>
    </font>
    <font>
      <sz val="11"/>
      <color indexed="8"/>
      <name val="Calibri"/>
      <family val="2"/>
    </font>
    <font>
      <sz val="10"/>
      <name val="Helv"/>
    </font>
    <font>
      <sz val="10"/>
      <color rgb="FF000000"/>
      <name val="Times New Roman"/>
      <family val="1"/>
    </font>
    <font>
      <sz val="10"/>
      <color rgb="FF000000"/>
      <name val="Times New Roman"/>
      <family val="1"/>
    </font>
    <font>
      <b/>
      <vertAlign val="superscript"/>
      <sz val="10"/>
      <color theme="0"/>
      <name val="Arial"/>
      <family val="2"/>
    </font>
    <font>
      <sz val="12"/>
      <name val="AGaramond"/>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u/>
      <sz val="10"/>
      <name val="Arial"/>
      <family val="2"/>
    </font>
    <font>
      <b/>
      <sz val="8"/>
      <name val="Times New Roman"/>
      <family val="1"/>
    </font>
    <font>
      <b/>
      <sz val="9"/>
      <color indexed="81"/>
      <name val="Tahoma"/>
      <family val="2"/>
    </font>
    <font>
      <sz val="9"/>
      <color indexed="81"/>
      <name val="Tahoma"/>
      <family val="2"/>
    </font>
    <font>
      <b/>
      <sz val="8"/>
      <color rgb="FFC00000"/>
      <name val="Times New Roman"/>
      <family val="1"/>
    </font>
    <font>
      <b/>
      <i/>
      <sz val="10"/>
      <name val="Arial"/>
      <family val="2"/>
    </font>
    <font>
      <b/>
      <sz val="8"/>
      <color indexed="81"/>
      <name val="Tahoma"/>
      <family val="2"/>
    </font>
    <font>
      <sz val="8"/>
      <color indexed="81"/>
      <name val="Tahoma"/>
      <family val="2"/>
    </font>
    <font>
      <sz val="10"/>
      <color theme="3"/>
      <name val="Arial"/>
      <family val="2"/>
    </font>
    <font>
      <sz val="8"/>
      <name val="Times New Roman"/>
      <family val="1"/>
    </font>
    <font>
      <b/>
      <sz val="8"/>
      <color rgb="FFFF0000"/>
      <name val="Times New Roman"/>
      <family val="1"/>
    </font>
    <font>
      <sz val="10"/>
      <color rgb="FFFF0000"/>
      <name val="Arial"/>
      <family val="2"/>
    </font>
    <font>
      <b/>
      <sz val="10"/>
      <color rgb="FF1F497D"/>
      <name val="Arial"/>
      <family val="2"/>
    </font>
    <font>
      <sz val="10"/>
      <color rgb="FF000000"/>
      <name val="Arial"/>
      <family val="2"/>
    </font>
    <font>
      <strike/>
      <sz val="10"/>
      <name val="Arial"/>
      <family val="2"/>
    </font>
    <font>
      <sz val="10"/>
      <color rgb="FFCC0099"/>
      <name val="Arial"/>
      <family val="2"/>
    </font>
    <font>
      <sz val="10"/>
      <name val="Arial"/>
      <family val="2"/>
    </font>
    <font>
      <b/>
      <sz val="10"/>
      <name val="Arial"/>
      <family val="2"/>
    </font>
    <font>
      <sz val="6"/>
      <color rgb="FF0000FF"/>
      <name val="Arial"/>
      <family val="2"/>
    </font>
    <font>
      <sz val="4"/>
      <color rgb="FF0000FF"/>
      <name val="Arial"/>
      <family val="2"/>
    </font>
  </fonts>
  <fills count="71">
    <fill>
      <patternFill patternType="none"/>
    </fill>
    <fill>
      <patternFill patternType="gray125"/>
    </fill>
    <fill>
      <patternFill patternType="solid">
        <fgColor indexed="26"/>
      </patternFill>
    </fill>
    <fill>
      <patternFill patternType="solid">
        <fgColor indexed="16"/>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CD5B4"/>
        <bgColor indexed="64"/>
      </patternFill>
    </fill>
    <fill>
      <patternFill patternType="solid">
        <fgColor theme="6" tint="0.7999816888943144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0.249977111117893"/>
        <bgColor indexed="64"/>
      </patternFill>
    </fill>
    <fill>
      <patternFill patternType="solid">
        <fgColor indexed="44"/>
        <bgColor indexed="64"/>
      </patternFill>
    </fill>
    <fill>
      <patternFill patternType="solid">
        <fgColor indexed="44"/>
        <bgColor indexed="42"/>
      </patternFill>
    </fill>
    <fill>
      <patternFill patternType="solid">
        <fgColor indexed="42"/>
        <bgColor indexed="64"/>
      </patternFill>
    </fill>
    <fill>
      <patternFill patternType="solid">
        <fgColor indexed="45"/>
        <bgColor indexed="64"/>
      </patternFill>
    </fill>
    <fill>
      <patternFill patternType="solid">
        <fgColor rgb="FFFF99CC"/>
        <bgColor indexed="64"/>
      </patternFill>
    </fill>
    <fill>
      <patternFill patternType="solid">
        <fgColor rgb="FFCC99FF"/>
        <bgColor indexed="64"/>
      </patternFill>
    </fill>
    <fill>
      <patternFill patternType="solid">
        <fgColor indexed="43"/>
        <bgColor indexed="64"/>
      </patternFill>
    </fill>
    <fill>
      <patternFill patternType="solid">
        <fgColor indexed="15"/>
        <bgColor indexed="64"/>
      </patternFill>
    </fill>
    <fill>
      <patternFill patternType="solid">
        <fgColor rgb="FF00FFFF"/>
        <bgColor indexed="64"/>
      </patternFill>
    </fill>
    <fill>
      <patternFill patternType="solid">
        <fgColor indexed="51"/>
        <bgColor indexed="64"/>
      </patternFill>
    </fill>
    <fill>
      <patternFill patternType="solid">
        <fgColor rgb="FFFFCC00"/>
        <bgColor indexed="64"/>
      </patternFill>
    </fill>
    <fill>
      <patternFill patternType="solid">
        <fgColor indexed="42"/>
        <bgColor indexed="42"/>
      </patternFill>
    </fill>
    <fill>
      <patternFill patternType="solid">
        <fgColor indexed="50"/>
        <bgColor indexed="64"/>
      </patternFill>
    </fill>
    <fill>
      <patternFill patternType="solid">
        <fgColor theme="2" tint="-9.9978637043366805E-2"/>
        <bgColor indexed="64"/>
      </patternFill>
    </fill>
    <fill>
      <patternFill patternType="solid">
        <fgColor indexed="49"/>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indexed="47"/>
        <bgColor indexed="64"/>
      </patternFill>
    </fill>
    <fill>
      <patternFill patternType="solid">
        <fgColor indexed="45"/>
        <bgColor indexed="42"/>
      </patternFill>
    </fill>
    <fill>
      <patternFill patternType="solid">
        <fgColor indexed="43"/>
        <bgColor indexed="42"/>
      </patternFill>
    </fill>
    <fill>
      <patternFill patternType="solid">
        <fgColor rgb="FFFFC000"/>
        <bgColor indexed="64"/>
      </patternFill>
    </fill>
    <fill>
      <patternFill patternType="solid">
        <fgColor indexed="47"/>
        <bgColor indexed="42"/>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rgb="FF92D050"/>
        <bgColor indexed="64"/>
      </patternFill>
    </fill>
    <fill>
      <patternFill patternType="solid">
        <fgColor theme="6"/>
        <bgColor indexed="64"/>
      </patternFill>
    </fill>
  </fills>
  <borders count="131">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5"/>
      </left>
      <right/>
      <top style="thin">
        <color indexed="8"/>
      </top>
      <bottom/>
      <diagonal/>
    </border>
    <border>
      <left style="thin">
        <color indexed="8"/>
      </left>
      <right/>
      <top style="thin">
        <color indexed="65"/>
      </top>
      <bottom/>
      <diagonal/>
    </border>
    <border>
      <left/>
      <right style="thin">
        <color indexed="64"/>
      </right>
      <top/>
      <bottom/>
      <diagonal/>
    </border>
    <border>
      <left style="thin">
        <color indexed="64"/>
      </left>
      <right style="thin">
        <color indexed="64"/>
      </right>
      <top style="thin">
        <color indexed="64"/>
      </top>
      <bottom style="thin">
        <color indexed="22"/>
      </bottom>
      <diagonal/>
    </border>
    <border>
      <left/>
      <right/>
      <top style="thin">
        <color indexed="64"/>
      </top>
      <bottom style="thin">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8"/>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top/>
      <bottom/>
      <diagonal/>
    </border>
    <border>
      <left style="thin">
        <color indexed="64"/>
      </left>
      <right style="double">
        <color indexed="64"/>
      </right>
      <top/>
      <bottom/>
      <diagonal/>
    </border>
    <border>
      <left/>
      <right/>
      <top/>
      <bottom style="thin">
        <color indexed="22"/>
      </bottom>
      <diagonal/>
    </border>
    <border>
      <left style="thin">
        <color indexed="8"/>
      </left>
      <right/>
      <top/>
      <bottom/>
      <diagonal/>
    </border>
    <border>
      <left style="thin">
        <color indexed="8"/>
      </left>
      <right style="thin">
        <color indexed="64"/>
      </right>
      <top/>
      <bottom/>
      <diagonal/>
    </border>
    <border>
      <left style="thin">
        <color indexed="8"/>
      </left>
      <right/>
      <top style="thin">
        <color indexed="65"/>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thin">
        <color indexed="65"/>
      </left>
      <right style="thin">
        <color indexed="64"/>
      </right>
      <top style="thin">
        <color indexed="8"/>
      </top>
      <bottom/>
      <diagonal/>
    </border>
    <border>
      <left style="thin">
        <color indexed="8"/>
      </left>
      <right style="thin">
        <color indexed="64"/>
      </right>
      <top style="thin">
        <color indexed="8"/>
      </top>
      <bottom/>
      <diagonal/>
    </border>
    <border>
      <left/>
      <right/>
      <top style="thin">
        <color indexed="65"/>
      </top>
      <bottom/>
      <diagonal/>
    </border>
    <border>
      <left style="thin">
        <color indexed="64"/>
      </left>
      <right style="thin">
        <color indexed="8"/>
      </right>
      <top style="thin">
        <color indexed="65"/>
      </top>
      <bottom style="thin">
        <color indexed="64"/>
      </bottom>
      <diagonal/>
    </border>
    <border>
      <left style="thin">
        <color indexed="8"/>
      </left>
      <right/>
      <top style="thin">
        <color indexed="64"/>
      </top>
      <bottom/>
      <diagonal/>
    </border>
    <border>
      <left style="thin">
        <color indexed="8"/>
      </left>
      <right style="thin">
        <color indexed="8"/>
      </right>
      <top style="thin">
        <color indexed="8"/>
      </top>
      <bottom/>
      <diagonal/>
    </border>
    <border>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22"/>
      </bottom>
      <diagonal/>
    </border>
    <border>
      <left style="thin">
        <color indexed="64"/>
      </left>
      <right/>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thin">
        <color indexed="64"/>
      </left>
      <right/>
      <top style="thin">
        <color indexed="22"/>
      </top>
      <bottom style="thin">
        <color indexed="64"/>
      </bottom>
      <diagonal/>
    </border>
    <border>
      <left/>
      <right/>
      <top style="thin">
        <color indexed="22"/>
      </top>
      <bottom style="thin">
        <color indexed="22"/>
      </bottom>
      <diagonal/>
    </border>
    <border>
      <left style="thin">
        <color indexed="64"/>
      </left>
      <right/>
      <top style="thin">
        <color indexed="22"/>
      </top>
      <bottom/>
      <diagonal/>
    </border>
    <border>
      <left style="medium">
        <color indexed="64"/>
      </left>
      <right/>
      <top/>
      <bottom/>
      <diagonal/>
    </border>
    <border>
      <left style="thin">
        <color indexed="64"/>
      </left>
      <right style="thin">
        <color indexed="64"/>
      </right>
      <top style="thin">
        <color indexed="22"/>
      </top>
      <bottom style="thin">
        <color theme="0" tint="-0.24994659260841701"/>
      </bottom>
      <diagonal/>
    </border>
    <border>
      <left style="thin">
        <color indexed="64"/>
      </left>
      <right/>
      <top style="thin">
        <color indexed="22"/>
      </top>
      <bottom style="thin">
        <color theme="0" tint="-0.24994659260841701"/>
      </bottom>
      <diagonal/>
    </border>
    <border>
      <left/>
      <right/>
      <top style="thin">
        <color indexed="22"/>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style="thin">
        <color indexed="64"/>
      </bottom>
      <diagonal/>
    </border>
    <border>
      <left style="thin">
        <color indexed="65"/>
      </left>
      <right/>
      <top style="thin">
        <color indexed="8"/>
      </top>
      <bottom style="thin">
        <color indexed="64"/>
      </bottom>
      <diagonal/>
    </border>
    <border>
      <left style="thin">
        <color indexed="8"/>
      </left>
      <right style="thin">
        <color indexed="8"/>
      </right>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64"/>
      </top>
      <bottom/>
      <diagonal/>
    </border>
    <border>
      <left/>
      <right style="thin">
        <color indexed="8"/>
      </right>
      <top style="thin">
        <color indexed="65"/>
      </top>
      <bottom/>
      <diagonal/>
    </border>
    <border>
      <left/>
      <right style="thin">
        <color indexed="8"/>
      </right>
      <top style="thin">
        <color indexed="65"/>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64"/>
      </bottom>
      <diagonal/>
    </border>
    <border>
      <left style="thin">
        <color indexed="64"/>
      </left>
      <right style="medium">
        <color indexed="64"/>
      </right>
      <top/>
      <bottom/>
      <diagonal/>
    </border>
    <border>
      <left style="thin">
        <color indexed="65"/>
      </left>
      <right style="thin">
        <color indexed="8"/>
      </right>
      <top style="thin">
        <color indexed="8"/>
      </top>
      <bottom/>
      <diagonal/>
    </border>
    <border>
      <left/>
      <right style="thin">
        <color indexed="8"/>
      </right>
      <top style="thin">
        <color indexed="8"/>
      </top>
      <bottom style="thin">
        <color indexed="8"/>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double">
        <color indexed="64"/>
      </left>
      <right/>
      <top/>
      <bottom style="thin">
        <color indexed="64"/>
      </bottom>
      <diagonal/>
    </border>
    <border>
      <left style="thin">
        <color indexed="64"/>
      </left>
      <right/>
      <top style="thin">
        <color indexed="8"/>
      </top>
      <bottom style="thin">
        <color indexed="64"/>
      </bottom>
      <diagonal/>
    </border>
    <border>
      <left style="thin">
        <color indexed="8"/>
      </left>
      <right/>
      <top/>
      <bottom style="thin">
        <color indexed="8"/>
      </bottom>
      <diagonal/>
    </border>
    <border>
      <left style="medium">
        <color indexed="64"/>
      </left>
      <right style="medium">
        <color indexed="64"/>
      </right>
      <top/>
      <bottom/>
      <diagonal/>
    </border>
    <border>
      <left style="thin">
        <color indexed="64"/>
      </left>
      <right style="thin">
        <color indexed="64"/>
      </right>
      <top style="thin">
        <color indexed="8"/>
      </top>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5"/>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8"/>
      </top>
      <bottom/>
      <diagonal/>
    </border>
    <border>
      <left style="thin">
        <color indexed="8"/>
      </left>
      <right style="thin">
        <color indexed="8"/>
      </right>
      <top style="thick">
        <color indexed="8"/>
      </top>
      <bottom/>
      <diagonal/>
    </border>
    <border>
      <left style="thin">
        <color indexed="8"/>
      </left>
      <right style="thin">
        <color indexed="64"/>
      </right>
      <top style="thin">
        <color indexed="65"/>
      </top>
      <bottom/>
      <diagonal/>
    </border>
    <border>
      <left/>
      <right style="thin">
        <color indexed="64"/>
      </right>
      <top style="thin">
        <color indexed="8"/>
      </top>
      <bottom/>
      <diagonal/>
    </border>
    <border>
      <left style="thin">
        <color indexed="8"/>
      </left>
      <right/>
      <top style="thick">
        <color indexed="8"/>
      </top>
      <bottom/>
      <diagonal/>
    </border>
    <border>
      <left style="thin">
        <color indexed="64"/>
      </left>
      <right style="thin">
        <color indexed="8"/>
      </right>
      <top/>
      <bottom style="thick">
        <color indexed="8"/>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indexed="64"/>
      </right>
      <top style="thin">
        <color rgb="FF999999"/>
      </top>
      <bottom/>
      <diagonal/>
    </border>
    <border>
      <left style="thin">
        <color rgb="FF999999"/>
      </left>
      <right style="thin">
        <color indexed="64"/>
      </right>
      <top style="thin">
        <color rgb="FF999999"/>
      </top>
      <bottom style="thin">
        <color rgb="FF999999"/>
      </bottom>
      <diagonal/>
    </border>
    <border>
      <left/>
      <right/>
      <top style="thick">
        <color indexed="8"/>
      </top>
      <bottom/>
      <diagonal/>
    </border>
    <border>
      <left style="thin">
        <color rgb="FF999999"/>
      </left>
      <right/>
      <top style="thick">
        <color indexed="8"/>
      </top>
      <bottom/>
      <diagonal/>
    </border>
    <border>
      <left style="thin">
        <color rgb="FF999999"/>
      </left>
      <right style="thin">
        <color indexed="64"/>
      </right>
      <top style="thick">
        <color indexed="8"/>
      </top>
      <bottom/>
      <diagonal/>
    </border>
    <border>
      <left style="thin">
        <color rgb="FF999999"/>
      </left>
      <right style="thin">
        <color rgb="FF999999"/>
      </right>
      <top style="thick">
        <color indexed="8"/>
      </top>
      <bottom/>
      <diagonal/>
    </border>
  </borders>
  <cellStyleXfs count="13571">
    <xf numFmtId="0" fontId="0" fillId="0" borderId="0">
      <alignment horizontal="left" wrapText="1"/>
    </xf>
    <xf numFmtId="43" fontId="13" fillId="0" borderId="0" applyFont="0" applyFill="0" applyBorder="0" applyAlignment="0" applyProtection="0"/>
    <xf numFmtId="37" fontId="14" fillId="0" borderId="0"/>
    <xf numFmtId="37" fontId="14" fillId="0" borderId="0"/>
    <xf numFmtId="37" fontId="14" fillId="0" borderId="0"/>
    <xf numFmtId="0" fontId="13" fillId="2" borderId="1" applyNumberFormat="0" applyFont="0" applyAlignment="0" applyProtection="0"/>
    <xf numFmtId="9" fontId="13" fillId="0" borderId="0" applyFont="0" applyFill="0" applyBorder="0" applyAlignment="0" applyProtection="0"/>
    <xf numFmtId="43" fontId="28" fillId="0" borderId="0" applyFont="0" applyFill="0" applyBorder="0" applyAlignment="0" applyProtection="0"/>
    <xf numFmtId="43" fontId="63" fillId="0" borderId="0" applyFont="0" applyFill="0" applyBorder="0" applyAlignment="0" applyProtection="0"/>
    <xf numFmtId="0" fontId="13" fillId="0" borderId="0">
      <alignment horizontal="left" wrapText="1"/>
    </xf>
    <xf numFmtId="165" fontId="63" fillId="0" borderId="0"/>
    <xf numFmtId="165" fontId="63" fillId="0" borderId="0"/>
    <xf numFmtId="165" fontId="28" fillId="0" borderId="0"/>
    <xf numFmtId="9" fontId="63" fillId="0" borderId="0" applyFont="0" applyFill="0" applyBorder="0" applyAlignment="0" applyProtection="0"/>
    <xf numFmtId="43" fontId="63" fillId="0" borderId="0" applyFont="0" applyFill="0" applyBorder="0" applyAlignment="0" applyProtection="0"/>
    <xf numFmtId="0" fontId="14" fillId="0" borderId="0">
      <alignment horizontal="left" wrapText="1"/>
    </xf>
    <xf numFmtId="0" fontId="35" fillId="0" borderId="0"/>
    <xf numFmtId="0" fontId="35" fillId="0" borderId="0"/>
    <xf numFmtId="0" fontId="12" fillId="0" borderId="0"/>
    <xf numFmtId="0" fontId="13" fillId="0" borderId="0"/>
    <xf numFmtId="0" fontId="78" fillId="0" borderId="0"/>
    <xf numFmtId="165" fontId="79" fillId="0" borderId="0"/>
    <xf numFmtId="3" fontId="13" fillId="0" borderId="92" applyFont="0"/>
    <xf numFmtId="165" fontId="22" fillId="0" borderId="13" applyNumberFormat="0"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28" fillId="0" borderId="0"/>
    <xf numFmtId="165" fontId="79" fillId="0" borderId="0"/>
    <xf numFmtId="165" fontId="79" fillId="0" borderId="0"/>
    <xf numFmtId="9" fontId="28" fillId="0" borderId="0" applyFont="0" applyFill="0" applyBorder="0" applyAlignment="0" applyProtection="0"/>
    <xf numFmtId="165" fontId="79" fillId="0" borderId="0"/>
    <xf numFmtId="0" fontId="11" fillId="0" borderId="0"/>
    <xf numFmtId="165" fontId="28" fillId="0" borderId="0"/>
    <xf numFmtId="165" fontId="79" fillId="0" borderId="0"/>
    <xf numFmtId="0" fontId="11" fillId="0" borderId="0"/>
    <xf numFmtId="0" fontId="13" fillId="0" borderId="0"/>
    <xf numFmtId="0" fontId="11" fillId="0" borderId="0"/>
    <xf numFmtId="0" fontId="11" fillId="0" borderId="0"/>
    <xf numFmtId="0" fontId="12" fillId="0" borderId="0"/>
    <xf numFmtId="9" fontId="12" fillId="0" borderId="0" applyFont="0" applyFill="0" applyBorder="0" applyAlignment="0" applyProtection="0"/>
    <xf numFmtId="0" fontId="11"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81" fillId="0" borderId="0"/>
    <xf numFmtId="0" fontId="81" fillId="0" borderId="0"/>
    <xf numFmtId="0" fontId="81" fillId="0" borderId="0"/>
    <xf numFmtId="0" fontId="81" fillId="0" borderId="0"/>
    <xf numFmtId="0" fontId="80" fillId="0" borderId="0"/>
    <xf numFmtId="0" fontId="80" fillId="0" borderId="0">
      <alignment vertical="top"/>
    </xf>
    <xf numFmtId="0" fontId="13" fillId="0" borderId="0"/>
    <xf numFmtId="0" fontId="13" fillId="0" borderId="0"/>
    <xf numFmtId="0" fontId="11" fillId="0" borderId="0"/>
    <xf numFmtId="0" fontId="13" fillId="0" borderId="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165" fontId="79"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63" fillId="0" borderId="0"/>
    <xf numFmtId="43" fontId="63"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3" fontId="16" fillId="0" borderId="0"/>
    <xf numFmtId="43" fontId="28" fillId="0" borderId="0" applyFont="0" applyFill="0" applyBorder="0" applyAlignment="0" applyProtection="0"/>
    <xf numFmtId="171" fontId="82" fillId="0" borderId="0"/>
    <xf numFmtId="171" fontId="82" fillId="0" borderId="0"/>
    <xf numFmtId="3" fontId="13" fillId="0" borderId="92" applyFo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28"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0" fontId="11" fillId="0" borderId="0"/>
    <xf numFmtId="0" fontId="81" fillId="0" borderId="0"/>
    <xf numFmtId="0" fontId="81" fillId="0" borderId="0"/>
    <xf numFmtId="0" fontId="81" fillId="0" borderId="0"/>
    <xf numFmtId="0" fontId="80" fillId="0" borderId="0">
      <alignment vertical="top"/>
    </xf>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2" fillId="0" borderId="0"/>
    <xf numFmtId="0" fontId="13" fillId="0" borderId="0"/>
    <xf numFmtId="0" fontId="11" fillId="0" borderId="0"/>
    <xf numFmtId="0" fontId="11" fillId="0" borderId="0"/>
    <xf numFmtId="165" fontId="79" fillId="0" borderId="0"/>
    <xf numFmtId="165" fontId="79" fillId="0" borderId="0"/>
    <xf numFmtId="165" fontId="79" fillId="0" borderId="0"/>
    <xf numFmtId="165" fontId="79" fillId="0" borderId="0"/>
    <xf numFmtId="165" fontId="79"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9" fillId="0" borderId="0"/>
    <xf numFmtId="165" fontId="79" fillId="0" borderId="0"/>
    <xf numFmtId="165" fontId="7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65" fontId="79" fillId="0" borderId="0"/>
    <xf numFmtId="0" fontId="9" fillId="0" borderId="0"/>
    <xf numFmtId="165" fontId="7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165" fontId="79" fillId="0" borderId="0"/>
    <xf numFmtId="165" fontId="79"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165" fontId="79" fillId="0" borderId="0"/>
    <xf numFmtId="165" fontId="79" fillId="0" borderId="0"/>
    <xf numFmtId="165" fontId="79" fillId="0" borderId="0"/>
    <xf numFmtId="165" fontId="79" fillId="0" borderId="0"/>
    <xf numFmtId="0" fontId="7" fillId="0" borderId="0"/>
    <xf numFmtId="165" fontId="79" fillId="0" borderId="0"/>
    <xf numFmtId="165" fontId="79"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165" fontId="7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165" fontId="79" fillId="0" borderId="0"/>
    <xf numFmtId="0" fontId="6" fillId="0" borderId="0"/>
    <xf numFmtId="43" fontId="6" fillId="0" borderId="0" applyFont="0" applyFill="0" applyBorder="0" applyAlignment="0" applyProtection="0"/>
    <xf numFmtId="0" fontId="6" fillId="0" borderId="0"/>
    <xf numFmtId="165" fontId="79" fillId="0" borderId="0"/>
    <xf numFmtId="0" fontId="6" fillId="0" borderId="0"/>
    <xf numFmtId="0" fontId="6" fillId="0" borderId="0"/>
    <xf numFmtId="0" fontId="6" fillId="0" borderId="0"/>
    <xf numFmtId="165" fontId="79" fillId="0" borderId="0"/>
    <xf numFmtId="0" fontId="6" fillId="0" borderId="0"/>
    <xf numFmtId="165" fontId="79"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71" fontId="82" fillId="0" borderId="0"/>
    <xf numFmtId="0" fontId="6" fillId="0" borderId="0"/>
    <xf numFmtId="0" fontId="6" fillId="0" borderId="0"/>
    <xf numFmtId="0" fontId="6" fillId="0" borderId="0"/>
    <xf numFmtId="0" fontId="6" fillId="0" borderId="0"/>
    <xf numFmtId="9" fontId="6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12" fillId="0" borderId="0" applyFont="0" applyFill="0" applyBorder="0" applyAlignment="0" applyProtection="0"/>
    <xf numFmtId="165" fontId="79" fillId="0" borderId="0"/>
    <xf numFmtId="0" fontId="13"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71" fontId="82"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5" fontId="79" fillId="0" borderId="0"/>
    <xf numFmtId="165" fontId="79" fillId="0" borderId="0"/>
    <xf numFmtId="165" fontId="79" fillId="0" borderId="0"/>
    <xf numFmtId="165" fontId="79" fillId="0" borderId="0"/>
    <xf numFmtId="165" fontId="79"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83" fillId="0" borderId="0"/>
    <xf numFmtId="0" fontId="5" fillId="0" borderId="0"/>
    <xf numFmtId="0" fontId="84" fillId="0" borderId="0"/>
    <xf numFmtId="0" fontId="5" fillId="0" borderId="0"/>
    <xf numFmtId="0" fontId="83" fillId="0" borderId="0"/>
    <xf numFmtId="0" fontId="5" fillId="0" borderId="0"/>
    <xf numFmtId="0" fontId="5" fillId="0" borderId="0"/>
    <xf numFmtId="165" fontId="79" fillId="0" borderId="0"/>
    <xf numFmtId="0" fontId="4" fillId="0" borderId="0"/>
    <xf numFmtId="0" fontId="35" fillId="0" borderId="0"/>
    <xf numFmtId="0" fontId="4" fillId="0" borderId="0"/>
    <xf numFmtId="165" fontId="28"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171" fontId="82"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165" fontId="86"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165" fontId="28"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5" fontId="28" fillId="0" borderId="0"/>
    <xf numFmtId="165" fontId="28"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5" fontId="28" fillId="0" borderId="0"/>
    <xf numFmtId="165" fontId="28" fillId="0" borderId="0"/>
    <xf numFmtId="165" fontId="28"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5" fontId="28"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5" fontId="28"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5" fontId="28"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8" fillId="0" borderId="0"/>
    <xf numFmtId="165" fontId="28" fillId="0" borderId="0"/>
    <xf numFmtId="165" fontId="28" fillId="0" borderId="0"/>
    <xf numFmtId="0" fontId="2" fillId="0" borderId="0"/>
    <xf numFmtId="0" fontId="2" fillId="0" borderId="0"/>
    <xf numFmtId="0" fontId="2" fillId="0" borderId="0"/>
    <xf numFmtId="0" fontId="2" fillId="0" borderId="0"/>
    <xf numFmtId="0" fontId="2" fillId="0" borderId="0"/>
    <xf numFmtId="165" fontId="28" fillId="0" borderId="0"/>
    <xf numFmtId="165" fontId="28" fillId="0" borderId="0"/>
    <xf numFmtId="165" fontId="28" fillId="0" borderId="0"/>
    <xf numFmtId="165" fontId="28" fillId="0" borderId="0"/>
    <xf numFmtId="165" fontId="28" fillId="0" borderId="0"/>
    <xf numFmtId="165"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86" fillId="0" borderId="0"/>
    <xf numFmtId="165" fontId="86"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1" fontId="82" fillId="0" borderId="0"/>
    <xf numFmtId="0" fontId="13"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71"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1" fontId="8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5"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28" fillId="0" borderId="0"/>
    <xf numFmtId="165"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5" fontId="28" fillId="0" borderId="0"/>
    <xf numFmtId="165" fontId="28"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65" fontId="28"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165" fontId="28" fillId="0" borderId="0"/>
    <xf numFmtId="165" fontId="28"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102" applyNumberFormat="0" applyFont="0" applyAlignment="0" applyProtection="0"/>
    <xf numFmtId="0" fontId="81" fillId="22"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31" borderId="0" applyNumberFormat="0" applyBorder="0" applyAlignment="0" applyProtection="0"/>
    <xf numFmtId="0" fontId="87" fillId="32"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9" borderId="0" applyNumberFormat="0" applyBorder="0" applyAlignment="0" applyProtection="0"/>
    <xf numFmtId="0" fontId="88" fillId="23" borderId="0" applyNumberFormat="0" applyBorder="0" applyAlignment="0" applyProtection="0"/>
    <xf numFmtId="0" fontId="89" fillId="40" borderId="103" applyNumberFormat="0" applyAlignment="0" applyProtection="0"/>
    <xf numFmtId="0" fontId="90" fillId="41" borderId="104" applyNumberFormat="0" applyAlignment="0" applyProtection="0"/>
    <xf numFmtId="43" fontId="81" fillId="0" borderId="0" applyFont="0" applyFill="0" applyBorder="0" applyAlignment="0" applyProtection="0"/>
    <xf numFmtId="0" fontId="91" fillId="0" borderId="0" applyNumberFormat="0" applyFill="0" applyBorder="0" applyAlignment="0" applyProtection="0"/>
    <xf numFmtId="0" fontId="92" fillId="24" borderId="0" applyNumberFormat="0" applyBorder="0" applyAlignment="0" applyProtection="0"/>
    <xf numFmtId="0" fontId="93" fillId="0" borderId="105" applyNumberFormat="0" applyFill="0" applyAlignment="0" applyProtection="0"/>
    <xf numFmtId="0" fontId="94" fillId="0" borderId="106" applyNumberFormat="0" applyFill="0" applyAlignment="0" applyProtection="0"/>
    <xf numFmtId="0" fontId="95" fillId="0" borderId="107" applyNumberFormat="0" applyFill="0" applyAlignment="0" applyProtection="0"/>
    <xf numFmtId="0" fontId="95" fillId="0" borderId="0" applyNumberFormat="0" applyFill="0" applyBorder="0" applyAlignment="0" applyProtection="0"/>
    <xf numFmtId="0" fontId="96" fillId="27" borderId="103" applyNumberFormat="0" applyAlignment="0" applyProtection="0"/>
    <xf numFmtId="0" fontId="97" fillId="0" borderId="108" applyNumberFormat="0" applyFill="0" applyAlignment="0" applyProtection="0"/>
    <xf numFmtId="0" fontId="98" fillId="42" borderId="0" applyNumberFormat="0" applyBorder="0" applyAlignment="0" applyProtection="0"/>
    <xf numFmtId="0" fontId="81" fillId="0" borderId="0"/>
    <xf numFmtId="0" fontId="13" fillId="2" borderId="1" applyNumberFormat="0" applyFont="0" applyAlignment="0" applyProtection="0"/>
    <xf numFmtId="0" fontId="81" fillId="2" borderId="1" applyNumberFormat="0" applyFont="0" applyAlignment="0" applyProtection="0"/>
    <xf numFmtId="0" fontId="99" fillId="40" borderId="109" applyNumberFormat="0" applyAlignment="0" applyProtection="0"/>
    <xf numFmtId="9" fontId="13" fillId="0" borderId="0" applyFont="0" applyFill="0" applyBorder="0" applyAlignment="0" applyProtection="0"/>
    <xf numFmtId="9" fontId="81" fillId="0" borderId="0" applyFont="0" applyFill="0" applyBorder="0" applyAlignment="0" applyProtection="0"/>
    <xf numFmtId="0" fontId="100" fillId="0" borderId="0" applyNumberFormat="0" applyFill="0" applyBorder="0" applyAlignment="0" applyProtection="0"/>
    <xf numFmtId="0" fontId="101" fillId="0" borderId="110" applyNumberFormat="0" applyFill="0" applyAlignment="0" applyProtection="0"/>
    <xf numFmtId="0" fontId="102" fillId="0" borderId="0" applyNumberFormat="0" applyFill="0" applyBorder="0" applyAlignment="0" applyProtection="0"/>
    <xf numFmtId="0" fontId="81" fillId="2" borderId="1" applyNumberFormat="0" applyFont="0" applyAlignment="0" applyProtection="0"/>
    <xf numFmtId="0" fontId="13" fillId="2" borderId="1" applyNumberFormat="0" applyFont="0" applyAlignment="0" applyProtection="0"/>
    <xf numFmtId="0" fontId="96" fillId="27" borderId="103" applyNumberFormat="0" applyAlignment="0" applyProtection="0"/>
    <xf numFmtId="0" fontId="89" fillId="40" borderId="103" applyNumberFormat="0" applyAlignment="0" applyProtection="0"/>
    <xf numFmtId="0" fontId="99" fillId="40" borderId="109" applyNumberFormat="0" applyAlignment="0" applyProtection="0"/>
    <xf numFmtId="0" fontId="101" fillId="0" borderId="110"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102" applyNumberFormat="0" applyFont="0" applyAlignment="0" applyProtection="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21" borderId="102"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6" fillId="0" borderId="0"/>
    <xf numFmtId="0" fontId="1" fillId="0" borderId="0"/>
    <xf numFmtId="0" fontId="1" fillId="0" borderId="0"/>
    <xf numFmtId="0" fontId="1" fillId="0" borderId="0"/>
    <xf numFmtId="0" fontId="1" fillId="0" borderId="0"/>
    <xf numFmtId="0" fontId="1" fillId="0" borderId="0"/>
    <xf numFmtId="0" fontId="1" fillId="0" borderId="0"/>
    <xf numFmtId="3" fontId="16"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102" applyNumberFormat="0" applyFont="0" applyAlignment="0" applyProtection="0"/>
    <xf numFmtId="3" fontId="16"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8" fillId="0" borderId="0"/>
    <xf numFmtId="171" fontId="8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8" fillId="0" borderId="0"/>
    <xf numFmtId="165" fontId="28"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102" applyNumberFormat="0" applyFont="0" applyAlignment="0" applyProtection="0"/>
    <xf numFmtId="165" fontId="2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10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21" borderId="102"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8" fillId="0" borderId="0"/>
    <xf numFmtId="165" fontId="28" fillId="0" borderId="0"/>
    <xf numFmtId="171" fontId="82" fillId="0" borderId="0"/>
    <xf numFmtId="171" fontId="82" fillId="0" borderId="0"/>
    <xf numFmtId="171" fontId="82" fillId="0" borderId="0"/>
    <xf numFmtId="165" fontId="28" fillId="0" borderId="0"/>
    <xf numFmtId="165" fontId="28" fillId="0" borderId="0"/>
    <xf numFmtId="165"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6" fillId="0" borderId="0"/>
    <xf numFmtId="165" fontId="86" fillId="0" borderId="0"/>
    <xf numFmtId="165" fontId="86" fillId="0" borderId="0"/>
    <xf numFmtId="171" fontId="82" fillId="0" borderId="0"/>
    <xf numFmtId="171" fontId="82" fillId="0" borderId="0"/>
    <xf numFmtId="171" fontId="82" fillId="0" borderId="0"/>
    <xf numFmtId="165" fontId="86" fillId="0" borderId="0"/>
    <xf numFmtId="165" fontId="28" fillId="0" borderId="0"/>
    <xf numFmtId="165" fontId="63" fillId="0" borderId="0"/>
    <xf numFmtId="165" fontId="63" fillId="0" borderId="0"/>
    <xf numFmtId="37" fontId="14" fillId="0" borderId="0"/>
    <xf numFmtId="37" fontId="14" fillId="0" borderId="0"/>
    <xf numFmtId="165" fontId="28" fillId="0" borderId="0"/>
    <xf numFmtId="165" fontId="63" fillId="0" borderId="0"/>
    <xf numFmtId="3" fontId="16" fillId="0" borderId="0"/>
    <xf numFmtId="165" fontId="28" fillId="0" borderId="0"/>
    <xf numFmtId="165" fontId="63" fillId="0" borderId="0"/>
    <xf numFmtId="165" fontId="28" fillId="0" borderId="0"/>
    <xf numFmtId="37" fontId="14" fillId="0" borderId="0"/>
    <xf numFmtId="165" fontId="28" fillId="0" borderId="0"/>
    <xf numFmtId="165" fontId="63" fillId="0" borderId="0"/>
    <xf numFmtId="3" fontId="16" fillId="0" borderId="0"/>
  </cellStyleXfs>
  <cellXfs count="1577">
    <xf numFmtId="37" fontId="0" fillId="0" borderId="0" xfId="0" applyNumberFormat="1" applyAlignment="1"/>
    <xf numFmtId="37" fontId="16" fillId="0" borderId="0" xfId="0" applyNumberFormat="1" applyFont="1" applyFill="1" applyAlignment="1"/>
    <xf numFmtId="37" fontId="16" fillId="0" borderId="0" xfId="0" applyNumberFormat="1" applyFont="1" applyAlignment="1"/>
    <xf numFmtId="9" fontId="16" fillId="0" borderId="0" xfId="6" applyFont="1" applyFill="1"/>
    <xf numFmtId="37" fontId="20" fillId="0" borderId="0" xfId="0" applyNumberFormat="1" applyFont="1" applyFill="1" applyAlignment="1">
      <alignment horizontal="center"/>
    </xf>
    <xf numFmtId="37" fontId="20" fillId="0" borderId="0" xfId="0" applyNumberFormat="1" applyFont="1" applyFill="1" applyBorder="1" applyAlignment="1">
      <alignment horizontal="center"/>
    </xf>
    <xf numFmtId="37" fontId="20" fillId="0" borderId="0" xfId="0" applyNumberFormat="1" applyFont="1" applyFill="1" applyAlignment="1"/>
    <xf numFmtId="37" fontId="20" fillId="0" borderId="0" xfId="0" applyNumberFormat="1" applyFont="1" applyFill="1" applyBorder="1" applyAlignment="1"/>
    <xf numFmtId="37" fontId="20" fillId="0" borderId="2" xfId="0" applyNumberFormat="1" applyFont="1" applyFill="1" applyBorder="1" applyAlignment="1"/>
    <xf numFmtId="9" fontId="16" fillId="0" borderId="0" xfId="6" applyFont="1" applyFill="1" applyBorder="1"/>
    <xf numFmtId="37" fontId="20" fillId="0" borderId="0" xfId="0" applyNumberFormat="1" applyFont="1" applyAlignment="1"/>
    <xf numFmtId="0" fontId="20" fillId="0" borderId="8" xfId="1" applyNumberFormat="1" applyFont="1" applyFill="1" applyBorder="1" applyAlignment="1" applyProtection="1">
      <alignment horizontal="center" vertical="center" wrapText="1"/>
    </xf>
    <xf numFmtId="0" fontId="20" fillId="0" borderId="9" xfId="1" applyNumberFormat="1" applyFont="1" applyFill="1" applyBorder="1" applyAlignment="1" applyProtection="1">
      <alignment horizontal="center" vertical="center"/>
    </xf>
    <xf numFmtId="37" fontId="20" fillId="0" borderId="9" xfId="0" applyNumberFormat="1" applyFont="1" applyFill="1" applyBorder="1" applyAlignment="1" applyProtection="1">
      <alignment horizontal="center" vertical="center"/>
    </xf>
    <xf numFmtId="37" fontId="20" fillId="0" borderId="9" xfId="0" applyNumberFormat="1" applyFont="1" applyFill="1" applyBorder="1" applyAlignment="1">
      <alignment horizontal="center" vertical="center"/>
    </xf>
    <xf numFmtId="169" fontId="20" fillId="0" borderId="2" xfId="6" applyNumberFormat="1" applyFont="1" applyFill="1" applyBorder="1" applyAlignment="1">
      <alignment horizontal="center" vertical="center"/>
    </xf>
    <xf numFmtId="37" fontId="20" fillId="0" borderId="0" xfId="0" applyNumberFormat="1" applyFont="1" applyFill="1" applyBorder="1" applyAlignment="1">
      <alignment horizontal="centerContinuous"/>
    </xf>
    <xf numFmtId="37" fontId="18" fillId="0" borderId="0" xfId="0" applyNumberFormat="1" applyFont="1" applyFill="1" applyBorder="1" applyAlignment="1">
      <alignment horizontal="centerContinuous"/>
    </xf>
    <xf numFmtId="37" fontId="20" fillId="0" borderId="0" xfId="0" applyNumberFormat="1" applyFont="1" applyFill="1" applyAlignment="1">
      <alignment horizontal="left"/>
    </xf>
    <xf numFmtId="37" fontId="15" fillId="0" borderId="6" xfId="0" applyNumberFormat="1" applyFont="1" applyFill="1" applyBorder="1" applyAlignment="1">
      <alignment horizontal="center" wrapText="1"/>
    </xf>
    <xf numFmtId="167" fontId="15" fillId="0" borderId="10" xfId="0" applyNumberFormat="1" applyFont="1" applyFill="1" applyBorder="1" applyAlignment="1">
      <alignment horizontal="center" wrapText="1"/>
    </xf>
    <xf numFmtId="37" fontId="15" fillId="0" borderId="11" xfId="0" applyNumberFormat="1" applyFont="1" applyFill="1" applyBorder="1" applyAlignment="1" applyProtection="1">
      <alignment horizontal="centerContinuous"/>
    </xf>
    <xf numFmtId="37" fontId="18" fillId="0" borderId="14" xfId="0" applyNumberFormat="1" applyFont="1" applyFill="1" applyBorder="1" applyAlignment="1">
      <alignment horizontal="centerContinuous"/>
    </xf>
    <xf numFmtId="37" fontId="18" fillId="0" borderId="11" xfId="0" applyNumberFormat="1" applyFont="1" applyFill="1" applyBorder="1" applyAlignment="1">
      <alignment horizontal="centerContinuous"/>
    </xf>
    <xf numFmtId="37" fontId="20" fillId="0" borderId="14" xfId="0" applyNumberFormat="1" applyFont="1" applyFill="1" applyBorder="1" applyAlignment="1">
      <alignment horizontal="center"/>
    </xf>
    <xf numFmtId="9" fontId="16" fillId="0" borderId="0" xfId="6" applyFont="1" applyFill="1" applyAlignment="1"/>
    <xf numFmtId="169" fontId="20" fillId="0" borderId="16" xfId="6" applyNumberFormat="1" applyFont="1" applyFill="1" applyBorder="1" applyAlignment="1">
      <alignment horizontal="center" vertical="center"/>
    </xf>
    <xf numFmtId="9" fontId="30" fillId="0" borderId="0" xfId="6" applyFont="1" applyFill="1"/>
    <xf numFmtId="37" fontId="30" fillId="0" borderId="0" xfId="0" applyNumberFormat="1" applyFont="1" applyFill="1" applyAlignment="1"/>
    <xf numFmtId="166" fontId="20" fillId="0" borderId="14" xfId="1" quotePrefix="1" applyNumberFormat="1" applyFont="1" applyFill="1" applyBorder="1" applyAlignment="1">
      <alignment horizontal="center"/>
    </xf>
    <xf numFmtId="37" fontId="18" fillId="3" borderId="0" xfId="0" applyNumberFormat="1" applyFont="1" applyFill="1" applyBorder="1" applyAlignment="1">
      <alignment horizontal="centerContinuous"/>
    </xf>
    <xf numFmtId="37" fontId="15" fillId="3" borderId="2" xfId="0" applyNumberFormat="1" applyFont="1" applyFill="1" applyBorder="1" applyAlignment="1">
      <alignment horizontal="center" wrapText="1"/>
    </xf>
    <xf numFmtId="9" fontId="20" fillId="3" borderId="0" xfId="6" applyFont="1" applyFill="1" applyBorder="1" applyAlignment="1">
      <alignment horizontal="center"/>
    </xf>
    <xf numFmtId="166" fontId="20" fillId="3" borderId="0" xfId="1" quotePrefix="1" applyNumberFormat="1" applyFont="1" applyFill="1" applyBorder="1" applyAlignment="1">
      <alignment horizontal="center"/>
    </xf>
    <xf numFmtId="9" fontId="20" fillId="3" borderId="2" xfId="6" applyFont="1" applyFill="1" applyBorder="1" applyAlignment="1">
      <alignment horizontal="center"/>
    </xf>
    <xf numFmtId="37" fontId="20" fillId="3" borderId="0" xfId="0" applyNumberFormat="1" applyFont="1" applyFill="1" applyBorder="1" applyAlignment="1">
      <alignment horizontal="center"/>
    </xf>
    <xf numFmtId="37" fontId="15" fillId="0" borderId="17" xfId="0" applyNumberFormat="1" applyFont="1" applyFill="1" applyBorder="1" applyAlignment="1" applyProtection="1">
      <alignment horizontal="centerContinuous"/>
    </xf>
    <xf numFmtId="37" fontId="18" fillId="0" borderId="17" xfId="0" applyNumberFormat="1" applyFont="1" applyFill="1" applyBorder="1" applyAlignment="1">
      <alignment horizontal="centerContinuous"/>
    </xf>
    <xf numFmtId="37" fontId="15" fillId="0" borderId="18" xfId="0" applyNumberFormat="1" applyFont="1" applyFill="1" applyBorder="1" applyAlignment="1" applyProtection="1">
      <alignment horizontal="centerContinuous" wrapText="1"/>
    </xf>
    <xf numFmtId="37" fontId="15" fillId="0" borderId="9" xfId="0" applyNumberFormat="1" applyFont="1" applyFill="1" applyBorder="1" applyAlignment="1" applyProtection="1">
      <alignment horizontal="centerContinuous" wrapText="1"/>
    </xf>
    <xf numFmtId="37" fontId="15" fillId="0" borderId="17" xfId="0" applyNumberFormat="1" applyFont="1" applyFill="1" applyBorder="1" applyAlignment="1">
      <alignment horizontal="center" wrapText="1"/>
    </xf>
    <xf numFmtId="37" fontId="16" fillId="0" borderId="19" xfId="0" applyNumberFormat="1" applyFont="1" applyFill="1" applyBorder="1" applyAlignment="1" applyProtection="1">
      <alignment horizontal="left"/>
    </xf>
    <xf numFmtId="37" fontId="20" fillId="0" borderId="0" xfId="0" applyNumberFormat="1" applyFont="1" applyAlignment="1">
      <alignment horizontal="centerContinuous"/>
    </xf>
    <xf numFmtId="37" fontId="20" fillId="0" borderId="0" xfId="0" applyNumberFormat="1" applyFont="1" applyBorder="1" applyAlignment="1">
      <alignment horizontal="centerContinuous"/>
    </xf>
    <xf numFmtId="37" fontId="20" fillId="0" borderId="20" xfId="0" applyNumberFormat="1" applyFont="1" applyBorder="1" applyAlignment="1"/>
    <xf numFmtId="37" fontId="29" fillId="0" borderId="0" xfId="0" applyNumberFormat="1" applyFont="1" applyFill="1" applyAlignment="1"/>
    <xf numFmtId="9" fontId="20" fillId="0" borderId="0" xfId="6" applyFont="1" applyFill="1"/>
    <xf numFmtId="37" fontId="16" fillId="0" borderId="0" xfId="0" applyNumberFormat="1" applyFont="1" applyBorder="1" applyAlignment="1"/>
    <xf numFmtId="37" fontId="20" fillId="0" borderId="0" xfId="0" applyNumberFormat="1" applyFont="1" applyBorder="1" applyAlignment="1"/>
    <xf numFmtId="37" fontId="20" fillId="0" borderId="11" xfId="0" applyNumberFormat="1" applyFont="1" applyBorder="1" applyAlignment="1">
      <alignment horizontal="center" wrapText="1"/>
    </xf>
    <xf numFmtId="37" fontId="20" fillId="0" borderId="2" xfId="0" applyNumberFormat="1" applyFont="1" applyFill="1" applyBorder="1" applyAlignment="1" applyProtection="1">
      <alignment horizontal="center" wrapText="1"/>
    </xf>
    <xf numFmtId="167" fontId="15" fillId="0" borderId="9" xfId="0" applyNumberFormat="1" applyFont="1" applyFill="1" applyBorder="1" applyAlignment="1" applyProtection="1">
      <alignment horizontal="center" wrapText="1"/>
    </xf>
    <xf numFmtId="37" fontId="15" fillId="0" borderId="9" xfId="0" applyNumberFormat="1" applyFont="1" applyFill="1" applyBorder="1" applyAlignment="1">
      <alignment horizontal="center" wrapText="1"/>
    </xf>
    <xf numFmtId="167" fontId="15" fillId="0" borderId="18" xfId="0" applyNumberFormat="1" applyFont="1" applyFill="1" applyBorder="1" applyAlignment="1" applyProtection="1">
      <alignment horizontal="center" wrapText="1"/>
    </xf>
    <xf numFmtId="37" fontId="20" fillId="0" borderId="2" xfId="0" applyNumberFormat="1" applyFont="1" applyFill="1" applyBorder="1" applyAlignment="1" applyProtection="1">
      <alignment horizontal="center"/>
    </xf>
    <xf numFmtId="37" fontId="19" fillId="0" borderId="0" xfId="0" applyNumberFormat="1" applyFont="1" applyBorder="1" applyAlignment="1"/>
    <xf numFmtId="37" fontId="18" fillId="0" borderId="20" xfId="0" applyNumberFormat="1" applyFont="1" applyFill="1" applyBorder="1" applyAlignment="1">
      <alignment horizontal="center" vertical="center"/>
    </xf>
    <xf numFmtId="37" fontId="15" fillId="0" borderId="18" xfId="0" applyNumberFormat="1" applyFont="1" applyFill="1" applyBorder="1" applyAlignment="1">
      <alignment horizontal="centerContinuous" vertical="center" wrapText="1"/>
    </xf>
    <xf numFmtId="37" fontId="15" fillId="0" borderId="9" xfId="0" applyNumberFormat="1" applyFont="1" applyFill="1" applyBorder="1" applyAlignment="1">
      <alignment horizontal="centerContinuous" vertical="center" wrapText="1"/>
    </xf>
    <xf numFmtId="37" fontId="20" fillId="0" borderId="0" xfId="0" applyNumberFormat="1" applyFont="1" applyFill="1" applyAlignment="1">
      <alignment horizontal="center" vertical="center"/>
    </xf>
    <xf numFmtId="37" fontId="18" fillId="0" borderId="20" xfId="0" applyNumberFormat="1" applyFont="1" applyFill="1" applyBorder="1" applyAlignment="1">
      <alignment vertical="center"/>
    </xf>
    <xf numFmtId="37" fontId="20" fillId="0" borderId="0" xfId="0" applyNumberFormat="1" applyFont="1" applyFill="1" applyAlignment="1">
      <alignment vertical="center"/>
    </xf>
    <xf numFmtId="37" fontId="26" fillId="0" borderId="0" xfId="0" applyNumberFormat="1" applyFont="1" applyFill="1" applyBorder="1" applyAlignment="1">
      <alignment horizontal="centerContinuous"/>
    </xf>
    <xf numFmtId="37" fontId="32" fillId="0" borderId="0" xfId="0" applyNumberFormat="1" applyFont="1" applyFill="1" applyBorder="1" applyAlignment="1"/>
    <xf numFmtId="166" fontId="32" fillId="0" borderId="14" xfId="6" applyNumberFormat="1" applyFont="1" applyFill="1" applyBorder="1" applyAlignment="1">
      <alignment horizontal="center"/>
    </xf>
    <xf numFmtId="9" fontId="32" fillId="3" borderId="0" xfId="6" applyFont="1" applyFill="1" applyBorder="1" applyAlignment="1">
      <alignment horizontal="center"/>
    </xf>
    <xf numFmtId="37" fontId="32" fillId="0" borderId="0" xfId="0" applyNumberFormat="1" applyFont="1" applyFill="1" applyAlignment="1"/>
    <xf numFmtId="37" fontId="25" fillId="0" borderId="0" xfId="0" applyNumberFormat="1" applyFont="1" applyFill="1" applyBorder="1" applyAlignment="1"/>
    <xf numFmtId="37" fontId="25" fillId="0" borderId="2" xfId="0" applyNumberFormat="1" applyFont="1" applyFill="1" applyBorder="1" applyAlignment="1"/>
    <xf numFmtId="37" fontId="20" fillId="0" borderId="0" xfId="0" applyNumberFormat="1" applyFont="1" applyAlignment="1">
      <alignment vertical="top"/>
    </xf>
    <xf numFmtId="37" fontId="19" fillId="0" borderId="0" xfId="0" applyNumberFormat="1" applyFont="1" applyBorder="1" applyAlignment="1">
      <alignment vertical="top"/>
    </xf>
    <xf numFmtId="37" fontId="16" fillId="0" borderId="0" xfId="0" applyNumberFormat="1" applyFont="1" applyAlignment="1">
      <alignment vertical="top"/>
    </xf>
    <xf numFmtId="37" fontId="16" fillId="0" borderId="0" xfId="0" applyNumberFormat="1" applyFont="1" applyBorder="1" applyAlignment="1">
      <alignment vertical="top"/>
    </xf>
    <xf numFmtId="37" fontId="20" fillId="0" borderId="0" xfId="0" applyNumberFormat="1" applyFont="1" applyFill="1" applyBorder="1" applyAlignment="1">
      <alignment vertical="center"/>
    </xf>
    <xf numFmtId="37" fontId="20" fillId="0" borderId="2" xfId="0" applyNumberFormat="1" applyFont="1" applyFill="1" applyBorder="1" applyAlignment="1">
      <alignment vertical="center"/>
    </xf>
    <xf numFmtId="3" fontId="20" fillId="0" borderId="0" xfId="0" applyNumberFormat="1" applyFont="1" applyFill="1" applyBorder="1" applyAlignment="1">
      <alignment horizontal="right" vertical="center"/>
    </xf>
    <xf numFmtId="37" fontId="26" fillId="0" borderId="0" xfId="0" applyNumberFormat="1" applyFont="1" applyFill="1" applyAlignment="1">
      <alignment vertical="center"/>
    </xf>
    <xf numFmtId="37" fontId="20" fillId="0" borderId="2" xfId="0" applyNumberFormat="1" applyFont="1" applyBorder="1" applyAlignment="1">
      <alignment horizontal="center"/>
    </xf>
    <xf numFmtId="37" fontId="15" fillId="0" borderId="6" xfId="0" applyNumberFormat="1" applyFont="1" applyFill="1" applyBorder="1" applyAlignment="1" applyProtection="1">
      <alignment horizontal="center"/>
    </xf>
    <xf numFmtId="0" fontId="25" fillId="0" borderId="8" xfId="1" applyNumberFormat="1" applyFont="1" applyFill="1" applyBorder="1" applyAlignment="1" applyProtection="1">
      <alignment horizontal="center" vertical="center" wrapText="1"/>
    </xf>
    <xf numFmtId="37" fontId="25" fillId="0" borderId="9" xfId="0" applyNumberFormat="1" applyFont="1" applyBorder="1" applyAlignment="1">
      <alignment horizontal="center"/>
    </xf>
    <xf numFmtId="0" fontId="25" fillId="0" borderId="9" xfId="1" applyNumberFormat="1" applyFont="1" applyFill="1" applyBorder="1" applyAlignment="1" applyProtection="1">
      <alignment horizontal="center" vertical="center"/>
    </xf>
    <xf numFmtId="37" fontId="25" fillId="0" borderId="9" xfId="0" applyNumberFormat="1" applyFont="1" applyFill="1" applyBorder="1" applyAlignment="1" applyProtection="1">
      <alignment horizontal="center" vertical="center"/>
    </xf>
    <xf numFmtId="37" fontId="25" fillId="0" borderId="9" xfId="0" applyNumberFormat="1" applyFont="1" applyFill="1" applyBorder="1" applyAlignment="1">
      <alignment horizontal="center" vertical="center"/>
    </xf>
    <xf numFmtId="37" fontId="25" fillId="0" borderId="0" xfId="0" applyNumberFormat="1" applyFont="1" applyAlignment="1">
      <alignment horizontal="center"/>
    </xf>
    <xf numFmtId="37" fontId="38" fillId="0" borderId="0" xfId="0" applyNumberFormat="1" applyFont="1" applyFill="1" applyBorder="1" applyAlignment="1"/>
    <xf numFmtId="166" fontId="38" fillId="0" borderId="14" xfId="6" applyNumberFormat="1" applyFont="1" applyFill="1" applyBorder="1" applyAlignment="1">
      <alignment horizontal="center"/>
    </xf>
    <xf numFmtId="9" fontId="38" fillId="3" borderId="0" xfId="6" applyFont="1" applyFill="1" applyBorder="1" applyAlignment="1">
      <alignment horizontal="center"/>
    </xf>
    <xf numFmtId="37" fontId="38" fillId="0" borderId="0" xfId="0" applyNumberFormat="1" applyFont="1" applyFill="1" applyAlignment="1"/>
    <xf numFmtId="37" fontId="20" fillId="0" borderId="0" xfId="0" applyNumberFormat="1" applyFont="1" applyFill="1" applyBorder="1" applyAlignment="1">
      <alignment horizontal="center" vertical="center"/>
    </xf>
    <xf numFmtId="37" fontId="26" fillId="0" borderId="0" xfId="0" applyNumberFormat="1" applyFont="1" applyFill="1" applyBorder="1" applyAlignment="1">
      <alignment vertical="center"/>
    </xf>
    <xf numFmtId="37" fontId="18" fillId="0" borderId="0" xfId="0" applyNumberFormat="1" applyFont="1" applyFill="1" applyBorder="1" applyAlignment="1">
      <alignment horizontal="centerContinuous" vertical="center"/>
    </xf>
    <xf numFmtId="37" fontId="35" fillId="0" borderId="0" xfId="0" applyNumberFormat="1" applyFont="1" applyFill="1" applyBorder="1" applyAlignment="1">
      <alignment horizontal="centerContinuous" vertical="center"/>
    </xf>
    <xf numFmtId="37" fontId="35" fillId="0" borderId="0" xfId="0" applyNumberFormat="1" applyFont="1" applyFill="1" applyBorder="1" applyAlignment="1">
      <alignment vertical="center"/>
    </xf>
    <xf numFmtId="37" fontId="35" fillId="0" borderId="0" xfId="0" applyNumberFormat="1" applyFont="1" applyFill="1" applyAlignment="1">
      <alignment vertical="center"/>
    </xf>
    <xf numFmtId="37" fontId="18" fillId="0" borderId="0" xfId="0" applyNumberFormat="1" applyFont="1" applyFill="1" applyBorder="1" applyAlignment="1">
      <alignment vertical="center"/>
    </xf>
    <xf numFmtId="37" fontId="15" fillId="0" borderId="0" xfId="0" applyNumberFormat="1" applyFont="1" applyFill="1" applyBorder="1" applyAlignment="1">
      <alignment horizontal="centerContinuous" vertical="center"/>
    </xf>
    <xf numFmtId="37" fontId="15" fillId="0" borderId="2" xfId="0" applyNumberFormat="1" applyFont="1" applyFill="1" applyBorder="1" applyAlignment="1">
      <alignment horizontal="centerContinuous" vertical="center"/>
    </xf>
    <xf numFmtId="37" fontId="16" fillId="0" borderId="0" xfId="0" applyNumberFormat="1" applyFont="1" applyFill="1" applyBorder="1" applyAlignment="1">
      <alignment horizontal="centerContinuous" vertical="center"/>
    </xf>
    <xf numFmtId="37" fontId="16" fillId="0" borderId="0" xfId="0" applyNumberFormat="1" applyFont="1" applyFill="1" applyBorder="1" applyAlignment="1">
      <alignment vertical="center"/>
    </xf>
    <xf numFmtId="37" fontId="16" fillId="0" borderId="0" xfId="0" applyNumberFormat="1" applyFont="1" applyFill="1" applyAlignment="1">
      <alignment vertical="center"/>
    </xf>
    <xf numFmtId="37" fontId="20" fillId="0" borderId="0" xfId="0" applyNumberFormat="1" applyFont="1" applyFill="1" applyBorder="1" applyAlignment="1">
      <alignment horizontal="centerContinuous" vertical="center"/>
    </xf>
    <xf numFmtId="164" fontId="20" fillId="0" borderId="0" xfId="0" applyNumberFormat="1" applyFont="1" applyFill="1" applyBorder="1" applyAlignment="1">
      <alignment horizontal="right" vertical="center"/>
    </xf>
    <xf numFmtId="3" fontId="25" fillId="0" borderId="0" xfId="0" applyNumberFormat="1" applyFont="1" applyBorder="1" applyAlignment="1">
      <alignment vertical="center"/>
    </xf>
    <xf numFmtId="3" fontId="20" fillId="0" borderId="2" xfId="0" applyNumberFormat="1" applyFont="1" applyFill="1" applyBorder="1" applyAlignment="1">
      <alignment horizontal="right" vertical="center"/>
    </xf>
    <xf numFmtId="3" fontId="20" fillId="0" borderId="22" xfId="0" applyNumberFormat="1" applyFont="1" applyFill="1" applyBorder="1" applyAlignment="1">
      <alignment horizontal="right" vertical="center"/>
    </xf>
    <xf numFmtId="37" fontId="20" fillId="0" borderId="0" xfId="0" applyNumberFormat="1" applyFont="1" applyFill="1" applyBorder="1" applyAlignment="1">
      <alignment vertical="center" wrapText="1"/>
    </xf>
    <xf numFmtId="3" fontId="20" fillId="0" borderId="0" xfId="0" applyNumberFormat="1" applyFont="1" applyFill="1" applyBorder="1" applyAlignment="1">
      <alignment horizontal="center" vertical="center"/>
    </xf>
    <xf numFmtId="37" fontId="18" fillId="0" borderId="2" xfId="0" applyNumberFormat="1" applyFont="1" applyFill="1" applyBorder="1" applyAlignment="1">
      <alignment horizontal="centerContinuous" vertical="center"/>
    </xf>
    <xf numFmtId="37" fontId="15" fillId="0" borderId="20" xfId="0" applyNumberFormat="1" applyFont="1" applyFill="1" applyBorder="1" applyAlignment="1" applyProtection="1">
      <alignment horizontal="centerContinuous" vertical="center" wrapText="1"/>
    </xf>
    <xf numFmtId="37" fontId="32" fillId="0" borderId="0" xfId="0" applyNumberFormat="1" applyFont="1" applyFill="1" applyBorder="1" applyAlignment="1">
      <alignment vertical="center"/>
    </xf>
    <xf numFmtId="3" fontId="32" fillId="0" borderId="0" xfId="0" applyNumberFormat="1" applyFont="1" applyFill="1" applyBorder="1" applyAlignment="1">
      <alignment horizontal="right" vertical="center"/>
    </xf>
    <xf numFmtId="37" fontId="32" fillId="0" borderId="0" xfId="0" applyNumberFormat="1" applyFont="1" applyFill="1" applyAlignment="1">
      <alignment vertical="center"/>
    </xf>
    <xf numFmtId="37" fontId="16" fillId="0" borderId="0" xfId="0" applyNumberFormat="1" applyFont="1" applyFill="1" applyBorder="1" applyAlignment="1">
      <alignment vertical="center" wrapText="1"/>
    </xf>
    <xf numFmtId="164" fontId="20" fillId="0" borderId="23"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3" fontId="20" fillId="0" borderId="23" xfId="0" applyNumberFormat="1" applyFont="1" applyFill="1" applyBorder="1" applyAlignment="1">
      <alignment horizontal="center" vertical="center"/>
    </xf>
    <xf numFmtId="3" fontId="20" fillId="0" borderId="10" xfId="0" applyNumberFormat="1" applyFont="1" applyFill="1" applyBorder="1" applyAlignment="1">
      <alignment horizontal="center" vertical="center"/>
    </xf>
    <xf numFmtId="3" fontId="20" fillId="0" borderId="2" xfId="0" applyNumberFormat="1" applyFont="1" applyFill="1" applyBorder="1" applyAlignment="1">
      <alignment horizontal="center" vertical="center"/>
    </xf>
    <xf numFmtId="3" fontId="32" fillId="0" borderId="23" xfId="0" applyNumberFormat="1" applyFont="1" applyFill="1" applyBorder="1" applyAlignment="1">
      <alignment horizontal="center" vertical="center"/>
    </xf>
    <xf numFmtId="3" fontId="32" fillId="0" borderId="0" xfId="0" applyNumberFormat="1" applyFont="1" applyFill="1" applyBorder="1" applyAlignment="1">
      <alignment horizontal="center" vertical="center"/>
    </xf>
    <xf numFmtId="3" fontId="20" fillId="0" borderId="0" xfId="0" quotePrefix="1" applyNumberFormat="1" applyFont="1" applyFill="1" applyBorder="1" applyAlignment="1">
      <alignment horizontal="center" vertical="center"/>
    </xf>
    <xf numFmtId="37" fontId="20" fillId="0" borderId="0" xfId="0" applyNumberFormat="1" applyFont="1" applyAlignment="1">
      <alignment vertical="center"/>
    </xf>
    <xf numFmtId="37" fontId="20" fillId="0" borderId="0" xfId="0" applyNumberFormat="1" applyFont="1" applyFill="1" applyAlignment="1">
      <alignment horizontal="centerContinuous" vertical="center"/>
    </xf>
    <xf numFmtId="37" fontId="20" fillId="0" borderId="0" xfId="0" applyNumberFormat="1" applyFont="1" applyAlignment="1">
      <alignment horizontal="centerContinuous" vertical="center"/>
    </xf>
    <xf numFmtId="37" fontId="25" fillId="0" borderId="19" xfId="0" applyNumberFormat="1" applyFont="1" applyFill="1" applyBorder="1" applyAlignment="1" applyProtection="1">
      <alignment horizontal="center" vertical="center"/>
    </xf>
    <xf numFmtId="37" fontId="36" fillId="0" borderId="3" xfId="0" applyNumberFormat="1" applyFont="1" applyFill="1" applyBorder="1" applyAlignment="1">
      <alignment horizontal="left" vertical="center" wrapText="1"/>
    </xf>
    <xf numFmtId="37" fontId="37" fillId="0" borderId="3" xfId="0" applyNumberFormat="1" applyFont="1" applyFill="1" applyBorder="1" applyAlignment="1" applyProtection="1">
      <alignment horizontal="right" vertical="center"/>
    </xf>
    <xf numFmtId="37" fontId="31" fillId="0" borderId="4" xfId="0" applyNumberFormat="1" applyFont="1" applyFill="1" applyBorder="1" applyAlignment="1">
      <alignment horizontal="left" vertical="center" wrapText="1"/>
    </xf>
    <xf numFmtId="37" fontId="31" fillId="0" borderId="5" xfId="0" applyNumberFormat="1" applyFont="1" applyFill="1" applyBorder="1" applyAlignment="1">
      <alignment horizontal="left" vertical="center" wrapText="1"/>
    </xf>
    <xf numFmtId="37" fontId="25" fillId="0" borderId="3" xfId="0" applyNumberFormat="1" applyFont="1" applyFill="1" applyBorder="1" applyAlignment="1">
      <alignment horizontal="right" vertical="center" wrapText="1"/>
    </xf>
    <xf numFmtId="37" fontId="31" fillId="0" borderId="3" xfId="0" applyNumberFormat="1" applyFont="1" applyFill="1" applyBorder="1" applyAlignment="1">
      <alignment horizontal="left" vertical="center" wrapText="1"/>
    </xf>
    <xf numFmtId="37" fontId="31" fillId="0" borderId="20" xfId="0" applyNumberFormat="1" applyFont="1" applyFill="1" applyBorder="1" applyAlignment="1">
      <alignment horizontal="right" vertical="center" wrapText="1"/>
    </xf>
    <xf numFmtId="37" fontId="16" fillId="0" borderId="0" xfId="0" applyNumberFormat="1" applyFont="1" applyAlignment="1">
      <alignment vertical="center"/>
    </xf>
    <xf numFmtId="37" fontId="25" fillId="0" borderId="20" xfId="0" applyNumberFormat="1" applyFont="1" applyFill="1" applyBorder="1" applyAlignment="1">
      <alignment vertical="center"/>
    </xf>
    <xf numFmtId="37" fontId="26" fillId="0" borderId="0" xfId="0" applyNumberFormat="1" applyFont="1" applyFill="1" applyBorder="1" applyAlignment="1">
      <alignment horizontal="centerContinuous" vertical="center"/>
    </xf>
    <xf numFmtId="9" fontId="20" fillId="0" borderId="0" xfId="6" applyFont="1" applyFill="1" applyAlignment="1">
      <alignment horizontal="centerContinuous" vertical="center"/>
    </xf>
    <xf numFmtId="37" fontId="18" fillId="0" borderId="0" xfId="0" applyNumberFormat="1" applyFont="1" applyFill="1" applyBorder="1" applyAlignment="1" applyProtection="1">
      <alignment horizontal="centerContinuous" vertical="center"/>
    </xf>
    <xf numFmtId="37" fontId="20" fillId="0" borderId="0" xfId="0" applyNumberFormat="1" applyFont="1" applyBorder="1" applyAlignment="1">
      <alignment horizontal="centerContinuous" vertical="center"/>
    </xf>
    <xf numFmtId="37" fontId="20" fillId="0" borderId="0" xfId="0" applyNumberFormat="1" applyFont="1" applyAlignment="1">
      <alignment horizontal="left" vertical="center"/>
    </xf>
    <xf numFmtId="37" fontId="18" fillId="0" borderId="0" xfId="0" applyNumberFormat="1" applyFont="1" applyFill="1" applyBorder="1" applyAlignment="1">
      <alignment horizontal="center" vertical="center"/>
    </xf>
    <xf numFmtId="37" fontId="35" fillId="0" borderId="0" xfId="0" applyNumberFormat="1" applyFont="1" applyFill="1" applyBorder="1" applyAlignment="1">
      <alignment horizontal="center" vertical="center"/>
    </xf>
    <xf numFmtId="37" fontId="35" fillId="0" borderId="0" xfId="0" applyNumberFormat="1" applyFont="1" applyFill="1" applyAlignment="1">
      <alignment horizontal="center" vertical="center"/>
    </xf>
    <xf numFmtId="37" fontId="35" fillId="0" borderId="14" xfId="0" applyNumberFormat="1" applyFont="1" applyFill="1" applyBorder="1" applyAlignment="1">
      <alignment horizontal="center" vertical="center"/>
    </xf>
    <xf numFmtId="37" fontId="35" fillId="3" borderId="0" xfId="0" applyNumberFormat="1" applyFont="1" applyFill="1" applyBorder="1" applyAlignment="1">
      <alignment horizontal="center" vertical="center"/>
    </xf>
    <xf numFmtId="37" fontId="18" fillId="0" borderId="14" xfId="0" applyNumberFormat="1" applyFont="1" applyFill="1" applyBorder="1" applyAlignment="1">
      <alignment horizontal="center" vertical="center"/>
    </xf>
    <xf numFmtId="37" fontId="18" fillId="3" borderId="0" xfId="0" applyNumberFormat="1" applyFont="1" applyFill="1" applyBorder="1" applyAlignment="1">
      <alignment horizontal="center" vertical="center"/>
    </xf>
    <xf numFmtId="166" fontId="20" fillId="0" borderId="14" xfId="1" quotePrefix="1" applyNumberFormat="1" applyFont="1" applyFill="1" applyBorder="1" applyAlignment="1">
      <alignment horizontal="center" vertical="center"/>
    </xf>
    <xf numFmtId="9" fontId="20" fillId="3" borderId="0" xfId="6" applyFont="1" applyFill="1" applyBorder="1" applyAlignment="1">
      <alignment horizontal="center" vertical="center"/>
    </xf>
    <xf numFmtId="37" fontId="25" fillId="0" borderId="0" xfId="0" applyNumberFormat="1" applyFont="1" applyFill="1" applyBorder="1" applyAlignment="1">
      <alignment vertical="center"/>
    </xf>
    <xf numFmtId="169" fontId="25" fillId="0" borderId="14" xfId="6" quotePrefix="1" applyNumberFormat="1" applyFont="1" applyFill="1" applyBorder="1" applyAlignment="1">
      <alignment horizontal="center" vertical="center"/>
    </xf>
    <xf numFmtId="37" fontId="18" fillId="0" borderId="20" xfId="0" applyNumberFormat="1" applyFont="1" applyFill="1" applyBorder="1" applyAlignment="1">
      <alignment horizontal="centerContinuous" vertical="center"/>
    </xf>
    <xf numFmtId="37" fontId="15" fillId="0" borderId="9" xfId="0" applyNumberFormat="1" applyFont="1" applyFill="1" applyBorder="1" applyAlignment="1" applyProtection="1">
      <alignment horizontal="centerContinuous" vertical="center"/>
    </xf>
    <xf numFmtId="37" fontId="18" fillId="0" borderId="9" xfId="0" applyNumberFormat="1" applyFont="1" applyFill="1" applyBorder="1" applyAlignment="1">
      <alignment horizontal="centerContinuous" vertical="center"/>
    </xf>
    <xf numFmtId="37" fontId="18" fillId="0" borderId="19" xfId="0" applyNumberFormat="1" applyFont="1" applyFill="1" applyBorder="1" applyAlignment="1">
      <alignment horizontal="centerContinuous" vertical="center"/>
    </xf>
    <xf numFmtId="37" fontId="15" fillId="0" borderId="11" xfId="0" applyNumberFormat="1" applyFont="1" applyFill="1" applyBorder="1" applyAlignment="1" applyProtection="1">
      <alignment horizontal="centerContinuous" vertical="center"/>
    </xf>
    <xf numFmtId="37" fontId="15" fillId="0" borderId="19" xfId="0" applyNumberFormat="1" applyFont="1" applyFill="1" applyBorder="1" applyAlignment="1" applyProtection="1">
      <alignment horizontal="centerContinuous" vertical="center"/>
    </xf>
    <xf numFmtId="37" fontId="18" fillId="0" borderId="11" xfId="0" applyNumberFormat="1" applyFont="1" applyFill="1" applyBorder="1" applyAlignment="1">
      <alignment horizontal="centerContinuous" vertical="center"/>
    </xf>
    <xf numFmtId="37" fontId="18" fillId="3" borderId="20" xfId="0" applyNumberFormat="1" applyFont="1" applyFill="1" applyBorder="1" applyAlignment="1">
      <alignment horizontal="centerContinuous" vertical="center"/>
    </xf>
    <xf numFmtId="37" fontId="18" fillId="0" borderId="18" xfId="0" applyNumberFormat="1" applyFont="1" applyFill="1" applyBorder="1" applyAlignment="1">
      <alignment horizontal="centerContinuous" vertical="center"/>
    </xf>
    <xf numFmtId="37" fontId="18" fillId="0" borderId="24" xfId="0" applyNumberFormat="1" applyFont="1" applyFill="1" applyBorder="1" applyAlignment="1">
      <alignment horizontal="centerContinuous" vertical="center"/>
    </xf>
    <xf numFmtId="37" fontId="20" fillId="3" borderId="0" xfId="0" applyNumberFormat="1" applyFont="1" applyFill="1" applyBorder="1" applyAlignment="1">
      <alignment vertical="center" wrapText="1"/>
    </xf>
    <xf numFmtId="37" fontId="20" fillId="0" borderId="0" xfId="0" applyNumberFormat="1" applyFont="1" applyBorder="1" applyAlignment="1">
      <alignment vertical="center" wrapText="1"/>
    </xf>
    <xf numFmtId="37" fontId="35" fillId="5" borderId="0" xfId="0" applyNumberFormat="1" applyFont="1" applyFill="1" applyAlignment="1">
      <alignment vertical="center"/>
    </xf>
    <xf numFmtId="37" fontId="18" fillId="5" borderId="0" xfId="0" applyNumberFormat="1" applyFont="1" applyFill="1" applyBorder="1" applyAlignment="1">
      <alignment horizontal="center" vertical="center" wrapText="1"/>
    </xf>
    <xf numFmtId="37" fontId="15" fillId="5" borderId="0" xfId="0" applyNumberFormat="1" applyFont="1" applyFill="1" applyBorder="1" applyAlignment="1">
      <alignment horizontal="center" vertical="center" wrapText="1"/>
    </xf>
    <xf numFmtId="37" fontId="15" fillId="5" borderId="0" xfId="0" applyNumberFormat="1" applyFont="1" applyFill="1" applyBorder="1" applyAlignment="1">
      <alignment vertical="center"/>
    </xf>
    <xf numFmtId="164" fontId="20" fillId="5" borderId="0" xfId="0" applyNumberFormat="1" applyFont="1" applyFill="1" applyBorder="1" applyAlignment="1">
      <alignment horizontal="center"/>
    </xf>
    <xf numFmtId="3" fontId="20" fillId="5" borderId="0" xfId="0" applyNumberFormat="1" applyFont="1" applyFill="1" applyBorder="1" applyAlignment="1">
      <alignment horizontal="center" vertical="center"/>
    </xf>
    <xf numFmtId="37" fontId="26" fillId="5" borderId="0" xfId="0" applyNumberFormat="1" applyFont="1" applyFill="1" applyAlignment="1">
      <alignment vertical="center"/>
    </xf>
    <xf numFmtId="37" fontId="20" fillId="5" borderId="0" xfId="0" applyNumberFormat="1" applyFont="1" applyFill="1" applyAlignment="1">
      <alignment vertical="center"/>
    </xf>
    <xf numFmtId="37" fontId="20" fillId="5" borderId="0" xfId="0" applyNumberFormat="1" applyFont="1" applyFill="1" applyBorder="1" applyAlignment="1">
      <alignment vertical="center"/>
    </xf>
    <xf numFmtId="167" fontId="15" fillId="5" borderId="0" xfId="0" applyNumberFormat="1" applyFont="1" applyFill="1" applyBorder="1" applyAlignment="1">
      <alignment horizontal="center" wrapText="1"/>
    </xf>
    <xf numFmtId="167" fontId="15" fillId="5" borderId="0" xfId="0" applyNumberFormat="1" applyFont="1" applyFill="1" applyBorder="1" applyAlignment="1">
      <alignment horizontal="center" vertical="center" wrapText="1"/>
    </xf>
    <xf numFmtId="3" fontId="20" fillId="5" borderId="0" xfId="0" applyNumberFormat="1" applyFont="1" applyFill="1" applyBorder="1" applyAlignment="1">
      <alignment horizontal="right" vertical="center"/>
    </xf>
    <xf numFmtId="3" fontId="32" fillId="5" borderId="0" xfId="0" applyNumberFormat="1" applyFont="1" applyFill="1" applyBorder="1" applyAlignment="1">
      <alignment horizontal="center" vertical="center"/>
    </xf>
    <xf numFmtId="164" fontId="20" fillId="5" borderId="0" xfId="0" applyNumberFormat="1" applyFont="1" applyFill="1" applyBorder="1" applyAlignment="1">
      <alignment horizontal="center" wrapText="1"/>
    </xf>
    <xf numFmtId="37" fontId="20" fillId="0" borderId="0" xfId="0" applyNumberFormat="1" applyFont="1" applyFill="1" applyBorder="1" applyAlignment="1">
      <alignment wrapText="1"/>
    </xf>
    <xf numFmtId="37" fontId="20" fillId="0" borderId="0" xfId="0" applyNumberFormat="1" applyFont="1" applyFill="1" applyAlignment="1">
      <alignment wrapText="1"/>
    </xf>
    <xf numFmtId="170" fontId="20" fillId="0" borderId="0" xfId="0" applyNumberFormat="1" applyFont="1" applyFill="1" applyBorder="1" applyAlignment="1">
      <alignment horizontal="right" vertical="center"/>
    </xf>
    <xf numFmtId="37" fontId="0" fillId="0" borderId="0" xfId="0" applyNumberFormat="1" applyFill="1" applyAlignment="1"/>
    <xf numFmtId="37" fontId="20" fillId="0" borderId="0" xfId="0" applyNumberFormat="1" applyFont="1" applyFill="1" applyAlignment="1">
      <alignment horizontal="centerContinuous"/>
    </xf>
    <xf numFmtId="169" fontId="20" fillId="0" borderId="0" xfId="6" applyNumberFormat="1" applyFont="1" applyFill="1" applyAlignment="1">
      <alignment horizontal="centerContinuous"/>
    </xf>
    <xf numFmtId="169" fontId="20" fillId="0" borderId="9" xfId="6" applyNumberFormat="1" applyFont="1" applyFill="1" applyBorder="1" applyAlignment="1">
      <alignment horizontal="center" vertical="center"/>
    </xf>
    <xf numFmtId="37" fontId="16" fillId="0" borderId="0" xfId="0" applyNumberFormat="1" applyFont="1" applyFill="1" applyAlignment="1">
      <alignment vertical="top"/>
    </xf>
    <xf numFmtId="169" fontId="16" fillId="0" borderId="0" xfId="6" applyNumberFormat="1" applyFont="1" applyFill="1" applyAlignment="1">
      <alignment vertical="top"/>
    </xf>
    <xf numFmtId="169" fontId="20" fillId="0" borderId="0" xfId="6" applyNumberFormat="1" applyFont="1" applyFill="1"/>
    <xf numFmtId="37" fontId="19" fillId="0" borderId="0" xfId="0" applyNumberFormat="1" applyFont="1" applyFill="1" applyBorder="1" applyAlignment="1">
      <alignment vertical="center" wrapText="1"/>
    </xf>
    <xf numFmtId="37" fontId="20" fillId="0" borderId="0" xfId="0" applyNumberFormat="1" applyFont="1" applyFill="1" applyAlignment="1">
      <alignment vertical="center" wrapText="1"/>
    </xf>
    <xf numFmtId="37" fontId="19" fillId="0" borderId="0" xfId="0" applyNumberFormat="1" applyFont="1" applyFill="1" applyBorder="1" applyAlignment="1">
      <alignment vertical="center"/>
    </xf>
    <xf numFmtId="164" fontId="32" fillId="0" borderId="0" xfId="0" applyNumberFormat="1" applyFont="1" applyFill="1" applyBorder="1" applyAlignment="1">
      <alignment horizontal="right" vertical="center"/>
    </xf>
    <xf numFmtId="164" fontId="32" fillId="0" borderId="23" xfId="0" applyNumberFormat="1" applyFont="1" applyFill="1" applyBorder="1" applyAlignment="1">
      <alignment horizontal="center" vertical="center"/>
    </xf>
    <xf numFmtId="164" fontId="32" fillId="0" borderId="0" xfId="0" applyNumberFormat="1" applyFont="1" applyFill="1" applyBorder="1" applyAlignment="1">
      <alignment horizontal="center" vertical="center"/>
    </xf>
    <xf numFmtId="49" fontId="16" fillId="0" borderId="0" xfId="0" applyNumberFormat="1" applyFont="1" applyFill="1" applyAlignment="1">
      <alignment horizontal="right" vertical="center"/>
    </xf>
    <xf numFmtId="37" fontId="39" fillId="0" borderId="0" xfId="0" applyNumberFormat="1" applyFont="1" applyFill="1" applyBorder="1" applyAlignment="1">
      <alignment horizontal="centerContinuous" vertical="center"/>
    </xf>
    <xf numFmtId="37" fontId="39" fillId="0" borderId="2" xfId="0" applyNumberFormat="1" applyFont="1" applyFill="1" applyBorder="1" applyAlignment="1">
      <alignment horizontal="centerContinuous" vertical="center"/>
    </xf>
    <xf numFmtId="37" fontId="39" fillId="5" borderId="0" xfId="0" applyNumberFormat="1" applyFont="1" applyFill="1" applyBorder="1" applyAlignment="1">
      <alignment horizontal="center" vertical="center" wrapText="1"/>
    </xf>
    <xf numFmtId="164" fontId="20" fillId="0" borderId="24" xfId="0" applyNumberFormat="1" applyFont="1" applyFill="1" applyBorder="1" applyAlignment="1">
      <alignment horizontal="center" vertical="center"/>
    </xf>
    <xf numFmtId="37" fontId="39" fillId="0" borderId="23" xfId="0" applyNumberFormat="1" applyFont="1" applyFill="1" applyBorder="1" applyAlignment="1">
      <alignment horizontal="centerContinuous" vertical="center"/>
    </xf>
    <xf numFmtId="37" fontId="21" fillId="0" borderId="2" xfId="4" applyFont="1" applyFill="1" applyBorder="1" applyAlignment="1" applyProtection="1">
      <alignment horizontal="left"/>
    </xf>
    <xf numFmtId="37" fontId="43" fillId="0" borderId="2" xfId="4" applyNumberFormat="1" applyFont="1" applyFill="1" applyBorder="1" applyAlignment="1" applyProtection="1">
      <alignment horizontal="left"/>
    </xf>
    <xf numFmtId="167" fontId="40" fillId="0" borderId="2" xfId="4" applyNumberFormat="1" applyFont="1" applyFill="1" applyBorder="1" applyAlignment="1"/>
    <xf numFmtId="3" fontId="22" fillId="0" borderId="0" xfId="6" applyNumberFormat="1" applyFont="1" applyFill="1" applyBorder="1"/>
    <xf numFmtId="3" fontId="22" fillId="0" borderId="0" xfId="6" applyNumberFormat="1" applyFont="1" applyFill="1" applyBorder="1" applyAlignment="1">
      <alignment horizontal="right"/>
    </xf>
    <xf numFmtId="37" fontId="15" fillId="5" borderId="0" xfId="0" applyNumberFormat="1" applyFont="1" applyFill="1" applyAlignment="1">
      <alignment vertical="center"/>
    </xf>
    <xf numFmtId="37" fontId="15" fillId="0" borderId="0" xfId="0" applyNumberFormat="1" applyFont="1" applyFill="1" applyAlignment="1">
      <alignment vertical="center"/>
    </xf>
    <xf numFmtId="37" fontId="15" fillId="0" borderId="0" xfId="0" applyNumberFormat="1" applyFont="1" applyFill="1" applyBorder="1" applyAlignment="1">
      <alignment vertical="center"/>
    </xf>
    <xf numFmtId="37" fontId="16" fillId="0" borderId="0" xfId="0" applyNumberFormat="1" applyFont="1" applyAlignment="1">
      <alignment horizontal="centerContinuous"/>
    </xf>
    <xf numFmtId="37" fontId="16" fillId="0" borderId="8" xfId="0" applyNumberFormat="1" applyFont="1" applyBorder="1" applyAlignment="1">
      <alignment horizontal="center" vertical="center" wrapText="1"/>
    </xf>
    <xf numFmtId="37" fontId="16" fillId="0" borderId="0" xfId="0" applyNumberFormat="1" applyFont="1" applyFill="1" applyBorder="1" applyAlignment="1">
      <alignment horizontal="center" vertical="center" wrapText="1"/>
    </xf>
    <xf numFmtId="37" fontId="16" fillId="0" borderId="2" xfId="0" applyNumberFormat="1" applyFont="1" applyFill="1" applyBorder="1" applyAlignment="1">
      <alignment horizontal="center" vertical="center" wrapText="1"/>
    </xf>
    <xf numFmtId="37" fontId="16" fillId="0" borderId="20" xfId="0" applyNumberFormat="1" applyFont="1" applyFill="1" applyBorder="1" applyAlignment="1">
      <alignment horizontal="center" vertical="center" wrapText="1"/>
    </xf>
    <xf numFmtId="3" fontId="22" fillId="0" borderId="2" xfId="6" applyNumberFormat="1" applyFont="1" applyFill="1" applyBorder="1" applyAlignment="1">
      <alignment horizontal="right"/>
    </xf>
    <xf numFmtId="37" fontId="22" fillId="0" borderId="12" xfId="0" applyNumberFormat="1" applyFont="1" applyFill="1" applyBorder="1" applyAlignment="1"/>
    <xf numFmtId="3" fontId="22" fillId="0" borderId="0" xfId="0" applyNumberFormat="1" applyFont="1" applyFill="1" applyBorder="1" applyAlignment="1"/>
    <xf numFmtId="3" fontId="22" fillId="0" borderId="2" xfId="6" applyNumberFormat="1" applyFont="1" applyFill="1" applyBorder="1"/>
    <xf numFmtId="37" fontId="36" fillId="0" borderId="4" xfId="0" applyNumberFormat="1" applyFont="1" applyFill="1" applyBorder="1" applyAlignment="1">
      <alignment horizontal="left" vertical="center" wrapText="1"/>
    </xf>
    <xf numFmtId="37" fontId="21" fillId="0" borderId="2" xfId="4" applyNumberFormat="1" applyFont="1" applyFill="1" applyBorder="1" applyAlignment="1" applyProtection="1">
      <alignment horizontal="center"/>
    </xf>
    <xf numFmtId="37" fontId="18" fillId="0" borderId="0" xfId="0" applyNumberFormat="1" applyFont="1" applyFill="1" applyBorder="1" applyAlignment="1">
      <alignment horizontal="left" vertical="center"/>
    </xf>
    <xf numFmtId="37" fontId="48" fillId="0" borderId="0" xfId="0" applyNumberFormat="1" applyFont="1" applyAlignment="1"/>
    <xf numFmtId="37" fontId="49" fillId="0" borderId="0" xfId="0" applyNumberFormat="1" applyFont="1" applyAlignment="1"/>
    <xf numFmtId="9" fontId="20" fillId="0" borderId="0" xfId="6" applyFont="1" applyFill="1" applyBorder="1" applyAlignment="1">
      <alignment vertical="center"/>
    </xf>
    <xf numFmtId="39" fontId="20" fillId="0" borderId="0" xfId="0" applyNumberFormat="1" applyFont="1" applyFill="1" applyAlignment="1">
      <alignment vertical="center"/>
    </xf>
    <xf numFmtId="37" fontId="15" fillId="0" borderId="0" xfId="0" applyNumberFormat="1" applyFont="1" applyFill="1" applyBorder="1" applyAlignment="1">
      <alignment horizontal="center" vertical="center" wrapText="1"/>
    </xf>
    <xf numFmtId="37" fontId="22" fillId="0" borderId="2" xfId="4" applyFont="1" applyFill="1" applyBorder="1" applyAlignment="1" applyProtection="1">
      <alignment horizontal="left"/>
    </xf>
    <xf numFmtId="167" fontId="40" fillId="0" borderId="0" xfId="4" applyNumberFormat="1" applyFont="1" applyFill="1" applyBorder="1"/>
    <xf numFmtId="37" fontId="22" fillId="0" borderId="31" xfId="4" applyNumberFormat="1" applyFont="1" applyFill="1" applyBorder="1"/>
    <xf numFmtId="167" fontId="22" fillId="0" borderId="18" xfId="3" applyNumberFormat="1" applyFont="1" applyFill="1" applyBorder="1" applyAlignment="1">
      <alignment horizontal="left"/>
    </xf>
    <xf numFmtId="37" fontId="40" fillId="0" borderId="0" xfId="4" applyNumberFormat="1" applyFont="1" applyFill="1" applyAlignment="1">
      <alignment horizontal="left"/>
    </xf>
    <xf numFmtId="167" fontId="40" fillId="0" borderId="0" xfId="4" applyNumberFormat="1" applyFont="1" applyFill="1" applyAlignment="1">
      <alignment horizontal="left"/>
    </xf>
    <xf numFmtId="37" fontId="22" fillId="0" borderId="7" xfId="0" applyNumberFormat="1" applyFont="1" applyFill="1" applyBorder="1" applyAlignment="1"/>
    <xf numFmtId="37" fontId="22" fillId="0" borderId="33" xfId="0" applyNumberFormat="1" applyFont="1" applyFill="1" applyBorder="1" applyAlignment="1"/>
    <xf numFmtId="37" fontId="22" fillId="0" borderId="34" xfId="0" applyNumberFormat="1" applyFont="1" applyFill="1" applyBorder="1" applyAlignment="1"/>
    <xf numFmtId="37" fontId="15" fillId="0" borderId="18" xfId="0" applyNumberFormat="1" applyFont="1" applyFill="1" applyBorder="1" applyAlignment="1" applyProtection="1">
      <alignment horizontal="centerContinuous" vertical="center" wrapText="1"/>
    </xf>
    <xf numFmtId="37" fontId="15" fillId="0" borderId="9" xfId="0" applyNumberFormat="1" applyFont="1" applyFill="1" applyBorder="1" applyAlignment="1" applyProtection="1">
      <alignment horizontal="centerContinuous" vertical="center" wrapText="1"/>
    </xf>
    <xf numFmtId="37" fontId="15" fillId="0" borderId="19" xfId="0" applyNumberFormat="1" applyFont="1" applyFill="1" applyBorder="1" applyAlignment="1" applyProtection="1">
      <alignment horizontal="centerContinuous" vertical="center" wrapText="1"/>
    </xf>
    <xf numFmtId="37" fontId="15" fillId="0" borderId="19" xfId="0" applyNumberFormat="1" applyFont="1" applyFill="1" applyBorder="1" applyAlignment="1">
      <alignment horizontal="center" wrapText="1"/>
    </xf>
    <xf numFmtId="37" fontId="15" fillId="0" borderId="10" xfId="0" applyNumberFormat="1" applyFont="1" applyFill="1" applyBorder="1" applyAlignment="1" applyProtection="1">
      <alignment horizontal="centerContinuous" vertical="center" wrapText="1"/>
    </xf>
    <xf numFmtId="37" fontId="15" fillId="0" borderId="2" xfId="0" applyNumberFormat="1" applyFont="1" applyFill="1" applyBorder="1" applyAlignment="1" applyProtection="1">
      <alignment horizontal="centerContinuous" vertical="center" wrapText="1"/>
    </xf>
    <xf numFmtId="37" fontId="15" fillId="0" borderId="24" xfId="0" applyNumberFormat="1" applyFont="1" applyFill="1" applyBorder="1" applyAlignment="1" applyProtection="1">
      <alignment horizontal="centerContinuous" vertical="center" wrapText="1"/>
    </xf>
    <xf numFmtId="37" fontId="51" fillId="0" borderId="9" xfId="0" applyNumberFormat="1" applyFont="1" applyFill="1" applyBorder="1" applyAlignment="1" applyProtection="1">
      <alignment horizontal="centerContinuous" vertical="center" wrapText="1"/>
    </xf>
    <xf numFmtId="167" fontId="51" fillId="0" borderId="9" xfId="0" applyNumberFormat="1" applyFont="1" applyFill="1" applyBorder="1" applyAlignment="1" applyProtection="1">
      <alignment horizontal="center" wrapText="1"/>
    </xf>
    <xf numFmtId="37" fontId="51" fillId="0" borderId="9" xfId="0" applyNumberFormat="1" applyFont="1" applyFill="1" applyBorder="1" applyAlignment="1">
      <alignment horizontal="center" wrapText="1"/>
    </xf>
    <xf numFmtId="3" fontId="50" fillId="0" borderId="23" xfId="0" applyNumberFormat="1" applyFont="1" applyFill="1" applyBorder="1" applyAlignment="1">
      <alignment vertical="center"/>
    </xf>
    <xf numFmtId="3" fontId="20" fillId="0" borderId="23" xfId="0" applyNumberFormat="1" applyFont="1" applyFill="1" applyBorder="1" applyAlignment="1">
      <alignment vertical="center"/>
    </xf>
    <xf numFmtId="3" fontId="20" fillId="0" borderId="23" xfId="0" quotePrefix="1" applyNumberFormat="1" applyFont="1" applyFill="1" applyBorder="1" applyAlignment="1">
      <alignment vertical="center"/>
    </xf>
    <xf numFmtId="3" fontId="20" fillId="0" borderId="14" xfId="0" quotePrefix="1" applyNumberFormat="1" applyFont="1" applyFill="1" applyBorder="1" applyAlignment="1">
      <alignment vertical="center"/>
    </xf>
    <xf numFmtId="3" fontId="50" fillId="0" borderId="0" xfId="0" quotePrefix="1" applyNumberFormat="1" applyFont="1" applyFill="1" applyBorder="1" applyAlignment="1">
      <alignment vertical="center"/>
    </xf>
    <xf numFmtId="3" fontId="20" fillId="0" borderId="0" xfId="0" quotePrefix="1" applyNumberFormat="1" applyFont="1" applyFill="1" applyBorder="1" applyAlignment="1">
      <alignment vertical="center"/>
    </xf>
    <xf numFmtId="3" fontId="20" fillId="0" borderId="0" xfId="0" applyNumberFormat="1" applyFont="1" applyFill="1" applyBorder="1" applyAlignment="1">
      <alignment vertical="center"/>
    </xf>
    <xf numFmtId="3" fontId="20" fillId="0" borderId="14" xfId="0" applyNumberFormat="1" applyFont="1" applyFill="1" applyBorder="1" applyAlignment="1">
      <alignment vertical="center"/>
    </xf>
    <xf numFmtId="3" fontId="50" fillId="0" borderId="0" xfId="0" applyNumberFormat="1" applyFont="1" applyFill="1" applyBorder="1" applyAlignment="1">
      <alignment vertical="center"/>
    </xf>
    <xf numFmtId="3" fontId="20" fillId="0" borderId="10" xfId="0" applyNumberFormat="1" applyFont="1" applyFill="1" applyBorder="1" applyAlignment="1">
      <alignment vertical="center"/>
    </xf>
    <xf numFmtId="3" fontId="20" fillId="0" borderId="2" xfId="0" applyNumberFormat="1" applyFont="1" applyFill="1" applyBorder="1" applyAlignment="1">
      <alignment vertical="center"/>
    </xf>
    <xf numFmtId="3" fontId="20" fillId="0" borderId="22" xfId="0" applyNumberFormat="1" applyFont="1" applyFill="1" applyBorder="1" applyAlignment="1">
      <alignment vertical="center"/>
    </xf>
    <xf numFmtId="3" fontId="50" fillId="0" borderId="2" xfId="0" applyNumberFormat="1" applyFont="1" applyFill="1" applyBorder="1" applyAlignment="1">
      <alignment vertical="center"/>
    </xf>
    <xf numFmtId="37" fontId="20" fillId="0" borderId="23" xfId="0" applyNumberFormat="1" applyFont="1" applyFill="1" applyBorder="1" applyAlignment="1"/>
    <xf numFmtId="37" fontId="51" fillId="0" borderId="6" xfId="0" applyNumberFormat="1" applyFont="1" applyFill="1" applyBorder="1" applyAlignment="1" applyProtection="1">
      <alignment horizontal="centerContinuous" vertical="center" wrapText="1"/>
    </xf>
    <xf numFmtId="37" fontId="15" fillId="0" borderId="11" xfId="0" applyNumberFormat="1" applyFont="1" applyFill="1" applyBorder="1" applyAlignment="1" applyProtection="1">
      <alignment horizontal="centerContinuous" vertical="center" wrapText="1"/>
    </xf>
    <xf numFmtId="37" fontId="20" fillId="0" borderId="10" xfId="0" applyNumberFormat="1" applyFont="1" applyFill="1" applyBorder="1" applyAlignment="1"/>
    <xf numFmtId="37" fontId="20" fillId="0" borderId="24" xfId="0" applyNumberFormat="1" applyFont="1" applyFill="1" applyBorder="1" applyAlignment="1"/>
    <xf numFmtId="37" fontId="51" fillId="0" borderId="10" xfId="0" applyNumberFormat="1" applyFont="1" applyFill="1" applyBorder="1" applyAlignment="1" applyProtection="1">
      <alignment horizontal="centerContinuous" vertical="center" wrapText="1"/>
    </xf>
    <xf numFmtId="37" fontId="20" fillId="0" borderId="0" xfId="0" quotePrefix="1" applyNumberFormat="1" applyFont="1" applyFill="1" applyAlignment="1"/>
    <xf numFmtId="37" fontId="20" fillId="0" borderId="2" xfId="0" quotePrefix="1" applyNumberFormat="1" applyFont="1" applyFill="1" applyBorder="1" applyAlignment="1"/>
    <xf numFmtId="37" fontId="18" fillId="0" borderId="9" xfId="0" applyNumberFormat="1" applyFont="1" applyFill="1" applyBorder="1" applyAlignment="1">
      <alignment vertical="center"/>
    </xf>
    <xf numFmtId="3" fontId="50" fillId="0" borderId="17" xfId="0" applyNumberFormat="1" applyFont="1" applyFill="1" applyBorder="1" applyAlignment="1">
      <alignment vertical="center"/>
    </xf>
    <xf numFmtId="3" fontId="50" fillId="0" borderId="6" xfId="0" applyNumberFormat="1" applyFont="1" applyFill="1" applyBorder="1" applyAlignment="1">
      <alignment vertical="center"/>
    </xf>
    <xf numFmtId="37" fontId="50" fillId="0" borderId="24" xfId="0" applyNumberFormat="1" applyFont="1" applyFill="1" applyBorder="1" applyAlignment="1"/>
    <xf numFmtId="37" fontId="50" fillId="0" borderId="23" xfId="0" applyNumberFormat="1" applyFont="1" applyFill="1" applyBorder="1" applyAlignment="1"/>
    <xf numFmtId="37" fontId="50" fillId="0" borderId="10" xfId="0" applyNumberFormat="1" applyFont="1" applyFill="1" applyBorder="1" applyAlignment="1"/>
    <xf numFmtId="37" fontId="51" fillId="0" borderId="10" xfId="0" applyNumberFormat="1" applyFont="1" applyFill="1" applyBorder="1" applyAlignment="1" applyProtection="1">
      <alignment horizontal="centerContinuous" wrapText="1"/>
    </xf>
    <xf numFmtId="3" fontId="50" fillId="0" borderId="0" xfId="0" applyNumberFormat="1" applyFont="1" applyFill="1" applyBorder="1" applyAlignment="1">
      <alignment horizontal="right" vertical="center"/>
    </xf>
    <xf numFmtId="3" fontId="20" fillId="0" borderId="24" xfId="0" applyNumberFormat="1" applyFont="1" applyFill="1" applyBorder="1" applyAlignment="1">
      <alignment horizontal="right" vertical="center"/>
    </xf>
    <xf numFmtId="3" fontId="50" fillId="0" borderId="39" xfId="0" applyNumberFormat="1" applyFont="1" applyFill="1" applyBorder="1" applyAlignment="1">
      <alignment horizontal="right" vertical="center"/>
    </xf>
    <xf numFmtId="3" fontId="50" fillId="0" borderId="20" xfId="0" applyNumberFormat="1" applyFont="1" applyFill="1" applyBorder="1" applyAlignment="1">
      <alignment horizontal="right" vertical="center"/>
    </xf>
    <xf numFmtId="3" fontId="50" fillId="0" borderId="2" xfId="0" applyNumberFormat="1" applyFont="1" applyFill="1" applyBorder="1" applyAlignment="1">
      <alignment horizontal="right" vertical="center"/>
    </xf>
    <xf numFmtId="3" fontId="50" fillId="0" borderId="14" xfId="0" applyNumberFormat="1" applyFont="1" applyFill="1" applyBorder="1" applyAlignment="1">
      <alignment horizontal="right" vertical="center"/>
    </xf>
    <xf numFmtId="3" fontId="50" fillId="0" borderId="22" xfId="0" applyNumberFormat="1" applyFont="1" applyFill="1" applyBorder="1" applyAlignment="1">
      <alignment horizontal="right" vertical="center"/>
    </xf>
    <xf numFmtId="37" fontId="15" fillId="0" borderId="6" xfId="0" applyNumberFormat="1" applyFont="1" applyFill="1" applyBorder="1" applyAlignment="1" applyProtection="1">
      <alignment horizontal="centerContinuous" vertical="center" wrapText="1"/>
    </xf>
    <xf numFmtId="37" fontId="51" fillId="0" borderId="9" xfId="0" applyNumberFormat="1" applyFont="1" applyFill="1" applyBorder="1" applyAlignment="1" applyProtection="1">
      <alignment horizontal="centerContinuous" wrapText="1"/>
    </xf>
    <xf numFmtId="9" fontId="50" fillId="0" borderId="20" xfId="6" applyFont="1" applyFill="1" applyBorder="1" applyAlignment="1">
      <alignment horizontal="right" vertical="center"/>
    </xf>
    <xf numFmtId="9" fontId="50" fillId="0" borderId="0" xfId="6" applyFont="1" applyFill="1" applyBorder="1" applyAlignment="1">
      <alignment horizontal="right" vertical="center"/>
    </xf>
    <xf numFmtId="9" fontId="50" fillId="0" borderId="14" xfId="6" applyFont="1" applyFill="1" applyBorder="1" applyAlignment="1">
      <alignment horizontal="right" vertical="center"/>
    </xf>
    <xf numFmtId="9" fontId="50" fillId="0" borderId="2" xfId="6" applyFont="1" applyFill="1" applyBorder="1" applyAlignment="1">
      <alignment horizontal="right" vertical="center"/>
    </xf>
    <xf numFmtId="9" fontId="50" fillId="0" borderId="22" xfId="6" applyFont="1" applyFill="1" applyBorder="1" applyAlignment="1">
      <alignment horizontal="right" vertical="center"/>
    </xf>
    <xf numFmtId="37" fontId="20" fillId="0" borderId="9" xfId="0" applyNumberFormat="1" applyFont="1" applyFill="1" applyBorder="1" applyAlignment="1" applyProtection="1">
      <alignment horizontal="center" wrapText="1"/>
    </xf>
    <xf numFmtId="9" fontId="50" fillId="0" borderId="24" xfId="6" applyFont="1" applyFill="1" applyBorder="1" applyAlignment="1">
      <alignment horizontal="right" vertical="center"/>
    </xf>
    <xf numFmtId="9" fontId="50" fillId="0" borderId="39" xfId="6" applyFont="1" applyFill="1" applyBorder="1" applyAlignment="1">
      <alignment horizontal="right" vertical="center"/>
    </xf>
    <xf numFmtId="9" fontId="50" fillId="0" borderId="23" xfId="6" applyFont="1" applyFill="1" applyBorder="1" applyAlignment="1">
      <alignment horizontal="right" vertical="center"/>
    </xf>
    <xf numFmtId="9" fontId="50" fillId="0" borderId="10" xfId="6" applyFont="1" applyFill="1" applyBorder="1" applyAlignment="1">
      <alignment horizontal="right" vertical="center"/>
    </xf>
    <xf numFmtId="3" fontId="20" fillId="0" borderId="2" xfId="0" applyNumberFormat="1" applyFont="1" applyFill="1" applyBorder="1" applyAlignment="1">
      <alignment horizontal="right"/>
    </xf>
    <xf numFmtId="9" fontId="50" fillId="0" borderId="24" xfId="6" applyFont="1" applyFill="1" applyBorder="1" applyAlignment="1">
      <alignment horizontal="center" vertical="center"/>
    </xf>
    <xf numFmtId="9" fontId="50" fillId="0" borderId="23" xfId="6" applyFont="1" applyFill="1" applyBorder="1" applyAlignment="1">
      <alignment horizontal="center" vertical="center"/>
    </xf>
    <xf numFmtId="9" fontId="50" fillId="0" borderId="10" xfId="6" applyFont="1" applyFill="1" applyBorder="1" applyAlignment="1">
      <alignment horizontal="center" vertical="center"/>
    </xf>
    <xf numFmtId="169" fontId="50" fillId="0" borderId="0" xfId="6" applyNumberFormat="1" applyFont="1" applyFill="1" applyBorder="1" applyAlignment="1">
      <alignment horizontal="right" vertical="center"/>
    </xf>
    <xf numFmtId="37" fontId="18" fillId="0" borderId="2" xfId="0" applyNumberFormat="1" applyFont="1" applyFill="1" applyBorder="1" applyAlignment="1">
      <alignment horizontal="left" vertical="center"/>
    </xf>
    <xf numFmtId="3" fontId="52" fillId="4" borderId="0" xfId="0" applyNumberFormat="1" applyFont="1" applyFill="1" applyBorder="1" applyAlignment="1">
      <alignment horizontal="right"/>
    </xf>
    <xf numFmtId="37" fontId="52" fillId="4" borderId="0" xfId="0" applyNumberFormat="1" applyFont="1" applyFill="1" applyAlignment="1">
      <alignment horizontal="right"/>
    </xf>
    <xf numFmtId="3" fontId="52" fillId="4" borderId="0" xfId="0" applyNumberFormat="1" applyFont="1" applyFill="1" applyBorder="1" applyAlignment="1">
      <alignment horizontal="right" wrapText="1"/>
    </xf>
    <xf numFmtId="37" fontId="52" fillId="4" borderId="0" xfId="0" applyNumberFormat="1" applyFont="1" applyFill="1" applyAlignment="1">
      <alignment horizontal="right" vertical="center"/>
    </xf>
    <xf numFmtId="3" fontId="53" fillId="4" borderId="0" xfId="0" applyNumberFormat="1" applyFont="1" applyFill="1" applyBorder="1" applyAlignment="1">
      <alignment horizontal="right"/>
    </xf>
    <xf numFmtId="37" fontId="54" fillId="4" borderId="0" xfId="0" applyNumberFormat="1" applyFont="1" applyFill="1" applyAlignment="1">
      <alignment horizontal="right" vertical="center"/>
    </xf>
    <xf numFmtId="37" fontId="55" fillId="0" borderId="0" xfId="0" applyNumberFormat="1" applyFont="1" applyFill="1" applyAlignment="1">
      <alignment vertical="center"/>
    </xf>
    <xf numFmtId="49" fontId="56" fillId="0" borderId="0" xfId="0" applyNumberFormat="1" applyFont="1" applyFill="1" applyAlignment="1">
      <alignment horizontal="right" vertical="center"/>
    </xf>
    <xf numFmtId="3" fontId="52" fillId="0" borderId="0" xfId="0" applyNumberFormat="1" applyFont="1" applyFill="1" applyBorder="1" applyAlignment="1">
      <alignment horizontal="right"/>
    </xf>
    <xf numFmtId="37" fontId="52" fillId="0" borderId="0" xfId="0" applyNumberFormat="1" applyFont="1" applyFill="1" applyAlignment="1">
      <alignment horizontal="right" vertical="center"/>
    </xf>
    <xf numFmtId="3" fontId="54" fillId="4" borderId="0" xfId="0" applyNumberFormat="1" applyFont="1" applyFill="1" applyBorder="1" applyAlignment="1">
      <alignment horizontal="right"/>
    </xf>
    <xf numFmtId="3" fontId="53" fillId="4" borderId="0" xfId="0" applyNumberFormat="1" applyFont="1" applyFill="1" applyBorder="1" applyAlignment="1">
      <alignment horizontal="right" wrapText="1"/>
    </xf>
    <xf numFmtId="37" fontId="16" fillId="0" borderId="0" xfId="0" applyNumberFormat="1" applyFont="1" applyFill="1" applyAlignment="1">
      <alignment horizontal="centerContinuous" vertical="center"/>
    </xf>
    <xf numFmtId="37" fontId="15" fillId="0" borderId="0" xfId="0" applyNumberFormat="1" applyFont="1" applyFill="1" applyBorder="1" applyAlignment="1" applyProtection="1">
      <alignment horizontal="centerContinuous" vertical="center"/>
    </xf>
    <xf numFmtId="37" fontId="16" fillId="0" borderId="8" xfId="0" applyNumberFormat="1" applyFont="1" applyFill="1" applyBorder="1" applyAlignment="1">
      <alignment horizontal="center" wrapText="1"/>
    </xf>
    <xf numFmtId="37" fontId="16" fillId="0" borderId="20" xfId="0" applyNumberFormat="1" applyFont="1" applyFill="1" applyBorder="1" applyAlignment="1">
      <alignment horizontal="left" vertical="center"/>
    </xf>
    <xf numFmtId="37" fontId="16" fillId="0" borderId="0" xfId="0" applyNumberFormat="1" applyFont="1" applyFill="1" applyAlignment="1">
      <alignment horizontal="left"/>
    </xf>
    <xf numFmtId="9" fontId="31" fillId="0" borderId="0" xfId="6" quotePrefix="1" applyFont="1" applyFill="1" applyBorder="1" applyAlignment="1" applyProtection="1">
      <alignment horizontal="centerContinuous" vertical="center"/>
    </xf>
    <xf numFmtId="37" fontId="20" fillId="0" borderId="9" xfId="0" applyNumberFormat="1" applyFont="1" applyFill="1" applyBorder="1" applyAlignment="1"/>
    <xf numFmtId="9" fontId="31" fillId="0" borderId="0" xfId="6" quotePrefix="1" applyNumberFormat="1" applyFont="1" applyFill="1" applyBorder="1" applyAlignment="1">
      <alignment horizontal="centerContinuous" vertical="center"/>
    </xf>
    <xf numFmtId="169" fontId="20" fillId="0" borderId="27" xfId="6" applyNumberFormat="1" applyFont="1" applyFill="1" applyBorder="1" applyAlignment="1">
      <alignment horizontal="center" vertical="center"/>
    </xf>
    <xf numFmtId="169" fontId="20" fillId="0" borderId="41" xfId="6" applyNumberFormat="1" applyFont="1" applyFill="1" applyBorder="1" applyAlignment="1">
      <alignment horizontal="center" vertical="center"/>
    </xf>
    <xf numFmtId="169" fontId="20" fillId="0" borderId="10" xfId="6" applyNumberFormat="1" applyFont="1" applyFill="1" applyBorder="1" applyAlignment="1">
      <alignment horizontal="center" vertical="center"/>
    </xf>
    <xf numFmtId="169" fontId="20" fillId="0" borderId="23" xfId="6" applyNumberFormat="1" applyFont="1" applyFill="1" applyBorder="1" applyAlignment="1">
      <alignment horizontal="center" vertical="center"/>
    </xf>
    <xf numFmtId="169" fontId="20" fillId="0" borderId="0" xfId="6" applyNumberFormat="1" applyFont="1" applyFill="1" applyBorder="1" applyAlignment="1">
      <alignment horizontal="center" vertical="center"/>
    </xf>
    <xf numFmtId="9" fontId="58" fillId="0" borderId="0" xfId="6" quotePrefix="1" applyNumberFormat="1" applyFont="1" applyFill="1" applyBorder="1" applyAlignment="1">
      <alignment horizontal="center" vertical="center"/>
    </xf>
    <xf numFmtId="37" fontId="30" fillId="0" borderId="0" xfId="0" applyNumberFormat="1" applyFont="1" applyFill="1" applyAlignment="1">
      <alignment horizontal="right" vertical="center"/>
    </xf>
    <xf numFmtId="37" fontId="30" fillId="0" borderId="0" xfId="0" applyNumberFormat="1" applyFont="1" applyFill="1" applyAlignment="1">
      <alignment vertical="center"/>
    </xf>
    <xf numFmtId="9" fontId="29" fillId="0" borderId="0" xfId="6" applyNumberFormat="1" applyFont="1" applyFill="1" applyAlignment="1">
      <alignment vertical="center"/>
    </xf>
    <xf numFmtId="169" fontId="25" fillId="0" borderId="22" xfId="6" quotePrefix="1" applyNumberFormat="1" applyFont="1" applyFill="1" applyBorder="1" applyAlignment="1">
      <alignment horizontal="center" vertical="center"/>
    </xf>
    <xf numFmtId="169" fontId="58" fillId="0" borderId="14" xfId="6" quotePrefix="1" applyNumberFormat="1" applyFont="1" applyFill="1" applyBorder="1" applyAlignment="1">
      <alignment horizontal="center" vertical="center"/>
    </xf>
    <xf numFmtId="9" fontId="58" fillId="0" borderId="10" xfId="6" quotePrefix="1" applyNumberFormat="1" applyFont="1" applyFill="1" applyBorder="1" applyAlignment="1">
      <alignment horizontal="center" vertical="center"/>
    </xf>
    <xf numFmtId="169" fontId="29" fillId="0" borderId="11" xfId="6" quotePrefix="1" applyNumberFormat="1" applyFont="1" applyFill="1" applyBorder="1" applyAlignment="1">
      <alignment horizontal="center" vertical="center"/>
    </xf>
    <xf numFmtId="169" fontId="29" fillId="0" borderId="17" xfId="6" quotePrefix="1" applyNumberFormat="1" applyFont="1" applyFill="1" applyBorder="1" applyAlignment="1">
      <alignment horizontal="center" vertical="center"/>
    </xf>
    <xf numFmtId="169" fontId="58" fillId="0" borderId="6" xfId="6" quotePrefix="1" applyNumberFormat="1" applyFont="1" applyFill="1" applyBorder="1" applyAlignment="1">
      <alignment horizontal="center" vertical="center"/>
    </xf>
    <xf numFmtId="169" fontId="29" fillId="0" borderId="6" xfId="6" quotePrefix="1" applyNumberFormat="1" applyFont="1" applyFill="1" applyBorder="1" applyAlignment="1">
      <alignment horizontal="center" vertical="center"/>
    </xf>
    <xf numFmtId="169" fontId="25" fillId="0" borderId="6" xfId="6" quotePrefix="1" applyNumberFormat="1" applyFont="1" applyFill="1" applyBorder="1" applyAlignment="1">
      <alignment horizontal="center" vertical="center"/>
    </xf>
    <xf numFmtId="169" fontId="20" fillId="0" borderId="42" xfId="6" applyNumberFormat="1" applyFont="1" applyFill="1" applyBorder="1" applyAlignment="1">
      <alignment horizontal="center" vertical="center"/>
    </xf>
    <xf numFmtId="9" fontId="27" fillId="0" borderId="20" xfId="6" applyNumberFormat="1" applyFont="1" applyFill="1" applyBorder="1" applyAlignment="1">
      <alignment horizontal="center" vertical="center"/>
    </xf>
    <xf numFmtId="37" fontId="16" fillId="0" borderId="0" xfId="0" applyNumberFormat="1" applyFont="1" applyBorder="1" applyAlignment="1">
      <alignment vertical="center"/>
    </xf>
    <xf numFmtId="37" fontId="16" fillId="0" borderId="0" xfId="0" applyNumberFormat="1" applyFont="1" applyFill="1" applyBorder="1" applyAlignment="1"/>
    <xf numFmtId="169" fontId="50" fillId="0" borderId="2" xfId="6" applyNumberFormat="1" applyFont="1" applyFill="1" applyBorder="1" applyAlignment="1">
      <alignment horizontal="right" vertical="center"/>
    </xf>
    <xf numFmtId="37" fontId="40" fillId="0" borderId="8" xfId="4" applyNumberFormat="1" applyFont="1" applyFill="1" applyBorder="1" applyAlignment="1" applyProtection="1">
      <alignment horizontal="center" wrapText="1"/>
    </xf>
    <xf numFmtId="37" fontId="40" fillId="0" borderId="0" xfId="2" applyNumberFormat="1" applyFont="1" applyFill="1" applyBorder="1"/>
    <xf numFmtId="167" fontId="40" fillId="0" borderId="0" xfId="2" applyNumberFormat="1" applyFont="1" applyFill="1" applyBorder="1"/>
    <xf numFmtId="37" fontId="13" fillId="0" borderId="0" xfId="4" applyFont="1" applyFill="1" applyBorder="1" applyAlignment="1">
      <alignment horizontal="left"/>
    </xf>
    <xf numFmtId="167" fontId="13" fillId="0" borderId="0" xfId="4" applyNumberFormat="1" applyFont="1" applyFill="1" applyAlignment="1">
      <alignment horizontal="left"/>
    </xf>
    <xf numFmtId="37" fontId="13" fillId="0" borderId="0" xfId="4" applyNumberFormat="1" applyFont="1" applyFill="1" applyAlignment="1">
      <alignment horizontal="left"/>
    </xf>
    <xf numFmtId="37" fontId="13" fillId="0" borderId="0" xfId="4" applyNumberFormat="1" applyFont="1" applyFill="1" applyBorder="1" applyAlignment="1">
      <alignment horizontal="left"/>
    </xf>
    <xf numFmtId="37" fontId="13" fillId="0" borderId="0" xfId="4" applyFont="1" applyFill="1" applyBorder="1"/>
    <xf numFmtId="37" fontId="13" fillId="0" borderId="2" xfId="4" applyFont="1" applyFill="1" applyBorder="1" applyAlignment="1"/>
    <xf numFmtId="167" fontId="13" fillId="0" borderId="2" xfId="4" applyNumberFormat="1" applyFont="1" applyFill="1" applyBorder="1" applyAlignment="1"/>
    <xf numFmtId="37" fontId="13" fillId="0" borderId="2" xfId="4" applyNumberFormat="1" applyFont="1" applyFill="1" applyBorder="1" applyAlignment="1"/>
    <xf numFmtId="167" fontId="13" fillId="0" borderId="0" xfId="4" applyNumberFormat="1" applyFont="1" applyFill="1" applyBorder="1"/>
    <xf numFmtId="37" fontId="13" fillId="0" borderId="9" xfId="4" applyFont="1" applyFill="1" applyBorder="1" applyAlignment="1">
      <alignment horizontal="center" wrapText="1"/>
    </xf>
    <xf numFmtId="37" fontId="13" fillId="0" borderId="0" xfId="4" applyFont="1" applyFill="1" applyBorder="1" applyAlignment="1">
      <alignment horizontal="center" wrapText="1"/>
    </xf>
    <xf numFmtId="37" fontId="13" fillId="0" borderId="0" xfId="2" applyFont="1" applyFill="1" applyBorder="1"/>
    <xf numFmtId="37" fontId="13" fillId="0" borderId="0" xfId="2" applyFont="1" applyFill="1" applyBorder="1" applyAlignment="1">
      <alignment horizontal="left"/>
    </xf>
    <xf numFmtId="37" fontId="13" fillId="0" borderId="0" xfId="2" applyFont="1" applyFill="1" applyBorder="1" applyAlignment="1"/>
    <xf numFmtId="49" fontId="13" fillId="0" borderId="0" xfId="2" applyNumberFormat="1" applyFont="1" applyFill="1" applyBorder="1"/>
    <xf numFmtId="37" fontId="13" fillId="0" borderId="0" xfId="2" applyNumberFormat="1" applyFont="1" applyFill="1" applyBorder="1" applyAlignment="1">
      <alignment horizontal="center"/>
    </xf>
    <xf numFmtId="167" fontId="13" fillId="0" borderId="0" xfId="2" applyNumberFormat="1" applyFont="1" applyFill="1" applyBorder="1"/>
    <xf numFmtId="37" fontId="13" fillId="0" borderId="0" xfId="2" applyNumberFormat="1" applyFont="1" applyFill="1" applyBorder="1"/>
    <xf numFmtId="169" fontId="20" fillId="0" borderId="51" xfId="6" applyNumberFormat="1" applyFont="1" applyFill="1" applyBorder="1" applyAlignment="1">
      <alignment horizontal="center" vertical="center"/>
    </xf>
    <xf numFmtId="169" fontId="20" fillId="0" borderId="52" xfId="6" applyNumberFormat="1" applyFont="1" applyFill="1" applyBorder="1" applyAlignment="1">
      <alignment horizontal="center" vertical="center"/>
    </xf>
    <xf numFmtId="37" fontId="22" fillId="0" borderId="4" xfId="0" applyNumberFormat="1" applyFont="1" applyFill="1" applyBorder="1" applyAlignment="1">
      <alignment horizontal="left" vertical="center" wrapText="1"/>
    </xf>
    <xf numFmtId="37" fontId="13" fillId="0" borderId="0" xfId="0" applyNumberFormat="1" applyFont="1" applyFill="1" applyBorder="1" applyAlignment="1">
      <alignment horizontal="center" vertical="center" wrapText="1"/>
    </xf>
    <xf numFmtId="169" fontId="22" fillId="0" borderId="15" xfId="6" applyNumberFormat="1" applyFont="1" applyFill="1" applyBorder="1" applyAlignment="1">
      <alignment horizontal="center" vertical="center"/>
    </xf>
    <xf numFmtId="169" fontId="22" fillId="0" borderId="44" xfId="6" applyNumberFormat="1" applyFont="1" applyFill="1" applyBorder="1" applyAlignment="1">
      <alignment horizontal="center" vertical="center"/>
    </xf>
    <xf numFmtId="169" fontId="22" fillId="0" borderId="47" xfId="6" applyNumberFormat="1" applyFont="1" applyFill="1" applyBorder="1" applyAlignment="1">
      <alignment horizontal="center" vertical="center"/>
    </xf>
    <xf numFmtId="169" fontId="62" fillId="0" borderId="44" xfId="6" applyNumberFormat="1" applyFont="1" applyFill="1" applyBorder="1" applyAlignment="1">
      <alignment horizontal="center" vertical="center"/>
    </xf>
    <xf numFmtId="169" fontId="62" fillId="0" borderId="47" xfId="6" applyNumberFormat="1" applyFont="1" applyFill="1" applyBorder="1" applyAlignment="1">
      <alignment horizontal="center" vertical="center"/>
    </xf>
    <xf numFmtId="37" fontId="37" fillId="0" borderId="50" xfId="0" applyNumberFormat="1" applyFont="1" applyFill="1" applyBorder="1" applyAlignment="1" applyProtection="1">
      <alignment horizontal="right" vertical="center"/>
    </xf>
    <xf numFmtId="37" fontId="16" fillId="0" borderId="53" xfId="0" applyNumberFormat="1" applyFont="1" applyFill="1" applyBorder="1" applyAlignment="1">
      <alignment horizontal="left" vertical="center" wrapText="1"/>
    </xf>
    <xf numFmtId="37" fontId="30" fillId="0" borderId="54" xfId="0" applyNumberFormat="1" applyFont="1" applyFill="1" applyBorder="1" applyAlignment="1">
      <alignment horizontal="left" vertical="center" wrapText="1"/>
    </xf>
    <xf numFmtId="37" fontId="16" fillId="0" borderId="54" xfId="0" applyNumberFormat="1" applyFont="1" applyFill="1" applyBorder="1" applyAlignment="1">
      <alignment horizontal="left" vertical="center" wrapText="1"/>
    </xf>
    <xf numFmtId="37" fontId="16" fillId="0" borderId="55" xfId="0" applyNumberFormat="1" applyFont="1" applyFill="1" applyBorder="1" applyAlignment="1">
      <alignment horizontal="left" vertical="center" wrapText="1"/>
    </xf>
    <xf numFmtId="37" fontId="30" fillId="0" borderId="56" xfId="0" applyNumberFormat="1" applyFont="1" applyFill="1" applyBorder="1" applyAlignment="1">
      <alignment horizontal="left" vertical="center" wrapText="1"/>
    </xf>
    <xf numFmtId="37" fontId="16" fillId="0" borderId="57" xfId="0" applyNumberFormat="1" applyFont="1" applyFill="1" applyBorder="1" applyAlignment="1">
      <alignment horizontal="left" vertical="center" wrapText="1"/>
    </xf>
    <xf numFmtId="37" fontId="30" fillId="0" borderId="57" xfId="0" applyNumberFormat="1" applyFont="1" applyFill="1" applyBorder="1" applyAlignment="1">
      <alignment horizontal="left" vertical="center" wrapText="1"/>
    </xf>
    <xf numFmtId="37" fontId="16" fillId="0" borderId="58" xfId="0" applyNumberFormat="1" applyFont="1" applyFill="1" applyBorder="1" applyAlignment="1">
      <alignment horizontal="left" vertical="center" wrapText="1"/>
    </xf>
    <xf numFmtId="37" fontId="22" fillId="0" borderId="4" xfId="0" applyNumberFormat="1" applyFont="1" applyFill="1" applyBorder="1" applyAlignment="1">
      <alignment horizontal="right" vertical="center" wrapText="1"/>
    </xf>
    <xf numFmtId="37" fontId="13" fillId="0" borderId="0" xfId="0" applyNumberFormat="1" applyFont="1" applyFill="1" applyAlignment="1"/>
    <xf numFmtId="37" fontId="13" fillId="0" borderId="0" xfId="0" applyNumberFormat="1" applyFont="1" applyFill="1" applyBorder="1" applyAlignment="1"/>
    <xf numFmtId="37" fontId="22" fillId="0" borderId="61" xfId="0" applyNumberFormat="1" applyFont="1" applyFill="1" applyBorder="1" applyAlignment="1"/>
    <xf numFmtId="37" fontId="22" fillId="0" borderId="63" xfId="0" applyNumberFormat="1" applyFont="1" applyFill="1" applyBorder="1" applyAlignment="1"/>
    <xf numFmtId="37" fontId="22" fillId="0" borderId="59" xfId="0" applyNumberFormat="1" applyFont="1" applyFill="1" applyBorder="1" applyAlignment="1"/>
    <xf numFmtId="37" fontId="22" fillId="0" borderId="60" xfId="0" applyNumberFormat="1" applyFont="1" applyFill="1" applyBorder="1" applyAlignment="1"/>
    <xf numFmtId="37" fontId="22" fillId="0" borderId="64" xfId="0" applyNumberFormat="1" applyFont="1" applyFill="1" applyBorder="1" applyAlignment="1"/>
    <xf numFmtId="37" fontId="14" fillId="0" borderId="0" xfId="0" applyNumberFormat="1" applyFont="1" applyFill="1" applyAlignment="1"/>
    <xf numFmtId="37" fontId="64" fillId="0" borderId="0" xfId="9" quotePrefix="1" applyNumberFormat="1" applyFont="1" applyFill="1" applyBorder="1" applyAlignment="1" applyProtection="1">
      <alignment horizontal="left"/>
    </xf>
    <xf numFmtId="37" fontId="65" fillId="0" borderId="0" xfId="0" applyNumberFormat="1" applyFont="1" applyFill="1" applyBorder="1" applyAlignment="1">
      <alignment horizontal="centerContinuous" vertical="center"/>
    </xf>
    <xf numFmtId="37" fontId="13" fillId="0" borderId="7" xfId="0" applyNumberFormat="1" applyFont="1" applyFill="1" applyBorder="1" applyAlignment="1"/>
    <xf numFmtId="37" fontId="13" fillId="0" borderId="28" xfId="0" applyNumberFormat="1" applyFont="1" applyFill="1" applyBorder="1" applyAlignment="1"/>
    <xf numFmtId="37" fontId="13" fillId="0" borderId="12" xfId="0" applyNumberFormat="1" applyFont="1" applyFill="1" applyBorder="1" applyAlignment="1"/>
    <xf numFmtId="3" fontId="13" fillId="0" borderId="38" xfId="0" applyNumberFormat="1" applyFont="1" applyFill="1" applyBorder="1" applyAlignment="1"/>
    <xf numFmtId="3" fontId="13" fillId="0" borderId="65" xfId="0" applyNumberFormat="1" applyFont="1" applyFill="1" applyBorder="1" applyAlignment="1"/>
    <xf numFmtId="37" fontId="15" fillId="0" borderId="4" xfId="0" applyNumberFormat="1" applyFont="1" applyFill="1" applyBorder="1" applyAlignment="1">
      <alignment horizontal="left" vertical="top" wrapText="1"/>
    </xf>
    <xf numFmtId="37" fontId="15" fillId="0" borderId="6" xfId="0" applyNumberFormat="1" applyFont="1" applyFill="1" applyBorder="1" applyAlignment="1">
      <alignment horizontal="left" vertical="top" wrapText="1"/>
    </xf>
    <xf numFmtId="37" fontId="15" fillId="0" borderId="15" xfId="0" applyNumberFormat="1" applyFont="1" applyFill="1" applyBorder="1" applyAlignment="1">
      <alignment horizontal="left" vertical="top" wrapText="1"/>
    </xf>
    <xf numFmtId="37" fontId="15" fillId="0" borderId="3" xfId="0" applyNumberFormat="1" applyFont="1" applyFill="1" applyBorder="1" applyAlignment="1">
      <alignment horizontal="left" vertical="top" wrapText="1"/>
    </xf>
    <xf numFmtId="37" fontId="15" fillId="0" borderId="5" xfId="0" applyNumberFormat="1" applyFont="1" applyFill="1" applyBorder="1" applyAlignment="1">
      <alignment horizontal="left" vertical="top" wrapText="1"/>
    </xf>
    <xf numFmtId="37" fontId="13" fillId="0" borderId="0" xfId="0" applyNumberFormat="1" applyFont="1" applyFill="1" applyAlignment="1">
      <alignment horizontal="right" vertical="top"/>
    </xf>
    <xf numFmtId="37" fontId="13" fillId="0" borderId="14" xfId="0" applyNumberFormat="1" applyFont="1" applyFill="1" applyBorder="1" applyAlignment="1">
      <alignment horizontal="right" vertical="top"/>
    </xf>
    <xf numFmtId="9" fontId="13" fillId="0" borderId="22" xfId="6" applyFont="1" applyFill="1" applyBorder="1" applyAlignment="1">
      <alignment horizontal="right" vertical="top"/>
    </xf>
    <xf numFmtId="37" fontId="13" fillId="0" borderId="0" xfId="0" applyNumberFormat="1" applyFont="1" applyFill="1" applyAlignment="1">
      <alignment vertical="top"/>
    </xf>
    <xf numFmtId="37" fontId="16" fillId="0" borderId="6" xfId="0" applyNumberFormat="1" applyFont="1" applyFill="1" applyBorder="1" applyAlignment="1">
      <alignment horizontal="center" vertical="center" wrapText="1"/>
    </xf>
    <xf numFmtId="37" fontId="13" fillId="0" borderId="0" xfId="0" applyNumberFormat="1" applyFont="1" applyFill="1" applyBorder="1" applyAlignment="1">
      <alignment horizontal="right" vertical="center" wrapText="1"/>
    </xf>
    <xf numFmtId="37" fontId="15" fillId="0" borderId="4" xfId="0" applyNumberFormat="1" applyFont="1" applyFill="1" applyBorder="1" applyAlignment="1">
      <alignment horizontal="right" vertical="top" wrapText="1"/>
    </xf>
    <xf numFmtId="37" fontId="13" fillId="0" borderId="29" xfId="0" applyNumberFormat="1" applyFont="1" applyFill="1" applyBorder="1" applyAlignment="1"/>
    <xf numFmtId="37" fontId="13" fillId="0" borderId="0" xfId="0" applyNumberFormat="1" applyFont="1" applyFill="1" applyBorder="1" applyAlignment="1">
      <alignment vertical="center"/>
    </xf>
    <xf numFmtId="37" fontId="13" fillId="0" borderId="2" xfId="0" applyNumberFormat="1" applyFont="1" applyFill="1" applyBorder="1" applyAlignment="1">
      <alignment vertical="center"/>
    </xf>
    <xf numFmtId="9" fontId="0" fillId="0" borderId="0" xfId="6" applyFont="1" applyFill="1" applyAlignment="1"/>
    <xf numFmtId="169" fontId="20" fillId="0" borderId="4" xfId="6" applyNumberFormat="1" applyFont="1" applyFill="1" applyBorder="1" applyAlignment="1">
      <alignment horizontal="center" vertical="center"/>
    </xf>
    <xf numFmtId="169" fontId="20" fillId="0" borderId="17" xfId="6" applyNumberFormat="1" applyFont="1" applyFill="1" applyBorder="1" applyAlignment="1">
      <alignment horizontal="center" vertical="center"/>
    </xf>
    <xf numFmtId="169" fontId="20" fillId="0" borderId="15" xfId="6" applyNumberFormat="1" applyFont="1" applyFill="1" applyBorder="1" applyAlignment="1">
      <alignment horizontal="center" vertical="center"/>
    </xf>
    <xf numFmtId="169" fontId="20" fillId="0" borderId="50" xfId="6" applyNumberFormat="1" applyFont="1" applyFill="1" applyBorder="1" applyAlignment="1">
      <alignment horizontal="center" vertical="center"/>
    </xf>
    <xf numFmtId="169" fontId="20" fillId="0" borderId="6" xfId="6" applyNumberFormat="1" applyFont="1" applyFill="1" applyBorder="1" applyAlignment="1">
      <alignment horizontal="center" vertical="center"/>
    </xf>
    <xf numFmtId="9" fontId="13" fillId="0" borderId="41" xfId="6" applyNumberFormat="1" applyFont="1" applyFill="1" applyBorder="1" applyAlignment="1">
      <alignment horizontal="center" vertical="center"/>
    </xf>
    <xf numFmtId="9" fontId="13" fillId="0" borderId="16" xfId="6" applyNumberFormat="1" applyFont="1" applyFill="1" applyBorder="1" applyAlignment="1">
      <alignment horizontal="center" vertical="center"/>
    </xf>
    <xf numFmtId="9" fontId="13" fillId="0" borderId="42" xfId="6" applyNumberFormat="1" applyFont="1" applyFill="1" applyBorder="1" applyAlignment="1">
      <alignment horizontal="center" vertical="center"/>
    </xf>
    <xf numFmtId="9" fontId="13" fillId="0" borderId="27" xfId="6" applyNumberFormat="1" applyFont="1" applyFill="1" applyBorder="1" applyAlignment="1">
      <alignment horizontal="center" vertical="center"/>
    </xf>
    <xf numFmtId="169" fontId="13" fillId="0" borderId="43" xfId="6" applyNumberFormat="1" applyFont="1" applyFill="1" applyBorder="1" applyAlignment="1">
      <alignment horizontal="center" vertical="center"/>
    </xf>
    <xf numFmtId="169" fontId="62" fillId="0" borderId="43" xfId="6" applyNumberFormat="1" applyFont="1" applyFill="1" applyBorder="1" applyAlignment="1">
      <alignment horizontal="center" vertical="center"/>
    </xf>
    <xf numFmtId="169" fontId="13" fillId="0" borderId="45" xfId="6" applyNumberFormat="1" applyFont="1" applyFill="1" applyBorder="1" applyAlignment="1">
      <alignment horizontal="center" vertical="center"/>
    </xf>
    <xf numFmtId="169" fontId="13" fillId="0" borderId="48" xfId="6" applyNumberFormat="1" applyFont="1" applyFill="1" applyBorder="1" applyAlignment="1">
      <alignment horizontal="center" vertical="center"/>
    </xf>
    <xf numFmtId="169" fontId="22" fillId="0" borderId="46" xfId="6" applyNumberFormat="1" applyFont="1" applyFill="1" applyBorder="1" applyAlignment="1">
      <alignment horizontal="center" vertical="center"/>
    </xf>
    <xf numFmtId="169" fontId="62" fillId="0" borderId="42" xfId="6" applyNumberFormat="1" applyFont="1" applyFill="1" applyBorder="1" applyAlignment="1">
      <alignment horizontal="center" vertical="center"/>
    </xf>
    <xf numFmtId="169" fontId="22" fillId="0" borderId="43" xfId="6" applyNumberFormat="1" applyFont="1" applyFill="1" applyBorder="1" applyAlignment="1">
      <alignment horizontal="center" vertical="center"/>
    </xf>
    <xf numFmtId="169" fontId="13" fillId="0" borderId="51" xfId="6" applyNumberFormat="1" applyFont="1" applyFill="1" applyBorder="1" applyAlignment="1">
      <alignment horizontal="center" vertical="center"/>
    </xf>
    <xf numFmtId="169" fontId="22" fillId="0" borderId="42" xfId="6" applyNumberFormat="1" applyFont="1" applyFill="1" applyBorder="1" applyAlignment="1">
      <alignment horizontal="center" vertical="center"/>
    </xf>
    <xf numFmtId="9" fontId="13" fillId="0" borderId="4" xfId="6" applyNumberFormat="1" applyFont="1" applyFill="1" applyBorder="1" applyAlignment="1">
      <alignment horizontal="center" vertical="center"/>
    </xf>
    <xf numFmtId="9" fontId="20" fillId="0" borderId="4" xfId="6" applyNumberFormat="1" applyFont="1" applyFill="1" applyBorder="1" applyAlignment="1">
      <alignment horizontal="center" vertical="center"/>
    </xf>
    <xf numFmtId="9" fontId="20" fillId="0" borderId="42" xfId="6" applyNumberFormat="1" applyFont="1" applyFill="1" applyBorder="1" applyAlignment="1">
      <alignment horizontal="center" vertical="center"/>
    </xf>
    <xf numFmtId="9" fontId="20" fillId="0" borderId="27" xfId="6" applyNumberFormat="1" applyFont="1" applyFill="1" applyBorder="1" applyAlignment="1">
      <alignment horizontal="center" vertical="center"/>
    </xf>
    <xf numFmtId="37" fontId="22" fillId="0" borderId="9" xfId="4" applyNumberFormat="1" applyFont="1" applyFill="1" applyBorder="1"/>
    <xf numFmtId="37" fontId="22" fillId="0" borderId="9" xfId="4" applyNumberFormat="1" applyFont="1" applyFill="1" applyBorder="1" applyAlignment="1"/>
    <xf numFmtId="37" fontId="22" fillId="0" borderId="0" xfId="0" applyNumberFormat="1" applyFont="1" applyFill="1" applyAlignment="1"/>
    <xf numFmtId="37" fontId="22" fillId="0" borderId="0" xfId="0" applyNumberFormat="1" applyFont="1" applyFill="1" applyBorder="1" applyAlignment="1"/>
    <xf numFmtId="37" fontId="22" fillId="0" borderId="21" xfId="0" applyNumberFormat="1" applyFont="1" applyFill="1" applyBorder="1" applyAlignment="1">
      <alignment vertical="top"/>
    </xf>
    <xf numFmtId="37" fontId="13" fillId="0" borderId="2" xfId="0" applyNumberFormat="1" applyFont="1" applyFill="1" applyBorder="1" applyAlignment="1">
      <alignment vertical="top"/>
    </xf>
    <xf numFmtId="37" fontId="13" fillId="0" borderId="34" xfId="0" applyNumberFormat="1" applyFont="1" applyFill="1" applyBorder="1" applyAlignment="1">
      <alignment vertical="center"/>
    </xf>
    <xf numFmtId="37" fontId="13" fillId="0" borderId="11" xfId="0" applyNumberFormat="1" applyFont="1" applyFill="1" applyBorder="1" applyAlignment="1">
      <alignment vertical="center"/>
    </xf>
    <xf numFmtId="37" fontId="13" fillId="0" borderId="35" xfId="0" applyNumberFormat="1" applyFont="1" applyFill="1" applyBorder="1" applyAlignment="1">
      <alignment vertical="top"/>
    </xf>
    <xf numFmtId="37" fontId="13" fillId="0" borderId="21" xfId="0" applyNumberFormat="1" applyFont="1" applyFill="1" applyBorder="1" applyAlignment="1">
      <alignment horizontal="right" vertical="top"/>
    </xf>
    <xf numFmtId="37" fontId="13" fillId="0" borderId="35" xfId="0" applyNumberFormat="1" applyFont="1" applyFill="1" applyBorder="1" applyAlignment="1">
      <alignment horizontal="right" vertical="top"/>
    </xf>
    <xf numFmtId="37" fontId="13" fillId="0" borderId="36" xfId="0" applyNumberFormat="1" applyFont="1" applyFill="1" applyBorder="1" applyAlignment="1">
      <alignment horizontal="right" vertical="top"/>
    </xf>
    <xf numFmtId="37" fontId="22" fillId="0" borderId="2" xfId="0" applyNumberFormat="1" applyFont="1" applyFill="1" applyBorder="1" applyAlignment="1"/>
    <xf numFmtId="37" fontId="22" fillId="0" borderId="62" xfId="0" applyNumberFormat="1" applyFont="1" applyFill="1" applyBorder="1" applyAlignment="1"/>
    <xf numFmtId="9" fontId="22" fillId="0" borderId="0" xfId="0" applyNumberFormat="1" applyFont="1" applyFill="1" applyBorder="1" applyAlignment="1"/>
    <xf numFmtId="37" fontId="13" fillId="0" borderId="20" xfId="0" applyNumberFormat="1" applyFont="1" applyFill="1" applyBorder="1" applyAlignment="1">
      <alignment vertical="center"/>
    </xf>
    <xf numFmtId="9" fontId="22" fillId="0" borderId="2" xfId="0" applyNumberFormat="1" applyFont="1" applyFill="1" applyBorder="1" applyAlignment="1"/>
    <xf numFmtId="37" fontId="13" fillId="0" borderId="66" xfId="0" applyNumberFormat="1" applyFont="1" applyFill="1" applyBorder="1" applyAlignment="1">
      <alignment vertical="center"/>
    </xf>
    <xf numFmtId="37" fontId="13" fillId="0" borderId="67" xfId="0" applyNumberFormat="1" applyFont="1" applyFill="1" applyBorder="1" applyAlignment="1">
      <alignment vertical="center"/>
    </xf>
    <xf numFmtId="37" fontId="13" fillId="0" borderId="71" xfId="0" applyNumberFormat="1" applyFont="1" applyFill="1" applyBorder="1" applyAlignment="1">
      <alignment vertical="center"/>
    </xf>
    <xf numFmtId="37" fontId="13" fillId="0" borderId="70" xfId="0" applyNumberFormat="1" applyFont="1" applyFill="1" applyBorder="1" applyAlignment="1">
      <alignment horizontal="right" vertical="top"/>
    </xf>
    <xf numFmtId="37" fontId="13" fillId="0" borderId="0" xfId="0" applyNumberFormat="1" applyFont="1" applyFill="1" applyBorder="1" applyAlignment="1">
      <alignment horizontal="right"/>
    </xf>
    <xf numFmtId="39" fontId="13" fillId="0" borderId="0" xfId="0" applyNumberFormat="1" applyFont="1" applyFill="1" applyBorder="1" applyAlignment="1">
      <alignment vertical="center"/>
    </xf>
    <xf numFmtId="37" fontId="22" fillId="0" borderId="72" xfId="0" applyNumberFormat="1" applyFont="1" applyFill="1" applyBorder="1" applyAlignment="1">
      <alignment vertical="top"/>
    </xf>
    <xf numFmtId="37" fontId="13" fillId="0" borderId="73" xfId="0" applyNumberFormat="1" applyFont="1" applyFill="1" applyBorder="1" applyAlignment="1">
      <alignment horizontal="right" vertical="top"/>
    </xf>
    <xf numFmtId="37" fontId="22" fillId="0" borderId="68" xfId="0" applyNumberFormat="1" applyFont="1" applyFill="1" applyBorder="1" applyAlignment="1">
      <alignment vertical="top"/>
    </xf>
    <xf numFmtId="37" fontId="13" fillId="0" borderId="68" xfId="0" applyNumberFormat="1" applyFont="1" applyFill="1" applyBorder="1" applyAlignment="1">
      <alignment horizontal="right" vertical="top"/>
    </xf>
    <xf numFmtId="37" fontId="13" fillId="0" borderId="73" xfId="0" applyNumberFormat="1" applyFont="1" applyFill="1" applyBorder="1" applyAlignment="1">
      <alignment vertical="top"/>
    </xf>
    <xf numFmtId="37" fontId="44" fillId="0" borderId="68" xfId="0" applyNumberFormat="1" applyFont="1" applyFill="1" applyBorder="1" applyAlignment="1">
      <alignment horizontal="right" vertical="top"/>
    </xf>
    <xf numFmtId="37" fontId="13" fillId="0" borderId="74" xfId="0" applyNumberFormat="1" applyFont="1" applyFill="1" applyBorder="1" applyAlignment="1">
      <alignment horizontal="right" vertical="top"/>
    </xf>
    <xf numFmtId="37" fontId="67" fillId="0" borderId="0" xfId="0" applyNumberFormat="1" applyFont="1" applyFill="1" applyAlignment="1"/>
    <xf numFmtId="37" fontId="67" fillId="0" borderId="7" xfId="0" applyNumberFormat="1" applyFont="1" applyFill="1" applyBorder="1" applyAlignment="1"/>
    <xf numFmtId="37" fontId="67" fillId="0" borderId="12" xfId="0" applyNumberFormat="1" applyFont="1" applyFill="1" applyBorder="1" applyAlignment="1"/>
    <xf numFmtId="37" fontId="67" fillId="0" borderId="7" xfId="0" applyNumberFormat="1" applyFont="1" applyFill="1" applyBorder="1" applyAlignment="1">
      <alignment horizontal="right"/>
    </xf>
    <xf numFmtId="37" fontId="67" fillId="0" borderId="21" xfId="0" applyNumberFormat="1" applyFont="1" applyFill="1" applyBorder="1" applyAlignment="1">
      <alignment horizontal="right"/>
    </xf>
    <xf numFmtId="3" fontId="22" fillId="0" borderId="71" xfId="0" applyNumberFormat="1" applyFont="1" applyFill="1" applyBorder="1" applyAlignment="1"/>
    <xf numFmtId="166" fontId="20" fillId="0" borderId="0" xfId="1" applyNumberFormat="1" applyFont="1" applyFill="1" applyBorder="1" applyAlignment="1">
      <alignment vertical="center"/>
    </xf>
    <xf numFmtId="166" fontId="20" fillId="0" borderId="23" xfId="1" applyNumberFormat="1" applyFont="1" applyFill="1" applyBorder="1" applyAlignment="1">
      <alignment vertical="center"/>
    </xf>
    <xf numFmtId="166" fontId="50" fillId="0" borderId="23" xfId="1" applyNumberFormat="1" applyFont="1" applyFill="1" applyBorder="1" applyAlignment="1">
      <alignment vertical="center"/>
    </xf>
    <xf numFmtId="166" fontId="0" fillId="0" borderId="0" xfId="1" applyNumberFormat="1" applyFont="1" applyFill="1" applyAlignment="1"/>
    <xf numFmtId="166" fontId="20" fillId="0" borderId="0" xfId="1" applyNumberFormat="1" applyFont="1" applyFill="1" applyAlignment="1"/>
    <xf numFmtId="3" fontId="52" fillId="4" borderId="2" xfId="0" applyNumberFormat="1" applyFont="1" applyFill="1" applyBorder="1" applyAlignment="1">
      <alignment horizontal="right" wrapText="1"/>
    </xf>
    <xf numFmtId="37" fontId="66" fillId="0" borderId="9" xfId="0" applyNumberFormat="1" applyFont="1" applyFill="1" applyBorder="1" applyAlignment="1">
      <alignment vertical="center"/>
    </xf>
    <xf numFmtId="37" fontId="66" fillId="0" borderId="19" xfId="0" applyNumberFormat="1" applyFont="1" applyFill="1" applyBorder="1" applyAlignment="1">
      <alignment vertical="center"/>
    </xf>
    <xf numFmtId="37" fontId="66" fillId="0" borderId="10" xfId="0" applyNumberFormat="1" applyFont="1" applyFill="1" applyBorder="1" applyAlignment="1">
      <alignment horizontal="right"/>
    </xf>
    <xf numFmtId="37" fontId="66" fillId="0" borderId="2" xfId="0" applyNumberFormat="1" applyFont="1" applyFill="1" applyBorder="1" applyAlignment="1">
      <alignment horizontal="right"/>
    </xf>
    <xf numFmtId="37" fontId="66" fillId="0" borderId="23" xfId="0" applyNumberFormat="1" applyFont="1" applyFill="1" applyBorder="1" applyAlignment="1">
      <alignment vertical="center"/>
    </xf>
    <xf numFmtId="37" fontId="66" fillId="0" borderId="0" xfId="0" applyNumberFormat="1" applyFont="1" applyFill="1" applyBorder="1" applyAlignment="1">
      <alignment vertical="center"/>
    </xf>
    <xf numFmtId="37" fontId="66" fillId="0" borderId="0" xfId="0" applyNumberFormat="1" applyFont="1" applyFill="1" applyAlignment="1">
      <alignment vertical="center"/>
    </xf>
    <xf numFmtId="164" fontId="66" fillId="0" borderId="24" xfId="0" applyNumberFormat="1" applyFont="1" applyFill="1" applyBorder="1" applyAlignment="1">
      <alignment horizontal="right" vertical="center"/>
    </xf>
    <xf numFmtId="164" fontId="66" fillId="0" borderId="0" xfId="0" applyNumberFormat="1" applyFont="1" applyFill="1" applyBorder="1" applyAlignment="1">
      <alignment horizontal="right" vertical="center"/>
    </xf>
    <xf numFmtId="164" fontId="66" fillId="0" borderId="23" xfId="0" applyNumberFormat="1" applyFont="1" applyFill="1" applyBorder="1" applyAlignment="1">
      <alignment horizontal="right" vertical="center"/>
    </xf>
    <xf numFmtId="37" fontId="22" fillId="0" borderId="0" xfId="0" applyNumberFormat="1" applyFont="1" applyFill="1" applyBorder="1" applyAlignment="1">
      <alignment vertical="center"/>
    </xf>
    <xf numFmtId="169" fontId="66" fillId="0" borderId="23" xfId="6" applyNumberFormat="1" applyFont="1" applyFill="1" applyBorder="1" applyAlignment="1">
      <alignment horizontal="right" vertical="center"/>
    </xf>
    <xf numFmtId="169" fontId="66" fillId="0" borderId="24" xfId="6" applyNumberFormat="1" applyFont="1" applyFill="1" applyBorder="1" applyAlignment="1">
      <alignment horizontal="right" vertical="center"/>
    </xf>
    <xf numFmtId="169" fontId="66" fillId="0" borderId="0" xfId="6" applyNumberFormat="1" applyFont="1" applyFill="1" applyAlignment="1">
      <alignment horizontal="right" vertical="center"/>
    </xf>
    <xf numFmtId="169" fontId="20" fillId="0" borderId="0" xfId="6" applyNumberFormat="1" applyFont="1" applyFill="1" applyAlignment="1">
      <alignment horizontal="right" vertical="center"/>
    </xf>
    <xf numFmtId="169" fontId="20" fillId="0" borderId="23" xfId="6" applyNumberFormat="1" applyFont="1" applyFill="1" applyBorder="1" applyAlignment="1">
      <alignment horizontal="right" vertical="center"/>
    </xf>
    <xf numFmtId="39" fontId="13" fillId="0" borderId="0" xfId="0" applyNumberFormat="1" applyFont="1" applyFill="1" applyAlignment="1">
      <alignment vertical="center"/>
    </xf>
    <xf numFmtId="37" fontId="13" fillId="0" borderId="0" xfId="0" applyNumberFormat="1" applyFont="1" applyFill="1" applyAlignment="1">
      <alignment vertical="center"/>
    </xf>
    <xf numFmtId="37" fontId="18" fillId="8" borderId="0" xfId="0" applyNumberFormat="1" applyFont="1" applyFill="1" applyBorder="1" applyAlignment="1">
      <alignment vertical="center"/>
    </xf>
    <xf numFmtId="37" fontId="16" fillId="0" borderId="0" xfId="0" applyNumberFormat="1" applyFont="1" applyFill="1" applyBorder="1" applyAlignment="1">
      <alignment vertical="top"/>
    </xf>
    <xf numFmtId="37" fontId="19" fillId="0" borderId="0" xfId="0" applyNumberFormat="1" applyFont="1" applyFill="1" applyBorder="1" applyAlignment="1">
      <alignment vertical="center" wrapText="1"/>
    </xf>
    <xf numFmtId="37" fontId="20" fillId="0" borderId="0" xfId="0" applyNumberFormat="1" applyFont="1" applyBorder="1" applyAlignment="1">
      <alignment vertical="center" wrapText="1"/>
    </xf>
    <xf numFmtId="37" fontId="15" fillId="0" borderId="6" xfId="0" applyNumberFormat="1" applyFont="1" applyFill="1" applyBorder="1" applyAlignment="1">
      <alignment horizontal="center" wrapText="1"/>
    </xf>
    <xf numFmtId="37" fontId="18" fillId="0" borderId="0" xfId="0" applyNumberFormat="1" applyFont="1" applyFill="1" applyBorder="1" applyAlignment="1">
      <alignment horizontal="center" vertical="center"/>
    </xf>
    <xf numFmtId="37" fontId="15" fillId="0" borderId="6" xfId="0" applyNumberFormat="1" applyFont="1" applyFill="1" applyBorder="1" applyAlignment="1" applyProtection="1">
      <alignment horizontal="center"/>
    </xf>
    <xf numFmtId="37" fontId="16" fillId="0" borderId="0" xfId="0" applyNumberFormat="1" applyFont="1" applyFill="1" applyBorder="1" applyAlignment="1">
      <alignment vertical="center" wrapText="1"/>
    </xf>
    <xf numFmtId="9" fontId="66" fillId="0" borderId="40" xfId="6" applyFont="1" applyFill="1" applyBorder="1"/>
    <xf numFmtId="37" fontId="66" fillId="0" borderId="0" xfId="0" applyNumberFormat="1" applyFont="1" applyFill="1" applyAlignment="1">
      <alignment horizontal="right"/>
    </xf>
    <xf numFmtId="9" fontId="66" fillId="0" borderId="0" xfId="6" applyFont="1" applyFill="1"/>
    <xf numFmtId="168" fontId="66" fillId="0" borderId="0" xfId="0" applyNumberFormat="1" applyFont="1" applyFill="1" applyBorder="1" applyAlignment="1">
      <alignment horizontal="right" vertical="center"/>
    </xf>
    <xf numFmtId="37" fontId="13" fillId="0" borderId="40" xfId="0" applyNumberFormat="1" applyFont="1" applyFill="1" applyBorder="1" applyAlignment="1"/>
    <xf numFmtId="37" fontId="66" fillId="0" borderId="0" xfId="9" quotePrefix="1" applyNumberFormat="1" applyFont="1" applyFill="1" applyBorder="1" applyAlignment="1" applyProtection="1">
      <alignment horizontal="left"/>
    </xf>
    <xf numFmtId="37" fontId="68" fillId="0" borderId="0" xfId="0" applyNumberFormat="1" applyFont="1" applyFill="1" applyAlignment="1"/>
    <xf numFmtId="167" fontId="40" fillId="0" borderId="20" xfId="4" applyNumberFormat="1" applyFont="1" applyFill="1" applyBorder="1"/>
    <xf numFmtId="37" fontId="61" fillId="0" borderId="20" xfId="4" applyNumberFormat="1" applyFont="1" applyFill="1" applyBorder="1" applyAlignment="1">
      <alignment horizontal="center" wrapText="1"/>
    </xf>
    <xf numFmtId="37" fontId="18" fillId="0" borderId="0" xfId="0" applyNumberFormat="1" applyFont="1" applyFill="1" applyBorder="1" applyAlignment="1" applyProtection="1">
      <alignment horizontal="center" vertical="top"/>
    </xf>
    <xf numFmtId="37" fontId="18" fillId="0" borderId="0" xfId="0" applyNumberFormat="1" applyFont="1" applyFill="1" applyBorder="1" applyAlignment="1">
      <alignment horizontal="center" vertical="center"/>
    </xf>
    <xf numFmtId="37" fontId="22" fillId="8" borderId="75" xfId="0" applyNumberFormat="1" applyFont="1" applyFill="1" applyBorder="1" applyAlignment="1"/>
    <xf numFmtId="37" fontId="0" fillId="8" borderId="76" xfId="0" applyNumberFormat="1" applyFill="1" applyBorder="1" applyAlignment="1"/>
    <xf numFmtId="37" fontId="0" fillId="8" borderId="77" xfId="0" applyNumberFormat="1" applyFill="1" applyBorder="1" applyAlignment="1"/>
    <xf numFmtId="37" fontId="13" fillId="0" borderId="2" xfId="0" applyNumberFormat="1" applyFont="1" applyFill="1" applyBorder="1" applyAlignment="1"/>
    <xf numFmtId="9" fontId="66" fillId="0" borderId="0" xfId="6" applyNumberFormat="1" applyFont="1" applyFill="1"/>
    <xf numFmtId="0" fontId="31" fillId="0" borderId="8" xfId="1" applyNumberFormat="1" applyFont="1" applyFill="1" applyBorder="1" applyAlignment="1" applyProtection="1">
      <alignment horizontal="center" vertical="center" wrapText="1"/>
    </xf>
    <xf numFmtId="0" fontId="31" fillId="0" borderId="9" xfId="1" applyNumberFormat="1" applyFont="1" applyFill="1" applyBorder="1" applyAlignment="1" applyProtection="1">
      <alignment horizontal="center" vertical="center"/>
    </xf>
    <xf numFmtId="37" fontId="31" fillId="0" borderId="9" xfId="0" applyNumberFormat="1" applyFont="1" applyFill="1" applyBorder="1" applyAlignment="1" applyProtection="1">
      <alignment horizontal="center" vertical="center"/>
    </xf>
    <xf numFmtId="37" fontId="31" fillId="0" borderId="9" xfId="0" applyNumberFormat="1" applyFont="1" applyFill="1" applyBorder="1" applyAlignment="1">
      <alignment horizontal="center" vertical="center"/>
    </xf>
    <xf numFmtId="169" fontId="31" fillId="0" borderId="9" xfId="6" applyNumberFormat="1" applyFont="1" applyFill="1" applyBorder="1" applyAlignment="1">
      <alignment horizontal="center" vertical="center"/>
    </xf>
    <xf numFmtId="169" fontId="13" fillId="0" borderId="4" xfId="6" applyNumberFormat="1" applyFont="1" applyFill="1" applyBorder="1" applyAlignment="1">
      <alignment horizontal="center" vertical="center"/>
    </xf>
    <xf numFmtId="169" fontId="13" fillId="0" borderId="42" xfId="6" applyNumberFormat="1" applyFont="1" applyFill="1" applyBorder="1" applyAlignment="1">
      <alignment horizontal="center" vertical="center"/>
    </xf>
    <xf numFmtId="169" fontId="13" fillId="0" borderId="27" xfId="6" applyNumberFormat="1" applyFont="1" applyFill="1" applyBorder="1" applyAlignment="1">
      <alignment horizontal="center" vertical="center"/>
    </xf>
    <xf numFmtId="169" fontId="13" fillId="0" borderId="17" xfId="6" applyNumberFormat="1" applyFont="1" applyFill="1" applyBorder="1" applyAlignment="1">
      <alignment horizontal="center" vertical="center"/>
    </xf>
    <xf numFmtId="169" fontId="13" fillId="0" borderId="23" xfId="6" applyNumberFormat="1" applyFont="1" applyFill="1" applyBorder="1" applyAlignment="1">
      <alignment horizontal="center" vertical="center"/>
    </xf>
    <xf numFmtId="169" fontId="13" fillId="0" borderId="0" xfId="6" applyNumberFormat="1" applyFont="1" applyFill="1" applyBorder="1" applyAlignment="1">
      <alignment horizontal="center" vertical="center"/>
    </xf>
    <xf numFmtId="169" fontId="13" fillId="0" borderId="15" xfId="6" applyNumberFormat="1" applyFont="1" applyFill="1" applyBorder="1" applyAlignment="1">
      <alignment horizontal="center" vertical="center"/>
    </xf>
    <xf numFmtId="169" fontId="13" fillId="0" borderId="41" xfId="6" applyNumberFormat="1" applyFont="1" applyFill="1" applyBorder="1" applyAlignment="1">
      <alignment horizontal="center" vertical="center"/>
    </xf>
    <xf numFmtId="169" fontId="13" fillId="0" borderId="16" xfId="6" applyNumberFormat="1" applyFont="1" applyFill="1" applyBorder="1" applyAlignment="1">
      <alignment horizontal="center" vertical="center"/>
    </xf>
    <xf numFmtId="169" fontId="13" fillId="0" borderId="50" xfId="6" applyNumberFormat="1" applyFont="1" applyFill="1" applyBorder="1" applyAlignment="1">
      <alignment horizontal="center" vertical="center"/>
    </xf>
    <xf numFmtId="169" fontId="13" fillId="0" borderId="52" xfId="6" applyNumberFormat="1" applyFont="1" applyFill="1" applyBorder="1" applyAlignment="1">
      <alignment horizontal="center" vertical="center"/>
    </xf>
    <xf numFmtId="169" fontId="13" fillId="0" borderId="6" xfId="6" applyNumberFormat="1" applyFont="1" applyFill="1" applyBorder="1" applyAlignment="1">
      <alignment horizontal="center" vertical="center"/>
    </xf>
    <xf numFmtId="169" fontId="13" fillId="0" borderId="10" xfId="6" applyNumberFormat="1" applyFont="1" applyFill="1" applyBorder="1" applyAlignment="1">
      <alignment horizontal="center" vertical="center"/>
    </xf>
    <xf numFmtId="169" fontId="13" fillId="0" borderId="2" xfId="6" applyNumberFormat="1" applyFont="1" applyFill="1" applyBorder="1" applyAlignment="1">
      <alignment horizontal="center" vertical="center"/>
    </xf>
    <xf numFmtId="37" fontId="16" fillId="0" borderId="0" xfId="0" quotePrefix="1" applyNumberFormat="1" applyFont="1" applyFill="1" applyBorder="1" applyAlignment="1">
      <alignment horizontal="right"/>
    </xf>
    <xf numFmtId="37" fontId="31" fillId="0" borderId="9" xfId="0" applyNumberFormat="1" applyFont="1" applyFill="1" applyBorder="1" applyAlignment="1" applyProtection="1">
      <alignment horizontal="centerContinuous" vertical="center"/>
    </xf>
    <xf numFmtId="37" fontId="31" fillId="0" borderId="9" xfId="0" applyNumberFormat="1" applyFont="1" applyFill="1" applyBorder="1" applyAlignment="1">
      <alignment horizontal="centerContinuous" vertical="center"/>
    </xf>
    <xf numFmtId="37" fontId="31" fillId="0" borderId="19" xfId="0" applyNumberFormat="1" applyFont="1" applyFill="1" applyBorder="1" applyAlignment="1">
      <alignment horizontal="centerContinuous" vertical="center"/>
    </xf>
    <xf numFmtId="37" fontId="31" fillId="0" borderId="11" xfId="0" applyNumberFormat="1" applyFont="1" applyFill="1" applyBorder="1" applyAlignment="1" applyProtection="1">
      <alignment horizontal="centerContinuous" vertical="center"/>
    </xf>
    <xf numFmtId="37" fontId="31" fillId="0" borderId="18" xfId="0" applyNumberFormat="1" applyFont="1" applyFill="1" applyBorder="1" applyAlignment="1">
      <alignment horizontal="centerContinuous" vertical="center"/>
    </xf>
    <xf numFmtId="37" fontId="31" fillId="0" borderId="24" xfId="0" applyNumberFormat="1" applyFont="1" applyFill="1" applyBorder="1" applyAlignment="1">
      <alignment horizontal="centerContinuous" vertical="center"/>
    </xf>
    <xf numFmtId="37" fontId="31" fillId="0" borderId="6" xfId="0" applyNumberFormat="1" applyFont="1" applyFill="1" applyBorder="1" applyAlignment="1">
      <alignment horizontal="center" wrapText="1"/>
    </xf>
    <xf numFmtId="167" fontId="31" fillId="0" borderId="10" xfId="0" applyNumberFormat="1" applyFont="1" applyFill="1" applyBorder="1" applyAlignment="1">
      <alignment horizontal="center" wrapText="1"/>
    </xf>
    <xf numFmtId="169" fontId="13" fillId="0" borderId="14" xfId="6" quotePrefix="1" applyNumberFormat="1" applyFont="1" applyFill="1" applyBorder="1" applyAlignment="1">
      <alignment horizontal="center" vertical="center"/>
    </xf>
    <xf numFmtId="169" fontId="29" fillId="0" borderId="14" xfId="6" quotePrefix="1" applyNumberFormat="1" applyFont="1" applyFill="1" applyBorder="1" applyAlignment="1">
      <alignment horizontal="center" vertical="center"/>
    </xf>
    <xf numFmtId="9" fontId="29" fillId="0" borderId="0" xfId="6" quotePrefix="1" applyNumberFormat="1" applyFont="1" applyFill="1" applyBorder="1" applyAlignment="1">
      <alignment horizontal="center" vertical="center"/>
    </xf>
    <xf numFmtId="169" fontId="13" fillId="0" borderId="22" xfId="6" quotePrefix="1" applyNumberFormat="1" applyFont="1" applyFill="1" applyBorder="1" applyAlignment="1">
      <alignment horizontal="center" vertical="center"/>
    </xf>
    <xf numFmtId="169" fontId="13" fillId="0" borderId="6" xfId="6" quotePrefix="1" applyNumberFormat="1" applyFont="1" applyFill="1" applyBorder="1" applyAlignment="1">
      <alignment horizontal="center" vertical="center"/>
    </xf>
    <xf numFmtId="9" fontId="29" fillId="0" borderId="10" xfId="6" quotePrefix="1" applyNumberFormat="1" applyFont="1" applyFill="1" applyBorder="1" applyAlignment="1">
      <alignment horizontal="center" vertical="center"/>
    </xf>
    <xf numFmtId="167" fontId="31" fillId="0" borderId="9" xfId="0" applyNumberFormat="1" applyFont="1" applyFill="1" applyBorder="1" applyAlignment="1" applyProtection="1">
      <alignment horizontal="center" wrapText="1"/>
    </xf>
    <xf numFmtId="37" fontId="31" fillId="0" borderId="9" xfId="0" applyNumberFormat="1" applyFont="1" applyFill="1" applyBorder="1" applyAlignment="1">
      <alignment horizontal="center" wrapText="1"/>
    </xf>
    <xf numFmtId="167" fontId="31" fillId="0" borderId="18" xfId="0" applyNumberFormat="1" applyFont="1" applyFill="1" applyBorder="1" applyAlignment="1" applyProtection="1">
      <alignment horizontal="center" wrapText="1"/>
    </xf>
    <xf numFmtId="164" fontId="13" fillId="0" borderId="0" xfId="0" applyNumberFormat="1" applyFont="1" applyFill="1" applyBorder="1" applyAlignment="1">
      <alignment horizontal="right" vertical="center"/>
    </xf>
    <xf numFmtId="164" fontId="13" fillId="0" borderId="23"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3" fontId="13" fillId="0" borderId="0" xfId="0" applyNumberFormat="1" applyFont="1" applyFill="1" applyBorder="1" applyAlignment="1">
      <alignment horizontal="right" vertical="center"/>
    </xf>
    <xf numFmtId="3" fontId="13" fillId="0" borderId="23"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3" fontId="13" fillId="0" borderId="0" xfId="0" quotePrefix="1" applyNumberFormat="1" applyFont="1" applyFill="1" applyBorder="1" applyAlignment="1">
      <alignment horizontal="right" vertical="center"/>
    </xf>
    <xf numFmtId="3" fontId="13" fillId="0" borderId="23" xfId="0" quotePrefix="1" applyNumberFormat="1" applyFont="1" applyFill="1" applyBorder="1" applyAlignment="1">
      <alignment horizontal="center" vertical="center"/>
    </xf>
    <xf numFmtId="3" fontId="13" fillId="0" borderId="0" xfId="0" quotePrefix="1" applyNumberFormat="1" applyFont="1" applyFill="1" applyBorder="1" applyAlignment="1">
      <alignment horizontal="center" vertical="center"/>
    </xf>
    <xf numFmtId="3" fontId="13" fillId="0" borderId="2"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3" fontId="13" fillId="0" borderId="10" xfId="0" applyNumberFormat="1" applyFont="1" applyFill="1" applyBorder="1" applyAlignment="1">
      <alignment horizontal="center" vertical="center"/>
    </xf>
    <xf numFmtId="3" fontId="13" fillId="0" borderId="2" xfId="0" applyNumberFormat="1" applyFont="1" applyFill="1" applyBorder="1" applyAlignment="1">
      <alignment horizontal="center" vertical="center"/>
    </xf>
    <xf numFmtId="37" fontId="13" fillId="0" borderId="0" xfId="0" applyNumberFormat="1" applyFont="1" applyFill="1" applyBorder="1" applyAlignment="1">
      <alignment horizontal="centerContinuous" vertical="center"/>
    </xf>
    <xf numFmtId="37" fontId="31" fillId="0" borderId="20" xfId="0" applyNumberFormat="1" applyFont="1" applyFill="1" applyBorder="1" applyAlignment="1" applyProtection="1">
      <alignment horizontal="centerContinuous" vertical="center" wrapText="1"/>
    </xf>
    <xf numFmtId="37" fontId="25" fillId="0" borderId="20" xfId="0" applyNumberFormat="1" applyFont="1" applyFill="1" applyBorder="1" applyAlignment="1">
      <alignment horizontal="centerContinuous" vertical="center" wrapText="1"/>
    </xf>
    <xf numFmtId="37" fontId="31" fillId="0" borderId="18" xfId="0" applyNumberFormat="1" applyFont="1" applyFill="1" applyBorder="1" applyAlignment="1">
      <alignment horizontal="centerContinuous" vertical="center" wrapText="1"/>
    </xf>
    <xf numFmtId="37" fontId="31" fillId="0" borderId="9" xfId="0" applyNumberFormat="1" applyFont="1" applyFill="1" applyBorder="1" applyAlignment="1">
      <alignment horizontal="centerContinuous" vertical="center" wrapText="1"/>
    </xf>
    <xf numFmtId="169" fontId="66" fillId="13" borderId="0" xfId="6" applyNumberFormat="1" applyFont="1" applyFill="1" applyAlignment="1">
      <alignment horizontal="right" vertical="center"/>
    </xf>
    <xf numFmtId="169" fontId="20" fillId="13" borderId="0" xfId="6" applyNumberFormat="1" applyFont="1" applyFill="1" applyAlignment="1">
      <alignment horizontal="right" vertical="center"/>
    </xf>
    <xf numFmtId="169" fontId="66" fillId="9" borderId="0" xfId="6" applyNumberFormat="1" applyFont="1" applyFill="1" applyAlignment="1">
      <alignment horizontal="right" vertical="center"/>
    </xf>
    <xf numFmtId="169" fontId="20" fillId="9" borderId="0" xfId="6" applyNumberFormat="1" applyFont="1" applyFill="1" applyAlignment="1">
      <alignment horizontal="right" vertical="center"/>
    </xf>
    <xf numFmtId="37" fontId="66" fillId="9" borderId="0" xfId="0" applyNumberFormat="1" applyFont="1" applyFill="1" applyAlignment="1">
      <alignment vertical="center"/>
    </xf>
    <xf numFmtId="169" fontId="66" fillId="12" borderId="24" xfId="6" applyNumberFormat="1" applyFont="1" applyFill="1" applyBorder="1" applyAlignment="1">
      <alignment horizontal="right" vertical="center"/>
    </xf>
    <xf numFmtId="169" fontId="20" fillId="12" borderId="23" xfId="6" applyNumberFormat="1" applyFont="1" applyFill="1" applyBorder="1" applyAlignment="1">
      <alignment horizontal="right" vertical="center"/>
    </xf>
    <xf numFmtId="169" fontId="66" fillId="12" borderId="23" xfId="6" applyNumberFormat="1" applyFont="1" applyFill="1" applyBorder="1" applyAlignment="1">
      <alignment horizontal="right" vertical="center"/>
    </xf>
    <xf numFmtId="169" fontId="66" fillId="11" borderId="24" xfId="6" applyNumberFormat="1" applyFont="1" applyFill="1" applyBorder="1" applyAlignment="1">
      <alignment horizontal="right" vertical="center"/>
    </xf>
    <xf numFmtId="169" fontId="20" fillId="11" borderId="23" xfId="6" applyNumberFormat="1" applyFont="1" applyFill="1" applyBorder="1" applyAlignment="1">
      <alignment horizontal="right" vertical="center"/>
    </xf>
    <xf numFmtId="169" fontId="66" fillId="11" borderId="23" xfId="6" applyNumberFormat="1" applyFont="1" applyFill="1" applyBorder="1" applyAlignment="1">
      <alignment horizontal="right" vertical="center"/>
    </xf>
    <xf numFmtId="37" fontId="66" fillId="11" borderId="23" xfId="0" applyNumberFormat="1" applyFont="1" applyFill="1" applyBorder="1" applyAlignment="1">
      <alignment vertical="center"/>
    </xf>
    <xf numFmtId="169" fontId="66" fillId="10" borderId="0" xfId="6" applyNumberFormat="1" applyFont="1" applyFill="1" applyAlignment="1">
      <alignment horizontal="right" vertical="center"/>
    </xf>
    <xf numFmtId="169" fontId="20" fillId="10" borderId="0" xfId="6" applyNumberFormat="1" applyFont="1" applyFill="1" applyAlignment="1">
      <alignment horizontal="right" vertical="center"/>
    </xf>
    <xf numFmtId="37" fontId="66" fillId="10" borderId="0" xfId="0" applyNumberFormat="1" applyFont="1" applyFill="1" applyBorder="1" applyAlignment="1">
      <alignment vertical="center"/>
    </xf>
    <xf numFmtId="37" fontId="66" fillId="12" borderId="23" xfId="0" applyNumberFormat="1" applyFont="1" applyFill="1" applyBorder="1" applyAlignment="1">
      <alignment vertical="center"/>
    </xf>
    <xf numFmtId="37" fontId="66" fillId="13" borderId="0" xfId="0" applyNumberFormat="1" applyFont="1" applyFill="1" applyBorder="1" applyAlignment="1">
      <alignment vertical="center"/>
    </xf>
    <xf numFmtId="3" fontId="13" fillId="0" borderId="0" xfId="0" applyNumberFormat="1" applyFont="1" applyFill="1" applyBorder="1" applyAlignment="1"/>
    <xf numFmtId="3" fontId="13" fillId="0" borderId="23" xfId="0" applyNumberFormat="1" applyFont="1" applyFill="1" applyBorder="1" applyAlignment="1"/>
    <xf numFmtId="3" fontId="13" fillId="0" borderId="14" xfId="0" applyNumberFormat="1" applyFont="1" applyFill="1" applyBorder="1" applyAlignment="1"/>
    <xf numFmtId="3" fontId="13" fillId="0" borderId="0" xfId="6" applyNumberFormat="1" applyFont="1" applyFill="1" applyBorder="1" applyAlignment="1">
      <alignment horizontal="right"/>
    </xf>
    <xf numFmtId="3" fontId="13" fillId="0" borderId="0" xfId="0" applyNumberFormat="1" applyFont="1" applyFill="1" applyAlignment="1"/>
    <xf numFmtId="3" fontId="13" fillId="0" borderId="0" xfId="6" applyNumberFormat="1" applyFont="1" applyFill="1" applyBorder="1" applyAlignment="1"/>
    <xf numFmtId="3" fontId="13" fillId="0" borderId="0" xfId="0" applyNumberFormat="1" applyFont="1" applyAlignment="1"/>
    <xf numFmtId="3" fontId="13" fillId="0" borderId="0" xfId="0" applyNumberFormat="1" applyFont="1" applyBorder="1" applyAlignment="1"/>
    <xf numFmtId="3" fontId="22" fillId="0" borderId="0" xfId="0" applyNumberFormat="1" applyFont="1" applyAlignment="1"/>
    <xf numFmtId="3" fontId="22" fillId="14" borderId="32" xfId="4" applyNumberFormat="1" applyFont="1" applyFill="1" applyBorder="1" applyAlignment="1" applyProtection="1">
      <alignment horizontal="center" wrapText="1"/>
      <protection locked="0"/>
    </xf>
    <xf numFmtId="3" fontId="22" fillId="0" borderId="23" xfId="4" applyNumberFormat="1" applyFont="1" applyFill="1" applyBorder="1" applyAlignment="1" applyProtection="1">
      <alignment horizontal="center" wrapText="1"/>
      <protection locked="0"/>
    </xf>
    <xf numFmtId="3" fontId="22" fillId="0" borderId="2" xfId="4" applyNumberFormat="1" applyFont="1" applyFill="1" applyBorder="1" applyAlignment="1" applyProtection="1">
      <alignment horizontal="centerContinuous" wrapText="1"/>
      <protection locked="0"/>
    </xf>
    <xf numFmtId="167" fontId="13" fillId="0" borderId="24" xfId="4" applyNumberFormat="1" applyFont="1" applyFill="1" applyBorder="1" applyAlignment="1" applyProtection="1">
      <alignment horizontal="center" wrapText="1"/>
    </xf>
    <xf numFmtId="167" fontId="22" fillId="0" borderId="10" xfId="4" applyNumberFormat="1" applyFont="1" applyFill="1" applyBorder="1" applyAlignment="1" applyProtection="1">
      <alignment horizontal="centerContinuous" wrapText="1"/>
    </xf>
    <xf numFmtId="37" fontId="22" fillId="0" borderId="8" xfId="4" applyNumberFormat="1" applyFont="1" applyFill="1" applyBorder="1" applyAlignment="1"/>
    <xf numFmtId="37" fontId="40" fillId="0" borderId="9" xfId="4" applyNumberFormat="1" applyFont="1" applyFill="1" applyBorder="1" applyAlignment="1" applyProtection="1">
      <alignment horizontal="center" wrapText="1"/>
    </xf>
    <xf numFmtId="37" fontId="40" fillId="0" borderId="86" xfId="4" applyNumberFormat="1" applyFont="1" applyFill="1" applyBorder="1" applyAlignment="1" applyProtection="1">
      <alignment horizontal="center" wrapText="1"/>
    </xf>
    <xf numFmtId="37" fontId="13" fillId="0" borderId="25" xfId="4" applyFont="1" applyFill="1" applyBorder="1" applyAlignment="1">
      <alignment horizontal="center" wrapText="1"/>
    </xf>
    <xf numFmtId="37" fontId="40" fillId="6" borderId="25" xfId="4" applyFont="1" applyFill="1" applyBorder="1" applyAlignment="1">
      <alignment horizontal="centerContinuous" wrapText="1"/>
    </xf>
    <xf numFmtId="37" fontId="13" fillId="0" borderId="0" xfId="2" applyFont="1" applyFill="1" applyBorder="1" applyProtection="1">
      <protection locked="0"/>
    </xf>
    <xf numFmtId="167" fontId="40" fillId="4" borderId="39" xfId="4" applyNumberFormat="1" applyFont="1" applyFill="1" applyBorder="1" applyAlignment="1">
      <alignment horizontal="centerContinuous"/>
    </xf>
    <xf numFmtId="167" fontId="40" fillId="0" borderId="14" xfId="4" applyNumberFormat="1" applyFont="1" applyFill="1" applyBorder="1" applyAlignment="1">
      <alignment horizontal="centerContinuous"/>
    </xf>
    <xf numFmtId="37" fontId="40" fillId="0" borderId="14" xfId="4" applyFont="1" applyFill="1" applyBorder="1" applyAlignment="1">
      <alignment horizontal="center" wrapText="1"/>
    </xf>
    <xf numFmtId="37" fontId="13" fillId="7" borderId="2" xfId="4" applyFont="1" applyFill="1" applyBorder="1" applyAlignment="1">
      <alignment horizontal="center" wrapText="1"/>
    </xf>
    <xf numFmtId="0" fontId="13" fillId="7" borderId="2" xfId="8" applyNumberFormat="1" applyFont="1" applyFill="1" applyBorder="1" applyAlignment="1" applyProtection="1">
      <alignment horizontal="center" wrapText="1"/>
    </xf>
    <xf numFmtId="49" fontId="13" fillId="7" borderId="2" xfId="8" applyNumberFormat="1" applyFont="1" applyFill="1" applyBorder="1" applyAlignment="1" applyProtection="1">
      <alignment horizontal="center" wrapText="1"/>
    </xf>
    <xf numFmtId="167" fontId="13" fillId="7" borderId="2" xfId="4" applyNumberFormat="1" applyFont="1" applyFill="1" applyBorder="1" applyAlignment="1" applyProtection="1">
      <alignment horizontal="center" wrapText="1"/>
    </xf>
    <xf numFmtId="167" fontId="13" fillId="7" borderId="2" xfId="4" applyNumberFormat="1" applyFont="1" applyFill="1" applyBorder="1" applyAlignment="1">
      <alignment horizontal="center" wrapText="1"/>
    </xf>
    <xf numFmtId="37" fontId="13" fillId="7" borderId="2" xfId="4" applyNumberFormat="1" applyFont="1" applyFill="1" applyBorder="1" applyAlignment="1">
      <alignment horizontal="center" wrapText="1"/>
    </xf>
    <xf numFmtId="167" fontId="13" fillId="7" borderId="89" xfId="4" applyNumberFormat="1" applyFont="1" applyFill="1" applyBorder="1" applyAlignment="1" applyProtection="1">
      <alignment horizontal="center" wrapText="1"/>
    </xf>
    <xf numFmtId="167" fontId="13" fillId="7" borderId="10" xfId="4" applyNumberFormat="1" applyFont="1" applyFill="1" applyBorder="1" applyAlignment="1" applyProtection="1">
      <alignment horizontal="center" wrapText="1"/>
    </xf>
    <xf numFmtId="37" fontId="13" fillId="7" borderId="22" xfId="4" applyNumberFormat="1" applyFont="1" applyFill="1" applyBorder="1" applyAlignment="1">
      <alignment horizontal="center" wrapText="1"/>
    </xf>
    <xf numFmtId="167" fontId="13" fillId="16" borderId="32" xfId="4" applyNumberFormat="1" applyFont="1" applyFill="1" applyBorder="1" applyAlignment="1" applyProtection="1">
      <alignment horizontal="center" wrapText="1"/>
    </xf>
    <xf numFmtId="0" fontId="66" fillId="0" borderId="0" xfId="0" applyFont="1" applyAlignment="1">
      <alignment horizontal="right" wrapText="1"/>
    </xf>
    <xf numFmtId="3" fontId="20" fillId="17" borderId="0" xfId="0" applyNumberFormat="1" applyFont="1" applyFill="1" applyBorder="1" applyAlignment="1">
      <alignment vertical="center"/>
    </xf>
    <xf numFmtId="166" fontId="74" fillId="0" borderId="0" xfId="1" applyNumberFormat="1" applyFont="1" applyFill="1" applyBorder="1" applyAlignment="1">
      <alignment horizontal="right" vertical="center"/>
    </xf>
    <xf numFmtId="166" fontId="74" fillId="0" borderId="0" xfId="1" applyNumberFormat="1" applyFont="1" applyFill="1" applyBorder="1" applyAlignment="1">
      <alignment vertical="center"/>
    </xf>
    <xf numFmtId="166" fontId="74" fillId="0" borderId="23" xfId="1" applyNumberFormat="1" applyFont="1" applyFill="1" applyBorder="1" applyAlignment="1">
      <alignment vertical="center"/>
    </xf>
    <xf numFmtId="166" fontId="74" fillId="0" borderId="14" xfId="1" applyNumberFormat="1" applyFont="1" applyFill="1" applyBorder="1" applyAlignment="1">
      <alignment vertical="center"/>
    </xf>
    <xf numFmtId="3" fontId="20" fillId="17" borderId="20" xfId="0" applyNumberFormat="1" applyFont="1" applyFill="1" applyBorder="1" applyAlignment="1">
      <alignment vertical="center"/>
    </xf>
    <xf numFmtId="3" fontId="20" fillId="17" borderId="14" xfId="0" applyNumberFormat="1" applyFont="1" applyFill="1" applyBorder="1" applyAlignment="1">
      <alignment vertical="center"/>
    </xf>
    <xf numFmtId="3" fontId="20" fillId="17" borderId="23" xfId="0" applyNumberFormat="1" applyFont="1" applyFill="1" applyBorder="1" applyAlignment="1">
      <alignment vertical="center"/>
    </xf>
    <xf numFmtId="3" fontId="20" fillId="17" borderId="39" xfId="0" applyNumberFormat="1" applyFont="1" applyFill="1" applyBorder="1" applyAlignment="1">
      <alignment vertical="center"/>
    </xf>
    <xf numFmtId="3" fontId="50" fillId="17" borderId="23" xfId="0" applyNumberFormat="1" applyFont="1" applyFill="1" applyBorder="1" applyAlignment="1">
      <alignment vertical="center"/>
    </xf>
    <xf numFmtId="37" fontId="22" fillId="0" borderId="13" xfId="0" applyNumberFormat="1" applyFont="1" applyFill="1" applyBorder="1" applyAlignment="1"/>
    <xf numFmtId="37" fontId="22" fillId="0" borderId="28" xfId="0" applyNumberFormat="1" applyFont="1" applyFill="1" applyBorder="1" applyAlignment="1"/>
    <xf numFmtId="37" fontId="22" fillId="0" borderId="82" xfId="0" applyNumberFormat="1" applyFont="1" applyFill="1" applyBorder="1" applyAlignment="1"/>
    <xf numFmtId="37" fontId="22" fillId="0" borderId="91" xfId="0" applyNumberFormat="1" applyFont="1" applyFill="1" applyBorder="1" applyAlignment="1">
      <alignment horizontal="right"/>
    </xf>
    <xf numFmtId="37" fontId="22" fillId="0" borderId="30" xfId="0" applyNumberFormat="1" applyFont="1" applyFill="1" applyBorder="1" applyAlignment="1"/>
    <xf numFmtId="9" fontId="13" fillId="0" borderId="0" xfId="6" applyFont="1" applyFill="1" applyBorder="1" applyAlignment="1"/>
    <xf numFmtId="37" fontId="13" fillId="0" borderId="21" xfId="0" applyNumberFormat="1" applyFont="1" applyFill="1" applyBorder="1" applyAlignment="1"/>
    <xf numFmtId="37" fontId="19" fillId="0" borderId="0" xfId="0" applyNumberFormat="1" applyFont="1" applyFill="1" applyBorder="1" applyAlignment="1">
      <alignment vertical="center" wrapText="1"/>
    </xf>
    <xf numFmtId="37" fontId="16" fillId="0" borderId="0" xfId="0" applyNumberFormat="1" applyFont="1" applyFill="1" applyBorder="1" applyAlignment="1">
      <alignment vertical="center" wrapText="1"/>
    </xf>
    <xf numFmtId="3" fontId="13" fillId="0" borderId="0" xfId="0" applyNumberFormat="1" applyFont="1" applyFill="1" applyBorder="1" applyAlignment="1">
      <alignment horizontal="right"/>
    </xf>
    <xf numFmtId="37" fontId="13" fillId="0" borderId="0" xfId="0" applyNumberFormat="1" applyFont="1" applyFill="1" applyAlignment="1">
      <alignment horizontal="right"/>
    </xf>
    <xf numFmtId="3" fontId="13" fillId="9" borderId="2" xfId="0" applyNumberFormat="1" applyFont="1" applyFill="1" applyBorder="1" applyAlignment="1">
      <alignment horizontal="right" wrapText="1"/>
    </xf>
    <xf numFmtId="3" fontId="13" fillId="9" borderId="0" xfId="0" applyNumberFormat="1" applyFont="1" applyFill="1" applyBorder="1" applyAlignment="1">
      <alignment horizontal="right"/>
    </xf>
    <xf numFmtId="37" fontId="13" fillId="0" borderId="2" xfId="0" applyNumberFormat="1" applyFont="1" applyFill="1" applyBorder="1" applyAlignment="1" applyProtection="1">
      <alignment horizontal="center" wrapText="1"/>
    </xf>
    <xf numFmtId="37" fontId="13" fillId="0" borderId="0" xfId="0" applyNumberFormat="1" applyFont="1" applyFill="1" applyBorder="1" applyAlignment="1">
      <alignment horizontal="centerContinuous"/>
    </xf>
    <xf numFmtId="164" fontId="13" fillId="5" borderId="0" xfId="0" applyNumberFormat="1" applyFont="1" applyFill="1" applyBorder="1" applyAlignment="1">
      <alignment horizontal="center"/>
    </xf>
    <xf numFmtId="164" fontId="13" fillId="0" borderId="0" xfId="0" quotePrefix="1" applyNumberFormat="1" applyFont="1" applyFill="1" applyBorder="1" applyAlignment="1">
      <alignment horizontal="right" vertical="center"/>
    </xf>
    <xf numFmtId="3" fontId="13" fillId="5" borderId="0" xfId="0" applyNumberFormat="1" applyFont="1" applyFill="1" applyBorder="1" applyAlignment="1">
      <alignment horizontal="center" vertical="center"/>
    </xf>
    <xf numFmtId="37" fontId="13" fillId="5" borderId="0" xfId="0" applyNumberFormat="1" applyFont="1" applyFill="1" applyAlignment="1">
      <alignment vertical="center"/>
    </xf>
    <xf numFmtId="3" fontId="13" fillId="5" borderId="0" xfId="0" applyNumberFormat="1" applyFont="1" applyFill="1" applyBorder="1" applyAlignment="1">
      <alignment horizontal="right" vertical="center"/>
    </xf>
    <xf numFmtId="37" fontId="13" fillId="0" borderId="0" xfId="0" applyNumberFormat="1" applyFont="1" applyFill="1" applyBorder="1" applyAlignment="1">
      <alignment vertical="center" wrapText="1"/>
    </xf>
    <xf numFmtId="37" fontId="13" fillId="5" borderId="0" xfId="0" applyNumberFormat="1" applyFont="1" applyFill="1" applyBorder="1" applyAlignment="1">
      <alignment vertical="center"/>
    </xf>
    <xf numFmtId="37" fontId="13" fillId="0" borderId="0" xfId="0" applyNumberFormat="1" applyFont="1" applyFill="1" applyAlignment="1">
      <alignment vertical="center" wrapText="1"/>
    </xf>
    <xf numFmtId="37" fontId="13" fillId="9" borderId="0" xfId="0" applyNumberFormat="1" applyFont="1" applyFill="1" applyAlignment="1">
      <alignment horizontal="right" vertical="center"/>
    </xf>
    <xf numFmtId="3" fontId="13" fillId="9" borderId="0" xfId="0" applyNumberFormat="1" applyFont="1" applyFill="1" applyBorder="1" applyAlignment="1">
      <alignment horizontal="right" wrapText="1"/>
    </xf>
    <xf numFmtId="37" fontId="13" fillId="0" borderId="20" xfId="0" applyNumberFormat="1" applyFont="1" applyFill="1" applyBorder="1" applyAlignment="1">
      <alignment horizontal="centerContinuous" vertical="center" wrapText="1"/>
    </xf>
    <xf numFmtId="3" fontId="22" fillId="9" borderId="0" xfId="0" applyNumberFormat="1" applyFont="1" applyFill="1" applyBorder="1" applyAlignment="1">
      <alignment horizontal="right"/>
    </xf>
    <xf numFmtId="3" fontId="13" fillId="9" borderId="0" xfId="0" applyNumberFormat="1" applyFont="1" applyFill="1" applyBorder="1" applyAlignment="1">
      <alignment horizontal="left"/>
    </xf>
    <xf numFmtId="37" fontId="13" fillId="0" borderId="2" xfId="0" applyNumberFormat="1" applyFont="1" applyFill="1" applyBorder="1" applyAlignment="1" applyProtection="1">
      <alignment horizontal="center"/>
    </xf>
    <xf numFmtId="37" fontId="32" fillId="9" borderId="0" xfId="0" applyNumberFormat="1" applyFont="1" applyFill="1" applyAlignment="1">
      <alignment horizontal="right" vertical="center"/>
    </xf>
    <xf numFmtId="37" fontId="13" fillId="9" borderId="0" xfId="0" applyNumberFormat="1" applyFont="1" applyFill="1" applyAlignment="1">
      <alignment horizontal="right"/>
    </xf>
    <xf numFmtId="37" fontId="13" fillId="0" borderId="0" xfId="0" applyNumberFormat="1" applyFont="1" applyFill="1" applyAlignment="1">
      <alignment horizontal="center" vertical="center"/>
    </xf>
    <xf numFmtId="3" fontId="13" fillId="9" borderId="0" xfId="0" applyNumberFormat="1" applyFont="1" applyFill="1" applyBorder="1" applyAlignment="1">
      <alignment horizontal="right" vertical="top"/>
    </xf>
    <xf numFmtId="164" fontId="13" fillId="5" borderId="0" xfId="0" applyNumberFormat="1" applyFont="1" applyFill="1" applyBorder="1" applyAlignment="1">
      <alignment horizontal="center" wrapText="1"/>
    </xf>
    <xf numFmtId="37" fontId="13" fillId="0" borderId="0" xfId="0" applyNumberFormat="1" applyFont="1" applyFill="1" applyAlignment="1">
      <alignment wrapText="1"/>
    </xf>
    <xf numFmtId="3" fontId="22" fillId="9" borderId="0" xfId="0" applyNumberFormat="1" applyFont="1" applyFill="1" applyBorder="1" applyAlignment="1">
      <alignment horizontal="right" vertical="top"/>
    </xf>
    <xf numFmtId="170" fontId="13" fillId="0" borderId="0" xfId="0" applyNumberFormat="1" applyFont="1" applyFill="1" applyBorder="1" applyAlignment="1">
      <alignment horizontal="right" vertical="center"/>
    </xf>
    <xf numFmtId="3" fontId="32" fillId="9" borderId="0" xfId="0" applyNumberFormat="1" applyFont="1" applyFill="1" applyBorder="1" applyAlignment="1">
      <alignment horizontal="right"/>
    </xf>
    <xf numFmtId="164" fontId="13" fillId="0" borderId="24" xfId="0" applyNumberFormat="1" applyFont="1" applyFill="1" applyBorder="1" applyAlignment="1">
      <alignment horizontal="center" vertical="center"/>
    </xf>
    <xf numFmtId="37" fontId="15" fillId="9" borderId="0" xfId="0" applyNumberFormat="1" applyFont="1" applyFill="1" applyAlignment="1">
      <alignment vertical="center"/>
    </xf>
    <xf numFmtId="37" fontId="13" fillId="18" borderId="0" xfId="3" applyFont="1" applyFill="1" applyBorder="1" applyAlignment="1" applyProtection="1">
      <alignment horizontal="center"/>
      <protection locked="0"/>
    </xf>
    <xf numFmtId="49" fontId="42" fillId="0" borderId="2" xfId="14" applyNumberFormat="1" applyFont="1" applyFill="1" applyBorder="1" applyAlignment="1" applyProtection="1">
      <alignment horizontal="center"/>
    </xf>
    <xf numFmtId="166" fontId="22" fillId="0" borderId="20" xfId="7" applyNumberFormat="1" applyFont="1" applyFill="1" applyBorder="1" applyAlignment="1" applyProtection="1">
      <alignment horizontal="left"/>
      <protection locked="0"/>
    </xf>
    <xf numFmtId="37" fontId="21" fillId="0" borderId="20" xfId="4" applyFont="1" applyFill="1" applyBorder="1" applyAlignment="1" applyProtection="1">
      <alignment horizontal="left"/>
    </xf>
    <xf numFmtId="1" fontId="34" fillId="0" borderId="20" xfId="2" applyNumberFormat="1" applyFont="1" applyFill="1" applyBorder="1" applyAlignment="1">
      <alignment horizontal="left"/>
    </xf>
    <xf numFmtId="49" fontId="42" fillId="0" borderId="20" xfId="14" applyNumberFormat="1" applyFont="1" applyFill="1" applyBorder="1" applyAlignment="1" applyProtection="1">
      <alignment horizontal="center"/>
    </xf>
    <xf numFmtId="37" fontId="21" fillId="0" borderId="39" xfId="4" applyNumberFormat="1" applyFont="1" applyFill="1" applyBorder="1" applyAlignment="1" applyProtection="1">
      <alignment horizontal="center"/>
    </xf>
    <xf numFmtId="37" fontId="22" fillId="0" borderId="18" xfId="4" applyFont="1" applyFill="1" applyBorder="1" applyAlignment="1" applyProtection="1">
      <alignment horizontal="left"/>
    </xf>
    <xf numFmtId="37" fontId="43" fillId="0" borderId="9" xfId="4" applyNumberFormat="1" applyFont="1" applyFill="1" applyBorder="1" applyAlignment="1" applyProtection="1">
      <alignment horizontal="left"/>
    </xf>
    <xf numFmtId="37" fontId="21" fillId="0" borderId="0" xfId="4" applyNumberFormat="1" applyFont="1" applyFill="1" applyBorder="1" applyAlignment="1" applyProtection="1">
      <alignment horizontal="center"/>
    </xf>
    <xf numFmtId="37" fontId="21" fillId="0" borderId="0" xfId="4" applyFont="1" applyFill="1" applyBorder="1" applyAlignment="1"/>
    <xf numFmtId="37" fontId="21" fillId="0" borderId="0" xfId="4" applyFont="1" applyFill="1" applyBorder="1" applyAlignment="1">
      <alignment horizontal="left"/>
    </xf>
    <xf numFmtId="0" fontId="42" fillId="0" borderId="0" xfId="14" applyNumberFormat="1" applyFont="1" applyFill="1" applyBorder="1" applyAlignment="1" applyProtection="1">
      <alignment horizontal="center"/>
    </xf>
    <xf numFmtId="49" fontId="42" fillId="0" borderId="0" xfId="14" applyNumberFormat="1" applyFont="1" applyFill="1" applyBorder="1" applyAlignment="1" applyProtection="1">
      <alignment horizontal="center"/>
    </xf>
    <xf numFmtId="37" fontId="40" fillId="0" borderId="0" xfId="4" applyNumberFormat="1" applyFont="1" applyFill="1" applyBorder="1" applyAlignment="1" applyProtection="1">
      <alignment horizontal="center" wrapText="1"/>
    </xf>
    <xf numFmtId="3" fontId="22" fillId="0" borderId="18" xfId="4" applyNumberFormat="1" applyFont="1" applyFill="1" applyBorder="1" applyAlignment="1" applyProtection="1">
      <alignment horizontal="centerContinuous" wrapText="1"/>
      <protection locked="0"/>
    </xf>
    <xf numFmtId="37" fontId="40" fillId="0" borderId="20" xfId="4" applyNumberFormat="1" applyFont="1" applyFill="1" applyBorder="1" applyAlignment="1" applyProtection="1">
      <alignment horizontal="center" wrapText="1"/>
    </xf>
    <xf numFmtId="0" fontId="13" fillId="0" borderId="0" xfId="14" applyNumberFormat="1" applyFont="1" applyFill="1" applyBorder="1" applyAlignment="1" applyProtection="1">
      <alignment horizontal="left" wrapText="1"/>
    </xf>
    <xf numFmtId="49" fontId="13" fillId="0" borderId="0" xfId="14" applyNumberFormat="1" applyFont="1" applyFill="1" applyBorder="1" applyAlignment="1" applyProtection="1">
      <alignment horizontal="center" wrapText="1"/>
    </xf>
    <xf numFmtId="37" fontId="13" fillId="0" borderId="0" xfId="4" applyNumberFormat="1" applyFont="1" applyFill="1" applyBorder="1" applyAlignment="1" applyProtection="1">
      <alignment horizontal="center" wrapText="1"/>
    </xf>
    <xf numFmtId="37" fontId="40" fillId="0" borderId="2" xfId="4" applyNumberFormat="1" applyFont="1" applyFill="1" applyBorder="1" applyAlignment="1" applyProtection="1">
      <alignment horizontal="centerContinuous" wrapText="1"/>
    </xf>
    <xf numFmtId="0" fontId="13" fillId="19" borderId="2" xfId="14" applyNumberFormat="1" applyFont="1" applyFill="1" applyBorder="1" applyAlignment="1" applyProtection="1">
      <alignment horizontal="left" wrapText="1"/>
    </xf>
    <xf numFmtId="1" fontId="13" fillId="7" borderId="2" xfId="4" applyNumberFormat="1" applyFont="1" applyFill="1" applyBorder="1" applyAlignment="1" applyProtection="1">
      <alignment horizontal="center" wrapText="1"/>
    </xf>
    <xf numFmtId="37" fontId="13" fillId="0" borderId="95" xfId="0" applyNumberFormat="1" applyFont="1" applyFill="1" applyBorder="1" applyAlignment="1">
      <alignment vertical="center"/>
    </xf>
    <xf numFmtId="37" fontId="13" fillId="0" borderId="38" xfId="0" applyNumberFormat="1" applyFont="1" applyFill="1" applyBorder="1" applyAlignment="1"/>
    <xf numFmtId="37" fontId="13" fillId="0" borderId="21" xfId="0" applyNumberFormat="1" applyFont="1" applyFill="1" applyBorder="1" applyAlignment="1">
      <alignment vertical="top"/>
    </xf>
    <xf numFmtId="37" fontId="13" fillId="0" borderId="38" xfId="0" applyNumberFormat="1" applyFont="1" applyFill="1" applyBorder="1" applyAlignment="1">
      <alignment vertical="top"/>
    </xf>
    <xf numFmtId="37" fontId="13" fillId="0" borderId="93" xfId="0" applyNumberFormat="1" applyFont="1" applyFill="1" applyBorder="1" applyAlignment="1">
      <alignment vertical="center"/>
    </xf>
    <xf numFmtId="37" fontId="13" fillId="0" borderId="93" xfId="0" applyNumberFormat="1" applyFont="1" applyFill="1" applyBorder="1" applyAlignment="1"/>
    <xf numFmtId="37" fontId="13" fillId="0" borderId="0" xfId="0" applyNumberFormat="1" applyFont="1" applyFill="1" applyBorder="1" applyAlignment="1">
      <alignment vertical="top"/>
    </xf>
    <xf numFmtId="9" fontId="13" fillId="0" borderId="0" xfId="6" applyFont="1" applyFill="1" applyAlignment="1"/>
    <xf numFmtId="37" fontId="13" fillId="0" borderId="69" xfId="0" applyNumberFormat="1" applyFont="1" applyFill="1" applyBorder="1" applyAlignment="1"/>
    <xf numFmtId="37" fontId="77" fillId="0" borderId="0" xfId="0" applyNumberFormat="1" applyFont="1" applyFill="1" applyAlignment="1"/>
    <xf numFmtId="9" fontId="67" fillId="0" borderId="6" xfId="6" applyFont="1" applyFill="1" applyBorder="1" applyAlignment="1"/>
    <xf numFmtId="9" fontId="67" fillId="0" borderId="2" xfId="6" applyFont="1" applyFill="1" applyBorder="1" applyAlignment="1"/>
    <xf numFmtId="9" fontId="67" fillId="0" borderId="96" xfId="6" applyFont="1" applyFill="1" applyBorder="1" applyAlignment="1"/>
    <xf numFmtId="37" fontId="75" fillId="0" borderId="2" xfId="0" applyNumberFormat="1" applyFont="1" applyFill="1" applyBorder="1" applyAlignment="1">
      <alignment horizontal="right"/>
    </xf>
    <xf numFmtId="37" fontId="75" fillId="0" borderId="0" xfId="0" applyNumberFormat="1" applyFont="1" applyFill="1" applyBorder="1" applyAlignment="1">
      <alignment horizontal="right"/>
    </xf>
    <xf numFmtId="0" fontId="76" fillId="19" borderId="2" xfId="14" applyNumberFormat="1" applyFont="1" applyFill="1" applyBorder="1" applyAlignment="1" applyProtection="1">
      <alignment horizontal="center"/>
      <protection locked="0"/>
    </xf>
    <xf numFmtId="0" fontId="76" fillId="19" borderId="2" xfId="19" applyNumberFormat="1" applyFont="1" applyFill="1" applyBorder="1" applyAlignment="1" applyProtection="1">
      <alignment horizontal="left" wrapText="1"/>
      <protection locked="0"/>
    </xf>
    <xf numFmtId="0" fontId="76" fillId="19" borderId="2" xfId="19" applyNumberFormat="1" applyFont="1" applyFill="1" applyBorder="1" applyAlignment="1" applyProtection="1">
      <alignment horizontal="center"/>
      <protection locked="0"/>
    </xf>
    <xf numFmtId="1" fontId="76" fillId="19" borderId="2" xfId="19" applyNumberFormat="1" applyFont="1" applyFill="1" applyBorder="1" applyAlignment="1" applyProtection="1">
      <alignment horizontal="center"/>
      <protection locked="0"/>
    </xf>
    <xf numFmtId="3" fontId="22" fillId="16" borderId="6" xfId="4" applyNumberFormat="1" applyFont="1" applyFill="1" applyBorder="1" applyAlignment="1" applyProtection="1">
      <alignment horizontal="center" wrapText="1"/>
      <protection locked="0"/>
    </xf>
    <xf numFmtId="3" fontId="22" fillId="0" borderId="2" xfId="4" applyNumberFormat="1" applyFont="1" applyFill="1" applyBorder="1" applyAlignment="1" applyProtection="1">
      <alignment horizontal="center" wrapText="1"/>
      <protection locked="0"/>
    </xf>
    <xf numFmtId="3" fontId="22" fillId="16" borderId="8" xfId="4" applyNumberFormat="1" applyFont="1" applyFill="1" applyBorder="1" applyAlignment="1" applyProtection="1">
      <alignment horizontal="center" wrapText="1"/>
      <protection locked="0"/>
    </xf>
    <xf numFmtId="3" fontId="22" fillId="16" borderId="99" xfId="4" applyNumberFormat="1" applyFont="1" applyFill="1" applyBorder="1" applyAlignment="1" applyProtection="1">
      <alignment horizontal="center" wrapText="1"/>
      <protection locked="0"/>
    </xf>
    <xf numFmtId="3" fontId="67" fillId="15" borderId="10" xfId="4" applyNumberFormat="1" applyFont="1" applyFill="1" applyBorder="1" applyAlignment="1" applyProtection="1">
      <alignment horizontal="center" wrapText="1"/>
    </xf>
    <xf numFmtId="3" fontId="22" fillId="0" borderId="22" xfId="4" applyNumberFormat="1" applyFont="1" applyFill="1" applyBorder="1" applyAlignment="1" applyProtection="1">
      <alignment horizontal="center" wrapText="1"/>
      <protection locked="0"/>
    </xf>
    <xf numFmtId="3" fontId="67" fillId="9" borderId="10" xfId="4" applyNumberFormat="1" applyFont="1" applyFill="1" applyBorder="1" applyAlignment="1" applyProtection="1">
      <alignment horizontal="center" wrapText="1"/>
    </xf>
    <xf numFmtId="3" fontId="67" fillId="9" borderId="100" xfId="4" applyNumberFormat="1" applyFont="1" applyFill="1" applyBorder="1" applyAlignment="1" applyProtection="1">
      <alignment horizontal="center" wrapText="1"/>
    </xf>
    <xf numFmtId="3" fontId="22" fillId="16" borderId="101" xfId="4" applyNumberFormat="1" applyFont="1" applyFill="1" applyBorder="1" applyAlignment="1" applyProtection="1">
      <alignment horizontal="center" wrapText="1"/>
      <protection locked="0"/>
    </xf>
    <xf numFmtId="3" fontId="22" fillId="16" borderId="10" xfId="4" applyNumberFormat="1" applyFont="1" applyFill="1" applyBorder="1" applyAlignment="1" applyProtection="1">
      <alignment horizontal="center" wrapText="1"/>
      <protection locked="0"/>
    </xf>
    <xf numFmtId="3" fontId="67" fillId="15" borderId="6" xfId="4" applyNumberFormat="1" applyFont="1" applyFill="1" applyBorder="1" applyAlignment="1" applyProtection="1">
      <alignment horizontal="center" wrapText="1"/>
    </xf>
    <xf numFmtId="3" fontId="67" fillId="15" borderId="89" xfId="4" applyNumberFormat="1" applyFont="1" applyFill="1" applyBorder="1" applyAlignment="1" applyProtection="1">
      <alignment horizontal="center" wrapText="1"/>
    </xf>
    <xf numFmtId="3" fontId="67" fillId="9" borderId="6" xfId="4" applyNumberFormat="1" applyFont="1" applyFill="1" applyBorder="1" applyAlignment="1" applyProtection="1">
      <alignment horizontal="center" wrapText="1"/>
    </xf>
    <xf numFmtId="167" fontId="13" fillId="7" borderId="10" xfId="4" applyNumberFormat="1" applyFont="1" applyFill="1" applyBorder="1" applyAlignment="1">
      <alignment horizontal="center" wrapText="1"/>
    </xf>
    <xf numFmtId="3" fontId="67" fillId="15" borderId="18" xfId="4" applyNumberFormat="1" applyFont="1" applyFill="1" applyBorder="1" applyAlignment="1" applyProtection="1">
      <alignment horizontal="center" wrapText="1"/>
    </xf>
    <xf numFmtId="37" fontId="13" fillId="7" borderId="10" xfId="4" applyNumberFormat="1" applyFont="1" applyFill="1" applyBorder="1" applyAlignment="1">
      <alignment horizontal="center" wrapText="1"/>
    </xf>
    <xf numFmtId="37" fontId="13" fillId="0" borderId="17" xfId="0" applyNumberFormat="1" applyFont="1" applyFill="1" applyBorder="1" applyAlignment="1"/>
    <xf numFmtId="37" fontId="13" fillId="0" borderId="7" xfId="0" applyNumberFormat="1" applyFont="1" applyFill="1" applyBorder="1" applyAlignment="1">
      <alignment horizontal="right"/>
    </xf>
    <xf numFmtId="37" fontId="13" fillId="0" borderId="6" xfId="0" applyNumberFormat="1" applyFont="1" applyFill="1" applyBorder="1" applyAlignment="1"/>
    <xf numFmtId="37" fontId="13" fillId="0" borderId="17" xfId="0" applyNumberFormat="1" applyFont="1" applyFill="1" applyBorder="1" applyAlignment="1">
      <alignment vertical="center"/>
    </xf>
    <xf numFmtId="0" fontId="76" fillId="19" borderId="84" xfId="14" applyNumberFormat="1" applyFont="1" applyFill="1" applyBorder="1" applyAlignment="1" applyProtection="1">
      <alignment horizontal="left"/>
      <protection locked="0"/>
    </xf>
    <xf numFmtId="37" fontId="13" fillId="0" borderId="2" xfId="4" applyFont="1" applyFill="1" applyBorder="1" applyAlignment="1" applyProtection="1">
      <alignment horizontal="left"/>
    </xf>
    <xf numFmtId="37" fontId="67" fillId="0" borderId="87" xfId="4" applyNumberFormat="1" applyFont="1" applyFill="1" applyBorder="1" applyAlignment="1" applyProtection="1">
      <alignment horizontal="centerContinuous" wrapText="1"/>
      <protection locked="0"/>
    </xf>
    <xf numFmtId="169" fontId="66" fillId="0" borderId="0" xfId="6" applyNumberFormat="1" applyFont="1" applyFill="1"/>
    <xf numFmtId="3" fontId="66" fillId="15" borderId="49" xfId="3" applyNumberFormat="1" applyFont="1" applyFill="1" applyBorder="1" applyAlignment="1" applyProtection="1">
      <alignment horizontal="right"/>
    </xf>
    <xf numFmtId="3" fontId="67" fillId="9" borderId="81" xfId="3" applyNumberFormat="1" applyFont="1" applyFill="1" applyBorder="1" applyAlignment="1" applyProtection="1">
      <alignment horizontal="right"/>
    </xf>
    <xf numFmtId="3" fontId="67" fillId="9" borderId="88" xfId="3" applyNumberFormat="1" applyFont="1" applyFill="1" applyBorder="1" applyAlignment="1" applyProtection="1">
      <alignment horizontal="right"/>
    </xf>
    <xf numFmtId="3" fontId="66" fillId="15" borderId="17" xfId="3" applyNumberFormat="1" applyFont="1" applyFill="1" applyBorder="1" applyAlignment="1" applyProtection="1">
      <alignment horizontal="right"/>
    </xf>
    <xf numFmtId="3" fontId="67" fillId="9" borderId="26" xfId="3" applyNumberFormat="1" applyFont="1" applyFill="1" applyBorder="1" applyAlignment="1" applyProtection="1">
      <alignment horizontal="right"/>
    </xf>
    <xf numFmtId="3" fontId="66" fillId="15" borderId="25" xfId="3" applyNumberFormat="1" applyFont="1" applyFill="1" applyBorder="1" applyAlignment="1" applyProtection="1">
      <alignment horizontal="right"/>
    </xf>
    <xf numFmtId="3" fontId="67" fillId="9" borderId="17" xfId="3" applyNumberFormat="1" applyFont="1" applyFill="1" applyBorder="1" applyAlignment="1" applyProtection="1">
      <alignment horizontal="right"/>
    </xf>
    <xf numFmtId="37" fontId="13" fillId="0" borderId="69" xfId="0" applyNumberFormat="1" applyFont="1" applyFill="1" applyBorder="1" applyAlignment="1">
      <alignment horizontal="right" vertical="top"/>
    </xf>
    <xf numFmtId="37" fontId="13" fillId="0" borderId="66" xfId="0" applyNumberFormat="1" applyFont="1" applyFill="1" applyBorder="1" applyAlignment="1">
      <alignment horizontal="right" vertical="top"/>
    </xf>
    <xf numFmtId="37" fontId="22" fillId="0" borderId="68" xfId="0" applyNumberFormat="1" applyFont="1" applyFill="1" applyBorder="1" applyAlignment="1">
      <alignment horizontal="left" vertical="top"/>
    </xf>
    <xf numFmtId="37" fontId="44" fillId="0" borderId="72" xfId="0" applyNumberFormat="1" applyFont="1" applyFill="1" applyBorder="1" applyAlignment="1">
      <alignment horizontal="right" vertical="top"/>
    </xf>
    <xf numFmtId="37" fontId="22" fillId="43" borderId="34" xfId="0" applyNumberFormat="1" applyFont="1" applyFill="1" applyBorder="1" applyAlignment="1"/>
    <xf numFmtId="3" fontId="13" fillId="43" borderId="38" xfId="0" applyNumberFormat="1" applyFont="1" applyFill="1" applyBorder="1" applyAlignment="1"/>
    <xf numFmtId="3" fontId="13" fillId="43" borderId="65" xfId="0" applyNumberFormat="1" applyFont="1" applyFill="1" applyBorder="1" applyAlignment="1"/>
    <xf numFmtId="3" fontId="22" fillId="43" borderId="71" xfId="0" applyNumberFormat="1" applyFont="1" applyFill="1" applyBorder="1" applyAlignment="1"/>
    <xf numFmtId="37" fontId="13" fillId="43" borderId="7" xfId="0" applyNumberFormat="1" applyFont="1" applyFill="1" applyBorder="1" applyAlignment="1"/>
    <xf numFmtId="37" fontId="13" fillId="43" borderId="28" xfId="0" applyNumberFormat="1" applyFont="1" applyFill="1" applyBorder="1" applyAlignment="1"/>
    <xf numFmtId="37" fontId="22" fillId="43" borderId="91" xfId="0" applyNumberFormat="1" applyFont="1" applyFill="1" applyBorder="1" applyAlignment="1">
      <alignment horizontal="right"/>
    </xf>
    <xf numFmtId="37" fontId="22" fillId="0" borderId="111" xfId="0" applyNumberFormat="1" applyFont="1" applyFill="1" applyBorder="1" applyAlignment="1"/>
    <xf numFmtId="37" fontId="22" fillId="0" borderId="93" xfId="0" applyNumberFormat="1" applyFont="1" applyFill="1" applyBorder="1" applyAlignment="1"/>
    <xf numFmtId="37" fontId="22" fillId="43" borderId="113" xfId="0" applyNumberFormat="1" applyFont="1" applyFill="1" applyBorder="1" applyAlignment="1"/>
    <xf numFmtId="37" fontId="22" fillId="0" borderId="21" xfId="0" applyNumberFormat="1" applyFont="1" applyFill="1" applyBorder="1" applyAlignment="1"/>
    <xf numFmtId="37" fontId="22" fillId="0" borderId="114" xfId="0" applyNumberFormat="1" applyFont="1" applyFill="1" applyBorder="1" applyAlignment="1"/>
    <xf numFmtId="37" fontId="22" fillId="0" borderId="113" xfId="0" applyNumberFormat="1" applyFont="1" applyFill="1" applyBorder="1" applyAlignment="1"/>
    <xf numFmtId="37" fontId="22" fillId="0" borderId="28" xfId="0" applyNumberFormat="1" applyFont="1" applyFill="1" applyBorder="1" applyAlignment="1">
      <alignment horizontal="right"/>
    </xf>
    <xf numFmtId="3" fontId="22" fillId="0" borderId="65" xfId="0" applyNumberFormat="1" applyFont="1" applyFill="1" applyBorder="1" applyAlignment="1"/>
    <xf numFmtId="3" fontId="22" fillId="43" borderId="65" xfId="0" applyNumberFormat="1" applyFont="1" applyFill="1" applyBorder="1" applyAlignment="1"/>
    <xf numFmtId="37" fontId="13" fillId="0" borderId="115" xfId="0" applyNumberFormat="1" applyFont="1" applyFill="1" applyBorder="1" applyAlignment="1"/>
    <xf numFmtId="3" fontId="13" fillId="0" borderId="112" xfId="0" applyNumberFormat="1" applyFont="1" applyFill="1" applyBorder="1" applyAlignment="1"/>
    <xf numFmtId="3" fontId="13" fillId="43" borderId="112" xfId="0" applyNumberFormat="1" applyFont="1" applyFill="1" applyBorder="1" applyAlignment="1"/>
    <xf numFmtId="37" fontId="103" fillId="0" borderId="7" xfId="0" applyNumberFormat="1" applyFont="1" applyFill="1" applyBorder="1" applyAlignment="1"/>
    <xf numFmtId="37" fontId="103" fillId="0" borderId="12" xfId="0" applyNumberFormat="1" applyFont="1" applyFill="1" applyBorder="1" applyAlignment="1"/>
    <xf numFmtId="37" fontId="103" fillId="0" borderId="33" xfId="0" applyNumberFormat="1" applyFont="1" applyFill="1" applyBorder="1" applyAlignment="1"/>
    <xf numFmtId="37" fontId="103" fillId="0" borderId="13" xfId="0" applyNumberFormat="1" applyFont="1" applyFill="1" applyBorder="1" applyAlignment="1"/>
    <xf numFmtId="37" fontId="103" fillId="0" borderId="38" xfId="0" applyNumberFormat="1" applyFont="1" applyFill="1" applyBorder="1" applyAlignment="1"/>
    <xf numFmtId="37" fontId="103" fillId="0" borderId="21" xfId="0" applyNumberFormat="1" applyFont="1" applyFill="1" applyBorder="1" applyAlignment="1"/>
    <xf numFmtId="37" fontId="103" fillId="0" borderId="28" xfId="0" applyNumberFormat="1" applyFont="1" applyFill="1" applyBorder="1" applyAlignment="1"/>
    <xf numFmtId="37" fontId="103" fillId="0" borderId="30" xfId="0" applyNumberFormat="1" applyFont="1" applyFill="1" applyBorder="1" applyAlignment="1"/>
    <xf numFmtId="37" fontId="103" fillId="0" borderId="111" xfId="0" applyNumberFormat="1" applyFont="1" applyFill="1" applyBorder="1" applyAlignment="1"/>
    <xf numFmtId="37" fontId="103" fillId="0" borderId="0" xfId="0" applyNumberFormat="1" applyFont="1" applyFill="1" applyAlignment="1"/>
    <xf numFmtId="37" fontId="103" fillId="0" borderId="65" xfId="0" applyNumberFormat="1" applyFont="1" applyFill="1" applyBorder="1" applyAlignment="1"/>
    <xf numFmtId="37" fontId="103" fillId="0" borderId="7" xfId="0" applyNumberFormat="1" applyFont="1" applyFill="1" applyBorder="1" applyAlignment="1">
      <alignment vertical="center"/>
    </xf>
    <xf numFmtId="37" fontId="103" fillId="0" borderId="7" xfId="0" applyNumberFormat="1" applyFont="1" applyFill="1" applyBorder="1" applyAlignment="1">
      <alignment vertical="top"/>
    </xf>
    <xf numFmtId="37" fontId="103" fillId="0" borderId="21" xfId="0" applyNumberFormat="1" applyFont="1" applyFill="1" applyBorder="1" applyAlignment="1">
      <alignment vertical="top"/>
    </xf>
    <xf numFmtId="37" fontId="103" fillId="0" borderId="38" xfId="0" applyNumberFormat="1" applyFont="1" applyFill="1" applyBorder="1" applyAlignment="1">
      <alignment vertical="top"/>
    </xf>
    <xf numFmtId="37" fontId="103" fillId="0" borderId="94" xfId="0" applyNumberFormat="1" applyFont="1" applyFill="1" applyBorder="1" applyAlignment="1"/>
    <xf numFmtId="37" fontId="103" fillId="0" borderId="7" xfId="0" applyNumberFormat="1" applyFont="1" applyFill="1" applyBorder="1" applyAlignment="1">
      <alignment wrapText="1"/>
    </xf>
    <xf numFmtId="37" fontId="103" fillId="0" borderId="12" xfId="0" applyNumberFormat="1" applyFont="1" applyFill="1" applyBorder="1" applyAlignment="1">
      <alignment wrapText="1"/>
    </xf>
    <xf numFmtId="37" fontId="103" fillId="0" borderId="7" xfId="0" applyNumberFormat="1" applyFont="1" applyFill="1" applyBorder="1" applyAlignment="1">
      <alignment horizontal="right"/>
    </xf>
    <xf numFmtId="37" fontId="103" fillId="0" borderId="21" xfId="0" applyNumberFormat="1" applyFont="1" applyFill="1" applyBorder="1" applyAlignment="1">
      <alignment horizontal="right"/>
    </xf>
    <xf numFmtId="37" fontId="103" fillId="0" borderId="38" xfId="0" applyNumberFormat="1" applyFont="1" applyFill="1" applyBorder="1" applyAlignment="1">
      <alignment horizontal="right"/>
    </xf>
    <xf numFmtId="37" fontId="103" fillId="0" borderId="7" xfId="0" applyNumberFormat="1" applyFont="1" applyFill="1" applyBorder="1" applyAlignment="1">
      <alignment vertical="distributed"/>
    </xf>
    <xf numFmtId="37" fontId="103" fillId="0" borderId="34" xfId="0" applyNumberFormat="1" applyFont="1" applyFill="1" applyBorder="1" applyAlignment="1">
      <alignment vertical="center"/>
    </xf>
    <xf numFmtId="37" fontId="103" fillId="0" borderId="30" xfId="0" applyNumberFormat="1" applyFont="1" applyFill="1" applyBorder="1" applyAlignment="1">
      <alignment vertical="distributed"/>
    </xf>
    <xf numFmtId="37" fontId="103" fillId="0" borderId="62" xfId="0" applyNumberFormat="1" applyFont="1" applyFill="1" applyBorder="1" applyAlignment="1"/>
    <xf numFmtId="37" fontId="103" fillId="0" borderId="0" xfId="0" applyNumberFormat="1" applyFont="1" applyFill="1" applyBorder="1" applyAlignment="1"/>
    <xf numFmtId="37" fontId="103" fillId="0" borderId="37" xfId="0" applyNumberFormat="1" applyFont="1" applyFill="1" applyBorder="1" applyAlignment="1"/>
    <xf numFmtId="37" fontId="103" fillId="0" borderId="37" xfId="0" applyNumberFormat="1" applyFont="1" applyFill="1" applyBorder="1" applyAlignment="1">
      <alignment vertical="center"/>
    </xf>
    <xf numFmtId="37" fontId="103" fillId="0" borderId="90" xfId="0" applyNumberFormat="1" applyFont="1" applyFill="1" applyBorder="1" applyAlignment="1"/>
    <xf numFmtId="37" fontId="103" fillId="0" borderId="80" xfId="0" applyNumberFormat="1" applyFont="1" applyFill="1" applyBorder="1" applyAlignment="1"/>
    <xf numFmtId="37" fontId="103" fillId="0" borderId="20" xfId="0" applyNumberFormat="1" applyFont="1" applyFill="1" applyBorder="1" applyAlignment="1">
      <alignment vertical="center"/>
    </xf>
    <xf numFmtId="37" fontId="103" fillId="0" borderId="2" xfId="0" applyNumberFormat="1" applyFont="1" applyFill="1" applyBorder="1" applyAlignment="1"/>
    <xf numFmtId="37" fontId="104" fillId="0" borderId="90" xfId="0" applyNumberFormat="1" applyFont="1" applyFill="1" applyBorder="1" applyAlignment="1">
      <alignment vertical="center"/>
    </xf>
    <xf numFmtId="37" fontId="104" fillId="0" borderId="97" xfId="0" applyNumberFormat="1" applyFont="1" applyFill="1" applyBorder="1" applyAlignment="1">
      <alignment vertical="center"/>
    </xf>
    <xf numFmtId="37" fontId="103" fillId="0" borderId="95" xfId="0" applyNumberFormat="1" applyFont="1" applyFill="1" applyBorder="1" applyAlignment="1">
      <alignment vertical="center"/>
    </xf>
    <xf numFmtId="37" fontId="103" fillId="0" borderId="96" xfId="0" applyNumberFormat="1" applyFont="1" applyFill="1" applyBorder="1" applyAlignment="1"/>
    <xf numFmtId="37" fontId="103" fillId="0" borderId="98" xfId="0" applyNumberFormat="1" applyFont="1" applyFill="1" applyBorder="1" applyAlignment="1"/>
    <xf numFmtId="3" fontId="52" fillId="8" borderId="0" xfId="0" quotePrefix="1" applyNumberFormat="1" applyFont="1" applyFill="1" applyBorder="1" applyAlignment="1">
      <alignment horizontal="right"/>
    </xf>
    <xf numFmtId="3" fontId="75" fillId="8" borderId="0" xfId="0" applyNumberFormat="1" applyFont="1" applyFill="1" applyBorder="1" applyAlignment="1">
      <alignment horizontal="right"/>
    </xf>
    <xf numFmtId="3" fontId="13" fillId="0" borderId="7" xfId="0" applyNumberFormat="1" applyFont="1" applyFill="1" applyBorder="1" applyAlignment="1"/>
    <xf numFmtId="3" fontId="13" fillId="0" borderId="21" xfId="0" applyNumberFormat="1" applyFont="1" applyFill="1" applyBorder="1" applyAlignment="1"/>
    <xf numFmtId="3" fontId="13" fillId="0" borderId="28" xfId="0" applyNumberFormat="1" applyFont="1" applyFill="1" applyBorder="1" applyAlignment="1"/>
    <xf numFmtId="3" fontId="13" fillId="0" borderId="79" xfId="0" applyNumberFormat="1" applyFont="1" applyFill="1" applyBorder="1" applyAlignment="1"/>
    <xf numFmtId="3" fontId="13" fillId="0" borderId="68" xfId="0" applyNumberFormat="1" applyFont="1" applyFill="1" applyBorder="1" applyAlignment="1"/>
    <xf numFmtId="3" fontId="13" fillId="0" borderId="69" xfId="0" applyNumberFormat="1" applyFont="1" applyFill="1" applyBorder="1" applyAlignment="1"/>
    <xf numFmtId="3" fontId="22" fillId="0" borderId="79" xfId="0" applyNumberFormat="1" applyFont="1" applyFill="1" applyBorder="1" applyAlignment="1"/>
    <xf numFmtId="3" fontId="22" fillId="0" borderId="7" xfId="0" applyNumberFormat="1" applyFont="1" applyFill="1" applyBorder="1" applyAlignment="1"/>
    <xf numFmtId="3" fontId="22" fillId="0" borderId="61" xfId="0" applyNumberFormat="1" applyFont="1" applyFill="1" applyBorder="1" applyAlignment="1"/>
    <xf numFmtId="3" fontId="22" fillId="0" borderId="12" xfId="0" applyNumberFormat="1" applyFont="1" applyFill="1" applyBorder="1" applyAlignment="1"/>
    <xf numFmtId="3" fontId="22" fillId="0" borderId="82" xfId="0" applyNumberFormat="1" applyFont="1" applyFill="1" applyBorder="1" applyAlignment="1"/>
    <xf numFmtId="3" fontId="13" fillId="0" borderId="7" xfId="0" applyNumberFormat="1" applyFont="1" applyFill="1" applyBorder="1" applyAlignment="1">
      <alignment wrapText="1"/>
    </xf>
    <xf numFmtId="3" fontId="13" fillId="0" borderId="21" xfId="0" applyNumberFormat="1" applyFont="1" applyFill="1" applyBorder="1" applyAlignment="1">
      <alignment wrapText="1"/>
    </xf>
    <xf numFmtId="3" fontId="13" fillId="0" borderId="68" xfId="0" applyNumberFormat="1" applyFont="1" applyFill="1" applyBorder="1" applyAlignment="1">
      <alignment wrapText="1"/>
    </xf>
    <xf numFmtId="3" fontId="22" fillId="0" borderId="59" xfId="0" applyNumberFormat="1" applyFont="1" applyFill="1" applyBorder="1" applyAlignment="1"/>
    <xf numFmtId="3" fontId="13" fillId="8" borderId="21" xfId="0" applyNumberFormat="1" applyFont="1" applyFill="1" applyBorder="1" applyAlignment="1">
      <alignment wrapText="1"/>
    </xf>
    <xf numFmtId="3" fontId="22" fillId="0" borderId="78" xfId="0" applyNumberFormat="1" applyFont="1" applyFill="1" applyBorder="1" applyAlignment="1"/>
    <xf numFmtId="3" fontId="22" fillId="0" borderId="83" xfId="0" applyNumberFormat="1" applyFont="1" applyFill="1" applyBorder="1" applyAlignment="1"/>
    <xf numFmtId="3" fontId="52" fillId="8" borderId="0" xfId="0" applyNumberFormat="1" applyFont="1" applyFill="1" applyBorder="1" applyAlignment="1">
      <alignment horizontal="right"/>
    </xf>
    <xf numFmtId="3" fontId="13" fillId="8" borderId="0" xfId="0" applyNumberFormat="1" applyFont="1" applyFill="1" applyBorder="1" applyAlignment="1">
      <alignment horizontal="right"/>
    </xf>
    <xf numFmtId="37" fontId="13" fillId="9" borderId="0" xfId="0" applyNumberFormat="1" applyFont="1" applyFill="1" applyAlignment="1">
      <alignment horizontal="center" vertical="center"/>
    </xf>
    <xf numFmtId="3" fontId="13" fillId="14" borderId="11" xfId="3" applyNumberFormat="1" applyFont="1" applyFill="1" applyBorder="1" applyAlignment="1" applyProtection="1">
      <alignment horizontal="right"/>
      <protection locked="0"/>
    </xf>
    <xf numFmtId="37" fontId="22" fillId="43" borderId="66" xfId="0" applyNumberFormat="1" applyFont="1" applyFill="1" applyBorder="1" applyAlignment="1"/>
    <xf numFmtId="37" fontId="13" fillId="43" borderId="116" xfId="0" applyNumberFormat="1" applyFont="1" applyFill="1" applyBorder="1" applyAlignment="1"/>
    <xf numFmtId="37" fontId="22" fillId="43" borderId="29" xfId="0" applyNumberFormat="1" applyFont="1" applyFill="1" applyBorder="1" applyAlignment="1"/>
    <xf numFmtId="37" fontId="103" fillId="0" borderId="0" xfId="0" applyNumberFormat="1" applyFont="1" applyFill="1" applyBorder="1" applyAlignment="1">
      <alignment vertical="top"/>
    </xf>
    <xf numFmtId="37" fontId="103" fillId="0" borderId="20" xfId="0" applyNumberFormat="1" applyFont="1" applyFill="1" applyBorder="1" applyAlignment="1">
      <alignment vertical="top"/>
    </xf>
    <xf numFmtId="3" fontId="67" fillId="15" borderId="11" xfId="4" applyNumberFormat="1" applyFont="1" applyFill="1" applyBorder="1" applyAlignment="1" applyProtection="1">
      <alignment horizontal="center" wrapText="1"/>
      <protection locked="0"/>
    </xf>
    <xf numFmtId="3" fontId="22" fillId="0" borderId="11" xfId="4" applyNumberFormat="1" applyFont="1" applyFill="1" applyBorder="1" applyAlignment="1" applyProtection="1">
      <alignment horizontal="center" wrapText="1"/>
      <protection locked="0"/>
    </xf>
    <xf numFmtId="3" fontId="67" fillId="9" borderId="24" xfId="3" applyNumberFormat="1" applyFont="1" applyFill="1" applyBorder="1" applyAlignment="1" applyProtection="1">
      <alignment horizontal="center" wrapText="1"/>
      <protection locked="0"/>
    </xf>
    <xf numFmtId="3" fontId="22" fillId="0" borderId="6" xfId="4" applyNumberFormat="1" applyFont="1" applyFill="1" applyBorder="1" applyAlignment="1" applyProtection="1">
      <alignment horizontal="center" wrapText="1"/>
      <protection locked="0"/>
    </xf>
    <xf numFmtId="3" fontId="22" fillId="14" borderId="11" xfId="4" applyNumberFormat="1" applyFont="1" applyFill="1" applyBorder="1" applyAlignment="1" applyProtection="1">
      <alignment horizontal="center" wrapText="1"/>
      <protection locked="0"/>
    </xf>
    <xf numFmtId="3" fontId="13" fillId="0" borderId="11" xfId="15" applyNumberFormat="1" applyFont="1" applyFill="1" applyBorder="1" applyAlignment="1" applyProtection="1">
      <alignment horizontal="right"/>
      <protection locked="0"/>
    </xf>
    <xf numFmtId="3" fontId="80" fillId="0" borderId="11" xfId="0" applyNumberFormat="1" applyFont="1" applyFill="1" applyBorder="1" applyAlignment="1">
      <alignment horizontal="right"/>
    </xf>
    <xf numFmtId="37" fontId="13" fillId="44" borderId="0" xfId="3" applyFont="1" applyFill="1" applyBorder="1" applyAlignment="1" applyProtection="1">
      <alignment horizontal="center"/>
      <protection locked="0"/>
    </xf>
    <xf numFmtId="37" fontId="13" fillId="44" borderId="0" xfId="3" applyFont="1" applyFill="1" applyBorder="1" applyAlignment="1" applyProtection="1">
      <alignment horizontal="left"/>
      <protection locked="0"/>
    </xf>
    <xf numFmtId="37" fontId="13" fillId="44" borderId="0" xfId="3" applyFont="1" applyFill="1" applyBorder="1" applyAlignment="1" applyProtection="1">
      <protection locked="0"/>
    </xf>
    <xf numFmtId="37" fontId="105" fillId="44" borderId="0" xfId="3" applyFont="1" applyFill="1" applyBorder="1" applyAlignment="1" applyProtection="1">
      <protection locked="0"/>
    </xf>
    <xf numFmtId="49" fontId="13" fillId="44" borderId="0" xfId="14" applyNumberFormat="1" applyFont="1" applyFill="1" applyBorder="1" applyAlignment="1" applyProtection="1">
      <alignment horizontal="center"/>
      <protection locked="0"/>
    </xf>
    <xf numFmtId="1" fontId="13" fillId="44" borderId="0" xfId="3" applyNumberFormat="1" applyFont="1" applyFill="1" applyBorder="1" applyAlignment="1" applyProtection="1">
      <alignment horizontal="center"/>
      <protection locked="0"/>
    </xf>
    <xf numFmtId="3" fontId="13" fillId="14" borderId="17" xfId="3" applyNumberFormat="1" applyFont="1" applyFill="1" applyBorder="1" applyAlignment="1" applyProtection="1">
      <alignment horizontal="right"/>
      <protection locked="0"/>
    </xf>
    <xf numFmtId="3" fontId="13" fillId="0" borderId="17" xfId="15" applyNumberFormat="1" applyFont="1" applyFill="1" applyBorder="1" applyAlignment="1" applyProtection="1">
      <alignment horizontal="right"/>
      <protection locked="0"/>
    </xf>
    <xf numFmtId="37" fontId="44" fillId="44" borderId="0" xfId="3" applyFont="1" applyFill="1" applyBorder="1" applyAlignment="1" applyProtection="1">
      <alignment horizontal="right"/>
      <protection locked="0"/>
    </xf>
    <xf numFmtId="37" fontId="105" fillId="44" borderId="0" xfId="3" applyFont="1" applyFill="1" applyBorder="1" applyAlignment="1" applyProtection="1">
      <alignment horizontal="right"/>
      <protection locked="0"/>
    </xf>
    <xf numFmtId="37" fontId="13" fillId="44" borderId="0" xfId="3" applyFont="1" applyFill="1" applyBorder="1" applyAlignment="1" applyProtection="1">
      <alignment horizontal="right"/>
      <protection locked="0"/>
    </xf>
    <xf numFmtId="49" fontId="108" fillId="44" borderId="0" xfId="13556" applyNumberFormat="1" applyFont="1" applyFill="1" applyBorder="1" applyAlignment="1" applyProtection="1">
      <alignment horizontal="left"/>
      <protection locked="0"/>
    </xf>
    <xf numFmtId="49" fontId="13" fillId="44" borderId="0" xfId="7" applyNumberFormat="1" applyFont="1" applyFill="1" applyBorder="1" applyAlignment="1" applyProtection="1">
      <alignment horizontal="center"/>
      <protection locked="0"/>
    </xf>
    <xf numFmtId="1" fontId="77" fillId="44" borderId="0" xfId="13556" applyNumberFormat="1" applyFont="1" applyFill="1" applyBorder="1" applyAlignment="1" applyProtection="1">
      <alignment horizontal="center"/>
      <protection locked="0"/>
    </xf>
    <xf numFmtId="49" fontId="13" fillId="44" borderId="0" xfId="126" applyNumberFormat="1" applyFont="1" applyFill="1" applyBorder="1" applyAlignment="1" applyProtection="1">
      <alignment horizontal="center"/>
      <protection locked="0"/>
    </xf>
    <xf numFmtId="1" fontId="13" fillId="44" borderId="0" xfId="13556" applyNumberFormat="1" applyFont="1" applyFill="1" applyBorder="1" applyAlignment="1" applyProtection="1">
      <alignment horizontal="center"/>
      <protection locked="0"/>
    </xf>
    <xf numFmtId="37" fontId="66" fillId="0" borderId="17" xfId="2" applyNumberFormat="1" applyFont="1" applyFill="1" applyBorder="1" applyAlignment="1" applyProtection="1">
      <alignment horizontal="right"/>
      <protection locked="0"/>
    </xf>
    <xf numFmtId="37" fontId="13" fillId="0" borderId="17" xfId="2" applyFont="1" applyFill="1" applyBorder="1" applyAlignment="1">
      <alignment horizontal="right"/>
    </xf>
    <xf numFmtId="0" fontId="13" fillId="44" borderId="0" xfId="126" applyNumberFormat="1" applyFont="1" applyFill="1" applyBorder="1" applyAlignment="1" applyProtection="1">
      <alignment horizontal="center"/>
      <protection locked="0"/>
    </xf>
    <xf numFmtId="3" fontId="66" fillId="0" borderId="17" xfId="15" applyNumberFormat="1" applyFont="1" applyFill="1" applyBorder="1" applyAlignment="1" applyProtection="1">
      <alignment horizontal="right"/>
      <protection locked="0"/>
    </xf>
    <xf numFmtId="49" fontId="13" fillId="44" borderId="0" xfId="13556" applyNumberFormat="1" applyFont="1" applyFill="1" applyBorder="1" applyAlignment="1" applyProtection="1">
      <alignment horizontal="left"/>
      <protection locked="0"/>
    </xf>
    <xf numFmtId="49" fontId="105" fillId="44" borderId="0" xfId="13556" applyNumberFormat="1" applyFont="1" applyFill="1" applyBorder="1" applyAlignment="1" applyProtection="1">
      <alignment horizontal="left"/>
      <protection locked="0"/>
    </xf>
    <xf numFmtId="1" fontId="13" fillId="44" borderId="0" xfId="13557" applyNumberFormat="1" applyFont="1" applyFill="1" applyBorder="1" applyAlignment="1" applyProtection="1">
      <alignment horizontal="center"/>
      <protection locked="0"/>
    </xf>
    <xf numFmtId="1" fontId="13" fillId="45" borderId="0" xfId="13558" applyNumberFormat="1" applyFont="1" applyFill="1" applyBorder="1" applyAlignment="1" applyProtection="1">
      <alignment horizontal="center"/>
      <protection locked="0"/>
    </xf>
    <xf numFmtId="37" fontId="50" fillId="0" borderId="17" xfId="2" applyNumberFormat="1" applyFont="1" applyFill="1" applyBorder="1" applyAlignment="1" applyProtection="1">
      <alignment horizontal="right"/>
      <protection locked="0"/>
    </xf>
    <xf numFmtId="37" fontId="22" fillId="44" borderId="0" xfId="3" applyFont="1" applyFill="1" applyBorder="1" applyAlignment="1" applyProtection="1">
      <protection locked="0"/>
    </xf>
    <xf numFmtId="49" fontId="13" fillId="44" borderId="0" xfId="14" applyNumberFormat="1" applyFont="1" applyFill="1" applyBorder="1" applyAlignment="1" applyProtection="1">
      <alignment horizontal="center" wrapText="1"/>
      <protection locked="0"/>
    </xf>
    <xf numFmtId="1" fontId="13" fillId="44" borderId="0" xfId="3" applyNumberFormat="1" applyFont="1" applyFill="1" applyBorder="1" applyAlignment="1" applyProtection="1">
      <alignment horizontal="center" wrapText="1"/>
      <protection locked="0"/>
    </xf>
    <xf numFmtId="0" fontId="13" fillId="44" borderId="0" xfId="14" applyNumberFormat="1" applyFont="1" applyFill="1" applyBorder="1" applyAlignment="1" applyProtection="1">
      <alignment horizontal="right"/>
      <protection locked="0"/>
    </xf>
    <xf numFmtId="0" fontId="105" fillId="44" borderId="0" xfId="14" applyNumberFormat="1" applyFont="1" applyFill="1" applyBorder="1" applyAlignment="1" applyProtection="1">
      <alignment horizontal="right"/>
      <protection locked="0"/>
    </xf>
    <xf numFmtId="49" fontId="13" fillId="44" borderId="0" xfId="14" applyNumberFormat="1" applyFont="1" applyFill="1" applyBorder="1" applyAlignment="1" applyProtection="1">
      <alignment horizontal="left"/>
      <protection locked="0"/>
    </xf>
    <xf numFmtId="37" fontId="22" fillId="44" borderId="0" xfId="3" applyFont="1" applyFill="1" applyBorder="1" applyAlignment="1" applyProtection="1">
      <alignment horizontal="left"/>
      <protection locked="0"/>
    </xf>
    <xf numFmtId="37" fontId="105" fillId="44" borderId="0" xfId="3" applyFont="1" applyFill="1" applyBorder="1" applyAlignment="1" applyProtection="1">
      <alignment horizontal="left"/>
      <protection locked="0"/>
    </xf>
    <xf numFmtId="37" fontId="44" fillId="44" borderId="0" xfId="3" applyFont="1" applyFill="1" applyBorder="1" applyAlignment="1" applyProtection="1">
      <alignment horizontal="left"/>
      <protection locked="0"/>
    </xf>
    <xf numFmtId="37" fontId="109" fillId="44" borderId="0" xfId="3" applyFont="1" applyFill="1" applyBorder="1" applyAlignment="1" applyProtection="1">
      <alignment horizontal="right"/>
      <protection locked="0"/>
    </xf>
    <xf numFmtId="37" fontId="13" fillId="44" borderId="0" xfId="13559" applyFont="1" applyFill="1" applyBorder="1" applyAlignment="1" applyProtection="1">
      <alignment horizontal="left" vertical="center" wrapText="1"/>
      <protection locked="0"/>
    </xf>
    <xf numFmtId="37" fontId="13" fillId="44" borderId="0" xfId="13559" applyFont="1" applyFill="1" applyBorder="1" applyAlignment="1" applyProtection="1">
      <alignment horizontal="right"/>
      <protection locked="0"/>
    </xf>
    <xf numFmtId="37" fontId="105" fillId="44" borderId="0" xfId="13559" applyFont="1" applyFill="1" applyBorder="1" applyAlignment="1" applyProtection="1">
      <alignment horizontal="right"/>
      <protection locked="0"/>
    </xf>
    <xf numFmtId="37" fontId="44" fillId="44" borderId="0" xfId="13559" applyFont="1" applyFill="1" applyBorder="1" applyAlignment="1" applyProtection="1">
      <alignment horizontal="left"/>
      <protection locked="0"/>
    </xf>
    <xf numFmtId="37" fontId="105" fillId="44" borderId="0" xfId="13559" applyFont="1" applyFill="1" applyBorder="1" applyAlignment="1" applyProtection="1">
      <alignment horizontal="left"/>
      <protection locked="0"/>
    </xf>
    <xf numFmtId="49" fontId="13" fillId="44" borderId="0" xfId="13559" applyNumberFormat="1" applyFont="1" applyFill="1" applyBorder="1" applyAlignment="1" applyProtection="1">
      <protection locked="0"/>
    </xf>
    <xf numFmtId="1" fontId="13" fillId="44" borderId="0" xfId="13559" applyNumberFormat="1" applyFont="1" applyFill="1" applyBorder="1" applyAlignment="1" applyProtection="1">
      <alignment horizontal="center"/>
      <protection locked="0"/>
    </xf>
    <xf numFmtId="1" fontId="22" fillId="44" borderId="0" xfId="13556" applyNumberFormat="1" applyFont="1" applyFill="1" applyBorder="1" applyAlignment="1" applyProtection="1">
      <alignment horizontal="center"/>
      <protection locked="0"/>
    </xf>
    <xf numFmtId="1" fontId="22" fillId="44" borderId="0" xfId="13557" applyNumberFormat="1" applyFont="1" applyFill="1" applyBorder="1" applyAlignment="1" applyProtection="1">
      <alignment horizontal="center"/>
      <protection locked="0"/>
    </xf>
    <xf numFmtId="37" fontId="13" fillId="46" borderId="0" xfId="13560" applyFont="1" applyFill="1" applyBorder="1" applyAlignment="1" applyProtection="1">
      <alignment horizontal="center"/>
      <protection locked="0"/>
    </xf>
    <xf numFmtId="37" fontId="13" fillId="46" borderId="0" xfId="13560" applyFont="1" applyFill="1" applyBorder="1" applyAlignment="1" applyProtection="1">
      <alignment horizontal="left"/>
      <protection locked="0"/>
    </xf>
    <xf numFmtId="37" fontId="13" fillId="46" borderId="0" xfId="13560" applyFont="1" applyFill="1" applyBorder="1" applyAlignment="1" applyProtection="1">
      <protection locked="0"/>
    </xf>
    <xf numFmtId="37" fontId="105" fillId="46" borderId="0" xfId="13560" applyFont="1" applyFill="1" applyBorder="1" applyAlignment="1" applyProtection="1">
      <protection locked="0"/>
    </xf>
    <xf numFmtId="49" fontId="13" fillId="46" borderId="0" xfId="13560" applyNumberFormat="1" applyFont="1" applyFill="1" applyBorder="1" applyAlignment="1" applyProtection="1">
      <alignment horizontal="center"/>
      <protection locked="0"/>
    </xf>
    <xf numFmtId="1" fontId="13" fillId="46" borderId="0" xfId="13560" applyNumberFormat="1" applyFont="1" applyFill="1" applyBorder="1" applyAlignment="1" applyProtection="1">
      <alignment horizontal="center"/>
      <protection locked="0"/>
    </xf>
    <xf numFmtId="3" fontId="13" fillId="8" borderId="17" xfId="3" applyNumberFormat="1" applyFont="1" applyFill="1" applyBorder="1" applyAlignment="1" applyProtection="1">
      <alignment horizontal="right"/>
      <protection locked="0"/>
    </xf>
    <xf numFmtId="37" fontId="13" fillId="46" borderId="0" xfId="13560" applyFont="1" applyFill="1" applyBorder="1" applyAlignment="1" applyProtection="1">
      <alignment horizontal="right"/>
      <protection locked="0"/>
    </xf>
    <xf numFmtId="37" fontId="105" fillId="46" borderId="0" xfId="13560" applyFont="1" applyFill="1" applyBorder="1" applyAlignment="1" applyProtection="1">
      <alignment horizontal="right"/>
      <protection locked="0"/>
    </xf>
    <xf numFmtId="37" fontId="44" fillId="46" borderId="0" xfId="13560" applyFont="1" applyFill="1" applyBorder="1" applyAlignment="1" applyProtection="1">
      <alignment horizontal="right"/>
      <protection locked="0"/>
    </xf>
    <xf numFmtId="49" fontId="105" fillId="46" borderId="0" xfId="13561" applyNumberFormat="1" applyFont="1" applyFill="1" applyBorder="1" applyAlignment="1" applyProtection="1">
      <alignment horizontal="left"/>
      <protection locked="0"/>
    </xf>
    <xf numFmtId="3" fontId="13" fillId="0" borderId="17" xfId="3" applyNumberFormat="1" applyFont="1" applyFill="1" applyBorder="1" applyAlignment="1" applyProtection="1">
      <alignment horizontal="right"/>
      <protection locked="0"/>
    </xf>
    <xf numFmtId="49" fontId="13" fillId="46" borderId="0" xfId="13561" applyNumberFormat="1" applyFont="1" applyFill="1" applyBorder="1" applyAlignment="1" applyProtection="1">
      <alignment horizontal="left"/>
      <protection locked="0"/>
    </xf>
    <xf numFmtId="49" fontId="13" fillId="46" borderId="0" xfId="13561" applyNumberFormat="1" applyFont="1" applyFill="1" applyBorder="1" applyAlignment="1" applyProtection="1">
      <alignment horizontal="center"/>
      <protection locked="0"/>
    </xf>
    <xf numFmtId="1" fontId="13" fillId="46" borderId="0" xfId="13556" applyNumberFormat="1" applyFont="1" applyFill="1" applyBorder="1" applyAlignment="1" applyProtection="1">
      <alignment horizontal="center"/>
      <protection locked="0"/>
    </xf>
    <xf numFmtId="37" fontId="22" fillId="46" borderId="0" xfId="13560" applyFont="1" applyFill="1" applyBorder="1" applyAlignment="1" applyProtection="1">
      <protection locked="0"/>
    </xf>
    <xf numFmtId="3" fontId="77" fillId="0" borderId="17" xfId="15" applyNumberFormat="1" applyFont="1" applyFill="1" applyBorder="1" applyAlignment="1" applyProtection="1">
      <alignment horizontal="right"/>
      <protection locked="0"/>
    </xf>
    <xf numFmtId="37" fontId="13" fillId="46" borderId="0" xfId="3" applyFont="1" applyFill="1" applyBorder="1" applyAlignment="1" applyProtection="1">
      <alignment horizontal="left"/>
      <protection locked="0"/>
    </xf>
    <xf numFmtId="37" fontId="44" fillId="46" borderId="0" xfId="3" applyFont="1" applyFill="1" applyBorder="1" applyAlignment="1" applyProtection="1">
      <alignment horizontal="left"/>
      <protection locked="0"/>
    </xf>
    <xf numFmtId="37" fontId="105" fillId="46" borderId="0" xfId="3" applyFont="1" applyFill="1" applyBorder="1" applyAlignment="1" applyProtection="1">
      <alignment horizontal="left"/>
      <protection locked="0"/>
    </xf>
    <xf numFmtId="49" fontId="13" fillId="46" borderId="0" xfId="13560" applyNumberFormat="1" applyFont="1" applyFill="1" applyBorder="1" applyAlignment="1" applyProtection="1">
      <alignment horizontal="center" wrapText="1"/>
      <protection locked="0"/>
    </xf>
    <xf numFmtId="1" fontId="13" fillId="46" borderId="0" xfId="13560" applyNumberFormat="1" applyFont="1" applyFill="1" applyBorder="1" applyAlignment="1" applyProtection="1">
      <alignment horizontal="center" wrapText="1"/>
      <protection locked="0"/>
    </xf>
    <xf numFmtId="37" fontId="22" fillId="46" borderId="0" xfId="13560" applyFont="1" applyFill="1" applyBorder="1" applyAlignment="1" applyProtection="1">
      <alignment horizontal="right"/>
      <protection locked="0"/>
    </xf>
    <xf numFmtId="37" fontId="13" fillId="46" borderId="0" xfId="13559" applyFont="1" applyFill="1" applyBorder="1" applyAlignment="1" applyProtection="1">
      <alignment horizontal="left" vertical="center" wrapText="1"/>
      <protection locked="0"/>
    </xf>
    <xf numFmtId="37" fontId="13" fillId="46" borderId="0" xfId="13559" applyFont="1" applyFill="1" applyBorder="1" applyAlignment="1" applyProtection="1">
      <alignment horizontal="right"/>
      <protection locked="0"/>
    </xf>
    <xf numFmtId="37" fontId="105" fillId="46" borderId="0" xfId="13559" applyFont="1" applyFill="1" applyBorder="1" applyAlignment="1" applyProtection="1">
      <alignment horizontal="right"/>
      <protection locked="0"/>
    </xf>
    <xf numFmtId="49" fontId="13" fillId="46" borderId="0" xfId="14" applyNumberFormat="1" applyFont="1" applyFill="1" applyBorder="1" applyAlignment="1" applyProtection="1">
      <alignment horizontal="center"/>
      <protection locked="0"/>
    </xf>
    <xf numFmtId="1" fontId="13" fillId="46" borderId="0" xfId="3" applyNumberFormat="1" applyFont="1" applyFill="1" applyBorder="1" applyAlignment="1" applyProtection="1">
      <alignment horizontal="center"/>
      <protection locked="0"/>
    </xf>
    <xf numFmtId="37" fontId="13" fillId="46" borderId="0" xfId="13560" applyFont="1" applyFill="1" applyBorder="1" applyAlignment="1" applyProtection="1">
      <alignment horizontal="left" vertical="center" wrapText="1"/>
      <protection locked="0"/>
    </xf>
    <xf numFmtId="37" fontId="44" fillId="46" borderId="0" xfId="13560" applyFont="1" applyFill="1" applyBorder="1" applyAlignment="1" applyProtection="1">
      <alignment horizontal="left" vertical="top"/>
      <protection locked="0"/>
    </xf>
    <xf numFmtId="37" fontId="105" fillId="46" borderId="0" xfId="13560" applyFont="1" applyFill="1" applyBorder="1" applyAlignment="1" applyProtection="1">
      <alignment horizontal="left" vertical="top"/>
      <protection locked="0"/>
    </xf>
    <xf numFmtId="37" fontId="13" fillId="47" borderId="0" xfId="3" applyFont="1" applyFill="1" applyBorder="1" applyAlignment="1" applyProtection="1">
      <alignment horizontal="center"/>
      <protection locked="0"/>
    </xf>
    <xf numFmtId="37" fontId="13" fillId="47" borderId="0" xfId="3" applyFont="1" applyFill="1" applyBorder="1" applyAlignment="1" applyProtection="1">
      <alignment horizontal="left"/>
      <protection locked="0"/>
    </xf>
    <xf numFmtId="37" fontId="105" fillId="47" borderId="0" xfId="3" applyFont="1" applyFill="1" applyBorder="1" applyAlignment="1" applyProtection="1">
      <alignment horizontal="right"/>
      <protection locked="0"/>
    </xf>
    <xf numFmtId="49" fontId="13" fillId="47" borderId="0" xfId="14" applyNumberFormat="1" applyFont="1" applyFill="1" applyBorder="1" applyAlignment="1" applyProtection="1">
      <alignment horizontal="center"/>
      <protection locked="0"/>
    </xf>
    <xf numFmtId="1" fontId="13" fillId="47" borderId="0" xfId="3" applyNumberFormat="1" applyFont="1" applyFill="1" applyBorder="1" applyAlignment="1" applyProtection="1">
      <alignment horizontal="center"/>
      <protection locked="0"/>
    </xf>
    <xf numFmtId="3" fontId="13" fillId="8" borderId="11" xfId="3" applyNumberFormat="1" applyFont="1" applyFill="1" applyBorder="1" applyAlignment="1" applyProtection="1">
      <alignment horizontal="right"/>
      <protection locked="0"/>
    </xf>
    <xf numFmtId="37" fontId="44" fillId="47" borderId="0" xfId="3" applyFont="1" applyFill="1" applyBorder="1" applyAlignment="1" applyProtection="1">
      <alignment horizontal="right"/>
      <protection locked="0"/>
    </xf>
    <xf numFmtId="37" fontId="13" fillId="47" borderId="0" xfId="3" applyFont="1" applyFill="1" applyBorder="1" applyAlignment="1" applyProtection="1">
      <alignment horizontal="right"/>
      <protection locked="0"/>
    </xf>
    <xf numFmtId="37" fontId="13" fillId="47" borderId="0" xfId="3" applyFont="1" applyFill="1" applyBorder="1" applyAlignment="1" applyProtection="1">
      <protection locked="0"/>
    </xf>
    <xf numFmtId="37" fontId="105" fillId="47" borderId="0" xfId="3" applyFont="1" applyFill="1" applyBorder="1" applyAlignment="1" applyProtection="1">
      <protection locked="0"/>
    </xf>
    <xf numFmtId="49" fontId="13" fillId="47" borderId="0" xfId="13556" applyNumberFormat="1" applyFont="1" applyFill="1" applyBorder="1" applyAlignment="1" applyProtection="1">
      <alignment horizontal="left"/>
      <protection locked="0"/>
    </xf>
    <xf numFmtId="49" fontId="105" fillId="47" borderId="0" xfId="13556" applyNumberFormat="1" applyFont="1" applyFill="1" applyBorder="1" applyAlignment="1" applyProtection="1">
      <alignment horizontal="left"/>
      <protection locked="0"/>
    </xf>
    <xf numFmtId="49" fontId="13" fillId="47" borderId="0" xfId="13562" applyNumberFormat="1" applyFont="1" applyFill="1" applyBorder="1" applyAlignment="1" applyProtection="1">
      <alignment horizontal="center"/>
      <protection locked="0"/>
    </xf>
    <xf numFmtId="49" fontId="105" fillId="48" borderId="0" xfId="13561" applyNumberFormat="1" applyFont="1" applyFill="1" applyBorder="1" applyAlignment="1" applyProtection="1">
      <alignment horizontal="left"/>
      <protection locked="0"/>
    </xf>
    <xf numFmtId="1" fontId="13" fillId="47" borderId="0" xfId="13556" applyNumberFormat="1" applyFont="1" applyFill="1" applyBorder="1" applyAlignment="1" applyProtection="1">
      <alignment horizontal="center"/>
      <protection locked="0"/>
    </xf>
    <xf numFmtId="49" fontId="108" fillId="48" borderId="0" xfId="13561" applyNumberFormat="1" applyFont="1" applyFill="1" applyBorder="1" applyAlignment="1" applyProtection="1">
      <alignment horizontal="left"/>
      <protection locked="0"/>
    </xf>
    <xf numFmtId="3" fontId="13" fillId="47" borderId="0" xfId="13563" applyFont="1" applyFill="1" applyBorder="1" applyAlignment="1" applyProtection="1">
      <protection locked="0"/>
    </xf>
    <xf numFmtId="3" fontId="105" fillId="47" borderId="0" xfId="13563" applyFont="1" applyFill="1" applyBorder="1" applyAlignment="1" applyProtection="1">
      <protection locked="0"/>
    </xf>
    <xf numFmtId="1" fontId="13" fillId="47" borderId="0" xfId="13564" applyNumberFormat="1" applyFont="1" applyFill="1" applyBorder="1" applyAlignment="1" applyProtection="1">
      <alignment horizontal="center"/>
      <protection locked="0"/>
    </xf>
    <xf numFmtId="37" fontId="105" fillId="47" borderId="0" xfId="3" applyFont="1" applyFill="1" applyBorder="1" applyAlignment="1" applyProtection="1">
      <alignment horizontal="left"/>
      <protection locked="0"/>
    </xf>
    <xf numFmtId="37" fontId="22" fillId="47" borderId="0" xfId="3" applyFont="1" applyFill="1" applyBorder="1" applyAlignment="1" applyProtection="1">
      <protection locked="0"/>
    </xf>
    <xf numFmtId="49" fontId="13" fillId="47" borderId="0" xfId="14" applyNumberFormat="1" applyFont="1" applyFill="1" applyBorder="1" applyAlignment="1" applyProtection="1">
      <alignment horizontal="center" wrapText="1"/>
      <protection locked="0"/>
    </xf>
    <xf numFmtId="1" fontId="13" fillId="47" borderId="0" xfId="3" applyNumberFormat="1" applyFont="1" applyFill="1" applyBorder="1" applyAlignment="1" applyProtection="1">
      <alignment horizontal="center" wrapText="1"/>
      <protection locked="0"/>
    </xf>
    <xf numFmtId="167" fontId="22" fillId="47" borderId="0" xfId="3" applyNumberFormat="1" applyFont="1" applyFill="1" applyBorder="1" applyAlignment="1" applyProtection="1">
      <alignment horizontal="left"/>
      <protection locked="0"/>
    </xf>
    <xf numFmtId="167" fontId="105" fillId="47" borderId="0" xfId="3" applyNumberFormat="1" applyFont="1" applyFill="1" applyBorder="1" applyAlignment="1" applyProtection="1">
      <alignment horizontal="left"/>
      <protection locked="0"/>
    </xf>
    <xf numFmtId="37" fontId="44" fillId="47" borderId="0" xfId="3" applyFont="1" applyFill="1" applyBorder="1" applyAlignment="1" applyProtection="1">
      <alignment horizontal="left"/>
      <protection locked="0"/>
    </xf>
    <xf numFmtId="37" fontId="109" fillId="47" borderId="0" xfId="3" applyFont="1" applyFill="1" applyBorder="1" applyAlignment="1" applyProtection="1">
      <alignment horizontal="right"/>
      <protection locked="0"/>
    </xf>
    <xf numFmtId="37" fontId="13" fillId="47" borderId="0" xfId="13559" applyFont="1" applyFill="1" applyBorder="1" applyAlignment="1" applyProtection="1">
      <alignment horizontal="right"/>
      <protection locked="0"/>
    </xf>
    <xf numFmtId="37" fontId="105" fillId="47" borderId="0" xfId="13559" applyFont="1" applyFill="1" applyBorder="1" applyAlignment="1" applyProtection="1">
      <alignment horizontal="right"/>
      <protection locked="0"/>
    </xf>
    <xf numFmtId="37" fontId="13" fillId="47" borderId="0" xfId="13559" applyFont="1" applyFill="1" applyBorder="1" applyAlignment="1" applyProtection="1">
      <alignment horizontal="left" vertical="center" wrapText="1"/>
      <protection locked="0"/>
    </xf>
    <xf numFmtId="37" fontId="13" fillId="47" borderId="0" xfId="13559" applyFont="1" applyFill="1" applyBorder="1" applyAlignment="1" applyProtection="1">
      <alignment horizontal="left"/>
      <protection locked="0"/>
    </xf>
    <xf numFmtId="1" fontId="13" fillId="47" borderId="0" xfId="13559" applyNumberFormat="1" applyFont="1" applyFill="1" applyBorder="1" applyAlignment="1" applyProtection="1">
      <alignment horizontal="center" wrapText="1"/>
      <protection locked="0"/>
    </xf>
    <xf numFmtId="37" fontId="44" fillId="47" borderId="0" xfId="13559" applyFont="1" applyFill="1" applyBorder="1" applyAlignment="1" applyProtection="1">
      <alignment horizontal="left"/>
      <protection locked="0"/>
    </xf>
    <xf numFmtId="37" fontId="105" fillId="47" borderId="0" xfId="13559" applyFont="1" applyFill="1" applyBorder="1" applyAlignment="1" applyProtection="1">
      <alignment horizontal="left"/>
      <protection locked="0"/>
    </xf>
    <xf numFmtId="1" fontId="77" fillId="47" borderId="0" xfId="13556" applyNumberFormat="1" applyFont="1" applyFill="1" applyBorder="1" applyAlignment="1" applyProtection="1">
      <alignment horizontal="center"/>
      <protection locked="0"/>
    </xf>
    <xf numFmtId="37" fontId="13" fillId="6" borderId="0" xfId="3" applyFont="1" applyFill="1" applyBorder="1" applyAlignment="1" applyProtection="1">
      <alignment horizontal="center"/>
      <protection locked="0"/>
    </xf>
    <xf numFmtId="37" fontId="13" fillId="6" borderId="0" xfId="3" applyFont="1" applyFill="1" applyBorder="1" applyAlignment="1" applyProtection="1">
      <alignment horizontal="left"/>
      <protection locked="0"/>
    </xf>
    <xf numFmtId="37" fontId="13" fillId="6" borderId="0" xfId="3" applyFont="1" applyFill="1" applyBorder="1" applyAlignment="1" applyProtection="1">
      <protection locked="0"/>
    </xf>
    <xf numFmtId="37" fontId="105" fillId="6" borderId="0" xfId="3" applyFont="1" applyFill="1" applyBorder="1" applyAlignment="1" applyProtection="1">
      <protection locked="0"/>
    </xf>
    <xf numFmtId="49" fontId="13" fillId="6" borderId="0" xfId="14" applyNumberFormat="1" applyFont="1" applyFill="1" applyBorder="1" applyAlignment="1" applyProtection="1">
      <alignment horizontal="center"/>
      <protection locked="0"/>
    </xf>
    <xf numFmtId="1" fontId="13" fillId="6" borderId="0" xfId="3" applyNumberFormat="1" applyFont="1" applyFill="1" applyBorder="1" applyAlignment="1" applyProtection="1">
      <alignment horizontal="center"/>
      <protection locked="0"/>
    </xf>
    <xf numFmtId="37" fontId="13" fillId="6" borderId="0" xfId="3" applyFont="1" applyFill="1" applyBorder="1" applyAlignment="1" applyProtection="1">
      <alignment horizontal="right"/>
      <protection locked="0"/>
    </xf>
    <xf numFmtId="37" fontId="105" fillId="6" borderId="0" xfId="3" applyFont="1" applyFill="1" applyBorder="1" applyAlignment="1" applyProtection="1">
      <alignment horizontal="right"/>
      <protection locked="0"/>
    </xf>
    <xf numFmtId="37" fontId="44" fillId="6" borderId="0" xfId="3" applyFont="1" applyFill="1" applyBorder="1" applyAlignment="1" applyProtection="1">
      <alignment horizontal="right"/>
      <protection locked="0"/>
    </xf>
    <xf numFmtId="49" fontId="13" fillId="6" borderId="0" xfId="13561" applyNumberFormat="1" applyFont="1" applyFill="1" applyBorder="1" applyAlignment="1" applyProtection="1">
      <alignment horizontal="left"/>
      <protection locked="0"/>
    </xf>
    <xf numFmtId="49" fontId="108" fillId="6" borderId="0" xfId="13561" applyNumberFormat="1" applyFont="1" applyFill="1" applyBorder="1" applyAlignment="1" applyProtection="1">
      <alignment horizontal="left"/>
      <protection locked="0"/>
    </xf>
    <xf numFmtId="1" fontId="13" fillId="6" borderId="0" xfId="13556" applyNumberFormat="1" applyFont="1" applyFill="1" applyBorder="1" applyAlignment="1" applyProtection="1">
      <alignment horizontal="center"/>
      <protection locked="0"/>
    </xf>
    <xf numFmtId="1" fontId="22" fillId="6" borderId="0" xfId="3" applyNumberFormat="1" applyFont="1" applyFill="1" applyBorder="1" applyAlignment="1" applyProtection="1">
      <alignment horizontal="center"/>
      <protection locked="0"/>
    </xf>
    <xf numFmtId="49" fontId="105" fillId="6" borderId="0" xfId="13561" applyNumberFormat="1" applyFont="1" applyFill="1" applyBorder="1" applyAlignment="1" applyProtection="1">
      <alignment horizontal="left"/>
      <protection locked="0"/>
    </xf>
    <xf numFmtId="49" fontId="22" fillId="6" borderId="0" xfId="13561" applyNumberFormat="1" applyFont="1" applyFill="1" applyBorder="1" applyAlignment="1" applyProtection="1">
      <alignment horizontal="left"/>
      <protection locked="0"/>
    </xf>
    <xf numFmtId="37" fontId="22" fillId="6" borderId="0" xfId="3" applyFont="1" applyFill="1" applyBorder="1" applyAlignment="1" applyProtection="1">
      <alignment horizontal="center"/>
      <protection locked="0"/>
    </xf>
    <xf numFmtId="37" fontId="22" fillId="6" borderId="0" xfId="3" applyFont="1" applyFill="1" applyBorder="1" applyAlignment="1" applyProtection="1">
      <alignment horizontal="left"/>
      <protection locked="0"/>
    </xf>
    <xf numFmtId="37" fontId="22" fillId="6" borderId="0" xfId="3" applyFont="1" applyFill="1" applyBorder="1" applyAlignment="1" applyProtection="1">
      <protection locked="0"/>
    </xf>
    <xf numFmtId="49" fontId="22" fillId="6" borderId="0" xfId="14" applyNumberFormat="1" applyFont="1" applyFill="1" applyBorder="1" applyAlignment="1" applyProtection="1">
      <alignment horizontal="center"/>
      <protection locked="0"/>
    </xf>
    <xf numFmtId="49" fontId="13" fillId="6" borderId="0" xfId="14" applyNumberFormat="1" applyFont="1" applyFill="1" applyBorder="1" applyAlignment="1" applyProtection="1">
      <alignment horizontal="center" wrapText="1"/>
      <protection locked="0"/>
    </xf>
    <xf numFmtId="1" fontId="13" fillId="6" borderId="0" xfId="3" applyNumberFormat="1" applyFont="1" applyFill="1" applyBorder="1" applyAlignment="1" applyProtection="1">
      <alignment horizontal="center" wrapText="1"/>
      <protection locked="0"/>
    </xf>
    <xf numFmtId="37" fontId="44" fillId="6" borderId="0" xfId="3" applyFont="1" applyFill="1" applyBorder="1" applyAlignment="1" applyProtection="1">
      <alignment horizontal="left"/>
      <protection locked="0"/>
    </xf>
    <xf numFmtId="37" fontId="105" fillId="6" borderId="0" xfId="3" applyFont="1" applyFill="1" applyBorder="1" applyAlignment="1" applyProtection="1">
      <alignment horizontal="left"/>
      <protection locked="0"/>
    </xf>
    <xf numFmtId="37" fontId="109" fillId="6" borderId="0" xfId="3" applyFont="1" applyFill="1" applyBorder="1" applyAlignment="1" applyProtection="1">
      <alignment horizontal="right"/>
      <protection locked="0"/>
    </xf>
    <xf numFmtId="37" fontId="13" fillId="6" borderId="0" xfId="13559" applyFont="1" applyFill="1" applyBorder="1" applyAlignment="1" applyProtection="1">
      <alignment horizontal="right"/>
      <protection locked="0"/>
    </xf>
    <xf numFmtId="37" fontId="105" fillId="6" borderId="0" xfId="13559" applyFont="1" applyFill="1" applyBorder="1" applyAlignment="1" applyProtection="1">
      <alignment horizontal="right"/>
      <protection locked="0"/>
    </xf>
    <xf numFmtId="37" fontId="22" fillId="6" borderId="0" xfId="13559" applyFont="1" applyFill="1" applyBorder="1" applyAlignment="1" applyProtection="1">
      <alignment horizontal="right"/>
      <protection locked="0"/>
    </xf>
    <xf numFmtId="37" fontId="13" fillId="49" borderId="0" xfId="3" applyFont="1" applyFill="1" applyBorder="1" applyAlignment="1" applyProtection="1">
      <alignment horizontal="center"/>
      <protection locked="0"/>
    </xf>
    <xf numFmtId="37" fontId="13" fillId="49" borderId="0" xfId="3" applyFont="1" applyFill="1" applyBorder="1" applyAlignment="1" applyProtection="1">
      <alignment horizontal="left"/>
      <protection locked="0"/>
    </xf>
    <xf numFmtId="37" fontId="13" fillId="49" borderId="0" xfId="13559" applyFont="1" applyFill="1" applyBorder="1" applyAlignment="1" applyProtection="1">
      <alignment horizontal="right"/>
      <protection locked="0"/>
    </xf>
    <xf numFmtId="37" fontId="109" fillId="49" borderId="0" xfId="3" applyFont="1" applyFill="1" applyBorder="1" applyAlignment="1" applyProtection="1">
      <alignment horizontal="right"/>
      <protection locked="0"/>
    </xf>
    <xf numFmtId="37" fontId="105" fillId="49" borderId="0" xfId="3" applyFont="1" applyFill="1" applyBorder="1" applyAlignment="1" applyProtection="1">
      <alignment horizontal="right"/>
      <protection locked="0"/>
    </xf>
    <xf numFmtId="49" fontId="13" fillId="49" borderId="0" xfId="14" applyNumberFormat="1" applyFont="1" applyFill="1" applyBorder="1" applyAlignment="1" applyProtection="1">
      <alignment horizontal="center" wrapText="1"/>
      <protection locked="0"/>
    </xf>
    <xf numFmtId="1" fontId="13" fillId="49" borderId="0" xfId="3" applyNumberFormat="1" applyFont="1" applyFill="1" applyBorder="1" applyAlignment="1" applyProtection="1">
      <alignment horizontal="center" wrapText="1"/>
      <protection locked="0"/>
    </xf>
    <xf numFmtId="37" fontId="105" fillId="49" borderId="0" xfId="13559" applyFont="1" applyFill="1" applyBorder="1" applyAlignment="1" applyProtection="1">
      <alignment horizontal="right"/>
      <protection locked="0"/>
    </xf>
    <xf numFmtId="37" fontId="13" fillId="6" borderId="0" xfId="13559" applyFont="1" applyFill="1" applyBorder="1" applyAlignment="1" applyProtection="1">
      <alignment horizontal="left" vertical="center" wrapText="1"/>
      <protection locked="0"/>
    </xf>
    <xf numFmtId="37" fontId="44" fillId="6" borderId="0" xfId="13559" applyFont="1" applyFill="1" applyBorder="1" applyAlignment="1" applyProtection="1">
      <alignment horizontal="left"/>
      <protection locked="0"/>
    </xf>
    <xf numFmtId="37" fontId="105" fillId="6" borderId="0" xfId="13559" applyFont="1" applyFill="1" applyBorder="1" applyAlignment="1" applyProtection="1">
      <alignment horizontal="left"/>
      <protection locked="0"/>
    </xf>
    <xf numFmtId="37" fontId="13" fillId="6" borderId="0" xfId="13559" applyFont="1" applyFill="1" applyBorder="1" applyAlignment="1" applyProtection="1">
      <alignment horizontal="center" vertical="center" wrapText="1"/>
      <protection locked="0"/>
    </xf>
    <xf numFmtId="49" fontId="77" fillId="6" borderId="0" xfId="13561" applyNumberFormat="1" applyFont="1" applyFill="1" applyBorder="1" applyAlignment="1" applyProtection="1">
      <alignment horizontal="left"/>
      <protection locked="0"/>
    </xf>
    <xf numFmtId="1" fontId="77" fillId="6" borderId="0" xfId="13557" applyNumberFormat="1" applyFont="1" applyFill="1" applyBorder="1" applyAlignment="1" applyProtection="1">
      <alignment horizontal="center"/>
      <protection locked="0"/>
    </xf>
    <xf numFmtId="167" fontId="13" fillId="50" borderId="0" xfId="3" applyNumberFormat="1" applyFont="1" applyFill="1" applyBorder="1" applyAlignment="1" applyProtection="1">
      <alignment horizontal="center"/>
      <protection locked="0"/>
    </xf>
    <xf numFmtId="167" fontId="13" fillId="50" borderId="0" xfId="3" applyNumberFormat="1" applyFont="1" applyFill="1" applyBorder="1" applyAlignment="1" applyProtection="1">
      <alignment horizontal="left"/>
      <protection locked="0"/>
    </xf>
    <xf numFmtId="49" fontId="13" fillId="50" borderId="0" xfId="13561" applyNumberFormat="1" applyFont="1" applyFill="1" applyBorder="1" applyAlignment="1" applyProtection="1">
      <alignment horizontal="left"/>
      <protection locked="0"/>
    </xf>
    <xf numFmtId="49" fontId="105" fillId="50" borderId="0" xfId="13561" applyNumberFormat="1" applyFont="1" applyFill="1" applyBorder="1" applyAlignment="1" applyProtection="1">
      <alignment horizontal="left"/>
      <protection locked="0"/>
    </xf>
    <xf numFmtId="49" fontId="13" fillId="50" borderId="0" xfId="13561" applyNumberFormat="1" applyFont="1" applyFill="1" applyBorder="1" applyAlignment="1" applyProtection="1">
      <alignment horizontal="center"/>
      <protection locked="0"/>
    </xf>
    <xf numFmtId="1" fontId="13" fillId="50" borderId="0" xfId="13556" applyNumberFormat="1" applyFont="1" applyFill="1" applyBorder="1" applyAlignment="1" applyProtection="1">
      <alignment horizontal="center"/>
      <protection locked="0"/>
    </xf>
    <xf numFmtId="3" fontId="112" fillId="0" borderId="17" xfId="15" applyNumberFormat="1" applyFont="1" applyFill="1" applyBorder="1" applyAlignment="1" applyProtection="1">
      <alignment horizontal="right"/>
      <protection locked="0"/>
    </xf>
    <xf numFmtId="167" fontId="13" fillId="50" borderId="0" xfId="3" applyNumberFormat="1" applyFont="1" applyFill="1" applyBorder="1" applyAlignment="1" applyProtection="1">
      <protection locked="0"/>
    </xf>
    <xf numFmtId="167" fontId="105" fillId="50" borderId="0" xfId="3" applyNumberFormat="1" applyFont="1" applyFill="1" applyBorder="1" applyAlignment="1" applyProtection="1">
      <protection locked="0"/>
    </xf>
    <xf numFmtId="49" fontId="13" fillId="50" borderId="0" xfId="14" applyNumberFormat="1" applyFont="1" applyFill="1" applyBorder="1" applyAlignment="1" applyProtection="1">
      <alignment horizontal="center"/>
      <protection locked="0"/>
    </xf>
    <xf numFmtId="1" fontId="13" fillId="50" borderId="0" xfId="3" applyNumberFormat="1" applyFont="1" applyFill="1" applyBorder="1" applyAlignment="1" applyProtection="1">
      <alignment horizontal="center"/>
      <protection locked="0"/>
    </xf>
    <xf numFmtId="167" fontId="44" fillId="50" borderId="0" xfId="3" applyNumberFormat="1" applyFont="1" applyFill="1" applyBorder="1" applyAlignment="1" applyProtection="1">
      <alignment horizontal="right"/>
      <protection locked="0"/>
    </xf>
    <xf numFmtId="167" fontId="105" fillId="50" borderId="0" xfId="3" applyNumberFormat="1" applyFont="1" applyFill="1" applyBorder="1" applyAlignment="1" applyProtection="1">
      <alignment horizontal="right"/>
      <protection locked="0"/>
    </xf>
    <xf numFmtId="167" fontId="13" fillId="50" borderId="0" xfId="3" applyNumberFormat="1" applyFont="1" applyFill="1" applyBorder="1" applyAlignment="1" applyProtection="1">
      <alignment horizontal="right"/>
      <protection locked="0"/>
    </xf>
    <xf numFmtId="49" fontId="108" fillId="50" borderId="0" xfId="13561" applyNumberFormat="1" applyFont="1" applyFill="1" applyBorder="1" applyAlignment="1" applyProtection="1">
      <alignment horizontal="left"/>
      <protection locked="0"/>
    </xf>
    <xf numFmtId="49" fontId="22" fillId="50" borderId="0" xfId="13561" applyNumberFormat="1" applyFont="1" applyFill="1" applyBorder="1" applyAlignment="1" applyProtection="1">
      <alignment horizontal="left"/>
      <protection locked="0"/>
    </xf>
    <xf numFmtId="49" fontId="22" fillId="50" borderId="0" xfId="13565" applyNumberFormat="1" applyFont="1" applyFill="1" applyBorder="1" applyAlignment="1" applyProtection="1">
      <alignment horizontal="left"/>
      <protection locked="0"/>
    </xf>
    <xf numFmtId="1" fontId="13" fillId="50" borderId="0" xfId="13565" applyNumberFormat="1" applyFont="1" applyFill="1" applyBorder="1" applyAlignment="1" applyProtection="1">
      <alignment horizontal="center"/>
      <protection locked="0"/>
    </xf>
    <xf numFmtId="1" fontId="13" fillId="50" borderId="0" xfId="13557" applyNumberFormat="1" applyFont="1" applyFill="1" applyBorder="1" applyAlignment="1" applyProtection="1">
      <alignment horizontal="center"/>
      <protection locked="0"/>
    </xf>
    <xf numFmtId="49" fontId="77" fillId="50" borderId="0" xfId="13561" applyNumberFormat="1" applyFont="1" applyFill="1" applyBorder="1" applyAlignment="1" applyProtection="1">
      <alignment horizontal="left"/>
      <protection locked="0"/>
    </xf>
    <xf numFmtId="3" fontId="13" fillId="50" borderId="0" xfId="13563" applyFont="1" applyFill="1" applyBorder="1" applyAlignment="1" applyProtection="1">
      <protection locked="0"/>
    </xf>
    <xf numFmtId="167" fontId="22" fillId="50" borderId="0" xfId="3" applyNumberFormat="1" applyFont="1" applyFill="1" applyBorder="1" applyAlignment="1" applyProtection="1">
      <protection locked="0"/>
    </xf>
    <xf numFmtId="37" fontId="44" fillId="50" borderId="0" xfId="3" applyFont="1" applyFill="1" applyBorder="1" applyAlignment="1" applyProtection="1">
      <alignment horizontal="right"/>
      <protection locked="0"/>
    </xf>
    <xf numFmtId="37" fontId="105" fillId="50" borderId="0" xfId="3" applyFont="1" applyFill="1" applyBorder="1" applyAlignment="1" applyProtection="1">
      <alignment horizontal="right"/>
      <protection locked="0"/>
    </xf>
    <xf numFmtId="167" fontId="44" fillId="50" borderId="0" xfId="3" applyNumberFormat="1" applyFont="1" applyFill="1" applyBorder="1" applyAlignment="1" applyProtection="1">
      <alignment horizontal="left"/>
      <protection locked="0"/>
    </xf>
    <xf numFmtId="167" fontId="105" fillId="50" borderId="0" xfId="3" applyNumberFormat="1" applyFont="1" applyFill="1" applyBorder="1" applyAlignment="1" applyProtection="1">
      <alignment horizontal="left"/>
      <protection locked="0"/>
    </xf>
    <xf numFmtId="167" fontId="109" fillId="50" borderId="0" xfId="3" applyNumberFormat="1" applyFont="1" applyFill="1" applyBorder="1" applyAlignment="1" applyProtection="1">
      <alignment horizontal="right"/>
      <protection locked="0"/>
    </xf>
    <xf numFmtId="37" fontId="13" fillId="50" borderId="0" xfId="13559" applyFont="1" applyFill="1" applyBorder="1" applyAlignment="1" applyProtection="1">
      <alignment horizontal="left" vertical="center" wrapText="1"/>
      <protection locked="0"/>
    </xf>
    <xf numFmtId="37" fontId="13" fillId="50" borderId="0" xfId="13559" applyFont="1" applyFill="1" applyBorder="1" applyAlignment="1" applyProtection="1">
      <alignment horizontal="right"/>
      <protection locked="0"/>
    </xf>
    <xf numFmtId="37" fontId="105" fillId="50" borderId="0" xfId="13559" applyFont="1" applyFill="1" applyBorder="1" applyAlignment="1" applyProtection="1">
      <alignment horizontal="right"/>
      <protection locked="0"/>
    </xf>
    <xf numFmtId="49" fontId="13" fillId="50" borderId="0" xfId="14" applyNumberFormat="1" applyFont="1" applyFill="1" applyBorder="1" applyAlignment="1" applyProtection="1">
      <alignment horizontal="center" wrapText="1"/>
      <protection locked="0"/>
    </xf>
    <xf numFmtId="1" fontId="13" fillId="50" borderId="0" xfId="3" applyNumberFormat="1" applyFont="1" applyFill="1" applyBorder="1" applyAlignment="1" applyProtection="1">
      <alignment horizontal="center" wrapText="1"/>
      <protection locked="0"/>
    </xf>
    <xf numFmtId="3" fontId="13" fillId="8" borderId="17" xfId="15" applyNumberFormat="1" applyFont="1" applyFill="1" applyBorder="1" applyAlignment="1" applyProtection="1">
      <alignment horizontal="right"/>
      <protection locked="0"/>
    </xf>
    <xf numFmtId="37" fontId="44" fillId="50" borderId="0" xfId="13559" applyFont="1" applyFill="1" applyBorder="1" applyAlignment="1" applyProtection="1">
      <alignment horizontal="left"/>
      <protection locked="0"/>
    </xf>
    <xf numFmtId="37" fontId="105" fillId="50" borderId="0" xfId="13559" applyFont="1" applyFill="1" applyBorder="1" applyAlignment="1" applyProtection="1">
      <alignment horizontal="left"/>
      <protection locked="0"/>
    </xf>
    <xf numFmtId="0" fontId="13" fillId="6" borderId="0" xfId="3" applyNumberFormat="1" applyFont="1" applyFill="1" applyBorder="1" applyAlignment="1" applyProtection="1">
      <alignment horizontal="right"/>
      <protection locked="0"/>
    </xf>
    <xf numFmtId="3" fontId="50" fillId="0" borderId="17" xfId="0" applyNumberFormat="1" applyFont="1" applyFill="1" applyBorder="1" applyAlignment="1">
      <alignment horizontal="right"/>
    </xf>
    <xf numFmtId="167" fontId="44" fillId="6" borderId="0" xfId="3" applyNumberFormat="1" applyFont="1" applyFill="1" applyBorder="1" applyAlignment="1" applyProtection="1">
      <alignment horizontal="right"/>
      <protection locked="0"/>
    </xf>
    <xf numFmtId="167" fontId="105" fillId="6" borderId="0" xfId="3" applyNumberFormat="1" applyFont="1" applyFill="1" applyBorder="1" applyAlignment="1" applyProtection="1">
      <alignment horizontal="right"/>
      <protection locked="0"/>
    </xf>
    <xf numFmtId="49" fontId="13" fillId="6" borderId="0" xfId="3" applyNumberFormat="1" applyFont="1" applyFill="1" applyBorder="1" applyAlignment="1" applyProtection="1">
      <alignment horizontal="right"/>
      <protection locked="0"/>
    </xf>
    <xf numFmtId="165" fontId="13" fillId="6" borderId="0" xfId="13561" applyFont="1" applyFill="1" applyBorder="1" applyAlignment="1" applyProtection="1">
      <protection locked="0"/>
    </xf>
    <xf numFmtId="165" fontId="105" fillId="6" borderId="0" xfId="13561" applyFont="1" applyFill="1" applyBorder="1" applyAlignment="1" applyProtection="1">
      <protection locked="0"/>
    </xf>
    <xf numFmtId="165" fontId="13" fillId="6" borderId="0" xfId="13561" applyFont="1" applyFill="1" applyBorder="1" applyAlignment="1" applyProtection="1">
      <alignment horizontal="right"/>
      <protection locked="0"/>
    </xf>
    <xf numFmtId="165" fontId="105" fillId="6" borderId="0" xfId="13561" applyFont="1" applyFill="1" applyBorder="1" applyAlignment="1" applyProtection="1">
      <alignment horizontal="right"/>
      <protection locked="0"/>
    </xf>
    <xf numFmtId="165" fontId="13" fillId="6" borderId="0" xfId="13561" applyFont="1" applyFill="1" applyBorder="1" applyProtection="1">
      <protection locked="0"/>
    </xf>
    <xf numFmtId="165" fontId="105" fillId="6" borderId="0" xfId="13561" applyFont="1" applyFill="1" applyBorder="1" applyProtection="1">
      <protection locked="0"/>
    </xf>
    <xf numFmtId="49" fontId="105" fillId="6" borderId="0" xfId="13565" applyNumberFormat="1" applyFont="1" applyFill="1" applyBorder="1" applyAlignment="1" applyProtection="1">
      <alignment horizontal="left"/>
      <protection locked="0"/>
    </xf>
    <xf numFmtId="3" fontId="66" fillId="14" borderId="17" xfId="3" applyNumberFormat="1" applyFont="1" applyFill="1" applyBorder="1" applyAlignment="1" applyProtection="1">
      <alignment horizontal="right"/>
      <protection locked="0"/>
    </xf>
    <xf numFmtId="49" fontId="13" fillId="6" borderId="0" xfId="3" applyNumberFormat="1" applyFont="1" applyFill="1" applyBorder="1" applyAlignment="1" applyProtection="1">
      <protection locked="0"/>
    </xf>
    <xf numFmtId="37" fontId="13" fillId="6" borderId="0" xfId="3" applyNumberFormat="1" applyFont="1" applyFill="1" applyBorder="1" applyAlignment="1" applyProtection="1">
      <alignment horizontal="center"/>
      <protection locked="0"/>
    </xf>
    <xf numFmtId="37" fontId="13" fillId="6" borderId="49" xfId="3" applyFont="1" applyFill="1" applyBorder="1" applyAlignment="1" applyProtection="1">
      <alignment horizontal="center"/>
      <protection locked="0"/>
    </xf>
    <xf numFmtId="37" fontId="13" fillId="6" borderId="0" xfId="3" applyNumberFormat="1" applyFont="1" applyFill="1" applyBorder="1" applyAlignment="1" applyProtection="1">
      <alignment horizontal="center" wrapText="1"/>
      <protection locked="0"/>
    </xf>
    <xf numFmtId="1" fontId="77" fillId="6" borderId="0" xfId="13556" applyNumberFormat="1" applyFont="1" applyFill="1" applyBorder="1" applyAlignment="1" applyProtection="1">
      <alignment horizontal="center"/>
      <protection locked="0"/>
    </xf>
    <xf numFmtId="49" fontId="13" fillId="47" borderId="0" xfId="13565" applyNumberFormat="1" applyFont="1" applyFill="1" applyBorder="1" applyAlignment="1" applyProtection="1">
      <alignment horizontal="left"/>
      <protection locked="0"/>
    </xf>
    <xf numFmtId="49" fontId="105" fillId="47" borderId="0" xfId="13565" applyNumberFormat="1" applyFont="1" applyFill="1" applyBorder="1" applyAlignment="1" applyProtection="1">
      <alignment horizontal="left"/>
      <protection locked="0"/>
    </xf>
    <xf numFmtId="1" fontId="13" fillId="47" borderId="0" xfId="13565" applyNumberFormat="1" applyFont="1" applyFill="1" applyBorder="1" applyAlignment="1" applyProtection="1">
      <alignment horizontal="center"/>
      <protection locked="0"/>
    </xf>
    <xf numFmtId="1" fontId="13" fillId="47" borderId="0" xfId="13557" applyNumberFormat="1" applyFont="1" applyFill="1" applyBorder="1" applyAlignment="1" applyProtection="1">
      <alignment horizontal="center"/>
      <protection locked="0"/>
    </xf>
    <xf numFmtId="3" fontId="13" fillId="14" borderId="17" xfId="0" applyNumberFormat="1" applyFont="1" applyFill="1" applyBorder="1" applyAlignment="1"/>
    <xf numFmtId="3" fontId="13" fillId="14" borderId="17" xfId="0" applyNumberFormat="1" applyFont="1" applyFill="1" applyBorder="1" applyAlignment="1">
      <alignment horizontal="right"/>
    </xf>
    <xf numFmtId="49" fontId="13" fillId="47" borderId="0" xfId="13561" applyNumberFormat="1" applyFont="1" applyFill="1" applyBorder="1" applyAlignment="1" applyProtection="1">
      <alignment horizontal="left"/>
      <protection locked="0"/>
    </xf>
    <xf numFmtId="49" fontId="105" fillId="47" borderId="0" xfId="13561" applyNumberFormat="1" applyFont="1" applyFill="1" applyBorder="1" applyAlignment="1" applyProtection="1">
      <alignment horizontal="left"/>
      <protection locked="0"/>
    </xf>
    <xf numFmtId="3" fontId="66" fillId="14" borderId="17" xfId="0" applyNumberFormat="1" applyFont="1" applyFill="1" applyBorder="1" applyAlignment="1"/>
    <xf numFmtId="49" fontId="13" fillId="48" borderId="0" xfId="13565" applyNumberFormat="1" applyFont="1" applyFill="1" applyBorder="1" applyAlignment="1" applyProtection="1">
      <alignment horizontal="left"/>
      <protection locked="0"/>
    </xf>
    <xf numFmtId="49" fontId="13" fillId="48" borderId="0" xfId="13561" applyNumberFormat="1" applyFont="1" applyFill="1" applyBorder="1" applyAlignment="1" applyProtection="1">
      <alignment horizontal="left"/>
      <protection locked="0"/>
    </xf>
    <xf numFmtId="1" fontId="13" fillId="47" borderId="0" xfId="13563" applyNumberFormat="1" applyFont="1" applyFill="1" applyBorder="1" applyAlignment="1" applyProtection="1">
      <alignment horizontal="center"/>
      <protection locked="0"/>
    </xf>
    <xf numFmtId="49" fontId="13" fillId="44" borderId="23" xfId="13561" applyNumberFormat="1" applyFont="1" applyFill="1" applyBorder="1" applyAlignment="1" applyProtection="1">
      <alignment horizontal="center"/>
      <protection locked="0"/>
    </xf>
    <xf numFmtId="49" fontId="13" fillId="44" borderId="0" xfId="13561" applyNumberFormat="1" applyFont="1" applyFill="1" applyBorder="1" applyAlignment="1" applyProtection="1">
      <alignment horizontal="left"/>
      <protection locked="0"/>
    </xf>
    <xf numFmtId="49" fontId="113" fillId="44" borderId="0" xfId="13561" applyNumberFormat="1" applyFont="1" applyFill="1" applyBorder="1" applyAlignment="1" applyProtection="1">
      <alignment horizontal="left"/>
      <protection locked="0"/>
    </xf>
    <xf numFmtId="1" fontId="13" fillId="44" borderId="0" xfId="13561" applyNumberFormat="1" applyFont="1" applyFill="1" applyBorder="1" applyAlignment="1" applyProtection="1">
      <alignment horizontal="center"/>
      <protection locked="0"/>
    </xf>
    <xf numFmtId="49" fontId="13" fillId="44" borderId="0" xfId="13561" applyNumberFormat="1" applyFont="1" applyFill="1" applyBorder="1" applyAlignment="1" applyProtection="1">
      <alignment horizontal="center"/>
      <protection locked="0"/>
    </xf>
    <xf numFmtId="1" fontId="77" fillId="8" borderId="0" xfId="13561" applyNumberFormat="1" applyFont="1" applyFill="1" applyBorder="1" applyAlignment="1" applyProtection="1">
      <alignment horizontal="center"/>
      <protection locked="0"/>
    </xf>
    <xf numFmtId="37" fontId="13" fillId="46" borderId="0" xfId="3" applyFont="1" applyFill="1" applyBorder="1" applyAlignment="1" applyProtection="1">
      <alignment horizontal="center"/>
      <protection locked="0"/>
    </xf>
    <xf numFmtId="49" fontId="13" fillId="46" borderId="0" xfId="13556" applyNumberFormat="1" applyFont="1" applyFill="1" applyBorder="1" applyAlignment="1" applyProtection="1">
      <alignment horizontal="left"/>
      <protection locked="0"/>
    </xf>
    <xf numFmtId="49" fontId="22" fillId="46" borderId="0" xfId="13556" applyNumberFormat="1" applyFont="1" applyFill="1" applyBorder="1" applyAlignment="1" applyProtection="1">
      <alignment horizontal="left"/>
      <protection locked="0"/>
    </xf>
    <xf numFmtId="49" fontId="13" fillId="46" borderId="0" xfId="13556" applyNumberFormat="1" applyFont="1" applyFill="1" applyBorder="1" applyAlignment="1" applyProtection="1">
      <alignment horizontal="center"/>
      <protection locked="0"/>
    </xf>
    <xf numFmtId="37" fontId="13" fillId="46" borderId="0" xfId="3" applyFont="1" applyFill="1" applyBorder="1" applyAlignment="1" applyProtection="1">
      <alignment horizontal="right"/>
      <protection locked="0"/>
    </xf>
    <xf numFmtId="37" fontId="22" fillId="46" borderId="0" xfId="3" applyFont="1" applyFill="1" applyBorder="1" applyAlignment="1" applyProtection="1">
      <alignment horizontal="right"/>
      <protection locked="0"/>
    </xf>
    <xf numFmtId="37" fontId="44" fillId="46" borderId="0" xfId="3" applyFont="1" applyFill="1" applyBorder="1" applyAlignment="1" applyProtection="1">
      <alignment horizontal="right"/>
      <protection locked="0"/>
    </xf>
    <xf numFmtId="37" fontId="13" fillId="46" borderId="0" xfId="3" applyFont="1" applyFill="1" applyBorder="1" applyAlignment="1" applyProtection="1">
      <protection locked="0"/>
    </xf>
    <xf numFmtId="37" fontId="22" fillId="46" borderId="0" xfId="3" applyFont="1" applyFill="1" applyBorder="1" applyAlignment="1" applyProtection="1">
      <protection locked="0"/>
    </xf>
    <xf numFmtId="9" fontId="13" fillId="0" borderId="17" xfId="4439" applyFont="1" applyFill="1" applyBorder="1" applyAlignment="1" applyProtection="1">
      <alignment horizontal="right"/>
      <protection locked="0"/>
    </xf>
    <xf numFmtId="49" fontId="68" fillId="8" borderId="0" xfId="14" applyNumberFormat="1" applyFont="1" applyFill="1" applyBorder="1" applyAlignment="1" applyProtection="1">
      <alignment horizontal="center"/>
      <protection locked="0"/>
    </xf>
    <xf numFmtId="1" fontId="13" fillId="46" borderId="0" xfId="3" quotePrefix="1" applyNumberFormat="1" applyFont="1" applyFill="1" applyBorder="1" applyAlignment="1" applyProtection="1">
      <alignment horizontal="center"/>
      <protection locked="0"/>
    </xf>
    <xf numFmtId="37" fontId="22" fillId="46" borderId="0" xfId="3" applyFont="1" applyFill="1" applyBorder="1" applyAlignment="1" applyProtection="1">
      <alignment horizontal="left"/>
      <protection locked="0"/>
    </xf>
    <xf numFmtId="37" fontId="109" fillId="46" borderId="0" xfId="13559" applyFont="1" applyFill="1" applyBorder="1" applyAlignment="1" applyProtection="1">
      <alignment horizontal="right"/>
      <protection locked="0"/>
    </xf>
    <xf numFmtId="37" fontId="22" fillId="46" borderId="0" xfId="13559" applyFont="1" applyFill="1" applyBorder="1" applyAlignment="1" applyProtection="1">
      <alignment horizontal="right"/>
      <protection locked="0"/>
    </xf>
    <xf numFmtId="49" fontId="13" fillId="46" borderId="0" xfId="14" applyNumberFormat="1" applyFont="1" applyFill="1" applyBorder="1" applyAlignment="1" applyProtection="1">
      <alignment horizontal="center" wrapText="1"/>
      <protection locked="0"/>
    </xf>
    <xf numFmtId="1" fontId="13" fillId="46" borderId="0" xfId="3" applyNumberFormat="1" applyFont="1" applyFill="1" applyBorder="1" applyAlignment="1" applyProtection="1">
      <alignment horizontal="center" wrapText="1"/>
      <protection locked="0"/>
    </xf>
    <xf numFmtId="166" fontId="13" fillId="14" borderId="17" xfId="14" applyNumberFormat="1" applyFont="1" applyFill="1" applyBorder="1" applyAlignment="1">
      <alignment horizontal="right"/>
    </xf>
    <xf numFmtId="6" fontId="12" fillId="0" borderId="17" xfId="18" applyNumberFormat="1" applyFont="1" applyFill="1" applyBorder="1" applyAlignment="1">
      <alignment horizontal="right"/>
    </xf>
    <xf numFmtId="49" fontId="108" fillId="46" borderId="0" xfId="13556" applyNumberFormat="1" applyFont="1" applyFill="1" applyBorder="1" applyAlignment="1" applyProtection="1">
      <alignment horizontal="left"/>
      <protection locked="0"/>
    </xf>
    <xf numFmtId="1" fontId="77" fillId="46" borderId="0" xfId="13556" applyNumberFormat="1" applyFont="1" applyFill="1" applyBorder="1" applyAlignment="1" applyProtection="1">
      <alignment horizontal="center"/>
      <protection locked="0"/>
    </xf>
    <xf numFmtId="37" fontId="13" fillId="51" borderId="0" xfId="3" applyFont="1" applyFill="1" applyBorder="1" applyAlignment="1" applyProtection="1">
      <alignment horizontal="center"/>
      <protection locked="0"/>
    </xf>
    <xf numFmtId="37" fontId="13" fillId="51" borderId="0" xfId="3" applyFont="1" applyFill="1" applyBorder="1" applyAlignment="1" applyProtection="1">
      <alignment horizontal="left"/>
      <protection locked="0"/>
    </xf>
    <xf numFmtId="49" fontId="13" fillId="51" borderId="0" xfId="13556" applyNumberFormat="1" applyFont="1" applyFill="1" applyBorder="1" applyAlignment="1" applyProtection="1">
      <alignment horizontal="left"/>
      <protection locked="0"/>
    </xf>
    <xf numFmtId="3" fontId="108" fillId="51" borderId="0" xfId="13563" applyFont="1" applyFill="1" applyBorder="1" applyAlignment="1" applyProtection="1">
      <protection locked="0"/>
    </xf>
    <xf numFmtId="1" fontId="13" fillId="51" borderId="0" xfId="13557" applyNumberFormat="1" applyFont="1" applyFill="1" applyBorder="1" applyAlignment="1" applyProtection="1">
      <alignment horizontal="center"/>
      <protection locked="0"/>
    </xf>
    <xf numFmtId="1" fontId="77" fillId="51" borderId="0" xfId="13557" applyNumberFormat="1" applyFont="1" applyFill="1" applyBorder="1" applyAlignment="1" applyProtection="1">
      <alignment horizontal="center"/>
      <protection locked="0"/>
    </xf>
    <xf numFmtId="3" fontId="13" fillId="14" borderId="17" xfId="16" applyNumberFormat="1" applyFont="1" applyFill="1" applyBorder="1"/>
    <xf numFmtId="49" fontId="13" fillId="51" borderId="0" xfId="13557" applyNumberFormat="1" applyFont="1" applyFill="1" applyBorder="1" applyAlignment="1" applyProtection="1">
      <alignment horizontal="left"/>
      <protection locked="0"/>
    </xf>
    <xf numFmtId="49" fontId="105" fillId="51" borderId="0" xfId="13557" applyNumberFormat="1" applyFont="1" applyFill="1" applyBorder="1" applyAlignment="1" applyProtection="1">
      <alignment horizontal="left"/>
      <protection locked="0"/>
    </xf>
    <xf numFmtId="49" fontId="105" fillId="51" borderId="0" xfId="13556" applyNumberFormat="1" applyFont="1" applyFill="1" applyBorder="1" applyAlignment="1" applyProtection="1">
      <alignment horizontal="left"/>
      <protection locked="0"/>
    </xf>
    <xf numFmtId="49" fontId="13" fillId="52" borderId="0" xfId="13556" applyNumberFormat="1" applyFont="1" applyFill="1" applyBorder="1" applyAlignment="1" applyProtection="1">
      <alignment horizontal="left"/>
      <protection locked="0"/>
    </xf>
    <xf numFmtId="1" fontId="13" fillId="51" borderId="0" xfId="13556" applyNumberFormat="1" applyFont="1" applyFill="1" applyBorder="1" applyAlignment="1" applyProtection="1">
      <alignment horizontal="center"/>
      <protection locked="0"/>
    </xf>
    <xf numFmtId="49" fontId="114" fillId="51" borderId="0" xfId="13556" applyNumberFormat="1" applyFont="1" applyFill="1" applyBorder="1" applyAlignment="1" applyProtection="1">
      <alignment horizontal="left"/>
      <protection locked="0"/>
    </xf>
    <xf numFmtId="1" fontId="13" fillId="51" borderId="0" xfId="13563" applyNumberFormat="1" applyFont="1" applyFill="1" applyBorder="1" applyAlignment="1" applyProtection="1">
      <alignment horizontal="center"/>
      <protection locked="0"/>
    </xf>
    <xf numFmtId="37" fontId="13" fillId="51" borderId="0" xfId="3" applyFont="1" applyFill="1" applyBorder="1" applyAlignment="1" applyProtection="1">
      <alignment horizontal="right"/>
      <protection locked="0"/>
    </xf>
    <xf numFmtId="37" fontId="105" fillId="51" borderId="0" xfId="3" applyFont="1" applyFill="1" applyBorder="1" applyAlignment="1" applyProtection="1">
      <alignment horizontal="left"/>
      <protection locked="0"/>
    </xf>
    <xf numFmtId="49" fontId="13" fillId="51" borderId="0" xfId="3" applyNumberFormat="1" applyFont="1" applyFill="1" applyBorder="1" applyAlignment="1" applyProtection="1">
      <alignment horizontal="center"/>
      <protection locked="0"/>
    </xf>
    <xf numFmtId="1" fontId="13" fillId="51" borderId="0" xfId="3" applyNumberFormat="1" applyFont="1" applyFill="1" applyBorder="1" applyAlignment="1" applyProtection="1">
      <alignment horizontal="center" wrapText="1"/>
      <protection locked="0"/>
    </xf>
    <xf numFmtId="37" fontId="22" fillId="51" borderId="0" xfId="3" applyFont="1" applyFill="1" applyBorder="1" applyAlignment="1" applyProtection="1">
      <protection locked="0"/>
    </xf>
    <xf numFmtId="37" fontId="105" fillId="51" borderId="0" xfId="3" applyFont="1" applyFill="1" applyBorder="1" applyAlignment="1" applyProtection="1">
      <protection locked="0"/>
    </xf>
    <xf numFmtId="0" fontId="13" fillId="51" borderId="0" xfId="3" applyNumberFormat="1" applyFont="1" applyFill="1" applyBorder="1" applyAlignment="1" applyProtection="1">
      <alignment horizontal="center"/>
      <protection locked="0"/>
    </xf>
    <xf numFmtId="1" fontId="22" fillId="51" borderId="0" xfId="13557" applyNumberFormat="1" applyFont="1" applyFill="1" applyBorder="1" applyAlignment="1" applyProtection="1">
      <alignment horizontal="center"/>
      <protection locked="0"/>
    </xf>
    <xf numFmtId="167" fontId="13" fillId="53" borderId="0" xfId="3" applyNumberFormat="1" applyFont="1" applyFill="1" applyBorder="1" applyAlignment="1" applyProtection="1">
      <alignment horizontal="center"/>
      <protection locked="0"/>
    </xf>
    <xf numFmtId="167" fontId="13" fillId="53" borderId="0" xfId="3" applyNumberFormat="1" applyFont="1" applyFill="1" applyBorder="1" applyAlignment="1" applyProtection="1">
      <alignment horizontal="left"/>
      <protection locked="0"/>
    </xf>
    <xf numFmtId="167" fontId="13" fillId="53" borderId="0" xfId="3" applyNumberFormat="1" applyFont="1" applyFill="1" applyBorder="1" applyAlignment="1" applyProtection="1">
      <protection locked="0"/>
    </xf>
    <xf numFmtId="167" fontId="105" fillId="53" borderId="0" xfId="3" applyNumberFormat="1" applyFont="1" applyFill="1" applyBorder="1" applyAlignment="1" applyProtection="1">
      <protection locked="0"/>
    </xf>
    <xf numFmtId="49" fontId="13" fillId="53" borderId="0" xfId="14" applyNumberFormat="1" applyFont="1" applyFill="1" applyBorder="1" applyAlignment="1" applyProtection="1">
      <alignment horizontal="center"/>
      <protection locked="0"/>
    </xf>
    <xf numFmtId="1" fontId="13" fillId="53" borderId="0" xfId="3" applyNumberFormat="1" applyFont="1" applyFill="1" applyBorder="1" applyAlignment="1" applyProtection="1">
      <alignment horizontal="center"/>
      <protection locked="0"/>
    </xf>
    <xf numFmtId="167" fontId="44" fillId="53" borderId="0" xfId="3" applyNumberFormat="1" applyFont="1" applyFill="1" applyBorder="1" applyAlignment="1" applyProtection="1">
      <alignment horizontal="right"/>
      <protection locked="0"/>
    </xf>
    <xf numFmtId="167" fontId="105" fillId="53" borderId="0" xfId="3" applyNumberFormat="1" applyFont="1" applyFill="1" applyBorder="1" applyAlignment="1" applyProtection="1">
      <alignment horizontal="right"/>
      <protection locked="0"/>
    </xf>
    <xf numFmtId="167" fontId="13" fillId="53" borderId="0" xfId="3" applyNumberFormat="1" applyFont="1" applyFill="1" applyBorder="1" applyAlignment="1" applyProtection="1">
      <alignment horizontal="right"/>
      <protection locked="0"/>
    </xf>
    <xf numFmtId="165" fontId="13" fillId="53" borderId="0" xfId="13561" applyFont="1" applyFill="1" applyBorder="1" applyAlignment="1" applyProtection="1">
      <protection locked="0"/>
    </xf>
    <xf numFmtId="165" fontId="105" fillId="53" borderId="0" xfId="13561" applyFont="1" applyFill="1" applyBorder="1" applyAlignment="1" applyProtection="1">
      <protection locked="0"/>
    </xf>
    <xf numFmtId="49" fontId="13" fillId="53" borderId="0" xfId="13561" applyNumberFormat="1" applyFont="1" applyFill="1" applyBorder="1" applyAlignment="1" applyProtection="1">
      <alignment horizontal="center"/>
      <protection locked="0"/>
    </xf>
    <xf numFmtId="1" fontId="13" fillId="53" borderId="0" xfId="13556" applyNumberFormat="1" applyFont="1" applyFill="1" applyBorder="1" applyAlignment="1" applyProtection="1">
      <alignment horizontal="center"/>
      <protection locked="0"/>
    </xf>
    <xf numFmtId="49" fontId="105" fillId="53" borderId="0" xfId="13561" applyNumberFormat="1" applyFont="1" applyFill="1" applyBorder="1" applyAlignment="1" applyProtection="1">
      <alignment horizontal="left"/>
      <protection locked="0"/>
    </xf>
    <xf numFmtId="1" fontId="13" fillId="53" borderId="0" xfId="13561" applyNumberFormat="1" applyFont="1" applyFill="1" applyBorder="1" applyAlignment="1" applyProtection="1">
      <alignment horizontal="center"/>
      <protection locked="0"/>
    </xf>
    <xf numFmtId="49" fontId="13" fillId="53" borderId="0" xfId="13561" applyNumberFormat="1" applyFont="1" applyFill="1" applyBorder="1" applyAlignment="1" applyProtection="1">
      <alignment horizontal="left"/>
      <protection locked="0"/>
    </xf>
    <xf numFmtId="49" fontId="108" fillId="53" borderId="0" xfId="13561" applyNumberFormat="1" applyFont="1" applyFill="1" applyBorder="1" applyAlignment="1" applyProtection="1">
      <alignment horizontal="left"/>
      <protection locked="0"/>
    </xf>
    <xf numFmtId="3" fontId="13" fillId="53" borderId="0" xfId="13563" applyFont="1" applyFill="1" applyBorder="1" applyAlignment="1" applyProtection="1">
      <protection locked="0"/>
    </xf>
    <xf numFmtId="3" fontId="105" fillId="53" borderId="0" xfId="13563" applyFont="1" applyFill="1" applyBorder="1" applyAlignment="1" applyProtection="1">
      <protection locked="0"/>
    </xf>
    <xf numFmtId="3" fontId="13" fillId="53" borderId="0" xfId="13563" applyFont="1" applyFill="1" applyBorder="1" applyAlignment="1" applyProtection="1">
      <alignment horizontal="center"/>
      <protection locked="0"/>
    </xf>
    <xf numFmtId="1" fontId="22" fillId="53" borderId="0" xfId="13556" applyNumberFormat="1" applyFont="1" applyFill="1" applyBorder="1" applyAlignment="1" applyProtection="1">
      <alignment horizontal="center"/>
      <protection locked="0"/>
    </xf>
    <xf numFmtId="1" fontId="13" fillId="54" borderId="0" xfId="13556" applyNumberFormat="1" applyFont="1" applyFill="1" applyBorder="1" applyAlignment="1" applyProtection="1">
      <alignment horizontal="center"/>
      <protection locked="0"/>
    </xf>
    <xf numFmtId="1" fontId="77" fillId="53" borderId="0" xfId="13556" applyNumberFormat="1" applyFont="1" applyFill="1" applyBorder="1" applyAlignment="1" applyProtection="1">
      <alignment horizontal="center"/>
      <protection locked="0"/>
    </xf>
    <xf numFmtId="49" fontId="105" fillId="53" borderId="0" xfId="13563" applyNumberFormat="1" applyFont="1" applyFill="1" applyBorder="1" applyAlignment="1" applyProtection="1">
      <alignment horizontal="left"/>
      <protection locked="0"/>
    </xf>
    <xf numFmtId="49" fontId="13" fillId="53" borderId="0" xfId="13563" applyNumberFormat="1" applyFont="1" applyFill="1" applyBorder="1" applyAlignment="1" applyProtection="1">
      <alignment horizontal="left"/>
      <protection locked="0"/>
    </xf>
    <xf numFmtId="1" fontId="13" fillId="53" borderId="0" xfId="13563" applyNumberFormat="1" applyFont="1" applyFill="1" applyBorder="1" applyAlignment="1" applyProtection="1">
      <alignment horizontal="center"/>
      <protection locked="0"/>
    </xf>
    <xf numFmtId="49" fontId="13" fillId="54" borderId="0" xfId="13561" applyNumberFormat="1" applyFont="1" applyFill="1" applyBorder="1" applyAlignment="1" applyProtection="1">
      <alignment horizontal="left"/>
      <protection locked="0"/>
    </xf>
    <xf numFmtId="49" fontId="105" fillId="54" borderId="0" xfId="13561" applyNumberFormat="1" applyFont="1" applyFill="1" applyBorder="1" applyAlignment="1" applyProtection="1">
      <alignment horizontal="left"/>
      <protection locked="0"/>
    </xf>
    <xf numFmtId="167" fontId="22" fillId="53" borderId="0" xfId="3" applyNumberFormat="1" applyFont="1" applyFill="1" applyBorder="1" applyAlignment="1" applyProtection="1">
      <protection locked="0"/>
    </xf>
    <xf numFmtId="49" fontId="13" fillId="53" borderId="0" xfId="14" applyNumberFormat="1" applyFont="1" applyFill="1" applyBorder="1" applyAlignment="1" applyProtection="1">
      <protection locked="0"/>
    </xf>
    <xf numFmtId="37" fontId="44" fillId="53" borderId="0" xfId="3" applyFont="1" applyFill="1" applyBorder="1" applyAlignment="1" applyProtection="1">
      <alignment horizontal="right"/>
      <protection locked="0"/>
    </xf>
    <xf numFmtId="37" fontId="105" fillId="53" borderId="0" xfId="3" applyFont="1" applyFill="1" applyBorder="1" applyAlignment="1" applyProtection="1">
      <alignment horizontal="right"/>
      <protection locked="0"/>
    </xf>
    <xf numFmtId="37" fontId="13" fillId="53" borderId="0" xfId="3" applyFont="1" applyFill="1" applyBorder="1" applyAlignment="1" applyProtection="1">
      <alignment horizontal="right"/>
      <protection locked="0"/>
    </xf>
    <xf numFmtId="167" fontId="44" fillId="53" borderId="0" xfId="3" applyNumberFormat="1" applyFont="1" applyFill="1" applyBorder="1" applyAlignment="1" applyProtection="1">
      <alignment horizontal="left"/>
      <protection locked="0"/>
    </xf>
    <xf numFmtId="167" fontId="105" fillId="53" borderId="0" xfId="3" applyNumberFormat="1" applyFont="1" applyFill="1" applyBorder="1" applyAlignment="1" applyProtection="1">
      <alignment horizontal="left"/>
      <protection locked="0"/>
    </xf>
    <xf numFmtId="167" fontId="22" fillId="53" borderId="0" xfId="3" applyNumberFormat="1" applyFont="1" applyFill="1" applyBorder="1" applyAlignment="1" applyProtection="1">
      <alignment horizontal="right"/>
      <protection locked="0"/>
    </xf>
    <xf numFmtId="37" fontId="13" fillId="53" borderId="0" xfId="13559" applyFont="1" applyFill="1" applyBorder="1" applyAlignment="1" applyProtection="1">
      <alignment horizontal="left" vertical="center" wrapText="1"/>
      <protection locked="0"/>
    </xf>
    <xf numFmtId="37" fontId="13" fillId="53" borderId="0" xfId="13559" applyFont="1" applyFill="1" applyBorder="1" applyAlignment="1" applyProtection="1">
      <alignment horizontal="right"/>
      <protection locked="0"/>
    </xf>
    <xf numFmtId="37" fontId="105" fillId="53" borderId="0" xfId="13559" applyFont="1" applyFill="1" applyBorder="1" applyAlignment="1" applyProtection="1">
      <alignment horizontal="right"/>
      <protection locked="0"/>
    </xf>
    <xf numFmtId="37" fontId="44" fillId="53" borderId="0" xfId="13559" applyFont="1" applyFill="1" applyBorder="1" applyAlignment="1" applyProtection="1">
      <alignment horizontal="left"/>
      <protection locked="0"/>
    </xf>
    <xf numFmtId="37" fontId="105" fillId="53" borderId="0" xfId="13559" applyFont="1" applyFill="1" applyBorder="1" applyAlignment="1" applyProtection="1">
      <alignment horizontal="left"/>
      <protection locked="0"/>
    </xf>
    <xf numFmtId="37" fontId="13" fillId="53" borderId="0" xfId="3" applyFont="1" applyFill="1" applyBorder="1" applyAlignment="1" applyProtection="1">
      <alignment horizontal="left"/>
      <protection locked="0"/>
    </xf>
    <xf numFmtId="37" fontId="44" fillId="53" borderId="0" xfId="3" applyFont="1" applyFill="1" applyBorder="1" applyAlignment="1" applyProtection="1">
      <alignment horizontal="left"/>
      <protection locked="0"/>
    </xf>
    <xf numFmtId="37" fontId="105" fillId="53" borderId="0" xfId="3" applyFont="1" applyFill="1" applyBorder="1" applyAlignment="1" applyProtection="1">
      <alignment horizontal="left"/>
      <protection locked="0"/>
    </xf>
    <xf numFmtId="49" fontId="13" fillId="53" borderId="0" xfId="14" applyNumberFormat="1" applyFont="1" applyFill="1" applyBorder="1" applyAlignment="1" applyProtection="1">
      <alignment horizontal="center" wrapText="1"/>
      <protection locked="0"/>
    </xf>
    <xf numFmtId="1" fontId="13" fillId="53" borderId="0" xfId="3" applyNumberFormat="1" applyFont="1" applyFill="1" applyBorder="1" applyAlignment="1" applyProtection="1">
      <alignment horizontal="center" wrapText="1"/>
      <protection locked="0"/>
    </xf>
    <xf numFmtId="37" fontId="105" fillId="46" borderId="0" xfId="3" applyFont="1" applyFill="1" applyBorder="1" applyAlignment="1" applyProtection="1">
      <protection locked="0"/>
    </xf>
    <xf numFmtId="49" fontId="13" fillId="46" borderId="0" xfId="3" applyNumberFormat="1" applyFont="1" applyFill="1" applyBorder="1" applyAlignment="1" applyProtection="1">
      <alignment horizontal="center"/>
      <protection locked="0"/>
    </xf>
    <xf numFmtId="3" fontId="22" fillId="0" borderId="17" xfId="15" applyNumberFormat="1" applyFont="1" applyFill="1" applyBorder="1" applyAlignment="1" applyProtection="1">
      <alignment horizontal="right"/>
      <protection locked="0"/>
    </xf>
    <xf numFmtId="3" fontId="13" fillId="14" borderId="23" xfId="3" applyNumberFormat="1" applyFont="1" applyFill="1" applyBorder="1" applyAlignment="1" applyProtection="1">
      <alignment horizontal="right"/>
      <protection locked="0"/>
    </xf>
    <xf numFmtId="3" fontId="22" fillId="0" borderId="23" xfId="15" applyNumberFormat="1" applyFont="1" applyFill="1" applyBorder="1" applyAlignment="1" applyProtection="1">
      <alignment horizontal="right"/>
      <protection locked="0"/>
    </xf>
    <xf numFmtId="3" fontId="13" fillId="0" borderId="23" xfId="15" applyNumberFormat="1" applyFont="1" applyFill="1" applyBorder="1" applyAlignment="1" applyProtection="1">
      <alignment horizontal="right"/>
      <protection locked="0"/>
    </xf>
    <xf numFmtId="3" fontId="13" fillId="0" borderId="26" xfId="15" applyNumberFormat="1" applyFont="1" applyFill="1" applyBorder="1" applyAlignment="1" applyProtection="1">
      <alignment horizontal="right"/>
      <protection locked="0"/>
    </xf>
    <xf numFmtId="167" fontId="44" fillId="46" borderId="0" xfId="3" applyNumberFormat="1" applyFont="1" applyFill="1" applyBorder="1" applyAlignment="1" applyProtection="1">
      <alignment horizontal="right"/>
      <protection locked="0"/>
    </xf>
    <xf numFmtId="167" fontId="105" fillId="46" borderId="0" xfId="3" applyNumberFormat="1" applyFont="1" applyFill="1" applyBorder="1" applyAlignment="1" applyProtection="1">
      <alignment horizontal="right"/>
      <protection locked="0"/>
    </xf>
    <xf numFmtId="37" fontId="105" fillId="46" borderId="0" xfId="3" applyFont="1" applyFill="1" applyBorder="1" applyAlignment="1" applyProtection="1">
      <alignment horizontal="right"/>
      <protection locked="0"/>
    </xf>
    <xf numFmtId="3" fontId="22" fillId="0" borderId="17" xfId="15" applyNumberFormat="1" applyFont="1" applyFill="1" applyBorder="1" applyAlignment="1" applyProtection="1">
      <alignment horizontal="center"/>
      <protection locked="0"/>
    </xf>
    <xf numFmtId="167" fontId="13" fillId="46" borderId="0" xfId="3" applyNumberFormat="1" applyFont="1" applyFill="1" applyBorder="1" applyAlignment="1" applyProtection="1">
      <alignment horizontal="right"/>
      <protection locked="0"/>
    </xf>
    <xf numFmtId="49" fontId="108" fillId="46" borderId="0" xfId="13561" applyNumberFormat="1" applyFont="1" applyFill="1" applyBorder="1" applyAlignment="1" applyProtection="1">
      <alignment horizontal="left"/>
      <protection locked="0"/>
    </xf>
    <xf numFmtId="1" fontId="13" fillId="46" borderId="0" xfId="13563" quotePrefix="1" applyNumberFormat="1" applyFont="1" applyFill="1" applyBorder="1" applyAlignment="1" applyProtection="1">
      <alignment horizontal="center"/>
      <protection locked="0"/>
    </xf>
    <xf numFmtId="1" fontId="13" fillId="46" borderId="0" xfId="13565" applyNumberFormat="1" applyFont="1" applyFill="1" applyBorder="1" applyAlignment="1" applyProtection="1">
      <alignment horizontal="center"/>
      <protection locked="0"/>
    </xf>
    <xf numFmtId="3" fontId="13" fillId="46" borderId="0" xfId="13563" applyFont="1" applyFill="1" applyBorder="1" applyAlignment="1" applyProtection="1">
      <protection locked="0"/>
    </xf>
    <xf numFmtId="3" fontId="105" fillId="46" borderId="0" xfId="13563" applyFont="1" applyFill="1" applyBorder="1" applyAlignment="1" applyProtection="1">
      <protection locked="0"/>
    </xf>
    <xf numFmtId="49" fontId="13" fillId="46" borderId="0" xfId="13563" applyNumberFormat="1" applyFont="1" applyFill="1" applyBorder="1" applyAlignment="1" applyProtection="1">
      <alignment horizontal="center"/>
      <protection locked="0"/>
    </xf>
    <xf numFmtId="1" fontId="13" fillId="55" borderId="0" xfId="13566" applyNumberFormat="1" applyFont="1" applyFill="1" applyBorder="1" applyAlignment="1" applyProtection="1">
      <alignment horizontal="center"/>
      <protection locked="0"/>
    </xf>
    <xf numFmtId="3" fontId="13" fillId="4" borderId="0" xfId="13563" applyFont="1" applyFill="1" applyBorder="1" applyAlignment="1" applyProtection="1">
      <protection locked="0"/>
    </xf>
    <xf numFmtId="3" fontId="105" fillId="4" borderId="0" xfId="13563" applyFont="1" applyFill="1" applyBorder="1" applyAlignment="1" applyProtection="1">
      <protection locked="0"/>
    </xf>
    <xf numFmtId="3" fontId="13" fillId="56" borderId="0" xfId="13563" applyFont="1" applyFill="1" applyBorder="1" applyAlignment="1" applyProtection="1">
      <protection locked="0"/>
    </xf>
    <xf numFmtId="3" fontId="105" fillId="56" borderId="0" xfId="13563" applyFont="1" applyFill="1" applyBorder="1" applyAlignment="1" applyProtection="1">
      <protection locked="0"/>
    </xf>
    <xf numFmtId="1" fontId="13" fillId="46" borderId="0" xfId="13557" applyNumberFormat="1" applyFont="1" applyFill="1" applyBorder="1" applyAlignment="1" applyProtection="1">
      <alignment horizontal="center"/>
      <protection locked="0"/>
    </xf>
    <xf numFmtId="49" fontId="13" fillId="57" borderId="0" xfId="13561" applyNumberFormat="1" applyFont="1" applyFill="1" applyBorder="1" applyAlignment="1" applyProtection="1">
      <alignment horizontal="left"/>
      <protection locked="0"/>
    </xf>
    <xf numFmtId="3" fontId="13" fillId="58" borderId="0" xfId="13563" applyFont="1" applyFill="1" applyBorder="1" applyAlignment="1" applyProtection="1">
      <protection locked="0"/>
    </xf>
    <xf numFmtId="3" fontId="105" fillId="58" borderId="0" xfId="13563" applyFont="1" applyFill="1" applyBorder="1" applyAlignment="1" applyProtection="1">
      <protection locked="0"/>
    </xf>
    <xf numFmtId="37" fontId="13" fillId="57" borderId="0" xfId="3" applyFont="1" applyFill="1" applyBorder="1" applyAlignment="1" applyProtection="1">
      <protection locked="0"/>
    </xf>
    <xf numFmtId="49" fontId="13" fillId="57" borderId="0" xfId="13563" applyNumberFormat="1" applyFont="1" applyFill="1" applyBorder="1" applyAlignment="1" applyProtection="1">
      <alignment horizontal="left"/>
      <protection locked="0"/>
    </xf>
    <xf numFmtId="1" fontId="13" fillId="46" borderId="0" xfId="13563" applyNumberFormat="1" applyFont="1" applyFill="1" applyBorder="1" applyAlignment="1" applyProtection="1">
      <alignment horizontal="center"/>
      <protection locked="0"/>
    </xf>
    <xf numFmtId="0" fontId="0" fillId="0" borderId="0" xfId="0" applyAlignment="1"/>
    <xf numFmtId="3" fontId="13" fillId="56" borderId="0" xfId="13563" applyFont="1" applyFill="1" applyBorder="1" applyAlignment="1" applyProtection="1">
      <alignment horizontal="right"/>
      <protection locked="0"/>
    </xf>
    <xf numFmtId="37" fontId="105" fillId="46" borderId="0" xfId="3" quotePrefix="1" applyFont="1" applyFill="1" applyBorder="1" applyAlignment="1" applyProtection="1">
      <alignment horizontal="right"/>
      <protection locked="0"/>
    </xf>
    <xf numFmtId="49" fontId="13" fillId="46" borderId="0" xfId="3" applyNumberFormat="1" applyFont="1" applyFill="1" applyBorder="1" applyAlignment="1" applyProtection="1">
      <protection locked="0"/>
    </xf>
    <xf numFmtId="3" fontId="13" fillId="4" borderId="0" xfId="13563" applyFont="1" applyFill="1" applyBorder="1" applyAlignment="1" applyProtection="1">
      <alignment horizontal="right"/>
      <protection locked="0"/>
    </xf>
    <xf numFmtId="3" fontId="13" fillId="58" borderId="0" xfId="13563" applyFont="1" applyFill="1" applyBorder="1" applyAlignment="1" applyProtection="1">
      <alignment horizontal="right"/>
      <protection locked="0"/>
    </xf>
    <xf numFmtId="37" fontId="13" fillId="59" borderId="0" xfId="3" quotePrefix="1" applyFont="1" applyFill="1" applyBorder="1" applyAlignment="1" applyProtection="1">
      <protection locked="0"/>
    </xf>
    <xf numFmtId="37" fontId="105" fillId="46" borderId="0" xfId="3" quotePrefix="1" applyFont="1" applyFill="1" applyBorder="1" applyAlignment="1" applyProtection="1">
      <protection locked="0"/>
    </xf>
    <xf numFmtId="37" fontId="13" fillId="59" borderId="0" xfId="3" quotePrefix="1" applyFont="1" applyFill="1" applyBorder="1" applyAlignment="1" applyProtection="1">
      <alignment horizontal="left"/>
      <protection locked="0"/>
    </xf>
    <xf numFmtId="37" fontId="105" fillId="46" borderId="0" xfId="3" quotePrefix="1" applyFont="1" applyFill="1" applyBorder="1" applyAlignment="1" applyProtection="1">
      <alignment horizontal="left"/>
      <protection locked="0"/>
    </xf>
    <xf numFmtId="37" fontId="22" fillId="60" borderId="0" xfId="3" applyFont="1" applyFill="1" applyBorder="1" applyAlignment="1" applyProtection="1">
      <alignment horizontal="right"/>
      <protection locked="0"/>
    </xf>
    <xf numFmtId="37" fontId="22" fillId="60" borderId="0" xfId="3" quotePrefix="1" applyFont="1" applyFill="1" applyBorder="1" applyAlignment="1" applyProtection="1">
      <alignment horizontal="right"/>
      <protection locked="0"/>
    </xf>
    <xf numFmtId="3" fontId="13" fillId="8" borderId="23" xfId="3" applyNumberFormat="1" applyFont="1" applyFill="1" applyBorder="1" applyAlignment="1" applyProtection="1">
      <alignment horizontal="right"/>
      <protection locked="0"/>
    </xf>
    <xf numFmtId="37" fontId="47" fillId="60" borderId="0" xfId="3" applyFont="1" applyFill="1" applyBorder="1" applyAlignment="1" applyProtection="1">
      <alignment horizontal="right"/>
      <protection locked="0"/>
    </xf>
    <xf numFmtId="37" fontId="109" fillId="60" borderId="0" xfId="3" applyFont="1" applyFill="1" applyBorder="1" applyAlignment="1" applyProtection="1">
      <alignment horizontal="right"/>
      <protection locked="0"/>
    </xf>
    <xf numFmtId="37" fontId="22" fillId="60" borderId="0" xfId="13559" applyFont="1" applyFill="1" applyBorder="1" applyAlignment="1" applyProtection="1">
      <alignment horizontal="right"/>
      <protection locked="0"/>
    </xf>
    <xf numFmtId="37" fontId="13" fillId="61" borderId="0" xfId="3" applyFont="1" applyFill="1" applyBorder="1" applyAlignment="1" applyProtection="1">
      <alignment horizontal="center"/>
      <protection locked="0"/>
    </xf>
    <xf numFmtId="167" fontId="13" fillId="61" borderId="0" xfId="3" applyNumberFormat="1" applyFont="1" applyFill="1" applyBorder="1" applyAlignment="1" applyProtection="1">
      <alignment horizontal="left"/>
      <protection locked="0"/>
    </xf>
    <xf numFmtId="167" fontId="13" fillId="61" borderId="0" xfId="3" applyNumberFormat="1" applyFont="1" applyFill="1" applyBorder="1" applyAlignment="1" applyProtection="1">
      <protection locked="0"/>
    </xf>
    <xf numFmtId="167" fontId="105" fillId="61" borderId="0" xfId="3" applyNumberFormat="1" applyFont="1" applyFill="1" applyBorder="1" applyAlignment="1" applyProtection="1">
      <protection locked="0"/>
    </xf>
    <xf numFmtId="49" fontId="13" fillId="61" borderId="0" xfId="14" applyNumberFormat="1" applyFont="1" applyFill="1" applyBorder="1" applyAlignment="1" applyProtection="1">
      <alignment horizontal="center"/>
      <protection locked="0"/>
    </xf>
    <xf numFmtId="1" fontId="13" fillId="61" borderId="0" xfId="3" applyNumberFormat="1" applyFont="1" applyFill="1" applyBorder="1" applyAlignment="1" applyProtection="1">
      <alignment horizontal="center"/>
      <protection locked="0"/>
    </xf>
    <xf numFmtId="167" fontId="13" fillId="61" borderId="0" xfId="3" applyNumberFormat="1" applyFont="1" applyFill="1" applyBorder="1" applyAlignment="1" applyProtection="1">
      <alignment horizontal="center"/>
      <protection locked="0"/>
    </xf>
    <xf numFmtId="167" fontId="44" fillId="61" borderId="0" xfId="3" applyNumberFormat="1" applyFont="1" applyFill="1" applyBorder="1" applyAlignment="1" applyProtection="1">
      <alignment horizontal="right"/>
      <protection locked="0"/>
    </xf>
    <xf numFmtId="167" fontId="105" fillId="61" borderId="0" xfId="3" applyNumberFormat="1" applyFont="1" applyFill="1" applyBorder="1" applyAlignment="1" applyProtection="1">
      <alignment horizontal="right"/>
      <protection locked="0"/>
    </xf>
    <xf numFmtId="167" fontId="13" fillId="61" borderId="0" xfId="3" applyNumberFormat="1" applyFont="1" applyFill="1" applyBorder="1" applyAlignment="1" applyProtection="1">
      <alignment horizontal="right"/>
      <protection locked="0"/>
    </xf>
    <xf numFmtId="49" fontId="13" fillId="61" borderId="0" xfId="13556" applyNumberFormat="1" applyFont="1" applyFill="1" applyBorder="1" applyAlignment="1" applyProtection="1">
      <alignment horizontal="left"/>
      <protection locked="0"/>
    </xf>
    <xf numFmtId="49" fontId="108" fillId="61" borderId="0" xfId="13556" applyNumberFormat="1" applyFont="1" applyFill="1" applyBorder="1" applyAlignment="1" applyProtection="1">
      <alignment horizontal="left"/>
      <protection locked="0"/>
    </xf>
    <xf numFmtId="1" fontId="13" fillId="61" borderId="0" xfId="13556" applyNumberFormat="1" applyFont="1" applyFill="1" applyBorder="1" applyAlignment="1" applyProtection="1">
      <alignment horizontal="center"/>
      <protection locked="0"/>
    </xf>
    <xf numFmtId="49" fontId="105" fillId="61" borderId="0" xfId="13556" applyNumberFormat="1" applyFont="1" applyFill="1" applyBorder="1" applyAlignment="1" applyProtection="1">
      <alignment horizontal="left"/>
      <protection locked="0"/>
    </xf>
    <xf numFmtId="165" fontId="13" fillId="61" borderId="0" xfId="13556" applyFont="1" applyFill="1" applyBorder="1" applyAlignment="1" applyProtection="1">
      <protection locked="0"/>
    </xf>
    <xf numFmtId="165" fontId="105" fillId="61" borderId="0" xfId="13556" applyFont="1" applyFill="1" applyBorder="1" applyAlignment="1" applyProtection="1">
      <protection locked="0"/>
    </xf>
    <xf numFmtId="167" fontId="105" fillId="61" borderId="0" xfId="3" applyNumberFormat="1" applyFont="1" applyFill="1" applyBorder="1" applyAlignment="1" applyProtection="1">
      <alignment horizontal="left"/>
      <protection locked="0"/>
    </xf>
    <xf numFmtId="167" fontId="22" fillId="61" borderId="0" xfId="3" applyNumberFormat="1" applyFont="1" applyFill="1" applyBorder="1" applyAlignment="1" applyProtection="1">
      <protection locked="0"/>
    </xf>
    <xf numFmtId="167" fontId="115" fillId="61" borderId="0" xfId="3" applyNumberFormat="1" applyFont="1" applyFill="1" applyBorder="1" applyAlignment="1" applyProtection="1">
      <alignment horizontal="right"/>
      <protection locked="0"/>
    </xf>
    <xf numFmtId="37" fontId="44" fillId="61" borderId="0" xfId="3" applyFont="1" applyFill="1" applyBorder="1" applyAlignment="1" applyProtection="1">
      <alignment horizontal="right"/>
      <protection locked="0"/>
    </xf>
    <xf numFmtId="37" fontId="105" fillId="61" borderId="0" xfId="3" applyFont="1" applyFill="1" applyBorder="1" applyAlignment="1" applyProtection="1">
      <alignment horizontal="right"/>
      <protection locked="0"/>
    </xf>
    <xf numFmtId="167" fontId="44" fillId="61" borderId="0" xfId="3" applyNumberFormat="1" applyFont="1" applyFill="1" applyBorder="1" applyAlignment="1" applyProtection="1">
      <alignment horizontal="left"/>
      <protection locked="0"/>
    </xf>
    <xf numFmtId="167" fontId="109" fillId="61" borderId="0" xfId="3" applyNumberFormat="1" applyFont="1" applyFill="1" applyBorder="1" applyAlignment="1" applyProtection="1">
      <alignment horizontal="right"/>
      <protection locked="0"/>
    </xf>
    <xf numFmtId="37" fontId="13" fillId="61" borderId="0" xfId="13559" applyFont="1" applyFill="1" applyBorder="1" applyAlignment="1" applyProtection="1">
      <alignment horizontal="left" vertical="center"/>
      <protection locked="0"/>
    </xf>
    <xf numFmtId="37" fontId="13" fillId="61" borderId="0" xfId="13559" applyFont="1" applyFill="1" applyBorder="1" applyAlignment="1" applyProtection="1">
      <alignment horizontal="right"/>
      <protection locked="0"/>
    </xf>
    <xf numFmtId="37" fontId="105" fillId="61" borderId="0" xfId="13559" applyFont="1" applyFill="1" applyBorder="1" applyAlignment="1" applyProtection="1">
      <alignment horizontal="right"/>
      <protection locked="0"/>
    </xf>
    <xf numFmtId="37" fontId="22" fillId="61" borderId="0" xfId="13559" applyFont="1" applyFill="1" applyBorder="1" applyAlignment="1" applyProtection="1">
      <alignment horizontal="right"/>
      <protection locked="0"/>
    </xf>
    <xf numFmtId="49" fontId="13" fillId="61" borderId="0" xfId="13560" applyNumberFormat="1" applyFont="1" applyFill="1" applyBorder="1" applyAlignment="1" applyProtection="1">
      <protection locked="0"/>
    </xf>
    <xf numFmtId="1" fontId="13" fillId="61" borderId="0" xfId="13560" applyNumberFormat="1" applyFont="1" applyFill="1" applyBorder="1" applyAlignment="1" applyProtection="1">
      <alignment horizontal="center"/>
      <protection locked="0"/>
    </xf>
    <xf numFmtId="37" fontId="13" fillId="61" borderId="0" xfId="13560" applyFont="1" applyFill="1" applyBorder="1" applyAlignment="1" applyProtection="1">
      <alignment horizontal="left"/>
      <protection locked="0"/>
    </xf>
    <xf numFmtId="37" fontId="44" fillId="61" borderId="0" xfId="13559" applyFont="1" applyFill="1" applyBorder="1" applyAlignment="1" applyProtection="1">
      <alignment horizontal="left"/>
      <protection locked="0"/>
    </xf>
    <xf numFmtId="37" fontId="105" fillId="61" borderId="0" xfId="13559" applyFont="1" applyFill="1" applyBorder="1" applyAlignment="1" applyProtection="1">
      <alignment horizontal="left"/>
      <protection locked="0"/>
    </xf>
    <xf numFmtId="1" fontId="77" fillId="61" borderId="0" xfId="13556" applyNumberFormat="1" applyFont="1" applyFill="1" applyBorder="1" applyAlignment="1" applyProtection="1">
      <alignment horizontal="center"/>
      <protection locked="0"/>
    </xf>
    <xf numFmtId="166" fontId="13" fillId="0" borderId="17" xfId="88" applyNumberFormat="1" applyFont="1" applyFill="1" applyBorder="1" applyAlignment="1">
      <alignment horizontal="right"/>
    </xf>
    <xf numFmtId="49" fontId="105" fillId="44" borderId="0" xfId="13561" applyNumberFormat="1" applyFont="1" applyFill="1" applyBorder="1" applyAlignment="1" applyProtection="1">
      <alignment horizontal="left"/>
      <protection locked="0"/>
    </xf>
    <xf numFmtId="3" fontId="13" fillId="44" borderId="0" xfId="13563" applyFont="1" applyFill="1" applyBorder="1" applyAlignment="1" applyProtection="1">
      <protection locked="0"/>
    </xf>
    <xf numFmtId="3" fontId="105" fillId="44" borderId="0" xfId="13563" applyFont="1" applyFill="1" applyBorder="1" applyAlignment="1" applyProtection="1">
      <protection locked="0"/>
    </xf>
    <xf numFmtId="49" fontId="108" fillId="44" borderId="0" xfId="13561" applyNumberFormat="1" applyFont="1" applyFill="1" applyBorder="1" applyAlignment="1" applyProtection="1">
      <alignment horizontal="left"/>
      <protection locked="0"/>
    </xf>
    <xf numFmtId="1" fontId="13" fillId="44" borderId="0" xfId="13565" applyNumberFormat="1" applyFont="1" applyFill="1" applyBorder="1" applyAlignment="1" applyProtection="1">
      <alignment horizontal="center"/>
      <protection locked="0"/>
    </xf>
    <xf numFmtId="1" fontId="77" fillId="44" borderId="0" xfId="13557" applyNumberFormat="1" applyFont="1" applyFill="1" applyBorder="1" applyAlignment="1" applyProtection="1">
      <alignment horizontal="center"/>
      <protection locked="0"/>
    </xf>
    <xf numFmtId="37" fontId="13" fillId="47" borderId="0" xfId="13559" applyFont="1" applyFill="1" applyBorder="1" applyAlignment="1" applyProtection="1">
      <alignment horizontal="center" vertical="center" wrapText="1"/>
      <protection locked="0"/>
    </xf>
    <xf numFmtId="0" fontId="13" fillId="47" borderId="0" xfId="14" applyNumberFormat="1" applyFont="1" applyFill="1" applyBorder="1" applyAlignment="1" applyProtection="1">
      <alignment horizontal="center"/>
      <protection locked="0"/>
    </xf>
    <xf numFmtId="49" fontId="108" fillId="47" borderId="0" xfId="13561" applyNumberFormat="1" applyFont="1" applyFill="1" applyBorder="1" applyAlignment="1" applyProtection="1">
      <alignment horizontal="left"/>
      <protection locked="0"/>
    </xf>
    <xf numFmtId="37" fontId="22" fillId="47" borderId="0" xfId="3" applyFont="1" applyFill="1" applyBorder="1" applyAlignment="1" applyProtection="1">
      <alignment horizontal="right"/>
      <protection locked="0"/>
    </xf>
    <xf numFmtId="49" fontId="105" fillId="47" borderId="0" xfId="13563" applyNumberFormat="1" applyFont="1" applyFill="1" applyBorder="1" applyAlignment="1" applyProtection="1">
      <alignment horizontal="left"/>
      <protection locked="0"/>
    </xf>
    <xf numFmtId="1" fontId="13" fillId="62" borderId="0" xfId="13558" applyNumberFormat="1" applyFont="1" applyFill="1" applyBorder="1" applyAlignment="1" applyProtection="1">
      <alignment horizontal="center"/>
      <protection locked="0"/>
    </xf>
    <xf numFmtId="37" fontId="13" fillId="50" borderId="0" xfId="3" applyFont="1" applyFill="1" applyBorder="1" applyAlignment="1" applyProtection="1">
      <alignment horizontal="center"/>
      <protection locked="0"/>
    </xf>
    <xf numFmtId="37" fontId="13" fillId="50" borderId="0" xfId="3" applyFont="1" applyFill="1" applyBorder="1" applyAlignment="1" applyProtection="1">
      <alignment horizontal="left"/>
      <protection locked="0"/>
    </xf>
    <xf numFmtId="37" fontId="13" fillId="50" borderId="0" xfId="3" applyFont="1" applyFill="1" applyBorder="1" applyAlignment="1" applyProtection="1">
      <protection locked="0"/>
    </xf>
    <xf numFmtId="37" fontId="105" fillId="50" borderId="0" xfId="3" applyFont="1" applyFill="1" applyBorder="1" applyAlignment="1" applyProtection="1">
      <protection locked="0"/>
    </xf>
    <xf numFmtId="41" fontId="13" fillId="0" borderId="17" xfId="15" applyNumberFormat="1" applyFont="1" applyFill="1" applyBorder="1" applyAlignment="1" applyProtection="1">
      <alignment horizontal="right"/>
      <protection locked="0"/>
    </xf>
    <xf numFmtId="37" fontId="13" fillId="50" borderId="0" xfId="3" applyFont="1" applyFill="1" applyBorder="1" applyAlignment="1" applyProtection="1">
      <alignment horizontal="right"/>
      <protection locked="0"/>
    </xf>
    <xf numFmtId="49" fontId="114" fillId="50" borderId="0" xfId="13561" applyNumberFormat="1" applyFont="1" applyFill="1" applyBorder="1" applyAlignment="1" applyProtection="1">
      <alignment horizontal="left"/>
      <protection locked="0"/>
    </xf>
    <xf numFmtId="1" fontId="13" fillId="50" borderId="0" xfId="13563" applyNumberFormat="1" applyFont="1" applyFill="1" applyBorder="1" applyAlignment="1" applyProtection="1">
      <alignment horizontal="center"/>
      <protection locked="0"/>
    </xf>
    <xf numFmtId="1" fontId="13" fillId="63" borderId="0" xfId="13558" applyNumberFormat="1" applyFont="1" applyFill="1" applyBorder="1" applyAlignment="1" applyProtection="1">
      <alignment horizontal="center"/>
      <protection locked="0"/>
    </xf>
    <xf numFmtId="165" fontId="13" fillId="50" borderId="0" xfId="13561" applyFont="1" applyFill="1" applyBorder="1" applyProtection="1">
      <protection locked="0"/>
    </xf>
    <xf numFmtId="165" fontId="105" fillId="50" borderId="0" xfId="13561" applyFont="1" applyFill="1" applyBorder="1" applyProtection="1">
      <protection locked="0"/>
    </xf>
    <xf numFmtId="1" fontId="13" fillId="50" borderId="0" xfId="13561" applyNumberFormat="1" applyFont="1" applyFill="1" applyBorder="1" applyAlignment="1" applyProtection="1">
      <alignment horizontal="center"/>
      <protection locked="0"/>
    </xf>
    <xf numFmtId="37" fontId="22" fillId="50" borderId="0" xfId="3" applyFont="1" applyFill="1" applyBorder="1" applyAlignment="1" applyProtection="1">
      <protection locked="0"/>
    </xf>
    <xf numFmtId="1" fontId="13" fillId="50" borderId="0" xfId="14" applyNumberFormat="1" applyFont="1" applyFill="1" applyBorder="1" applyAlignment="1" applyProtection="1">
      <alignment horizontal="center"/>
      <protection locked="0"/>
    </xf>
    <xf numFmtId="37" fontId="44" fillId="50" borderId="0" xfId="3" applyFont="1" applyFill="1" applyBorder="1" applyAlignment="1" applyProtection="1">
      <alignment horizontal="left"/>
      <protection locked="0"/>
    </xf>
    <xf numFmtId="37" fontId="105" fillId="50" borderId="0" xfId="3" applyFont="1" applyFill="1" applyBorder="1" applyAlignment="1" applyProtection="1">
      <alignment horizontal="left"/>
      <protection locked="0"/>
    </xf>
    <xf numFmtId="37" fontId="109" fillId="50" borderId="0" xfId="3" applyFont="1" applyFill="1" applyBorder="1" applyAlignment="1" applyProtection="1">
      <alignment horizontal="right"/>
      <protection locked="0"/>
    </xf>
    <xf numFmtId="0" fontId="13" fillId="50" borderId="0" xfId="14" applyNumberFormat="1" applyFont="1" applyFill="1" applyBorder="1" applyAlignment="1" applyProtection="1">
      <alignment horizontal="center"/>
      <protection locked="0"/>
    </xf>
    <xf numFmtId="37" fontId="109" fillId="50" borderId="0" xfId="13567" applyFont="1" applyFill="1" applyBorder="1" applyAlignment="1" applyProtection="1">
      <alignment horizontal="right"/>
      <protection locked="0"/>
    </xf>
    <xf numFmtId="37" fontId="105" fillId="50" borderId="0" xfId="13567" applyFont="1" applyFill="1" applyBorder="1" applyAlignment="1" applyProtection="1">
      <alignment horizontal="right"/>
      <protection locked="0"/>
    </xf>
    <xf numFmtId="37" fontId="13" fillId="50" borderId="0" xfId="13567" applyFont="1" applyFill="1" applyBorder="1" applyAlignment="1" applyProtection="1">
      <alignment horizontal="left"/>
      <protection locked="0"/>
    </xf>
    <xf numFmtId="2" fontId="13" fillId="50" borderId="0" xfId="14" applyNumberFormat="1" applyFont="1" applyFill="1" applyBorder="1" applyAlignment="1" applyProtection="1">
      <alignment horizontal="center"/>
      <protection locked="0"/>
    </xf>
    <xf numFmtId="37" fontId="13" fillId="50" borderId="0" xfId="3" applyFont="1" applyFill="1" applyBorder="1" applyAlignment="1" applyProtection="1">
      <alignment horizontal="center" vertical="center"/>
      <protection locked="0"/>
    </xf>
    <xf numFmtId="37" fontId="13" fillId="50" borderId="0" xfId="13567" applyFont="1" applyFill="1" applyBorder="1" applyAlignment="1" applyProtection="1">
      <alignment horizontal="left" vertical="center"/>
      <protection locked="0"/>
    </xf>
    <xf numFmtId="37" fontId="109" fillId="50" borderId="0" xfId="13567" applyFont="1" applyFill="1" applyBorder="1" applyAlignment="1" applyProtection="1">
      <alignment horizontal="right" wrapText="1"/>
      <protection locked="0"/>
    </xf>
    <xf numFmtId="37" fontId="105" fillId="50" borderId="0" xfId="13567" applyFont="1" applyFill="1" applyBorder="1" applyAlignment="1" applyProtection="1">
      <alignment horizontal="right" wrapText="1"/>
      <protection locked="0"/>
    </xf>
    <xf numFmtId="37" fontId="109" fillId="50" borderId="0" xfId="13567" applyFont="1" applyFill="1" applyBorder="1" applyAlignment="1" applyProtection="1">
      <alignment horizontal="center"/>
      <protection locked="0"/>
    </xf>
    <xf numFmtId="37" fontId="105" fillId="50" borderId="0" xfId="13567" applyFont="1" applyFill="1" applyBorder="1" applyAlignment="1" applyProtection="1">
      <alignment horizontal="center"/>
      <protection locked="0"/>
    </xf>
    <xf numFmtId="37" fontId="13" fillId="61" borderId="0" xfId="3" applyFont="1" applyFill="1" applyBorder="1" applyAlignment="1" applyProtection="1">
      <alignment horizontal="left"/>
      <protection locked="0"/>
    </xf>
    <xf numFmtId="37" fontId="13" fillId="61" borderId="0" xfId="3" applyFont="1" applyFill="1" applyBorder="1" applyAlignment="1" applyProtection="1">
      <protection locked="0"/>
    </xf>
    <xf numFmtId="37" fontId="105" fillId="61" borderId="0" xfId="3" applyFont="1" applyFill="1" applyBorder="1" applyAlignment="1" applyProtection="1">
      <protection locked="0"/>
    </xf>
    <xf numFmtId="3" fontId="13" fillId="64" borderId="17" xfId="3" applyNumberFormat="1" applyFont="1" applyFill="1" applyBorder="1" applyAlignment="1" applyProtection="1">
      <alignment horizontal="right"/>
      <protection locked="0"/>
    </xf>
    <xf numFmtId="37" fontId="13" fillId="61" borderId="0" xfId="3" applyFont="1" applyFill="1" applyBorder="1" applyAlignment="1" applyProtection="1">
      <alignment horizontal="right"/>
      <protection locked="0"/>
    </xf>
    <xf numFmtId="0" fontId="13" fillId="61" borderId="0" xfId="14" applyNumberFormat="1" applyFont="1" applyFill="1" applyBorder="1" applyAlignment="1" applyProtection="1">
      <alignment horizontal="center"/>
      <protection locked="0"/>
    </xf>
    <xf numFmtId="37" fontId="105" fillId="61" borderId="0" xfId="3" applyFont="1" applyFill="1" applyBorder="1" applyAlignment="1" applyProtection="1">
      <alignment horizontal="left"/>
      <protection locked="0"/>
    </xf>
    <xf numFmtId="37" fontId="13" fillId="64" borderId="0" xfId="3" applyFont="1" applyFill="1" applyBorder="1" applyAlignment="1" applyProtection="1">
      <alignment horizontal="right"/>
      <protection locked="0"/>
    </xf>
    <xf numFmtId="49" fontId="13" fillId="61" borderId="0" xfId="13561" applyNumberFormat="1" applyFont="1" applyFill="1" applyBorder="1" applyAlignment="1" applyProtection="1">
      <alignment horizontal="left"/>
      <protection locked="0"/>
    </xf>
    <xf numFmtId="49" fontId="105" fillId="61" borderId="0" xfId="13561" applyNumberFormat="1" applyFont="1" applyFill="1" applyBorder="1" applyAlignment="1" applyProtection="1">
      <alignment horizontal="left"/>
      <protection locked="0"/>
    </xf>
    <xf numFmtId="165" fontId="13" fillId="61" borderId="0" xfId="13561" applyFont="1" applyFill="1" applyBorder="1" applyAlignment="1" applyProtection="1">
      <alignment horizontal="left"/>
      <protection locked="0"/>
    </xf>
    <xf numFmtId="165" fontId="105" fillId="61" borderId="0" xfId="13561" applyFont="1" applyFill="1" applyBorder="1" applyAlignment="1" applyProtection="1">
      <alignment horizontal="left"/>
      <protection locked="0"/>
    </xf>
    <xf numFmtId="49" fontId="13" fillId="61" borderId="0" xfId="13561" applyNumberFormat="1" applyFont="1" applyFill="1" applyBorder="1" applyAlignment="1" applyProtection="1">
      <alignment horizontal="center"/>
      <protection locked="0"/>
    </xf>
    <xf numFmtId="49" fontId="13" fillId="61" borderId="0" xfId="13563" applyNumberFormat="1" applyFont="1" applyFill="1" applyBorder="1" applyAlignment="1" applyProtection="1">
      <alignment horizontal="center"/>
      <protection locked="0"/>
    </xf>
    <xf numFmtId="49" fontId="108" fillId="61" borderId="0" xfId="13561" applyNumberFormat="1" applyFont="1" applyFill="1" applyBorder="1" applyAlignment="1" applyProtection="1">
      <alignment horizontal="left"/>
      <protection locked="0"/>
    </xf>
    <xf numFmtId="1" fontId="13" fillId="61" borderId="0" xfId="13563" applyNumberFormat="1" applyFont="1" applyFill="1" applyBorder="1" applyAlignment="1" applyProtection="1">
      <alignment horizontal="center"/>
      <protection locked="0"/>
    </xf>
    <xf numFmtId="3" fontId="13" fillId="61" borderId="0" xfId="13563" applyFont="1" applyFill="1" applyBorder="1" applyAlignment="1" applyProtection="1">
      <protection locked="0"/>
    </xf>
    <xf numFmtId="3" fontId="105" fillId="61" borderId="0" xfId="13563" applyFont="1" applyFill="1" applyBorder="1" applyAlignment="1" applyProtection="1">
      <protection locked="0"/>
    </xf>
    <xf numFmtId="49" fontId="13" fillId="61" borderId="0" xfId="13568" applyNumberFormat="1" applyFont="1" applyFill="1" applyBorder="1" applyAlignment="1" applyProtection="1">
      <alignment horizontal="center"/>
      <protection locked="0"/>
    </xf>
    <xf numFmtId="1" fontId="13" fillId="65" borderId="0" xfId="13566" applyNumberFormat="1" applyFont="1" applyFill="1" applyBorder="1" applyAlignment="1" applyProtection="1">
      <alignment horizontal="center"/>
      <protection locked="0"/>
    </xf>
    <xf numFmtId="3" fontId="13" fillId="61" borderId="0" xfId="13563" applyFont="1" applyFill="1" applyBorder="1" applyAlignment="1" applyProtection="1">
      <alignment horizontal="left"/>
      <protection locked="0"/>
    </xf>
    <xf numFmtId="165" fontId="13" fillId="61" borderId="0" xfId="13561" applyFont="1" applyFill="1" applyBorder="1" applyAlignment="1" applyProtection="1">
      <protection locked="0"/>
    </xf>
    <xf numFmtId="165" fontId="105" fillId="61" borderId="0" xfId="13561" applyFont="1" applyFill="1" applyBorder="1" applyAlignment="1" applyProtection="1">
      <protection locked="0"/>
    </xf>
    <xf numFmtId="37" fontId="22" fillId="61" borderId="0" xfId="3" applyFont="1" applyFill="1" applyBorder="1" applyAlignment="1" applyProtection="1">
      <alignment horizontal="left"/>
      <protection locked="0"/>
    </xf>
    <xf numFmtId="49" fontId="13" fillId="61" borderId="0" xfId="3" applyNumberFormat="1" applyFont="1" applyFill="1" applyBorder="1" applyAlignment="1" applyProtection="1">
      <protection locked="0"/>
    </xf>
    <xf numFmtId="37" fontId="44" fillId="61" borderId="0" xfId="3" applyFont="1" applyFill="1" applyBorder="1" applyAlignment="1" applyProtection="1">
      <alignment horizontal="left"/>
      <protection locked="0"/>
    </xf>
    <xf numFmtId="37" fontId="13" fillId="61" borderId="0" xfId="13559" applyFont="1" applyFill="1" applyBorder="1" applyAlignment="1" applyProtection="1">
      <alignment horizontal="left" vertical="center" wrapText="1"/>
      <protection locked="0"/>
    </xf>
    <xf numFmtId="37" fontId="109" fillId="61" borderId="0" xfId="13559" applyFont="1" applyFill="1" applyBorder="1" applyAlignment="1" applyProtection="1">
      <alignment horizontal="right"/>
      <protection locked="0"/>
    </xf>
    <xf numFmtId="49" fontId="13" fillId="61" borderId="0" xfId="14" applyNumberFormat="1" applyFont="1" applyFill="1" applyBorder="1" applyAlignment="1" applyProtection="1">
      <alignment horizontal="center" wrapText="1"/>
      <protection locked="0"/>
    </xf>
    <xf numFmtId="1" fontId="13" fillId="61" borderId="0" xfId="3" applyNumberFormat="1" applyFont="1" applyFill="1" applyBorder="1" applyAlignment="1" applyProtection="1">
      <alignment horizontal="center" wrapText="1"/>
      <protection locked="0"/>
    </xf>
    <xf numFmtId="3" fontId="13" fillId="64" borderId="17" xfId="15" applyNumberFormat="1" applyFont="1" applyFill="1" applyBorder="1" applyAlignment="1" applyProtection="1">
      <alignment horizontal="right"/>
      <protection locked="0"/>
    </xf>
    <xf numFmtId="37" fontId="109" fillId="61" borderId="0" xfId="3" applyFont="1" applyFill="1" applyBorder="1" applyAlignment="1" applyProtection="1">
      <alignment horizontal="right"/>
      <protection locked="0"/>
    </xf>
    <xf numFmtId="1" fontId="13" fillId="61" borderId="0" xfId="13561" applyNumberFormat="1" applyFont="1" applyFill="1" applyBorder="1" applyAlignment="1" applyProtection="1">
      <alignment horizontal="center"/>
      <protection locked="0"/>
    </xf>
    <xf numFmtId="37" fontId="13" fillId="50" borderId="0" xfId="13559" applyFont="1" applyFill="1" applyBorder="1" applyAlignment="1" applyProtection="1">
      <alignment horizontal="center"/>
      <protection locked="0"/>
    </xf>
    <xf numFmtId="37" fontId="13" fillId="50" borderId="0" xfId="13559" applyFont="1" applyFill="1" applyBorder="1" applyAlignment="1" applyProtection="1">
      <alignment vertical="center"/>
      <protection locked="0"/>
    </xf>
    <xf numFmtId="37" fontId="105" fillId="50" borderId="0" xfId="13559" applyFont="1" applyFill="1" applyBorder="1" applyAlignment="1" applyProtection="1">
      <alignment vertical="center"/>
      <protection locked="0"/>
    </xf>
    <xf numFmtId="0" fontId="116" fillId="0" borderId="0" xfId="0" applyFont="1" applyAlignment="1"/>
    <xf numFmtId="37" fontId="13" fillId="50" borderId="0" xfId="13559" applyFont="1" applyFill="1" applyBorder="1" applyAlignment="1" applyProtection="1">
      <alignment horizontal="left"/>
      <protection locked="0"/>
    </xf>
    <xf numFmtId="37" fontId="44" fillId="50" borderId="0" xfId="13559" applyFont="1" applyFill="1" applyBorder="1" applyAlignment="1" applyProtection="1">
      <alignment horizontal="right"/>
      <protection locked="0"/>
    </xf>
    <xf numFmtId="49" fontId="13" fillId="50" borderId="0" xfId="13559" applyNumberFormat="1" applyFont="1" applyFill="1" applyBorder="1" applyAlignment="1" applyProtection="1">
      <alignment horizontal="center"/>
      <protection locked="0"/>
    </xf>
    <xf numFmtId="1" fontId="13" fillId="50" borderId="0" xfId="13559" applyNumberFormat="1" applyFont="1" applyFill="1" applyBorder="1" applyAlignment="1" applyProtection="1">
      <alignment horizontal="center"/>
      <protection locked="0"/>
    </xf>
    <xf numFmtId="37" fontId="50" fillId="0" borderId="17" xfId="2" applyNumberFormat="1" applyFont="1" applyFill="1" applyBorder="1" applyAlignment="1">
      <alignment horizontal="right"/>
    </xf>
    <xf numFmtId="0" fontId="117" fillId="0" borderId="0" xfId="0" applyFont="1" applyAlignment="1">
      <alignment horizontal="right" vertical="center"/>
    </xf>
    <xf numFmtId="37" fontId="13" fillId="50" borderId="0" xfId="13559" applyFont="1" applyFill="1" applyBorder="1" applyAlignment="1" applyProtection="1">
      <alignment horizontal="center" vertical="center" wrapText="1"/>
      <protection locked="0"/>
    </xf>
    <xf numFmtId="49" fontId="13" fillId="50" borderId="0" xfId="13556" applyNumberFormat="1" applyFont="1" applyFill="1" applyBorder="1" applyAlignment="1" applyProtection="1">
      <alignment horizontal="left"/>
      <protection locked="0"/>
    </xf>
    <xf numFmtId="49" fontId="108" fillId="50" borderId="0" xfId="13556" applyNumberFormat="1" applyFont="1" applyFill="1" applyBorder="1" applyAlignment="1" applyProtection="1">
      <alignment horizontal="left"/>
      <protection locked="0"/>
    </xf>
    <xf numFmtId="49" fontId="13" fillId="50" borderId="0" xfId="7" applyNumberFormat="1" applyFont="1" applyFill="1" applyBorder="1" applyAlignment="1" applyProtection="1">
      <alignment horizontal="left"/>
      <protection locked="0"/>
    </xf>
    <xf numFmtId="37" fontId="22" fillId="50" borderId="0" xfId="13559" applyFont="1" applyFill="1" applyBorder="1" applyAlignment="1" applyProtection="1">
      <alignment vertical="center"/>
      <protection locked="0"/>
    </xf>
    <xf numFmtId="37" fontId="13" fillId="50" borderId="23" xfId="13559" applyFont="1" applyFill="1" applyBorder="1" applyAlignment="1" applyProtection="1">
      <alignment horizontal="center" vertical="center" wrapText="1"/>
      <protection locked="0"/>
    </xf>
    <xf numFmtId="37" fontId="44" fillId="50" borderId="0" xfId="13559" applyFont="1" applyFill="1" applyBorder="1" applyAlignment="1" applyProtection="1">
      <alignment horizontal="right" vertical="center"/>
      <protection locked="0"/>
    </xf>
    <xf numFmtId="37" fontId="105" fillId="50" borderId="0" xfId="13559" applyFont="1" applyFill="1" applyBorder="1" applyAlignment="1" applyProtection="1">
      <alignment horizontal="right" vertical="center"/>
      <protection locked="0"/>
    </xf>
    <xf numFmtId="37" fontId="13" fillId="50" borderId="0" xfId="13559" applyFont="1" applyFill="1" applyBorder="1" applyAlignment="1" applyProtection="1">
      <alignment horizontal="right" vertical="center"/>
      <protection locked="0"/>
    </xf>
    <xf numFmtId="37" fontId="13" fillId="50" borderId="0" xfId="13559" applyFont="1" applyFill="1" applyBorder="1" applyAlignment="1" applyProtection="1">
      <alignment horizontal="right" wrapText="1"/>
      <protection locked="0"/>
    </xf>
    <xf numFmtId="37" fontId="105" fillId="50" borderId="0" xfId="13559" applyFont="1" applyFill="1" applyBorder="1" applyAlignment="1" applyProtection="1">
      <alignment horizontal="right" wrapText="1"/>
      <protection locked="0"/>
    </xf>
    <xf numFmtId="37" fontId="44" fillId="50" borderId="0" xfId="13559" applyFont="1" applyFill="1" applyBorder="1" applyAlignment="1" applyProtection="1">
      <alignment horizontal="left" vertical="center"/>
      <protection locked="0"/>
    </xf>
    <xf numFmtId="37" fontId="105" fillId="50" borderId="0" xfId="13559" applyFont="1" applyFill="1" applyBorder="1" applyAlignment="1" applyProtection="1">
      <alignment horizontal="left" vertical="center"/>
      <protection locked="0"/>
    </xf>
    <xf numFmtId="37" fontId="109" fillId="50" borderId="0" xfId="13559" applyFont="1" applyFill="1" applyBorder="1" applyAlignment="1" applyProtection="1">
      <alignment horizontal="right"/>
      <protection locked="0"/>
    </xf>
    <xf numFmtId="37" fontId="42" fillId="50" borderId="0" xfId="13559" applyFont="1" applyFill="1" applyBorder="1" applyAlignment="1" applyProtection="1">
      <alignment horizontal="right"/>
      <protection locked="0"/>
    </xf>
    <xf numFmtId="49" fontId="108" fillId="44" borderId="0" xfId="13565" applyNumberFormat="1" applyFont="1" applyFill="1" applyBorder="1" applyAlignment="1" applyProtection="1">
      <alignment horizontal="left"/>
      <protection locked="0"/>
    </xf>
    <xf numFmtId="49" fontId="105" fillId="50" borderId="0" xfId="126" applyNumberFormat="1" applyFont="1" applyFill="1" applyBorder="1" applyAlignment="1" applyProtection="1">
      <alignment horizontal="left"/>
      <protection locked="0"/>
    </xf>
    <xf numFmtId="167" fontId="13" fillId="51" borderId="0" xfId="3" applyNumberFormat="1" applyFont="1" applyFill="1" applyBorder="1" applyAlignment="1" applyProtection="1">
      <alignment horizontal="center"/>
      <protection locked="0"/>
    </xf>
    <xf numFmtId="167" fontId="13" fillId="51" borderId="0" xfId="3" applyNumberFormat="1" applyFont="1" applyFill="1" applyBorder="1" applyAlignment="1" applyProtection="1">
      <alignment horizontal="left"/>
      <protection locked="0"/>
    </xf>
    <xf numFmtId="49" fontId="13" fillId="51" borderId="0" xfId="13561" applyNumberFormat="1" applyFont="1" applyFill="1" applyBorder="1" applyAlignment="1" applyProtection="1">
      <alignment horizontal="left"/>
      <protection locked="0"/>
    </xf>
    <xf numFmtId="49" fontId="105" fillId="51" borderId="0" xfId="13561" applyNumberFormat="1" applyFont="1" applyFill="1" applyBorder="1" applyAlignment="1" applyProtection="1">
      <alignment horizontal="left"/>
      <protection locked="0"/>
    </xf>
    <xf numFmtId="49" fontId="13" fillId="51" borderId="0" xfId="14" applyNumberFormat="1" applyFont="1" applyFill="1" applyBorder="1" applyAlignment="1" applyProtection="1">
      <alignment horizontal="center"/>
      <protection locked="0"/>
    </xf>
    <xf numFmtId="1" fontId="13" fillId="51" borderId="0" xfId="3" applyNumberFormat="1" applyFont="1" applyFill="1" applyBorder="1" applyAlignment="1" applyProtection="1">
      <alignment horizontal="center"/>
      <protection locked="0"/>
    </xf>
    <xf numFmtId="167" fontId="44" fillId="51" borderId="0" xfId="3" applyNumberFormat="1" applyFont="1" applyFill="1" applyBorder="1" applyAlignment="1" applyProtection="1">
      <alignment horizontal="right"/>
      <protection locked="0"/>
    </xf>
    <xf numFmtId="167" fontId="105" fillId="51" borderId="0" xfId="3" applyNumberFormat="1" applyFont="1" applyFill="1" applyBorder="1" applyAlignment="1" applyProtection="1">
      <alignment horizontal="right"/>
      <protection locked="0"/>
    </xf>
    <xf numFmtId="167" fontId="13" fillId="51" borderId="0" xfId="3" applyNumberFormat="1" applyFont="1" applyFill="1" applyBorder="1" applyAlignment="1" applyProtection="1">
      <alignment horizontal="right"/>
      <protection locked="0"/>
    </xf>
    <xf numFmtId="1" fontId="13" fillId="51" borderId="0" xfId="13561" applyNumberFormat="1" applyFont="1" applyFill="1" applyBorder="1" applyAlignment="1" applyProtection="1">
      <alignment horizontal="center"/>
      <protection locked="0"/>
    </xf>
    <xf numFmtId="167" fontId="13" fillId="51" borderId="0" xfId="3" applyNumberFormat="1" applyFont="1" applyFill="1" applyBorder="1" applyAlignment="1" applyProtection="1">
      <protection locked="0"/>
    </xf>
    <xf numFmtId="167" fontId="105" fillId="51" borderId="0" xfId="3" applyNumberFormat="1" applyFont="1" applyFill="1" applyBorder="1" applyAlignment="1" applyProtection="1">
      <protection locked="0"/>
    </xf>
    <xf numFmtId="167" fontId="22" fillId="51" borderId="0" xfId="3" applyNumberFormat="1" applyFont="1" applyFill="1" applyBorder="1" applyAlignment="1" applyProtection="1">
      <protection locked="0"/>
    </xf>
    <xf numFmtId="37" fontId="13" fillId="51" borderId="0" xfId="3" applyFont="1" applyFill="1" applyBorder="1" applyAlignment="1" applyProtection="1">
      <protection locked="0"/>
    </xf>
    <xf numFmtId="49" fontId="13" fillId="51" borderId="0" xfId="13561" applyNumberFormat="1" applyFont="1" applyFill="1" applyBorder="1" applyAlignment="1" applyProtection="1">
      <alignment horizontal="center"/>
      <protection locked="0"/>
    </xf>
    <xf numFmtId="37" fontId="105" fillId="51" borderId="0" xfId="3" applyFont="1" applyFill="1" applyBorder="1" applyAlignment="1" applyProtection="1">
      <alignment horizontal="right"/>
      <protection locked="0"/>
    </xf>
    <xf numFmtId="37" fontId="44" fillId="51" borderId="0" xfId="3" applyFont="1" applyFill="1" applyBorder="1" applyAlignment="1" applyProtection="1">
      <alignment horizontal="right"/>
      <protection locked="0"/>
    </xf>
    <xf numFmtId="49" fontId="108" fillId="51" borderId="0" xfId="13561" applyNumberFormat="1" applyFont="1" applyFill="1" applyBorder="1" applyAlignment="1" applyProtection="1">
      <alignment horizontal="left"/>
      <protection locked="0"/>
    </xf>
    <xf numFmtId="1" fontId="13" fillId="51" borderId="0" xfId="13565" applyNumberFormat="1" applyFont="1" applyFill="1" applyBorder="1" applyAlignment="1" applyProtection="1">
      <alignment horizontal="center"/>
      <protection locked="0"/>
    </xf>
    <xf numFmtId="165" fontId="13" fillId="51" borderId="0" xfId="13568" applyFont="1" applyFill="1" applyBorder="1" applyAlignment="1" applyProtection="1">
      <protection locked="0"/>
    </xf>
    <xf numFmtId="49" fontId="108" fillId="51" borderId="0" xfId="13569" applyNumberFormat="1" applyFont="1" applyFill="1" applyBorder="1" applyAlignment="1" applyProtection="1">
      <alignment horizontal="left"/>
      <protection locked="0"/>
    </xf>
    <xf numFmtId="165" fontId="13" fillId="51" borderId="0" xfId="13561" applyFont="1" applyFill="1" applyBorder="1" applyProtection="1">
      <protection locked="0"/>
    </xf>
    <xf numFmtId="165" fontId="114" fillId="51" borderId="0" xfId="13561" applyFont="1" applyFill="1" applyBorder="1" applyProtection="1">
      <protection locked="0"/>
    </xf>
    <xf numFmtId="37" fontId="22" fillId="51" borderId="0" xfId="3" applyFont="1" applyFill="1" applyBorder="1" applyAlignment="1" applyProtection="1">
      <alignment horizontal="left"/>
      <protection locked="0"/>
    </xf>
    <xf numFmtId="37" fontId="44" fillId="51" borderId="0" xfId="3" applyFont="1" applyFill="1" applyBorder="1" applyAlignment="1" applyProtection="1">
      <alignment horizontal="left"/>
      <protection locked="0"/>
    </xf>
    <xf numFmtId="37" fontId="47" fillId="51" borderId="0" xfId="13559" applyFont="1" applyFill="1" applyBorder="1" applyAlignment="1" applyProtection="1">
      <alignment horizontal="right"/>
      <protection locked="0"/>
    </xf>
    <xf numFmtId="37" fontId="13" fillId="51" borderId="0" xfId="13559" applyFont="1" applyFill="1" applyBorder="1" applyAlignment="1" applyProtection="1">
      <alignment horizontal="left" vertical="center" wrapText="1"/>
      <protection locked="0"/>
    </xf>
    <xf numFmtId="37" fontId="13" fillId="51" borderId="0" xfId="13559" applyFont="1" applyFill="1" applyBorder="1" applyAlignment="1" applyProtection="1">
      <alignment horizontal="right"/>
      <protection locked="0"/>
    </xf>
    <xf numFmtId="49" fontId="13" fillId="51" borderId="0" xfId="14" applyNumberFormat="1" applyFont="1" applyFill="1" applyBorder="1" applyAlignment="1" applyProtection="1">
      <alignment horizontal="center" wrapText="1"/>
      <protection locked="0"/>
    </xf>
    <xf numFmtId="37" fontId="44" fillId="51" borderId="0" xfId="13559" applyFont="1" applyFill="1" applyBorder="1" applyAlignment="1" applyProtection="1">
      <alignment horizontal="left"/>
      <protection locked="0"/>
    </xf>
    <xf numFmtId="37" fontId="109" fillId="51" borderId="0" xfId="3" applyFont="1" applyFill="1" applyBorder="1" applyAlignment="1" applyProtection="1">
      <alignment horizontal="right"/>
      <protection locked="0"/>
    </xf>
    <xf numFmtId="1" fontId="13" fillId="46" borderId="0" xfId="13561" applyNumberFormat="1" applyFont="1" applyFill="1" applyBorder="1" applyAlignment="1" applyProtection="1">
      <alignment horizontal="center"/>
      <protection locked="0"/>
    </xf>
    <xf numFmtId="49" fontId="108" fillId="46" borderId="0" xfId="13565" applyNumberFormat="1" applyFont="1" applyFill="1" applyBorder="1" applyAlignment="1" applyProtection="1">
      <alignment horizontal="left"/>
      <protection locked="0"/>
    </xf>
    <xf numFmtId="1" fontId="77" fillId="46" borderId="0" xfId="13557" applyNumberFormat="1" applyFont="1" applyFill="1" applyBorder="1" applyAlignment="1" applyProtection="1">
      <alignment horizontal="center"/>
      <protection locked="0"/>
    </xf>
    <xf numFmtId="49" fontId="105" fillId="46" borderId="0" xfId="13563" applyNumberFormat="1" applyFont="1" applyFill="1" applyBorder="1" applyAlignment="1" applyProtection="1">
      <alignment horizontal="left"/>
      <protection locked="0"/>
    </xf>
    <xf numFmtId="1" fontId="13" fillId="55" borderId="0" xfId="13558" applyNumberFormat="1" applyFont="1" applyFill="1" applyBorder="1" applyAlignment="1" applyProtection="1">
      <alignment horizontal="center"/>
      <protection locked="0"/>
    </xf>
    <xf numFmtId="49" fontId="77" fillId="46" borderId="0" xfId="3" applyNumberFormat="1" applyFont="1" applyFill="1" applyBorder="1" applyAlignment="1" applyProtection="1">
      <alignment horizontal="center"/>
      <protection locked="0"/>
    </xf>
    <xf numFmtId="49" fontId="13" fillId="61" borderId="0" xfId="13570" applyNumberFormat="1" applyFont="1" applyFill="1" applyBorder="1" applyAlignment="1" applyProtection="1">
      <alignment horizontal="left"/>
      <protection locked="0"/>
    </xf>
    <xf numFmtId="165" fontId="13" fillId="61" borderId="0" xfId="13561" applyFont="1" applyFill="1" applyBorder="1" applyProtection="1">
      <protection locked="0"/>
    </xf>
    <xf numFmtId="165" fontId="105" fillId="61" borderId="0" xfId="13561" applyFont="1" applyFill="1" applyBorder="1" applyProtection="1">
      <protection locked="0"/>
    </xf>
    <xf numFmtId="1" fontId="13" fillId="61" borderId="0" xfId="13565" applyNumberFormat="1" applyFont="1" applyFill="1" applyBorder="1" applyAlignment="1" applyProtection="1">
      <alignment horizontal="center"/>
      <protection locked="0"/>
    </xf>
    <xf numFmtId="49" fontId="13" fillId="9" borderId="0" xfId="13561" applyNumberFormat="1" applyFont="1" applyFill="1" applyBorder="1" applyAlignment="1" applyProtection="1">
      <alignment horizontal="left"/>
      <protection locked="0"/>
    </xf>
    <xf numFmtId="49" fontId="105" fillId="9" borderId="0" xfId="13561" applyNumberFormat="1" applyFont="1" applyFill="1" applyBorder="1" applyAlignment="1" applyProtection="1">
      <alignment horizontal="left"/>
      <protection locked="0"/>
    </xf>
    <xf numFmtId="49" fontId="13" fillId="66" borderId="0" xfId="13561" applyNumberFormat="1" applyFont="1" applyFill="1" applyBorder="1" applyAlignment="1" applyProtection="1">
      <alignment horizontal="left"/>
      <protection locked="0"/>
    </xf>
    <xf numFmtId="49" fontId="105" fillId="66" borderId="0" xfId="13561" applyNumberFormat="1" applyFont="1" applyFill="1" applyBorder="1" applyAlignment="1" applyProtection="1">
      <alignment horizontal="left"/>
      <protection locked="0"/>
    </xf>
    <xf numFmtId="49" fontId="13" fillId="10" borderId="0" xfId="13561" applyNumberFormat="1" applyFont="1" applyFill="1" applyBorder="1" applyAlignment="1" applyProtection="1">
      <alignment horizontal="left"/>
      <protection locked="0"/>
    </xf>
    <xf numFmtId="49" fontId="105" fillId="10" borderId="0" xfId="13561" applyNumberFormat="1" applyFont="1" applyFill="1" applyBorder="1" applyAlignment="1" applyProtection="1">
      <alignment horizontal="left"/>
      <protection locked="0"/>
    </xf>
    <xf numFmtId="49" fontId="13" fillId="10" borderId="0" xfId="7" applyNumberFormat="1" applyFont="1" applyFill="1" applyBorder="1" applyAlignment="1" applyProtection="1">
      <alignment horizontal="left"/>
      <protection locked="0"/>
    </xf>
    <xf numFmtId="49" fontId="105" fillId="10" borderId="0" xfId="7" applyNumberFormat="1" applyFont="1" applyFill="1" applyBorder="1" applyAlignment="1" applyProtection="1">
      <alignment horizontal="left"/>
      <protection locked="0"/>
    </xf>
    <xf numFmtId="0" fontId="13" fillId="61" borderId="0" xfId="7" applyNumberFormat="1" applyFont="1" applyFill="1" applyBorder="1" applyAlignment="1" applyProtection="1">
      <alignment horizontal="center"/>
      <protection locked="0"/>
    </xf>
    <xf numFmtId="1" fontId="13" fillId="61" borderId="0" xfId="7" applyNumberFormat="1" applyFont="1" applyFill="1" applyBorder="1" applyAlignment="1" applyProtection="1">
      <alignment horizontal="center"/>
      <protection locked="0"/>
    </xf>
    <xf numFmtId="49" fontId="13" fillId="10" borderId="0" xfId="13570" applyNumberFormat="1" applyFont="1" applyFill="1" applyBorder="1" applyAlignment="1" applyProtection="1">
      <alignment horizontal="left"/>
      <protection locked="0"/>
    </xf>
    <xf numFmtId="49" fontId="105" fillId="10" borderId="0" xfId="13570" applyNumberFormat="1" applyFont="1" applyFill="1" applyBorder="1" applyAlignment="1" applyProtection="1">
      <alignment horizontal="left"/>
      <protection locked="0"/>
    </xf>
    <xf numFmtId="49" fontId="13" fillId="61" borderId="0" xfId="13570" applyNumberFormat="1" applyFont="1" applyFill="1" applyBorder="1" applyAlignment="1" applyProtection="1">
      <alignment horizontal="center"/>
      <protection locked="0"/>
    </xf>
    <xf numFmtId="49" fontId="13" fillId="11" borderId="0" xfId="13570" applyNumberFormat="1" applyFont="1" applyFill="1" applyBorder="1" applyAlignment="1" applyProtection="1">
      <alignment horizontal="left"/>
      <protection locked="0"/>
    </xf>
    <xf numFmtId="49" fontId="105" fillId="11" borderId="0" xfId="13570" applyNumberFormat="1" applyFont="1" applyFill="1" applyBorder="1" applyAlignment="1" applyProtection="1">
      <alignment horizontal="left"/>
      <protection locked="0"/>
    </xf>
    <xf numFmtId="49" fontId="105" fillId="61" borderId="0" xfId="13570" applyNumberFormat="1" applyFont="1" applyFill="1" applyBorder="1" applyAlignment="1" applyProtection="1">
      <alignment horizontal="left"/>
      <protection locked="0"/>
    </xf>
    <xf numFmtId="49" fontId="13" fillId="67" borderId="0" xfId="13570" applyNumberFormat="1" applyFont="1" applyFill="1" applyBorder="1" applyAlignment="1" applyProtection="1">
      <alignment horizontal="left"/>
      <protection locked="0"/>
    </xf>
    <xf numFmtId="49" fontId="105" fillId="67" borderId="0" xfId="13570" applyNumberFormat="1" applyFont="1" applyFill="1" applyBorder="1" applyAlignment="1" applyProtection="1">
      <alignment horizontal="left"/>
      <protection locked="0"/>
    </xf>
    <xf numFmtId="49" fontId="13" fillId="67" borderId="0" xfId="13561" applyNumberFormat="1" applyFont="1" applyFill="1" applyBorder="1" applyAlignment="1" applyProtection="1">
      <alignment horizontal="left"/>
      <protection locked="0"/>
    </xf>
    <xf numFmtId="49" fontId="105" fillId="67" borderId="0" xfId="13561" applyNumberFormat="1" applyFont="1" applyFill="1" applyBorder="1" applyAlignment="1" applyProtection="1">
      <alignment horizontal="left"/>
      <protection locked="0"/>
    </xf>
    <xf numFmtId="1" fontId="13" fillId="61" borderId="0" xfId="13570" applyNumberFormat="1" applyFont="1" applyFill="1" applyBorder="1" applyAlignment="1" applyProtection="1">
      <alignment horizontal="center"/>
      <protection locked="0"/>
    </xf>
    <xf numFmtId="49" fontId="22" fillId="9" borderId="0" xfId="13561" applyNumberFormat="1" applyFont="1" applyFill="1" applyBorder="1" applyAlignment="1" applyProtection="1">
      <alignment horizontal="right"/>
      <protection locked="0"/>
    </xf>
    <xf numFmtId="49" fontId="105" fillId="9" borderId="0" xfId="13561" applyNumberFormat="1" applyFont="1" applyFill="1" applyBorder="1" applyAlignment="1" applyProtection="1">
      <alignment horizontal="right"/>
      <protection locked="0"/>
    </xf>
    <xf numFmtId="49" fontId="22" fillId="66" borderId="0" xfId="13561" applyNumberFormat="1" applyFont="1" applyFill="1" applyBorder="1" applyAlignment="1" applyProtection="1">
      <alignment horizontal="right"/>
      <protection locked="0"/>
    </xf>
    <xf numFmtId="49" fontId="105" fillId="66" borderId="0" xfId="13561" applyNumberFormat="1" applyFont="1" applyFill="1" applyBorder="1" applyAlignment="1" applyProtection="1">
      <alignment horizontal="right"/>
      <protection locked="0"/>
    </xf>
    <xf numFmtId="49" fontId="22" fillId="10" borderId="0" xfId="13570" applyNumberFormat="1" applyFont="1" applyFill="1" applyBorder="1" applyAlignment="1" applyProtection="1">
      <alignment horizontal="right"/>
      <protection locked="0"/>
    </xf>
    <xf numFmtId="49" fontId="105" fillId="10" borderId="0" xfId="13570" applyNumberFormat="1" applyFont="1" applyFill="1" applyBorder="1" applyAlignment="1" applyProtection="1">
      <alignment horizontal="right"/>
      <protection locked="0"/>
    </xf>
    <xf numFmtId="49" fontId="22" fillId="11" borderId="0" xfId="13570" applyNumberFormat="1" applyFont="1" applyFill="1" applyBorder="1" applyAlignment="1" applyProtection="1">
      <alignment horizontal="right"/>
      <protection locked="0"/>
    </xf>
    <xf numFmtId="49" fontId="105" fillId="11" borderId="0" xfId="13570" applyNumberFormat="1" applyFont="1" applyFill="1" applyBorder="1" applyAlignment="1" applyProtection="1">
      <alignment horizontal="right"/>
      <protection locked="0"/>
    </xf>
    <xf numFmtId="49" fontId="22" fillId="67" borderId="0" xfId="13570" applyNumberFormat="1" applyFont="1" applyFill="1" applyBorder="1" applyAlignment="1" applyProtection="1">
      <alignment horizontal="right"/>
      <protection locked="0"/>
    </xf>
    <xf numFmtId="49" fontId="105" fillId="67" borderId="0" xfId="13570" applyNumberFormat="1" applyFont="1" applyFill="1" applyBorder="1" applyAlignment="1" applyProtection="1">
      <alignment horizontal="right"/>
      <protection locked="0"/>
    </xf>
    <xf numFmtId="49" fontId="22" fillId="61" borderId="0" xfId="13570" applyNumberFormat="1" applyFont="1" applyFill="1" applyBorder="1" applyAlignment="1" applyProtection="1">
      <alignment horizontal="left"/>
      <protection locked="0"/>
    </xf>
    <xf numFmtId="49" fontId="44" fillId="61" borderId="0" xfId="13570" applyNumberFormat="1" applyFont="1" applyFill="1" applyBorder="1" applyAlignment="1" applyProtection="1">
      <alignment horizontal="right"/>
      <protection locked="0"/>
    </xf>
    <xf numFmtId="49" fontId="105" fillId="61" borderId="0" xfId="13570" applyNumberFormat="1" applyFont="1" applyFill="1" applyBorder="1" applyAlignment="1" applyProtection="1">
      <alignment horizontal="right"/>
      <protection locked="0"/>
    </xf>
    <xf numFmtId="49" fontId="13" fillId="61" borderId="0" xfId="13570" applyNumberFormat="1" applyFont="1" applyFill="1" applyBorder="1" applyAlignment="1" applyProtection="1">
      <alignment horizontal="right"/>
      <protection locked="0"/>
    </xf>
    <xf numFmtId="1" fontId="13" fillId="8" borderId="0" xfId="13570" applyNumberFormat="1" applyFont="1" applyFill="1" applyBorder="1" applyAlignment="1" applyProtection="1">
      <alignment horizontal="center"/>
      <protection locked="0"/>
    </xf>
    <xf numFmtId="1" fontId="13" fillId="61" borderId="0" xfId="13557" applyNumberFormat="1" applyFont="1" applyFill="1" applyBorder="1" applyAlignment="1" applyProtection="1">
      <alignment horizontal="center"/>
      <protection locked="0"/>
    </xf>
    <xf numFmtId="0" fontId="22" fillId="51" borderId="0" xfId="13561" applyNumberFormat="1" applyFont="1" applyFill="1" applyBorder="1" applyAlignment="1" applyProtection="1">
      <alignment horizontal="center"/>
      <protection locked="0"/>
    </xf>
    <xf numFmtId="37" fontId="13" fillId="53" borderId="0" xfId="3" applyFont="1" applyFill="1" applyBorder="1" applyAlignment="1" applyProtection="1">
      <alignment horizontal="center"/>
      <protection locked="0"/>
    </xf>
    <xf numFmtId="37" fontId="13" fillId="53" borderId="0" xfId="3" applyFont="1" applyFill="1" applyBorder="1" applyAlignment="1" applyProtection="1">
      <protection locked="0"/>
    </xf>
    <xf numFmtId="37" fontId="105" fillId="53" borderId="0" xfId="3" applyFont="1" applyFill="1" applyBorder="1" applyAlignment="1" applyProtection="1">
      <protection locked="0"/>
    </xf>
    <xf numFmtId="49" fontId="13" fillId="53" borderId="0" xfId="3" applyNumberFormat="1" applyFont="1" applyFill="1" applyBorder="1" applyAlignment="1" applyProtection="1">
      <alignment horizontal="center"/>
      <protection locked="0"/>
    </xf>
    <xf numFmtId="37" fontId="13" fillId="20" borderId="0" xfId="3" applyFont="1" applyFill="1" applyBorder="1" applyAlignment="1" applyProtection="1">
      <alignment horizontal="right"/>
      <protection locked="0"/>
    </xf>
    <xf numFmtId="0" fontId="44" fillId="53" borderId="0" xfId="3" applyNumberFormat="1" applyFont="1" applyFill="1" applyBorder="1" applyAlignment="1" applyProtection="1">
      <alignment horizontal="right"/>
      <protection locked="0"/>
    </xf>
    <xf numFmtId="0" fontId="105" fillId="53" borderId="0" xfId="3" applyNumberFormat="1" applyFont="1" applyFill="1" applyBorder="1" applyAlignment="1" applyProtection="1">
      <alignment horizontal="right"/>
      <protection locked="0"/>
    </xf>
    <xf numFmtId="37" fontId="13" fillId="20" borderId="0" xfId="3" applyFont="1" applyFill="1" applyBorder="1" applyAlignment="1" applyProtection="1">
      <alignment horizontal="right" wrapText="1"/>
      <protection locked="0"/>
    </xf>
    <xf numFmtId="0" fontId="13" fillId="53" borderId="0" xfId="3" applyNumberFormat="1" applyFont="1" applyFill="1" applyBorder="1" applyAlignment="1" applyProtection="1">
      <alignment horizontal="right"/>
      <protection locked="0"/>
    </xf>
    <xf numFmtId="0" fontId="13" fillId="20" borderId="0" xfId="3" applyNumberFormat="1" applyFont="1" applyFill="1" applyBorder="1" applyAlignment="1" applyProtection="1">
      <alignment horizontal="right" wrapText="1"/>
      <protection locked="0"/>
    </xf>
    <xf numFmtId="0" fontId="13" fillId="53" borderId="0" xfId="3" applyNumberFormat="1" applyFont="1" applyFill="1" applyBorder="1" applyAlignment="1" applyProtection="1">
      <alignment horizontal="center"/>
      <protection locked="0"/>
    </xf>
    <xf numFmtId="49" fontId="13" fillId="20" borderId="0" xfId="13561" applyNumberFormat="1" applyFont="1" applyFill="1" applyBorder="1" applyAlignment="1" applyProtection="1">
      <alignment horizontal="right"/>
      <protection locked="0"/>
    </xf>
    <xf numFmtId="1" fontId="13" fillId="53" borderId="0" xfId="13557" applyNumberFormat="1" applyFont="1" applyFill="1" applyBorder="1" applyAlignment="1" applyProtection="1">
      <alignment horizontal="center"/>
      <protection locked="0"/>
    </xf>
    <xf numFmtId="3" fontId="119" fillId="0" borderId="17" xfId="15" applyNumberFormat="1" applyFont="1" applyFill="1" applyBorder="1" applyAlignment="1" applyProtection="1">
      <alignment horizontal="right"/>
      <protection locked="0"/>
    </xf>
    <xf numFmtId="49" fontId="13" fillId="68" borderId="0" xfId="13561" applyNumberFormat="1" applyFont="1" applyFill="1" applyBorder="1" applyAlignment="1" applyProtection="1">
      <alignment horizontal="right"/>
      <protection locked="0"/>
    </xf>
    <xf numFmtId="3" fontId="13" fillId="0" borderId="0" xfId="15" applyNumberFormat="1" applyFont="1" applyFill="1" applyBorder="1" applyAlignment="1" applyProtection="1">
      <alignment horizontal="right"/>
      <protection locked="0"/>
    </xf>
    <xf numFmtId="172" fontId="13" fillId="53" borderId="0" xfId="3" applyNumberFormat="1" applyFont="1" applyFill="1" applyBorder="1" applyAlignment="1" applyProtection="1">
      <alignment horizontal="center"/>
      <protection locked="0"/>
    </xf>
    <xf numFmtId="172" fontId="13" fillId="53" borderId="0" xfId="3" applyNumberFormat="1" applyFont="1" applyFill="1" applyBorder="1" applyAlignment="1" applyProtection="1">
      <alignment horizontal="left"/>
      <protection locked="0"/>
    </xf>
    <xf numFmtId="172" fontId="44" fillId="53" borderId="0" xfId="3" applyNumberFormat="1" applyFont="1" applyFill="1" applyBorder="1" applyAlignment="1" applyProtection="1">
      <alignment horizontal="right"/>
      <protection locked="0"/>
    </xf>
    <xf numFmtId="172" fontId="105" fillId="53" borderId="0" xfId="3" applyNumberFormat="1" applyFont="1" applyFill="1" applyBorder="1" applyAlignment="1" applyProtection="1">
      <alignment horizontal="right"/>
      <protection locked="0"/>
    </xf>
    <xf numFmtId="172" fontId="13" fillId="14" borderId="17" xfId="3" applyNumberFormat="1" applyFont="1" applyFill="1" applyBorder="1" applyAlignment="1" applyProtection="1">
      <alignment horizontal="right"/>
      <protection locked="0"/>
    </xf>
    <xf numFmtId="172" fontId="13" fillId="0" borderId="17" xfId="15" applyNumberFormat="1" applyFont="1" applyFill="1" applyBorder="1" applyAlignment="1" applyProtection="1">
      <alignment horizontal="right"/>
      <protection locked="0"/>
    </xf>
    <xf numFmtId="37" fontId="22" fillId="53" borderId="0" xfId="3" applyFont="1" applyFill="1" applyBorder="1" applyAlignment="1" applyProtection="1">
      <alignment horizontal="left"/>
      <protection locked="0"/>
    </xf>
    <xf numFmtId="37" fontId="109" fillId="53" borderId="0" xfId="3" applyFont="1" applyFill="1" applyBorder="1" applyAlignment="1" applyProtection="1">
      <alignment horizontal="right"/>
      <protection locked="0"/>
    </xf>
    <xf numFmtId="37" fontId="109" fillId="53" borderId="0" xfId="13559" applyFont="1" applyFill="1" applyBorder="1" applyAlignment="1" applyProtection="1">
      <alignment horizontal="right"/>
      <protection locked="0"/>
    </xf>
    <xf numFmtId="0" fontId="13" fillId="53" borderId="0" xfId="13561" applyNumberFormat="1" applyFont="1" applyFill="1" applyBorder="1" applyAlignment="1" applyProtection="1">
      <alignment horizontal="center"/>
      <protection locked="0"/>
    </xf>
    <xf numFmtId="0" fontId="13" fillId="53" borderId="0" xfId="13565" applyNumberFormat="1" applyFont="1" applyFill="1" applyBorder="1" applyAlignment="1" applyProtection="1">
      <alignment horizontal="center"/>
      <protection locked="0"/>
    </xf>
    <xf numFmtId="1" fontId="22" fillId="53" borderId="0" xfId="13557" applyNumberFormat="1" applyFont="1" applyFill="1" applyBorder="1" applyAlignment="1" applyProtection="1">
      <alignment horizontal="center"/>
      <protection locked="0"/>
    </xf>
    <xf numFmtId="3" fontId="120" fillId="0" borderId="117" xfId="0" applyNumberFormat="1" applyFont="1" applyFill="1" applyBorder="1" applyAlignment="1"/>
    <xf numFmtId="3" fontId="120" fillId="0" borderId="120" xfId="0" applyNumberFormat="1" applyFont="1" applyFill="1" applyBorder="1" applyAlignment="1"/>
    <xf numFmtId="3" fontId="120" fillId="0" borderId="125" xfId="0" applyNumberFormat="1" applyFont="1" applyFill="1" applyBorder="1" applyAlignment="1"/>
    <xf numFmtId="3" fontId="120" fillId="0" borderId="121" xfId="0" applyNumberFormat="1" applyFont="1" applyFill="1" applyBorder="1" applyAlignment="1"/>
    <xf numFmtId="3" fontId="120" fillId="0" borderId="123" xfId="0" applyNumberFormat="1" applyFont="1" applyFill="1" applyBorder="1" applyAlignment="1"/>
    <xf numFmtId="3" fontId="120" fillId="0" borderId="126" xfId="0" applyNumberFormat="1" applyFont="1" applyFill="1" applyBorder="1" applyAlignment="1"/>
    <xf numFmtId="37" fontId="121" fillId="0" borderId="117" xfId="0" applyNumberFormat="1" applyFont="1" applyFill="1" applyBorder="1" applyAlignment="1"/>
    <xf numFmtId="37" fontId="121" fillId="0" borderId="118" xfId="0" applyNumberFormat="1" applyFont="1" applyFill="1" applyBorder="1" applyAlignment="1"/>
    <xf numFmtId="37" fontId="121" fillId="0" borderId="121" xfId="0" applyNumberFormat="1" applyFont="1" applyFill="1" applyBorder="1" applyAlignment="1"/>
    <xf numFmtId="37" fontId="121" fillId="0" borderId="122" xfId="0" applyNumberFormat="1" applyFont="1" applyFill="1" applyBorder="1" applyAlignment="1"/>
    <xf numFmtId="3" fontId="120" fillId="43" borderId="117" xfId="0" applyNumberFormat="1" applyFont="1" applyFill="1" applyBorder="1" applyAlignment="1"/>
    <xf numFmtId="3" fontId="120" fillId="43" borderId="120" xfId="0" applyNumberFormat="1" applyFont="1" applyFill="1" applyBorder="1" applyAlignment="1"/>
    <xf numFmtId="3" fontId="120" fillId="43" borderId="125" xfId="0" applyNumberFormat="1" applyFont="1" applyFill="1" applyBorder="1" applyAlignment="1"/>
    <xf numFmtId="3" fontId="120" fillId="43" borderId="119" xfId="0" applyNumberFormat="1" applyFont="1" applyFill="1" applyBorder="1" applyAlignment="1"/>
    <xf numFmtId="3" fontId="120" fillId="0" borderId="128" xfId="0" applyNumberFormat="1" applyFont="1" applyFill="1" applyBorder="1" applyAlignment="1"/>
    <xf numFmtId="3" fontId="120" fillId="0" borderId="127" xfId="0" applyNumberFormat="1" applyFont="1" applyFill="1" applyBorder="1" applyAlignment="1"/>
    <xf numFmtId="3" fontId="120" fillId="0" borderId="129" xfId="0" applyNumberFormat="1" applyFont="1" applyFill="1" applyBorder="1" applyAlignment="1"/>
    <xf numFmtId="3" fontId="120" fillId="43" borderId="129" xfId="0" applyNumberFormat="1" applyFont="1" applyFill="1" applyBorder="1" applyAlignment="1"/>
    <xf numFmtId="3" fontId="120" fillId="43" borderId="126" xfId="0" applyNumberFormat="1" applyFont="1" applyFill="1" applyBorder="1" applyAlignment="1"/>
    <xf numFmtId="3" fontId="120" fillId="43" borderId="128" xfId="0" applyNumberFormat="1" applyFont="1" applyFill="1" applyBorder="1" applyAlignment="1"/>
    <xf numFmtId="3" fontId="120" fillId="43" borderId="121" xfId="0" applyNumberFormat="1" applyFont="1" applyFill="1" applyBorder="1" applyAlignment="1"/>
    <xf numFmtId="3" fontId="120" fillId="43" borderId="130" xfId="0" applyNumberFormat="1" applyFont="1" applyFill="1" applyBorder="1" applyAlignment="1"/>
    <xf numFmtId="3" fontId="120" fillId="43" borderId="124" xfId="0" applyNumberFormat="1" applyFont="1" applyFill="1" applyBorder="1" applyAlignment="1"/>
    <xf numFmtId="3" fontId="22" fillId="16" borderId="71" xfId="0" applyNumberFormat="1" applyFont="1" applyFill="1" applyBorder="1" applyAlignment="1"/>
    <xf numFmtId="3" fontId="22" fillId="16" borderId="65" xfId="0" applyNumberFormat="1" applyFont="1" applyFill="1" applyBorder="1" applyAlignment="1"/>
    <xf numFmtId="9" fontId="67" fillId="16" borderId="6" xfId="6" applyFont="1" applyFill="1" applyBorder="1" applyAlignment="1"/>
    <xf numFmtId="9" fontId="67" fillId="16" borderId="96" xfId="6" applyFont="1" applyFill="1" applyBorder="1" applyAlignment="1"/>
    <xf numFmtId="9" fontId="67" fillId="16" borderId="2" xfId="6" applyFont="1" applyFill="1" applyBorder="1" applyAlignment="1"/>
    <xf numFmtId="3" fontId="13" fillId="69" borderId="17" xfId="15" applyNumberFormat="1" applyFont="1" applyFill="1" applyBorder="1" applyAlignment="1" applyProtection="1">
      <alignment horizontal="right"/>
      <protection locked="0"/>
    </xf>
    <xf numFmtId="3" fontId="13" fillId="70" borderId="17" xfId="15" applyNumberFormat="1" applyFont="1" applyFill="1" applyBorder="1" applyAlignment="1" applyProtection="1">
      <alignment horizontal="right"/>
      <protection locked="0"/>
    </xf>
    <xf numFmtId="166" fontId="66" fillId="0" borderId="14" xfId="1" quotePrefix="1" applyNumberFormat="1" applyFont="1" applyFill="1" applyBorder="1" applyAlignment="1">
      <alignment horizontal="center" vertical="center"/>
    </xf>
    <xf numFmtId="166" fontId="122" fillId="0" borderId="14" xfId="6" applyNumberFormat="1" applyFont="1" applyFill="1" applyBorder="1" applyAlignment="1">
      <alignment horizontal="center"/>
    </xf>
    <xf numFmtId="166" fontId="66" fillId="0" borderId="14" xfId="1" quotePrefix="1" applyNumberFormat="1" applyFont="1" applyFill="1" applyBorder="1" applyAlignment="1">
      <alignment horizontal="center"/>
    </xf>
    <xf numFmtId="166" fontId="123" fillId="0" borderId="14" xfId="6" applyNumberFormat="1" applyFont="1" applyFill="1" applyBorder="1" applyAlignment="1">
      <alignment horizontal="center"/>
    </xf>
    <xf numFmtId="37" fontId="13" fillId="0" borderId="17" xfId="0" applyNumberFormat="1" applyFont="1" applyFill="1" applyBorder="1" applyAlignment="1">
      <alignment vertical="center" wrapText="1"/>
    </xf>
    <xf numFmtId="37" fontId="13" fillId="0" borderId="6" xfId="0" applyNumberFormat="1" applyFont="1" applyFill="1" applyBorder="1" applyAlignment="1">
      <alignment vertical="center" wrapText="1"/>
    </xf>
    <xf numFmtId="3" fontId="77" fillId="64" borderId="17" xfId="15" applyNumberFormat="1" applyFont="1" applyFill="1" applyBorder="1" applyAlignment="1" applyProtection="1">
      <alignment horizontal="right"/>
      <protection locked="0"/>
    </xf>
    <xf numFmtId="3" fontId="77" fillId="64" borderId="0" xfId="0" applyNumberFormat="1" applyFont="1" applyFill="1" applyAlignment="1"/>
    <xf numFmtId="3" fontId="77" fillId="64" borderId="0" xfId="1" applyNumberFormat="1" applyFont="1" applyFill="1"/>
    <xf numFmtId="37" fontId="16" fillId="0" borderId="0" xfId="0" applyNumberFormat="1" applyFont="1" applyFill="1" applyBorder="1" applyAlignment="1">
      <alignment horizontal="right"/>
    </xf>
    <xf numFmtId="37" fontId="19" fillId="0" borderId="0" xfId="0" applyNumberFormat="1" applyFont="1" applyFill="1" applyAlignment="1">
      <alignment vertical="top" wrapText="1"/>
    </xf>
    <xf numFmtId="37" fontId="16" fillId="0" borderId="0" xfId="0" applyNumberFormat="1" applyFont="1" applyFill="1" applyAlignment="1">
      <alignment vertical="top" wrapText="1"/>
    </xf>
    <xf numFmtId="37" fontId="18" fillId="0" borderId="0" xfId="0" applyNumberFormat="1" applyFont="1" applyFill="1" applyBorder="1" applyAlignment="1" applyProtection="1">
      <alignment horizontal="center" vertical="top"/>
    </xf>
    <xf numFmtId="37" fontId="22" fillId="0" borderId="39" xfId="0" applyNumberFormat="1" applyFont="1" applyFill="1" applyBorder="1" applyAlignment="1">
      <alignment vertical="center" wrapText="1"/>
    </xf>
    <xf numFmtId="37" fontId="20" fillId="0" borderId="14" xfId="0" applyNumberFormat="1" applyFont="1" applyBorder="1" applyAlignment="1">
      <alignment vertical="center" wrapText="1"/>
    </xf>
    <xf numFmtId="37" fontId="0" fillId="0" borderId="22" xfId="0" applyNumberFormat="1" applyBorder="1" applyAlignment="1">
      <alignment vertical="center" wrapText="1"/>
    </xf>
    <xf numFmtId="37" fontId="0" fillId="0" borderId="14" xfId="0" applyNumberFormat="1" applyBorder="1" applyAlignment="1">
      <alignment vertical="center" wrapText="1"/>
    </xf>
    <xf numFmtId="37" fontId="31" fillId="0" borderId="39" xfId="0" applyNumberFormat="1" applyFont="1" applyFill="1" applyBorder="1" applyAlignment="1">
      <alignment vertical="center" wrapText="1"/>
    </xf>
    <xf numFmtId="37" fontId="25" fillId="0" borderId="14" xfId="0" applyNumberFormat="1" applyFont="1" applyFill="1" applyBorder="1" applyAlignment="1">
      <alignment vertical="center"/>
    </xf>
    <xf numFmtId="37" fontId="25" fillId="0" borderId="22" xfId="0" applyNumberFormat="1" applyFont="1" applyFill="1" applyBorder="1" applyAlignment="1">
      <alignment vertical="center"/>
    </xf>
    <xf numFmtId="37" fontId="25" fillId="0" borderId="14" xfId="0" applyNumberFormat="1" applyFont="1" applyBorder="1" applyAlignment="1">
      <alignment vertical="center" wrapText="1"/>
    </xf>
    <xf numFmtId="37" fontId="26" fillId="0" borderId="0" xfId="0" applyNumberFormat="1" applyFont="1" applyFill="1" applyBorder="1" applyAlignment="1">
      <alignment horizontal="center" vertical="center"/>
    </xf>
    <xf numFmtId="37" fontId="31" fillId="0" borderId="18" xfId="0" applyNumberFormat="1" applyFont="1" applyFill="1" applyBorder="1" applyAlignment="1" applyProtection="1">
      <alignment horizontal="center" wrapText="1"/>
    </xf>
    <xf numFmtId="37" fontId="31" fillId="0" borderId="19" xfId="0" applyNumberFormat="1" applyFont="1" applyFill="1" applyBorder="1" applyAlignment="1" applyProtection="1">
      <alignment horizontal="center" wrapText="1"/>
    </xf>
    <xf numFmtId="37" fontId="31" fillId="0" borderId="11" xfId="0" applyNumberFormat="1" applyFont="1" applyFill="1" applyBorder="1" applyAlignment="1">
      <alignment horizontal="center" wrapText="1"/>
    </xf>
    <xf numFmtId="37" fontId="31" fillId="0" borderId="6" xfId="0" applyNumberFormat="1" applyFont="1" applyFill="1" applyBorder="1" applyAlignment="1">
      <alignment horizontal="center" wrapText="1"/>
    </xf>
    <xf numFmtId="37" fontId="36" fillId="0" borderId="11" xfId="0" applyNumberFormat="1" applyFont="1" applyFill="1" applyBorder="1" applyAlignment="1">
      <alignment horizontal="center" wrapText="1"/>
    </xf>
    <xf numFmtId="37" fontId="36" fillId="0" borderId="6" xfId="0" applyNumberFormat="1" applyFont="1" applyFill="1" applyBorder="1" applyAlignment="1">
      <alignment horizontal="center" wrapText="1"/>
    </xf>
    <xf numFmtId="37" fontId="31" fillId="0" borderId="17" xfId="0" applyNumberFormat="1" applyFont="1" applyFill="1" applyBorder="1" applyAlignment="1" applyProtection="1">
      <alignment horizontal="center" wrapText="1"/>
    </xf>
    <xf numFmtId="37" fontId="31" fillId="0" borderId="6" xfId="0" applyNumberFormat="1" applyFont="1" applyFill="1" applyBorder="1" applyAlignment="1" applyProtection="1">
      <alignment horizontal="center"/>
    </xf>
    <xf numFmtId="167" fontId="36" fillId="0" borderId="11" xfId="0" applyNumberFormat="1" applyFont="1" applyFill="1" applyBorder="1" applyAlignment="1">
      <alignment horizontal="center" wrapText="1"/>
    </xf>
    <xf numFmtId="167" fontId="36" fillId="0" borderId="6" xfId="0" applyNumberFormat="1" applyFont="1" applyFill="1" applyBorder="1" applyAlignment="1">
      <alignment horizontal="center" wrapText="1"/>
    </xf>
    <xf numFmtId="37" fontId="36" fillId="0" borderId="23" xfId="0" applyNumberFormat="1" applyFont="1" applyFill="1" applyBorder="1" applyAlignment="1">
      <alignment horizontal="center" wrapText="1"/>
    </xf>
    <xf numFmtId="37" fontId="36" fillId="0" borderId="10" xfId="0" applyNumberFormat="1" applyFont="1" applyFill="1" applyBorder="1" applyAlignment="1">
      <alignment horizontal="center" wrapText="1"/>
    </xf>
    <xf numFmtId="167" fontId="31" fillId="0" borderId="39" xfId="0" applyNumberFormat="1" applyFont="1" applyFill="1" applyBorder="1" applyAlignment="1" applyProtection="1">
      <alignment horizontal="center" wrapText="1"/>
    </xf>
    <xf numFmtId="37" fontId="72" fillId="0" borderId="22" xfId="0" applyNumberFormat="1" applyFont="1" applyBorder="1" applyAlignment="1"/>
    <xf numFmtId="37" fontId="18" fillId="0" borderId="0" xfId="0" applyNumberFormat="1" applyFont="1" applyFill="1" applyBorder="1" applyAlignment="1">
      <alignment horizontal="center" vertical="center"/>
    </xf>
    <xf numFmtId="37" fontId="19" fillId="0" borderId="0" xfId="0" applyNumberFormat="1" applyFont="1" applyFill="1" applyBorder="1" applyAlignment="1">
      <alignment vertical="center" wrapText="1"/>
    </xf>
    <xf numFmtId="37" fontId="20" fillId="0" borderId="0" xfId="0" applyNumberFormat="1" applyFont="1" applyBorder="1" applyAlignment="1">
      <alignment vertical="center" wrapText="1"/>
    </xf>
    <xf numFmtId="167" fontId="15" fillId="0" borderId="39" xfId="0" applyNumberFormat="1" applyFont="1" applyFill="1" applyBorder="1" applyAlignment="1" applyProtection="1">
      <alignment horizontal="center" wrapText="1"/>
    </xf>
    <xf numFmtId="37" fontId="20" fillId="0" borderId="22" xfId="0" applyNumberFormat="1" applyFont="1" applyBorder="1" applyAlignment="1">
      <alignment horizontal="center" wrapText="1"/>
    </xf>
    <xf numFmtId="37" fontId="19" fillId="0" borderId="20" xfId="0" applyNumberFormat="1" applyFont="1" applyFill="1" applyBorder="1" applyAlignment="1">
      <alignment vertical="center" wrapText="1"/>
    </xf>
    <xf numFmtId="37" fontId="20" fillId="0" borderId="20" xfId="0" applyNumberFormat="1" applyFont="1" applyBorder="1" applyAlignment="1">
      <alignment vertical="center" wrapText="1"/>
    </xf>
    <xf numFmtId="37" fontId="15" fillId="0" borderId="11" xfId="0" applyNumberFormat="1" applyFont="1" applyFill="1" applyBorder="1" applyAlignment="1">
      <alignment horizontal="center" wrapText="1"/>
    </xf>
    <xf numFmtId="37" fontId="20" fillId="0" borderId="6" xfId="0" applyNumberFormat="1" applyFont="1" applyBorder="1" applyAlignment="1">
      <alignment horizontal="center" wrapText="1"/>
    </xf>
    <xf numFmtId="37" fontId="25" fillId="0" borderId="6" xfId="0" applyNumberFormat="1" applyFont="1" applyFill="1" applyBorder="1" applyAlignment="1">
      <alignment horizontal="center" wrapText="1"/>
    </xf>
    <xf numFmtId="37" fontId="0" fillId="0" borderId="22" xfId="0" applyNumberFormat="1" applyBorder="1" applyAlignment="1"/>
    <xf numFmtId="37" fontId="15" fillId="0" borderId="6" xfId="0" applyNumberFormat="1" applyFont="1" applyFill="1" applyBorder="1" applyAlignment="1">
      <alignment horizontal="center" wrapText="1"/>
    </xf>
    <xf numFmtId="37" fontId="20" fillId="0" borderId="6" xfId="0" applyNumberFormat="1" applyFont="1" applyFill="1" applyBorder="1" applyAlignment="1">
      <alignment horizontal="center" wrapText="1"/>
    </xf>
    <xf numFmtId="167" fontId="57" fillId="0" borderId="11" xfId="0" applyNumberFormat="1" applyFont="1" applyFill="1" applyBorder="1" applyAlignment="1">
      <alignment horizontal="center" wrapText="1"/>
    </xf>
    <xf numFmtId="167" fontId="57" fillId="0" borderId="6" xfId="0" applyNumberFormat="1" applyFont="1" applyFill="1" applyBorder="1" applyAlignment="1">
      <alignment horizontal="center" wrapText="1"/>
    </xf>
    <xf numFmtId="37" fontId="57" fillId="0" borderId="23" xfId="0" applyNumberFormat="1" applyFont="1" applyFill="1" applyBorder="1" applyAlignment="1">
      <alignment horizontal="center" wrapText="1"/>
    </xf>
    <xf numFmtId="37" fontId="57" fillId="0" borderId="10" xfId="0" applyNumberFormat="1" applyFont="1" applyFill="1" applyBorder="1" applyAlignment="1">
      <alignment horizontal="center" wrapText="1"/>
    </xf>
    <xf numFmtId="37" fontId="57" fillId="0" borderId="11" xfId="0" applyNumberFormat="1" applyFont="1" applyFill="1" applyBorder="1" applyAlignment="1">
      <alignment horizontal="center" wrapText="1"/>
    </xf>
    <xf numFmtId="37" fontId="57" fillId="0" borderId="6" xfId="0" applyNumberFormat="1" applyFont="1" applyFill="1" applyBorder="1" applyAlignment="1">
      <alignment horizontal="center" wrapText="1"/>
    </xf>
    <xf numFmtId="37" fontId="15" fillId="0" borderId="17" xfId="0" applyNumberFormat="1" applyFont="1" applyFill="1" applyBorder="1" applyAlignment="1" applyProtection="1">
      <alignment horizontal="center" wrapText="1"/>
    </xf>
    <xf numFmtId="37" fontId="15" fillId="0" borderId="6" xfId="0" applyNumberFormat="1" applyFont="1" applyFill="1" applyBorder="1" applyAlignment="1" applyProtection="1">
      <alignment horizontal="center"/>
    </xf>
    <xf numFmtId="37" fontId="15" fillId="0" borderId="18" xfId="0" applyNumberFormat="1" applyFont="1" applyFill="1" applyBorder="1" applyAlignment="1" applyProtection="1">
      <alignment horizontal="center" wrapText="1"/>
    </xf>
    <xf numFmtId="37" fontId="15" fillId="0" borderId="19" xfId="0" applyNumberFormat="1" applyFont="1" applyFill="1" applyBorder="1" applyAlignment="1" applyProtection="1">
      <alignment horizontal="center" wrapText="1"/>
    </xf>
    <xf numFmtId="37" fontId="31" fillId="0" borderId="20" xfId="0" applyNumberFormat="1" applyFont="1" applyFill="1" applyBorder="1" applyAlignment="1" applyProtection="1">
      <alignment horizontal="center" vertical="center" wrapText="1"/>
    </xf>
    <xf numFmtId="37" fontId="25" fillId="0" borderId="20" xfId="0" applyNumberFormat="1" applyFont="1" applyFill="1" applyBorder="1" applyAlignment="1">
      <alignment horizontal="center" vertical="center" wrapText="1"/>
    </xf>
    <xf numFmtId="37" fontId="16" fillId="0" borderId="0" xfId="0" applyNumberFormat="1" applyFont="1" applyFill="1" applyBorder="1" applyAlignment="1">
      <alignment vertical="center" wrapText="1"/>
    </xf>
    <xf numFmtId="37" fontId="20" fillId="0" borderId="0" xfId="0" applyNumberFormat="1" applyFont="1" applyFill="1" applyBorder="1" applyAlignment="1">
      <alignment vertical="center" wrapText="1"/>
    </xf>
    <xf numFmtId="37" fontId="20" fillId="0" borderId="0" xfId="0" applyNumberFormat="1" applyFont="1" applyFill="1" applyAlignment="1">
      <alignment vertical="center" wrapText="1"/>
    </xf>
    <xf numFmtId="37" fontId="16" fillId="0" borderId="20" xfId="0" applyNumberFormat="1" applyFont="1" applyFill="1" applyBorder="1" applyAlignment="1">
      <alignment vertical="center" wrapText="1"/>
    </xf>
    <xf numFmtId="37" fontId="0" fillId="0" borderId="0" xfId="0" applyNumberFormat="1" applyAlignment="1">
      <alignment vertical="center" wrapText="1"/>
    </xf>
    <xf numFmtId="37" fontId="16" fillId="0" borderId="20" xfId="0" applyNumberFormat="1" applyFont="1" applyFill="1" applyBorder="1" applyAlignment="1">
      <alignment vertical="top" wrapText="1"/>
    </xf>
    <xf numFmtId="37" fontId="31" fillId="0" borderId="18" xfId="0" applyNumberFormat="1" applyFont="1" applyFill="1" applyBorder="1" applyAlignment="1">
      <alignment horizontal="center" vertical="center" wrapText="1"/>
    </xf>
    <xf numFmtId="37" fontId="31" fillId="0" borderId="9" xfId="0" applyNumberFormat="1" applyFont="1" applyFill="1" applyBorder="1" applyAlignment="1">
      <alignment horizontal="center" vertical="center" wrapText="1"/>
    </xf>
    <xf numFmtId="37" fontId="31" fillId="0" borderId="9" xfId="0" applyNumberFormat="1" applyFont="1" applyFill="1" applyBorder="1" applyAlignment="1" applyProtection="1">
      <alignment horizontal="center" vertical="center"/>
    </xf>
    <xf numFmtId="37" fontId="31" fillId="0" borderId="19" xfId="0" applyNumberFormat="1" applyFont="1" applyFill="1" applyBorder="1" applyAlignment="1" applyProtection="1">
      <alignment horizontal="center" vertical="center"/>
    </xf>
    <xf numFmtId="37" fontId="31" fillId="0" borderId="18" xfId="0" applyNumberFormat="1" applyFont="1" applyFill="1" applyBorder="1" applyAlignment="1">
      <alignment horizontal="center" vertical="center"/>
    </xf>
    <xf numFmtId="37" fontId="31" fillId="0" borderId="9" xfId="0" applyNumberFormat="1" applyFont="1" applyFill="1" applyBorder="1" applyAlignment="1">
      <alignment horizontal="center" vertical="center"/>
    </xf>
    <xf numFmtId="37" fontId="13" fillId="0" borderId="0" xfId="0" applyNumberFormat="1" applyFont="1" applyFill="1" applyBorder="1" applyAlignment="1">
      <alignment vertical="center" wrapText="1"/>
    </xf>
    <xf numFmtId="37" fontId="13" fillId="0" borderId="0" xfId="0" applyNumberFormat="1" applyFont="1" applyFill="1" applyAlignment="1">
      <alignment vertical="center" wrapText="1"/>
    </xf>
    <xf numFmtId="37" fontId="15" fillId="0" borderId="20" xfId="0" applyNumberFormat="1" applyFont="1" applyFill="1" applyBorder="1" applyAlignment="1" applyProtection="1">
      <alignment horizontal="center" vertical="center" wrapText="1"/>
    </xf>
    <xf numFmtId="37" fontId="13" fillId="0" borderId="20" xfId="0" applyNumberFormat="1" applyFont="1" applyFill="1" applyBorder="1" applyAlignment="1">
      <alignment horizontal="center" vertical="center" wrapText="1"/>
    </xf>
    <xf numFmtId="37" fontId="15" fillId="0" borderId="18" xfId="0" applyNumberFormat="1" applyFont="1" applyFill="1" applyBorder="1" applyAlignment="1">
      <alignment horizontal="center" vertical="center" wrapText="1"/>
    </xf>
    <xf numFmtId="37" fontId="15" fillId="0" borderId="9" xfId="0" applyNumberFormat="1" applyFont="1" applyFill="1" applyBorder="1" applyAlignment="1">
      <alignment horizontal="center" vertical="center" wrapText="1"/>
    </xf>
    <xf numFmtId="37" fontId="14" fillId="0" borderId="0" xfId="0" applyNumberFormat="1" applyFont="1" applyAlignment="1">
      <alignment vertical="center" wrapText="1"/>
    </xf>
    <xf numFmtId="37" fontId="15" fillId="0" borderId="9" xfId="0" applyNumberFormat="1" applyFont="1" applyFill="1" applyBorder="1" applyAlignment="1" applyProtection="1">
      <alignment horizontal="center" vertical="center"/>
    </xf>
    <xf numFmtId="37" fontId="15" fillId="0" borderId="19" xfId="0" applyNumberFormat="1" applyFont="1" applyFill="1" applyBorder="1" applyAlignment="1" applyProtection="1">
      <alignment horizontal="center" vertical="center"/>
    </xf>
    <xf numFmtId="37" fontId="15" fillId="0" borderId="18" xfId="0" applyNumberFormat="1" applyFont="1" applyFill="1" applyBorder="1" applyAlignment="1">
      <alignment horizontal="center" vertical="center"/>
    </xf>
    <xf numFmtId="37" fontId="15" fillId="0" borderId="9" xfId="0" applyNumberFormat="1" applyFont="1" applyFill="1" applyBorder="1" applyAlignment="1">
      <alignment horizontal="center" vertical="center"/>
    </xf>
    <xf numFmtId="37" fontId="22" fillId="0" borderId="11" xfId="0" applyNumberFormat="1" applyFont="1" applyFill="1" applyBorder="1" applyAlignment="1">
      <alignment vertical="center" wrapText="1"/>
    </xf>
    <xf numFmtId="37" fontId="22" fillId="0" borderId="17" xfId="0" applyNumberFormat="1" applyFont="1" applyFill="1" applyBorder="1" applyAlignment="1">
      <alignment vertical="center" wrapText="1"/>
    </xf>
    <xf numFmtId="37" fontId="22" fillId="0" borderId="6" xfId="0" applyNumberFormat="1" applyFont="1" applyFill="1" applyBorder="1" applyAlignment="1">
      <alignment vertical="center" wrapText="1"/>
    </xf>
    <xf numFmtId="3" fontId="22" fillId="14" borderId="24" xfId="4" applyNumberFormat="1" applyFont="1" applyFill="1" applyBorder="1" applyAlignment="1" applyProtection="1">
      <alignment horizontal="center" wrapText="1"/>
      <protection locked="0"/>
    </xf>
    <xf numFmtId="3" fontId="22" fillId="14" borderId="23" xfId="4" applyNumberFormat="1" applyFont="1" applyFill="1" applyBorder="1" applyAlignment="1" applyProtection="1">
      <alignment horizontal="center" wrapText="1"/>
      <protection locked="0"/>
    </xf>
    <xf numFmtId="37" fontId="22" fillId="0" borderId="31" xfId="4" applyNumberFormat="1" applyFont="1" applyFill="1" applyBorder="1" applyAlignment="1">
      <alignment vertical="top" wrapText="1"/>
    </xf>
    <xf numFmtId="37" fontId="13" fillId="0" borderId="9" xfId="0" applyNumberFormat="1" applyFont="1" applyBorder="1" applyAlignment="1">
      <alignment vertical="top" wrapText="1"/>
    </xf>
    <xf numFmtId="3" fontId="22" fillId="0" borderId="18" xfId="4" applyNumberFormat="1" applyFont="1" applyFill="1" applyBorder="1" applyAlignment="1" applyProtection="1">
      <alignment horizontal="center" wrapText="1"/>
      <protection locked="0"/>
    </xf>
    <xf numFmtId="3" fontId="22" fillId="0" borderId="9" xfId="4" applyNumberFormat="1" applyFont="1" applyFill="1" applyBorder="1" applyAlignment="1" applyProtection="1">
      <alignment horizontal="center" wrapText="1"/>
      <protection locked="0"/>
    </xf>
    <xf numFmtId="3" fontId="22" fillId="0" borderId="86" xfId="4" applyNumberFormat="1" applyFont="1" applyFill="1" applyBorder="1" applyAlignment="1" applyProtection="1">
      <alignment horizontal="center" wrapText="1"/>
      <protection locked="0"/>
    </xf>
    <xf numFmtId="3" fontId="67" fillId="15" borderId="11" xfId="4" applyNumberFormat="1" applyFont="1" applyFill="1" applyBorder="1" applyAlignment="1" applyProtection="1">
      <alignment horizontal="center" wrapText="1"/>
      <protection locked="0"/>
    </xf>
    <xf numFmtId="3" fontId="67" fillId="15" borderId="17" xfId="4" applyNumberFormat="1" applyFont="1" applyFill="1" applyBorder="1" applyAlignment="1" applyProtection="1">
      <alignment horizontal="center" wrapText="1"/>
      <protection locked="0"/>
    </xf>
    <xf numFmtId="3" fontId="22" fillId="0" borderId="11" xfId="4" applyNumberFormat="1" applyFont="1" applyFill="1" applyBorder="1" applyAlignment="1" applyProtection="1">
      <alignment horizontal="center" wrapText="1"/>
      <protection locked="0"/>
    </xf>
    <xf numFmtId="3" fontId="22" fillId="0" borderId="17" xfId="4" applyNumberFormat="1" applyFont="1" applyFill="1" applyBorder="1" applyAlignment="1" applyProtection="1">
      <alignment horizontal="center" wrapText="1"/>
      <protection locked="0"/>
    </xf>
    <xf numFmtId="3" fontId="67" fillId="9" borderId="24" xfId="3" applyNumberFormat="1" applyFont="1" applyFill="1" applyBorder="1" applyAlignment="1" applyProtection="1">
      <alignment horizontal="center" wrapText="1"/>
      <protection locked="0"/>
    </xf>
    <xf numFmtId="3" fontId="67" fillId="9" borderId="23" xfId="3" applyNumberFormat="1" applyFont="1" applyFill="1" applyBorder="1" applyAlignment="1" applyProtection="1">
      <alignment horizontal="center" wrapText="1"/>
      <protection locked="0"/>
    </xf>
    <xf numFmtId="3" fontId="67" fillId="0" borderId="8" xfId="4" applyNumberFormat="1" applyFont="1" applyFill="1" applyBorder="1" applyAlignment="1" applyProtection="1">
      <alignment horizontal="center" wrapText="1"/>
      <protection locked="0"/>
    </xf>
    <xf numFmtId="3" fontId="67" fillId="0" borderId="85" xfId="4" applyNumberFormat="1" applyFont="1" applyFill="1" applyBorder="1" applyAlignment="1" applyProtection="1">
      <alignment horizontal="center" wrapText="1"/>
      <protection locked="0"/>
    </xf>
    <xf numFmtId="49" fontId="22" fillId="20" borderId="23" xfId="10" applyNumberFormat="1" applyFont="1" applyFill="1" applyBorder="1" applyAlignment="1" applyProtection="1">
      <alignment horizontal="left" vertical="top"/>
      <protection locked="0"/>
    </xf>
    <xf numFmtId="49" fontId="22" fillId="20" borderId="0" xfId="10" applyNumberFormat="1" applyFont="1" applyFill="1" applyBorder="1" applyAlignment="1" applyProtection="1">
      <alignment horizontal="left" vertical="top"/>
      <protection locked="0"/>
    </xf>
    <xf numFmtId="3" fontId="22" fillId="0" borderId="6" xfId="4" applyNumberFormat="1" applyFont="1" applyFill="1" applyBorder="1" applyAlignment="1" applyProtection="1">
      <alignment horizontal="center" wrapText="1"/>
      <protection locked="0"/>
    </xf>
    <xf numFmtId="3" fontId="22" fillId="0" borderId="10" xfId="4" applyNumberFormat="1" applyFont="1" applyFill="1" applyBorder="1" applyAlignment="1" applyProtection="1">
      <alignment horizontal="center" wrapText="1"/>
      <protection locked="0"/>
    </xf>
    <xf numFmtId="3" fontId="22" fillId="0" borderId="8" xfId="4" applyNumberFormat="1" applyFont="1" applyFill="1" applyBorder="1" applyAlignment="1" applyProtection="1">
      <alignment horizontal="center" wrapText="1"/>
      <protection locked="0"/>
    </xf>
    <xf numFmtId="3" fontId="22" fillId="14" borderId="11" xfId="4" applyNumberFormat="1" applyFont="1" applyFill="1" applyBorder="1" applyAlignment="1" applyProtection="1">
      <alignment horizontal="center" wrapText="1"/>
      <protection locked="0"/>
    </xf>
    <xf numFmtId="3" fontId="22" fillId="14" borderId="17" xfId="4" applyNumberFormat="1" applyFont="1" applyFill="1" applyBorder="1" applyAlignment="1" applyProtection="1">
      <alignment horizontal="center" wrapText="1"/>
      <protection locked="0"/>
    </xf>
  </cellXfs>
  <cellStyles count="13571">
    <cellStyle name="20% - Accent1 2" xfId="4398"/>
    <cellStyle name="20% - Accent2 2" xfId="4399"/>
    <cellStyle name="20% - Accent3 2" xfId="4400"/>
    <cellStyle name="20% - Accent4 2" xfId="4401"/>
    <cellStyle name="20% - Accent5 2" xfId="4402"/>
    <cellStyle name="20% - Accent6 2" xfId="4403"/>
    <cellStyle name="40% - Accent1 2" xfId="4404"/>
    <cellStyle name="40% - Accent2 2" xfId="4405"/>
    <cellStyle name="40% - Accent3 2" xfId="4406"/>
    <cellStyle name="40% - Accent4 2" xfId="4407"/>
    <cellStyle name="40% - Accent5 2" xfId="4408"/>
    <cellStyle name="40% - Accent6 2" xfId="4409"/>
    <cellStyle name="60% - Accent1 2" xfId="4410"/>
    <cellStyle name="60% - Accent2 2" xfId="4411"/>
    <cellStyle name="60% - Accent3 2" xfId="4412"/>
    <cellStyle name="60% - Accent4 2" xfId="4413"/>
    <cellStyle name="60% - Accent5 2" xfId="4414"/>
    <cellStyle name="60% - Accent6 2" xfId="4415"/>
    <cellStyle name="Accent1 2" xfId="4416"/>
    <cellStyle name="Accent2 2" xfId="4417"/>
    <cellStyle name="Accent3 2" xfId="4418"/>
    <cellStyle name="Accent4 2" xfId="4419"/>
    <cellStyle name="Accent5 2" xfId="4420"/>
    <cellStyle name="Accent6 2" xfId="4421"/>
    <cellStyle name="Bad 2" xfId="4422"/>
    <cellStyle name="Calculation 2" xfId="4423"/>
    <cellStyle name="Calculation 3" xfId="4447"/>
    <cellStyle name="Check Cell 2" xfId="4424"/>
    <cellStyle name="Comma" xfId="1" builtinId="3"/>
    <cellStyle name="Comma 2" xfId="7"/>
    <cellStyle name="Comma 2 2" xfId="126"/>
    <cellStyle name="Comma 2 3" xfId="103"/>
    <cellStyle name="Comma 2 4" xfId="4425"/>
    <cellStyle name="Comma 3" xfId="8"/>
    <cellStyle name="Comma 3 2" xfId="14"/>
    <cellStyle name="Comma 3 3" xfId="88"/>
    <cellStyle name="Comma 4" xfId="77"/>
    <cellStyle name="Comma 5" xfId="89"/>
    <cellStyle name="Comma 5 10" xfId="421"/>
    <cellStyle name="Comma 5 10 2" xfId="829"/>
    <cellStyle name="Comma 5 10 2 2" xfId="1889"/>
    <cellStyle name="Comma 5 10 2 2 2" xfId="9995"/>
    <cellStyle name="Comma 5 10 2 2 3" xfId="4977"/>
    <cellStyle name="Comma 5 10 2 3" xfId="6036"/>
    <cellStyle name="Comma 5 10 2 3 2" xfId="11052"/>
    <cellStyle name="Comma 5 10 2 4" xfId="9111"/>
    <cellStyle name="Comma 5 10 2 5" xfId="12506"/>
    <cellStyle name="Comma 5 10 2 6" xfId="7588"/>
    <cellStyle name="Comma 5 10 2 7" xfId="4042"/>
    <cellStyle name="Comma 5 10 3" xfId="1179"/>
    <cellStyle name="Comma 5 10 3 2" xfId="2238"/>
    <cellStyle name="Comma 5 10 3 2 2" xfId="10389"/>
    <cellStyle name="Comma 5 10 3 2 3" xfId="5372"/>
    <cellStyle name="Comma 5 10 3 3" xfId="6385"/>
    <cellStyle name="Comma 5 10 3 3 2" xfId="11400"/>
    <cellStyle name="Comma 5 10 3 4" xfId="9479"/>
    <cellStyle name="Comma 5 10 3 5" xfId="12854"/>
    <cellStyle name="Comma 5 10 3 6" xfId="7983"/>
    <cellStyle name="Comma 5 10 3 7" xfId="4461"/>
    <cellStyle name="Comma 5 10 4" xfId="2730"/>
    <cellStyle name="Comma 5 10 4 2" xfId="6770"/>
    <cellStyle name="Comma 5 10 4 2 2" xfId="11785"/>
    <cellStyle name="Comma 5 10 4 3" xfId="13239"/>
    <cellStyle name="Comma 5 10 4 4" xfId="9680"/>
    <cellStyle name="Comma 5 10 4 5" xfId="4662"/>
    <cellStyle name="Comma 5 10 5" xfId="1579"/>
    <cellStyle name="Comma 5 10 5 2" xfId="10740"/>
    <cellStyle name="Comma 5 10 5 3" xfId="5724"/>
    <cellStyle name="Comma 5 10 6" xfId="8796"/>
    <cellStyle name="Comma 5 10 7" xfId="12196"/>
    <cellStyle name="Comma 5 10 8" xfId="7273"/>
    <cellStyle name="Comma 5 10 9" xfId="3727"/>
    <cellStyle name="Comma 5 11" xfId="743"/>
    <cellStyle name="Comma 5 11 2" xfId="1888"/>
    <cellStyle name="Comma 5 11 2 2" xfId="9994"/>
    <cellStyle name="Comma 5 11 2 3" xfId="4976"/>
    <cellStyle name="Comma 5 11 3" xfId="6035"/>
    <cellStyle name="Comma 5 11 3 2" xfId="11051"/>
    <cellStyle name="Comma 5 11 4" xfId="9110"/>
    <cellStyle name="Comma 5 11 5" xfId="12505"/>
    <cellStyle name="Comma 5 11 6" xfId="7587"/>
    <cellStyle name="Comma 5 11 7" xfId="4041"/>
    <cellStyle name="Comma 5 12" xfId="1147"/>
    <cellStyle name="Comma 5 12 2" xfId="2237"/>
    <cellStyle name="Comma 5 12 2 2" xfId="10357"/>
    <cellStyle name="Comma 5 12 2 3" xfId="5340"/>
    <cellStyle name="Comma 5 12 3" xfId="6384"/>
    <cellStyle name="Comma 5 12 3 2" xfId="11399"/>
    <cellStyle name="Comma 5 12 4" xfId="8615"/>
    <cellStyle name="Comma 5 12 5" xfId="12853"/>
    <cellStyle name="Comma 5 12 6" xfId="7951"/>
    <cellStyle name="Comma 5 12 7" xfId="3537"/>
    <cellStyle name="Comma 5 13" xfId="2659"/>
    <cellStyle name="Comma 5 13 2" xfId="6738"/>
    <cellStyle name="Comma 5 13 2 2" xfId="11753"/>
    <cellStyle name="Comma 5 13 3" xfId="13207"/>
    <cellStyle name="Comma 5 13 4" xfId="9501"/>
    <cellStyle name="Comma 5 13 5" xfId="4483"/>
    <cellStyle name="Comma 5 14" xfId="1547"/>
    <cellStyle name="Comma 5 14 2" xfId="12164"/>
    <cellStyle name="Comma 5 14 3" xfId="10708"/>
    <cellStyle name="Comma 5 14 4" xfId="5692"/>
    <cellStyle name="Comma 5 15" xfId="1507"/>
    <cellStyle name="Comma 5 15 2" xfId="8303"/>
    <cellStyle name="Comma 5 16" xfId="12124"/>
    <cellStyle name="Comma 5 17" xfId="7095"/>
    <cellStyle name="Comma 5 18" xfId="3223"/>
    <cellStyle name="Comma 5 2" xfId="90"/>
    <cellStyle name="Comma 5 2 10" xfId="744"/>
    <cellStyle name="Comma 5 2 10 2" xfId="1890"/>
    <cellStyle name="Comma 5 2 10 2 2" xfId="9996"/>
    <cellStyle name="Comma 5 2 10 2 3" xfId="4978"/>
    <cellStyle name="Comma 5 2 10 3" xfId="6037"/>
    <cellStyle name="Comma 5 2 10 3 2" xfId="11053"/>
    <cellStyle name="Comma 5 2 10 4" xfId="9112"/>
    <cellStyle name="Comma 5 2 10 5" xfId="12507"/>
    <cellStyle name="Comma 5 2 10 6" xfId="7589"/>
    <cellStyle name="Comma 5 2 10 7" xfId="4043"/>
    <cellStyle name="Comma 5 2 11" xfId="1148"/>
    <cellStyle name="Comma 5 2 11 2" xfId="2239"/>
    <cellStyle name="Comma 5 2 11 2 2" xfId="10358"/>
    <cellStyle name="Comma 5 2 11 2 3" xfId="5341"/>
    <cellStyle name="Comma 5 2 11 3" xfId="6386"/>
    <cellStyle name="Comma 5 2 11 3 2" xfId="11401"/>
    <cellStyle name="Comma 5 2 11 4" xfId="8616"/>
    <cellStyle name="Comma 5 2 11 5" xfId="12855"/>
    <cellStyle name="Comma 5 2 11 6" xfId="7952"/>
    <cellStyle name="Comma 5 2 11 7" xfId="3538"/>
    <cellStyle name="Comma 5 2 12" xfId="2660"/>
    <cellStyle name="Comma 5 2 12 2" xfId="6739"/>
    <cellStyle name="Comma 5 2 12 2 2" xfId="11754"/>
    <cellStyle name="Comma 5 2 12 3" xfId="13208"/>
    <cellStyle name="Comma 5 2 12 4" xfId="9502"/>
    <cellStyle name="Comma 5 2 12 5" xfId="4484"/>
    <cellStyle name="Comma 5 2 13" xfId="1548"/>
    <cellStyle name="Comma 5 2 13 2" xfId="12165"/>
    <cellStyle name="Comma 5 2 13 3" xfId="10709"/>
    <cellStyle name="Comma 5 2 13 4" xfId="5693"/>
    <cellStyle name="Comma 5 2 14" xfId="1508"/>
    <cellStyle name="Comma 5 2 14 2" xfId="8304"/>
    <cellStyle name="Comma 5 2 15" xfId="12125"/>
    <cellStyle name="Comma 5 2 16" xfId="7096"/>
    <cellStyle name="Comma 5 2 17" xfId="3224"/>
    <cellStyle name="Comma 5 2 2" xfId="137"/>
    <cellStyle name="Comma 5 2 2 10" xfId="1560"/>
    <cellStyle name="Comma 5 2 2 10 2" xfId="12177"/>
    <cellStyle name="Comma 5 2 2 10 3" xfId="10721"/>
    <cellStyle name="Comma 5 2 2 10 4" xfId="5705"/>
    <cellStyle name="Comma 5 2 2 11" xfId="1530"/>
    <cellStyle name="Comma 5 2 2 11 2" xfId="8329"/>
    <cellStyle name="Comma 5 2 2 12" xfId="12147"/>
    <cellStyle name="Comma 5 2 2 13" xfId="7109"/>
    <cellStyle name="Comma 5 2 2 14" xfId="3251"/>
    <cellStyle name="Comma 5 2 2 2" xfId="178"/>
    <cellStyle name="Comma 5 2 2 2 10" xfId="12279"/>
    <cellStyle name="Comma 5 2 2 2 11" xfId="7139"/>
    <cellStyle name="Comma 5 2 2 2 12" xfId="3308"/>
    <cellStyle name="Comma 5 2 2 2 2" xfId="353"/>
    <cellStyle name="Comma 5 2 2 2 2 10" xfId="3512"/>
    <cellStyle name="Comma 5 2 2 2 2 2" xfId="708"/>
    <cellStyle name="Comma 5 2 2 2 2 2 2" xfId="1893"/>
    <cellStyle name="Comma 5 2 2 2 2 2 2 2" xfId="9967"/>
    <cellStyle name="Comma 5 2 2 2 2 2 2 3" xfId="4949"/>
    <cellStyle name="Comma 5 2 2 2 2 2 3" xfId="6040"/>
    <cellStyle name="Comma 5 2 2 2 2 2 3 2" xfId="11056"/>
    <cellStyle name="Comma 5 2 2 2 2 2 4" xfId="9083"/>
    <cellStyle name="Comma 5 2 2 2 2 2 5" xfId="12510"/>
    <cellStyle name="Comma 5 2 2 2 2 2 6" xfId="7560"/>
    <cellStyle name="Comma 5 2 2 2 2 2 7" xfId="4014"/>
    <cellStyle name="Comma 5 2 2 2 2 3" xfId="1117"/>
    <cellStyle name="Comma 5 2 2 2 2 3 2" xfId="2242"/>
    <cellStyle name="Comma 5 2 2 2 2 3 2 2" xfId="9999"/>
    <cellStyle name="Comma 5 2 2 2 2 3 2 3" xfId="4981"/>
    <cellStyle name="Comma 5 2 2 2 2 3 3" xfId="6389"/>
    <cellStyle name="Comma 5 2 2 2 2 3 3 2" xfId="11404"/>
    <cellStyle name="Comma 5 2 2 2 2 3 4" xfId="9115"/>
    <cellStyle name="Comma 5 2 2 2 2 3 5" xfId="12858"/>
    <cellStyle name="Comma 5 2 2 2 2 3 6" xfId="7592"/>
    <cellStyle name="Comma 5 2 2 2 2 3 7" xfId="4046"/>
    <cellStyle name="Comma 5 2 2 2 2 4" xfId="1475"/>
    <cellStyle name="Comma 5 2 2 2 2 4 2" xfId="3034"/>
    <cellStyle name="Comma 5 2 2 2 2 4 2 2" xfId="10676"/>
    <cellStyle name="Comma 5 2 2 2 2 4 2 3" xfId="5659"/>
    <cellStyle name="Comma 5 2 2 2 2 4 3" xfId="7057"/>
    <cellStyle name="Comma 5 2 2 2 2 4 3 2" xfId="12072"/>
    <cellStyle name="Comma 5 2 2 2 2 4 4" xfId="8764"/>
    <cellStyle name="Comma 5 2 2 2 2 4 5" xfId="13526"/>
    <cellStyle name="Comma 5 2 2 2 2 4 6" xfId="8270"/>
    <cellStyle name="Comma 5 2 2 2 2 4 7" xfId="3694"/>
    <cellStyle name="Comma 5 2 2 2 2 5" xfId="1866"/>
    <cellStyle name="Comma 5 2 2 2 2 5 2" xfId="9650"/>
    <cellStyle name="Comma 5 2 2 2 2 5 3" xfId="4632"/>
    <cellStyle name="Comma 5 2 2 2 2 6" xfId="6013"/>
    <cellStyle name="Comma 5 2 2 2 2 6 2" xfId="11029"/>
    <cellStyle name="Comma 5 2 2 2 2 7" xfId="8590"/>
    <cellStyle name="Comma 5 2 2 2 2 8" xfId="12483"/>
    <cellStyle name="Comma 5 2 2 2 2 9" xfId="7243"/>
    <cellStyle name="Comma 5 2 2 2 3" xfId="604"/>
    <cellStyle name="Comma 5 2 2 2 3 2" xfId="1013"/>
    <cellStyle name="Comma 5 2 2 2 3 2 2" xfId="1894"/>
    <cellStyle name="Comma 5 2 2 2 3 2 2 2" xfId="10000"/>
    <cellStyle name="Comma 5 2 2 2 3 2 2 3" xfId="4982"/>
    <cellStyle name="Comma 5 2 2 2 3 2 3" xfId="6041"/>
    <cellStyle name="Comma 5 2 2 2 3 2 3 2" xfId="11057"/>
    <cellStyle name="Comma 5 2 2 2 3 2 4" xfId="9116"/>
    <cellStyle name="Comma 5 2 2 2 3 2 5" xfId="12511"/>
    <cellStyle name="Comma 5 2 2 2 3 2 6" xfId="7593"/>
    <cellStyle name="Comma 5 2 2 2 3 2 7" xfId="4047"/>
    <cellStyle name="Comma 5 2 2 2 3 3" xfId="1369"/>
    <cellStyle name="Comma 5 2 2 2 3 3 2" xfId="2243"/>
    <cellStyle name="Comma 5 2 2 2 3 3 2 2" xfId="10572"/>
    <cellStyle name="Comma 5 2 2 2 3 3 2 3" xfId="5555"/>
    <cellStyle name="Comma 5 2 2 2 3 3 3" xfId="6390"/>
    <cellStyle name="Comma 5 2 2 2 3 3 3 2" xfId="11405"/>
    <cellStyle name="Comma 5 2 2 2 3 3 4" xfId="8979"/>
    <cellStyle name="Comma 5 2 2 2 3 3 5" xfId="12859"/>
    <cellStyle name="Comma 5 2 2 2 3 3 6" xfId="8166"/>
    <cellStyle name="Comma 5 2 2 2 3 3 7" xfId="3910"/>
    <cellStyle name="Comma 5 2 2 2 3 4" xfId="2927"/>
    <cellStyle name="Comma 5 2 2 2 3 4 2" xfId="6953"/>
    <cellStyle name="Comma 5 2 2 2 3 4 2 2" xfId="11968"/>
    <cellStyle name="Comma 5 2 2 2 3 4 3" xfId="13422"/>
    <cellStyle name="Comma 5 2 2 2 3 4 4" xfId="9863"/>
    <cellStyle name="Comma 5 2 2 2 3 4 5" xfId="4845"/>
    <cellStyle name="Comma 5 2 2 2 3 5" xfId="1762"/>
    <cellStyle name="Comma 5 2 2 2 3 5 2" xfId="10925"/>
    <cellStyle name="Comma 5 2 2 2 3 5 3" xfId="5909"/>
    <cellStyle name="Comma 5 2 2 2 3 6" xfId="8486"/>
    <cellStyle name="Comma 5 2 2 2 3 7" xfId="12379"/>
    <cellStyle name="Comma 5 2 2 2 3 8" xfId="7456"/>
    <cellStyle name="Comma 5 2 2 2 3 9" xfId="3408"/>
    <cellStyle name="Comma 5 2 2 2 4" xfId="504"/>
    <cellStyle name="Comma 5 2 2 2 4 2" xfId="913"/>
    <cellStyle name="Comma 5 2 2 2 4 2 2" xfId="9763"/>
    <cellStyle name="Comma 5 2 2 2 4 2 3" xfId="4745"/>
    <cellStyle name="Comma 5 2 2 2 4 3" xfId="1892"/>
    <cellStyle name="Comma 5 2 2 2 4 3 2" xfId="11055"/>
    <cellStyle name="Comma 5 2 2 2 4 3 3" xfId="6039"/>
    <cellStyle name="Comma 5 2 2 2 4 4" xfId="8879"/>
    <cellStyle name="Comma 5 2 2 2 4 5" xfId="12509"/>
    <cellStyle name="Comma 5 2 2 2 4 6" xfId="7356"/>
    <cellStyle name="Comma 5 2 2 2 4 7" xfId="3810"/>
    <cellStyle name="Comma 5 2 2 2 5" xfId="780"/>
    <cellStyle name="Comma 5 2 2 2 5 2" xfId="2241"/>
    <cellStyle name="Comma 5 2 2 2 5 2 2" xfId="9998"/>
    <cellStyle name="Comma 5 2 2 2 5 2 3" xfId="4980"/>
    <cellStyle name="Comma 5 2 2 2 5 3" xfId="6388"/>
    <cellStyle name="Comma 5 2 2 2 5 3 2" xfId="11403"/>
    <cellStyle name="Comma 5 2 2 2 5 4" xfId="9114"/>
    <cellStyle name="Comma 5 2 2 2 5 5" xfId="12857"/>
    <cellStyle name="Comma 5 2 2 2 5 6" xfId="7591"/>
    <cellStyle name="Comma 5 2 2 2 5 7" xfId="4045"/>
    <cellStyle name="Comma 5 2 2 2 6" xfId="1268"/>
    <cellStyle name="Comma 5 2 2 2 6 2" xfId="2825"/>
    <cellStyle name="Comma 5 2 2 2 6 2 2" xfId="10472"/>
    <cellStyle name="Comma 5 2 2 2 6 2 3" xfId="5455"/>
    <cellStyle name="Comma 5 2 2 2 6 3" xfId="6853"/>
    <cellStyle name="Comma 5 2 2 2 6 3 2" xfId="11868"/>
    <cellStyle name="Comma 5 2 2 2 6 4" xfId="8660"/>
    <cellStyle name="Comma 5 2 2 2 6 5" xfId="13322"/>
    <cellStyle name="Comma 5 2 2 2 6 6" xfId="8066"/>
    <cellStyle name="Comma 5 2 2 2 6 7" xfId="3587"/>
    <cellStyle name="Comma 5 2 2 2 7" xfId="1662"/>
    <cellStyle name="Comma 5 2 2 2 7 2" xfId="9546"/>
    <cellStyle name="Comma 5 2 2 2 7 3" xfId="4528"/>
    <cellStyle name="Comma 5 2 2 2 8" xfId="5809"/>
    <cellStyle name="Comma 5 2 2 2 8 2" xfId="10825"/>
    <cellStyle name="Comma 5 2 2 2 9" xfId="8386"/>
    <cellStyle name="Comma 5 2 2 3" xfId="204"/>
    <cellStyle name="Comma 5 2 2 3 10" xfId="7182"/>
    <cellStyle name="Comma 5 2 2 3 11" xfId="3351"/>
    <cellStyle name="Comma 5 2 2 3 2" xfId="397"/>
    <cellStyle name="Comma 5 2 2 3 2 2" xfId="647"/>
    <cellStyle name="Comma 5 2 2 3 2 2 2" xfId="1896"/>
    <cellStyle name="Comma 5 2 2 3 2 2 2 2" xfId="10002"/>
    <cellStyle name="Comma 5 2 2 3 2 2 2 3" xfId="4984"/>
    <cellStyle name="Comma 5 2 2 3 2 2 3" xfId="6043"/>
    <cellStyle name="Comma 5 2 2 3 2 2 3 2" xfId="11059"/>
    <cellStyle name="Comma 5 2 2 3 2 2 4" xfId="9118"/>
    <cellStyle name="Comma 5 2 2 3 2 2 5" xfId="12513"/>
    <cellStyle name="Comma 5 2 2 3 2 2 6" xfId="7595"/>
    <cellStyle name="Comma 5 2 2 3 2 2 7" xfId="4049"/>
    <cellStyle name="Comma 5 2 2 3 2 3" xfId="1056"/>
    <cellStyle name="Comma 5 2 2 3 2 3 2" xfId="2245"/>
    <cellStyle name="Comma 5 2 2 3 2 3 2 2" xfId="10615"/>
    <cellStyle name="Comma 5 2 2 3 2 3 2 3" xfId="5598"/>
    <cellStyle name="Comma 5 2 2 3 2 3 3" xfId="6392"/>
    <cellStyle name="Comma 5 2 2 3 2 3 3 2" xfId="11407"/>
    <cellStyle name="Comma 5 2 2 3 2 3 4" xfId="9022"/>
    <cellStyle name="Comma 5 2 2 3 2 3 5" xfId="12861"/>
    <cellStyle name="Comma 5 2 2 3 2 3 6" xfId="8209"/>
    <cellStyle name="Comma 5 2 2 3 2 3 7" xfId="3953"/>
    <cellStyle name="Comma 5 2 2 3 2 4" xfId="1414"/>
    <cellStyle name="Comma 5 2 2 3 2 4 2" xfId="2972"/>
    <cellStyle name="Comma 5 2 2 3 2 4 2 2" xfId="12011"/>
    <cellStyle name="Comma 5 2 2 3 2 4 2 3" xfId="6996"/>
    <cellStyle name="Comma 5 2 2 3 2 4 3" xfId="13465"/>
    <cellStyle name="Comma 5 2 2 3 2 4 4" xfId="9906"/>
    <cellStyle name="Comma 5 2 2 3 2 4 5" xfId="4888"/>
    <cellStyle name="Comma 5 2 2 3 2 5" xfId="1805"/>
    <cellStyle name="Comma 5 2 2 3 2 5 2" xfId="10968"/>
    <cellStyle name="Comma 5 2 2 3 2 5 3" xfId="5952"/>
    <cellStyle name="Comma 5 2 2 3 2 6" xfId="8529"/>
    <cellStyle name="Comma 5 2 2 3 2 7" xfId="12422"/>
    <cellStyle name="Comma 5 2 2 3 2 8" xfId="7499"/>
    <cellStyle name="Comma 5 2 2 3 2 9" xfId="3451"/>
    <cellStyle name="Comma 5 2 2 3 3" xfId="547"/>
    <cellStyle name="Comma 5 2 2 3 3 2" xfId="956"/>
    <cellStyle name="Comma 5 2 2 3 3 2 2" xfId="9806"/>
    <cellStyle name="Comma 5 2 2 3 3 2 3" xfId="4788"/>
    <cellStyle name="Comma 5 2 2 3 3 3" xfId="1895"/>
    <cellStyle name="Comma 5 2 2 3 3 3 2" xfId="11058"/>
    <cellStyle name="Comma 5 2 2 3 3 3 3" xfId="6042"/>
    <cellStyle name="Comma 5 2 2 3 3 4" xfId="8922"/>
    <cellStyle name="Comma 5 2 2 3 3 5" xfId="12512"/>
    <cellStyle name="Comma 5 2 2 3 3 6" xfId="7399"/>
    <cellStyle name="Comma 5 2 2 3 3 7" xfId="3853"/>
    <cellStyle name="Comma 5 2 2 3 4" xfId="810"/>
    <cellStyle name="Comma 5 2 2 3 4 2" xfId="2244"/>
    <cellStyle name="Comma 5 2 2 3 4 2 2" xfId="10001"/>
    <cellStyle name="Comma 5 2 2 3 4 2 3" xfId="4983"/>
    <cellStyle name="Comma 5 2 2 3 4 3" xfId="6391"/>
    <cellStyle name="Comma 5 2 2 3 4 3 2" xfId="11406"/>
    <cellStyle name="Comma 5 2 2 3 4 4" xfId="9117"/>
    <cellStyle name="Comma 5 2 2 3 4 5" xfId="12860"/>
    <cellStyle name="Comma 5 2 2 3 4 6" xfId="7594"/>
    <cellStyle name="Comma 5 2 2 3 4 7" xfId="4048"/>
    <cellStyle name="Comma 5 2 2 3 5" xfId="1312"/>
    <cellStyle name="Comma 5 2 2 3 5 2" xfId="2870"/>
    <cellStyle name="Comma 5 2 2 3 5 2 2" xfId="10515"/>
    <cellStyle name="Comma 5 2 2 3 5 2 3" xfId="5498"/>
    <cellStyle name="Comma 5 2 2 3 5 3" xfId="6896"/>
    <cellStyle name="Comma 5 2 2 3 5 3 2" xfId="11911"/>
    <cellStyle name="Comma 5 2 2 3 5 4" xfId="8703"/>
    <cellStyle name="Comma 5 2 2 3 5 5" xfId="13365"/>
    <cellStyle name="Comma 5 2 2 3 5 6" xfId="8109"/>
    <cellStyle name="Comma 5 2 2 3 5 7" xfId="3633"/>
    <cellStyle name="Comma 5 2 2 3 6" xfId="1705"/>
    <cellStyle name="Comma 5 2 2 3 6 2" xfId="9589"/>
    <cellStyle name="Comma 5 2 2 3 6 3" xfId="4571"/>
    <cellStyle name="Comma 5 2 2 3 7" xfId="5852"/>
    <cellStyle name="Comma 5 2 2 3 7 2" xfId="10868"/>
    <cellStyle name="Comma 5 2 2 3 8" xfId="8429"/>
    <cellStyle name="Comma 5 2 2 3 9" xfId="12322"/>
    <cellStyle name="Comma 5 2 2 4" xfId="240"/>
    <cellStyle name="Comma 5 2 2 4 10" xfId="7214"/>
    <cellStyle name="Comma 5 2 2 4 11" xfId="3278"/>
    <cellStyle name="Comma 5 2 2 4 2" xfId="322"/>
    <cellStyle name="Comma 5 2 2 4 2 2" xfId="679"/>
    <cellStyle name="Comma 5 2 2 4 2 2 2" xfId="1898"/>
    <cellStyle name="Comma 5 2 2 4 2 2 2 2" xfId="10004"/>
    <cellStyle name="Comma 5 2 2 4 2 2 2 3" xfId="4986"/>
    <cellStyle name="Comma 5 2 2 4 2 2 3" xfId="6045"/>
    <cellStyle name="Comma 5 2 2 4 2 2 3 2" xfId="11061"/>
    <cellStyle name="Comma 5 2 2 4 2 2 4" xfId="9120"/>
    <cellStyle name="Comma 5 2 2 4 2 2 5" xfId="12515"/>
    <cellStyle name="Comma 5 2 2 4 2 2 6" xfId="7597"/>
    <cellStyle name="Comma 5 2 2 4 2 2 7" xfId="4051"/>
    <cellStyle name="Comma 5 2 2 4 2 3" xfId="1088"/>
    <cellStyle name="Comma 5 2 2 4 2 3 2" xfId="2247"/>
    <cellStyle name="Comma 5 2 2 4 2 3 2 2" xfId="10647"/>
    <cellStyle name="Comma 5 2 2 4 2 3 2 3" xfId="5630"/>
    <cellStyle name="Comma 5 2 2 4 2 3 3" xfId="6394"/>
    <cellStyle name="Comma 5 2 2 4 2 3 3 2" xfId="11409"/>
    <cellStyle name="Comma 5 2 2 4 2 3 4" xfId="9054"/>
    <cellStyle name="Comma 5 2 2 4 2 3 5" xfId="12863"/>
    <cellStyle name="Comma 5 2 2 4 2 3 6" xfId="8241"/>
    <cellStyle name="Comma 5 2 2 4 2 3 7" xfId="3985"/>
    <cellStyle name="Comma 5 2 2 4 2 4" xfId="1446"/>
    <cellStyle name="Comma 5 2 2 4 2 4 2" xfId="3005"/>
    <cellStyle name="Comma 5 2 2 4 2 4 2 2" xfId="12043"/>
    <cellStyle name="Comma 5 2 2 4 2 4 2 3" xfId="7028"/>
    <cellStyle name="Comma 5 2 2 4 2 4 3" xfId="13497"/>
    <cellStyle name="Comma 5 2 2 4 2 4 4" xfId="9938"/>
    <cellStyle name="Comma 5 2 2 4 2 4 5" xfId="4920"/>
    <cellStyle name="Comma 5 2 2 4 2 5" xfId="1837"/>
    <cellStyle name="Comma 5 2 2 4 2 5 2" xfId="11000"/>
    <cellStyle name="Comma 5 2 2 4 2 5 3" xfId="5984"/>
    <cellStyle name="Comma 5 2 2 4 2 6" xfId="8561"/>
    <cellStyle name="Comma 5 2 2 4 2 7" xfId="12454"/>
    <cellStyle name="Comma 5 2 2 4 2 8" xfId="7531"/>
    <cellStyle name="Comma 5 2 2 4 2 9" xfId="3483"/>
    <cellStyle name="Comma 5 2 2 4 3" xfId="474"/>
    <cellStyle name="Comma 5 2 2 4 3 2" xfId="1897"/>
    <cellStyle name="Comma 5 2 2 4 3 2 2" xfId="9733"/>
    <cellStyle name="Comma 5 2 2 4 3 2 3" xfId="4715"/>
    <cellStyle name="Comma 5 2 2 4 3 3" xfId="6044"/>
    <cellStyle name="Comma 5 2 2 4 3 3 2" xfId="11060"/>
    <cellStyle name="Comma 5 2 2 4 3 4" xfId="8849"/>
    <cellStyle name="Comma 5 2 2 4 3 5" xfId="12514"/>
    <cellStyle name="Comma 5 2 2 4 3 6" xfId="7326"/>
    <cellStyle name="Comma 5 2 2 4 3 7" xfId="3780"/>
    <cellStyle name="Comma 5 2 2 4 4" xfId="883"/>
    <cellStyle name="Comma 5 2 2 4 4 2" xfId="2246"/>
    <cellStyle name="Comma 5 2 2 4 4 2 2" xfId="10003"/>
    <cellStyle name="Comma 5 2 2 4 4 2 3" xfId="4985"/>
    <cellStyle name="Comma 5 2 2 4 4 3" xfId="6393"/>
    <cellStyle name="Comma 5 2 2 4 4 3 2" xfId="11408"/>
    <cellStyle name="Comma 5 2 2 4 4 4" xfId="9119"/>
    <cellStyle name="Comma 5 2 2 4 4 5" xfId="12862"/>
    <cellStyle name="Comma 5 2 2 4 4 6" xfId="7596"/>
    <cellStyle name="Comma 5 2 2 4 4 7" xfId="4050"/>
    <cellStyle name="Comma 5 2 2 4 5" xfId="1235"/>
    <cellStyle name="Comma 5 2 2 4 5 2" xfId="2791"/>
    <cellStyle name="Comma 5 2 2 4 5 2 2" xfId="10442"/>
    <cellStyle name="Comma 5 2 2 4 5 2 3" xfId="5425"/>
    <cellStyle name="Comma 5 2 2 4 5 3" xfId="6823"/>
    <cellStyle name="Comma 5 2 2 4 5 3 2" xfId="11838"/>
    <cellStyle name="Comma 5 2 2 4 5 4" xfId="8735"/>
    <cellStyle name="Comma 5 2 2 4 5 5" xfId="13292"/>
    <cellStyle name="Comma 5 2 2 4 5 6" xfId="8036"/>
    <cellStyle name="Comma 5 2 2 4 5 7" xfId="3665"/>
    <cellStyle name="Comma 5 2 2 4 6" xfId="1632"/>
    <cellStyle name="Comma 5 2 2 4 6 2" xfId="9621"/>
    <cellStyle name="Comma 5 2 2 4 6 3" xfId="4603"/>
    <cellStyle name="Comma 5 2 2 4 7" xfId="5779"/>
    <cellStyle name="Comma 5 2 2 4 7 2" xfId="10795"/>
    <cellStyle name="Comma 5 2 2 4 8" xfId="8356"/>
    <cellStyle name="Comma 5 2 2 4 9" xfId="12249"/>
    <cellStyle name="Comma 5 2 2 5" xfId="293"/>
    <cellStyle name="Comma 5 2 2 5 2" xfId="574"/>
    <cellStyle name="Comma 5 2 2 5 2 2" xfId="1899"/>
    <cellStyle name="Comma 5 2 2 5 2 2 2" xfId="10005"/>
    <cellStyle name="Comma 5 2 2 5 2 2 3" xfId="4987"/>
    <cellStyle name="Comma 5 2 2 5 2 3" xfId="6046"/>
    <cellStyle name="Comma 5 2 2 5 2 3 2" xfId="11062"/>
    <cellStyle name="Comma 5 2 2 5 2 4" xfId="9121"/>
    <cellStyle name="Comma 5 2 2 5 2 5" xfId="12516"/>
    <cellStyle name="Comma 5 2 2 5 2 6" xfId="7598"/>
    <cellStyle name="Comma 5 2 2 5 2 7" xfId="4052"/>
    <cellStyle name="Comma 5 2 2 5 3" xfId="983"/>
    <cellStyle name="Comma 5 2 2 5 3 2" xfId="2248"/>
    <cellStyle name="Comma 5 2 2 5 3 2 2" xfId="10542"/>
    <cellStyle name="Comma 5 2 2 5 3 2 3" xfId="5525"/>
    <cellStyle name="Comma 5 2 2 5 3 3" xfId="6395"/>
    <cellStyle name="Comma 5 2 2 5 3 3 2" xfId="11410"/>
    <cellStyle name="Comma 5 2 2 5 3 4" xfId="8949"/>
    <cellStyle name="Comma 5 2 2 5 3 5" xfId="12864"/>
    <cellStyle name="Comma 5 2 2 5 3 6" xfId="8136"/>
    <cellStyle name="Comma 5 2 2 5 3 7" xfId="3880"/>
    <cellStyle name="Comma 5 2 2 5 4" xfId="1339"/>
    <cellStyle name="Comma 5 2 2 5 4 2" xfId="2897"/>
    <cellStyle name="Comma 5 2 2 5 4 2 2" xfId="11938"/>
    <cellStyle name="Comma 5 2 2 5 4 2 3" xfId="6923"/>
    <cellStyle name="Comma 5 2 2 5 4 3" xfId="13392"/>
    <cellStyle name="Comma 5 2 2 5 4 4" xfId="9833"/>
    <cellStyle name="Comma 5 2 2 5 4 5" xfId="4815"/>
    <cellStyle name="Comma 5 2 2 5 5" xfId="1732"/>
    <cellStyle name="Comma 5 2 2 5 5 2" xfId="10895"/>
    <cellStyle name="Comma 5 2 2 5 5 3" xfId="5879"/>
    <cellStyle name="Comma 5 2 2 5 6" xfId="8456"/>
    <cellStyle name="Comma 5 2 2 5 7" xfId="12349"/>
    <cellStyle name="Comma 5 2 2 5 8" xfId="7426"/>
    <cellStyle name="Comma 5 2 2 5 9" xfId="3378"/>
    <cellStyle name="Comma 5 2 2 6" xfId="447"/>
    <cellStyle name="Comma 5 2 2 6 2" xfId="856"/>
    <cellStyle name="Comma 5 2 2 6 2 2" xfId="1900"/>
    <cellStyle name="Comma 5 2 2 6 2 2 2" xfId="10006"/>
    <cellStyle name="Comma 5 2 2 6 2 2 3" xfId="4988"/>
    <cellStyle name="Comma 5 2 2 6 2 3" xfId="6047"/>
    <cellStyle name="Comma 5 2 2 6 2 3 2" xfId="11063"/>
    <cellStyle name="Comma 5 2 2 6 2 4" xfId="9122"/>
    <cellStyle name="Comma 5 2 2 6 2 5" xfId="12517"/>
    <cellStyle name="Comma 5 2 2 6 2 6" xfId="7599"/>
    <cellStyle name="Comma 5 2 2 6 2 7" xfId="4053"/>
    <cellStyle name="Comma 5 2 2 6 3" xfId="1206"/>
    <cellStyle name="Comma 5 2 2 6 3 2" xfId="2249"/>
    <cellStyle name="Comma 5 2 2 6 3 2 2" xfId="10415"/>
    <cellStyle name="Comma 5 2 2 6 3 2 3" xfId="5398"/>
    <cellStyle name="Comma 5 2 2 6 3 3" xfId="6396"/>
    <cellStyle name="Comma 5 2 2 6 3 3 2" xfId="11411"/>
    <cellStyle name="Comma 5 2 2 6 3 4" xfId="9470"/>
    <cellStyle name="Comma 5 2 2 6 3 5" xfId="12865"/>
    <cellStyle name="Comma 5 2 2 6 3 6" xfId="8009"/>
    <cellStyle name="Comma 5 2 2 6 3 7" xfId="4452"/>
    <cellStyle name="Comma 5 2 2 6 4" xfId="2760"/>
    <cellStyle name="Comma 5 2 2 6 4 2" xfId="6796"/>
    <cellStyle name="Comma 5 2 2 6 4 2 2" xfId="11811"/>
    <cellStyle name="Comma 5 2 2 6 4 3" xfId="13265"/>
    <cellStyle name="Comma 5 2 2 6 4 4" xfId="9706"/>
    <cellStyle name="Comma 5 2 2 6 4 5" xfId="4688"/>
    <cellStyle name="Comma 5 2 2 6 5" xfId="1605"/>
    <cellStyle name="Comma 5 2 2 6 5 2" xfId="10766"/>
    <cellStyle name="Comma 5 2 2 6 5 3" xfId="5750"/>
    <cellStyle name="Comma 5 2 2 6 6" xfId="8822"/>
    <cellStyle name="Comma 5 2 2 6 7" xfId="12222"/>
    <cellStyle name="Comma 5 2 2 6 8" xfId="7299"/>
    <cellStyle name="Comma 5 2 2 6 9" xfId="3753"/>
    <cellStyle name="Comma 5 2 2 7" xfId="756"/>
    <cellStyle name="Comma 5 2 2 7 2" xfId="1891"/>
    <cellStyle name="Comma 5 2 2 7 2 2" xfId="9997"/>
    <cellStyle name="Comma 5 2 2 7 2 3" xfId="4979"/>
    <cellStyle name="Comma 5 2 2 7 3" xfId="6038"/>
    <cellStyle name="Comma 5 2 2 7 3 2" xfId="11054"/>
    <cellStyle name="Comma 5 2 2 7 4" xfId="9113"/>
    <cellStyle name="Comma 5 2 2 7 5" xfId="12508"/>
    <cellStyle name="Comma 5 2 2 7 6" xfId="7590"/>
    <cellStyle name="Comma 5 2 2 7 7" xfId="4044"/>
    <cellStyle name="Comma 5 2 2 8" xfId="1160"/>
    <cellStyle name="Comma 5 2 2 8 2" xfId="2240"/>
    <cellStyle name="Comma 5 2 2 8 2 2" xfId="10370"/>
    <cellStyle name="Comma 5 2 2 8 2 3" xfId="5353"/>
    <cellStyle name="Comma 5 2 2 8 3" xfId="6387"/>
    <cellStyle name="Comma 5 2 2 8 3 2" xfId="11402"/>
    <cellStyle name="Comma 5 2 2 8 4" xfId="8629"/>
    <cellStyle name="Comma 5 2 2 8 5" xfId="12856"/>
    <cellStyle name="Comma 5 2 2 8 6" xfId="7964"/>
    <cellStyle name="Comma 5 2 2 8 7" xfId="3553"/>
    <cellStyle name="Comma 5 2 2 9" xfId="2709"/>
    <cellStyle name="Comma 5 2 2 9 2" xfId="6751"/>
    <cellStyle name="Comma 5 2 2 9 2 2" xfId="11766"/>
    <cellStyle name="Comma 5 2 2 9 3" xfId="13220"/>
    <cellStyle name="Comma 5 2 2 9 4" xfId="9515"/>
    <cellStyle name="Comma 5 2 2 9 5" xfId="4497"/>
    <cellStyle name="Comma 5 2 3" xfId="152"/>
    <cellStyle name="Comma 5 2 3 10" xfId="1568"/>
    <cellStyle name="Comma 5 2 3 10 2" xfId="12185"/>
    <cellStyle name="Comma 5 2 3 10 3" xfId="10729"/>
    <cellStyle name="Comma 5 2 3 10 4" xfId="5713"/>
    <cellStyle name="Comma 5 2 3 11" xfId="1538"/>
    <cellStyle name="Comma 5 2 3 11 2" xfId="8337"/>
    <cellStyle name="Comma 5 2 3 12" xfId="12155"/>
    <cellStyle name="Comma 5 2 3 13" xfId="7115"/>
    <cellStyle name="Comma 5 2 3 14" xfId="3259"/>
    <cellStyle name="Comma 5 2 3 2" xfId="212"/>
    <cellStyle name="Comma 5 2 3 2 10" xfId="12287"/>
    <cellStyle name="Comma 5 2 3 2 11" xfId="7147"/>
    <cellStyle name="Comma 5 2 3 2 12" xfId="3316"/>
    <cellStyle name="Comma 5 2 3 2 2" xfId="361"/>
    <cellStyle name="Comma 5 2 3 2 2 10" xfId="3520"/>
    <cellStyle name="Comma 5 2 3 2 2 2" xfId="716"/>
    <cellStyle name="Comma 5 2 3 2 2 2 2" xfId="1903"/>
    <cellStyle name="Comma 5 2 3 2 2 2 2 2" xfId="9975"/>
    <cellStyle name="Comma 5 2 3 2 2 2 2 3" xfId="4957"/>
    <cellStyle name="Comma 5 2 3 2 2 2 3" xfId="6050"/>
    <cellStyle name="Comma 5 2 3 2 2 2 3 2" xfId="11066"/>
    <cellStyle name="Comma 5 2 3 2 2 2 4" xfId="9091"/>
    <cellStyle name="Comma 5 2 3 2 2 2 5" xfId="12520"/>
    <cellStyle name="Comma 5 2 3 2 2 2 6" xfId="7568"/>
    <cellStyle name="Comma 5 2 3 2 2 2 7" xfId="4022"/>
    <cellStyle name="Comma 5 2 3 2 2 3" xfId="1125"/>
    <cellStyle name="Comma 5 2 3 2 2 3 2" xfId="2252"/>
    <cellStyle name="Comma 5 2 3 2 2 3 2 2" xfId="10009"/>
    <cellStyle name="Comma 5 2 3 2 2 3 2 3" xfId="4991"/>
    <cellStyle name="Comma 5 2 3 2 2 3 3" xfId="6399"/>
    <cellStyle name="Comma 5 2 3 2 2 3 3 2" xfId="11414"/>
    <cellStyle name="Comma 5 2 3 2 2 3 4" xfId="9125"/>
    <cellStyle name="Comma 5 2 3 2 2 3 5" xfId="12868"/>
    <cellStyle name="Comma 5 2 3 2 2 3 6" xfId="7602"/>
    <cellStyle name="Comma 5 2 3 2 2 3 7" xfId="4056"/>
    <cellStyle name="Comma 5 2 3 2 2 4" xfId="1483"/>
    <cellStyle name="Comma 5 2 3 2 2 4 2" xfId="3042"/>
    <cellStyle name="Comma 5 2 3 2 2 4 2 2" xfId="10684"/>
    <cellStyle name="Comma 5 2 3 2 2 4 2 3" xfId="5667"/>
    <cellStyle name="Comma 5 2 3 2 2 4 3" xfId="7065"/>
    <cellStyle name="Comma 5 2 3 2 2 4 3 2" xfId="12080"/>
    <cellStyle name="Comma 5 2 3 2 2 4 4" xfId="8772"/>
    <cellStyle name="Comma 5 2 3 2 2 4 5" xfId="13534"/>
    <cellStyle name="Comma 5 2 3 2 2 4 6" xfId="8278"/>
    <cellStyle name="Comma 5 2 3 2 2 4 7" xfId="3702"/>
    <cellStyle name="Comma 5 2 3 2 2 5" xfId="1874"/>
    <cellStyle name="Comma 5 2 3 2 2 5 2" xfId="9658"/>
    <cellStyle name="Comma 5 2 3 2 2 5 3" xfId="4640"/>
    <cellStyle name="Comma 5 2 3 2 2 6" xfId="6021"/>
    <cellStyle name="Comma 5 2 3 2 2 6 2" xfId="11037"/>
    <cellStyle name="Comma 5 2 3 2 2 7" xfId="8598"/>
    <cellStyle name="Comma 5 2 3 2 2 8" xfId="12491"/>
    <cellStyle name="Comma 5 2 3 2 2 9" xfId="7251"/>
    <cellStyle name="Comma 5 2 3 2 3" xfId="612"/>
    <cellStyle name="Comma 5 2 3 2 3 2" xfId="1021"/>
    <cellStyle name="Comma 5 2 3 2 3 2 2" xfId="1904"/>
    <cellStyle name="Comma 5 2 3 2 3 2 2 2" xfId="10010"/>
    <cellStyle name="Comma 5 2 3 2 3 2 2 3" xfId="4992"/>
    <cellStyle name="Comma 5 2 3 2 3 2 3" xfId="6051"/>
    <cellStyle name="Comma 5 2 3 2 3 2 3 2" xfId="11067"/>
    <cellStyle name="Comma 5 2 3 2 3 2 4" xfId="9126"/>
    <cellStyle name="Comma 5 2 3 2 3 2 5" xfId="12521"/>
    <cellStyle name="Comma 5 2 3 2 3 2 6" xfId="7603"/>
    <cellStyle name="Comma 5 2 3 2 3 2 7" xfId="4057"/>
    <cellStyle name="Comma 5 2 3 2 3 3" xfId="1377"/>
    <cellStyle name="Comma 5 2 3 2 3 3 2" xfId="2253"/>
    <cellStyle name="Comma 5 2 3 2 3 3 2 2" xfId="10580"/>
    <cellStyle name="Comma 5 2 3 2 3 3 2 3" xfId="5563"/>
    <cellStyle name="Comma 5 2 3 2 3 3 3" xfId="6400"/>
    <cellStyle name="Comma 5 2 3 2 3 3 3 2" xfId="11415"/>
    <cellStyle name="Comma 5 2 3 2 3 3 4" xfId="8987"/>
    <cellStyle name="Comma 5 2 3 2 3 3 5" xfId="12869"/>
    <cellStyle name="Comma 5 2 3 2 3 3 6" xfId="8174"/>
    <cellStyle name="Comma 5 2 3 2 3 3 7" xfId="3918"/>
    <cellStyle name="Comma 5 2 3 2 3 4" xfId="2935"/>
    <cellStyle name="Comma 5 2 3 2 3 4 2" xfId="6961"/>
    <cellStyle name="Comma 5 2 3 2 3 4 2 2" xfId="11976"/>
    <cellStyle name="Comma 5 2 3 2 3 4 3" xfId="13430"/>
    <cellStyle name="Comma 5 2 3 2 3 4 4" xfId="9871"/>
    <cellStyle name="Comma 5 2 3 2 3 4 5" xfId="4853"/>
    <cellStyle name="Comma 5 2 3 2 3 5" xfId="1770"/>
    <cellStyle name="Comma 5 2 3 2 3 5 2" xfId="10933"/>
    <cellStyle name="Comma 5 2 3 2 3 5 3" xfId="5917"/>
    <cellStyle name="Comma 5 2 3 2 3 6" xfId="8494"/>
    <cellStyle name="Comma 5 2 3 2 3 7" xfId="12387"/>
    <cellStyle name="Comma 5 2 3 2 3 8" xfId="7464"/>
    <cellStyle name="Comma 5 2 3 2 3 9" xfId="3416"/>
    <cellStyle name="Comma 5 2 3 2 4" xfId="512"/>
    <cellStyle name="Comma 5 2 3 2 4 2" xfId="921"/>
    <cellStyle name="Comma 5 2 3 2 4 2 2" xfId="9771"/>
    <cellStyle name="Comma 5 2 3 2 4 2 3" xfId="4753"/>
    <cellStyle name="Comma 5 2 3 2 4 3" xfId="1902"/>
    <cellStyle name="Comma 5 2 3 2 4 3 2" xfId="11065"/>
    <cellStyle name="Comma 5 2 3 2 4 3 3" xfId="6049"/>
    <cellStyle name="Comma 5 2 3 2 4 4" xfId="8887"/>
    <cellStyle name="Comma 5 2 3 2 4 5" xfId="12519"/>
    <cellStyle name="Comma 5 2 3 2 4 6" xfId="7364"/>
    <cellStyle name="Comma 5 2 3 2 4 7" xfId="3818"/>
    <cellStyle name="Comma 5 2 3 2 5" xfId="818"/>
    <cellStyle name="Comma 5 2 3 2 5 2" xfId="2251"/>
    <cellStyle name="Comma 5 2 3 2 5 2 2" xfId="10008"/>
    <cellStyle name="Comma 5 2 3 2 5 2 3" xfId="4990"/>
    <cellStyle name="Comma 5 2 3 2 5 3" xfId="6398"/>
    <cellStyle name="Comma 5 2 3 2 5 3 2" xfId="11413"/>
    <cellStyle name="Comma 5 2 3 2 5 4" xfId="9124"/>
    <cellStyle name="Comma 5 2 3 2 5 5" xfId="12867"/>
    <cellStyle name="Comma 5 2 3 2 5 6" xfId="7601"/>
    <cellStyle name="Comma 5 2 3 2 5 7" xfId="4055"/>
    <cellStyle name="Comma 5 2 3 2 6" xfId="1276"/>
    <cellStyle name="Comma 5 2 3 2 6 2" xfId="2833"/>
    <cellStyle name="Comma 5 2 3 2 6 2 2" xfId="10480"/>
    <cellStyle name="Comma 5 2 3 2 6 2 3" xfId="5463"/>
    <cellStyle name="Comma 5 2 3 2 6 3" xfId="6861"/>
    <cellStyle name="Comma 5 2 3 2 6 3 2" xfId="11876"/>
    <cellStyle name="Comma 5 2 3 2 6 4" xfId="8668"/>
    <cellStyle name="Comma 5 2 3 2 6 5" xfId="13330"/>
    <cellStyle name="Comma 5 2 3 2 6 6" xfId="8074"/>
    <cellStyle name="Comma 5 2 3 2 6 7" xfId="3595"/>
    <cellStyle name="Comma 5 2 3 2 7" xfId="1670"/>
    <cellStyle name="Comma 5 2 3 2 7 2" xfId="9554"/>
    <cellStyle name="Comma 5 2 3 2 7 3" xfId="4536"/>
    <cellStyle name="Comma 5 2 3 2 8" xfId="5817"/>
    <cellStyle name="Comma 5 2 3 2 8 2" xfId="10833"/>
    <cellStyle name="Comma 5 2 3 2 9" xfId="8394"/>
    <cellStyle name="Comma 5 2 3 3" xfId="248"/>
    <cellStyle name="Comma 5 2 3 3 10" xfId="7190"/>
    <cellStyle name="Comma 5 2 3 3 11" xfId="3359"/>
    <cellStyle name="Comma 5 2 3 3 2" xfId="405"/>
    <cellStyle name="Comma 5 2 3 3 2 2" xfId="655"/>
    <cellStyle name="Comma 5 2 3 3 2 2 2" xfId="1906"/>
    <cellStyle name="Comma 5 2 3 3 2 2 2 2" xfId="10012"/>
    <cellStyle name="Comma 5 2 3 3 2 2 2 3" xfId="4994"/>
    <cellStyle name="Comma 5 2 3 3 2 2 3" xfId="6053"/>
    <cellStyle name="Comma 5 2 3 3 2 2 3 2" xfId="11069"/>
    <cellStyle name="Comma 5 2 3 3 2 2 4" xfId="9128"/>
    <cellStyle name="Comma 5 2 3 3 2 2 5" xfId="12523"/>
    <cellStyle name="Comma 5 2 3 3 2 2 6" xfId="7605"/>
    <cellStyle name="Comma 5 2 3 3 2 2 7" xfId="4059"/>
    <cellStyle name="Comma 5 2 3 3 2 3" xfId="1064"/>
    <cellStyle name="Comma 5 2 3 3 2 3 2" xfId="2255"/>
    <cellStyle name="Comma 5 2 3 3 2 3 2 2" xfId="10623"/>
    <cellStyle name="Comma 5 2 3 3 2 3 2 3" xfId="5606"/>
    <cellStyle name="Comma 5 2 3 3 2 3 3" xfId="6402"/>
    <cellStyle name="Comma 5 2 3 3 2 3 3 2" xfId="11417"/>
    <cellStyle name="Comma 5 2 3 3 2 3 4" xfId="9030"/>
    <cellStyle name="Comma 5 2 3 3 2 3 5" xfId="12871"/>
    <cellStyle name="Comma 5 2 3 3 2 3 6" xfId="8217"/>
    <cellStyle name="Comma 5 2 3 3 2 3 7" xfId="3961"/>
    <cellStyle name="Comma 5 2 3 3 2 4" xfId="1422"/>
    <cellStyle name="Comma 5 2 3 3 2 4 2" xfId="2980"/>
    <cellStyle name="Comma 5 2 3 3 2 4 2 2" xfId="12019"/>
    <cellStyle name="Comma 5 2 3 3 2 4 2 3" xfId="7004"/>
    <cellStyle name="Comma 5 2 3 3 2 4 3" xfId="13473"/>
    <cellStyle name="Comma 5 2 3 3 2 4 4" xfId="9914"/>
    <cellStyle name="Comma 5 2 3 3 2 4 5" xfId="4896"/>
    <cellStyle name="Comma 5 2 3 3 2 5" xfId="1813"/>
    <cellStyle name="Comma 5 2 3 3 2 5 2" xfId="10976"/>
    <cellStyle name="Comma 5 2 3 3 2 5 3" xfId="5960"/>
    <cellStyle name="Comma 5 2 3 3 2 6" xfId="8537"/>
    <cellStyle name="Comma 5 2 3 3 2 7" xfId="12430"/>
    <cellStyle name="Comma 5 2 3 3 2 8" xfId="7507"/>
    <cellStyle name="Comma 5 2 3 3 2 9" xfId="3459"/>
    <cellStyle name="Comma 5 2 3 3 3" xfId="555"/>
    <cellStyle name="Comma 5 2 3 3 3 2" xfId="1905"/>
    <cellStyle name="Comma 5 2 3 3 3 2 2" xfId="9814"/>
    <cellStyle name="Comma 5 2 3 3 3 2 3" xfId="4796"/>
    <cellStyle name="Comma 5 2 3 3 3 3" xfId="6052"/>
    <cellStyle name="Comma 5 2 3 3 3 3 2" xfId="11068"/>
    <cellStyle name="Comma 5 2 3 3 3 4" xfId="8930"/>
    <cellStyle name="Comma 5 2 3 3 3 5" xfId="12522"/>
    <cellStyle name="Comma 5 2 3 3 3 6" xfId="7407"/>
    <cellStyle name="Comma 5 2 3 3 3 7" xfId="3861"/>
    <cellStyle name="Comma 5 2 3 3 4" xfId="964"/>
    <cellStyle name="Comma 5 2 3 3 4 2" xfId="2254"/>
    <cellStyle name="Comma 5 2 3 3 4 2 2" xfId="10011"/>
    <cellStyle name="Comma 5 2 3 3 4 2 3" xfId="4993"/>
    <cellStyle name="Comma 5 2 3 3 4 3" xfId="6401"/>
    <cellStyle name="Comma 5 2 3 3 4 3 2" xfId="11416"/>
    <cellStyle name="Comma 5 2 3 3 4 4" xfId="9127"/>
    <cellStyle name="Comma 5 2 3 3 4 5" xfId="12870"/>
    <cellStyle name="Comma 5 2 3 3 4 6" xfId="7604"/>
    <cellStyle name="Comma 5 2 3 3 4 7" xfId="4058"/>
    <cellStyle name="Comma 5 2 3 3 5" xfId="1320"/>
    <cellStyle name="Comma 5 2 3 3 5 2" xfId="2878"/>
    <cellStyle name="Comma 5 2 3 3 5 2 2" xfId="10523"/>
    <cellStyle name="Comma 5 2 3 3 5 2 3" xfId="5506"/>
    <cellStyle name="Comma 5 2 3 3 5 3" xfId="6904"/>
    <cellStyle name="Comma 5 2 3 3 5 3 2" xfId="11919"/>
    <cellStyle name="Comma 5 2 3 3 5 4" xfId="8711"/>
    <cellStyle name="Comma 5 2 3 3 5 5" xfId="13373"/>
    <cellStyle name="Comma 5 2 3 3 5 6" xfId="8117"/>
    <cellStyle name="Comma 5 2 3 3 5 7" xfId="3641"/>
    <cellStyle name="Comma 5 2 3 3 6" xfId="1713"/>
    <cellStyle name="Comma 5 2 3 3 6 2" xfId="9597"/>
    <cellStyle name="Comma 5 2 3 3 6 3" xfId="4579"/>
    <cellStyle name="Comma 5 2 3 3 7" xfId="5860"/>
    <cellStyle name="Comma 5 2 3 3 7 2" xfId="10876"/>
    <cellStyle name="Comma 5 2 3 3 8" xfId="8437"/>
    <cellStyle name="Comma 5 2 3 3 9" xfId="12330"/>
    <cellStyle name="Comma 5 2 3 4" xfId="328"/>
    <cellStyle name="Comma 5 2 3 4 10" xfId="7220"/>
    <cellStyle name="Comma 5 2 3 4 11" xfId="3284"/>
    <cellStyle name="Comma 5 2 3 4 2" xfId="685"/>
    <cellStyle name="Comma 5 2 3 4 2 2" xfId="1094"/>
    <cellStyle name="Comma 5 2 3 4 2 2 2" xfId="1908"/>
    <cellStyle name="Comma 5 2 3 4 2 2 2 2" xfId="10014"/>
    <cellStyle name="Comma 5 2 3 4 2 2 2 3" xfId="4996"/>
    <cellStyle name="Comma 5 2 3 4 2 2 3" xfId="6055"/>
    <cellStyle name="Comma 5 2 3 4 2 2 3 2" xfId="11071"/>
    <cellStyle name="Comma 5 2 3 4 2 2 4" xfId="9130"/>
    <cellStyle name="Comma 5 2 3 4 2 2 5" xfId="12525"/>
    <cellStyle name="Comma 5 2 3 4 2 2 6" xfId="7607"/>
    <cellStyle name="Comma 5 2 3 4 2 2 7" xfId="4061"/>
    <cellStyle name="Comma 5 2 3 4 2 3" xfId="1452"/>
    <cellStyle name="Comma 5 2 3 4 2 3 2" xfId="2257"/>
    <cellStyle name="Comma 5 2 3 4 2 3 2 2" xfId="10653"/>
    <cellStyle name="Comma 5 2 3 4 2 3 2 3" xfId="5636"/>
    <cellStyle name="Comma 5 2 3 4 2 3 3" xfId="6404"/>
    <cellStyle name="Comma 5 2 3 4 2 3 3 2" xfId="11419"/>
    <cellStyle name="Comma 5 2 3 4 2 3 4" xfId="9060"/>
    <cellStyle name="Comma 5 2 3 4 2 3 5" xfId="12873"/>
    <cellStyle name="Comma 5 2 3 4 2 3 6" xfId="8247"/>
    <cellStyle name="Comma 5 2 3 4 2 3 7" xfId="3991"/>
    <cellStyle name="Comma 5 2 3 4 2 4" xfId="3011"/>
    <cellStyle name="Comma 5 2 3 4 2 4 2" xfId="7034"/>
    <cellStyle name="Comma 5 2 3 4 2 4 2 2" xfId="12049"/>
    <cellStyle name="Comma 5 2 3 4 2 4 3" xfId="13503"/>
    <cellStyle name="Comma 5 2 3 4 2 4 4" xfId="9944"/>
    <cellStyle name="Comma 5 2 3 4 2 4 5" xfId="4926"/>
    <cellStyle name="Comma 5 2 3 4 2 5" xfId="1843"/>
    <cellStyle name="Comma 5 2 3 4 2 5 2" xfId="11006"/>
    <cellStyle name="Comma 5 2 3 4 2 5 3" xfId="5990"/>
    <cellStyle name="Comma 5 2 3 4 2 6" xfId="8567"/>
    <cellStyle name="Comma 5 2 3 4 2 7" xfId="12460"/>
    <cellStyle name="Comma 5 2 3 4 2 8" xfId="7537"/>
    <cellStyle name="Comma 5 2 3 4 2 9" xfId="3489"/>
    <cellStyle name="Comma 5 2 3 4 3" xfId="480"/>
    <cellStyle name="Comma 5 2 3 4 3 2" xfId="1907"/>
    <cellStyle name="Comma 5 2 3 4 3 2 2" xfId="9739"/>
    <cellStyle name="Comma 5 2 3 4 3 2 3" xfId="4721"/>
    <cellStyle name="Comma 5 2 3 4 3 3" xfId="6054"/>
    <cellStyle name="Comma 5 2 3 4 3 3 2" xfId="11070"/>
    <cellStyle name="Comma 5 2 3 4 3 4" xfId="8855"/>
    <cellStyle name="Comma 5 2 3 4 3 5" xfId="12524"/>
    <cellStyle name="Comma 5 2 3 4 3 6" xfId="7332"/>
    <cellStyle name="Comma 5 2 3 4 3 7" xfId="3786"/>
    <cellStyle name="Comma 5 2 3 4 4" xfId="889"/>
    <cellStyle name="Comma 5 2 3 4 4 2" xfId="2256"/>
    <cellStyle name="Comma 5 2 3 4 4 2 2" xfId="10013"/>
    <cellStyle name="Comma 5 2 3 4 4 2 3" xfId="4995"/>
    <cellStyle name="Comma 5 2 3 4 4 3" xfId="6403"/>
    <cellStyle name="Comma 5 2 3 4 4 3 2" xfId="11418"/>
    <cellStyle name="Comma 5 2 3 4 4 4" xfId="9129"/>
    <cellStyle name="Comma 5 2 3 4 4 5" xfId="12872"/>
    <cellStyle name="Comma 5 2 3 4 4 6" xfId="7606"/>
    <cellStyle name="Comma 5 2 3 4 4 7" xfId="4060"/>
    <cellStyle name="Comma 5 2 3 4 5" xfId="1241"/>
    <cellStyle name="Comma 5 2 3 4 5 2" xfId="2797"/>
    <cellStyle name="Comma 5 2 3 4 5 2 2" xfId="10448"/>
    <cellStyle name="Comma 5 2 3 4 5 2 3" xfId="5431"/>
    <cellStyle name="Comma 5 2 3 4 5 3" xfId="6829"/>
    <cellStyle name="Comma 5 2 3 4 5 3 2" xfId="11844"/>
    <cellStyle name="Comma 5 2 3 4 5 4" xfId="8741"/>
    <cellStyle name="Comma 5 2 3 4 5 5" xfId="13298"/>
    <cellStyle name="Comma 5 2 3 4 5 6" xfId="8042"/>
    <cellStyle name="Comma 5 2 3 4 5 7" xfId="3671"/>
    <cellStyle name="Comma 5 2 3 4 6" xfId="1638"/>
    <cellStyle name="Comma 5 2 3 4 6 2" xfId="9627"/>
    <cellStyle name="Comma 5 2 3 4 6 3" xfId="4609"/>
    <cellStyle name="Comma 5 2 3 4 7" xfId="5785"/>
    <cellStyle name="Comma 5 2 3 4 7 2" xfId="10801"/>
    <cellStyle name="Comma 5 2 3 4 8" xfId="8362"/>
    <cellStyle name="Comma 5 2 3 4 9" xfId="12255"/>
    <cellStyle name="Comma 5 2 3 5" xfId="301"/>
    <cellStyle name="Comma 5 2 3 5 2" xfId="580"/>
    <cellStyle name="Comma 5 2 3 5 2 2" xfId="1909"/>
    <cellStyle name="Comma 5 2 3 5 2 2 2" xfId="10015"/>
    <cellStyle name="Comma 5 2 3 5 2 2 3" xfId="4997"/>
    <cellStyle name="Comma 5 2 3 5 2 3" xfId="6056"/>
    <cellStyle name="Comma 5 2 3 5 2 3 2" xfId="11072"/>
    <cellStyle name="Comma 5 2 3 5 2 4" xfId="9131"/>
    <cellStyle name="Comma 5 2 3 5 2 5" xfId="12526"/>
    <cellStyle name="Comma 5 2 3 5 2 6" xfId="7608"/>
    <cellStyle name="Comma 5 2 3 5 2 7" xfId="4062"/>
    <cellStyle name="Comma 5 2 3 5 3" xfId="989"/>
    <cellStyle name="Comma 5 2 3 5 3 2" xfId="2258"/>
    <cellStyle name="Comma 5 2 3 5 3 2 2" xfId="10548"/>
    <cellStyle name="Comma 5 2 3 5 3 2 3" xfId="5531"/>
    <cellStyle name="Comma 5 2 3 5 3 3" xfId="6405"/>
    <cellStyle name="Comma 5 2 3 5 3 3 2" xfId="11420"/>
    <cellStyle name="Comma 5 2 3 5 3 4" xfId="8955"/>
    <cellStyle name="Comma 5 2 3 5 3 5" xfId="12874"/>
    <cellStyle name="Comma 5 2 3 5 3 6" xfId="8142"/>
    <cellStyle name="Comma 5 2 3 5 3 7" xfId="3886"/>
    <cellStyle name="Comma 5 2 3 5 4" xfId="1345"/>
    <cellStyle name="Comma 5 2 3 5 4 2" xfId="2903"/>
    <cellStyle name="Comma 5 2 3 5 4 2 2" xfId="11944"/>
    <cellStyle name="Comma 5 2 3 5 4 2 3" xfId="6929"/>
    <cellStyle name="Comma 5 2 3 5 4 3" xfId="13398"/>
    <cellStyle name="Comma 5 2 3 5 4 4" xfId="9839"/>
    <cellStyle name="Comma 5 2 3 5 4 5" xfId="4821"/>
    <cellStyle name="Comma 5 2 3 5 5" xfId="1738"/>
    <cellStyle name="Comma 5 2 3 5 5 2" xfId="10901"/>
    <cellStyle name="Comma 5 2 3 5 5 3" xfId="5885"/>
    <cellStyle name="Comma 5 2 3 5 6" xfId="8462"/>
    <cellStyle name="Comma 5 2 3 5 7" xfId="12355"/>
    <cellStyle name="Comma 5 2 3 5 8" xfId="7432"/>
    <cellStyle name="Comma 5 2 3 5 9" xfId="3384"/>
    <cellStyle name="Comma 5 2 3 6" xfId="455"/>
    <cellStyle name="Comma 5 2 3 6 2" xfId="864"/>
    <cellStyle name="Comma 5 2 3 6 2 2" xfId="1910"/>
    <cellStyle name="Comma 5 2 3 6 2 2 2" xfId="10016"/>
    <cellStyle name="Comma 5 2 3 6 2 2 3" xfId="4998"/>
    <cellStyle name="Comma 5 2 3 6 2 3" xfId="6057"/>
    <cellStyle name="Comma 5 2 3 6 2 3 2" xfId="11073"/>
    <cellStyle name="Comma 5 2 3 6 2 4" xfId="9132"/>
    <cellStyle name="Comma 5 2 3 6 2 5" xfId="12527"/>
    <cellStyle name="Comma 5 2 3 6 2 6" xfId="7609"/>
    <cellStyle name="Comma 5 2 3 6 2 7" xfId="4063"/>
    <cellStyle name="Comma 5 2 3 6 3" xfId="1214"/>
    <cellStyle name="Comma 5 2 3 6 3 2" xfId="2259"/>
    <cellStyle name="Comma 5 2 3 6 3 2 2" xfId="10423"/>
    <cellStyle name="Comma 5 2 3 6 3 2 3" xfId="5406"/>
    <cellStyle name="Comma 5 2 3 6 3 3" xfId="6406"/>
    <cellStyle name="Comma 5 2 3 6 3 3 2" xfId="11421"/>
    <cellStyle name="Comma 5 2 3 6 3 4" xfId="9468"/>
    <cellStyle name="Comma 5 2 3 6 3 5" xfId="12875"/>
    <cellStyle name="Comma 5 2 3 6 3 6" xfId="8017"/>
    <cellStyle name="Comma 5 2 3 6 3 7" xfId="4450"/>
    <cellStyle name="Comma 5 2 3 6 4" xfId="2768"/>
    <cellStyle name="Comma 5 2 3 6 4 2" xfId="6804"/>
    <cellStyle name="Comma 5 2 3 6 4 2 2" xfId="11819"/>
    <cellStyle name="Comma 5 2 3 6 4 3" xfId="13273"/>
    <cellStyle name="Comma 5 2 3 6 4 4" xfId="9714"/>
    <cellStyle name="Comma 5 2 3 6 4 5" xfId="4696"/>
    <cellStyle name="Comma 5 2 3 6 5" xfId="1613"/>
    <cellStyle name="Comma 5 2 3 6 5 2" xfId="10774"/>
    <cellStyle name="Comma 5 2 3 6 5 3" xfId="5758"/>
    <cellStyle name="Comma 5 2 3 6 6" xfId="8830"/>
    <cellStyle name="Comma 5 2 3 6 7" xfId="12230"/>
    <cellStyle name="Comma 5 2 3 6 8" xfId="7307"/>
    <cellStyle name="Comma 5 2 3 6 9" xfId="3761"/>
    <cellStyle name="Comma 5 2 3 7" xfId="788"/>
    <cellStyle name="Comma 5 2 3 7 2" xfId="1901"/>
    <cellStyle name="Comma 5 2 3 7 2 2" xfId="10007"/>
    <cellStyle name="Comma 5 2 3 7 2 3" xfId="4989"/>
    <cellStyle name="Comma 5 2 3 7 3" xfId="6048"/>
    <cellStyle name="Comma 5 2 3 7 3 2" xfId="11064"/>
    <cellStyle name="Comma 5 2 3 7 4" xfId="9123"/>
    <cellStyle name="Comma 5 2 3 7 5" xfId="12518"/>
    <cellStyle name="Comma 5 2 3 7 6" xfId="7600"/>
    <cellStyle name="Comma 5 2 3 7 7" xfId="4054"/>
    <cellStyle name="Comma 5 2 3 8" xfId="1168"/>
    <cellStyle name="Comma 5 2 3 8 2" xfId="2250"/>
    <cellStyle name="Comma 5 2 3 8 2 2" xfId="10378"/>
    <cellStyle name="Comma 5 2 3 8 2 3" xfId="5361"/>
    <cellStyle name="Comma 5 2 3 8 3" xfId="6397"/>
    <cellStyle name="Comma 5 2 3 8 3 2" xfId="11412"/>
    <cellStyle name="Comma 5 2 3 8 4" xfId="8635"/>
    <cellStyle name="Comma 5 2 3 8 5" xfId="12866"/>
    <cellStyle name="Comma 5 2 3 8 6" xfId="7972"/>
    <cellStyle name="Comma 5 2 3 8 7" xfId="3559"/>
    <cellStyle name="Comma 5 2 3 9" xfId="2719"/>
    <cellStyle name="Comma 5 2 3 9 2" xfId="6759"/>
    <cellStyle name="Comma 5 2 3 9 2 2" xfId="11774"/>
    <cellStyle name="Comma 5 2 3 9 3" xfId="13228"/>
    <cellStyle name="Comma 5 2 3 9 4" xfId="9522"/>
    <cellStyle name="Comma 5 2 3 9 5" xfId="4504"/>
    <cellStyle name="Comma 5 2 4" xfId="160"/>
    <cellStyle name="Comma 5 2 4 10" xfId="8315"/>
    <cellStyle name="Comma 5 2 4 11" xfId="12135"/>
    <cellStyle name="Comma 5 2 4 12" xfId="7127"/>
    <cellStyle name="Comma 5 2 4 13" xfId="3236"/>
    <cellStyle name="Comma 5 2 4 2" xfId="384"/>
    <cellStyle name="Comma 5 2 4 2 10" xfId="7170"/>
    <cellStyle name="Comma 5 2 4 2 11" xfId="3339"/>
    <cellStyle name="Comma 5 2 4 2 2" xfId="635"/>
    <cellStyle name="Comma 5 2 4 2 2 2" xfId="1044"/>
    <cellStyle name="Comma 5 2 4 2 2 2 2" xfId="1913"/>
    <cellStyle name="Comma 5 2 4 2 2 2 2 2" xfId="10019"/>
    <cellStyle name="Comma 5 2 4 2 2 2 2 3" xfId="5001"/>
    <cellStyle name="Comma 5 2 4 2 2 2 3" xfId="6060"/>
    <cellStyle name="Comma 5 2 4 2 2 2 3 2" xfId="11076"/>
    <cellStyle name="Comma 5 2 4 2 2 2 4" xfId="9135"/>
    <cellStyle name="Comma 5 2 4 2 2 2 5" xfId="12530"/>
    <cellStyle name="Comma 5 2 4 2 2 2 6" xfId="7612"/>
    <cellStyle name="Comma 5 2 4 2 2 2 7" xfId="4066"/>
    <cellStyle name="Comma 5 2 4 2 2 3" xfId="1401"/>
    <cellStyle name="Comma 5 2 4 2 2 3 2" xfId="2262"/>
    <cellStyle name="Comma 5 2 4 2 2 3 2 2" xfId="10603"/>
    <cellStyle name="Comma 5 2 4 2 2 3 2 3" xfId="5586"/>
    <cellStyle name="Comma 5 2 4 2 2 3 3" xfId="6409"/>
    <cellStyle name="Comma 5 2 4 2 2 3 3 2" xfId="11424"/>
    <cellStyle name="Comma 5 2 4 2 2 3 4" xfId="9010"/>
    <cellStyle name="Comma 5 2 4 2 2 3 5" xfId="12878"/>
    <cellStyle name="Comma 5 2 4 2 2 3 6" xfId="8197"/>
    <cellStyle name="Comma 5 2 4 2 2 3 7" xfId="3941"/>
    <cellStyle name="Comma 5 2 4 2 2 4" xfId="2959"/>
    <cellStyle name="Comma 5 2 4 2 2 4 2" xfId="6984"/>
    <cellStyle name="Comma 5 2 4 2 2 4 2 2" xfId="11999"/>
    <cellStyle name="Comma 5 2 4 2 2 4 3" xfId="13453"/>
    <cellStyle name="Comma 5 2 4 2 2 4 4" xfId="9894"/>
    <cellStyle name="Comma 5 2 4 2 2 4 5" xfId="4876"/>
    <cellStyle name="Comma 5 2 4 2 2 5" xfId="1793"/>
    <cellStyle name="Comma 5 2 4 2 2 5 2" xfId="10956"/>
    <cellStyle name="Comma 5 2 4 2 2 5 3" xfId="5940"/>
    <cellStyle name="Comma 5 2 4 2 2 6" xfId="8517"/>
    <cellStyle name="Comma 5 2 4 2 2 7" xfId="12410"/>
    <cellStyle name="Comma 5 2 4 2 2 8" xfId="7487"/>
    <cellStyle name="Comma 5 2 4 2 2 9" xfId="3439"/>
    <cellStyle name="Comma 5 2 4 2 3" xfId="535"/>
    <cellStyle name="Comma 5 2 4 2 3 2" xfId="1912"/>
    <cellStyle name="Comma 5 2 4 2 3 2 2" xfId="9794"/>
    <cellStyle name="Comma 5 2 4 2 3 2 3" xfId="4776"/>
    <cellStyle name="Comma 5 2 4 2 3 3" xfId="6059"/>
    <cellStyle name="Comma 5 2 4 2 3 3 2" xfId="11075"/>
    <cellStyle name="Comma 5 2 4 2 3 4" xfId="8910"/>
    <cellStyle name="Comma 5 2 4 2 3 5" xfId="12529"/>
    <cellStyle name="Comma 5 2 4 2 3 6" xfId="7387"/>
    <cellStyle name="Comma 5 2 4 2 3 7" xfId="3841"/>
    <cellStyle name="Comma 5 2 4 2 4" xfId="944"/>
    <cellStyle name="Comma 5 2 4 2 4 2" xfId="2261"/>
    <cellStyle name="Comma 5 2 4 2 4 2 2" xfId="10018"/>
    <cellStyle name="Comma 5 2 4 2 4 2 3" xfId="5000"/>
    <cellStyle name="Comma 5 2 4 2 4 3" xfId="6408"/>
    <cellStyle name="Comma 5 2 4 2 4 3 2" xfId="11423"/>
    <cellStyle name="Comma 5 2 4 2 4 4" xfId="9134"/>
    <cellStyle name="Comma 5 2 4 2 4 5" xfId="12877"/>
    <cellStyle name="Comma 5 2 4 2 4 6" xfId="7611"/>
    <cellStyle name="Comma 5 2 4 2 4 7" xfId="4065"/>
    <cellStyle name="Comma 5 2 4 2 5" xfId="1300"/>
    <cellStyle name="Comma 5 2 4 2 5 2" xfId="2857"/>
    <cellStyle name="Comma 5 2 4 2 5 2 2" xfId="10503"/>
    <cellStyle name="Comma 5 2 4 2 5 2 3" xfId="5486"/>
    <cellStyle name="Comma 5 2 4 2 5 3" xfId="6884"/>
    <cellStyle name="Comma 5 2 4 2 5 3 2" xfId="11899"/>
    <cellStyle name="Comma 5 2 4 2 5 4" xfId="8691"/>
    <cellStyle name="Comma 5 2 4 2 5 5" xfId="13353"/>
    <cellStyle name="Comma 5 2 4 2 5 6" xfId="8097"/>
    <cellStyle name="Comma 5 2 4 2 5 7" xfId="3620"/>
    <cellStyle name="Comma 5 2 4 2 6" xfId="1693"/>
    <cellStyle name="Comma 5 2 4 2 6 2" xfId="9577"/>
    <cellStyle name="Comma 5 2 4 2 6 3" xfId="4559"/>
    <cellStyle name="Comma 5 2 4 2 7" xfId="5840"/>
    <cellStyle name="Comma 5 2 4 2 7 2" xfId="10856"/>
    <cellStyle name="Comma 5 2 4 2 8" xfId="8417"/>
    <cellStyle name="Comma 5 2 4 2 9" xfId="12310"/>
    <cellStyle name="Comma 5 2 4 3" xfId="340"/>
    <cellStyle name="Comma 5 2 4 3 10" xfId="7232"/>
    <cellStyle name="Comma 5 2 4 3 11" xfId="3296"/>
    <cellStyle name="Comma 5 2 4 3 2" xfId="697"/>
    <cellStyle name="Comma 5 2 4 3 2 2" xfId="1106"/>
    <cellStyle name="Comma 5 2 4 3 2 2 2" xfId="1915"/>
    <cellStyle name="Comma 5 2 4 3 2 2 2 2" xfId="10021"/>
    <cellStyle name="Comma 5 2 4 3 2 2 2 3" xfId="5003"/>
    <cellStyle name="Comma 5 2 4 3 2 2 3" xfId="6062"/>
    <cellStyle name="Comma 5 2 4 3 2 2 3 2" xfId="11078"/>
    <cellStyle name="Comma 5 2 4 3 2 2 4" xfId="9137"/>
    <cellStyle name="Comma 5 2 4 3 2 2 5" xfId="12532"/>
    <cellStyle name="Comma 5 2 4 3 2 2 6" xfId="7614"/>
    <cellStyle name="Comma 5 2 4 3 2 2 7" xfId="4068"/>
    <cellStyle name="Comma 5 2 4 3 2 3" xfId="1464"/>
    <cellStyle name="Comma 5 2 4 3 2 3 2" xfId="2264"/>
    <cellStyle name="Comma 5 2 4 3 2 3 2 2" xfId="10665"/>
    <cellStyle name="Comma 5 2 4 3 2 3 2 3" xfId="5648"/>
    <cellStyle name="Comma 5 2 4 3 2 3 3" xfId="6411"/>
    <cellStyle name="Comma 5 2 4 3 2 3 3 2" xfId="11426"/>
    <cellStyle name="Comma 5 2 4 3 2 3 4" xfId="9072"/>
    <cellStyle name="Comma 5 2 4 3 2 3 5" xfId="12880"/>
    <cellStyle name="Comma 5 2 4 3 2 3 6" xfId="8259"/>
    <cellStyle name="Comma 5 2 4 3 2 3 7" xfId="4003"/>
    <cellStyle name="Comma 5 2 4 3 2 4" xfId="3023"/>
    <cellStyle name="Comma 5 2 4 3 2 4 2" xfId="7046"/>
    <cellStyle name="Comma 5 2 4 3 2 4 2 2" xfId="12061"/>
    <cellStyle name="Comma 5 2 4 3 2 4 3" xfId="13515"/>
    <cellStyle name="Comma 5 2 4 3 2 4 4" xfId="9956"/>
    <cellStyle name="Comma 5 2 4 3 2 4 5" xfId="4938"/>
    <cellStyle name="Comma 5 2 4 3 2 5" xfId="1855"/>
    <cellStyle name="Comma 5 2 4 3 2 5 2" xfId="11018"/>
    <cellStyle name="Comma 5 2 4 3 2 5 3" xfId="6002"/>
    <cellStyle name="Comma 5 2 4 3 2 6" xfId="8579"/>
    <cellStyle name="Comma 5 2 4 3 2 7" xfId="12472"/>
    <cellStyle name="Comma 5 2 4 3 2 8" xfId="7549"/>
    <cellStyle name="Comma 5 2 4 3 2 9" xfId="3501"/>
    <cellStyle name="Comma 5 2 4 3 3" xfId="492"/>
    <cellStyle name="Comma 5 2 4 3 3 2" xfId="1914"/>
    <cellStyle name="Comma 5 2 4 3 3 2 2" xfId="9751"/>
    <cellStyle name="Comma 5 2 4 3 3 2 3" xfId="4733"/>
    <cellStyle name="Comma 5 2 4 3 3 3" xfId="6061"/>
    <cellStyle name="Comma 5 2 4 3 3 3 2" xfId="11077"/>
    <cellStyle name="Comma 5 2 4 3 3 4" xfId="8867"/>
    <cellStyle name="Comma 5 2 4 3 3 5" xfId="12531"/>
    <cellStyle name="Comma 5 2 4 3 3 6" xfId="7344"/>
    <cellStyle name="Comma 5 2 4 3 3 7" xfId="3798"/>
    <cellStyle name="Comma 5 2 4 3 4" xfId="901"/>
    <cellStyle name="Comma 5 2 4 3 4 2" xfId="2263"/>
    <cellStyle name="Comma 5 2 4 3 4 2 2" xfId="10020"/>
    <cellStyle name="Comma 5 2 4 3 4 2 3" xfId="5002"/>
    <cellStyle name="Comma 5 2 4 3 4 3" xfId="6410"/>
    <cellStyle name="Comma 5 2 4 3 4 3 2" xfId="11425"/>
    <cellStyle name="Comma 5 2 4 3 4 4" xfId="9136"/>
    <cellStyle name="Comma 5 2 4 3 4 5" xfId="12879"/>
    <cellStyle name="Comma 5 2 4 3 4 6" xfId="7613"/>
    <cellStyle name="Comma 5 2 4 3 4 7" xfId="4067"/>
    <cellStyle name="Comma 5 2 4 3 5" xfId="1256"/>
    <cellStyle name="Comma 5 2 4 3 5 2" xfId="2812"/>
    <cellStyle name="Comma 5 2 4 3 5 2 2" xfId="10460"/>
    <cellStyle name="Comma 5 2 4 3 5 2 3" xfId="5443"/>
    <cellStyle name="Comma 5 2 4 3 5 3" xfId="6841"/>
    <cellStyle name="Comma 5 2 4 3 5 3 2" xfId="11856"/>
    <cellStyle name="Comma 5 2 4 3 5 4" xfId="8753"/>
    <cellStyle name="Comma 5 2 4 3 5 5" xfId="13310"/>
    <cellStyle name="Comma 5 2 4 3 5 6" xfId="8054"/>
    <cellStyle name="Comma 5 2 4 3 5 7" xfId="3683"/>
    <cellStyle name="Comma 5 2 4 3 6" xfId="1650"/>
    <cellStyle name="Comma 5 2 4 3 6 2" xfId="9639"/>
    <cellStyle name="Comma 5 2 4 3 6 3" xfId="4621"/>
    <cellStyle name="Comma 5 2 4 3 7" xfId="5797"/>
    <cellStyle name="Comma 5 2 4 3 7 2" xfId="10813"/>
    <cellStyle name="Comma 5 2 4 3 8" xfId="8374"/>
    <cellStyle name="Comma 5 2 4 3 9" xfId="12267"/>
    <cellStyle name="Comma 5 2 4 4" xfId="277"/>
    <cellStyle name="Comma 5 2 4 4 2" xfId="592"/>
    <cellStyle name="Comma 5 2 4 4 2 2" xfId="1916"/>
    <cellStyle name="Comma 5 2 4 4 2 2 2" xfId="10022"/>
    <cellStyle name="Comma 5 2 4 4 2 2 3" xfId="5004"/>
    <cellStyle name="Comma 5 2 4 4 2 3" xfId="6063"/>
    <cellStyle name="Comma 5 2 4 4 2 3 2" xfId="11079"/>
    <cellStyle name="Comma 5 2 4 4 2 4" xfId="9138"/>
    <cellStyle name="Comma 5 2 4 4 2 5" xfId="12533"/>
    <cellStyle name="Comma 5 2 4 4 2 6" xfId="7615"/>
    <cellStyle name="Comma 5 2 4 4 2 7" xfId="4069"/>
    <cellStyle name="Comma 5 2 4 4 3" xfId="1001"/>
    <cellStyle name="Comma 5 2 4 4 3 2" xfId="2265"/>
    <cellStyle name="Comma 5 2 4 4 3 2 2" xfId="10560"/>
    <cellStyle name="Comma 5 2 4 4 3 2 3" xfId="5543"/>
    <cellStyle name="Comma 5 2 4 4 3 3" xfId="6412"/>
    <cellStyle name="Comma 5 2 4 4 3 3 2" xfId="11427"/>
    <cellStyle name="Comma 5 2 4 4 3 4" xfId="8967"/>
    <cellStyle name="Comma 5 2 4 4 3 5" xfId="12881"/>
    <cellStyle name="Comma 5 2 4 4 3 6" xfId="8154"/>
    <cellStyle name="Comma 5 2 4 4 3 7" xfId="3898"/>
    <cellStyle name="Comma 5 2 4 4 4" xfId="1357"/>
    <cellStyle name="Comma 5 2 4 4 4 2" xfId="2915"/>
    <cellStyle name="Comma 5 2 4 4 4 2 2" xfId="11956"/>
    <cellStyle name="Comma 5 2 4 4 4 2 3" xfId="6941"/>
    <cellStyle name="Comma 5 2 4 4 4 3" xfId="13410"/>
    <cellStyle name="Comma 5 2 4 4 4 4" xfId="9851"/>
    <cellStyle name="Comma 5 2 4 4 4 5" xfId="4833"/>
    <cellStyle name="Comma 5 2 4 4 5" xfId="1750"/>
    <cellStyle name="Comma 5 2 4 4 5 2" xfId="10913"/>
    <cellStyle name="Comma 5 2 4 4 5 3" xfId="5897"/>
    <cellStyle name="Comma 5 2 4 4 6" xfId="8474"/>
    <cellStyle name="Comma 5 2 4 4 7" xfId="12367"/>
    <cellStyle name="Comma 5 2 4 4 8" xfId="7444"/>
    <cellStyle name="Comma 5 2 4 4 9" xfId="3396"/>
    <cellStyle name="Comma 5 2 4 5" xfId="433"/>
    <cellStyle name="Comma 5 2 4 5 2" xfId="841"/>
    <cellStyle name="Comma 5 2 4 5 2 2" xfId="9692"/>
    <cellStyle name="Comma 5 2 4 5 2 3" xfId="4674"/>
    <cellStyle name="Comma 5 2 4 5 3" xfId="1911"/>
    <cellStyle name="Comma 5 2 4 5 3 2" xfId="11074"/>
    <cellStyle name="Comma 5 2 4 5 3 3" xfId="6058"/>
    <cellStyle name="Comma 5 2 4 5 4" xfId="8808"/>
    <cellStyle name="Comma 5 2 4 5 5" xfId="12528"/>
    <cellStyle name="Comma 5 2 4 5 6" xfId="7285"/>
    <cellStyle name="Comma 5 2 4 5 7" xfId="3739"/>
    <cellStyle name="Comma 5 2 4 6" xfId="768"/>
    <cellStyle name="Comma 5 2 4 6 2" xfId="2260"/>
    <cellStyle name="Comma 5 2 4 6 2 2" xfId="10017"/>
    <cellStyle name="Comma 5 2 4 6 2 3" xfId="4999"/>
    <cellStyle name="Comma 5 2 4 6 3" xfId="6407"/>
    <cellStyle name="Comma 5 2 4 6 3 2" xfId="11422"/>
    <cellStyle name="Comma 5 2 4 6 4" xfId="9133"/>
    <cellStyle name="Comma 5 2 4 6 5" xfId="12876"/>
    <cellStyle name="Comma 5 2 4 6 6" xfId="7610"/>
    <cellStyle name="Comma 5 2 4 6 7" xfId="4064"/>
    <cellStyle name="Comma 5 2 4 7" xfId="1192"/>
    <cellStyle name="Comma 5 2 4 7 2" xfId="2744"/>
    <cellStyle name="Comma 5 2 4 7 2 2" xfId="10401"/>
    <cellStyle name="Comma 5 2 4 7 2 3" xfId="5384"/>
    <cellStyle name="Comma 5 2 4 7 3" xfId="6782"/>
    <cellStyle name="Comma 5 2 4 7 3 2" xfId="11797"/>
    <cellStyle name="Comma 5 2 4 7 4" xfId="8647"/>
    <cellStyle name="Comma 5 2 4 7 5" xfId="13251"/>
    <cellStyle name="Comma 5 2 4 7 6" xfId="7995"/>
    <cellStyle name="Comma 5 2 4 7 7" xfId="3574"/>
    <cellStyle name="Comma 5 2 4 8" xfId="1591"/>
    <cellStyle name="Comma 5 2 4 8 2" xfId="12208"/>
    <cellStyle name="Comma 5 2 4 8 3" xfId="9534"/>
    <cellStyle name="Comma 5 2 4 8 4" xfId="4516"/>
    <cellStyle name="Comma 5 2 4 9" xfId="1518"/>
    <cellStyle name="Comma 5 2 4 9 2" xfId="10752"/>
    <cellStyle name="Comma 5 2 4 9 3" xfId="5736"/>
    <cellStyle name="Comma 5 2 5" xfId="192"/>
    <cellStyle name="Comma 5 2 5 10" xfId="7153"/>
    <cellStyle name="Comma 5 2 5 11" xfId="3322"/>
    <cellStyle name="Comma 5 2 5 2" xfId="367"/>
    <cellStyle name="Comma 5 2 5 2 2" xfId="618"/>
    <cellStyle name="Comma 5 2 5 2 2 2" xfId="1918"/>
    <cellStyle name="Comma 5 2 5 2 2 2 2" xfId="10024"/>
    <cellStyle name="Comma 5 2 5 2 2 2 3" xfId="5006"/>
    <cellStyle name="Comma 5 2 5 2 2 3" xfId="6065"/>
    <cellStyle name="Comma 5 2 5 2 2 3 2" xfId="11081"/>
    <cellStyle name="Comma 5 2 5 2 2 4" xfId="9140"/>
    <cellStyle name="Comma 5 2 5 2 2 5" xfId="12535"/>
    <cellStyle name="Comma 5 2 5 2 2 6" xfId="7617"/>
    <cellStyle name="Comma 5 2 5 2 2 7" xfId="4071"/>
    <cellStyle name="Comma 5 2 5 2 3" xfId="1027"/>
    <cellStyle name="Comma 5 2 5 2 3 2" xfId="2267"/>
    <cellStyle name="Comma 5 2 5 2 3 2 2" xfId="10586"/>
    <cellStyle name="Comma 5 2 5 2 3 2 3" xfId="5569"/>
    <cellStyle name="Comma 5 2 5 2 3 3" xfId="6414"/>
    <cellStyle name="Comma 5 2 5 2 3 3 2" xfId="11429"/>
    <cellStyle name="Comma 5 2 5 2 3 4" xfId="8993"/>
    <cellStyle name="Comma 5 2 5 2 3 5" xfId="12883"/>
    <cellStyle name="Comma 5 2 5 2 3 6" xfId="8180"/>
    <cellStyle name="Comma 5 2 5 2 3 7" xfId="3924"/>
    <cellStyle name="Comma 5 2 5 2 4" xfId="1384"/>
    <cellStyle name="Comma 5 2 5 2 4 2" xfId="2942"/>
    <cellStyle name="Comma 5 2 5 2 4 2 2" xfId="11982"/>
    <cellStyle name="Comma 5 2 5 2 4 2 3" xfId="6967"/>
    <cellStyle name="Comma 5 2 5 2 4 3" xfId="13436"/>
    <cellStyle name="Comma 5 2 5 2 4 4" xfId="9877"/>
    <cellStyle name="Comma 5 2 5 2 4 5" xfId="4859"/>
    <cellStyle name="Comma 5 2 5 2 5" xfId="1776"/>
    <cellStyle name="Comma 5 2 5 2 5 2" xfId="10939"/>
    <cellStyle name="Comma 5 2 5 2 5 3" xfId="5923"/>
    <cellStyle name="Comma 5 2 5 2 6" xfId="8500"/>
    <cellStyle name="Comma 5 2 5 2 7" xfId="12393"/>
    <cellStyle name="Comma 5 2 5 2 8" xfId="7470"/>
    <cellStyle name="Comma 5 2 5 2 9" xfId="3422"/>
    <cellStyle name="Comma 5 2 5 3" xfId="518"/>
    <cellStyle name="Comma 5 2 5 3 2" xfId="927"/>
    <cellStyle name="Comma 5 2 5 3 2 2" xfId="9777"/>
    <cellStyle name="Comma 5 2 5 3 2 3" xfId="4759"/>
    <cellStyle name="Comma 5 2 5 3 3" xfId="1917"/>
    <cellStyle name="Comma 5 2 5 3 3 2" xfId="11080"/>
    <cellStyle name="Comma 5 2 5 3 3 3" xfId="6064"/>
    <cellStyle name="Comma 5 2 5 3 4" xfId="8893"/>
    <cellStyle name="Comma 5 2 5 3 5" xfId="12534"/>
    <cellStyle name="Comma 5 2 5 3 6" xfId="7370"/>
    <cellStyle name="Comma 5 2 5 3 7" xfId="3824"/>
    <cellStyle name="Comma 5 2 5 4" xfId="798"/>
    <cellStyle name="Comma 5 2 5 4 2" xfId="2266"/>
    <cellStyle name="Comma 5 2 5 4 2 2" xfId="10023"/>
    <cellStyle name="Comma 5 2 5 4 2 3" xfId="5005"/>
    <cellStyle name="Comma 5 2 5 4 3" xfId="6413"/>
    <cellStyle name="Comma 5 2 5 4 3 2" xfId="11428"/>
    <cellStyle name="Comma 5 2 5 4 4" xfId="9139"/>
    <cellStyle name="Comma 5 2 5 4 5" xfId="12882"/>
    <cellStyle name="Comma 5 2 5 4 6" xfId="7616"/>
    <cellStyle name="Comma 5 2 5 4 7" xfId="4070"/>
    <cellStyle name="Comma 5 2 5 5" xfId="1283"/>
    <cellStyle name="Comma 5 2 5 5 2" xfId="2840"/>
    <cellStyle name="Comma 5 2 5 5 2 2" xfId="10486"/>
    <cellStyle name="Comma 5 2 5 5 2 3" xfId="5469"/>
    <cellStyle name="Comma 5 2 5 5 3" xfId="6867"/>
    <cellStyle name="Comma 5 2 5 5 3 2" xfId="11882"/>
    <cellStyle name="Comma 5 2 5 5 4" xfId="8674"/>
    <cellStyle name="Comma 5 2 5 5 5" xfId="13336"/>
    <cellStyle name="Comma 5 2 5 5 6" xfId="8080"/>
    <cellStyle name="Comma 5 2 5 5 7" xfId="3603"/>
    <cellStyle name="Comma 5 2 5 6" xfId="1676"/>
    <cellStyle name="Comma 5 2 5 6 2" xfId="9560"/>
    <cellStyle name="Comma 5 2 5 6 3" xfId="4542"/>
    <cellStyle name="Comma 5 2 5 7" xfId="5823"/>
    <cellStyle name="Comma 5 2 5 7 2" xfId="10839"/>
    <cellStyle name="Comma 5 2 5 8" xfId="8400"/>
    <cellStyle name="Comma 5 2 5 9" xfId="12293"/>
    <cellStyle name="Comma 5 2 6" xfId="228"/>
    <cellStyle name="Comma 5 2 6 10" xfId="7201"/>
    <cellStyle name="Comma 5 2 6 11" xfId="3265"/>
    <cellStyle name="Comma 5 2 6 2" xfId="309"/>
    <cellStyle name="Comma 5 2 6 2 2" xfId="666"/>
    <cellStyle name="Comma 5 2 6 2 2 2" xfId="1920"/>
    <cellStyle name="Comma 5 2 6 2 2 2 2" xfId="10026"/>
    <cellStyle name="Comma 5 2 6 2 2 2 3" xfId="5008"/>
    <cellStyle name="Comma 5 2 6 2 2 3" xfId="6067"/>
    <cellStyle name="Comma 5 2 6 2 2 3 2" xfId="11083"/>
    <cellStyle name="Comma 5 2 6 2 2 4" xfId="9142"/>
    <cellStyle name="Comma 5 2 6 2 2 5" xfId="12537"/>
    <cellStyle name="Comma 5 2 6 2 2 6" xfId="7619"/>
    <cellStyle name="Comma 5 2 6 2 2 7" xfId="4073"/>
    <cellStyle name="Comma 5 2 6 2 3" xfId="1075"/>
    <cellStyle name="Comma 5 2 6 2 3 2" xfId="2269"/>
    <cellStyle name="Comma 5 2 6 2 3 2 2" xfId="10634"/>
    <cellStyle name="Comma 5 2 6 2 3 2 3" xfId="5617"/>
    <cellStyle name="Comma 5 2 6 2 3 3" xfId="6416"/>
    <cellStyle name="Comma 5 2 6 2 3 3 2" xfId="11431"/>
    <cellStyle name="Comma 5 2 6 2 3 4" xfId="9041"/>
    <cellStyle name="Comma 5 2 6 2 3 5" xfId="12885"/>
    <cellStyle name="Comma 5 2 6 2 3 6" xfId="8228"/>
    <cellStyle name="Comma 5 2 6 2 3 7" xfId="3972"/>
    <cellStyle name="Comma 5 2 6 2 4" xfId="1433"/>
    <cellStyle name="Comma 5 2 6 2 4 2" xfId="2992"/>
    <cellStyle name="Comma 5 2 6 2 4 2 2" xfId="12030"/>
    <cellStyle name="Comma 5 2 6 2 4 2 3" xfId="7015"/>
    <cellStyle name="Comma 5 2 6 2 4 3" xfId="13484"/>
    <cellStyle name="Comma 5 2 6 2 4 4" xfId="9925"/>
    <cellStyle name="Comma 5 2 6 2 4 5" xfId="4907"/>
    <cellStyle name="Comma 5 2 6 2 5" xfId="1824"/>
    <cellStyle name="Comma 5 2 6 2 5 2" xfId="10987"/>
    <cellStyle name="Comma 5 2 6 2 5 3" xfId="5971"/>
    <cellStyle name="Comma 5 2 6 2 6" xfId="8548"/>
    <cellStyle name="Comma 5 2 6 2 7" xfId="12441"/>
    <cellStyle name="Comma 5 2 6 2 8" xfId="7518"/>
    <cellStyle name="Comma 5 2 6 2 9" xfId="3470"/>
    <cellStyle name="Comma 5 2 6 3" xfId="461"/>
    <cellStyle name="Comma 5 2 6 3 2" xfId="1919"/>
    <cellStyle name="Comma 5 2 6 3 2 2" xfId="9720"/>
    <cellStyle name="Comma 5 2 6 3 2 3" xfId="4702"/>
    <cellStyle name="Comma 5 2 6 3 3" xfId="6066"/>
    <cellStyle name="Comma 5 2 6 3 3 2" xfId="11082"/>
    <cellStyle name="Comma 5 2 6 3 4" xfId="8836"/>
    <cellStyle name="Comma 5 2 6 3 5" xfId="12536"/>
    <cellStyle name="Comma 5 2 6 3 6" xfId="7313"/>
    <cellStyle name="Comma 5 2 6 3 7" xfId="3767"/>
    <cellStyle name="Comma 5 2 6 4" xfId="870"/>
    <cellStyle name="Comma 5 2 6 4 2" xfId="2268"/>
    <cellStyle name="Comma 5 2 6 4 2 2" xfId="10025"/>
    <cellStyle name="Comma 5 2 6 4 2 3" xfId="5007"/>
    <cellStyle name="Comma 5 2 6 4 3" xfId="6415"/>
    <cellStyle name="Comma 5 2 6 4 3 2" xfId="11430"/>
    <cellStyle name="Comma 5 2 6 4 4" xfId="9141"/>
    <cellStyle name="Comma 5 2 6 4 5" xfId="12884"/>
    <cellStyle name="Comma 5 2 6 4 6" xfId="7618"/>
    <cellStyle name="Comma 5 2 6 4 7" xfId="4072"/>
    <cellStyle name="Comma 5 2 6 5" xfId="1222"/>
    <cellStyle name="Comma 5 2 6 5 2" xfId="2778"/>
    <cellStyle name="Comma 5 2 6 5 2 2" xfId="10429"/>
    <cellStyle name="Comma 5 2 6 5 2 3" xfId="5412"/>
    <cellStyle name="Comma 5 2 6 5 3" xfId="6810"/>
    <cellStyle name="Comma 5 2 6 5 3 2" xfId="11825"/>
    <cellStyle name="Comma 5 2 6 5 4" xfId="8722"/>
    <cellStyle name="Comma 5 2 6 5 5" xfId="13279"/>
    <cellStyle name="Comma 5 2 6 5 6" xfId="8023"/>
    <cellStyle name="Comma 5 2 6 5 7" xfId="3652"/>
    <cellStyle name="Comma 5 2 6 6" xfId="1619"/>
    <cellStyle name="Comma 5 2 6 6 2" xfId="9608"/>
    <cellStyle name="Comma 5 2 6 6 3" xfId="4590"/>
    <cellStyle name="Comma 5 2 6 7" xfId="5766"/>
    <cellStyle name="Comma 5 2 6 7 2" xfId="10782"/>
    <cellStyle name="Comma 5 2 6 8" xfId="8343"/>
    <cellStyle name="Comma 5 2 6 9" xfId="12236"/>
    <cellStyle name="Comma 5 2 7" xfId="255"/>
    <cellStyle name="Comma 5 2 7 10" xfId="3526"/>
    <cellStyle name="Comma 5 2 7 2" xfId="722"/>
    <cellStyle name="Comma 5 2 7 2 2" xfId="1921"/>
    <cellStyle name="Comma 5 2 7 2 2 2" xfId="9981"/>
    <cellStyle name="Comma 5 2 7 2 2 3" xfId="4963"/>
    <cellStyle name="Comma 5 2 7 2 3" xfId="6068"/>
    <cellStyle name="Comma 5 2 7 2 3 2" xfId="11084"/>
    <cellStyle name="Comma 5 2 7 2 4" xfId="9097"/>
    <cellStyle name="Comma 5 2 7 2 5" xfId="12538"/>
    <cellStyle name="Comma 5 2 7 2 6" xfId="7574"/>
    <cellStyle name="Comma 5 2 7 2 7" xfId="4028"/>
    <cellStyle name="Comma 5 2 7 3" xfId="1131"/>
    <cellStyle name="Comma 5 2 7 3 2" xfId="2270"/>
    <cellStyle name="Comma 5 2 7 3 2 2" xfId="10027"/>
    <cellStyle name="Comma 5 2 7 3 2 3" xfId="5009"/>
    <cellStyle name="Comma 5 2 7 3 3" xfId="6417"/>
    <cellStyle name="Comma 5 2 7 3 3 2" xfId="11432"/>
    <cellStyle name="Comma 5 2 7 3 4" xfId="9143"/>
    <cellStyle name="Comma 5 2 7 3 5" xfId="12886"/>
    <cellStyle name="Comma 5 2 7 3 6" xfId="7620"/>
    <cellStyle name="Comma 5 2 7 3 7" xfId="4074"/>
    <cellStyle name="Comma 5 2 7 4" xfId="1489"/>
    <cellStyle name="Comma 5 2 7 4 2" xfId="3048"/>
    <cellStyle name="Comma 5 2 7 4 2 2" xfId="10690"/>
    <cellStyle name="Comma 5 2 7 4 2 3" xfId="5673"/>
    <cellStyle name="Comma 5 2 7 4 3" xfId="7071"/>
    <cellStyle name="Comma 5 2 7 4 3 2" xfId="12086"/>
    <cellStyle name="Comma 5 2 7 4 4" xfId="8778"/>
    <cellStyle name="Comma 5 2 7 4 5" xfId="13540"/>
    <cellStyle name="Comma 5 2 7 4 6" xfId="8284"/>
    <cellStyle name="Comma 5 2 7 4 7" xfId="3708"/>
    <cellStyle name="Comma 5 2 7 5" xfId="1880"/>
    <cellStyle name="Comma 5 2 7 5 2" xfId="9664"/>
    <cellStyle name="Comma 5 2 7 5 3" xfId="4646"/>
    <cellStyle name="Comma 5 2 7 6" xfId="6027"/>
    <cellStyle name="Comma 5 2 7 6 2" xfId="11043"/>
    <cellStyle name="Comma 5 2 7 7" xfId="8604"/>
    <cellStyle name="Comma 5 2 7 8" xfId="12497"/>
    <cellStyle name="Comma 5 2 7 9" xfId="7257"/>
    <cellStyle name="Comma 5 2 8" xfId="561"/>
    <cellStyle name="Comma 5 2 8 2" xfId="970"/>
    <cellStyle name="Comma 5 2 8 2 2" xfId="1922"/>
    <cellStyle name="Comma 5 2 8 2 2 2" xfId="10028"/>
    <cellStyle name="Comma 5 2 8 2 2 3" xfId="5010"/>
    <cellStyle name="Comma 5 2 8 2 3" xfId="6069"/>
    <cellStyle name="Comma 5 2 8 2 3 2" xfId="11085"/>
    <cellStyle name="Comma 5 2 8 2 4" xfId="9144"/>
    <cellStyle name="Comma 5 2 8 2 5" xfId="12539"/>
    <cellStyle name="Comma 5 2 8 2 6" xfId="7621"/>
    <cellStyle name="Comma 5 2 8 2 7" xfId="4075"/>
    <cellStyle name="Comma 5 2 8 3" xfId="1326"/>
    <cellStyle name="Comma 5 2 8 3 2" xfId="2271"/>
    <cellStyle name="Comma 5 2 8 3 2 2" xfId="10529"/>
    <cellStyle name="Comma 5 2 8 3 2 3" xfId="5512"/>
    <cellStyle name="Comma 5 2 8 3 3" xfId="6418"/>
    <cellStyle name="Comma 5 2 8 3 3 2" xfId="11433"/>
    <cellStyle name="Comma 5 2 8 3 4" xfId="8936"/>
    <cellStyle name="Comma 5 2 8 3 5" xfId="12887"/>
    <cellStyle name="Comma 5 2 8 3 6" xfId="8123"/>
    <cellStyle name="Comma 5 2 8 3 7" xfId="3867"/>
    <cellStyle name="Comma 5 2 8 4" xfId="2884"/>
    <cellStyle name="Comma 5 2 8 4 2" xfId="6910"/>
    <cellStyle name="Comma 5 2 8 4 2 2" xfId="11925"/>
    <cellStyle name="Comma 5 2 8 4 3" xfId="13379"/>
    <cellStyle name="Comma 5 2 8 4 4" xfId="9820"/>
    <cellStyle name="Comma 5 2 8 4 5" xfId="4802"/>
    <cellStyle name="Comma 5 2 8 5" xfId="1719"/>
    <cellStyle name="Comma 5 2 8 5 2" xfId="10882"/>
    <cellStyle name="Comma 5 2 8 5 3" xfId="5866"/>
    <cellStyle name="Comma 5 2 8 6" xfId="8443"/>
    <cellStyle name="Comma 5 2 8 7" xfId="12336"/>
    <cellStyle name="Comma 5 2 8 8" xfId="7413"/>
    <cellStyle name="Comma 5 2 8 9" xfId="3365"/>
    <cellStyle name="Comma 5 2 9" xfId="422"/>
    <cellStyle name="Comma 5 2 9 2" xfId="830"/>
    <cellStyle name="Comma 5 2 9 2 2" xfId="1923"/>
    <cellStyle name="Comma 5 2 9 2 2 2" xfId="10029"/>
    <cellStyle name="Comma 5 2 9 2 2 3" xfId="5011"/>
    <cellStyle name="Comma 5 2 9 2 3" xfId="6070"/>
    <cellStyle name="Comma 5 2 9 2 3 2" xfId="11086"/>
    <cellStyle name="Comma 5 2 9 2 4" xfId="9145"/>
    <cellStyle name="Comma 5 2 9 2 5" xfId="12540"/>
    <cellStyle name="Comma 5 2 9 2 6" xfId="7622"/>
    <cellStyle name="Comma 5 2 9 2 7" xfId="4076"/>
    <cellStyle name="Comma 5 2 9 3" xfId="1180"/>
    <cellStyle name="Comma 5 2 9 3 2" xfId="2272"/>
    <cellStyle name="Comma 5 2 9 3 2 2" xfId="10390"/>
    <cellStyle name="Comma 5 2 9 3 2 3" xfId="5373"/>
    <cellStyle name="Comma 5 2 9 3 3" xfId="6419"/>
    <cellStyle name="Comma 5 2 9 3 3 2" xfId="11434"/>
    <cellStyle name="Comma 5 2 9 3 4" xfId="9476"/>
    <cellStyle name="Comma 5 2 9 3 5" xfId="12888"/>
    <cellStyle name="Comma 5 2 9 3 6" xfId="7984"/>
    <cellStyle name="Comma 5 2 9 3 7" xfId="4458"/>
    <cellStyle name="Comma 5 2 9 4" xfId="2731"/>
    <cellStyle name="Comma 5 2 9 4 2" xfId="6771"/>
    <cellStyle name="Comma 5 2 9 4 2 2" xfId="11786"/>
    <cellStyle name="Comma 5 2 9 4 3" xfId="13240"/>
    <cellStyle name="Comma 5 2 9 4 4" xfId="9681"/>
    <cellStyle name="Comma 5 2 9 4 5" xfId="4663"/>
    <cellStyle name="Comma 5 2 9 5" xfId="1580"/>
    <cellStyle name="Comma 5 2 9 5 2" xfId="10741"/>
    <cellStyle name="Comma 5 2 9 5 3" xfId="5725"/>
    <cellStyle name="Comma 5 2 9 6" xfId="8797"/>
    <cellStyle name="Comma 5 2 9 7" xfId="12197"/>
    <cellStyle name="Comma 5 2 9 8" xfId="7274"/>
    <cellStyle name="Comma 5 2 9 9" xfId="3728"/>
    <cellStyle name="Comma 5 3" xfId="136"/>
    <cellStyle name="Comma 5 3 10" xfId="1559"/>
    <cellStyle name="Comma 5 3 10 2" xfId="12176"/>
    <cellStyle name="Comma 5 3 10 3" xfId="10720"/>
    <cellStyle name="Comma 5 3 10 4" xfId="5704"/>
    <cellStyle name="Comma 5 3 11" xfId="1529"/>
    <cellStyle name="Comma 5 3 11 2" xfId="8328"/>
    <cellStyle name="Comma 5 3 12" xfId="12146"/>
    <cellStyle name="Comma 5 3 13" xfId="7108"/>
    <cellStyle name="Comma 5 3 14" xfId="3250"/>
    <cellStyle name="Comma 5 3 2" xfId="177"/>
    <cellStyle name="Comma 5 3 2 10" xfId="12278"/>
    <cellStyle name="Comma 5 3 2 11" xfId="7138"/>
    <cellStyle name="Comma 5 3 2 12" xfId="3307"/>
    <cellStyle name="Comma 5 3 2 2" xfId="352"/>
    <cellStyle name="Comma 5 3 2 2 10" xfId="3511"/>
    <cellStyle name="Comma 5 3 2 2 2" xfId="707"/>
    <cellStyle name="Comma 5 3 2 2 2 2" xfId="1926"/>
    <cellStyle name="Comma 5 3 2 2 2 2 2" xfId="9966"/>
    <cellStyle name="Comma 5 3 2 2 2 2 3" xfId="4948"/>
    <cellStyle name="Comma 5 3 2 2 2 3" xfId="6073"/>
    <cellStyle name="Comma 5 3 2 2 2 3 2" xfId="11089"/>
    <cellStyle name="Comma 5 3 2 2 2 4" xfId="9082"/>
    <cellStyle name="Comma 5 3 2 2 2 5" xfId="12543"/>
    <cellStyle name="Comma 5 3 2 2 2 6" xfId="7559"/>
    <cellStyle name="Comma 5 3 2 2 2 7" xfId="4013"/>
    <cellStyle name="Comma 5 3 2 2 3" xfId="1116"/>
    <cellStyle name="Comma 5 3 2 2 3 2" xfId="2275"/>
    <cellStyle name="Comma 5 3 2 2 3 2 2" xfId="10032"/>
    <cellStyle name="Comma 5 3 2 2 3 2 3" xfId="5014"/>
    <cellStyle name="Comma 5 3 2 2 3 3" xfId="6422"/>
    <cellStyle name="Comma 5 3 2 2 3 3 2" xfId="11437"/>
    <cellStyle name="Comma 5 3 2 2 3 4" xfId="9148"/>
    <cellStyle name="Comma 5 3 2 2 3 5" xfId="12891"/>
    <cellStyle name="Comma 5 3 2 2 3 6" xfId="7625"/>
    <cellStyle name="Comma 5 3 2 2 3 7" xfId="4079"/>
    <cellStyle name="Comma 5 3 2 2 4" xfId="1474"/>
    <cellStyle name="Comma 5 3 2 2 4 2" xfId="3033"/>
    <cellStyle name="Comma 5 3 2 2 4 2 2" xfId="10675"/>
    <cellStyle name="Comma 5 3 2 2 4 2 3" xfId="5658"/>
    <cellStyle name="Comma 5 3 2 2 4 3" xfId="7056"/>
    <cellStyle name="Comma 5 3 2 2 4 3 2" xfId="12071"/>
    <cellStyle name="Comma 5 3 2 2 4 4" xfId="8763"/>
    <cellStyle name="Comma 5 3 2 2 4 5" xfId="13525"/>
    <cellStyle name="Comma 5 3 2 2 4 6" xfId="8269"/>
    <cellStyle name="Comma 5 3 2 2 4 7" xfId="3693"/>
    <cellStyle name="Comma 5 3 2 2 5" xfId="1865"/>
    <cellStyle name="Comma 5 3 2 2 5 2" xfId="9649"/>
    <cellStyle name="Comma 5 3 2 2 5 3" xfId="4631"/>
    <cellStyle name="Comma 5 3 2 2 6" xfId="6012"/>
    <cellStyle name="Comma 5 3 2 2 6 2" xfId="11028"/>
    <cellStyle name="Comma 5 3 2 2 7" xfId="8589"/>
    <cellStyle name="Comma 5 3 2 2 8" xfId="12482"/>
    <cellStyle name="Comma 5 3 2 2 9" xfId="7242"/>
    <cellStyle name="Comma 5 3 2 3" xfId="603"/>
    <cellStyle name="Comma 5 3 2 3 2" xfId="1012"/>
    <cellStyle name="Comma 5 3 2 3 2 2" xfId="1927"/>
    <cellStyle name="Comma 5 3 2 3 2 2 2" xfId="10033"/>
    <cellStyle name="Comma 5 3 2 3 2 2 3" xfId="5015"/>
    <cellStyle name="Comma 5 3 2 3 2 3" xfId="6074"/>
    <cellStyle name="Comma 5 3 2 3 2 3 2" xfId="11090"/>
    <cellStyle name="Comma 5 3 2 3 2 4" xfId="9149"/>
    <cellStyle name="Comma 5 3 2 3 2 5" xfId="12544"/>
    <cellStyle name="Comma 5 3 2 3 2 6" xfId="7626"/>
    <cellStyle name="Comma 5 3 2 3 2 7" xfId="4080"/>
    <cellStyle name="Comma 5 3 2 3 3" xfId="1368"/>
    <cellStyle name="Comma 5 3 2 3 3 2" xfId="2276"/>
    <cellStyle name="Comma 5 3 2 3 3 2 2" xfId="10571"/>
    <cellStyle name="Comma 5 3 2 3 3 2 3" xfId="5554"/>
    <cellStyle name="Comma 5 3 2 3 3 3" xfId="6423"/>
    <cellStyle name="Comma 5 3 2 3 3 3 2" xfId="11438"/>
    <cellStyle name="Comma 5 3 2 3 3 4" xfId="8978"/>
    <cellStyle name="Comma 5 3 2 3 3 5" xfId="12892"/>
    <cellStyle name="Comma 5 3 2 3 3 6" xfId="8165"/>
    <cellStyle name="Comma 5 3 2 3 3 7" xfId="3909"/>
    <cellStyle name="Comma 5 3 2 3 4" xfId="2926"/>
    <cellStyle name="Comma 5 3 2 3 4 2" xfId="6952"/>
    <cellStyle name="Comma 5 3 2 3 4 2 2" xfId="11967"/>
    <cellStyle name="Comma 5 3 2 3 4 3" xfId="13421"/>
    <cellStyle name="Comma 5 3 2 3 4 4" xfId="9862"/>
    <cellStyle name="Comma 5 3 2 3 4 5" xfId="4844"/>
    <cellStyle name="Comma 5 3 2 3 5" xfId="1761"/>
    <cellStyle name="Comma 5 3 2 3 5 2" xfId="10924"/>
    <cellStyle name="Comma 5 3 2 3 5 3" xfId="5908"/>
    <cellStyle name="Comma 5 3 2 3 6" xfId="8485"/>
    <cellStyle name="Comma 5 3 2 3 7" xfId="12378"/>
    <cellStyle name="Comma 5 3 2 3 8" xfId="7455"/>
    <cellStyle name="Comma 5 3 2 3 9" xfId="3407"/>
    <cellStyle name="Comma 5 3 2 4" xfId="503"/>
    <cellStyle name="Comma 5 3 2 4 2" xfId="912"/>
    <cellStyle name="Comma 5 3 2 4 2 2" xfId="9762"/>
    <cellStyle name="Comma 5 3 2 4 2 3" xfId="4744"/>
    <cellStyle name="Comma 5 3 2 4 3" xfId="1925"/>
    <cellStyle name="Comma 5 3 2 4 3 2" xfId="11088"/>
    <cellStyle name="Comma 5 3 2 4 3 3" xfId="6072"/>
    <cellStyle name="Comma 5 3 2 4 4" xfId="8878"/>
    <cellStyle name="Comma 5 3 2 4 5" xfId="12542"/>
    <cellStyle name="Comma 5 3 2 4 6" xfId="7355"/>
    <cellStyle name="Comma 5 3 2 4 7" xfId="3809"/>
    <cellStyle name="Comma 5 3 2 5" xfId="779"/>
    <cellStyle name="Comma 5 3 2 5 2" xfId="2274"/>
    <cellStyle name="Comma 5 3 2 5 2 2" xfId="10031"/>
    <cellStyle name="Comma 5 3 2 5 2 3" xfId="5013"/>
    <cellStyle name="Comma 5 3 2 5 3" xfId="6421"/>
    <cellStyle name="Comma 5 3 2 5 3 2" xfId="11436"/>
    <cellStyle name="Comma 5 3 2 5 4" xfId="9147"/>
    <cellStyle name="Comma 5 3 2 5 5" xfId="12890"/>
    <cellStyle name="Comma 5 3 2 5 6" xfId="7624"/>
    <cellStyle name="Comma 5 3 2 5 7" xfId="4078"/>
    <cellStyle name="Comma 5 3 2 6" xfId="1267"/>
    <cellStyle name="Comma 5 3 2 6 2" xfId="2824"/>
    <cellStyle name="Comma 5 3 2 6 2 2" xfId="10471"/>
    <cellStyle name="Comma 5 3 2 6 2 3" xfId="5454"/>
    <cellStyle name="Comma 5 3 2 6 3" xfId="6852"/>
    <cellStyle name="Comma 5 3 2 6 3 2" xfId="11867"/>
    <cellStyle name="Comma 5 3 2 6 4" xfId="8659"/>
    <cellStyle name="Comma 5 3 2 6 5" xfId="13321"/>
    <cellStyle name="Comma 5 3 2 6 6" xfId="8065"/>
    <cellStyle name="Comma 5 3 2 6 7" xfId="3586"/>
    <cellStyle name="Comma 5 3 2 7" xfId="1661"/>
    <cellStyle name="Comma 5 3 2 7 2" xfId="9545"/>
    <cellStyle name="Comma 5 3 2 7 3" xfId="4527"/>
    <cellStyle name="Comma 5 3 2 8" xfId="5808"/>
    <cellStyle name="Comma 5 3 2 8 2" xfId="10824"/>
    <cellStyle name="Comma 5 3 2 9" xfId="8385"/>
    <cellStyle name="Comma 5 3 3" xfId="203"/>
    <cellStyle name="Comma 5 3 3 10" xfId="7181"/>
    <cellStyle name="Comma 5 3 3 11" xfId="3350"/>
    <cellStyle name="Comma 5 3 3 2" xfId="396"/>
    <cellStyle name="Comma 5 3 3 2 2" xfId="646"/>
    <cellStyle name="Comma 5 3 3 2 2 2" xfId="1929"/>
    <cellStyle name="Comma 5 3 3 2 2 2 2" xfId="10035"/>
    <cellStyle name="Comma 5 3 3 2 2 2 3" xfId="5017"/>
    <cellStyle name="Comma 5 3 3 2 2 3" xfId="6076"/>
    <cellStyle name="Comma 5 3 3 2 2 3 2" xfId="11092"/>
    <cellStyle name="Comma 5 3 3 2 2 4" xfId="9151"/>
    <cellStyle name="Comma 5 3 3 2 2 5" xfId="12546"/>
    <cellStyle name="Comma 5 3 3 2 2 6" xfId="7628"/>
    <cellStyle name="Comma 5 3 3 2 2 7" xfId="4082"/>
    <cellStyle name="Comma 5 3 3 2 3" xfId="1055"/>
    <cellStyle name="Comma 5 3 3 2 3 2" xfId="2278"/>
    <cellStyle name="Comma 5 3 3 2 3 2 2" xfId="10614"/>
    <cellStyle name="Comma 5 3 3 2 3 2 3" xfId="5597"/>
    <cellStyle name="Comma 5 3 3 2 3 3" xfId="6425"/>
    <cellStyle name="Comma 5 3 3 2 3 3 2" xfId="11440"/>
    <cellStyle name="Comma 5 3 3 2 3 4" xfId="9021"/>
    <cellStyle name="Comma 5 3 3 2 3 5" xfId="12894"/>
    <cellStyle name="Comma 5 3 3 2 3 6" xfId="8208"/>
    <cellStyle name="Comma 5 3 3 2 3 7" xfId="3952"/>
    <cellStyle name="Comma 5 3 3 2 4" xfId="1413"/>
    <cellStyle name="Comma 5 3 3 2 4 2" xfId="2971"/>
    <cellStyle name="Comma 5 3 3 2 4 2 2" xfId="12010"/>
    <cellStyle name="Comma 5 3 3 2 4 2 3" xfId="6995"/>
    <cellStyle name="Comma 5 3 3 2 4 3" xfId="13464"/>
    <cellStyle name="Comma 5 3 3 2 4 4" xfId="9905"/>
    <cellStyle name="Comma 5 3 3 2 4 5" xfId="4887"/>
    <cellStyle name="Comma 5 3 3 2 5" xfId="1804"/>
    <cellStyle name="Comma 5 3 3 2 5 2" xfId="10967"/>
    <cellStyle name="Comma 5 3 3 2 5 3" xfId="5951"/>
    <cellStyle name="Comma 5 3 3 2 6" xfId="8528"/>
    <cellStyle name="Comma 5 3 3 2 7" xfId="12421"/>
    <cellStyle name="Comma 5 3 3 2 8" xfId="7498"/>
    <cellStyle name="Comma 5 3 3 2 9" xfId="3450"/>
    <cellStyle name="Comma 5 3 3 3" xfId="546"/>
    <cellStyle name="Comma 5 3 3 3 2" xfId="955"/>
    <cellStyle name="Comma 5 3 3 3 2 2" xfId="9805"/>
    <cellStyle name="Comma 5 3 3 3 2 3" xfId="4787"/>
    <cellStyle name="Comma 5 3 3 3 3" xfId="1928"/>
    <cellStyle name="Comma 5 3 3 3 3 2" xfId="11091"/>
    <cellStyle name="Comma 5 3 3 3 3 3" xfId="6075"/>
    <cellStyle name="Comma 5 3 3 3 4" xfId="8921"/>
    <cellStyle name="Comma 5 3 3 3 5" xfId="12545"/>
    <cellStyle name="Comma 5 3 3 3 6" xfId="7398"/>
    <cellStyle name="Comma 5 3 3 3 7" xfId="3852"/>
    <cellStyle name="Comma 5 3 3 4" xfId="809"/>
    <cellStyle name="Comma 5 3 3 4 2" xfId="2277"/>
    <cellStyle name="Comma 5 3 3 4 2 2" xfId="10034"/>
    <cellStyle name="Comma 5 3 3 4 2 3" xfId="5016"/>
    <cellStyle name="Comma 5 3 3 4 3" xfId="6424"/>
    <cellStyle name="Comma 5 3 3 4 3 2" xfId="11439"/>
    <cellStyle name="Comma 5 3 3 4 4" xfId="9150"/>
    <cellStyle name="Comma 5 3 3 4 5" xfId="12893"/>
    <cellStyle name="Comma 5 3 3 4 6" xfId="7627"/>
    <cellStyle name="Comma 5 3 3 4 7" xfId="4081"/>
    <cellStyle name="Comma 5 3 3 5" xfId="1311"/>
    <cellStyle name="Comma 5 3 3 5 2" xfId="2869"/>
    <cellStyle name="Comma 5 3 3 5 2 2" xfId="10514"/>
    <cellStyle name="Comma 5 3 3 5 2 3" xfId="5497"/>
    <cellStyle name="Comma 5 3 3 5 3" xfId="6895"/>
    <cellStyle name="Comma 5 3 3 5 3 2" xfId="11910"/>
    <cellStyle name="Comma 5 3 3 5 4" xfId="8702"/>
    <cellStyle name="Comma 5 3 3 5 5" xfId="13364"/>
    <cellStyle name="Comma 5 3 3 5 6" xfId="8108"/>
    <cellStyle name="Comma 5 3 3 5 7" xfId="3632"/>
    <cellStyle name="Comma 5 3 3 6" xfId="1704"/>
    <cellStyle name="Comma 5 3 3 6 2" xfId="9588"/>
    <cellStyle name="Comma 5 3 3 6 3" xfId="4570"/>
    <cellStyle name="Comma 5 3 3 7" xfId="5851"/>
    <cellStyle name="Comma 5 3 3 7 2" xfId="10867"/>
    <cellStyle name="Comma 5 3 3 8" xfId="8428"/>
    <cellStyle name="Comma 5 3 3 9" xfId="12321"/>
    <cellStyle name="Comma 5 3 4" xfId="239"/>
    <cellStyle name="Comma 5 3 4 10" xfId="7213"/>
    <cellStyle name="Comma 5 3 4 11" xfId="3277"/>
    <cellStyle name="Comma 5 3 4 2" xfId="321"/>
    <cellStyle name="Comma 5 3 4 2 2" xfId="678"/>
    <cellStyle name="Comma 5 3 4 2 2 2" xfId="1931"/>
    <cellStyle name="Comma 5 3 4 2 2 2 2" xfId="10037"/>
    <cellStyle name="Comma 5 3 4 2 2 2 3" xfId="5019"/>
    <cellStyle name="Comma 5 3 4 2 2 3" xfId="6078"/>
    <cellStyle name="Comma 5 3 4 2 2 3 2" xfId="11094"/>
    <cellStyle name="Comma 5 3 4 2 2 4" xfId="9153"/>
    <cellStyle name="Comma 5 3 4 2 2 5" xfId="12548"/>
    <cellStyle name="Comma 5 3 4 2 2 6" xfId="7630"/>
    <cellStyle name="Comma 5 3 4 2 2 7" xfId="4084"/>
    <cellStyle name="Comma 5 3 4 2 3" xfId="1087"/>
    <cellStyle name="Comma 5 3 4 2 3 2" xfId="2280"/>
    <cellStyle name="Comma 5 3 4 2 3 2 2" xfId="10646"/>
    <cellStyle name="Comma 5 3 4 2 3 2 3" xfId="5629"/>
    <cellStyle name="Comma 5 3 4 2 3 3" xfId="6427"/>
    <cellStyle name="Comma 5 3 4 2 3 3 2" xfId="11442"/>
    <cellStyle name="Comma 5 3 4 2 3 4" xfId="9053"/>
    <cellStyle name="Comma 5 3 4 2 3 5" xfId="12896"/>
    <cellStyle name="Comma 5 3 4 2 3 6" xfId="8240"/>
    <cellStyle name="Comma 5 3 4 2 3 7" xfId="3984"/>
    <cellStyle name="Comma 5 3 4 2 4" xfId="1445"/>
    <cellStyle name="Comma 5 3 4 2 4 2" xfId="3004"/>
    <cellStyle name="Comma 5 3 4 2 4 2 2" xfId="12042"/>
    <cellStyle name="Comma 5 3 4 2 4 2 3" xfId="7027"/>
    <cellStyle name="Comma 5 3 4 2 4 3" xfId="13496"/>
    <cellStyle name="Comma 5 3 4 2 4 4" xfId="9937"/>
    <cellStyle name="Comma 5 3 4 2 4 5" xfId="4919"/>
    <cellStyle name="Comma 5 3 4 2 5" xfId="1836"/>
    <cellStyle name="Comma 5 3 4 2 5 2" xfId="10999"/>
    <cellStyle name="Comma 5 3 4 2 5 3" xfId="5983"/>
    <cellStyle name="Comma 5 3 4 2 6" xfId="8560"/>
    <cellStyle name="Comma 5 3 4 2 7" xfId="12453"/>
    <cellStyle name="Comma 5 3 4 2 8" xfId="7530"/>
    <cellStyle name="Comma 5 3 4 2 9" xfId="3482"/>
    <cellStyle name="Comma 5 3 4 3" xfId="473"/>
    <cellStyle name="Comma 5 3 4 3 2" xfId="1930"/>
    <cellStyle name="Comma 5 3 4 3 2 2" xfId="9732"/>
    <cellStyle name="Comma 5 3 4 3 2 3" xfId="4714"/>
    <cellStyle name="Comma 5 3 4 3 3" xfId="6077"/>
    <cellStyle name="Comma 5 3 4 3 3 2" xfId="11093"/>
    <cellStyle name="Comma 5 3 4 3 4" xfId="8848"/>
    <cellStyle name="Comma 5 3 4 3 5" xfId="12547"/>
    <cellStyle name="Comma 5 3 4 3 6" xfId="7325"/>
    <cellStyle name="Comma 5 3 4 3 7" xfId="3779"/>
    <cellStyle name="Comma 5 3 4 4" xfId="882"/>
    <cellStyle name="Comma 5 3 4 4 2" xfId="2279"/>
    <cellStyle name="Comma 5 3 4 4 2 2" xfId="10036"/>
    <cellStyle name="Comma 5 3 4 4 2 3" xfId="5018"/>
    <cellStyle name="Comma 5 3 4 4 3" xfId="6426"/>
    <cellStyle name="Comma 5 3 4 4 3 2" xfId="11441"/>
    <cellStyle name="Comma 5 3 4 4 4" xfId="9152"/>
    <cellStyle name="Comma 5 3 4 4 5" xfId="12895"/>
    <cellStyle name="Comma 5 3 4 4 6" xfId="7629"/>
    <cellStyle name="Comma 5 3 4 4 7" xfId="4083"/>
    <cellStyle name="Comma 5 3 4 5" xfId="1234"/>
    <cellStyle name="Comma 5 3 4 5 2" xfId="2790"/>
    <cellStyle name="Comma 5 3 4 5 2 2" xfId="10441"/>
    <cellStyle name="Comma 5 3 4 5 2 3" xfId="5424"/>
    <cellStyle name="Comma 5 3 4 5 3" xfId="6822"/>
    <cellStyle name="Comma 5 3 4 5 3 2" xfId="11837"/>
    <cellStyle name="Comma 5 3 4 5 4" xfId="8734"/>
    <cellStyle name="Comma 5 3 4 5 5" xfId="13291"/>
    <cellStyle name="Comma 5 3 4 5 6" xfId="8035"/>
    <cellStyle name="Comma 5 3 4 5 7" xfId="3664"/>
    <cellStyle name="Comma 5 3 4 6" xfId="1631"/>
    <cellStyle name="Comma 5 3 4 6 2" xfId="9620"/>
    <cellStyle name="Comma 5 3 4 6 3" xfId="4602"/>
    <cellStyle name="Comma 5 3 4 7" xfId="5778"/>
    <cellStyle name="Comma 5 3 4 7 2" xfId="10794"/>
    <cellStyle name="Comma 5 3 4 8" xfId="8355"/>
    <cellStyle name="Comma 5 3 4 9" xfId="12248"/>
    <cellStyle name="Comma 5 3 5" xfId="292"/>
    <cellStyle name="Comma 5 3 5 2" xfId="573"/>
    <cellStyle name="Comma 5 3 5 2 2" xfId="1932"/>
    <cellStyle name="Comma 5 3 5 2 2 2" xfId="10038"/>
    <cellStyle name="Comma 5 3 5 2 2 3" xfId="5020"/>
    <cellStyle name="Comma 5 3 5 2 3" xfId="6079"/>
    <cellStyle name="Comma 5 3 5 2 3 2" xfId="11095"/>
    <cellStyle name="Comma 5 3 5 2 4" xfId="9154"/>
    <cellStyle name="Comma 5 3 5 2 5" xfId="12549"/>
    <cellStyle name="Comma 5 3 5 2 6" xfId="7631"/>
    <cellStyle name="Comma 5 3 5 2 7" xfId="4085"/>
    <cellStyle name="Comma 5 3 5 3" xfId="982"/>
    <cellStyle name="Comma 5 3 5 3 2" xfId="2281"/>
    <cellStyle name="Comma 5 3 5 3 2 2" xfId="10541"/>
    <cellStyle name="Comma 5 3 5 3 2 3" xfId="5524"/>
    <cellStyle name="Comma 5 3 5 3 3" xfId="6428"/>
    <cellStyle name="Comma 5 3 5 3 3 2" xfId="11443"/>
    <cellStyle name="Comma 5 3 5 3 4" xfId="8948"/>
    <cellStyle name="Comma 5 3 5 3 5" xfId="12897"/>
    <cellStyle name="Comma 5 3 5 3 6" xfId="8135"/>
    <cellStyle name="Comma 5 3 5 3 7" xfId="3879"/>
    <cellStyle name="Comma 5 3 5 4" xfId="1338"/>
    <cellStyle name="Comma 5 3 5 4 2" xfId="2896"/>
    <cellStyle name="Comma 5 3 5 4 2 2" xfId="11937"/>
    <cellStyle name="Comma 5 3 5 4 2 3" xfId="6922"/>
    <cellStyle name="Comma 5 3 5 4 3" xfId="13391"/>
    <cellStyle name="Comma 5 3 5 4 4" xfId="9832"/>
    <cellStyle name="Comma 5 3 5 4 5" xfId="4814"/>
    <cellStyle name="Comma 5 3 5 5" xfId="1731"/>
    <cellStyle name="Comma 5 3 5 5 2" xfId="10894"/>
    <cellStyle name="Comma 5 3 5 5 3" xfId="5878"/>
    <cellStyle name="Comma 5 3 5 6" xfId="8455"/>
    <cellStyle name="Comma 5 3 5 7" xfId="12348"/>
    <cellStyle name="Comma 5 3 5 8" xfId="7425"/>
    <cellStyle name="Comma 5 3 5 9" xfId="3377"/>
    <cellStyle name="Comma 5 3 6" xfId="446"/>
    <cellStyle name="Comma 5 3 6 2" xfId="855"/>
    <cellStyle name="Comma 5 3 6 2 2" xfId="1933"/>
    <cellStyle name="Comma 5 3 6 2 2 2" xfId="10039"/>
    <cellStyle name="Comma 5 3 6 2 2 3" xfId="5021"/>
    <cellStyle name="Comma 5 3 6 2 3" xfId="6080"/>
    <cellStyle name="Comma 5 3 6 2 3 2" xfId="11096"/>
    <cellStyle name="Comma 5 3 6 2 4" xfId="9155"/>
    <cellStyle name="Comma 5 3 6 2 5" xfId="12550"/>
    <cellStyle name="Comma 5 3 6 2 6" xfId="7632"/>
    <cellStyle name="Comma 5 3 6 2 7" xfId="4086"/>
    <cellStyle name="Comma 5 3 6 3" xfId="1205"/>
    <cellStyle name="Comma 5 3 6 3 2" xfId="2282"/>
    <cellStyle name="Comma 5 3 6 3 2 2" xfId="10414"/>
    <cellStyle name="Comma 5 3 6 3 2 3" xfId="5397"/>
    <cellStyle name="Comma 5 3 6 3 3" xfId="6429"/>
    <cellStyle name="Comma 5 3 6 3 3 2" xfId="11444"/>
    <cellStyle name="Comma 5 3 6 3 4" xfId="9485"/>
    <cellStyle name="Comma 5 3 6 3 5" xfId="12898"/>
    <cellStyle name="Comma 5 3 6 3 6" xfId="8008"/>
    <cellStyle name="Comma 5 3 6 3 7" xfId="4467"/>
    <cellStyle name="Comma 5 3 6 4" xfId="2759"/>
    <cellStyle name="Comma 5 3 6 4 2" xfId="6795"/>
    <cellStyle name="Comma 5 3 6 4 2 2" xfId="11810"/>
    <cellStyle name="Comma 5 3 6 4 3" xfId="13264"/>
    <cellStyle name="Comma 5 3 6 4 4" xfId="9705"/>
    <cellStyle name="Comma 5 3 6 4 5" xfId="4687"/>
    <cellStyle name="Comma 5 3 6 5" xfId="1604"/>
    <cellStyle name="Comma 5 3 6 5 2" xfId="10765"/>
    <cellStyle name="Comma 5 3 6 5 3" xfId="5749"/>
    <cellStyle name="Comma 5 3 6 6" xfId="8821"/>
    <cellStyle name="Comma 5 3 6 7" xfId="12221"/>
    <cellStyle name="Comma 5 3 6 8" xfId="7298"/>
    <cellStyle name="Comma 5 3 6 9" xfId="3752"/>
    <cellStyle name="Comma 5 3 7" xfId="755"/>
    <cellStyle name="Comma 5 3 7 2" xfId="1924"/>
    <cellStyle name="Comma 5 3 7 2 2" xfId="10030"/>
    <cellStyle name="Comma 5 3 7 2 3" xfId="5012"/>
    <cellStyle name="Comma 5 3 7 3" xfId="6071"/>
    <cellStyle name="Comma 5 3 7 3 2" xfId="11087"/>
    <cellStyle name="Comma 5 3 7 4" xfId="9146"/>
    <cellStyle name="Comma 5 3 7 5" xfId="12541"/>
    <cellStyle name="Comma 5 3 7 6" xfId="7623"/>
    <cellStyle name="Comma 5 3 7 7" xfId="4077"/>
    <cellStyle name="Comma 5 3 8" xfId="1159"/>
    <cellStyle name="Comma 5 3 8 2" xfId="2273"/>
    <cellStyle name="Comma 5 3 8 2 2" xfId="10369"/>
    <cellStyle name="Comma 5 3 8 2 3" xfId="5352"/>
    <cellStyle name="Comma 5 3 8 3" xfId="6420"/>
    <cellStyle name="Comma 5 3 8 3 2" xfId="11435"/>
    <cellStyle name="Comma 5 3 8 4" xfId="8628"/>
    <cellStyle name="Comma 5 3 8 5" xfId="12889"/>
    <cellStyle name="Comma 5 3 8 6" xfId="7963"/>
    <cellStyle name="Comma 5 3 8 7" xfId="3552"/>
    <cellStyle name="Comma 5 3 9" xfId="2708"/>
    <cellStyle name="Comma 5 3 9 2" xfId="6750"/>
    <cellStyle name="Comma 5 3 9 2 2" xfId="11765"/>
    <cellStyle name="Comma 5 3 9 3" xfId="13219"/>
    <cellStyle name="Comma 5 3 9 4" xfId="9514"/>
    <cellStyle name="Comma 5 3 9 5" xfId="4496"/>
    <cellStyle name="Comma 5 4" xfId="151"/>
    <cellStyle name="Comma 5 4 10" xfId="1567"/>
    <cellStyle name="Comma 5 4 10 2" xfId="12184"/>
    <cellStyle name="Comma 5 4 10 3" xfId="10728"/>
    <cellStyle name="Comma 5 4 10 4" xfId="5712"/>
    <cellStyle name="Comma 5 4 11" xfId="1537"/>
    <cellStyle name="Comma 5 4 11 2" xfId="8336"/>
    <cellStyle name="Comma 5 4 12" xfId="12154"/>
    <cellStyle name="Comma 5 4 13" xfId="7114"/>
    <cellStyle name="Comma 5 4 14" xfId="3258"/>
    <cellStyle name="Comma 5 4 2" xfId="211"/>
    <cellStyle name="Comma 5 4 2 10" xfId="12286"/>
    <cellStyle name="Comma 5 4 2 11" xfId="7146"/>
    <cellStyle name="Comma 5 4 2 12" xfId="3315"/>
    <cellStyle name="Comma 5 4 2 2" xfId="360"/>
    <cellStyle name="Comma 5 4 2 2 10" xfId="3519"/>
    <cellStyle name="Comma 5 4 2 2 2" xfId="715"/>
    <cellStyle name="Comma 5 4 2 2 2 2" xfId="1936"/>
    <cellStyle name="Comma 5 4 2 2 2 2 2" xfId="9974"/>
    <cellStyle name="Comma 5 4 2 2 2 2 3" xfId="4956"/>
    <cellStyle name="Comma 5 4 2 2 2 3" xfId="6083"/>
    <cellStyle name="Comma 5 4 2 2 2 3 2" xfId="11099"/>
    <cellStyle name="Comma 5 4 2 2 2 4" xfId="9090"/>
    <cellStyle name="Comma 5 4 2 2 2 5" xfId="12553"/>
    <cellStyle name="Comma 5 4 2 2 2 6" xfId="7567"/>
    <cellStyle name="Comma 5 4 2 2 2 7" xfId="4021"/>
    <cellStyle name="Comma 5 4 2 2 3" xfId="1124"/>
    <cellStyle name="Comma 5 4 2 2 3 2" xfId="2285"/>
    <cellStyle name="Comma 5 4 2 2 3 2 2" xfId="10042"/>
    <cellStyle name="Comma 5 4 2 2 3 2 3" xfId="5024"/>
    <cellStyle name="Comma 5 4 2 2 3 3" xfId="6432"/>
    <cellStyle name="Comma 5 4 2 2 3 3 2" xfId="11447"/>
    <cellStyle name="Comma 5 4 2 2 3 4" xfId="9158"/>
    <cellStyle name="Comma 5 4 2 2 3 5" xfId="12901"/>
    <cellStyle name="Comma 5 4 2 2 3 6" xfId="7635"/>
    <cellStyle name="Comma 5 4 2 2 3 7" xfId="4089"/>
    <cellStyle name="Comma 5 4 2 2 4" xfId="1482"/>
    <cellStyle name="Comma 5 4 2 2 4 2" xfId="3041"/>
    <cellStyle name="Comma 5 4 2 2 4 2 2" xfId="10683"/>
    <cellStyle name="Comma 5 4 2 2 4 2 3" xfId="5666"/>
    <cellStyle name="Comma 5 4 2 2 4 3" xfId="7064"/>
    <cellStyle name="Comma 5 4 2 2 4 3 2" xfId="12079"/>
    <cellStyle name="Comma 5 4 2 2 4 4" xfId="8771"/>
    <cellStyle name="Comma 5 4 2 2 4 5" xfId="13533"/>
    <cellStyle name="Comma 5 4 2 2 4 6" xfId="8277"/>
    <cellStyle name="Comma 5 4 2 2 4 7" xfId="3701"/>
    <cellStyle name="Comma 5 4 2 2 5" xfId="1873"/>
    <cellStyle name="Comma 5 4 2 2 5 2" xfId="9657"/>
    <cellStyle name="Comma 5 4 2 2 5 3" xfId="4639"/>
    <cellStyle name="Comma 5 4 2 2 6" xfId="6020"/>
    <cellStyle name="Comma 5 4 2 2 6 2" xfId="11036"/>
    <cellStyle name="Comma 5 4 2 2 7" xfId="8597"/>
    <cellStyle name="Comma 5 4 2 2 8" xfId="12490"/>
    <cellStyle name="Comma 5 4 2 2 9" xfId="7250"/>
    <cellStyle name="Comma 5 4 2 3" xfId="611"/>
    <cellStyle name="Comma 5 4 2 3 2" xfId="1020"/>
    <cellStyle name="Comma 5 4 2 3 2 2" xfId="1937"/>
    <cellStyle name="Comma 5 4 2 3 2 2 2" xfId="10043"/>
    <cellStyle name="Comma 5 4 2 3 2 2 3" xfId="5025"/>
    <cellStyle name="Comma 5 4 2 3 2 3" xfId="6084"/>
    <cellStyle name="Comma 5 4 2 3 2 3 2" xfId="11100"/>
    <cellStyle name="Comma 5 4 2 3 2 4" xfId="9159"/>
    <cellStyle name="Comma 5 4 2 3 2 5" xfId="12554"/>
    <cellStyle name="Comma 5 4 2 3 2 6" xfId="7636"/>
    <cellStyle name="Comma 5 4 2 3 2 7" xfId="4090"/>
    <cellStyle name="Comma 5 4 2 3 3" xfId="1376"/>
    <cellStyle name="Comma 5 4 2 3 3 2" xfId="2286"/>
    <cellStyle name="Comma 5 4 2 3 3 2 2" xfId="10579"/>
    <cellStyle name="Comma 5 4 2 3 3 2 3" xfId="5562"/>
    <cellStyle name="Comma 5 4 2 3 3 3" xfId="6433"/>
    <cellStyle name="Comma 5 4 2 3 3 3 2" xfId="11448"/>
    <cellStyle name="Comma 5 4 2 3 3 4" xfId="8986"/>
    <cellStyle name="Comma 5 4 2 3 3 5" xfId="12902"/>
    <cellStyle name="Comma 5 4 2 3 3 6" xfId="8173"/>
    <cellStyle name="Comma 5 4 2 3 3 7" xfId="3917"/>
    <cellStyle name="Comma 5 4 2 3 4" xfId="2934"/>
    <cellStyle name="Comma 5 4 2 3 4 2" xfId="6960"/>
    <cellStyle name="Comma 5 4 2 3 4 2 2" xfId="11975"/>
    <cellStyle name="Comma 5 4 2 3 4 3" xfId="13429"/>
    <cellStyle name="Comma 5 4 2 3 4 4" xfId="9870"/>
    <cellStyle name="Comma 5 4 2 3 4 5" xfId="4852"/>
    <cellStyle name="Comma 5 4 2 3 5" xfId="1769"/>
    <cellStyle name="Comma 5 4 2 3 5 2" xfId="10932"/>
    <cellStyle name="Comma 5 4 2 3 5 3" xfId="5916"/>
    <cellStyle name="Comma 5 4 2 3 6" xfId="8493"/>
    <cellStyle name="Comma 5 4 2 3 7" xfId="12386"/>
    <cellStyle name="Comma 5 4 2 3 8" xfId="7463"/>
    <cellStyle name="Comma 5 4 2 3 9" xfId="3415"/>
    <cellStyle name="Comma 5 4 2 4" xfId="511"/>
    <cellStyle name="Comma 5 4 2 4 2" xfId="920"/>
    <cellStyle name="Comma 5 4 2 4 2 2" xfId="9770"/>
    <cellStyle name="Comma 5 4 2 4 2 3" xfId="4752"/>
    <cellStyle name="Comma 5 4 2 4 3" xfId="1935"/>
    <cellStyle name="Comma 5 4 2 4 3 2" xfId="11098"/>
    <cellStyle name="Comma 5 4 2 4 3 3" xfId="6082"/>
    <cellStyle name="Comma 5 4 2 4 4" xfId="8886"/>
    <cellStyle name="Comma 5 4 2 4 5" xfId="12552"/>
    <cellStyle name="Comma 5 4 2 4 6" xfId="7363"/>
    <cellStyle name="Comma 5 4 2 4 7" xfId="3817"/>
    <cellStyle name="Comma 5 4 2 5" xfId="817"/>
    <cellStyle name="Comma 5 4 2 5 2" xfId="2284"/>
    <cellStyle name="Comma 5 4 2 5 2 2" xfId="10041"/>
    <cellStyle name="Comma 5 4 2 5 2 3" xfId="5023"/>
    <cellStyle name="Comma 5 4 2 5 3" xfId="6431"/>
    <cellStyle name="Comma 5 4 2 5 3 2" xfId="11446"/>
    <cellStyle name="Comma 5 4 2 5 4" xfId="9157"/>
    <cellStyle name="Comma 5 4 2 5 5" xfId="12900"/>
    <cellStyle name="Comma 5 4 2 5 6" xfId="7634"/>
    <cellStyle name="Comma 5 4 2 5 7" xfId="4088"/>
    <cellStyle name="Comma 5 4 2 6" xfId="1275"/>
    <cellStyle name="Comma 5 4 2 6 2" xfId="2832"/>
    <cellStyle name="Comma 5 4 2 6 2 2" xfId="10479"/>
    <cellStyle name="Comma 5 4 2 6 2 3" xfId="5462"/>
    <cellStyle name="Comma 5 4 2 6 3" xfId="6860"/>
    <cellStyle name="Comma 5 4 2 6 3 2" xfId="11875"/>
    <cellStyle name="Comma 5 4 2 6 4" xfId="8667"/>
    <cellStyle name="Comma 5 4 2 6 5" xfId="13329"/>
    <cellStyle name="Comma 5 4 2 6 6" xfId="8073"/>
    <cellStyle name="Comma 5 4 2 6 7" xfId="3594"/>
    <cellStyle name="Comma 5 4 2 7" xfId="1669"/>
    <cellStyle name="Comma 5 4 2 7 2" xfId="9553"/>
    <cellStyle name="Comma 5 4 2 7 3" xfId="4535"/>
    <cellStyle name="Comma 5 4 2 8" xfId="5816"/>
    <cellStyle name="Comma 5 4 2 8 2" xfId="10832"/>
    <cellStyle name="Comma 5 4 2 9" xfId="8393"/>
    <cellStyle name="Comma 5 4 3" xfId="247"/>
    <cellStyle name="Comma 5 4 3 10" xfId="7189"/>
    <cellStyle name="Comma 5 4 3 11" xfId="3358"/>
    <cellStyle name="Comma 5 4 3 2" xfId="404"/>
    <cellStyle name="Comma 5 4 3 2 2" xfId="654"/>
    <cellStyle name="Comma 5 4 3 2 2 2" xfId="1939"/>
    <cellStyle name="Comma 5 4 3 2 2 2 2" xfId="10045"/>
    <cellStyle name="Comma 5 4 3 2 2 2 3" xfId="5027"/>
    <cellStyle name="Comma 5 4 3 2 2 3" xfId="6086"/>
    <cellStyle name="Comma 5 4 3 2 2 3 2" xfId="11102"/>
    <cellStyle name="Comma 5 4 3 2 2 4" xfId="9161"/>
    <cellStyle name="Comma 5 4 3 2 2 5" xfId="12556"/>
    <cellStyle name="Comma 5 4 3 2 2 6" xfId="7638"/>
    <cellStyle name="Comma 5 4 3 2 2 7" xfId="4092"/>
    <cellStyle name="Comma 5 4 3 2 3" xfId="1063"/>
    <cellStyle name="Comma 5 4 3 2 3 2" xfId="2288"/>
    <cellStyle name="Comma 5 4 3 2 3 2 2" xfId="10622"/>
    <cellStyle name="Comma 5 4 3 2 3 2 3" xfId="5605"/>
    <cellStyle name="Comma 5 4 3 2 3 3" xfId="6435"/>
    <cellStyle name="Comma 5 4 3 2 3 3 2" xfId="11450"/>
    <cellStyle name="Comma 5 4 3 2 3 4" xfId="9029"/>
    <cellStyle name="Comma 5 4 3 2 3 5" xfId="12904"/>
    <cellStyle name="Comma 5 4 3 2 3 6" xfId="8216"/>
    <cellStyle name="Comma 5 4 3 2 3 7" xfId="3960"/>
    <cellStyle name="Comma 5 4 3 2 4" xfId="1421"/>
    <cellStyle name="Comma 5 4 3 2 4 2" xfId="2979"/>
    <cellStyle name="Comma 5 4 3 2 4 2 2" xfId="12018"/>
    <cellStyle name="Comma 5 4 3 2 4 2 3" xfId="7003"/>
    <cellStyle name="Comma 5 4 3 2 4 3" xfId="13472"/>
    <cellStyle name="Comma 5 4 3 2 4 4" xfId="9913"/>
    <cellStyle name="Comma 5 4 3 2 4 5" xfId="4895"/>
    <cellStyle name="Comma 5 4 3 2 5" xfId="1812"/>
    <cellStyle name="Comma 5 4 3 2 5 2" xfId="10975"/>
    <cellStyle name="Comma 5 4 3 2 5 3" xfId="5959"/>
    <cellStyle name="Comma 5 4 3 2 6" xfId="8536"/>
    <cellStyle name="Comma 5 4 3 2 7" xfId="12429"/>
    <cellStyle name="Comma 5 4 3 2 8" xfId="7506"/>
    <cellStyle name="Comma 5 4 3 2 9" xfId="3458"/>
    <cellStyle name="Comma 5 4 3 3" xfId="554"/>
    <cellStyle name="Comma 5 4 3 3 2" xfId="1938"/>
    <cellStyle name="Comma 5 4 3 3 2 2" xfId="9813"/>
    <cellStyle name="Comma 5 4 3 3 2 3" xfId="4795"/>
    <cellStyle name="Comma 5 4 3 3 3" xfId="6085"/>
    <cellStyle name="Comma 5 4 3 3 3 2" xfId="11101"/>
    <cellStyle name="Comma 5 4 3 3 4" xfId="8929"/>
    <cellStyle name="Comma 5 4 3 3 5" xfId="12555"/>
    <cellStyle name="Comma 5 4 3 3 6" xfId="7406"/>
    <cellStyle name="Comma 5 4 3 3 7" xfId="3860"/>
    <cellStyle name="Comma 5 4 3 4" xfId="963"/>
    <cellStyle name="Comma 5 4 3 4 2" xfId="2287"/>
    <cellStyle name="Comma 5 4 3 4 2 2" xfId="10044"/>
    <cellStyle name="Comma 5 4 3 4 2 3" xfId="5026"/>
    <cellStyle name="Comma 5 4 3 4 3" xfId="6434"/>
    <cellStyle name="Comma 5 4 3 4 3 2" xfId="11449"/>
    <cellStyle name="Comma 5 4 3 4 4" xfId="9160"/>
    <cellStyle name="Comma 5 4 3 4 5" xfId="12903"/>
    <cellStyle name="Comma 5 4 3 4 6" xfId="7637"/>
    <cellStyle name="Comma 5 4 3 4 7" xfId="4091"/>
    <cellStyle name="Comma 5 4 3 5" xfId="1319"/>
    <cellStyle name="Comma 5 4 3 5 2" xfId="2877"/>
    <cellStyle name="Comma 5 4 3 5 2 2" xfId="10522"/>
    <cellStyle name="Comma 5 4 3 5 2 3" xfId="5505"/>
    <cellStyle name="Comma 5 4 3 5 3" xfId="6903"/>
    <cellStyle name="Comma 5 4 3 5 3 2" xfId="11918"/>
    <cellStyle name="Comma 5 4 3 5 4" xfId="8710"/>
    <cellStyle name="Comma 5 4 3 5 5" xfId="13372"/>
    <cellStyle name="Comma 5 4 3 5 6" xfId="8116"/>
    <cellStyle name="Comma 5 4 3 5 7" xfId="3640"/>
    <cellStyle name="Comma 5 4 3 6" xfId="1712"/>
    <cellStyle name="Comma 5 4 3 6 2" xfId="9596"/>
    <cellStyle name="Comma 5 4 3 6 3" xfId="4578"/>
    <cellStyle name="Comma 5 4 3 7" xfId="5859"/>
    <cellStyle name="Comma 5 4 3 7 2" xfId="10875"/>
    <cellStyle name="Comma 5 4 3 8" xfId="8436"/>
    <cellStyle name="Comma 5 4 3 9" xfId="12329"/>
    <cellStyle name="Comma 5 4 4" xfId="327"/>
    <cellStyle name="Comma 5 4 4 10" xfId="7219"/>
    <cellStyle name="Comma 5 4 4 11" xfId="3283"/>
    <cellStyle name="Comma 5 4 4 2" xfId="684"/>
    <cellStyle name="Comma 5 4 4 2 2" xfId="1093"/>
    <cellStyle name="Comma 5 4 4 2 2 2" xfId="1941"/>
    <cellStyle name="Comma 5 4 4 2 2 2 2" xfId="10047"/>
    <cellStyle name="Comma 5 4 4 2 2 2 3" xfId="5029"/>
    <cellStyle name="Comma 5 4 4 2 2 3" xfId="6088"/>
    <cellStyle name="Comma 5 4 4 2 2 3 2" xfId="11104"/>
    <cellStyle name="Comma 5 4 4 2 2 4" xfId="9163"/>
    <cellStyle name="Comma 5 4 4 2 2 5" xfId="12558"/>
    <cellStyle name="Comma 5 4 4 2 2 6" xfId="7640"/>
    <cellStyle name="Comma 5 4 4 2 2 7" xfId="4094"/>
    <cellStyle name="Comma 5 4 4 2 3" xfId="1451"/>
    <cellStyle name="Comma 5 4 4 2 3 2" xfId="2290"/>
    <cellStyle name="Comma 5 4 4 2 3 2 2" xfId="10652"/>
    <cellStyle name="Comma 5 4 4 2 3 2 3" xfId="5635"/>
    <cellStyle name="Comma 5 4 4 2 3 3" xfId="6437"/>
    <cellStyle name="Comma 5 4 4 2 3 3 2" xfId="11452"/>
    <cellStyle name="Comma 5 4 4 2 3 4" xfId="9059"/>
    <cellStyle name="Comma 5 4 4 2 3 5" xfId="12906"/>
    <cellStyle name="Comma 5 4 4 2 3 6" xfId="8246"/>
    <cellStyle name="Comma 5 4 4 2 3 7" xfId="3990"/>
    <cellStyle name="Comma 5 4 4 2 4" xfId="3010"/>
    <cellStyle name="Comma 5 4 4 2 4 2" xfId="7033"/>
    <cellStyle name="Comma 5 4 4 2 4 2 2" xfId="12048"/>
    <cellStyle name="Comma 5 4 4 2 4 3" xfId="13502"/>
    <cellStyle name="Comma 5 4 4 2 4 4" xfId="9943"/>
    <cellStyle name="Comma 5 4 4 2 4 5" xfId="4925"/>
    <cellStyle name="Comma 5 4 4 2 5" xfId="1842"/>
    <cellStyle name="Comma 5 4 4 2 5 2" xfId="11005"/>
    <cellStyle name="Comma 5 4 4 2 5 3" xfId="5989"/>
    <cellStyle name="Comma 5 4 4 2 6" xfId="8566"/>
    <cellStyle name="Comma 5 4 4 2 7" xfId="12459"/>
    <cellStyle name="Comma 5 4 4 2 8" xfId="7536"/>
    <cellStyle name="Comma 5 4 4 2 9" xfId="3488"/>
    <cellStyle name="Comma 5 4 4 3" xfId="479"/>
    <cellStyle name="Comma 5 4 4 3 2" xfId="1940"/>
    <cellStyle name="Comma 5 4 4 3 2 2" xfId="9738"/>
    <cellStyle name="Comma 5 4 4 3 2 3" xfId="4720"/>
    <cellStyle name="Comma 5 4 4 3 3" xfId="6087"/>
    <cellStyle name="Comma 5 4 4 3 3 2" xfId="11103"/>
    <cellStyle name="Comma 5 4 4 3 4" xfId="8854"/>
    <cellStyle name="Comma 5 4 4 3 5" xfId="12557"/>
    <cellStyle name="Comma 5 4 4 3 6" xfId="7331"/>
    <cellStyle name="Comma 5 4 4 3 7" xfId="3785"/>
    <cellStyle name="Comma 5 4 4 4" xfId="888"/>
    <cellStyle name="Comma 5 4 4 4 2" xfId="2289"/>
    <cellStyle name="Comma 5 4 4 4 2 2" xfId="10046"/>
    <cellStyle name="Comma 5 4 4 4 2 3" xfId="5028"/>
    <cellStyle name="Comma 5 4 4 4 3" xfId="6436"/>
    <cellStyle name="Comma 5 4 4 4 3 2" xfId="11451"/>
    <cellStyle name="Comma 5 4 4 4 4" xfId="9162"/>
    <cellStyle name="Comma 5 4 4 4 5" xfId="12905"/>
    <cellStyle name="Comma 5 4 4 4 6" xfId="7639"/>
    <cellStyle name="Comma 5 4 4 4 7" xfId="4093"/>
    <cellStyle name="Comma 5 4 4 5" xfId="1240"/>
    <cellStyle name="Comma 5 4 4 5 2" xfId="2796"/>
    <cellStyle name="Comma 5 4 4 5 2 2" xfId="10447"/>
    <cellStyle name="Comma 5 4 4 5 2 3" xfId="5430"/>
    <cellStyle name="Comma 5 4 4 5 3" xfId="6828"/>
    <cellStyle name="Comma 5 4 4 5 3 2" xfId="11843"/>
    <cellStyle name="Comma 5 4 4 5 4" xfId="8740"/>
    <cellStyle name="Comma 5 4 4 5 5" xfId="13297"/>
    <cellStyle name="Comma 5 4 4 5 6" xfId="8041"/>
    <cellStyle name="Comma 5 4 4 5 7" xfId="3670"/>
    <cellStyle name="Comma 5 4 4 6" xfId="1637"/>
    <cellStyle name="Comma 5 4 4 6 2" xfId="9626"/>
    <cellStyle name="Comma 5 4 4 6 3" xfId="4608"/>
    <cellStyle name="Comma 5 4 4 7" xfId="5784"/>
    <cellStyle name="Comma 5 4 4 7 2" xfId="10800"/>
    <cellStyle name="Comma 5 4 4 8" xfId="8361"/>
    <cellStyle name="Comma 5 4 4 9" xfId="12254"/>
    <cellStyle name="Comma 5 4 5" xfId="300"/>
    <cellStyle name="Comma 5 4 5 2" xfId="579"/>
    <cellStyle name="Comma 5 4 5 2 2" xfId="1942"/>
    <cellStyle name="Comma 5 4 5 2 2 2" xfId="10048"/>
    <cellStyle name="Comma 5 4 5 2 2 3" xfId="5030"/>
    <cellStyle name="Comma 5 4 5 2 3" xfId="6089"/>
    <cellStyle name="Comma 5 4 5 2 3 2" xfId="11105"/>
    <cellStyle name="Comma 5 4 5 2 4" xfId="9164"/>
    <cellStyle name="Comma 5 4 5 2 5" xfId="12559"/>
    <cellStyle name="Comma 5 4 5 2 6" xfId="7641"/>
    <cellStyle name="Comma 5 4 5 2 7" xfId="4095"/>
    <cellStyle name="Comma 5 4 5 3" xfId="988"/>
    <cellStyle name="Comma 5 4 5 3 2" xfId="2291"/>
    <cellStyle name="Comma 5 4 5 3 2 2" xfId="10547"/>
    <cellStyle name="Comma 5 4 5 3 2 3" xfId="5530"/>
    <cellStyle name="Comma 5 4 5 3 3" xfId="6438"/>
    <cellStyle name="Comma 5 4 5 3 3 2" xfId="11453"/>
    <cellStyle name="Comma 5 4 5 3 4" xfId="8954"/>
    <cellStyle name="Comma 5 4 5 3 5" xfId="12907"/>
    <cellStyle name="Comma 5 4 5 3 6" xfId="8141"/>
    <cellStyle name="Comma 5 4 5 3 7" xfId="3885"/>
    <cellStyle name="Comma 5 4 5 4" xfId="1344"/>
    <cellStyle name="Comma 5 4 5 4 2" xfId="2902"/>
    <cellStyle name="Comma 5 4 5 4 2 2" xfId="11943"/>
    <cellStyle name="Comma 5 4 5 4 2 3" xfId="6928"/>
    <cellStyle name="Comma 5 4 5 4 3" xfId="13397"/>
    <cellStyle name="Comma 5 4 5 4 4" xfId="9838"/>
    <cellStyle name="Comma 5 4 5 4 5" xfId="4820"/>
    <cellStyle name="Comma 5 4 5 5" xfId="1737"/>
    <cellStyle name="Comma 5 4 5 5 2" xfId="10900"/>
    <cellStyle name="Comma 5 4 5 5 3" xfId="5884"/>
    <cellStyle name="Comma 5 4 5 6" xfId="8461"/>
    <cellStyle name="Comma 5 4 5 7" xfId="12354"/>
    <cellStyle name="Comma 5 4 5 8" xfId="7431"/>
    <cellStyle name="Comma 5 4 5 9" xfId="3383"/>
    <cellStyle name="Comma 5 4 6" xfId="454"/>
    <cellStyle name="Comma 5 4 6 2" xfId="863"/>
    <cellStyle name="Comma 5 4 6 2 2" xfId="1943"/>
    <cellStyle name="Comma 5 4 6 2 2 2" xfId="10049"/>
    <cellStyle name="Comma 5 4 6 2 2 3" xfId="5031"/>
    <cellStyle name="Comma 5 4 6 2 3" xfId="6090"/>
    <cellStyle name="Comma 5 4 6 2 3 2" xfId="11106"/>
    <cellStyle name="Comma 5 4 6 2 4" xfId="9165"/>
    <cellStyle name="Comma 5 4 6 2 5" xfId="12560"/>
    <cellStyle name="Comma 5 4 6 2 6" xfId="7642"/>
    <cellStyle name="Comma 5 4 6 2 7" xfId="4096"/>
    <cellStyle name="Comma 5 4 6 3" xfId="1213"/>
    <cellStyle name="Comma 5 4 6 3 2" xfId="2292"/>
    <cellStyle name="Comma 5 4 6 3 2 2" xfId="10422"/>
    <cellStyle name="Comma 5 4 6 3 2 3" xfId="5405"/>
    <cellStyle name="Comma 5 4 6 3 3" xfId="6439"/>
    <cellStyle name="Comma 5 4 6 3 3 2" xfId="11454"/>
    <cellStyle name="Comma 5 4 6 3 4" xfId="9469"/>
    <cellStyle name="Comma 5 4 6 3 5" xfId="12908"/>
    <cellStyle name="Comma 5 4 6 3 6" xfId="8016"/>
    <cellStyle name="Comma 5 4 6 3 7" xfId="4451"/>
    <cellStyle name="Comma 5 4 6 4" xfId="2767"/>
    <cellStyle name="Comma 5 4 6 4 2" xfId="6803"/>
    <cellStyle name="Comma 5 4 6 4 2 2" xfId="11818"/>
    <cellStyle name="Comma 5 4 6 4 3" xfId="13272"/>
    <cellStyle name="Comma 5 4 6 4 4" xfId="9713"/>
    <cellStyle name="Comma 5 4 6 4 5" xfId="4695"/>
    <cellStyle name="Comma 5 4 6 5" xfId="1612"/>
    <cellStyle name="Comma 5 4 6 5 2" xfId="10773"/>
    <cellStyle name="Comma 5 4 6 5 3" xfId="5757"/>
    <cellStyle name="Comma 5 4 6 6" xfId="8829"/>
    <cellStyle name="Comma 5 4 6 7" xfId="12229"/>
    <cellStyle name="Comma 5 4 6 8" xfId="7306"/>
    <cellStyle name="Comma 5 4 6 9" xfId="3760"/>
    <cellStyle name="Comma 5 4 7" xfId="787"/>
    <cellStyle name="Comma 5 4 7 2" xfId="1934"/>
    <cellStyle name="Comma 5 4 7 2 2" xfId="10040"/>
    <cellStyle name="Comma 5 4 7 2 3" xfId="5022"/>
    <cellStyle name="Comma 5 4 7 3" xfId="6081"/>
    <cellStyle name="Comma 5 4 7 3 2" xfId="11097"/>
    <cellStyle name="Comma 5 4 7 4" xfId="9156"/>
    <cellStyle name="Comma 5 4 7 5" xfId="12551"/>
    <cellStyle name="Comma 5 4 7 6" xfId="7633"/>
    <cellStyle name="Comma 5 4 7 7" xfId="4087"/>
    <cellStyle name="Comma 5 4 8" xfId="1167"/>
    <cellStyle name="Comma 5 4 8 2" xfId="2283"/>
    <cellStyle name="Comma 5 4 8 2 2" xfId="10377"/>
    <cellStyle name="Comma 5 4 8 2 3" xfId="5360"/>
    <cellStyle name="Comma 5 4 8 3" xfId="6430"/>
    <cellStyle name="Comma 5 4 8 3 2" xfId="11445"/>
    <cellStyle name="Comma 5 4 8 4" xfId="8634"/>
    <cellStyle name="Comma 5 4 8 5" xfId="12899"/>
    <cellStyle name="Comma 5 4 8 6" xfId="7971"/>
    <cellStyle name="Comma 5 4 8 7" xfId="3558"/>
    <cellStyle name="Comma 5 4 9" xfId="2718"/>
    <cellStyle name="Comma 5 4 9 2" xfId="6758"/>
    <cellStyle name="Comma 5 4 9 2 2" xfId="11773"/>
    <cellStyle name="Comma 5 4 9 3" xfId="13227"/>
    <cellStyle name="Comma 5 4 9 4" xfId="9521"/>
    <cellStyle name="Comma 5 4 9 5" xfId="4503"/>
    <cellStyle name="Comma 5 5" xfId="159"/>
    <cellStyle name="Comma 5 5 10" xfId="8314"/>
    <cellStyle name="Comma 5 5 11" xfId="12134"/>
    <cellStyle name="Comma 5 5 12" xfId="7126"/>
    <cellStyle name="Comma 5 5 13" xfId="3235"/>
    <cellStyle name="Comma 5 5 2" xfId="383"/>
    <cellStyle name="Comma 5 5 2 10" xfId="7169"/>
    <cellStyle name="Comma 5 5 2 11" xfId="3338"/>
    <cellStyle name="Comma 5 5 2 2" xfId="634"/>
    <cellStyle name="Comma 5 5 2 2 2" xfId="1043"/>
    <cellStyle name="Comma 5 5 2 2 2 2" xfId="1946"/>
    <cellStyle name="Comma 5 5 2 2 2 2 2" xfId="10052"/>
    <cellStyle name="Comma 5 5 2 2 2 2 3" xfId="5034"/>
    <cellStyle name="Comma 5 5 2 2 2 3" xfId="6093"/>
    <cellStyle name="Comma 5 5 2 2 2 3 2" xfId="11109"/>
    <cellStyle name="Comma 5 5 2 2 2 4" xfId="9168"/>
    <cellStyle name="Comma 5 5 2 2 2 5" xfId="12563"/>
    <cellStyle name="Comma 5 5 2 2 2 6" xfId="7645"/>
    <cellStyle name="Comma 5 5 2 2 2 7" xfId="4099"/>
    <cellStyle name="Comma 5 5 2 2 3" xfId="1400"/>
    <cellStyle name="Comma 5 5 2 2 3 2" xfId="2295"/>
    <cellStyle name="Comma 5 5 2 2 3 2 2" xfId="10602"/>
    <cellStyle name="Comma 5 5 2 2 3 2 3" xfId="5585"/>
    <cellStyle name="Comma 5 5 2 2 3 3" xfId="6442"/>
    <cellStyle name="Comma 5 5 2 2 3 3 2" xfId="11457"/>
    <cellStyle name="Comma 5 5 2 2 3 4" xfId="9009"/>
    <cellStyle name="Comma 5 5 2 2 3 5" xfId="12911"/>
    <cellStyle name="Comma 5 5 2 2 3 6" xfId="8196"/>
    <cellStyle name="Comma 5 5 2 2 3 7" xfId="3940"/>
    <cellStyle name="Comma 5 5 2 2 4" xfId="2958"/>
    <cellStyle name="Comma 5 5 2 2 4 2" xfId="6983"/>
    <cellStyle name="Comma 5 5 2 2 4 2 2" xfId="11998"/>
    <cellStyle name="Comma 5 5 2 2 4 3" xfId="13452"/>
    <cellStyle name="Comma 5 5 2 2 4 4" xfId="9893"/>
    <cellStyle name="Comma 5 5 2 2 4 5" xfId="4875"/>
    <cellStyle name="Comma 5 5 2 2 5" xfId="1792"/>
    <cellStyle name="Comma 5 5 2 2 5 2" xfId="10955"/>
    <cellStyle name="Comma 5 5 2 2 5 3" xfId="5939"/>
    <cellStyle name="Comma 5 5 2 2 6" xfId="8516"/>
    <cellStyle name="Comma 5 5 2 2 7" xfId="12409"/>
    <cellStyle name="Comma 5 5 2 2 8" xfId="7486"/>
    <cellStyle name="Comma 5 5 2 2 9" xfId="3438"/>
    <cellStyle name="Comma 5 5 2 3" xfId="534"/>
    <cellStyle name="Comma 5 5 2 3 2" xfId="1945"/>
    <cellStyle name="Comma 5 5 2 3 2 2" xfId="9793"/>
    <cellStyle name="Comma 5 5 2 3 2 3" xfId="4775"/>
    <cellStyle name="Comma 5 5 2 3 3" xfId="6092"/>
    <cellStyle name="Comma 5 5 2 3 3 2" xfId="11108"/>
    <cellStyle name="Comma 5 5 2 3 4" xfId="8909"/>
    <cellStyle name="Comma 5 5 2 3 5" xfId="12562"/>
    <cellStyle name="Comma 5 5 2 3 6" xfId="7386"/>
    <cellStyle name="Comma 5 5 2 3 7" xfId="3840"/>
    <cellStyle name="Comma 5 5 2 4" xfId="943"/>
    <cellStyle name="Comma 5 5 2 4 2" xfId="2294"/>
    <cellStyle name="Comma 5 5 2 4 2 2" xfId="10051"/>
    <cellStyle name="Comma 5 5 2 4 2 3" xfId="5033"/>
    <cellStyle name="Comma 5 5 2 4 3" xfId="6441"/>
    <cellStyle name="Comma 5 5 2 4 3 2" xfId="11456"/>
    <cellStyle name="Comma 5 5 2 4 4" xfId="9167"/>
    <cellStyle name="Comma 5 5 2 4 5" xfId="12910"/>
    <cellStyle name="Comma 5 5 2 4 6" xfId="7644"/>
    <cellStyle name="Comma 5 5 2 4 7" xfId="4098"/>
    <cellStyle name="Comma 5 5 2 5" xfId="1299"/>
    <cellStyle name="Comma 5 5 2 5 2" xfId="2856"/>
    <cellStyle name="Comma 5 5 2 5 2 2" xfId="10502"/>
    <cellStyle name="Comma 5 5 2 5 2 3" xfId="5485"/>
    <cellStyle name="Comma 5 5 2 5 3" xfId="6883"/>
    <cellStyle name="Comma 5 5 2 5 3 2" xfId="11898"/>
    <cellStyle name="Comma 5 5 2 5 4" xfId="8690"/>
    <cellStyle name="Comma 5 5 2 5 5" xfId="13352"/>
    <cellStyle name="Comma 5 5 2 5 6" xfId="8096"/>
    <cellStyle name="Comma 5 5 2 5 7" xfId="3619"/>
    <cellStyle name="Comma 5 5 2 6" xfId="1692"/>
    <cellStyle name="Comma 5 5 2 6 2" xfId="9576"/>
    <cellStyle name="Comma 5 5 2 6 3" xfId="4558"/>
    <cellStyle name="Comma 5 5 2 7" xfId="5839"/>
    <cellStyle name="Comma 5 5 2 7 2" xfId="10855"/>
    <cellStyle name="Comma 5 5 2 8" xfId="8416"/>
    <cellStyle name="Comma 5 5 2 9" xfId="12309"/>
    <cellStyle name="Comma 5 5 3" xfId="339"/>
    <cellStyle name="Comma 5 5 3 10" xfId="7231"/>
    <cellStyle name="Comma 5 5 3 11" xfId="3295"/>
    <cellStyle name="Comma 5 5 3 2" xfId="696"/>
    <cellStyle name="Comma 5 5 3 2 2" xfId="1105"/>
    <cellStyle name="Comma 5 5 3 2 2 2" xfId="1948"/>
    <cellStyle name="Comma 5 5 3 2 2 2 2" xfId="10054"/>
    <cellStyle name="Comma 5 5 3 2 2 2 3" xfId="5036"/>
    <cellStyle name="Comma 5 5 3 2 2 3" xfId="6095"/>
    <cellStyle name="Comma 5 5 3 2 2 3 2" xfId="11111"/>
    <cellStyle name="Comma 5 5 3 2 2 4" xfId="9170"/>
    <cellStyle name="Comma 5 5 3 2 2 5" xfId="12565"/>
    <cellStyle name="Comma 5 5 3 2 2 6" xfId="7647"/>
    <cellStyle name="Comma 5 5 3 2 2 7" xfId="4101"/>
    <cellStyle name="Comma 5 5 3 2 3" xfId="1463"/>
    <cellStyle name="Comma 5 5 3 2 3 2" xfId="2297"/>
    <cellStyle name="Comma 5 5 3 2 3 2 2" xfId="10664"/>
    <cellStyle name="Comma 5 5 3 2 3 2 3" xfId="5647"/>
    <cellStyle name="Comma 5 5 3 2 3 3" xfId="6444"/>
    <cellStyle name="Comma 5 5 3 2 3 3 2" xfId="11459"/>
    <cellStyle name="Comma 5 5 3 2 3 4" xfId="9071"/>
    <cellStyle name="Comma 5 5 3 2 3 5" xfId="12913"/>
    <cellStyle name="Comma 5 5 3 2 3 6" xfId="8258"/>
    <cellStyle name="Comma 5 5 3 2 3 7" xfId="4002"/>
    <cellStyle name="Comma 5 5 3 2 4" xfId="3022"/>
    <cellStyle name="Comma 5 5 3 2 4 2" xfId="7045"/>
    <cellStyle name="Comma 5 5 3 2 4 2 2" xfId="12060"/>
    <cellStyle name="Comma 5 5 3 2 4 3" xfId="13514"/>
    <cellStyle name="Comma 5 5 3 2 4 4" xfId="9955"/>
    <cellStyle name="Comma 5 5 3 2 4 5" xfId="4937"/>
    <cellStyle name="Comma 5 5 3 2 5" xfId="1854"/>
    <cellStyle name="Comma 5 5 3 2 5 2" xfId="11017"/>
    <cellStyle name="Comma 5 5 3 2 5 3" xfId="6001"/>
    <cellStyle name="Comma 5 5 3 2 6" xfId="8578"/>
    <cellStyle name="Comma 5 5 3 2 7" xfId="12471"/>
    <cellStyle name="Comma 5 5 3 2 8" xfId="7548"/>
    <cellStyle name="Comma 5 5 3 2 9" xfId="3500"/>
    <cellStyle name="Comma 5 5 3 3" xfId="491"/>
    <cellStyle name="Comma 5 5 3 3 2" xfId="1947"/>
    <cellStyle name="Comma 5 5 3 3 2 2" xfId="9750"/>
    <cellStyle name="Comma 5 5 3 3 2 3" xfId="4732"/>
    <cellStyle name="Comma 5 5 3 3 3" xfId="6094"/>
    <cellStyle name="Comma 5 5 3 3 3 2" xfId="11110"/>
    <cellStyle name="Comma 5 5 3 3 4" xfId="8866"/>
    <cellStyle name="Comma 5 5 3 3 5" xfId="12564"/>
    <cellStyle name="Comma 5 5 3 3 6" xfId="7343"/>
    <cellStyle name="Comma 5 5 3 3 7" xfId="3797"/>
    <cellStyle name="Comma 5 5 3 4" xfId="900"/>
    <cellStyle name="Comma 5 5 3 4 2" xfId="2296"/>
    <cellStyle name="Comma 5 5 3 4 2 2" xfId="10053"/>
    <cellStyle name="Comma 5 5 3 4 2 3" xfId="5035"/>
    <cellStyle name="Comma 5 5 3 4 3" xfId="6443"/>
    <cellStyle name="Comma 5 5 3 4 3 2" xfId="11458"/>
    <cellStyle name="Comma 5 5 3 4 4" xfId="9169"/>
    <cellStyle name="Comma 5 5 3 4 5" xfId="12912"/>
    <cellStyle name="Comma 5 5 3 4 6" xfId="7646"/>
    <cellStyle name="Comma 5 5 3 4 7" xfId="4100"/>
    <cellStyle name="Comma 5 5 3 5" xfId="1255"/>
    <cellStyle name="Comma 5 5 3 5 2" xfId="2811"/>
    <cellStyle name="Comma 5 5 3 5 2 2" xfId="10459"/>
    <cellStyle name="Comma 5 5 3 5 2 3" xfId="5442"/>
    <cellStyle name="Comma 5 5 3 5 3" xfId="6840"/>
    <cellStyle name="Comma 5 5 3 5 3 2" xfId="11855"/>
    <cellStyle name="Comma 5 5 3 5 4" xfId="8752"/>
    <cellStyle name="Comma 5 5 3 5 5" xfId="13309"/>
    <cellStyle name="Comma 5 5 3 5 6" xfId="8053"/>
    <cellStyle name="Comma 5 5 3 5 7" xfId="3682"/>
    <cellStyle name="Comma 5 5 3 6" xfId="1649"/>
    <cellStyle name="Comma 5 5 3 6 2" xfId="9638"/>
    <cellStyle name="Comma 5 5 3 6 3" xfId="4620"/>
    <cellStyle name="Comma 5 5 3 7" xfId="5796"/>
    <cellStyle name="Comma 5 5 3 7 2" xfId="10812"/>
    <cellStyle name="Comma 5 5 3 8" xfId="8373"/>
    <cellStyle name="Comma 5 5 3 9" xfId="12266"/>
    <cellStyle name="Comma 5 5 4" xfId="276"/>
    <cellStyle name="Comma 5 5 4 2" xfId="591"/>
    <cellStyle name="Comma 5 5 4 2 2" xfId="1949"/>
    <cellStyle name="Comma 5 5 4 2 2 2" xfId="10055"/>
    <cellStyle name="Comma 5 5 4 2 2 3" xfId="5037"/>
    <cellStyle name="Comma 5 5 4 2 3" xfId="6096"/>
    <cellStyle name="Comma 5 5 4 2 3 2" xfId="11112"/>
    <cellStyle name="Comma 5 5 4 2 4" xfId="9171"/>
    <cellStyle name="Comma 5 5 4 2 5" xfId="12566"/>
    <cellStyle name="Comma 5 5 4 2 6" xfId="7648"/>
    <cellStyle name="Comma 5 5 4 2 7" xfId="4102"/>
    <cellStyle name="Comma 5 5 4 3" xfId="1000"/>
    <cellStyle name="Comma 5 5 4 3 2" xfId="2298"/>
    <cellStyle name="Comma 5 5 4 3 2 2" xfId="10559"/>
    <cellStyle name="Comma 5 5 4 3 2 3" xfId="5542"/>
    <cellStyle name="Comma 5 5 4 3 3" xfId="6445"/>
    <cellStyle name="Comma 5 5 4 3 3 2" xfId="11460"/>
    <cellStyle name="Comma 5 5 4 3 4" xfId="8966"/>
    <cellStyle name="Comma 5 5 4 3 5" xfId="12914"/>
    <cellStyle name="Comma 5 5 4 3 6" xfId="8153"/>
    <cellStyle name="Comma 5 5 4 3 7" xfId="3897"/>
    <cellStyle name="Comma 5 5 4 4" xfId="1356"/>
    <cellStyle name="Comma 5 5 4 4 2" xfId="2914"/>
    <cellStyle name="Comma 5 5 4 4 2 2" xfId="11955"/>
    <cellStyle name="Comma 5 5 4 4 2 3" xfId="6940"/>
    <cellStyle name="Comma 5 5 4 4 3" xfId="13409"/>
    <cellStyle name="Comma 5 5 4 4 4" xfId="9850"/>
    <cellStyle name="Comma 5 5 4 4 5" xfId="4832"/>
    <cellStyle name="Comma 5 5 4 5" xfId="1749"/>
    <cellStyle name="Comma 5 5 4 5 2" xfId="10912"/>
    <cellStyle name="Comma 5 5 4 5 3" xfId="5896"/>
    <cellStyle name="Comma 5 5 4 6" xfId="8473"/>
    <cellStyle name="Comma 5 5 4 7" xfId="12366"/>
    <cellStyle name="Comma 5 5 4 8" xfId="7443"/>
    <cellStyle name="Comma 5 5 4 9" xfId="3395"/>
    <cellStyle name="Comma 5 5 5" xfId="432"/>
    <cellStyle name="Comma 5 5 5 2" xfId="840"/>
    <cellStyle name="Comma 5 5 5 2 2" xfId="9691"/>
    <cellStyle name="Comma 5 5 5 2 3" xfId="4673"/>
    <cellStyle name="Comma 5 5 5 3" xfId="1944"/>
    <cellStyle name="Comma 5 5 5 3 2" xfId="11107"/>
    <cellStyle name="Comma 5 5 5 3 3" xfId="6091"/>
    <cellStyle name="Comma 5 5 5 4" xfId="8807"/>
    <cellStyle name="Comma 5 5 5 5" xfId="12561"/>
    <cellStyle name="Comma 5 5 5 6" xfId="7284"/>
    <cellStyle name="Comma 5 5 5 7" xfId="3738"/>
    <cellStyle name="Comma 5 5 6" xfId="767"/>
    <cellStyle name="Comma 5 5 6 2" xfId="2293"/>
    <cellStyle name="Comma 5 5 6 2 2" xfId="10050"/>
    <cellStyle name="Comma 5 5 6 2 3" xfId="5032"/>
    <cellStyle name="Comma 5 5 6 3" xfId="6440"/>
    <cellStyle name="Comma 5 5 6 3 2" xfId="11455"/>
    <cellStyle name="Comma 5 5 6 4" xfId="9166"/>
    <cellStyle name="Comma 5 5 6 5" xfId="12909"/>
    <cellStyle name="Comma 5 5 6 6" xfId="7643"/>
    <cellStyle name="Comma 5 5 6 7" xfId="4097"/>
    <cellStyle name="Comma 5 5 7" xfId="1191"/>
    <cellStyle name="Comma 5 5 7 2" xfId="2743"/>
    <cellStyle name="Comma 5 5 7 2 2" xfId="10400"/>
    <cellStyle name="Comma 5 5 7 2 3" xfId="5383"/>
    <cellStyle name="Comma 5 5 7 3" xfId="6781"/>
    <cellStyle name="Comma 5 5 7 3 2" xfId="11796"/>
    <cellStyle name="Comma 5 5 7 4" xfId="8646"/>
    <cellStyle name="Comma 5 5 7 5" xfId="13250"/>
    <cellStyle name="Comma 5 5 7 6" xfId="7994"/>
    <cellStyle name="Comma 5 5 7 7" xfId="3573"/>
    <cellStyle name="Comma 5 5 8" xfId="1590"/>
    <cellStyle name="Comma 5 5 8 2" xfId="12207"/>
    <cellStyle name="Comma 5 5 8 3" xfId="9533"/>
    <cellStyle name="Comma 5 5 8 4" xfId="4515"/>
    <cellStyle name="Comma 5 5 9" xfId="1517"/>
    <cellStyle name="Comma 5 5 9 2" xfId="10751"/>
    <cellStyle name="Comma 5 5 9 3" xfId="5735"/>
    <cellStyle name="Comma 5 6" xfId="191"/>
    <cellStyle name="Comma 5 6 10" xfId="7152"/>
    <cellStyle name="Comma 5 6 11" xfId="3321"/>
    <cellStyle name="Comma 5 6 2" xfId="366"/>
    <cellStyle name="Comma 5 6 2 2" xfId="617"/>
    <cellStyle name="Comma 5 6 2 2 2" xfId="1951"/>
    <cellStyle name="Comma 5 6 2 2 2 2" xfId="10057"/>
    <cellStyle name="Comma 5 6 2 2 2 3" xfId="5039"/>
    <cellStyle name="Comma 5 6 2 2 3" xfId="6098"/>
    <cellStyle name="Comma 5 6 2 2 3 2" xfId="11114"/>
    <cellStyle name="Comma 5 6 2 2 4" xfId="9173"/>
    <cellStyle name="Comma 5 6 2 2 5" xfId="12568"/>
    <cellStyle name="Comma 5 6 2 2 6" xfId="7650"/>
    <cellStyle name="Comma 5 6 2 2 7" xfId="4104"/>
    <cellStyle name="Comma 5 6 2 3" xfId="1026"/>
    <cellStyle name="Comma 5 6 2 3 2" xfId="2300"/>
    <cellStyle name="Comma 5 6 2 3 2 2" xfId="10585"/>
    <cellStyle name="Comma 5 6 2 3 2 3" xfId="5568"/>
    <cellStyle name="Comma 5 6 2 3 3" xfId="6447"/>
    <cellStyle name="Comma 5 6 2 3 3 2" xfId="11462"/>
    <cellStyle name="Comma 5 6 2 3 4" xfId="8992"/>
    <cellStyle name="Comma 5 6 2 3 5" xfId="12916"/>
    <cellStyle name="Comma 5 6 2 3 6" xfId="8179"/>
    <cellStyle name="Comma 5 6 2 3 7" xfId="3923"/>
    <cellStyle name="Comma 5 6 2 4" xfId="1383"/>
    <cellStyle name="Comma 5 6 2 4 2" xfId="2941"/>
    <cellStyle name="Comma 5 6 2 4 2 2" xfId="11981"/>
    <cellStyle name="Comma 5 6 2 4 2 3" xfId="6966"/>
    <cellStyle name="Comma 5 6 2 4 3" xfId="13435"/>
    <cellStyle name="Comma 5 6 2 4 4" xfId="9876"/>
    <cellStyle name="Comma 5 6 2 4 5" xfId="4858"/>
    <cellStyle name="Comma 5 6 2 5" xfId="1775"/>
    <cellStyle name="Comma 5 6 2 5 2" xfId="10938"/>
    <cellStyle name="Comma 5 6 2 5 3" xfId="5922"/>
    <cellStyle name="Comma 5 6 2 6" xfId="8499"/>
    <cellStyle name="Comma 5 6 2 7" xfId="12392"/>
    <cellStyle name="Comma 5 6 2 8" xfId="7469"/>
    <cellStyle name="Comma 5 6 2 9" xfId="3421"/>
    <cellStyle name="Comma 5 6 3" xfId="517"/>
    <cellStyle name="Comma 5 6 3 2" xfId="926"/>
    <cellStyle name="Comma 5 6 3 2 2" xfId="9776"/>
    <cellStyle name="Comma 5 6 3 2 3" xfId="4758"/>
    <cellStyle name="Comma 5 6 3 3" xfId="1950"/>
    <cellStyle name="Comma 5 6 3 3 2" xfId="11113"/>
    <cellStyle name="Comma 5 6 3 3 3" xfId="6097"/>
    <cellStyle name="Comma 5 6 3 4" xfId="8892"/>
    <cellStyle name="Comma 5 6 3 5" xfId="12567"/>
    <cellStyle name="Comma 5 6 3 6" xfId="7369"/>
    <cellStyle name="Comma 5 6 3 7" xfId="3823"/>
    <cellStyle name="Comma 5 6 4" xfId="797"/>
    <cellStyle name="Comma 5 6 4 2" xfId="2299"/>
    <cellStyle name="Comma 5 6 4 2 2" xfId="10056"/>
    <cellStyle name="Comma 5 6 4 2 3" xfId="5038"/>
    <cellStyle name="Comma 5 6 4 3" xfId="6446"/>
    <cellStyle name="Comma 5 6 4 3 2" xfId="11461"/>
    <cellStyle name="Comma 5 6 4 4" xfId="9172"/>
    <cellStyle name="Comma 5 6 4 5" xfId="12915"/>
    <cellStyle name="Comma 5 6 4 6" xfId="7649"/>
    <cellStyle name="Comma 5 6 4 7" xfId="4103"/>
    <cellStyle name="Comma 5 6 5" xfId="1282"/>
    <cellStyle name="Comma 5 6 5 2" xfId="2839"/>
    <cellStyle name="Comma 5 6 5 2 2" xfId="10485"/>
    <cellStyle name="Comma 5 6 5 2 3" xfId="5468"/>
    <cellStyle name="Comma 5 6 5 3" xfId="6866"/>
    <cellStyle name="Comma 5 6 5 3 2" xfId="11881"/>
    <cellStyle name="Comma 5 6 5 4" xfId="8673"/>
    <cellStyle name="Comma 5 6 5 5" xfId="13335"/>
    <cellStyle name="Comma 5 6 5 6" xfId="8079"/>
    <cellStyle name="Comma 5 6 5 7" xfId="3602"/>
    <cellStyle name="Comma 5 6 6" xfId="1675"/>
    <cellStyle name="Comma 5 6 6 2" xfId="9559"/>
    <cellStyle name="Comma 5 6 6 3" xfId="4541"/>
    <cellStyle name="Comma 5 6 7" xfId="5822"/>
    <cellStyle name="Comma 5 6 7 2" xfId="10838"/>
    <cellStyle name="Comma 5 6 8" xfId="8399"/>
    <cellStyle name="Comma 5 6 9" xfId="12292"/>
    <cellStyle name="Comma 5 7" xfId="227"/>
    <cellStyle name="Comma 5 7 10" xfId="7200"/>
    <cellStyle name="Comma 5 7 11" xfId="3264"/>
    <cellStyle name="Comma 5 7 2" xfId="308"/>
    <cellStyle name="Comma 5 7 2 2" xfId="665"/>
    <cellStyle name="Comma 5 7 2 2 2" xfId="1953"/>
    <cellStyle name="Comma 5 7 2 2 2 2" xfId="10059"/>
    <cellStyle name="Comma 5 7 2 2 2 3" xfId="5041"/>
    <cellStyle name="Comma 5 7 2 2 3" xfId="6100"/>
    <cellStyle name="Comma 5 7 2 2 3 2" xfId="11116"/>
    <cellStyle name="Comma 5 7 2 2 4" xfId="9175"/>
    <cellStyle name="Comma 5 7 2 2 5" xfId="12570"/>
    <cellStyle name="Comma 5 7 2 2 6" xfId="7652"/>
    <cellStyle name="Comma 5 7 2 2 7" xfId="4106"/>
    <cellStyle name="Comma 5 7 2 3" xfId="1074"/>
    <cellStyle name="Comma 5 7 2 3 2" xfId="2302"/>
    <cellStyle name="Comma 5 7 2 3 2 2" xfId="10633"/>
    <cellStyle name="Comma 5 7 2 3 2 3" xfId="5616"/>
    <cellStyle name="Comma 5 7 2 3 3" xfId="6449"/>
    <cellStyle name="Comma 5 7 2 3 3 2" xfId="11464"/>
    <cellStyle name="Comma 5 7 2 3 4" xfId="9040"/>
    <cellStyle name="Comma 5 7 2 3 5" xfId="12918"/>
    <cellStyle name="Comma 5 7 2 3 6" xfId="8227"/>
    <cellStyle name="Comma 5 7 2 3 7" xfId="3971"/>
    <cellStyle name="Comma 5 7 2 4" xfId="1432"/>
    <cellStyle name="Comma 5 7 2 4 2" xfId="2991"/>
    <cellStyle name="Comma 5 7 2 4 2 2" xfId="12029"/>
    <cellStyle name="Comma 5 7 2 4 2 3" xfId="7014"/>
    <cellStyle name="Comma 5 7 2 4 3" xfId="13483"/>
    <cellStyle name="Comma 5 7 2 4 4" xfId="9924"/>
    <cellStyle name="Comma 5 7 2 4 5" xfId="4906"/>
    <cellStyle name="Comma 5 7 2 5" xfId="1823"/>
    <cellStyle name="Comma 5 7 2 5 2" xfId="10986"/>
    <cellStyle name="Comma 5 7 2 5 3" xfId="5970"/>
    <cellStyle name="Comma 5 7 2 6" xfId="8547"/>
    <cellStyle name="Comma 5 7 2 7" xfId="12440"/>
    <cellStyle name="Comma 5 7 2 8" xfId="7517"/>
    <cellStyle name="Comma 5 7 2 9" xfId="3469"/>
    <cellStyle name="Comma 5 7 3" xfId="460"/>
    <cellStyle name="Comma 5 7 3 2" xfId="1952"/>
    <cellStyle name="Comma 5 7 3 2 2" xfId="9719"/>
    <cellStyle name="Comma 5 7 3 2 3" xfId="4701"/>
    <cellStyle name="Comma 5 7 3 3" xfId="6099"/>
    <cellStyle name="Comma 5 7 3 3 2" xfId="11115"/>
    <cellStyle name="Comma 5 7 3 4" xfId="8835"/>
    <cellStyle name="Comma 5 7 3 5" xfId="12569"/>
    <cellStyle name="Comma 5 7 3 6" xfId="7312"/>
    <cellStyle name="Comma 5 7 3 7" xfId="3766"/>
    <cellStyle name="Comma 5 7 4" xfId="869"/>
    <cellStyle name="Comma 5 7 4 2" xfId="2301"/>
    <cellStyle name="Comma 5 7 4 2 2" xfId="10058"/>
    <cellStyle name="Comma 5 7 4 2 3" xfId="5040"/>
    <cellStyle name="Comma 5 7 4 3" xfId="6448"/>
    <cellStyle name="Comma 5 7 4 3 2" xfId="11463"/>
    <cellStyle name="Comma 5 7 4 4" xfId="9174"/>
    <cellStyle name="Comma 5 7 4 5" xfId="12917"/>
    <cellStyle name="Comma 5 7 4 6" xfId="7651"/>
    <cellStyle name="Comma 5 7 4 7" xfId="4105"/>
    <cellStyle name="Comma 5 7 5" xfId="1221"/>
    <cellStyle name="Comma 5 7 5 2" xfId="2777"/>
    <cellStyle name="Comma 5 7 5 2 2" xfId="10428"/>
    <cellStyle name="Comma 5 7 5 2 3" xfId="5411"/>
    <cellStyle name="Comma 5 7 5 3" xfId="6809"/>
    <cellStyle name="Comma 5 7 5 3 2" xfId="11824"/>
    <cellStyle name="Comma 5 7 5 4" xfId="8721"/>
    <cellStyle name="Comma 5 7 5 5" xfId="13278"/>
    <cellStyle name="Comma 5 7 5 6" xfId="8022"/>
    <cellStyle name="Comma 5 7 5 7" xfId="3651"/>
    <cellStyle name="Comma 5 7 6" xfId="1618"/>
    <cellStyle name="Comma 5 7 6 2" xfId="9607"/>
    <cellStyle name="Comma 5 7 6 3" xfId="4589"/>
    <cellStyle name="Comma 5 7 7" xfId="5765"/>
    <cellStyle name="Comma 5 7 7 2" xfId="10781"/>
    <cellStyle name="Comma 5 7 8" xfId="8342"/>
    <cellStyle name="Comma 5 7 9" xfId="12235"/>
    <cellStyle name="Comma 5 8" xfId="254"/>
    <cellStyle name="Comma 5 8 10" xfId="3525"/>
    <cellStyle name="Comma 5 8 2" xfId="721"/>
    <cellStyle name="Comma 5 8 2 2" xfId="1954"/>
    <cellStyle name="Comma 5 8 2 2 2" xfId="9980"/>
    <cellStyle name="Comma 5 8 2 2 3" xfId="4962"/>
    <cellStyle name="Comma 5 8 2 3" xfId="6101"/>
    <cellStyle name="Comma 5 8 2 3 2" xfId="11117"/>
    <cellStyle name="Comma 5 8 2 4" xfId="9096"/>
    <cellStyle name="Comma 5 8 2 5" xfId="12571"/>
    <cellStyle name="Comma 5 8 2 6" xfId="7573"/>
    <cellStyle name="Comma 5 8 2 7" xfId="4027"/>
    <cellStyle name="Comma 5 8 3" xfId="1130"/>
    <cellStyle name="Comma 5 8 3 2" xfId="2303"/>
    <cellStyle name="Comma 5 8 3 2 2" xfId="10060"/>
    <cellStyle name="Comma 5 8 3 2 3" xfId="5042"/>
    <cellStyle name="Comma 5 8 3 3" xfId="6450"/>
    <cellStyle name="Comma 5 8 3 3 2" xfId="11465"/>
    <cellStyle name="Comma 5 8 3 4" xfId="9176"/>
    <cellStyle name="Comma 5 8 3 5" xfId="12919"/>
    <cellStyle name="Comma 5 8 3 6" xfId="7653"/>
    <cellStyle name="Comma 5 8 3 7" xfId="4107"/>
    <cellStyle name="Comma 5 8 4" xfId="1488"/>
    <cellStyle name="Comma 5 8 4 2" xfId="3047"/>
    <cellStyle name="Comma 5 8 4 2 2" xfId="10689"/>
    <cellStyle name="Comma 5 8 4 2 3" xfId="5672"/>
    <cellStyle name="Comma 5 8 4 3" xfId="7070"/>
    <cellStyle name="Comma 5 8 4 3 2" xfId="12085"/>
    <cellStyle name="Comma 5 8 4 4" xfId="8777"/>
    <cellStyle name="Comma 5 8 4 5" xfId="13539"/>
    <cellStyle name="Comma 5 8 4 6" xfId="8283"/>
    <cellStyle name="Comma 5 8 4 7" xfId="3707"/>
    <cellStyle name="Comma 5 8 5" xfId="1879"/>
    <cellStyle name="Comma 5 8 5 2" xfId="9663"/>
    <cellStyle name="Comma 5 8 5 3" xfId="4645"/>
    <cellStyle name="Comma 5 8 6" xfId="6026"/>
    <cellStyle name="Comma 5 8 6 2" xfId="11042"/>
    <cellStyle name="Comma 5 8 7" xfId="8603"/>
    <cellStyle name="Comma 5 8 8" xfId="12496"/>
    <cellStyle name="Comma 5 8 9" xfId="7256"/>
    <cellStyle name="Comma 5 9" xfId="560"/>
    <cellStyle name="Comma 5 9 2" xfId="969"/>
    <cellStyle name="Comma 5 9 2 2" xfId="1955"/>
    <cellStyle name="Comma 5 9 2 2 2" xfId="10061"/>
    <cellStyle name="Comma 5 9 2 2 3" xfId="5043"/>
    <cellStyle name="Comma 5 9 2 3" xfId="6102"/>
    <cellStyle name="Comma 5 9 2 3 2" xfId="11118"/>
    <cellStyle name="Comma 5 9 2 4" xfId="9177"/>
    <cellStyle name="Comma 5 9 2 5" xfId="12572"/>
    <cellStyle name="Comma 5 9 2 6" xfId="7654"/>
    <cellStyle name="Comma 5 9 2 7" xfId="4108"/>
    <cellStyle name="Comma 5 9 3" xfId="1325"/>
    <cellStyle name="Comma 5 9 3 2" xfId="2304"/>
    <cellStyle name="Comma 5 9 3 2 2" xfId="10528"/>
    <cellStyle name="Comma 5 9 3 2 3" xfId="5511"/>
    <cellStyle name="Comma 5 9 3 3" xfId="6451"/>
    <cellStyle name="Comma 5 9 3 3 2" xfId="11466"/>
    <cellStyle name="Comma 5 9 3 4" xfId="8935"/>
    <cellStyle name="Comma 5 9 3 5" xfId="12920"/>
    <cellStyle name="Comma 5 9 3 6" xfId="8122"/>
    <cellStyle name="Comma 5 9 3 7" xfId="3866"/>
    <cellStyle name="Comma 5 9 4" xfId="2883"/>
    <cellStyle name="Comma 5 9 4 2" xfId="6909"/>
    <cellStyle name="Comma 5 9 4 2 2" xfId="11924"/>
    <cellStyle name="Comma 5 9 4 3" xfId="13378"/>
    <cellStyle name="Comma 5 9 4 4" xfId="9819"/>
    <cellStyle name="Comma 5 9 4 5" xfId="4801"/>
    <cellStyle name="Comma 5 9 5" xfId="1718"/>
    <cellStyle name="Comma 5 9 5 2" xfId="10881"/>
    <cellStyle name="Comma 5 9 5 3" xfId="5865"/>
    <cellStyle name="Comma 5 9 6" xfId="8442"/>
    <cellStyle name="Comma 5 9 7" xfId="12335"/>
    <cellStyle name="Comma 5 9 8" xfId="7412"/>
    <cellStyle name="Comma 5 9 9" xfId="3364"/>
    <cellStyle name="Comma 6" xfId="105"/>
    <cellStyle name="Comma 6 10" xfId="1552"/>
    <cellStyle name="Comma 6 10 2" xfId="12169"/>
    <cellStyle name="Comma 6 10 3" xfId="10713"/>
    <cellStyle name="Comma 6 10 4" xfId="5697"/>
    <cellStyle name="Comma 6 11" xfId="1522"/>
    <cellStyle name="Comma 6 11 2" xfId="8296"/>
    <cellStyle name="Comma 6 12" xfId="12139"/>
    <cellStyle name="Comma 6 13" xfId="7112"/>
    <cellStyle name="Comma 6 14" xfId="3214"/>
    <cellStyle name="Comma 6 2" xfId="170"/>
    <cellStyle name="Comma 6 2 10" xfId="8319"/>
    <cellStyle name="Comma 6 2 11" xfId="12212"/>
    <cellStyle name="Comma 6 2 12" xfId="7131"/>
    <cellStyle name="Comma 6 2 13" xfId="3240"/>
    <cellStyle name="Comma 6 2 2" xfId="344"/>
    <cellStyle name="Comma 6 2 2 10" xfId="7235"/>
    <cellStyle name="Comma 6 2 2 11" xfId="3300"/>
    <cellStyle name="Comma 6 2 2 2" xfId="700"/>
    <cellStyle name="Comma 6 2 2 2 2" xfId="1109"/>
    <cellStyle name="Comma 6 2 2 2 2 2" xfId="1959"/>
    <cellStyle name="Comma 6 2 2 2 2 2 2" xfId="10065"/>
    <cellStyle name="Comma 6 2 2 2 2 2 3" xfId="5047"/>
    <cellStyle name="Comma 6 2 2 2 2 3" xfId="6106"/>
    <cellStyle name="Comma 6 2 2 2 2 3 2" xfId="11122"/>
    <cellStyle name="Comma 6 2 2 2 2 4" xfId="9181"/>
    <cellStyle name="Comma 6 2 2 2 2 5" xfId="12576"/>
    <cellStyle name="Comma 6 2 2 2 2 6" xfId="7658"/>
    <cellStyle name="Comma 6 2 2 2 2 7" xfId="4112"/>
    <cellStyle name="Comma 6 2 2 2 3" xfId="1467"/>
    <cellStyle name="Comma 6 2 2 2 3 2" xfId="2308"/>
    <cellStyle name="Comma 6 2 2 2 3 2 2" xfId="10668"/>
    <cellStyle name="Comma 6 2 2 2 3 2 3" xfId="5651"/>
    <cellStyle name="Comma 6 2 2 2 3 3" xfId="6455"/>
    <cellStyle name="Comma 6 2 2 2 3 3 2" xfId="11470"/>
    <cellStyle name="Comma 6 2 2 2 3 4" xfId="9075"/>
    <cellStyle name="Comma 6 2 2 2 3 5" xfId="12924"/>
    <cellStyle name="Comma 6 2 2 2 3 6" xfId="8262"/>
    <cellStyle name="Comma 6 2 2 2 3 7" xfId="4006"/>
    <cellStyle name="Comma 6 2 2 2 4" xfId="3026"/>
    <cellStyle name="Comma 6 2 2 2 4 2" xfId="7049"/>
    <cellStyle name="Comma 6 2 2 2 4 2 2" xfId="12064"/>
    <cellStyle name="Comma 6 2 2 2 4 3" xfId="13518"/>
    <cellStyle name="Comma 6 2 2 2 4 4" xfId="9959"/>
    <cellStyle name="Comma 6 2 2 2 4 5" xfId="4941"/>
    <cellStyle name="Comma 6 2 2 2 5" xfId="1858"/>
    <cellStyle name="Comma 6 2 2 2 5 2" xfId="11021"/>
    <cellStyle name="Comma 6 2 2 2 5 3" xfId="6005"/>
    <cellStyle name="Comma 6 2 2 2 6" xfId="8582"/>
    <cellStyle name="Comma 6 2 2 2 7" xfId="12475"/>
    <cellStyle name="Comma 6 2 2 2 8" xfId="7552"/>
    <cellStyle name="Comma 6 2 2 2 9" xfId="3504"/>
    <cellStyle name="Comma 6 2 2 3" xfId="496"/>
    <cellStyle name="Comma 6 2 2 3 2" xfId="1958"/>
    <cellStyle name="Comma 6 2 2 3 2 2" xfId="9755"/>
    <cellStyle name="Comma 6 2 2 3 2 3" xfId="4737"/>
    <cellStyle name="Comma 6 2 2 3 3" xfId="6105"/>
    <cellStyle name="Comma 6 2 2 3 3 2" xfId="11121"/>
    <cellStyle name="Comma 6 2 2 3 4" xfId="8871"/>
    <cellStyle name="Comma 6 2 2 3 5" xfId="12575"/>
    <cellStyle name="Comma 6 2 2 3 6" xfId="7348"/>
    <cellStyle name="Comma 6 2 2 3 7" xfId="3802"/>
    <cellStyle name="Comma 6 2 2 4" xfId="905"/>
    <cellStyle name="Comma 6 2 2 4 2" xfId="2307"/>
    <cellStyle name="Comma 6 2 2 4 2 2" xfId="10064"/>
    <cellStyle name="Comma 6 2 2 4 2 3" xfId="5046"/>
    <cellStyle name="Comma 6 2 2 4 3" xfId="6454"/>
    <cellStyle name="Comma 6 2 2 4 3 2" xfId="11469"/>
    <cellStyle name="Comma 6 2 2 4 4" xfId="9180"/>
    <cellStyle name="Comma 6 2 2 4 5" xfId="12923"/>
    <cellStyle name="Comma 6 2 2 4 6" xfId="7657"/>
    <cellStyle name="Comma 6 2 2 4 7" xfId="4111"/>
    <cellStyle name="Comma 6 2 2 5" xfId="1260"/>
    <cellStyle name="Comma 6 2 2 5 2" xfId="2816"/>
    <cellStyle name="Comma 6 2 2 5 2 2" xfId="10464"/>
    <cellStyle name="Comma 6 2 2 5 2 3" xfId="5447"/>
    <cellStyle name="Comma 6 2 2 5 3" xfId="6845"/>
    <cellStyle name="Comma 6 2 2 5 3 2" xfId="11860"/>
    <cellStyle name="Comma 6 2 2 5 4" xfId="8756"/>
    <cellStyle name="Comma 6 2 2 5 5" xfId="13314"/>
    <cellStyle name="Comma 6 2 2 5 6" xfId="8058"/>
    <cellStyle name="Comma 6 2 2 5 7" xfId="3686"/>
    <cellStyle name="Comma 6 2 2 6" xfId="1654"/>
    <cellStyle name="Comma 6 2 2 6 2" xfId="9642"/>
    <cellStyle name="Comma 6 2 2 6 3" xfId="4624"/>
    <cellStyle name="Comma 6 2 2 7" xfId="5801"/>
    <cellStyle name="Comma 6 2 2 7 2" xfId="10817"/>
    <cellStyle name="Comma 6 2 2 8" xfId="8378"/>
    <cellStyle name="Comma 6 2 2 9" xfId="12271"/>
    <cellStyle name="Comma 6 2 3" xfId="281"/>
    <cellStyle name="Comma 6 2 3 10" xfId="3462"/>
    <cellStyle name="Comma 6 2 3 2" xfId="658"/>
    <cellStyle name="Comma 6 2 3 2 2" xfId="1960"/>
    <cellStyle name="Comma 6 2 3 2 2 2" xfId="9917"/>
    <cellStyle name="Comma 6 2 3 2 2 3" xfId="4899"/>
    <cellStyle name="Comma 6 2 3 2 3" xfId="6107"/>
    <cellStyle name="Comma 6 2 3 2 3 2" xfId="11123"/>
    <cellStyle name="Comma 6 2 3 2 4" xfId="9033"/>
    <cellStyle name="Comma 6 2 3 2 5" xfId="12577"/>
    <cellStyle name="Comma 6 2 3 2 6" xfId="7510"/>
    <cellStyle name="Comma 6 2 3 2 7" xfId="3964"/>
    <cellStyle name="Comma 6 2 3 3" xfId="1067"/>
    <cellStyle name="Comma 6 2 3 3 2" xfId="2309"/>
    <cellStyle name="Comma 6 2 3 3 2 2" xfId="10066"/>
    <cellStyle name="Comma 6 2 3 3 2 3" xfId="5048"/>
    <cellStyle name="Comma 6 2 3 3 3" xfId="6456"/>
    <cellStyle name="Comma 6 2 3 3 3 2" xfId="11471"/>
    <cellStyle name="Comma 6 2 3 3 4" xfId="9182"/>
    <cellStyle name="Comma 6 2 3 3 5" xfId="12925"/>
    <cellStyle name="Comma 6 2 3 3 6" xfId="7659"/>
    <cellStyle name="Comma 6 2 3 3 7" xfId="4113"/>
    <cellStyle name="Comma 6 2 3 4" xfId="1425"/>
    <cellStyle name="Comma 6 2 3 4 2" xfId="2983"/>
    <cellStyle name="Comma 6 2 3 4 2 2" xfId="10626"/>
    <cellStyle name="Comma 6 2 3 4 2 3" xfId="5609"/>
    <cellStyle name="Comma 6 2 3 4 3" xfId="7007"/>
    <cellStyle name="Comma 6 2 3 4 3 2" xfId="12022"/>
    <cellStyle name="Comma 6 2 3 4 4" xfId="8714"/>
    <cellStyle name="Comma 6 2 3 4 5" xfId="13476"/>
    <cellStyle name="Comma 6 2 3 4 6" xfId="8220"/>
    <cellStyle name="Comma 6 2 3 4 7" xfId="3644"/>
    <cellStyle name="Comma 6 2 3 5" xfId="1816"/>
    <cellStyle name="Comma 6 2 3 5 2" xfId="9600"/>
    <cellStyle name="Comma 6 2 3 5 3" xfId="4582"/>
    <cellStyle name="Comma 6 2 3 6" xfId="5963"/>
    <cellStyle name="Comma 6 2 3 6 2" xfId="10979"/>
    <cellStyle name="Comma 6 2 3 7" xfId="8540"/>
    <cellStyle name="Comma 6 2 3 8" xfId="12433"/>
    <cellStyle name="Comma 6 2 3 9" xfId="7193"/>
    <cellStyle name="Comma 6 2 4" xfId="596"/>
    <cellStyle name="Comma 6 2 4 2" xfId="1005"/>
    <cellStyle name="Comma 6 2 4 2 2" xfId="1961"/>
    <cellStyle name="Comma 6 2 4 2 2 2" xfId="10067"/>
    <cellStyle name="Comma 6 2 4 2 2 3" xfId="5049"/>
    <cellStyle name="Comma 6 2 4 2 3" xfId="6108"/>
    <cellStyle name="Comma 6 2 4 2 3 2" xfId="11124"/>
    <cellStyle name="Comma 6 2 4 2 4" xfId="9183"/>
    <cellStyle name="Comma 6 2 4 2 5" xfId="12578"/>
    <cellStyle name="Comma 6 2 4 2 6" xfId="7660"/>
    <cellStyle name="Comma 6 2 4 2 7" xfId="4114"/>
    <cellStyle name="Comma 6 2 4 3" xfId="1361"/>
    <cellStyle name="Comma 6 2 4 3 2" xfId="2310"/>
    <cellStyle name="Comma 6 2 4 3 2 2" xfId="10564"/>
    <cellStyle name="Comma 6 2 4 3 2 3" xfId="5547"/>
    <cellStyle name="Comma 6 2 4 3 3" xfId="6457"/>
    <cellStyle name="Comma 6 2 4 3 3 2" xfId="11472"/>
    <cellStyle name="Comma 6 2 4 3 4" xfId="8971"/>
    <cellStyle name="Comma 6 2 4 3 5" xfId="12926"/>
    <cellStyle name="Comma 6 2 4 3 6" xfId="8158"/>
    <cellStyle name="Comma 6 2 4 3 7" xfId="3902"/>
    <cellStyle name="Comma 6 2 4 4" xfId="2919"/>
    <cellStyle name="Comma 6 2 4 4 2" xfId="6945"/>
    <cellStyle name="Comma 6 2 4 4 2 2" xfId="11960"/>
    <cellStyle name="Comma 6 2 4 4 3" xfId="13414"/>
    <cellStyle name="Comma 6 2 4 4 4" xfId="9855"/>
    <cellStyle name="Comma 6 2 4 4 5" xfId="4837"/>
    <cellStyle name="Comma 6 2 4 5" xfId="1754"/>
    <cellStyle name="Comma 6 2 4 5 2" xfId="10917"/>
    <cellStyle name="Comma 6 2 4 5 3" xfId="5901"/>
    <cellStyle name="Comma 6 2 4 6" xfId="8478"/>
    <cellStyle name="Comma 6 2 4 7" xfId="12371"/>
    <cellStyle name="Comma 6 2 4 8" xfId="7448"/>
    <cellStyle name="Comma 6 2 4 9" xfId="3400"/>
    <cellStyle name="Comma 6 2 5" xfId="437"/>
    <cellStyle name="Comma 6 2 5 2" xfId="845"/>
    <cellStyle name="Comma 6 2 5 2 2" xfId="9696"/>
    <cellStyle name="Comma 6 2 5 2 3" xfId="4678"/>
    <cellStyle name="Comma 6 2 5 3" xfId="1957"/>
    <cellStyle name="Comma 6 2 5 3 2" xfId="11120"/>
    <cellStyle name="Comma 6 2 5 3 3" xfId="6104"/>
    <cellStyle name="Comma 6 2 5 4" xfId="8812"/>
    <cellStyle name="Comma 6 2 5 5" xfId="12574"/>
    <cellStyle name="Comma 6 2 5 6" xfId="7289"/>
    <cellStyle name="Comma 6 2 5 7" xfId="3743"/>
    <cellStyle name="Comma 6 2 6" xfId="772"/>
    <cellStyle name="Comma 6 2 6 2" xfId="2306"/>
    <cellStyle name="Comma 6 2 6 2 2" xfId="10063"/>
    <cellStyle name="Comma 6 2 6 2 3" xfId="5045"/>
    <cellStyle name="Comma 6 2 6 3" xfId="6453"/>
    <cellStyle name="Comma 6 2 6 3 2" xfId="11468"/>
    <cellStyle name="Comma 6 2 6 4" xfId="9179"/>
    <cellStyle name="Comma 6 2 6 5" xfId="12922"/>
    <cellStyle name="Comma 6 2 6 6" xfId="7656"/>
    <cellStyle name="Comma 6 2 6 7" xfId="4110"/>
    <cellStyle name="Comma 6 2 7" xfId="1196"/>
    <cellStyle name="Comma 6 2 7 2" xfId="2748"/>
    <cellStyle name="Comma 6 2 7 2 2" xfId="10405"/>
    <cellStyle name="Comma 6 2 7 2 3" xfId="5388"/>
    <cellStyle name="Comma 6 2 7 3" xfId="6786"/>
    <cellStyle name="Comma 6 2 7 3 2" xfId="11801"/>
    <cellStyle name="Comma 6 2 7 4" xfId="8651"/>
    <cellStyle name="Comma 6 2 7 5" xfId="13255"/>
    <cellStyle name="Comma 6 2 7 6" xfId="7999"/>
    <cellStyle name="Comma 6 2 7 7" xfId="3578"/>
    <cellStyle name="Comma 6 2 8" xfId="1595"/>
    <cellStyle name="Comma 6 2 8 2" xfId="9538"/>
    <cellStyle name="Comma 6 2 8 3" xfId="4520"/>
    <cellStyle name="Comma 6 2 9" xfId="5740"/>
    <cellStyle name="Comma 6 2 9 2" xfId="10756"/>
    <cellStyle name="Comma 6 3" xfId="196"/>
    <cellStyle name="Comma 6 3 10" xfId="7174"/>
    <cellStyle name="Comma 6 3 11" xfId="3343"/>
    <cellStyle name="Comma 6 3 2" xfId="388"/>
    <cellStyle name="Comma 6 3 2 2" xfId="639"/>
    <cellStyle name="Comma 6 3 2 2 2" xfId="1963"/>
    <cellStyle name="Comma 6 3 2 2 2 2" xfId="10069"/>
    <cellStyle name="Comma 6 3 2 2 2 3" xfId="5051"/>
    <cellStyle name="Comma 6 3 2 2 3" xfId="6110"/>
    <cellStyle name="Comma 6 3 2 2 3 2" xfId="11126"/>
    <cellStyle name="Comma 6 3 2 2 4" xfId="9185"/>
    <cellStyle name="Comma 6 3 2 2 5" xfId="12580"/>
    <cellStyle name="Comma 6 3 2 2 6" xfId="7662"/>
    <cellStyle name="Comma 6 3 2 2 7" xfId="4116"/>
    <cellStyle name="Comma 6 3 2 3" xfId="1048"/>
    <cellStyle name="Comma 6 3 2 3 2" xfId="2312"/>
    <cellStyle name="Comma 6 3 2 3 2 2" xfId="10607"/>
    <cellStyle name="Comma 6 3 2 3 2 3" xfId="5590"/>
    <cellStyle name="Comma 6 3 2 3 3" xfId="6459"/>
    <cellStyle name="Comma 6 3 2 3 3 2" xfId="11474"/>
    <cellStyle name="Comma 6 3 2 3 4" xfId="9014"/>
    <cellStyle name="Comma 6 3 2 3 5" xfId="12928"/>
    <cellStyle name="Comma 6 3 2 3 6" xfId="8201"/>
    <cellStyle name="Comma 6 3 2 3 7" xfId="3945"/>
    <cellStyle name="Comma 6 3 2 4" xfId="1405"/>
    <cellStyle name="Comma 6 3 2 4 2" xfId="2963"/>
    <cellStyle name="Comma 6 3 2 4 2 2" xfId="12003"/>
    <cellStyle name="Comma 6 3 2 4 2 3" xfId="6988"/>
    <cellStyle name="Comma 6 3 2 4 3" xfId="13457"/>
    <cellStyle name="Comma 6 3 2 4 4" xfId="9898"/>
    <cellStyle name="Comma 6 3 2 4 5" xfId="4880"/>
    <cellStyle name="Comma 6 3 2 5" xfId="1797"/>
    <cellStyle name="Comma 6 3 2 5 2" xfId="10960"/>
    <cellStyle name="Comma 6 3 2 5 3" xfId="5944"/>
    <cellStyle name="Comma 6 3 2 6" xfId="8521"/>
    <cellStyle name="Comma 6 3 2 7" xfId="12414"/>
    <cellStyle name="Comma 6 3 2 8" xfId="7491"/>
    <cellStyle name="Comma 6 3 2 9" xfId="3443"/>
    <cellStyle name="Comma 6 3 3" xfId="539"/>
    <cellStyle name="Comma 6 3 3 2" xfId="948"/>
    <cellStyle name="Comma 6 3 3 2 2" xfId="9798"/>
    <cellStyle name="Comma 6 3 3 2 3" xfId="4780"/>
    <cellStyle name="Comma 6 3 3 3" xfId="1962"/>
    <cellStyle name="Comma 6 3 3 3 2" xfId="11125"/>
    <cellStyle name="Comma 6 3 3 3 3" xfId="6109"/>
    <cellStyle name="Comma 6 3 3 4" xfId="8914"/>
    <cellStyle name="Comma 6 3 3 5" xfId="12579"/>
    <cellStyle name="Comma 6 3 3 6" xfId="7391"/>
    <cellStyle name="Comma 6 3 3 7" xfId="3845"/>
    <cellStyle name="Comma 6 3 4" xfId="802"/>
    <cellStyle name="Comma 6 3 4 2" xfId="2311"/>
    <cellStyle name="Comma 6 3 4 2 2" xfId="10068"/>
    <cellStyle name="Comma 6 3 4 2 3" xfId="5050"/>
    <cellStyle name="Comma 6 3 4 3" xfId="6458"/>
    <cellStyle name="Comma 6 3 4 3 2" xfId="11473"/>
    <cellStyle name="Comma 6 3 4 4" xfId="9184"/>
    <cellStyle name="Comma 6 3 4 5" xfId="12927"/>
    <cellStyle name="Comma 6 3 4 6" xfId="7661"/>
    <cellStyle name="Comma 6 3 4 7" xfId="4115"/>
    <cellStyle name="Comma 6 3 5" xfId="1304"/>
    <cellStyle name="Comma 6 3 5 2" xfId="2861"/>
    <cellStyle name="Comma 6 3 5 2 2" xfId="10507"/>
    <cellStyle name="Comma 6 3 5 2 3" xfId="5490"/>
    <cellStyle name="Comma 6 3 5 3" xfId="6888"/>
    <cellStyle name="Comma 6 3 5 3 2" xfId="11903"/>
    <cellStyle name="Comma 6 3 5 4" xfId="8695"/>
    <cellStyle name="Comma 6 3 5 5" xfId="13357"/>
    <cellStyle name="Comma 6 3 5 6" xfId="8101"/>
    <cellStyle name="Comma 6 3 5 7" xfId="3624"/>
    <cellStyle name="Comma 6 3 6" xfId="1697"/>
    <cellStyle name="Comma 6 3 6 2" xfId="9581"/>
    <cellStyle name="Comma 6 3 6 3" xfId="4563"/>
    <cellStyle name="Comma 6 3 7" xfId="5844"/>
    <cellStyle name="Comma 6 3 7 2" xfId="10860"/>
    <cellStyle name="Comma 6 3 8" xfId="8421"/>
    <cellStyle name="Comma 6 3 9" xfId="12314"/>
    <cellStyle name="Comma 6 4" xfId="232"/>
    <cellStyle name="Comma 6 4 10" xfId="7217"/>
    <cellStyle name="Comma 6 4 11" xfId="3281"/>
    <cellStyle name="Comma 6 4 2" xfId="325"/>
    <cellStyle name="Comma 6 4 2 2" xfId="682"/>
    <cellStyle name="Comma 6 4 2 2 2" xfId="1965"/>
    <cellStyle name="Comma 6 4 2 2 2 2" xfId="10071"/>
    <cellStyle name="Comma 6 4 2 2 2 3" xfId="5053"/>
    <cellStyle name="Comma 6 4 2 2 3" xfId="6112"/>
    <cellStyle name="Comma 6 4 2 2 3 2" xfId="11128"/>
    <cellStyle name="Comma 6 4 2 2 4" xfId="9187"/>
    <cellStyle name="Comma 6 4 2 2 5" xfId="12582"/>
    <cellStyle name="Comma 6 4 2 2 6" xfId="7664"/>
    <cellStyle name="Comma 6 4 2 2 7" xfId="4118"/>
    <cellStyle name="Comma 6 4 2 3" xfId="1091"/>
    <cellStyle name="Comma 6 4 2 3 2" xfId="2314"/>
    <cellStyle name="Comma 6 4 2 3 2 2" xfId="10650"/>
    <cellStyle name="Comma 6 4 2 3 2 3" xfId="5633"/>
    <cellStyle name="Comma 6 4 2 3 3" xfId="6461"/>
    <cellStyle name="Comma 6 4 2 3 3 2" xfId="11476"/>
    <cellStyle name="Comma 6 4 2 3 4" xfId="9057"/>
    <cellStyle name="Comma 6 4 2 3 5" xfId="12930"/>
    <cellStyle name="Comma 6 4 2 3 6" xfId="8244"/>
    <cellStyle name="Comma 6 4 2 3 7" xfId="3988"/>
    <cellStyle name="Comma 6 4 2 4" xfId="1449"/>
    <cellStyle name="Comma 6 4 2 4 2" xfId="3008"/>
    <cellStyle name="Comma 6 4 2 4 2 2" xfId="12046"/>
    <cellStyle name="Comma 6 4 2 4 2 3" xfId="7031"/>
    <cellStyle name="Comma 6 4 2 4 3" xfId="13500"/>
    <cellStyle name="Comma 6 4 2 4 4" xfId="9941"/>
    <cellStyle name="Comma 6 4 2 4 5" xfId="4923"/>
    <cellStyle name="Comma 6 4 2 5" xfId="1840"/>
    <cellStyle name="Comma 6 4 2 5 2" xfId="11003"/>
    <cellStyle name="Comma 6 4 2 5 3" xfId="5987"/>
    <cellStyle name="Comma 6 4 2 6" xfId="8564"/>
    <cellStyle name="Comma 6 4 2 7" xfId="12457"/>
    <cellStyle name="Comma 6 4 2 8" xfId="7534"/>
    <cellStyle name="Comma 6 4 2 9" xfId="3486"/>
    <cellStyle name="Comma 6 4 3" xfId="477"/>
    <cellStyle name="Comma 6 4 3 2" xfId="1964"/>
    <cellStyle name="Comma 6 4 3 2 2" xfId="9736"/>
    <cellStyle name="Comma 6 4 3 2 3" xfId="4718"/>
    <cellStyle name="Comma 6 4 3 3" xfId="6111"/>
    <cellStyle name="Comma 6 4 3 3 2" xfId="11127"/>
    <cellStyle name="Comma 6 4 3 4" xfId="8852"/>
    <cellStyle name="Comma 6 4 3 5" xfId="12581"/>
    <cellStyle name="Comma 6 4 3 6" xfId="7329"/>
    <cellStyle name="Comma 6 4 3 7" xfId="3783"/>
    <cellStyle name="Comma 6 4 4" xfId="886"/>
    <cellStyle name="Comma 6 4 4 2" xfId="2313"/>
    <cellStyle name="Comma 6 4 4 2 2" xfId="10070"/>
    <cellStyle name="Comma 6 4 4 2 3" xfId="5052"/>
    <cellStyle name="Comma 6 4 4 3" xfId="6460"/>
    <cellStyle name="Comma 6 4 4 3 2" xfId="11475"/>
    <cellStyle name="Comma 6 4 4 4" xfId="9186"/>
    <cellStyle name="Comma 6 4 4 5" xfId="12929"/>
    <cellStyle name="Comma 6 4 4 6" xfId="7663"/>
    <cellStyle name="Comma 6 4 4 7" xfId="4117"/>
    <cellStyle name="Comma 6 4 5" xfId="1238"/>
    <cellStyle name="Comma 6 4 5 2" xfId="2794"/>
    <cellStyle name="Comma 6 4 5 2 2" xfId="10445"/>
    <cellStyle name="Comma 6 4 5 2 3" xfId="5428"/>
    <cellStyle name="Comma 6 4 5 3" xfId="6826"/>
    <cellStyle name="Comma 6 4 5 3 2" xfId="11841"/>
    <cellStyle name="Comma 6 4 5 4" xfId="8738"/>
    <cellStyle name="Comma 6 4 5 5" xfId="13295"/>
    <cellStyle name="Comma 6 4 5 6" xfId="8039"/>
    <cellStyle name="Comma 6 4 5 7" xfId="3668"/>
    <cellStyle name="Comma 6 4 6" xfId="1635"/>
    <cellStyle name="Comma 6 4 6 2" xfId="9624"/>
    <cellStyle name="Comma 6 4 6 3" xfId="4606"/>
    <cellStyle name="Comma 6 4 7" xfId="5782"/>
    <cellStyle name="Comma 6 4 7 2" xfId="10798"/>
    <cellStyle name="Comma 6 4 8" xfId="8359"/>
    <cellStyle name="Comma 6 4 9" xfId="12252"/>
    <cellStyle name="Comma 6 5" xfId="259"/>
    <cellStyle name="Comma 6 5 2" xfId="577"/>
    <cellStyle name="Comma 6 5 2 2" xfId="1966"/>
    <cellStyle name="Comma 6 5 2 2 2" xfId="10072"/>
    <cellStyle name="Comma 6 5 2 2 3" xfId="5054"/>
    <cellStyle name="Comma 6 5 2 3" xfId="6113"/>
    <cellStyle name="Comma 6 5 2 3 2" xfId="11129"/>
    <cellStyle name="Comma 6 5 2 4" xfId="9188"/>
    <cellStyle name="Comma 6 5 2 5" xfId="12583"/>
    <cellStyle name="Comma 6 5 2 6" xfId="7665"/>
    <cellStyle name="Comma 6 5 2 7" xfId="4119"/>
    <cellStyle name="Comma 6 5 3" xfId="986"/>
    <cellStyle name="Comma 6 5 3 2" xfId="2315"/>
    <cellStyle name="Comma 6 5 3 2 2" xfId="10545"/>
    <cellStyle name="Comma 6 5 3 2 3" xfId="5528"/>
    <cellStyle name="Comma 6 5 3 3" xfId="6462"/>
    <cellStyle name="Comma 6 5 3 3 2" xfId="11477"/>
    <cellStyle name="Comma 6 5 3 4" xfId="8952"/>
    <cellStyle name="Comma 6 5 3 5" xfId="12931"/>
    <cellStyle name="Comma 6 5 3 6" xfId="8139"/>
    <cellStyle name="Comma 6 5 3 7" xfId="3883"/>
    <cellStyle name="Comma 6 5 4" xfId="1342"/>
    <cellStyle name="Comma 6 5 4 2" xfId="2900"/>
    <cellStyle name="Comma 6 5 4 2 2" xfId="11941"/>
    <cellStyle name="Comma 6 5 4 2 3" xfId="6926"/>
    <cellStyle name="Comma 6 5 4 3" xfId="13395"/>
    <cellStyle name="Comma 6 5 4 4" xfId="9836"/>
    <cellStyle name="Comma 6 5 4 5" xfId="4818"/>
    <cellStyle name="Comma 6 5 5" xfId="1735"/>
    <cellStyle name="Comma 6 5 5 2" xfId="10898"/>
    <cellStyle name="Comma 6 5 5 3" xfId="5882"/>
    <cellStyle name="Comma 6 5 6" xfId="8459"/>
    <cellStyle name="Comma 6 5 7" xfId="12352"/>
    <cellStyle name="Comma 6 5 8" xfId="7429"/>
    <cellStyle name="Comma 6 5 9" xfId="3381"/>
    <cellStyle name="Comma 6 6" xfId="414"/>
    <cellStyle name="Comma 6 6 2" xfId="822"/>
    <cellStyle name="Comma 6 6 2 2" xfId="1967"/>
    <cellStyle name="Comma 6 6 2 2 2" xfId="10073"/>
    <cellStyle name="Comma 6 6 2 2 3" xfId="5055"/>
    <cellStyle name="Comma 6 6 2 3" xfId="6114"/>
    <cellStyle name="Comma 6 6 2 3 2" xfId="11130"/>
    <cellStyle name="Comma 6 6 2 4" xfId="9189"/>
    <cellStyle name="Comma 6 6 2 5" xfId="12584"/>
    <cellStyle name="Comma 6 6 2 6" xfId="7666"/>
    <cellStyle name="Comma 6 6 2 7" xfId="4120"/>
    <cellStyle name="Comma 6 6 3" xfId="1172"/>
    <cellStyle name="Comma 6 6 3 2" xfId="2316"/>
    <cellStyle name="Comma 6 6 3 2 2" xfId="10382"/>
    <cellStyle name="Comma 6 6 3 2 3" xfId="5365"/>
    <cellStyle name="Comma 6 6 3 3" xfId="6463"/>
    <cellStyle name="Comma 6 6 3 3 2" xfId="11478"/>
    <cellStyle name="Comma 6 6 3 4" xfId="9487"/>
    <cellStyle name="Comma 6 6 3 5" xfId="12932"/>
    <cellStyle name="Comma 6 6 3 6" xfId="7976"/>
    <cellStyle name="Comma 6 6 3 7" xfId="4469"/>
    <cellStyle name="Comma 6 6 4" xfId="2723"/>
    <cellStyle name="Comma 6 6 4 2" xfId="6763"/>
    <cellStyle name="Comma 6 6 4 2 2" xfId="11778"/>
    <cellStyle name="Comma 6 6 4 3" xfId="13232"/>
    <cellStyle name="Comma 6 6 4 4" xfId="9673"/>
    <cellStyle name="Comma 6 6 4 5" xfId="4655"/>
    <cellStyle name="Comma 6 6 5" xfId="1572"/>
    <cellStyle name="Comma 6 6 5 2" xfId="10733"/>
    <cellStyle name="Comma 6 6 5 3" xfId="5717"/>
    <cellStyle name="Comma 6 6 6" xfId="8789"/>
    <cellStyle name="Comma 6 6 7" xfId="12189"/>
    <cellStyle name="Comma 6 6 8" xfId="7266"/>
    <cellStyle name="Comma 6 6 9" xfId="3720"/>
    <cellStyle name="Comma 6 7" xfId="748"/>
    <cellStyle name="Comma 6 7 2" xfId="1956"/>
    <cellStyle name="Comma 6 7 2 2" xfId="10062"/>
    <cellStyle name="Comma 6 7 2 3" xfId="5044"/>
    <cellStyle name="Comma 6 7 3" xfId="6103"/>
    <cellStyle name="Comma 6 7 3 2" xfId="11119"/>
    <cellStyle name="Comma 6 7 4" xfId="9178"/>
    <cellStyle name="Comma 6 7 5" xfId="12573"/>
    <cellStyle name="Comma 6 7 6" xfId="7655"/>
    <cellStyle name="Comma 6 7 7" xfId="4109"/>
    <cellStyle name="Comma 6 8" xfId="1152"/>
    <cellStyle name="Comma 6 8 2" xfId="2305"/>
    <cellStyle name="Comma 6 8 2 2" xfId="10362"/>
    <cellStyle name="Comma 6 8 2 3" xfId="5345"/>
    <cellStyle name="Comma 6 8 3" xfId="6452"/>
    <cellStyle name="Comma 6 8 3 2" xfId="11467"/>
    <cellStyle name="Comma 6 8 4" xfId="8632"/>
    <cellStyle name="Comma 6 8 5" xfId="12921"/>
    <cellStyle name="Comma 6 8 6" xfId="7956"/>
    <cellStyle name="Comma 6 8 7" xfId="3556"/>
    <cellStyle name="Comma 6 9" xfId="2677"/>
    <cellStyle name="Comma 6 9 2" xfId="6743"/>
    <cellStyle name="Comma 6 9 2 2" xfId="11758"/>
    <cellStyle name="Comma 6 9 3" xfId="13212"/>
    <cellStyle name="Comma 6 9 4" xfId="9518"/>
    <cellStyle name="Comma 6 9 5" xfId="4500"/>
    <cellStyle name="Comma 7" xfId="110"/>
    <cellStyle name="Explanatory Text 2" xfId="4426"/>
    <cellStyle name="Good 2" xfId="4427"/>
    <cellStyle name="Heading 1 2" xfId="4428"/>
    <cellStyle name="Heading 2 2" xfId="4429"/>
    <cellStyle name="Heading 3 2" xfId="4430"/>
    <cellStyle name="Heading 4 2" xfId="4431"/>
    <cellStyle name="Input 2" xfId="4432"/>
    <cellStyle name="Input 3" xfId="4446"/>
    <cellStyle name="Linked Cell 2" xfId="4433"/>
    <cellStyle name="Neutral 2" xfId="4434"/>
    <cellStyle name="Normal" xfId="0" builtinId="0"/>
    <cellStyle name="Normal 10" xfId="71"/>
    <cellStyle name="Normal 10 10" xfId="1500"/>
    <cellStyle name="Normal 10 10 2" xfId="12117"/>
    <cellStyle name="Normal 10 11" xfId="3219"/>
    <cellStyle name="Normal 10 2" xfId="142"/>
    <cellStyle name="Normal 10 2 10" xfId="1563"/>
    <cellStyle name="Normal 10 2 10 2" xfId="12180"/>
    <cellStyle name="Normal 10 2 10 3" xfId="10724"/>
    <cellStyle name="Normal 10 2 10 4" xfId="5708"/>
    <cellStyle name="Normal 10 2 11" xfId="1504"/>
    <cellStyle name="Normal 10 2 11 2" xfId="8307"/>
    <cellStyle name="Normal 10 2 12" xfId="12121"/>
    <cellStyle name="Normal 10 2 13" xfId="7105"/>
    <cellStyle name="Normal 10 2 14" xfId="3228"/>
    <cellStyle name="Normal 10 2 2" xfId="181"/>
    <cellStyle name="Normal 10 2 2 10" xfId="8332"/>
    <cellStyle name="Normal 10 2 2 11" xfId="12150"/>
    <cellStyle name="Normal 10 2 2 12" xfId="7142"/>
    <cellStyle name="Normal 10 2 2 13" xfId="3254"/>
    <cellStyle name="Normal 10 2 2 2" xfId="400"/>
    <cellStyle name="Normal 10 2 2 2 10" xfId="7185"/>
    <cellStyle name="Normal 10 2 2 2 11" xfId="3354"/>
    <cellStyle name="Normal 10 2 2 2 2" xfId="650"/>
    <cellStyle name="Normal 10 2 2 2 2 2" xfId="1059"/>
    <cellStyle name="Normal 10 2 2 2 2 2 2" xfId="1972"/>
    <cellStyle name="Normal 10 2 2 2 2 2 2 2" xfId="10078"/>
    <cellStyle name="Normal 10 2 2 2 2 2 2 3" xfId="5060"/>
    <cellStyle name="Normal 10 2 2 2 2 2 3" xfId="6119"/>
    <cellStyle name="Normal 10 2 2 2 2 2 3 2" xfId="11135"/>
    <cellStyle name="Normal 10 2 2 2 2 2 4" xfId="9194"/>
    <cellStyle name="Normal 10 2 2 2 2 2 5" xfId="12589"/>
    <cellStyle name="Normal 10 2 2 2 2 2 6" xfId="7671"/>
    <cellStyle name="Normal 10 2 2 2 2 2 7" xfId="4125"/>
    <cellStyle name="Normal 10 2 2 2 2 3" xfId="1417"/>
    <cellStyle name="Normal 10 2 2 2 2 3 2" xfId="2321"/>
    <cellStyle name="Normal 10 2 2 2 2 3 2 2" xfId="10618"/>
    <cellStyle name="Normal 10 2 2 2 2 3 2 3" xfId="5601"/>
    <cellStyle name="Normal 10 2 2 2 2 3 3" xfId="6468"/>
    <cellStyle name="Normal 10 2 2 2 2 3 3 2" xfId="11483"/>
    <cellStyle name="Normal 10 2 2 2 2 3 4" xfId="9025"/>
    <cellStyle name="Normal 10 2 2 2 2 3 5" xfId="12937"/>
    <cellStyle name="Normal 10 2 2 2 2 3 6" xfId="8212"/>
    <cellStyle name="Normal 10 2 2 2 2 3 7" xfId="3956"/>
    <cellStyle name="Normal 10 2 2 2 2 4" xfId="2975"/>
    <cellStyle name="Normal 10 2 2 2 2 4 2" xfId="6999"/>
    <cellStyle name="Normal 10 2 2 2 2 4 2 2" xfId="12014"/>
    <cellStyle name="Normal 10 2 2 2 2 4 3" xfId="13468"/>
    <cellStyle name="Normal 10 2 2 2 2 4 4" xfId="9909"/>
    <cellStyle name="Normal 10 2 2 2 2 4 5" xfId="4891"/>
    <cellStyle name="Normal 10 2 2 2 2 5" xfId="1808"/>
    <cellStyle name="Normal 10 2 2 2 2 5 2" xfId="10971"/>
    <cellStyle name="Normal 10 2 2 2 2 5 3" xfId="5955"/>
    <cellStyle name="Normal 10 2 2 2 2 6" xfId="8532"/>
    <cellStyle name="Normal 10 2 2 2 2 7" xfId="12425"/>
    <cellStyle name="Normal 10 2 2 2 2 8" xfId="7502"/>
    <cellStyle name="Normal 10 2 2 2 2 9" xfId="3454"/>
    <cellStyle name="Normal 10 2 2 2 2_Degree data" xfId="2646"/>
    <cellStyle name="Normal 10 2 2 2 3" xfId="550"/>
    <cellStyle name="Normal 10 2 2 2 3 2" xfId="1971"/>
    <cellStyle name="Normal 10 2 2 2 3 2 2" xfId="9809"/>
    <cellStyle name="Normal 10 2 2 2 3 2 3" xfId="4791"/>
    <cellStyle name="Normal 10 2 2 2 3 3" xfId="6118"/>
    <cellStyle name="Normal 10 2 2 2 3 3 2" xfId="11134"/>
    <cellStyle name="Normal 10 2 2 2 3 4" xfId="8925"/>
    <cellStyle name="Normal 10 2 2 2 3 5" xfId="12588"/>
    <cellStyle name="Normal 10 2 2 2 3 6" xfId="7402"/>
    <cellStyle name="Normal 10 2 2 2 3 7" xfId="3856"/>
    <cellStyle name="Normal 10 2 2 2 4" xfId="959"/>
    <cellStyle name="Normal 10 2 2 2 4 2" xfId="2320"/>
    <cellStyle name="Normal 10 2 2 2 4 2 2" xfId="10077"/>
    <cellStyle name="Normal 10 2 2 2 4 2 3" xfId="5059"/>
    <cellStyle name="Normal 10 2 2 2 4 3" xfId="6467"/>
    <cellStyle name="Normal 10 2 2 2 4 3 2" xfId="11482"/>
    <cellStyle name="Normal 10 2 2 2 4 4" xfId="9193"/>
    <cellStyle name="Normal 10 2 2 2 4 5" xfId="12936"/>
    <cellStyle name="Normal 10 2 2 2 4 6" xfId="7670"/>
    <cellStyle name="Normal 10 2 2 2 4 7" xfId="4124"/>
    <cellStyle name="Normal 10 2 2 2 5" xfId="1315"/>
    <cellStyle name="Normal 10 2 2 2 5 2" xfId="2873"/>
    <cellStyle name="Normal 10 2 2 2 5 2 2" xfId="10518"/>
    <cellStyle name="Normal 10 2 2 2 5 2 3" xfId="5501"/>
    <cellStyle name="Normal 10 2 2 2 5 3" xfId="6899"/>
    <cellStyle name="Normal 10 2 2 2 5 3 2" xfId="11914"/>
    <cellStyle name="Normal 10 2 2 2 5 4" xfId="8706"/>
    <cellStyle name="Normal 10 2 2 2 5 5" xfId="13368"/>
    <cellStyle name="Normal 10 2 2 2 5 6" xfId="8112"/>
    <cellStyle name="Normal 10 2 2 2 5 7" xfId="3636"/>
    <cellStyle name="Normal 10 2 2 2 6" xfId="1708"/>
    <cellStyle name="Normal 10 2 2 2 6 2" xfId="9592"/>
    <cellStyle name="Normal 10 2 2 2 6 3" xfId="4574"/>
    <cellStyle name="Normal 10 2 2 2 7" xfId="5855"/>
    <cellStyle name="Normal 10 2 2 2 7 2" xfId="10871"/>
    <cellStyle name="Normal 10 2 2 2 8" xfId="8432"/>
    <cellStyle name="Normal 10 2 2 2 9" xfId="12325"/>
    <cellStyle name="Normal 10 2 2 2_Degree data" xfId="2643"/>
    <cellStyle name="Normal 10 2 2 3" xfId="356"/>
    <cellStyle name="Normal 10 2 2 3 10" xfId="7246"/>
    <cellStyle name="Normal 10 2 2 3 11" xfId="3311"/>
    <cellStyle name="Normal 10 2 2 3 2" xfId="711"/>
    <cellStyle name="Normal 10 2 2 3 2 2" xfId="1120"/>
    <cellStyle name="Normal 10 2 2 3 2 2 2" xfId="1974"/>
    <cellStyle name="Normal 10 2 2 3 2 2 2 2" xfId="10080"/>
    <cellStyle name="Normal 10 2 2 3 2 2 2 3" xfId="5062"/>
    <cellStyle name="Normal 10 2 2 3 2 2 3" xfId="6121"/>
    <cellStyle name="Normal 10 2 2 3 2 2 3 2" xfId="11137"/>
    <cellStyle name="Normal 10 2 2 3 2 2 4" xfId="9196"/>
    <cellStyle name="Normal 10 2 2 3 2 2 5" xfId="12591"/>
    <cellStyle name="Normal 10 2 2 3 2 2 6" xfId="7673"/>
    <cellStyle name="Normal 10 2 2 3 2 2 7" xfId="4127"/>
    <cellStyle name="Normal 10 2 2 3 2 3" xfId="1478"/>
    <cellStyle name="Normal 10 2 2 3 2 3 2" xfId="2323"/>
    <cellStyle name="Normal 10 2 2 3 2 3 2 2" xfId="10679"/>
    <cellStyle name="Normal 10 2 2 3 2 3 2 3" xfId="5662"/>
    <cellStyle name="Normal 10 2 2 3 2 3 3" xfId="6470"/>
    <cellStyle name="Normal 10 2 2 3 2 3 3 2" xfId="11485"/>
    <cellStyle name="Normal 10 2 2 3 2 3 4" xfId="9086"/>
    <cellStyle name="Normal 10 2 2 3 2 3 5" xfId="12939"/>
    <cellStyle name="Normal 10 2 2 3 2 3 6" xfId="8273"/>
    <cellStyle name="Normal 10 2 2 3 2 3 7" xfId="4017"/>
    <cellStyle name="Normal 10 2 2 3 2 4" xfId="3037"/>
    <cellStyle name="Normal 10 2 2 3 2 4 2" xfId="7060"/>
    <cellStyle name="Normal 10 2 2 3 2 4 2 2" xfId="12075"/>
    <cellStyle name="Normal 10 2 2 3 2 4 3" xfId="13529"/>
    <cellStyle name="Normal 10 2 2 3 2 4 4" xfId="9970"/>
    <cellStyle name="Normal 10 2 2 3 2 4 5" xfId="4952"/>
    <cellStyle name="Normal 10 2 2 3 2 5" xfId="1869"/>
    <cellStyle name="Normal 10 2 2 3 2 5 2" xfId="11032"/>
    <cellStyle name="Normal 10 2 2 3 2 5 3" xfId="6016"/>
    <cellStyle name="Normal 10 2 2 3 2 6" xfId="8593"/>
    <cellStyle name="Normal 10 2 2 3 2 7" xfId="12486"/>
    <cellStyle name="Normal 10 2 2 3 2 8" xfId="7563"/>
    <cellStyle name="Normal 10 2 2 3 2 9" xfId="3515"/>
    <cellStyle name="Normal 10 2 2 3 2_Degree data" xfId="2757"/>
    <cellStyle name="Normal 10 2 2 3 3" xfId="507"/>
    <cellStyle name="Normal 10 2 2 3 3 2" xfId="1973"/>
    <cellStyle name="Normal 10 2 2 3 3 2 2" xfId="9766"/>
    <cellStyle name="Normal 10 2 2 3 3 2 3" xfId="4748"/>
    <cellStyle name="Normal 10 2 2 3 3 3" xfId="6120"/>
    <cellStyle name="Normal 10 2 2 3 3 3 2" xfId="11136"/>
    <cellStyle name="Normal 10 2 2 3 3 4" xfId="8882"/>
    <cellStyle name="Normal 10 2 2 3 3 5" xfId="12590"/>
    <cellStyle name="Normal 10 2 2 3 3 6" xfId="7359"/>
    <cellStyle name="Normal 10 2 2 3 3 7" xfId="3813"/>
    <cellStyle name="Normal 10 2 2 3 4" xfId="916"/>
    <cellStyle name="Normal 10 2 2 3 4 2" xfId="2322"/>
    <cellStyle name="Normal 10 2 2 3 4 2 2" xfId="10079"/>
    <cellStyle name="Normal 10 2 2 3 4 2 3" xfId="5061"/>
    <cellStyle name="Normal 10 2 2 3 4 3" xfId="6469"/>
    <cellStyle name="Normal 10 2 2 3 4 3 2" xfId="11484"/>
    <cellStyle name="Normal 10 2 2 3 4 4" xfId="9195"/>
    <cellStyle name="Normal 10 2 2 3 4 5" xfId="12938"/>
    <cellStyle name="Normal 10 2 2 3 4 6" xfId="7672"/>
    <cellStyle name="Normal 10 2 2 3 4 7" xfId="4126"/>
    <cellStyle name="Normal 10 2 2 3 5" xfId="1271"/>
    <cellStyle name="Normal 10 2 2 3 5 2" xfId="2828"/>
    <cellStyle name="Normal 10 2 2 3 5 2 2" xfId="10475"/>
    <cellStyle name="Normal 10 2 2 3 5 2 3" xfId="5458"/>
    <cellStyle name="Normal 10 2 2 3 5 3" xfId="6856"/>
    <cellStyle name="Normal 10 2 2 3 5 3 2" xfId="11871"/>
    <cellStyle name="Normal 10 2 2 3 5 4" xfId="8767"/>
    <cellStyle name="Normal 10 2 2 3 5 5" xfId="13325"/>
    <cellStyle name="Normal 10 2 2 3 5 6" xfId="8069"/>
    <cellStyle name="Normal 10 2 2 3 5 7" xfId="3697"/>
    <cellStyle name="Normal 10 2 2 3 6" xfId="1665"/>
    <cellStyle name="Normal 10 2 2 3 6 2" xfId="9653"/>
    <cellStyle name="Normal 10 2 2 3 6 3" xfId="4635"/>
    <cellStyle name="Normal 10 2 2 3 7" xfId="5812"/>
    <cellStyle name="Normal 10 2 2 3 7 2" xfId="10828"/>
    <cellStyle name="Normal 10 2 2 3 8" xfId="8389"/>
    <cellStyle name="Normal 10 2 2 3 9" xfId="12282"/>
    <cellStyle name="Normal 10 2 2 3_Degree data" xfId="2631"/>
    <cellStyle name="Normal 10 2 2 4" xfId="296"/>
    <cellStyle name="Normal 10 2 2 4 2" xfId="607"/>
    <cellStyle name="Normal 10 2 2 4 2 2" xfId="1975"/>
    <cellStyle name="Normal 10 2 2 4 2 2 2" xfId="10081"/>
    <cellStyle name="Normal 10 2 2 4 2 2 3" xfId="5063"/>
    <cellStyle name="Normal 10 2 2 4 2 3" xfId="6122"/>
    <cellStyle name="Normal 10 2 2 4 2 3 2" xfId="11138"/>
    <cellStyle name="Normal 10 2 2 4 2 4" xfId="9197"/>
    <cellStyle name="Normal 10 2 2 4 2 5" xfId="12592"/>
    <cellStyle name="Normal 10 2 2 4 2 6" xfId="7674"/>
    <cellStyle name="Normal 10 2 2 4 2 7" xfId="4128"/>
    <cellStyle name="Normal 10 2 2 4 3" xfId="1016"/>
    <cellStyle name="Normal 10 2 2 4 3 2" xfId="2324"/>
    <cellStyle name="Normal 10 2 2 4 3 2 2" xfId="10575"/>
    <cellStyle name="Normal 10 2 2 4 3 2 3" xfId="5558"/>
    <cellStyle name="Normal 10 2 2 4 3 3" xfId="6471"/>
    <cellStyle name="Normal 10 2 2 4 3 3 2" xfId="11486"/>
    <cellStyle name="Normal 10 2 2 4 3 4" xfId="8982"/>
    <cellStyle name="Normal 10 2 2 4 3 5" xfId="12940"/>
    <cellStyle name="Normal 10 2 2 4 3 6" xfId="8169"/>
    <cellStyle name="Normal 10 2 2 4 3 7" xfId="3913"/>
    <cellStyle name="Normal 10 2 2 4 4" xfId="1372"/>
    <cellStyle name="Normal 10 2 2 4 4 2" xfId="2930"/>
    <cellStyle name="Normal 10 2 2 4 4 2 2" xfId="11971"/>
    <cellStyle name="Normal 10 2 2 4 4 2 3" xfId="6956"/>
    <cellStyle name="Normal 10 2 2 4 4 3" xfId="13425"/>
    <cellStyle name="Normal 10 2 2 4 4 4" xfId="9866"/>
    <cellStyle name="Normal 10 2 2 4 4 5" xfId="4848"/>
    <cellStyle name="Normal 10 2 2 4 5" xfId="1765"/>
    <cellStyle name="Normal 10 2 2 4 5 2" xfId="10928"/>
    <cellStyle name="Normal 10 2 2 4 5 3" xfId="5912"/>
    <cellStyle name="Normal 10 2 2 4 6" xfId="8489"/>
    <cellStyle name="Normal 10 2 2 4 7" xfId="12382"/>
    <cellStyle name="Normal 10 2 2 4 8" xfId="7459"/>
    <cellStyle name="Normal 10 2 2 4 9" xfId="3411"/>
    <cellStyle name="Normal 10 2 2 4_Degree data" xfId="2772"/>
    <cellStyle name="Normal 10 2 2 5" xfId="450"/>
    <cellStyle name="Normal 10 2 2 5 2" xfId="859"/>
    <cellStyle name="Normal 10 2 2 5 2 2" xfId="9709"/>
    <cellStyle name="Normal 10 2 2 5 2 3" xfId="4691"/>
    <cellStyle name="Normal 10 2 2 5 3" xfId="1970"/>
    <cellStyle name="Normal 10 2 2 5 3 2" xfId="11133"/>
    <cellStyle name="Normal 10 2 2 5 3 3" xfId="6117"/>
    <cellStyle name="Normal 10 2 2 5 4" xfId="8825"/>
    <cellStyle name="Normal 10 2 2 5 5" xfId="12587"/>
    <cellStyle name="Normal 10 2 2 5 6" xfId="7302"/>
    <cellStyle name="Normal 10 2 2 5 7" xfId="3756"/>
    <cellStyle name="Normal 10 2 2 6" xfId="783"/>
    <cellStyle name="Normal 10 2 2 6 2" xfId="2319"/>
    <cellStyle name="Normal 10 2 2 6 2 2" xfId="10076"/>
    <cellStyle name="Normal 10 2 2 6 2 3" xfId="5058"/>
    <cellStyle name="Normal 10 2 2 6 3" xfId="6466"/>
    <cellStyle name="Normal 10 2 2 6 3 2" xfId="11481"/>
    <cellStyle name="Normal 10 2 2 6 4" xfId="9192"/>
    <cellStyle name="Normal 10 2 2 6 5" xfId="12935"/>
    <cellStyle name="Normal 10 2 2 6 6" xfId="7669"/>
    <cellStyle name="Normal 10 2 2 6 7" xfId="4123"/>
    <cellStyle name="Normal 10 2 2 7" xfId="1209"/>
    <cellStyle name="Normal 10 2 2 7 2" xfId="2763"/>
    <cellStyle name="Normal 10 2 2 7 2 2" xfId="10418"/>
    <cellStyle name="Normal 10 2 2 7 2 3" xfId="5401"/>
    <cellStyle name="Normal 10 2 2 7 3" xfId="6799"/>
    <cellStyle name="Normal 10 2 2 7 3 2" xfId="11814"/>
    <cellStyle name="Normal 10 2 2 7 4" xfId="8663"/>
    <cellStyle name="Normal 10 2 2 7 5" xfId="13268"/>
    <cellStyle name="Normal 10 2 2 7 6" xfId="8012"/>
    <cellStyle name="Normal 10 2 2 7 7" xfId="3590"/>
    <cellStyle name="Normal 10 2 2 8" xfId="1608"/>
    <cellStyle name="Normal 10 2 2 8 2" xfId="12225"/>
    <cellStyle name="Normal 10 2 2 8 3" xfId="9549"/>
    <cellStyle name="Normal 10 2 2 8 4" xfId="4531"/>
    <cellStyle name="Normal 10 2 2 9" xfId="1533"/>
    <cellStyle name="Normal 10 2 2 9 2" xfId="10769"/>
    <cellStyle name="Normal 10 2 2 9 3" xfId="5753"/>
    <cellStyle name="Normal 10 2 2_Degree data" xfId="2589"/>
    <cellStyle name="Normal 10 2 3" xfId="207"/>
    <cellStyle name="Normal 10 2 3 10" xfId="7160"/>
    <cellStyle name="Normal 10 2 3 11" xfId="3329"/>
    <cellStyle name="Normal 10 2 3 2" xfId="374"/>
    <cellStyle name="Normal 10 2 3 2 2" xfId="625"/>
    <cellStyle name="Normal 10 2 3 2 2 2" xfId="1977"/>
    <cellStyle name="Normal 10 2 3 2 2 2 2" xfId="10083"/>
    <cellStyle name="Normal 10 2 3 2 2 2 3" xfId="5065"/>
    <cellStyle name="Normal 10 2 3 2 2 3" xfId="6124"/>
    <cellStyle name="Normal 10 2 3 2 2 3 2" xfId="11140"/>
    <cellStyle name="Normal 10 2 3 2 2 4" xfId="9199"/>
    <cellStyle name="Normal 10 2 3 2 2 5" xfId="12594"/>
    <cellStyle name="Normal 10 2 3 2 2 6" xfId="7676"/>
    <cellStyle name="Normal 10 2 3 2 2 7" xfId="4130"/>
    <cellStyle name="Normal 10 2 3 2 3" xfId="1034"/>
    <cellStyle name="Normal 10 2 3 2 3 2" xfId="2326"/>
    <cellStyle name="Normal 10 2 3 2 3 2 2" xfId="10593"/>
    <cellStyle name="Normal 10 2 3 2 3 2 3" xfId="5576"/>
    <cellStyle name="Normal 10 2 3 2 3 3" xfId="6473"/>
    <cellStyle name="Normal 10 2 3 2 3 3 2" xfId="11488"/>
    <cellStyle name="Normal 10 2 3 2 3 4" xfId="9000"/>
    <cellStyle name="Normal 10 2 3 2 3 5" xfId="12942"/>
    <cellStyle name="Normal 10 2 3 2 3 6" xfId="8187"/>
    <cellStyle name="Normal 10 2 3 2 3 7" xfId="3931"/>
    <cellStyle name="Normal 10 2 3 2 4" xfId="1391"/>
    <cellStyle name="Normal 10 2 3 2 4 2" xfId="2949"/>
    <cellStyle name="Normal 10 2 3 2 4 2 2" xfId="11989"/>
    <cellStyle name="Normal 10 2 3 2 4 2 3" xfId="6974"/>
    <cellStyle name="Normal 10 2 3 2 4 3" xfId="13443"/>
    <cellStyle name="Normal 10 2 3 2 4 4" xfId="9884"/>
    <cellStyle name="Normal 10 2 3 2 4 5" xfId="4866"/>
    <cellStyle name="Normal 10 2 3 2 5" xfId="1783"/>
    <cellStyle name="Normal 10 2 3 2 5 2" xfId="10946"/>
    <cellStyle name="Normal 10 2 3 2 5 3" xfId="5930"/>
    <cellStyle name="Normal 10 2 3 2 6" xfId="8507"/>
    <cellStyle name="Normal 10 2 3 2 7" xfId="12400"/>
    <cellStyle name="Normal 10 2 3 2 8" xfId="7477"/>
    <cellStyle name="Normal 10 2 3 2 9" xfId="3429"/>
    <cellStyle name="Normal 10 2 3 2_Degree data" xfId="2628"/>
    <cellStyle name="Normal 10 2 3 3" xfId="525"/>
    <cellStyle name="Normal 10 2 3 3 2" xfId="934"/>
    <cellStyle name="Normal 10 2 3 3 2 2" xfId="9784"/>
    <cellStyle name="Normal 10 2 3 3 2 3" xfId="4766"/>
    <cellStyle name="Normal 10 2 3 3 3" xfId="1976"/>
    <cellStyle name="Normal 10 2 3 3 3 2" xfId="11139"/>
    <cellStyle name="Normal 10 2 3 3 3 3" xfId="6123"/>
    <cellStyle name="Normal 10 2 3 3 4" xfId="8900"/>
    <cellStyle name="Normal 10 2 3 3 5" xfId="12593"/>
    <cellStyle name="Normal 10 2 3 3 6" xfId="7377"/>
    <cellStyle name="Normal 10 2 3 3 7" xfId="3831"/>
    <cellStyle name="Normal 10 2 3 4" xfId="813"/>
    <cellStyle name="Normal 10 2 3 4 2" xfId="2325"/>
    <cellStyle name="Normal 10 2 3 4 2 2" xfId="10082"/>
    <cellStyle name="Normal 10 2 3 4 2 3" xfId="5064"/>
    <cellStyle name="Normal 10 2 3 4 3" xfId="6472"/>
    <cellStyle name="Normal 10 2 3 4 3 2" xfId="11487"/>
    <cellStyle name="Normal 10 2 3 4 4" xfId="9198"/>
    <cellStyle name="Normal 10 2 3 4 5" xfId="12941"/>
    <cellStyle name="Normal 10 2 3 4 6" xfId="7675"/>
    <cellStyle name="Normal 10 2 3 4 7" xfId="4129"/>
    <cellStyle name="Normal 10 2 3 5" xfId="1290"/>
    <cellStyle name="Normal 10 2 3 5 2" xfId="2847"/>
    <cellStyle name="Normal 10 2 3 5 2 2" xfId="10493"/>
    <cellStyle name="Normal 10 2 3 5 2 3" xfId="5476"/>
    <cellStyle name="Normal 10 2 3 5 3" xfId="6874"/>
    <cellStyle name="Normal 10 2 3 5 3 2" xfId="11889"/>
    <cellStyle name="Normal 10 2 3 5 4" xfId="8681"/>
    <cellStyle name="Normal 10 2 3 5 5" xfId="13343"/>
    <cellStyle name="Normal 10 2 3 5 6" xfId="8087"/>
    <cellStyle name="Normal 10 2 3 5 7" xfId="3610"/>
    <cellStyle name="Normal 10 2 3 6" xfId="1683"/>
    <cellStyle name="Normal 10 2 3 6 2" xfId="9567"/>
    <cellStyle name="Normal 10 2 3 6 3" xfId="4549"/>
    <cellStyle name="Normal 10 2 3 7" xfId="5830"/>
    <cellStyle name="Normal 10 2 3 7 2" xfId="10846"/>
    <cellStyle name="Normal 10 2 3 8" xfId="8407"/>
    <cellStyle name="Normal 10 2 3 9" xfId="12300"/>
    <cellStyle name="Normal 10 2 3_Degree data" xfId="2700"/>
    <cellStyle name="Normal 10 2 4" xfId="243"/>
    <cellStyle name="Normal 10 2 4 10" xfId="7210"/>
    <cellStyle name="Normal 10 2 4 11" xfId="3274"/>
    <cellStyle name="Normal 10 2 4 2" xfId="318"/>
    <cellStyle name="Normal 10 2 4 2 2" xfId="675"/>
    <cellStyle name="Normal 10 2 4 2 2 2" xfId="1979"/>
    <cellStyle name="Normal 10 2 4 2 2 2 2" xfId="10085"/>
    <cellStyle name="Normal 10 2 4 2 2 2 3" xfId="5067"/>
    <cellStyle name="Normal 10 2 4 2 2 3" xfId="6126"/>
    <cellStyle name="Normal 10 2 4 2 2 3 2" xfId="11142"/>
    <cellStyle name="Normal 10 2 4 2 2 4" xfId="9201"/>
    <cellStyle name="Normal 10 2 4 2 2 5" xfId="12596"/>
    <cellStyle name="Normal 10 2 4 2 2 6" xfId="7678"/>
    <cellStyle name="Normal 10 2 4 2 2 7" xfId="4132"/>
    <cellStyle name="Normal 10 2 4 2 3" xfId="1084"/>
    <cellStyle name="Normal 10 2 4 2 3 2" xfId="2328"/>
    <cellStyle name="Normal 10 2 4 2 3 2 2" xfId="10643"/>
    <cellStyle name="Normal 10 2 4 2 3 2 3" xfId="5626"/>
    <cellStyle name="Normal 10 2 4 2 3 3" xfId="6475"/>
    <cellStyle name="Normal 10 2 4 2 3 3 2" xfId="11490"/>
    <cellStyle name="Normal 10 2 4 2 3 4" xfId="9050"/>
    <cellStyle name="Normal 10 2 4 2 3 5" xfId="12944"/>
    <cellStyle name="Normal 10 2 4 2 3 6" xfId="8237"/>
    <cellStyle name="Normal 10 2 4 2 3 7" xfId="3981"/>
    <cellStyle name="Normal 10 2 4 2 4" xfId="1442"/>
    <cellStyle name="Normal 10 2 4 2 4 2" xfId="3001"/>
    <cellStyle name="Normal 10 2 4 2 4 2 2" xfId="12039"/>
    <cellStyle name="Normal 10 2 4 2 4 2 3" xfId="7024"/>
    <cellStyle name="Normal 10 2 4 2 4 3" xfId="13493"/>
    <cellStyle name="Normal 10 2 4 2 4 4" xfId="9934"/>
    <cellStyle name="Normal 10 2 4 2 4 5" xfId="4916"/>
    <cellStyle name="Normal 10 2 4 2 5" xfId="1833"/>
    <cellStyle name="Normal 10 2 4 2 5 2" xfId="10996"/>
    <cellStyle name="Normal 10 2 4 2 5 3" xfId="5980"/>
    <cellStyle name="Normal 10 2 4 2 6" xfId="8557"/>
    <cellStyle name="Normal 10 2 4 2 7" xfId="12450"/>
    <cellStyle name="Normal 10 2 4 2 8" xfId="7527"/>
    <cellStyle name="Normal 10 2 4 2 9" xfId="3479"/>
    <cellStyle name="Normal 10 2 4 2_Degree data" xfId="2633"/>
    <cellStyle name="Normal 10 2 4 3" xfId="470"/>
    <cellStyle name="Normal 10 2 4 3 2" xfId="1978"/>
    <cellStyle name="Normal 10 2 4 3 2 2" xfId="9729"/>
    <cellStyle name="Normal 10 2 4 3 2 3" xfId="4711"/>
    <cellStyle name="Normal 10 2 4 3 3" xfId="6125"/>
    <cellStyle name="Normal 10 2 4 3 3 2" xfId="11141"/>
    <cellStyle name="Normal 10 2 4 3 4" xfId="8845"/>
    <cellStyle name="Normal 10 2 4 3 5" xfId="12595"/>
    <cellStyle name="Normal 10 2 4 3 6" xfId="7322"/>
    <cellStyle name="Normal 10 2 4 3 7" xfId="3776"/>
    <cellStyle name="Normal 10 2 4 4" xfId="879"/>
    <cellStyle name="Normal 10 2 4 4 2" xfId="2327"/>
    <cellStyle name="Normal 10 2 4 4 2 2" xfId="10084"/>
    <cellStyle name="Normal 10 2 4 4 2 3" xfId="5066"/>
    <cellStyle name="Normal 10 2 4 4 3" xfId="6474"/>
    <cellStyle name="Normal 10 2 4 4 3 2" xfId="11489"/>
    <cellStyle name="Normal 10 2 4 4 4" xfId="9200"/>
    <cellStyle name="Normal 10 2 4 4 5" xfId="12943"/>
    <cellStyle name="Normal 10 2 4 4 6" xfId="7677"/>
    <cellStyle name="Normal 10 2 4 4 7" xfId="4131"/>
    <cellStyle name="Normal 10 2 4 5" xfId="1231"/>
    <cellStyle name="Normal 10 2 4 5 2" xfId="2787"/>
    <cellStyle name="Normal 10 2 4 5 2 2" xfId="10438"/>
    <cellStyle name="Normal 10 2 4 5 2 3" xfId="5421"/>
    <cellStyle name="Normal 10 2 4 5 3" xfId="6819"/>
    <cellStyle name="Normal 10 2 4 5 3 2" xfId="11834"/>
    <cellStyle name="Normal 10 2 4 5 4" xfId="8731"/>
    <cellStyle name="Normal 10 2 4 5 5" xfId="13288"/>
    <cellStyle name="Normal 10 2 4 5 6" xfId="8032"/>
    <cellStyle name="Normal 10 2 4 5 7" xfId="3661"/>
    <cellStyle name="Normal 10 2 4 6" xfId="1628"/>
    <cellStyle name="Normal 10 2 4 6 2" xfId="9617"/>
    <cellStyle name="Normal 10 2 4 6 3" xfId="4599"/>
    <cellStyle name="Normal 10 2 4 7" xfId="5775"/>
    <cellStyle name="Normal 10 2 4 7 2" xfId="10791"/>
    <cellStyle name="Normal 10 2 4 8" xfId="8352"/>
    <cellStyle name="Normal 10 2 4 9" xfId="12245"/>
    <cellStyle name="Normal 10 2 4_Degree data" xfId="2588"/>
    <cellStyle name="Normal 10 2 5" xfId="268"/>
    <cellStyle name="Normal 10 2 5 2" xfId="570"/>
    <cellStyle name="Normal 10 2 5 2 2" xfId="1980"/>
    <cellStyle name="Normal 10 2 5 2 2 2" xfId="10086"/>
    <cellStyle name="Normal 10 2 5 2 2 3" xfId="5068"/>
    <cellStyle name="Normal 10 2 5 2 3" xfId="6127"/>
    <cellStyle name="Normal 10 2 5 2 3 2" xfId="11143"/>
    <cellStyle name="Normal 10 2 5 2 4" xfId="9202"/>
    <cellStyle name="Normal 10 2 5 2 5" xfId="12597"/>
    <cellStyle name="Normal 10 2 5 2 6" xfId="7679"/>
    <cellStyle name="Normal 10 2 5 2 7" xfId="4133"/>
    <cellStyle name="Normal 10 2 5 3" xfId="979"/>
    <cellStyle name="Normal 10 2 5 3 2" xfId="2329"/>
    <cellStyle name="Normal 10 2 5 3 2 2" xfId="10538"/>
    <cellStyle name="Normal 10 2 5 3 2 3" xfId="5521"/>
    <cellStyle name="Normal 10 2 5 3 3" xfId="6476"/>
    <cellStyle name="Normal 10 2 5 3 3 2" xfId="11491"/>
    <cellStyle name="Normal 10 2 5 3 4" xfId="8945"/>
    <cellStyle name="Normal 10 2 5 3 5" xfId="12945"/>
    <cellStyle name="Normal 10 2 5 3 6" xfId="8132"/>
    <cellStyle name="Normal 10 2 5 3 7" xfId="3876"/>
    <cellStyle name="Normal 10 2 5 4" xfId="1335"/>
    <cellStyle name="Normal 10 2 5 4 2" xfId="2893"/>
    <cellStyle name="Normal 10 2 5 4 2 2" xfId="11934"/>
    <cellStyle name="Normal 10 2 5 4 2 3" xfId="6919"/>
    <cellStyle name="Normal 10 2 5 4 3" xfId="13388"/>
    <cellStyle name="Normal 10 2 5 4 4" xfId="9829"/>
    <cellStyle name="Normal 10 2 5 4 5" xfId="4811"/>
    <cellStyle name="Normal 10 2 5 5" xfId="1728"/>
    <cellStyle name="Normal 10 2 5 5 2" xfId="10891"/>
    <cellStyle name="Normal 10 2 5 5 3" xfId="5875"/>
    <cellStyle name="Normal 10 2 5 6" xfId="8452"/>
    <cellStyle name="Normal 10 2 5 7" xfId="12345"/>
    <cellStyle name="Normal 10 2 5 8" xfId="7422"/>
    <cellStyle name="Normal 10 2 5 9" xfId="3374"/>
    <cellStyle name="Normal 10 2 5_Degree data" xfId="2637"/>
    <cellStyle name="Normal 10 2 6" xfId="425"/>
    <cellStyle name="Normal 10 2 6 2" xfId="833"/>
    <cellStyle name="Normal 10 2 6 2 2" xfId="1981"/>
    <cellStyle name="Normal 10 2 6 2 2 2" xfId="10087"/>
    <cellStyle name="Normal 10 2 6 2 2 3" xfId="5069"/>
    <cellStyle name="Normal 10 2 6 2 3" xfId="6128"/>
    <cellStyle name="Normal 10 2 6 2 3 2" xfId="11144"/>
    <cellStyle name="Normal 10 2 6 2 4" xfId="9203"/>
    <cellStyle name="Normal 10 2 6 2 5" xfId="12598"/>
    <cellStyle name="Normal 10 2 6 2 6" xfId="7680"/>
    <cellStyle name="Normal 10 2 6 2 7" xfId="4134"/>
    <cellStyle name="Normal 10 2 6 3" xfId="1183"/>
    <cellStyle name="Normal 10 2 6 3 2" xfId="2330"/>
    <cellStyle name="Normal 10 2 6 3 2 2" xfId="10393"/>
    <cellStyle name="Normal 10 2 6 3 2 3" xfId="5376"/>
    <cellStyle name="Normal 10 2 6 3 3" xfId="6477"/>
    <cellStyle name="Normal 10 2 6 3 3 2" xfId="11492"/>
    <cellStyle name="Normal 10 2 6 3 4" xfId="9481"/>
    <cellStyle name="Normal 10 2 6 3 5" xfId="12946"/>
    <cellStyle name="Normal 10 2 6 3 6" xfId="7987"/>
    <cellStyle name="Normal 10 2 6 3 7" xfId="4463"/>
    <cellStyle name="Normal 10 2 6 4" xfId="2734"/>
    <cellStyle name="Normal 10 2 6 4 2" xfId="6774"/>
    <cellStyle name="Normal 10 2 6 4 2 2" xfId="11789"/>
    <cellStyle name="Normal 10 2 6 4 3" xfId="13243"/>
    <cellStyle name="Normal 10 2 6 4 4" xfId="9684"/>
    <cellStyle name="Normal 10 2 6 4 5" xfId="4666"/>
    <cellStyle name="Normal 10 2 6 5" xfId="1583"/>
    <cellStyle name="Normal 10 2 6 5 2" xfId="10744"/>
    <cellStyle name="Normal 10 2 6 5 3" xfId="5728"/>
    <cellStyle name="Normal 10 2 6 6" xfId="8800"/>
    <cellStyle name="Normal 10 2 6 7" xfId="12200"/>
    <cellStyle name="Normal 10 2 6 8" xfId="7277"/>
    <cellStyle name="Normal 10 2 6 9" xfId="3731"/>
    <cellStyle name="Normal 10 2 6_Degree data" xfId="2632"/>
    <cellStyle name="Normal 10 2 7" xfId="759"/>
    <cellStyle name="Normal 10 2 7 2" xfId="1969"/>
    <cellStyle name="Normal 10 2 7 2 2" xfId="10075"/>
    <cellStyle name="Normal 10 2 7 2 3" xfId="5057"/>
    <cellStyle name="Normal 10 2 7 3" xfId="6116"/>
    <cellStyle name="Normal 10 2 7 3 2" xfId="11132"/>
    <cellStyle name="Normal 10 2 7 4" xfId="9191"/>
    <cellStyle name="Normal 10 2 7 5" xfId="12586"/>
    <cellStyle name="Normal 10 2 7 6" xfId="7668"/>
    <cellStyle name="Normal 10 2 7 7" xfId="4122"/>
    <cellStyle name="Normal 10 2 8" xfId="1163"/>
    <cellStyle name="Normal 10 2 8 2" xfId="2318"/>
    <cellStyle name="Normal 10 2 8 2 2" xfId="10373"/>
    <cellStyle name="Normal 10 2 8 2 3" xfId="5356"/>
    <cellStyle name="Normal 10 2 8 3" xfId="6465"/>
    <cellStyle name="Normal 10 2 8 3 2" xfId="11480"/>
    <cellStyle name="Normal 10 2 8 4" xfId="8625"/>
    <cellStyle name="Normal 10 2 8 5" xfId="12934"/>
    <cellStyle name="Normal 10 2 8 6" xfId="7967"/>
    <cellStyle name="Normal 10 2 8 7" xfId="3549"/>
    <cellStyle name="Normal 10 2 9" xfId="2714"/>
    <cellStyle name="Normal 10 2 9 2" xfId="6754"/>
    <cellStyle name="Normal 10 2 9 2 2" xfId="11769"/>
    <cellStyle name="Normal 10 2 9 3" xfId="13223"/>
    <cellStyle name="Normal 10 2 9 4" xfId="9511"/>
    <cellStyle name="Normal 10 2 9 5" xfId="4493"/>
    <cellStyle name="Normal 10 2_Degree data" xfId="2685"/>
    <cellStyle name="Normal 10 3" xfId="124"/>
    <cellStyle name="Normal 10 3 2" xfId="286"/>
    <cellStyle name="Normal 10 3 2 10" xfId="3245"/>
    <cellStyle name="Normal 10 3 2 2" xfId="348"/>
    <cellStyle name="Normal 10 3 2 3" xfId="659"/>
    <cellStyle name="Normal 10 3 2 3 10" xfId="3463"/>
    <cellStyle name="Normal 10 3 2 3 2" xfId="1068"/>
    <cellStyle name="Normal 10 3 2 3 2 2" xfId="1983"/>
    <cellStyle name="Normal 10 3 2 3 2 2 2" xfId="9918"/>
    <cellStyle name="Normal 10 3 2 3 2 2 3" xfId="4900"/>
    <cellStyle name="Normal 10 3 2 3 2 3" xfId="6130"/>
    <cellStyle name="Normal 10 3 2 3 2 3 2" xfId="11146"/>
    <cellStyle name="Normal 10 3 2 3 2 4" xfId="9034"/>
    <cellStyle name="Normal 10 3 2 3 2 5" xfId="12600"/>
    <cellStyle name="Normal 10 3 2 3 2 6" xfId="7511"/>
    <cellStyle name="Normal 10 3 2 3 2 7" xfId="3965"/>
    <cellStyle name="Normal 10 3 2 3 3" xfId="1426"/>
    <cellStyle name="Normal 10 3 2 3 3 2" xfId="2332"/>
    <cellStyle name="Normal 10 3 2 3 3 2 2" xfId="10089"/>
    <cellStyle name="Normal 10 3 2 3 3 2 3" xfId="5071"/>
    <cellStyle name="Normal 10 3 2 3 3 3" xfId="6479"/>
    <cellStyle name="Normal 10 3 2 3 3 3 2" xfId="11494"/>
    <cellStyle name="Normal 10 3 2 3 3 4" xfId="9205"/>
    <cellStyle name="Normal 10 3 2 3 3 5" xfId="12948"/>
    <cellStyle name="Normal 10 3 2 3 3 6" xfId="7682"/>
    <cellStyle name="Normal 10 3 2 3 3 7" xfId="4136"/>
    <cellStyle name="Normal 10 3 2 3 4" xfId="2985"/>
    <cellStyle name="Normal 10 3 2 3 4 2" xfId="5610"/>
    <cellStyle name="Normal 10 3 2 3 4 2 2" xfId="10627"/>
    <cellStyle name="Normal 10 3 2 3 4 3" xfId="7008"/>
    <cellStyle name="Normal 10 3 2 3 4 3 2" xfId="12023"/>
    <cellStyle name="Normal 10 3 2 3 4 4" xfId="8715"/>
    <cellStyle name="Normal 10 3 2 3 4 5" xfId="13477"/>
    <cellStyle name="Normal 10 3 2 3 4 6" xfId="8221"/>
    <cellStyle name="Normal 10 3 2 3 4 7" xfId="3645"/>
    <cellStyle name="Normal 10 3 2 3 5" xfId="1817"/>
    <cellStyle name="Normal 10 3 2 3 5 2" xfId="9601"/>
    <cellStyle name="Normal 10 3 2 3 5 3" xfId="4583"/>
    <cellStyle name="Normal 10 3 2 3 6" xfId="5964"/>
    <cellStyle name="Normal 10 3 2 3 6 2" xfId="10980"/>
    <cellStyle name="Normal 10 3 2 3 7" xfId="8541"/>
    <cellStyle name="Normal 10 3 2 3 8" xfId="12434"/>
    <cellStyle name="Normal 10 3 2 3 9" xfId="7194"/>
    <cellStyle name="Normal 10 3 2 3_Degree data" xfId="2636"/>
    <cellStyle name="Normal 10 3 2 4" xfId="441"/>
    <cellStyle name="Normal 10 3 2 4 2" xfId="1982"/>
    <cellStyle name="Normal 10 3 2 4 2 2" xfId="9700"/>
    <cellStyle name="Normal 10 3 2 4 2 3" xfId="4682"/>
    <cellStyle name="Normal 10 3 2 4 3" xfId="6129"/>
    <cellStyle name="Normal 10 3 2 4 3 2" xfId="11145"/>
    <cellStyle name="Normal 10 3 2 4 4" xfId="8816"/>
    <cellStyle name="Normal 10 3 2 4 5" xfId="12599"/>
    <cellStyle name="Normal 10 3 2 4 6" xfId="7293"/>
    <cellStyle name="Normal 10 3 2 4 7" xfId="3747"/>
    <cellStyle name="Normal 10 3 2 5" xfId="850"/>
    <cellStyle name="Normal 10 3 2 5 2" xfId="2331"/>
    <cellStyle name="Normal 10 3 2 5 2 2" xfId="10088"/>
    <cellStyle name="Normal 10 3 2 5 2 3" xfId="5070"/>
    <cellStyle name="Normal 10 3 2 5 3" xfId="6478"/>
    <cellStyle name="Normal 10 3 2 5 3 2" xfId="11493"/>
    <cellStyle name="Normal 10 3 2 5 4" xfId="9204"/>
    <cellStyle name="Normal 10 3 2 5 5" xfId="12947"/>
    <cellStyle name="Normal 10 3 2 5 6" xfId="7681"/>
    <cellStyle name="Normal 10 3 2 5 7" xfId="4135"/>
    <cellStyle name="Normal 10 3 2 6" xfId="1200"/>
    <cellStyle name="Normal 10 3 2 6 2" xfId="2753"/>
    <cellStyle name="Normal 10 3 2 6 2 2" xfId="11805"/>
    <cellStyle name="Normal 10 3 2 6 2 3" xfId="6790"/>
    <cellStyle name="Normal 10 3 2 6 3" xfId="10409"/>
    <cellStyle name="Normal 10 3 2 6 4" xfId="13259"/>
    <cellStyle name="Normal 10 3 2 6 5" xfId="8003"/>
    <cellStyle name="Normal 10 3 2 6 6" xfId="5392"/>
    <cellStyle name="Normal 10 3 2 7" xfId="1599"/>
    <cellStyle name="Normal 10 3 2 7 2" xfId="10760"/>
    <cellStyle name="Normal 10 3 2 7 3" xfId="5744"/>
    <cellStyle name="Normal 10 3 2 8" xfId="8323"/>
    <cellStyle name="Normal 10 3 2 9" xfId="12216"/>
    <cellStyle name="Normal 10 3 2_Degree data" xfId="2587"/>
    <cellStyle name="Normal 10 3 3" xfId="314"/>
    <cellStyle name="Normal 10 3 3 10" xfId="7206"/>
    <cellStyle name="Normal 10 3 3 11" xfId="3270"/>
    <cellStyle name="Normal 10 3 3 2" xfId="671"/>
    <cellStyle name="Normal 10 3 3 2 2" xfId="1080"/>
    <cellStyle name="Normal 10 3 3 2 2 2" xfId="1985"/>
    <cellStyle name="Normal 10 3 3 2 2 2 2" xfId="10091"/>
    <cellStyle name="Normal 10 3 3 2 2 2 3" xfId="5073"/>
    <cellStyle name="Normal 10 3 3 2 2 3" xfId="6132"/>
    <cellStyle name="Normal 10 3 3 2 2 3 2" xfId="11148"/>
    <cellStyle name="Normal 10 3 3 2 2 4" xfId="9207"/>
    <cellStyle name="Normal 10 3 3 2 2 5" xfId="12602"/>
    <cellStyle name="Normal 10 3 3 2 2 6" xfId="7684"/>
    <cellStyle name="Normal 10 3 3 2 2 7" xfId="4138"/>
    <cellStyle name="Normal 10 3 3 2 3" xfId="1438"/>
    <cellStyle name="Normal 10 3 3 2 3 2" xfId="2334"/>
    <cellStyle name="Normal 10 3 3 2 3 2 2" xfId="10639"/>
    <cellStyle name="Normal 10 3 3 2 3 2 3" xfId="5622"/>
    <cellStyle name="Normal 10 3 3 2 3 3" xfId="6481"/>
    <cellStyle name="Normal 10 3 3 2 3 3 2" xfId="11496"/>
    <cellStyle name="Normal 10 3 3 2 3 4" xfId="9046"/>
    <cellStyle name="Normal 10 3 3 2 3 5" xfId="12950"/>
    <cellStyle name="Normal 10 3 3 2 3 6" xfId="8233"/>
    <cellStyle name="Normal 10 3 3 2 3 7" xfId="3977"/>
    <cellStyle name="Normal 10 3 3 2 4" xfId="2997"/>
    <cellStyle name="Normal 10 3 3 2 4 2" xfId="7020"/>
    <cellStyle name="Normal 10 3 3 2 4 2 2" xfId="12035"/>
    <cellStyle name="Normal 10 3 3 2 4 3" xfId="13489"/>
    <cellStyle name="Normal 10 3 3 2 4 4" xfId="9930"/>
    <cellStyle name="Normal 10 3 3 2 4 5" xfId="4912"/>
    <cellStyle name="Normal 10 3 3 2 5" xfId="1829"/>
    <cellStyle name="Normal 10 3 3 2 5 2" xfId="10992"/>
    <cellStyle name="Normal 10 3 3 2 5 3" xfId="5976"/>
    <cellStyle name="Normal 10 3 3 2 6" xfId="8553"/>
    <cellStyle name="Normal 10 3 3 2 7" xfId="12446"/>
    <cellStyle name="Normal 10 3 3 2 8" xfId="7523"/>
    <cellStyle name="Normal 10 3 3 2 9" xfId="3475"/>
    <cellStyle name="Normal 10 3 3 2_Degree data" xfId="2673"/>
    <cellStyle name="Normal 10 3 3 3" xfId="466"/>
    <cellStyle name="Normal 10 3 3 3 2" xfId="1984"/>
    <cellStyle name="Normal 10 3 3 3 2 2" xfId="9725"/>
    <cellStyle name="Normal 10 3 3 3 2 3" xfId="4707"/>
    <cellStyle name="Normal 10 3 3 3 3" xfId="6131"/>
    <cellStyle name="Normal 10 3 3 3 3 2" xfId="11147"/>
    <cellStyle name="Normal 10 3 3 3 4" xfId="8841"/>
    <cellStyle name="Normal 10 3 3 3 5" xfId="12601"/>
    <cellStyle name="Normal 10 3 3 3 6" xfId="7318"/>
    <cellStyle name="Normal 10 3 3 3 7" xfId="3772"/>
    <cellStyle name="Normal 10 3 3 4" xfId="875"/>
    <cellStyle name="Normal 10 3 3 4 2" xfId="2333"/>
    <cellStyle name="Normal 10 3 3 4 2 2" xfId="10090"/>
    <cellStyle name="Normal 10 3 3 4 2 3" xfId="5072"/>
    <cellStyle name="Normal 10 3 3 4 3" xfId="6480"/>
    <cellStyle name="Normal 10 3 3 4 3 2" xfId="11495"/>
    <cellStyle name="Normal 10 3 3 4 4" xfId="9206"/>
    <cellStyle name="Normal 10 3 3 4 5" xfId="12949"/>
    <cellStyle name="Normal 10 3 3 4 6" xfId="7683"/>
    <cellStyle name="Normal 10 3 3 4 7" xfId="4137"/>
    <cellStyle name="Normal 10 3 3 5" xfId="1227"/>
    <cellStyle name="Normal 10 3 3 5 2" xfId="2783"/>
    <cellStyle name="Normal 10 3 3 5 2 2" xfId="10434"/>
    <cellStyle name="Normal 10 3 3 5 2 3" xfId="5417"/>
    <cellStyle name="Normal 10 3 3 5 3" xfId="6815"/>
    <cellStyle name="Normal 10 3 3 5 3 2" xfId="11830"/>
    <cellStyle name="Normal 10 3 3 5 4" xfId="8727"/>
    <cellStyle name="Normal 10 3 3 5 5" xfId="13284"/>
    <cellStyle name="Normal 10 3 3 5 6" xfId="8028"/>
    <cellStyle name="Normal 10 3 3 5 7" xfId="3657"/>
    <cellStyle name="Normal 10 3 3 6" xfId="1624"/>
    <cellStyle name="Normal 10 3 3 6 2" xfId="9613"/>
    <cellStyle name="Normal 10 3 3 6 3" xfId="4595"/>
    <cellStyle name="Normal 10 3 3 7" xfId="5771"/>
    <cellStyle name="Normal 10 3 3 7 2" xfId="10787"/>
    <cellStyle name="Normal 10 3 3 8" xfId="8348"/>
    <cellStyle name="Normal 10 3 3 9" xfId="12241"/>
    <cellStyle name="Normal 10 3 3_Degree data" xfId="2586"/>
    <cellStyle name="Normal 10 3 4" xfId="566"/>
    <cellStyle name="Normal 10 3 4 2" xfId="975"/>
    <cellStyle name="Normal 10 3 4 2 2" xfId="1986"/>
    <cellStyle name="Normal 10 3 4 2 2 2" xfId="10092"/>
    <cellStyle name="Normal 10 3 4 2 2 3" xfId="5074"/>
    <cellStyle name="Normal 10 3 4 2 3" xfId="6133"/>
    <cellStyle name="Normal 10 3 4 2 3 2" xfId="11149"/>
    <cellStyle name="Normal 10 3 4 2 4" xfId="9208"/>
    <cellStyle name="Normal 10 3 4 2 5" xfId="12603"/>
    <cellStyle name="Normal 10 3 4 2 6" xfId="7685"/>
    <cellStyle name="Normal 10 3 4 2 7" xfId="4139"/>
    <cellStyle name="Normal 10 3 4 3" xfId="1331"/>
    <cellStyle name="Normal 10 3 4 3 2" xfId="2335"/>
    <cellStyle name="Normal 10 3 4 3 2 2" xfId="10534"/>
    <cellStyle name="Normal 10 3 4 3 2 3" xfId="5517"/>
    <cellStyle name="Normal 10 3 4 3 3" xfId="6482"/>
    <cellStyle name="Normal 10 3 4 3 3 2" xfId="11497"/>
    <cellStyle name="Normal 10 3 4 3 4" xfId="8941"/>
    <cellStyle name="Normal 10 3 4 3 5" xfId="12951"/>
    <cellStyle name="Normal 10 3 4 3 6" xfId="8128"/>
    <cellStyle name="Normal 10 3 4 3 7" xfId="3872"/>
    <cellStyle name="Normal 10 3 4 4" xfId="2889"/>
    <cellStyle name="Normal 10 3 4 4 2" xfId="6915"/>
    <cellStyle name="Normal 10 3 4 4 2 2" xfId="11930"/>
    <cellStyle name="Normal 10 3 4 4 3" xfId="13384"/>
    <cellStyle name="Normal 10 3 4 4 4" xfId="9825"/>
    <cellStyle name="Normal 10 3 4 4 5" xfId="4807"/>
    <cellStyle name="Normal 10 3 4 5" xfId="1724"/>
    <cellStyle name="Normal 10 3 4 5 2" xfId="10887"/>
    <cellStyle name="Normal 10 3 4 5 3" xfId="5871"/>
    <cellStyle name="Normal 10 3 4 6" xfId="8448"/>
    <cellStyle name="Normal 10 3 4 7" xfId="12341"/>
    <cellStyle name="Normal 10 3 4 8" xfId="7418"/>
    <cellStyle name="Normal 10 3 4 9" xfId="3370"/>
    <cellStyle name="Normal 10 3 4_Degree data" xfId="2695"/>
    <cellStyle name="Normal 10 3 5" xfId="3545"/>
    <cellStyle name="Normal 10 3 5 2" xfId="8621"/>
    <cellStyle name="Normal 10 3 6" xfId="4489"/>
    <cellStyle name="Normal 10 3 6 2" xfId="9507"/>
    <cellStyle name="Normal 10 3 7" xfId="7101"/>
    <cellStyle name="Normal 10 4" xfId="166"/>
    <cellStyle name="Normal 10 4 10" xfId="8311"/>
    <cellStyle name="Normal 10 4 11" xfId="12131"/>
    <cellStyle name="Normal 10 4 12" xfId="7123"/>
    <cellStyle name="Normal 10 4 13" xfId="3232"/>
    <cellStyle name="Normal 10 4 2" xfId="380"/>
    <cellStyle name="Normal 10 4 2 10" xfId="7166"/>
    <cellStyle name="Normal 10 4 2 11" xfId="3335"/>
    <cellStyle name="Normal 10 4 2 2" xfId="631"/>
    <cellStyle name="Normal 10 4 2 2 2" xfId="1040"/>
    <cellStyle name="Normal 10 4 2 2 2 2" xfId="1989"/>
    <cellStyle name="Normal 10 4 2 2 2 2 2" xfId="10095"/>
    <cellStyle name="Normal 10 4 2 2 2 2 3" xfId="5077"/>
    <cellStyle name="Normal 10 4 2 2 2 3" xfId="6136"/>
    <cellStyle name="Normal 10 4 2 2 2 3 2" xfId="11152"/>
    <cellStyle name="Normal 10 4 2 2 2 4" xfId="9211"/>
    <cellStyle name="Normal 10 4 2 2 2 5" xfId="12606"/>
    <cellStyle name="Normal 10 4 2 2 2 6" xfId="7688"/>
    <cellStyle name="Normal 10 4 2 2 2 7" xfId="4142"/>
    <cellStyle name="Normal 10 4 2 2 3" xfId="1397"/>
    <cellStyle name="Normal 10 4 2 2 3 2" xfId="2338"/>
    <cellStyle name="Normal 10 4 2 2 3 2 2" xfId="10599"/>
    <cellStyle name="Normal 10 4 2 2 3 2 3" xfId="5582"/>
    <cellStyle name="Normal 10 4 2 2 3 3" xfId="6485"/>
    <cellStyle name="Normal 10 4 2 2 3 3 2" xfId="11500"/>
    <cellStyle name="Normal 10 4 2 2 3 4" xfId="9006"/>
    <cellStyle name="Normal 10 4 2 2 3 5" xfId="12954"/>
    <cellStyle name="Normal 10 4 2 2 3 6" xfId="8193"/>
    <cellStyle name="Normal 10 4 2 2 3 7" xfId="3937"/>
    <cellStyle name="Normal 10 4 2 2 4" xfId="2955"/>
    <cellStyle name="Normal 10 4 2 2 4 2" xfId="6980"/>
    <cellStyle name="Normal 10 4 2 2 4 2 2" xfId="11995"/>
    <cellStyle name="Normal 10 4 2 2 4 3" xfId="13449"/>
    <cellStyle name="Normal 10 4 2 2 4 4" xfId="9890"/>
    <cellStyle name="Normal 10 4 2 2 4 5" xfId="4872"/>
    <cellStyle name="Normal 10 4 2 2 5" xfId="1789"/>
    <cellStyle name="Normal 10 4 2 2 5 2" xfId="10952"/>
    <cellStyle name="Normal 10 4 2 2 5 3" xfId="5936"/>
    <cellStyle name="Normal 10 4 2 2 6" xfId="8513"/>
    <cellStyle name="Normal 10 4 2 2 7" xfId="12406"/>
    <cellStyle name="Normal 10 4 2 2 8" xfId="7483"/>
    <cellStyle name="Normal 10 4 2 2 9" xfId="3435"/>
    <cellStyle name="Normal 10 4 2 2_Degree data" xfId="2670"/>
    <cellStyle name="Normal 10 4 2 3" xfId="531"/>
    <cellStyle name="Normal 10 4 2 3 2" xfId="1988"/>
    <cellStyle name="Normal 10 4 2 3 2 2" xfId="9790"/>
    <cellStyle name="Normal 10 4 2 3 2 3" xfId="4772"/>
    <cellStyle name="Normal 10 4 2 3 3" xfId="6135"/>
    <cellStyle name="Normal 10 4 2 3 3 2" xfId="11151"/>
    <cellStyle name="Normal 10 4 2 3 4" xfId="8906"/>
    <cellStyle name="Normal 10 4 2 3 5" xfId="12605"/>
    <cellStyle name="Normal 10 4 2 3 6" xfId="7383"/>
    <cellStyle name="Normal 10 4 2 3 7" xfId="3837"/>
    <cellStyle name="Normal 10 4 2 4" xfId="940"/>
    <cellStyle name="Normal 10 4 2 4 2" xfId="2337"/>
    <cellStyle name="Normal 10 4 2 4 2 2" xfId="10094"/>
    <cellStyle name="Normal 10 4 2 4 2 3" xfId="5076"/>
    <cellStyle name="Normal 10 4 2 4 3" xfId="6484"/>
    <cellStyle name="Normal 10 4 2 4 3 2" xfId="11499"/>
    <cellStyle name="Normal 10 4 2 4 4" xfId="9210"/>
    <cellStyle name="Normal 10 4 2 4 5" xfId="12953"/>
    <cellStyle name="Normal 10 4 2 4 6" xfId="7687"/>
    <cellStyle name="Normal 10 4 2 4 7" xfId="4141"/>
    <cellStyle name="Normal 10 4 2 5" xfId="1296"/>
    <cellStyle name="Normal 10 4 2 5 2" xfId="2853"/>
    <cellStyle name="Normal 10 4 2 5 2 2" xfId="10499"/>
    <cellStyle name="Normal 10 4 2 5 2 3" xfId="5482"/>
    <cellStyle name="Normal 10 4 2 5 3" xfId="6880"/>
    <cellStyle name="Normal 10 4 2 5 3 2" xfId="11895"/>
    <cellStyle name="Normal 10 4 2 5 4" xfId="8687"/>
    <cellStyle name="Normal 10 4 2 5 5" xfId="13349"/>
    <cellStyle name="Normal 10 4 2 5 6" xfId="8093"/>
    <cellStyle name="Normal 10 4 2 5 7" xfId="3616"/>
    <cellStyle name="Normal 10 4 2 6" xfId="1689"/>
    <cellStyle name="Normal 10 4 2 6 2" xfId="9573"/>
    <cellStyle name="Normal 10 4 2 6 3" xfId="4555"/>
    <cellStyle name="Normal 10 4 2 7" xfId="5836"/>
    <cellStyle name="Normal 10 4 2 7 2" xfId="10852"/>
    <cellStyle name="Normal 10 4 2 8" xfId="8413"/>
    <cellStyle name="Normal 10 4 2 9" xfId="12306"/>
    <cellStyle name="Normal 10 4 2_Degree data" xfId="2671"/>
    <cellStyle name="Normal 10 4 3" xfId="336"/>
    <cellStyle name="Normal 10 4 3 10" xfId="7228"/>
    <cellStyle name="Normal 10 4 3 11" xfId="3292"/>
    <cellStyle name="Normal 10 4 3 2" xfId="693"/>
    <cellStyle name="Normal 10 4 3 2 2" xfId="1102"/>
    <cellStyle name="Normal 10 4 3 2 2 2" xfId="1991"/>
    <cellStyle name="Normal 10 4 3 2 2 2 2" xfId="10097"/>
    <cellStyle name="Normal 10 4 3 2 2 2 3" xfId="5079"/>
    <cellStyle name="Normal 10 4 3 2 2 3" xfId="6138"/>
    <cellStyle name="Normal 10 4 3 2 2 3 2" xfId="11154"/>
    <cellStyle name="Normal 10 4 3 2 2 4" xfId="9213"/>
    <cellStyle name="Normal 10 4 3 2 2 5" xfId="12608"/>
    <cellStyle name="Normal 10 4 3 2 2 6" xfId="7690"/>
    <cellStyle name="Normal 10 4 3 2 2 7" xfId="4144"/>
    <cellStyle name="Normal 10 4 3 2 3" xfId="1460"/>
    <cellStyle name="Normal 10 4 3 2 3 2" xfId="2340"/>
    <cellStyle name="Normal 10 4 3 2 3 2 2" xfId="10661"/>
    <cellStyle name="Normal 10 4 3 2 3 2 3" xfId="5644"/>
    <cellStyle name="Normal 10 4 3 2 3 3" xfId="6487"/>
    <cellStyle name="Normal 10 4 3 2 3 3 2" xfId="11502"/>
    <cellStyle name="Normal 10 4 3 2 3 4" xfId="9068"/>
    <cellStyle name="Normal 10 4 3 2 3 5" xfId="12956"/>
    <cellStyle name="Normal 10 4 3 2 3 6" xfId="8255"/>
    <cellStyle name="Normal 10 4 3 2 3 7" xfId="3999"/>
    <cellStyle name="Normal 10 4 3 2 4" xfId="3019"/>
    <cellStyle name="Normal 10 4 3 2 4 2" xfId="7042"/>
    <cellStyle name="Normal 10 4 3 2 4 2 2" xfId="12057"/>
    <cellStyle name="Normal 10 4 3 2 4 3" xfId="13511"/>
    <cellStyle name="Normal 10 4 3 2 4 4" xfId="9952"/>
    <cellStyle name="Normal 10 4 3 2 4 5" xfId="4934"/>
    <cellStyle name="Normal 10 4 3 2 5" xfId="1851"/>
    <cellStyle name="Normal 10 4 3 2 5 2" xfId="11014"/>
    <cellStyle name="Normal 10 4 3 2 5 3" xfId="5998"/>
    <cellStyle name="Normal 10 4 3 2 6" xfId="8575"/>
    <cellStyle name="Normal 10 4 3 2 7" xfId="12468"/>
    <cellStyle name="Normal 10 4 3 2 8" xfId="7545"/>
    <cellStyle name="Normal 10 4 3 2 9" xfId="3497"/>
    <cellStyle name="Normal 10 4 3 2_Degree data" xfId="2703"/>
    <cellStyle name="Normal 10 4 3 3" xfId="488"/>
    <cellStyle name="Normal 10 4 3 3 2" xfId="1990"/>
    <cellStyle name="Normal 10 4 3 3 2 2" xfId="9747"/>
    <cellStyle name="Normal 10 4 3 3 2 3" xfId="4729"/>
    <cellStyle name="Normal 10 4 3 3 3" xfId="6137"/>
    <cellStyle name="Normal 10 4 3 3 3 2" xfId="11153"/>
    <cellStyle name="Normal 10 4 3 3 4" xfId="8863"/>
    <cellStyle name="Normal 10 4 3 3 5" xfId="12607"/>
    <cellStyle name="Normal 10 4 3 3 6" xfId="7340"/>
    <cellStyle name="Normal 10 4 3 3 7" xfId="3794"/>
    <cellStyle name="Normal 10 4 3 4" xfId="897"/>
    <cellStyle name="Normal 10 4 3 4 2" xfId="2339"/>
    <cellStyle name="Normal 10 4 3 4 2 2" xfId="10096"/>
    <cellStyle name="Normal 10 4 3 4 2 3" xfId="5078"/>
    <cellStyle name="Normal 10 4 3 4 3" xfId="6486"/>
    <cellStyle name="Normal 10 4 3 4 3 2" xfId="11501"/>
    <cellStyle name="Normal 10 4 3 4 4" xfId="9212"/>
    <cellStyle name="Normal 10 4 3 4 5" xfId="12955"/>
    <cellStyle name="Normal 10 4 3 4 6" xfId="7689"/>
    <cellStyle name="Normal 10 4 3 4 7" xfId="4143"/>
    <cellStyle name="Normal 10 4 3 5" xfId="1252"/>
    <cellStyle name="Normal 10 4 3 5 2" xfId="2808"/>
    <cellStyle name="Normal 10 4 3 5 2 2" xfId="10456"/>
    <cellStyle name="Normal 10 4 3 5 2 3" xfId="5439"/>
    <cellStyle name="Normal 10 4 3 5 3" xfId="6837"/>
    <cellStyle name="Normal 10 4 3 5 3 2" xfId="11852"/>
    <cellStyle name="Normal 10 4 3 5 4" xfId="8749"/>
    <cellStyle name="Normal 10 4 3 5 5" xfId="13306"/>
    <cellStyle name="Normal 10 4 3 5 6" xfId="8050"/>
    <cellStyle name="Normal 10 4 3 5 7" xfId="3679"/>
    <cellStyle name="Normal 10 4 3 6" xfId="1646"/>
    <cellStyle name="Normal 10 4 3 6 2" xfId="9635"/>
    <cellStyle name="Normal 10 4 3 6 3" xfId="4617"/>
    <cellStyle name="Normal 10 4 3 7" xfId="5793"/>
    <cellStyle name="Normal 10 4 3 7 2" xfId="10809"/>
    <cellStyle name="Normal 10 4 3 8" xfId="8370"/>
    <cellStyle name="Normal 10 4 3 9" xfId="12263"/>
    <cellStyle name="Normal 10 4 3_Degree data" xfId="2694"/>
    <cellStyle name="Normal 10 4 4" xfId="273"/>
    <cellStyle name="Normal 10 4 4 2" xfId="588"/>
    <cellStyle name="Normal 10 4 4 2 2" xfId="1992"/>
    <cellStyle name="Normal 10 4 4 2 2 2" xfId="10098"/>
    <cellStyle name="Normal 10 4 4 2 2 3" xfId="5080"/>
    <cellStyle name="Normal 10 4 4 2 3" xfId="6139"/>
    <cellStyle name="Normal 10 4 4 2 3 2" xfId="11155"/>
    <cellStyle name="Normal 10 4 4 2 4" xfId="9214"/>
    <cellStyle name="Normal 10 4 4 2 5" xfId="12609"/>
    <cellStyle name="Normal 10 4 4 2 6" xfId="7691"/>
    <cellStyle name="Normal 10 4 4 2 7" xfId="4145"/>
    <cellStyle name="Normal 10 4 4 3" xfId="997"/>
    <cellStyle name="Normal 10 4 4 3 2" xfId="2341"/>
    <cellStyle name="Normal 10 4 4 3 2 2" xfId="10556"/>
    <cellStyle name="Normal 10 4 4 3 2 3" xfId="5539"/>
    <cellStyle name="Normal 10 4 4 3 3" xfId="6488"/>
    <cellStyle name="Normal 10 4 4 3 3 2" xfId="11503"/>
    <cellStyle name="Normal 10 4 4 3 4" xfId="8963"/>
    <cellStyle name="Normal 10 4 4 3 5" xfId="12957"/>
    <cellStyle name="Normal 10 4 4 3 6" xfId="8150"/>
    <cellStyle name="Normal 10 4 4 3 7" xfId="3894"/>
    <cellStyle name="Normal 10 4 4 4" xfId="1353"/>
    <cellStyle name="Normal 10 4 4 4 2" xfId="2911"/>
    <cellStyle name="Normal 10 4 4 4 2 2" xfId="11952"/>
    <cellStyle name="Normal 10 4 4 4 2 3" xfId="6937"/>
    <cellStyle name="Normal 10 4 4 4 3" xfId="13406"/>
    <cellStyle name="Normal 10 4 4 4 4" xfId="9847"/>
    <cellStyle name="Normal 10 4 4 4 5" xfId="4829"/>
    <cellStyle name="Normal 10 4 4 5" xfId="1746"/>
    <cellStyle name="Normal 10 4 4 5 2" xfId="10909"/>
    <cellStyle name="Normal 10 4 4 5 3" xfId="5893"/>
    <cellStyle name="Normal 10 4 4 6" xfId="8470"/>
    <cellStyle name="Normal 10 4 4 7" xfId="12363"/>
    <cellStyle name="Normal 10 4 4 8" xfId="7440"/>
    <cellStyle name="Normal 10 4 4 9" xfId="3392"/>
    <cellStyle name="Normal 10 4 4_Degree data" xfId="2648"/>
    <cellStyle name="Normal 10 4 5" xfId="429"/>
    <cellStyle name="Normal 10 4 5 2" xfId="837"/>
    <cellStyle name="Normal 10 4 5 2 2" xfId="9688"/>
    <cellStyle name="Normal 10 4 5 2 3" xfId="4670"/>
    <cellStyle name="Normal 10 4 5 3" xfId="1987"/>
    <cellStyle name="Normal 10 4 5 3 2" xfId="11150"/>
    <cellStyle name="Normal 10 4 5 3 3" xfId="6134"/>
    <cellStyle name="Normal 10 4 5 4" xfId="8804"/>
    <cellStyle name="Normal 10 4 5 5" xfId="12604"/>
    <cellStyle name="Normal 10 4 5 6" xfId="7281"/>
    <cellStyle name="Normal 10 4 5 7" xfId="3735"/>
    <cellStyle name="Normal 10 4 6" xfId="764"/>
    <cellStyle name="Normal 10 4 6 2" xfId="2336"/>
    <cellStyle name="Normal 10 4 6 2 2" xfId="10093"/>
    <cellStyle name="Normal 10 4 6 2 3" xfId="5075"/>
    <cellStyle name="Normal 10 4 6 3" xfId="6483"/>
    <cellStyle name="Normal 10 4 6 3 2" xfId="11498"/>
    <cellStyle name="Normal 10 4 6 4" xfId="9209"/>
    <cellStyle name="Normal 10 4 6 5" xfId="12952"/>
    <cellStyle name="Normal 10 4 6 6" xfId="7686"/>
    <cellStyle name="Normal 10 4 6 7" xfId="4140"/>
    <cellStyle name="Normal 10 4 7" xfId="1188"/>
    <cellStyle name="Normal 10 4 7 2" xfId="2740"/>
    <cellStyle name="Normal 10 4 7 2 2" xfId="10397"/>
    <cellStyle name="Normal 10 4 7 2 3" xfId="5380"/>
    <cellStyle name="Normal 10 4 7 3" xfId="6778"/>
    <cellStyle name="Normal 10 4 7 3 2" xfId="11793"/>
    <cellStyle name="Normal 10 4 7 4" xfId="8643"/>
    <cellStyle name="Normal 10 4 7 5" xfId="13247"/>
    <cellStyle name="Normal 10 4 7 6" xfId="7991"/>
    <cellStyle name="Normal 10 4 7 7" xfId="3570"/>
    <cellStyle name="Normal 10 4 8" xfId="1587"/>
    <cellStyle name="Normal 10 4 8 2" xfId="12204"/>
    <cellStyle name="Normal 10 4 8 3" xfId="9530"/>
    <cellStyle name="Normal 10 4 8 4" xfId="4512"/>
    <cellStyle name="Normal 10 4 9" xfId="1514"/>
    <cellStyle name="Normal 10 4 9 2" xfId="10748"/>
    <cellStyle name="Normal 10 4 9 3" xfId="5732"/>
    <cellStyle name="Normal 10 4_Degree data" xfId="2672"/>
    <cellStyle name="Normal 10 5" xfId="188"/>
    <cellStyle name="Normal 10 5 10" xfId="7157"/>
    <cellStyle name="Normal 10 5 11" xfId="3326"/>
    <cellStyle name="Normal 10 5 2" xfId="371"/>
    <cellStyle name="Normal 10 5 2 2" xfId="622"/>
    <cellStyle name="Normal 10 5 2 2 2" xfId="1994"/>
    <cellStyle name="Normal 10 5 2 2 2 2" xfId="10100"/>
    <cellStyle name="Normal 10 5 2 2 2 3" xfId="5082"/>
    <cellStyle name="Normal 10 5 2 2 3" xfId="6141"/>
    <cellStyle name="Normal 10 5 2 2 3 2" xfId="11157"/>
    <cellStyle name="Normal 10 5 2 2 4" xfId="9216"/>
    <cellStyle name="Normal 10 5 2 2 5" xfId="12611"/>
    <cellStyle name="Normal 10 5 2 2 6" xfId="7693"/>
    <cellStyle name="Normal 10 5 2 2 7" xfId="4147"/>
    <cellStyle name="Normal 10 5 2 3" xfId="1031"/>
    <cellStyle name="Normal 10 5 2 3 2" xfId="2343"/>
    <cellStyle name="Normal 10 5 2 3 2 2" xfId="10590"/>
    <cellStyle name="Normal 10 5 2 3 2 3" xfId="5573"/>
    <cellStyle name="Normal 10 5 2 3 3" xfId="6490"/>
    <cellStyle name="Normal 10 5 2 3 3 2" xfId="11505"/>
    <cellStyle name="Normal 10 5 2 3 4" xfId="8997"/>
    <cellStyle name="Normal 10 5 2 3 5" xfId="12959"/>
    <cellStyle name="Normal 10 5 2 3 6" xfId="8184"/>
    <cellStyle name="Normal 10 5 2 3 7" xfId="3928"/>
    <cellStyle name="Normal 10 5 2 4" xfId="1388"/>
    <cellStyle name="Normal 10 5 2 4 2" xfId="2946"/>
    <cellStyle name="Normal 10 5 2 4 2 2" xfId="11986"/>
    <cellStyle name="Normal 10 5 2 4 2 3" xfId="6971"/>
    <cellStyle name="Normal 10 5 2 4 3" xfId="13440"/>
    <cellStyle name="Normal 10 5 2 4 4" xfId="9881"/>
    <cellStyle name="Normal 10 5 2 4 5" xfId="4863"/>
    <cellStyle name="Normal 10 5 2 5" xfId="1780"/>
    <cellStyle name="Normal 10 5 2 5 2" xfId="10943"/>
    <cellStyle name="Normal 10 5 2 5 3" xfId="5927"/>
    <cellStyle name="Normal 10 5 2 6" xfId="8504"/>
    <cellStyle name="Normal 10 5 2 7" xfId="12397"/>
    <cellStyle name="Normal 10 5 2 8" xfId="7474"/>
    <cellStyle name="Normal 10 5 2 9" xfId="3426"/>
    <cellStyle name="Normal 10 5 2_Degree data" xfId="2668"/>
    <cellStyle name="Normal 10 5 3" xfId="522"/>
    <cellStyle name="Normal 10 5 3 2" xfId="931"/>
    <cellStyle name="Normal 10 5 3 2 2" xfId="9781"/>
    <cellStyle name="Normal 10 5 3 2 3" xfId="4763"/>
    <cellStyle name="Normal 10 5 3 3" xfId="1993"/>
    <cellStyle name="Normal 10 5 3 3 2" xfId="11156"/>
    <cellStyle name="Normal 10 5 3 3 3" xfId="6140"/>
    <cellStyle name="Normal 10 5 3 4" xfId="8897"/>
    <cellStyle name="Normal 10 5 3 5" xfId="12610"/>
    <cellStyle name="Normal 10 5 3 6" xfId="7374"/>
    <cellStyle name="Normal 10 5 3 7" xfId="3828"/>
    <cellStyle name="Normal 10 5 4" xfId="794"/>
    <cellStyle name="Normal 10 5 4 2" xfId="2342"/>
    <cellStyle name="Normal 10 5 4 2 2" xfId="10099"/>
    <cellStyle name="Normal 10 5 4 2 3" xfId="5081"/>
    <cellStyle name="Normal 10 5 4 3" xfId="6489"/>
    <cellStyle name="Normal 10 5 4 3 2" xfId="11504"/>
    <cellStyle name="Normal 10 5 4 4" xfId="9215"/>
    <cellStyle name="Normal 10 5 4 5" xfId="12958"/>
    <cellStyle name="Normal 10 5 4 6" xfId="7692"/>
    <cellStyle name="Normal 10 5 4 7" xfId="4146"/>
    <cellStyle name="Normal 10 5 5" xfId="1287"/>
    <cellStyle name="Normal 10 5 5 2" xfId="2844"/>
    <cellStyle name="Normal 10 5 5 2 2" xfId="10490"/>
    <cellStyle name="Normal 10 5 5 2 3" xfId="5473"/>
    <cellStyle name="Normal 10 5 5 3" xfId="6871"/>
    <cellStyle name="Normal 10 5 5 3 2" xfId="11886"/>
    <cellStyle name="Normal 10 5 5 4" xfId="8678"/>
    <cellStyle name="Normal 10 5 5 5" xfId="13340"/>
    <cellStyle name="Normal 10 5 5 6" xfId="8084"/>
    <cellStyle name="Normal 10 5 5 7" xfId="3607"/>
    <cellStyle name="Normal 10 5 6" xfId="1680"/>
    <cellStyle name="Normal 10 5 6 2" xfId="9564"/>
    <cellStyle name="Normal 10 5 6 3" xfId="4546"/>
    <cellStyle name="Normal 10 5 7" xfId="5827"/>
    <cellStyle name="Normal 10 5 7 2" xfId="10843"/>
    <cellStyle name="Normal 10 5 8" xfId="8404"/>
    <cellStyle name="Normal 10 5 9" xfId="12297"/>
    <cellStyle name="Normal 10 5_Degree data" xfId="2669"/>
    <cellStyle name="Normal 10 6" xfId="224"/>
    <cellStyle name="Normal 10 6 2" xfId="1968"/>
    <cellStyle name="Normal 10 6 2 2" xfId="10074"/>
    <cellStyle name="Normal 10 6 2 3" xfId="5056"/>
    <cellStyle name="Normal 10 6 3" xfId="6115"/>
    <cellStyle name="Normal 10 6 3 2" xfId="11131"/>
    <cellStyle name="Normal 10 6 4" xfId="9190"/>
    <cellStyle name="Normal 10 6 5" xfId="12585"/>
    <cellStyle name="Normal 10 6 6" xfId="7667"/>
    <cellStyle name="Normal 10 6 7" xfId="4121"/>
    <cellStyle name="Normal 10 7" xfId="740"/>
    <cellStyle name="Normal 10 7 2" xfId="2317"/>
    <cellStyle name="Normal 10 7 2 2" xfId="10354"/>
    <cellStyle name="Normal 10 7 2 3" xfId="5337"/>
    <cellStyle name="Normal 10 7 3" xfId="6464"/>
    <cellStyle name="Normal 10 7 3 2" xfId="11479"/>
    <cellStyle name="Normal 10 7 4" xfId="9480"/>
    <cellStyle name="Normal 10 7 5" xfId="12933"/>
    <cellStyle name="Normal 10 7 6" xfId="7948"/>
    <cellStyle name="Normal 10 7 7" xfId="4462"/>
    <cellStyle name="Normal 10 8" xfId="1144"/>
    <cellStyle name="Normal 10 8 2" xfId="2641"/>
    <cellStyle name="Normal 10 8 2 2" xfId="11750"/>
    <cellStyle name="Normal 10 8 2 3" xfId="6735"/>
    <cellStyle name="Normal 10 8 3" xfId="13204"/>
    <cellStyle name="Normal 10 8 4" xfId="10700"/>
    <cellStyle name="Normal 10 8 5" xfId="5683"/>
    <cellStyle name="Normal 10 9" xfId="1544"/>
    <cellStyle name="Normal 10 9 2" xfId="12161"/>
    <cellStyle name="Normal 10 9 3" xfId="10704"/>
    <cellStyle name="Normal 10 9 4" xfId="5688"/>
    <cellStyle name="Normal 10_Degree data" xfId="2590"/>
    <cellStyle name="Normal 100" xfId="733"/>
    <cellStyle name="Normal 100 2" xfId="12113"/>
    <cellStyle name="Normal 101" xfId="1140"/>
    <cellStyle name="Normal 101 2" xfId="7092"/>
    <cellStyle name="Normal 102" xfId="7944"/>
    <cellStyle name="Normal 103" xfId="13549"/>
    <cellStyle name="Normal 104" xfId="3211"/>
    <cellStyle name="Normal 105" xfId="3212"/>
    <cellStyle name="Normal 106" xfId="13551"/>
    <cellStyle name="Normal 107" xfId="13555"/>
    <cellStyle name="Normal 108" xfId="13550"/>
    <cellStyle name="Normal 11" xfId="125"/>
    <cellStyle name="Normal 12" xfId="80"/>
    <cellStyle name="Normal 12 2" xfId="133"/>
    <cellStyle name="Normal 12 3" xfId="116"/>
    <cellStyle name="Normal 13" xfId="24"/>
    <cellStyle name="Normal 13 2" xfId="81"/>
    <cellStyle name="Normal 13 3" xfId="127"/>
    <cellStyle name="Normal 13 3 2" xfId="269"/>
    <cellStyle name="Normal 13 3 3" xfId="306"/>
    <cellStyle name="Normal 14" xfId="79"/>
    <cellStyle name="Normal 14 2" xfId="132"/>
    <cellStyle name="Normal 14 3" xfId="114"/>
    <cellStyle name="Normal 15" xfId="115"/>
    <cellStyle name="Normal 15 2" xfId="1497"/>
    <cellStyle name="Normal 15 2 2" xfId="2344"/>
    <cellStyle name="Normal 15 2 2 2" xfId="5681"/>
    <cellStyle name="Normal 15 2 2 2 2" xfId="10698"/>
    <cellStyle name="Normal 15 2 2 3" xfId="6491"/>
    <cellStyle name="Normal 15 2 2 3 2" xfId="11506"/>
    <cellStyle name="Normal 15 2 2 4" xfId="9477"/>
    <cellStyle name="Normal 15 2 2 5" xfId="12960"/>
    <cellStyle name="Normal 15 2 2 6" xfId="8292"/>
    <cellStyle name="Normal 15 2 2 7" xfId="4459"/>
    <cellStyle name="Normal 15 2 3" xfId="3059"/>
    <cellStyle name="Normal 15 2 3 2" xfId="7079"/>
    <cellStyle name="Normal 15 2 3 2 2" xfId="12094"/>
    <cellStyle name="Normal 15 2 3 3" xfId="13548"/>
    <cellStyle name="Normal 15 2 3 4" xfId="10101"/>
    <cellStyle name="Normal 15 2 3 5" xfId="5083"/>
    <cellStyle name="Normal 15 2 4" xfId="1995"/>
    <cellStyle name="Normal 15 2 4 2" xfId="11158"/>
    <cellStyle name="Normal 15 2 4 3" xfId="6142"/>
    <cellStyle name="Normal 15 2 5" xfId="9217"/>
    <cellStyle name="Normal 15 2 6" xfId="12612"/>
    <cellStyle name="Normal 15 2 7" xfId="7694"/>
    <cellStyle name="Normal 15 2 8" xfId="4148"/>
    <cellStyle name="Normal 15 2_Degree data" xfId="2967"/>
    <cellStyle name="Normal 16" xfId="25"/>
    <cellStyle name="Normal 17" xfId="26"/>
    <cellStyle name="Normal 18" xfId="27"/>
    <cellStyle name="Normal 19" xfId="50"/>
    <cellStyle name="Normal 19 2" xfId="141"/>
    <cellStyle name="Normal 19 3" xfId="109"/>
    <cellStyle name="Normal 2" xfId="10"/>
    <cellStyle name="Normal 2 2" xfId="66"/>
    <cellStyle name="Normal 2 2 2" xfId="69"/>
    <cellStyle name="Normal 2 2 3" xfId="737"/>
    <cellStyle name="Normal 2 3" xfId="93"/>
    <cellStyle name="Normal 2 3 2" xfId="94"/>
    <cellStyle name="Normal 2 4" xfId="102"/>
    <cellStyle name="Normal 2 4 2" xfId="726"/>
    <cellStyle name="Normal 2 5" xfId="68"/>
    <cellStyle name="Normal 2 5 10" xfId="416"/>
    <cellStyle name="Normal 2 5 10 2" xfId="824"/>
    <cellStyle name="Normal 2 5 10 2 2" xfId="1997"/>
    <cellStyle name="Normal 2 5 10 2 2 2" xfId="10103"/>
    <cellStyle name="Normal 2 5 10 2 2 3" xfId="5085"/>
    <cellStyle name="Normal 2 5 10 2 3" xfId="6144"/>
    <cellStyle name="Normal 2 5 10 2 3 2" xfId="11160"/>
    <cellStyle name="Normal 2 5 10 2 4" xfId="9219"/>
    <cellStyle name="Normal 2 5 10 2 5" xfId="12614"/>
    <cellStyle name="Normal 2 5 10 2 6" xfId="7696"/>
    <cellStyle name="Normal 2 5 10 2 7" xfId="4150"/>
    <cellStyle name="Normal 2 5 10 3" xfId="1174"/>
    <cellStyle name="Normal 2 5 10 3 2" xfId="2346"/>
    <cellStyle name="Normal 2 5 10 3 2 2" xfId="10384"/>
    <cellStyle name="Normal 2 5 10 3 2 3" xfId="5367"/>
    <cellStyle name="Normal 2 5 10 3 3" xfId="6493"/>
    <cellStyle name="Normal 2 5 10 3 3 2" xfId="11508"/>
    <cellStyle name="Normal 2 5 10 3 4" xfId="9471"/>
    <cellStyle name="Normal 2 5 10 3 5" xfId="12962"/>
    <cellStyle name="Normal 2 5 10 3 6" xfId="7978"/>
    <cellStyle name="Normal 2 5 10 3 7" xfId="4453"/>
    <cellStyle name="Normal 2 5 10 4" xfId="2725"/>
    <cellStyle name="Normal 2 5 10 4 2" xfId="6765"/>
    <cellStyle name="Normal 2 5 10 4 2 2" xfId="11780"/>
    <cellStyle name="Normal 2 5 10 4 3" xfId="13234"/>
    <cellStyle name="Normal 2 5 10 4 4" xfId="9675"/>
    <cellStyle name="Normal 2 5 10 4 5" xfId="4657"/>
    <cellStyle name="Normal 2 5 10 5" xfId="1574"/>
    <cellStyle name="Normal 2 5 10 5 2" xfId="10735"/>
    <cellStyle name="Normal 2 5 10 5 3" xfId="5719"/>
    <cellStyle name="Normal 2 5 10 6" xfId="8791"/>
    <cellStyle name="Normal 2 5 10 7" xfId="12191"/>
    <cellStyle name="Normal 2 5 10 8" xfId="7268"/>
    <cellStyle name="Normal 2 5 10 9" xfId="3722"/>
    <cellStyle name="Normal 2 5 10_Degree data" xfId="2836"/>
    <cellStyle name="Normal 2 5 11" xfId="734"/>
    <cellStyle name="Normal 2 5 11 2" xfId="1996"/>
    <cellStyle name="Normal 2 5 11 2 2" xfId="10102"/>
    <cellStyle name="Normal 2 5 11 2 3" xfId="5084"/>
    <cellStyle name="Normal 2 5 11 3" xfId="6143"/>
    <cellStyle name="Normal 2 5 11 3 2" xfId="11159"/>
    <cellStyle name="Normal 2 5 11 4" xfId="9218"/>
    <cellStyle name="Normal 2 5 11 5" xfId="12613"/>
    <cellStyle name="Normal 2 5 11 6" xfId="7695"/>
    <cellStyle name="Normal 2 5 11 7" xfId="4149"/>
    <cellStyle name="Normal 2 5 12" xfId="1142"/>
    <cellStyle name="Normal 2 5 12 2" xfId="2345"/>
    <cellStyle name="Normal 2 5 12 2 2" xfId="10352"/>
    <cellStyle name="Normal 2 5 12 2 3" xfId="5335"/>
    <cellStyle name="Normal 2 5 12 3" xfId="6492"/>
    <cellStyle name="Normal 2 5 12 3 2" xfId="11507"/>
    <cellStyle name="Normal 2 5 12 4" xfId="8618"/>
    <cellStyle name="Normal 2 5 12 5" xfId="12961"/>
    <cellStyle name="Normal 2 5 12 6" xfId="7946"/>
    <cellStyle name="Normal 2 5 12 7" xfId="3540"/>
    <cellStyle name="Normal 2 5 13" xfId="2638"/>
    <cellStyle name="Normal 2 5 13 2" xfId="6733"/>
    <cellStyle name="Normal 2 5 13 2 2" xfId="11748"/>
    <cellStyle name="Normal 2 5 13 3" xfId="13202"/>
    <cellStyle name="Normal 2 5 13 4" xfId="9504"/>
    <cellStyle name="Normal 2 5 13 5" xfId="4486"/>
    <cellStyle name="Normal 2 5 14" xfId="1542"/>
    <cellStyle name="Normal 2 5 14 2" xfId="12159"/>
    <cellStyle name="Normal 2 5 14 3" xfId="10702"/>
    <cellStyle name="Normal 2 5 14 4" xfId="5686"/>
    <cellStyle name="Normal 2 5 15" xfId="1502"/>
    <cellStyle name="Normal 2 5 15 2" xfId="8298"/>
    <cellStyle name="Normal 2 5 16" xfId="12119"/>
    <cellStyle name="Normal 2 5 17" xfId="7098"/>
    <cellStyle name="Normal 2 5 18" xfId="3216"/>
    <cellStyle name="Normal 2 5 2" xfId="95"/>
    <cellStyle name="Normal 2 5 2 10" xfId="2667"/>
    <cellStyle name="Normal 2 5 2 10 2" xfId="6741"/>
    <cellStyle name="Normal 2 5 2 10 2 2" xfId="11756"/>
    <cellStyle name="Normal 2 5 2 10 3" xfId="13210"/>
    <cellStyle name="Normal 2 5 2 10 4" xfId="9517"/>
    <cellStyle name="Normal 2 5 2 10 5" xfId="4499"/>
    <cellStyle name="Normal 2 5 2 11" xfId="1550"/>
    <cellStyle name="Normal 2 5 2 11 2" xfId="12167"/>
    <cellStyle name="Normal 2 5 2 11 3" xfId="10711"/>
    <cellStyle name="Normal 2 5 2 11 4" xfId="5695"/>
    <cellStyle name="Normal 2 5 2 12" xfId="1510"/>
    <cellStyle name="Normal 2 5 2 12 2" xfId="8306"/>
    <cellStyle name="Normal 2 5 2 13" xfId="12127"/>
    <cellStyle name="Normal 2 5 2 14" xfId="7111"/>
    <cellStyle name="Normal 2 5 2 15" xfId="3227"/>
    <cellStyle name="Normal 2 5 2 2" xfId="139"/>
    <cellStyle name="Normal 2 5 2 2 10" xfId="1532"/>
    <cellStyle name="Normal 2 5 2 2 10 2" xfId="8331"/>
    <cellStyle name="Normal 2 5 2 2 11" xfId="12149"/>
    <cellStyle name="Normal 2 5 2 2 12" xfId="7141"/>
    <cellStyle name="Normal 2 5 2 2 13" xfId="3253"/>
    <cellStyle name="Normal 2 5 2 2 2" xfId="180"/>
    <cellStyle name="Normal 2 5 2 2 2 10" xfId="7184"/>
    <cellStyle name="Normal 2 5 2 2 2 11" xfId="3353"/>
    <cellStyle name="Normal 2 5 2 2 2 2" xfId="399"/>
    <cellStyle name="Normal 2 5 2 2 2 2 2" xfId="649"/>
    <cellStyle name="Normal 2 5 2 2 2 2 2 2" xfId="2001"/>
    <cellStyle name="Normal 2 5 2 2 2 2 2 2 2" xfId="10107"/>
    <cellStyle name="Normal 2 5 2 2 2 2 2 2 3" xfId="5089"/>
    <cellStyle name="Normal 2 5 2 2 2 2 2 3" xfId="6148"/>
    <cellStyle name="Normal 2 5 2 2 2 2 2 3 2" xfId="11164"/>
    <cellStyle name="Normal 2 5 2 2 2 2 2 4" xfId="9223"/>
    <cellStyle name="Normal 2 5 2 2 2 2 2 5" xfId="12618"/>
    <cellStyle name="Normal 2 5 2 2 2 2 2 6" xfId="7700"/>
    <cellStyle name="Normal 2 5 2 2 2 2 2 7" xfId="4154"/>
    <cellStyle name="Normal 2 5 2 2 2 2 3" xfId="1058"/>
    <cellStyle name="Normal 2 5 2 2 2 2 3 2" xfId="2350"/>
    <cellStyle name="Normal 2 5 2 2 2 2 3 2 2" xfId="10617"/>
    <cellStyle name="Normal 2 5 2 2 2 2 3 2 3" xfId="5600"/>
    <cellStyle name="Normal 2 5 2 2 2 2 3 3" xfId="6497"/>
    <cellStyle name="Normal 2 5 2 2 2 2 3 3 2" xfId="11512"/>
    <cellStyle name="Normal 2 5 2 2 2 2 3 4" xfId="9024"/>
    <cellStyle name="Normal 2 5 2 2 2 2 3 5" xfId="12966"/>
    <cellStyle name="Normal 2 5 2 2 2 2 3 6" xfId="8211"/>
    <cellStyle name="Normal 2 5 2 2 2 2 3 7" xfId="3955"/>
    <cellStyle name="Normal 2 5 2 2 2 2 4" xfId="1416"/>
    <cellStyle name="Normal 2 5 2 2 2 2 4 2" xfId="2974"/>
    <cellStyle name="Normal 2 5 2 2 2 2 4 2 2" xfId="12013"/>
    <cellStyle name="Normal 2 5 2 2 2 2 4 2 3" xfId="6998"/>
    <cellStyle name="Normal 2 5 2 2 2 2 4 3" xfId="13467"/>
    <cellStyle name="Normal 2 5 2 2 2 2 4 4" xfId="9908"/>
    <cellStyle name="Normal 2 5 2 2 2 2 4 5" xfId="4890"/>
    <cellStyle name="Normal 2 5 2 2 2 2 5" xfId="1807"/>
    <cellStyle name="Normal 2 5 2 2 2 2 5 2" xfId="10970"/>
    <cellStyle name="Normal 2 5 2 2 2 2 5 3" xfId="5954"/>
    <cellStyle name="Normal 2 5 2 2 2 2 6" xfId="8531"/>
    <cellStyle name="Normal 2 5 2 2 2 2 7" xfId="12424"/>
    <cellStyle name="Normal 2 5 2 2 2 2 8" xfId="7501"/>
    <cellStyle name="Normal 2 5 2 2 2 2 9" xfId="3453"/>
    <cellStyle name="Normal 2 5 2 2 2 2_Degree data" xfId="2735"/>
    <cellStyle name="Normal 2 5 2 2 2 3" xfId="549"/>
    <cellStyle name="Normal 2 5 2 2 2 3 2" xfId="958"/>
    <cellStyle name="Normal 2 5 2 2 2 3 2 2" xfId="9808"/>
    <cellStyle name="Normal 2 5 2 2 2 3 2 3" xfId="4790"/>
    <cellStyle name="Normal 2 5 2 2 2 3 3" xfId="2000"/>
    <cellStyle name="Normal 2 5 2 2 2 3 3 2" xfId="11163"/>
    <cellStyle name="Normal 2 5 2 2 2 3 3 3" xfId="6147"/>
    <cellStyle name="Normal 2 5 2 2 2 3 4" xfId="8924"/>
    <cellStyle name="Normal 2 5 2 2 2 3 5" xfId="12617"/>
    <cellStyle name="Normal 2 5 2 2 2 3 6" xfId="7401"/>
    <cellStyle name="Normal 2 5 2 2 2 3 7" xfId="3855"/>
    <cellStyle name="Normal 2 5 2 2 2 4" xfId="782"/>
    <cellStyle name="Normal 2 5 2 2 2 4 2" xfId="2349"/>
    <cellStyle name="Normal 2 5 2 2 2 4 2 2" xfId="10106"/>
    <cellStyle name="Normal 2 5 2 2 2 4 2 3" xfId="5088"/>
    <cellStyle name="Normal 2 5 2 2 2 4 3" xfId="6496"/>
    <cellStyle name="Normal 2 5 2 2 2 4 3 2" xfId="11511"/>
    <cellStyle name="Normal 2 5 2 2 2 4 4" xfId="9222"/>
    <cellStyle name="Normal 2 5 2 2 2 4 5" xfId="12965"/>
    <cellStyle name="Normal 2 5 2 2 2 4 6" xfId="7699"/>
    <cellStyle name="Normal 2 5 2 2 2 4 7" xfId="4153"/>
    <cellStyle name="Normal 2 5 2 2 2 5" xfId="1314"/>
    <cellStyle name="Normal 2 5 2 2 2 5 2" xfId="2872"/>
    <cellStyle name="Normal 2 5 2 2 2 5 2 2" xfId="10517"/>
    <cellStyle name="Normal 2 5 2 2 2 5 2 3" xfId="5500"/>
    <cellStyle name="Normal 2 5 2 2 2 5 3" xfId="6898"/>
    <cellStyle name="Normal 2 5 2 2 2 5 3 2" xfId="11913"/>
    <cellStyle name="Normal 2 5 2 2 2 5 4" xfId="8705"/>
    <cellStyle name="Normal 2 5 2 2 2 5 5" xfId="13367"/>
    <cellStyle name="Normal 2 5 2 2 2 5 6" xfId="8111"/>
    <cellStyle name="Normal 2 5 2 2 2 5 7" xfId="3635"/>
    <cellStyle name="Normal 2 5 2 2 2 6" xfId="1707"/>
    <cellStyle name="Normal 2 5 2 2 2 6 2" xfId="9591"/>
    <cellStyle name="Normal 2 5 2 2 2 6 3" xfId="4573"/>
    <cellStyle name="Normal 2 5 2 2 2 7" xfId="5854"/>
    <cellStyle name="Normal 2 5 2 2 2 7 2" xfId="10870"/>
    <cellStyle name="Normal 2 5 2 2 2 8" xfId="8431"/>
    <cellStyle name="Normal 2 5 2 2 2 9" xfId="12324"/>
    <cellStyle name="Normal 2 5 2 2 2_Degree data" xfId="2802"/>
    <cellStyle name="Normal 2 5 2 2 3" xfId="206"/>
    <cellStyle name="Normal 2 5 2 2 3 10" xfId="7245"/>
    <cellStyle name="Normal 2 5 2 2 3 11" xfId="3310"/>
    <cellStyle name="Normal 2 5 2 2 3 2" xfId="355"/>
    <cellStyle name="Normal 2 5 2 2 3 2 2" xfId="710"/>
    <cellStyle name="Normal 2 5 2 2 3 2 2 2" xfId="2003"/>
    <cellStyle name="Normal 2 5 2 2 3 2 2 2 2" xfId="10109"/>
    <cellStyle name="Normal 2 5 2 2 3 2 2 2 3" xfId="5091"/>
    <cellStyle name="Normal 2 5 2 2 3 2 2 3" xfId="6150"/>
    <cellStyle name="Normal 2 5 2 2 3 2 2 3 2" xfId="11166"/>
    <cellStyle name="Normal 2 5 2 2 3 2 2 4" xfId="9225"/>
    <cellStyle name="Normal 2 5 2 2 3 2 2 5" xfId="12620"/>
    <cellStyle name="Normal 2 5 2 2 3 2 2 6" xfId="7702"/>
    <cellStyle name="Normal 2 5 2 2 3 2 2 7" xfId="4156"/>
    <cellStyle name="Normal 2 5 2 2 3 2 3" xfId="1119"/>
    <cellStyle name="Normal 2 5 2 2 3 2 3 2" xfId="2352"/>
    <cellStyle name="Normal 2 5 2 2 3 2 3 2 2" xfId="10678"/>
    <cellStyle name="Normal 2 5 2 2 3 2 3 2 3" xfId="5661"/>
    <cellStyle name="Normal 2 5 2 2 3 2 3 3" xfId="6499"/>
    <cellStyle name="Normal 2 5 2 2 3 2 3 3 2" xfId="11514"/>
    <cellStyle name="Normal 2 5 2 2 3 2 3 4" xfId="9085"/>
    <cellStyle name="Normal 2 5 2 2 3 2 3 5" xfId="12968"/>
    <cellStyle name="Normal 2 5 2 2 3 2 3 6" xfId="8272"/>
    <cellStyle name="Normal 2 5 2 2 3 2 3 7" xfId="4016"/>
    <cellStyle name="Normal 2 5 2 2 3 2 4" xfId="1477"/>
    <cellStyle name="Normal 2 5 2 2 3 2 4 2" xfId="3036"/>
    <cellStyle name="Normal 2 5 2 2 3 2 4 2 2" xfId="12074"/>
    <cellStyle name="Normal 2 5 2 2 3 2 4 2 3" xfId="7059"/>
    <cellStyle name="Normal 2 5 2 2 3 2 4 3" xfId="13528"/>
    <cellStyle name="Normal 2 5 2 2 3 2 4 4" xfId="9969"/>
    <cellStyle name="Normal 2 5 2 2 3 2 4 5" xfId="4951"/>
    <cellStyle name="Normal 2 5 2 2 3 2 5" xfId="1868"/>
    <cellStyle name="Normal 2 5 2 2 3 2 5 2" xfId="11031"/>
    <cellStyle name="Normal 2 5 2 2 3 2 5 3" xfId="6015"/>
    <cellStyle name="Normal 2 5 2 2 3 2 6" xfId="8592"/>
    <cellStyle name="Normal 2 5 2 2 3 2 7" xfId="12485"/>
    <cellStyle name="Normal 2 5 2 2 3 2 8" xfId="7562"/>
    <cellStyle name="Normal 2 5 2 2 3 2 9" xfId="3514"/>
    <cellStyle name="Normal 2 5 2 2 3 2_Degree data" xfId="2773"/>
    <cellStyle name="Normal 2 5 2 2 3 3" xfId="506"/>
    <cellStyle name="Normal 2 5 2 2 3 3 2" xfId="915"/>
    <cellStyle name="Normal 2 5 2 2 3 3 2 2" xfId="9765"/>
    <cellStyle name="Normal 2 5 2 2 3 3 2 3" xfId="4747"/>
    <cellStyle name="Normal 2 5 2 2 3 3 3" xfId="2002"/>
    <cellStyle name="Normal 2 5 2 2 3 3 3 2" xfId="11165"/>
    <cellStyle name="Normal 2 5 2 2 3 3 3 3" xfId="6149"/>
    <cellStyle name="Normal 2 5 2 2 3 3 4" xfId="8881"/>
    <cellStyle name="Normal 2 5 2 2 3 3 5" xfId="12619"/>
    <cellStyle name="Normal 2 5 2 2 3 3 6" xfId="7358"/>
    <cellStyle name="Normal 2 5 2 2 3 3 7" xfId="3812"/>
    <cellStyle name="Normal 2 5 2 2 3 4" xfId="812"/>
    <cellStyle name="Normal 2 5 2 2 3 4 2" xfId="2351"/>
    <cellStyle name="Normal 2 5 2 2 3 4 2 2" xfId="10108"/>
    <cellStyle name="Normal 2 5 2 2 3 4 2 3" xfId="5090"/>
    <cellStyle name="Normal 2 5 2 2 3 4 3" xfId="6498"/>
    <cellStyle name="Normal 2 5 2 2 3 4 3 2" xfId="11513"/>
    <cellStyle name="Normal 2 5 2 2 3 4 4" xfId="9224"/>
    <cellStyle name="Normal 2 5 2 2 3 4 5" xfId="12967"/>
    <cellStyle name="Normal 2 5 2 2 3 4 6" xfId="7701"/>
    <cellStyle name="Normal 2 5 2 2 3 4 7" xfId="4155"/>
    <cellStyle name="Normal 2 5 2 2 3 5" xfId="1270"/>
    <cellStyle name="Normal 2 5 2 2 3 5 2" xfId="2827"/>
    <cellStyle name="Normal 2 5 2 2 3 5 2 2" xfId="10474"/>
    <cellStyle name="Normal 2 5 2 2 3 5 2 3" xfId="5457"/>
    <cellStyle name="Normal 2 5 2 2 3 5 3" xfId="6855"/>
    <cellStyle name="Normal 2 5 2 2 3 5 3 2" xfId="11870"/>
    <cellStyle name="Normal 2 5 2 2 3 5 4" xfId="8766"/>
    <cellStyle name="Normal 2 5 2 2 3 5 5" xfId="13324"/>
    <cellStyle name="Normal 2 5 2 2 3 5 6" xfId="8068"/>
    <cellStyle name="Normal 2 5 2 2 3 5 7" xfId="3696"/>
    <cellStyle name="Normal 2 5 2 2 3 6" xfId="1664"/>
    <cellStyle name="Normal 2 5 2 2 3 6 2" xfId="9652"/>
    <cellStyle name="Normal 2 5 2 2 3 6 3" xfId="4634"/>
    <cellStyle name="Normal 2 5 2 2 3 7" xfId="5811"/>
    <cellStyle name="Normal 2 5 2 2 3 7 2" xfId="10827"/>
    <cellStyle name="Normal 2 5 2 2 3 8" xfId="8388"/>
    <cellStyle name="Normal 2 5 2 2 3 9" xfId="12281"/>
    <cellStyle name="Normal 2 5 2 2 3_Degree data" xfId="2771"/>
    <cellStyle name="Normal 2 5 2 2 4" xfId="242"/>
    <cellStyle name="Normal 2 5 2 2 4 2" xfId="606"/>
    <cellStyle name="Normal 2 5 2 2 4 2 2" xfId="2004"/>
    <cellStyle name="Normal 2 5 2 2 4 2 2 2" xfId="10110"/>
    <cellStyle name="Normal 2 5 2 2 4 2 2 3" xfId="5092"/>
    <cellStyle name="Normal 2 5 2 2 4 2 3" xfId="6151"/>
    <cellStyle name="Normal 2 5 2 2 4 2 3 2" xfId="11167"/>
    <cellStyle name="Normal 2 5 2 2 4 2 4" xfId="9226"/>
    <cellStyle name="Normal 2 5 2 2 4 2 5" xfId="12621"/>
    <cellStyle name="Normal 2 5 2 2 4 2 6" xfId="7703"/>
    <cellStyle name="Normal 2 5 2 2 4 2 7" xfId="4157"/>
    <cellStyle name="Normal 2 5 2 2 4 3" xfId="1015"/>
    <cellStyle name="Normal 2 5 2 2 4 3 2" xfId="2353"/>
    <cellStyle name="Normal 2 5 2 2 4 3 2 2" xfId="10574"/>
    <cellStyle name="Normal 2 5 2 2 4 3 2 3" xfId="5557"/>
    <cellStyle name="Normal 2 5 2 2 4 3 3" xfId="6500"/>
    <cellStyle name="Normal 2 5 2 2 4 3 3 2" xfId="11515"/>
    <cellStyle name="Normal 2 5 2 2 4 3 4" xfId="8981"/>
    <cellStyle name="Normal 2 5 2 2 4 3 5" xfId="12969"/>
    <cellStyle name="Normal 2 5 2 2 4 3 6" xfId="8168"/>
    <cellStyle name="Normal 2 5 2 2 4 3 7" xfId="3912"/>
    <cellStyle name="Normal 2 5 2 2 4 4" xfId="1371"/>
    <cellStyle name="Normal 2 5 2 2 4 4 2" xfId="2929"/>
    <cellStyle name="Normal 2 5 2 2 4 4 2 2" xfId="11970"/>
    <cellStyle name="Normal 2 5 2 2 4 4 2 3" xfId="6955"/>
    <cellStyle name="Normal 2 5 2 2 4 4 3" xfId="13424"/>
    <cellStyle name="Normal 2 5 2 2 4 4 4" xfId="9865"/>
    <cellStyle name="Normal 2 5 2 2 4 4 5" xfId="4847"/>
    <cellStyle name="Normal 2 5 2 2 4 5" xfId="1764"/>
    <cellStyle name="Normal 2 5 2 2 4 5 2" xfId="10927"/>
    <cellStyle name="Normal 2 5 2 2 4 5 3" xfId="5911"/>
    <cellStyle name="Normal 2 5 2 2 4 6" xfId="8488"/>
    <cellStyle name="Normal 2 5 2 2 4 7" xfId="12381"/>
    <cellStyle name="Normal 2 5 2 2 4 8" xfId="7458"/>
    <cellStyle name="Normal 2 5 2 2 4 9" xfId="3410"/>
    <cellStyle name="Normal 2 5 2 2 4_Degree data" xfId="2652"/>
    <cellStyle name="Normal 2 5 2 2 5" xfId="295"/>
    <cellStyle name="Normal 2 5 2 2 5 2" xfId="858"/>
    <cellStyle name="Normal 2 5 2 2 5 2 2" xfId="2005"/>
    <cellStyle name="Normal 2 5 2 2 5 2 2 2" xfId="10111"/>
    <cellStyle name="Normal 2 5 2 2 5 2 2 3" xfId="5093"/>
    <cellStyle name="Normal 2 5 2 2 5 2 3" xfId="6152"/>
    <cellStyle name="Normal 2 5 2 2 5 2 3 2" xfId="11168"/>
    <cellStyle name="Normal 2 5 2 2 5 2 4" xfId="9227"/>
    <cellStyle name="Normal 2 5 2 2 5 2 5" xfId="12622"/>
    <cellStyle name="Normal 2 5 2 2 5 2 6" xfId="7704"/>
    <cellStyle name="Normal 2 5 2 2 5 2 7" xfId="4158"/>
    <cellStyle name="Normal 2 5 2 2 5 3" xfId="1208"/>
    <cellStyle name="Normal 2 5 2 2 5 3 2" xfId="2354"/>
    <cellStyle name="Normal 2 5 2 2 5 3 2 2" xfId="10417"/>
    <cellStyle name="Normal 2 5 2 2 5 3 2 3" xfId="5400"/>
    <cellStyle name="Normal 2 5 2 2 5 3 3" xfId="6501"/>
    <cellStyle name="Normal 2 5 2 2 5 3 3 2" xfId="11516"/>
    <cellStyle name="Normal 2 5 2 2 5 3 4" xfId="9482"/>
    <cellStyle name="Normal 2 5 2 2 5 3 5" xfId="12970"/>
    <cellStyle name="Normal 2 5 2 2 5 3 6" xfId="8011"/>
    <cellStyle name="Normal 2 5 2 2 5 3 7" xfId="4464"/>
    <cellStyle name="Normal 2 5 2 2 5 4" xfId="2762"/>
    <cellStyle name="Normal 2 5 2 2 5 4 2" xfId="6798"/>
    <cellStyle name="Normal 2 5 2 2 5 4 2 2" xfId="11813"/>
    <cellStyle name="Normal 2 5 2 2 5 4 3" xfId="13267"/>
    <cellStyle name="Normal 2 5 2 2 5 4 4" xfId="9708"/>
    <cellStyle name="Normal 2 5 2 2 5 4 5" xfId="4690"/>
    <cellStyle name="Normal 2 5 2 2 5 5" xfId="1607"/>
    <cellStyle name="Normal 2 5 2 2 5 5 2" xfId="10768"/>
    <cellStyle name="Normal 2 5 2 2 5 5 3" xfId="5752"/>
    <cellStyle name="Normal 2 5 2 2 5 6" xfId="8824"/>
    <cellStyle name="Normal 2 5 2 2 5 7" xfId="12224"/>
    <cellStyle name="Normal 2 5 2 2 5 8" xfId="7301"/>
    <cellStyle name="Normal 2 5 2 2 5 9" xfId="3755"/>
    <cellStyle name="Normal 2 5 2 2 5_Degree data" xfId="2663"/>
    <cellStyle name="Normal 2 5 2 2 6" xfId="449"/>
    <cellStyle name="Normal 2 5 2 2 6 2" xfId="1999"/>
    <cellStyle name="Normal 2 5 2 2 6 2 2" xfId="10105"/>
    <cellStyle name="Normal 2 5 2 2 6 2 3" xfId="5087"/>
    <cellStyle name="Normal 2 5 2 2 6 3" xfId="6146"/>
    <cellStyle name="Normal 2 5 2 2 6 3 2" xfId="11162"/>
    <cellStyle name="Normal 2 5 2 2 6 4" xfId="9221"/>
    <cellStyle name="Normal 2 5 2 2 6 5" xfId="12616"/>
    <cellStyle name="Normal 2 5 2 2 6 6" xfId="7698"/>
    <cellStyle name="Normal 2 5 2 2 6 7" xfId="4152"/>
    <cellStyle name="Normal 2 5 2 2 7" xfId="758"/>
    <cellStyle name="Normal 2 5 2 2 7 2" xfId="2348"/>
    <cellStyle name="Normal 2 5 2 2 7 2 2" xfId="10372"/>
    <cellStyle name="Normal 2 5 2 2 7 2 3" xfId="5355"/>
    <cellStyle name="Normal 2 5 2 2 7 3" xfId="6495"/>
    <cellStyle name="Normal 2 5 2 2 7 3 2" xfId="11510"/>
    <cellStyle name="Normal 2 5 2 2 7 4" xfId="8662"/>
    <cellStyle name="Normal 2 5 2 2 7 5" xfId="12964"/>
    <cellStyle name="Normal 2 5 2 2 7 6" xfId="7966"/>
    <cellStyle name="Normal 2 5 2 2 7 7" xfId="3589"/>
    <cellStyle name="Normal 2 5 2 2 8" xfId="1162"/>
    <cellStyle name="Normal 2 5 2 2 8 2" xfId="2711"/>
    <cellStyle name="Normal 2 5 2 2 8 2 2" xfId="11768"/>
    <cellStyle name="Normal 2 5 2 2 8 2 3" xfId="6753"/>
    <cellStyle name="Normal 2 5 2 2 8 3" xfId="13222"/>
    <cellStyle name="Normal 2 5 2 2 8 4" xfId="9548"/>
    <cellStyle name="Normal 2 5 2 2 8 5" xfId="4530"/>
    <cellStyle name="Normal 2 5 2 2 9" xfId="1562"/>
    <cellStyle name="Normal 2 5 2 2 9 2" xfId="12179"/>
    <cellStyle name="Normal 2 5 2 2 9 3" xfId="10723"/>
    <cellStyle name="Normal 2 5 2 2 9 4" xfId="5707"/>
    <cellStyle name="Normal 2 5 2 2_Degree data" xfId="2804"/>
    <cellStyle name="Normal 2 5 2 3" xfId="168"/>
    <cellStyle name="Normal 2 5 2 3 10" xfId="8317"/>
    <cellStyle name="Normal 2 5 2 3 11" xfId="12137"/>
    <cellStyle name="Normal 2 5 2 3 12" xfId="7129"/>
    <cellStyle name="Normal 2 5 2 3 13" xfId="3238"/>
    <cellStyle name="Normal 2 5 2 3 2" xfId="386"/>
    <cellStyle name="Normal 2 5 2 3 2 10" xfId="7172"/>
    <cellStyle name="Normal 2 5 2 3 2 11" xfId="3341"/>
    <cellStyle name="Normal 2 5 2 3 2 2" xfId="637"/>
    <cellStyle name="Normal 2 5 2 3 2 2 2" xfId="1046"/>
    <cellStyle name="Normal 2 5 2 3 2 2 2 2" xfId="2008"/>
    <cellStyle name="Normal 2 5 2 3 2 2 2 2 2" xfId="10114"/>
    <cellStyle name="Normal 2 5 2 3 2 2 2 2 3" xfId="5096"/>
    <cellStyle name="Normal 2 5 2 3 2 2 2 3" xfId="6155"/>
    <cellStyle name="Normal 2 5 2 3 2 2 2 3 2" xfId="11171"/>
    <cellStyle name="Normal 2 5 2 3 2 2 2 4" xfId="9230"/>
    <cellStyle name="Normal 2 5 2 3 2 2 2 5" xfId="12625"/>
    <cellStyle name="Normal 2 5 2 3 2 2 2 6" xfId="7707"/>
    <cellStyle name="Normal 2 5 2 3 2 2 2 7" xfId="4161"/>
    <cellStyle name="Normal 2 5 2 3 2 2 3" xfId="1403"/>
    <cellStyle name="Normal 2 5 2 3 2 2 3 2" xfId="2357"/>
    <cellStyle name="Normal 2 5 2 3 2 2 3 2 2" xfId="10605"/>
    <cellStyle name="Normal 2 5 2 3 2 2 3 2 3" xfId="5588"/>
    <cellStyle name="Normal 2 5 2 3 2 2 3 3" xfId="6504"/>
    <cellStyle name="Normal 2 5 2 3 2 2 3 3 2" xfId="11519"/>
    <cellStyle name="Normal 2 5 2 3 2 2 3 4" xfId="9012"/>
    <cellStyle name="Normal 2 5 2 3 2 2 3 5" xfId="12973"/>
    <cellStyle name="Normal 2 5 2 3 2 2 3 6" xfId="8199"/>
    <cellStyle name="Normal 2 5 2 3 2 2 3 7" xfId="3943"/>
    <cellStyle name="Normal 2 5 2 3 2 2 4" xfId="2961"/>
    <cellStyle name="Normal 2 5 2 3 2 2 4 2" xfId="6986"/>
    <cellStyle name="Normal 2 5 2 3 2 2 4 2 2" xfId="12001"/>
    <cellStyle name="Normal 2 5 2 3 2 2 4 3" xfId="13455"/>
    <cellStyle name="Normal 2 5 2 3 2 2 4 4" xfId="9896"/>
    <cellStyle name="Normal 2 5 2 3 2 2 4 5" xfId="4878"/>
    <cellStyle name="Normal 2 5 2 3 2 2 5" xfId="1795"/>
    <cellStyle name="Normal 2 5 2 3 2 2 5 2" xfId="10958"/>
    <cellStyle name="Normal 2 5 2 3 2 2 5 3" xfId="5942"/>
    <cellStyle name="Normal 2 5 2 3 2 2 6" xfId="8519"/>
    <cellStyle name="Normal 2 5 2 3 2 2 7" xfId="12412"/>
    <cellStyle name="Normal 2 5 2 3 2 2 8" xfId="7489"/>
    <cellStyle name="Normal 2 5 2 3 2 2 9" xfId="3441"/>
    <cellStyle name="Normal 2 5 2 3 2 2_Degree data" xfId="2655"/>
    <cellStyle name="Normal 2 5 2 3 2 3" xfId="537"/>
    <cellStyle name="Normal 2 5 2 3 2 3 2" xfId="2007"/>
    <cellStyle name="Normal 2 5 2 3 2 3 2 2" xfId="9796"/>
    <cellStyle name="Normal 2 5 2 3 2 3 2 3" xfId="4778"/>
    <cellStyle name="Normal 2 5 2 3 2 3 3" xfId="6154"/>
    <cellStyle name="Normal 2 5 2 3 2 3 3 2" xfId="11170"/>
    <cellStyle name="Normal 2 5 2 3 2 3 4" xfId="8912"/>
    <cellStyle name="Normal 2 5 2 3 2 3 5" xfId="12624"/>
    <cellStyle name="Normal 2 5 2 3 2 3 6" xfId="7389"/>
    <cellStyle name="Normal 2 5 2 3 2 3 7" xfId="3843"/>
    <cellStyle name="Normal 2 5 2 3 2 4" xfId="946"/>
    <cellStyle name="Normal 2 5 2 3 2 4 2" xfId="2356"/>
    <cellStyle name="Normal 2 5 2 3 2 4 2 2" xfId="10113"/>
    <cellStyle name="Normal 2 5 2 3 2 4 2 3" xfId="5095"/>
    <cellStyle name="Normal 2 5 2 3 2 4 3" xfId="6503"/>
    <cellStyle name="Normal 2 5 2 3 2 4 3 2" xfId="11518"/>
    <cellStyle name="Normal 2 5 2 3 2 4 4" xfId="9229"/>
    <cellStyle name="Normal 2 5 2 3 2 4 5" xfId="12972"/>
    <cellStyle name="Normal 2 5 2 3 2 4 6" xfId="7706"/>
    <cellStyle name="Normal 2 5 2 3 2 4 7" xfId="4160"/>
    <cellStyle name="Normal 2 5 2 3 2 5" xfId="1302"/>
    <cellStyle name="Normal 2 5 2 3 2 5 2" xfId="2859"/>
    <cellStyle name="Normal 2 5 2 3 2 5 2 2" xfId="10505"/>
    <cellStyle name="Normal 2 5 2 3 2 5 2 3" xfId="5488"/>
    <cellStyle name="Normal 2 5 2 3 2 5 3" xfId="6886"/>
    <cellStyle name="Normal 2 5 2 3 2 5 3 2" xfId="11901"/>
    <cellStyle name="Normal 2 5 2 3 2 5 4" xfId="8693"/>
    <cellStyle name="Normal 2 5 2 3 2 5 5" xfId="13355"/>
    <cellStyle name="Normal 2 5 2 3 2 5 6" xfId="8099"/>
    <cellStyle name="Normal 2 5 2 3 2 5 7" xfId="3622"/>
    <cellStyle name="Normal 2 5 2 3 2 6" xfId="1695"/>
    <cellStyle name="Normal 2 5 2 3 2 6 2" xfId="9579"/>
    <cellStyle name="Normal 2 5 2 3 2 6 3" xfId="4561"/>
    <cellStyle name="Normal 2 5 2 3 2 7" xfId="5842"/>
    <cellStyle name="Normal 2 5 2 3 2 7 2" xfId="10858"/>
    <cellStyle name="Normal 2 5 2 3 2 8" xfId="8419"/>
    <cellStyle name="Normal 2 5 2 3 2 9" xfId="12312"/>
    <cellStyle name="Normal 2 5 2 3 2_Degree data" xfId="2664"/>
    <cellStyle name="Normal 2 5 2 3 3" xfId="342"/>
    <cellStyle name="Normal 2 5 2 3 3 10" xfId="7234"/>
    <cellStyle name="Normal 2 5 2 3 3 11" xfId="3298"/>
    <cellStyle name="Normal 2 5 2 3 3 2" xfId="699"/>
    <cellStyle name="Normal 2 5 2 3 3 2 2" xfId="1108"/>
    <cellStyle name="Normal 2 5 2 3 3 2 2 2" xfId="2010"/>
    <cellStyle name="Normal 2 5 2 3 3 2 2 2 2" xfId="10116"/>
    <cellStyle name="Normal 2 5 2 3 3 2 2 2 3" xfId="5098"/>
    <cellStyle name="Normal 2 5 2 3 3 2 2 3" xfId="6157"/>
    <cellStyle name="Normal 2 5 2 3 3 2 2 3 2" xfId="11173"/>
    <cellStyle name="Normal 2 5 2 3 3 2 2 4" xfId="9232"/>
    <cellStyle name="Normal 2 5 2 3 3 2 2 5" xfId="12627"/>
    <cellStyle name="Normal 2 5 2 3 3 2 2 6" xfId="7709"/>
    <cellStyle name="Normal 2 5 2 3 3 2 2 7" xfId="4163"/>
    <cellStyle name="Normal 2 5 2 3 3 2 3" xfId="1466"/>
    <cellStyle name="Normal 2 5 2 3 3 2 3 2" xfId="2359"/>
    <cellStyle name="Normal 2 5 2 3 3 2 3 2 2" xfId="10667"/>
    <cellStyle name="Normal 2 5 2 3 3 2 3 2 3" xfId="5650"/>
    <cellStyle name="Normal 2 5 2 3 3 2 3 3" xfId="6506"/>
    <cellStyle name="Normal 2 5 2 3 3 2 3 3 2" xfId="11521"/>
    <cellStyle name="Normal 2 5 2 3 3 2 3 4" xfId="9074"/>
    <cellStyle name="Normal 2 5 2 3 3 2 3 5" xfId="12975"/>
    <cellStyle name="Normal 2 5 2 3 3 2 3 6" xfId="8261"/>
    <cellStyle name="Normal 2 5 2 3 3 2 3 7" xfId="4005"/>
    <cellStyle name="Normal 2 5 2 3 3 2 4" xfId="3025"/>
    <cellStyle name="Normal 2 5 2 3 3 2 4 2" xfId="7048"/>
    <cellStyle name="Normal 2 5 2 3 3 2 4 2 2" xfId="12063"/>
    <cellStyle name="Normal 2 5 2 3 3 2 4 3" xfId="13517"/>
    <cellStyle name="Normal 2 5 2 3 3 2 4 4" xfId="9958"/>
    <cellStyle name="Normal 2 5 2 3 3 2 4 5" xfId="4940"/>
    <cellStyle name="Normal 2 5 2 3 3 2 5" xfId="1857"/>
    <cellStyle name="Normal 2 5 2 3 3 2 5 2" xfId="11020"/>
    <cellStyle name="Normal 2 5 2 3 3 2 5 3" xfId="6004"/>
    <cellStyle name="Normal 2 5 2 3 3 2 6" xfId="8581"/>
    <cellStyle name="Normal 2 5 2 3 3 2 7" xfId="12474"/>
    <cellStyle name="Normal 2 5 2 3 3 2 8" xfId="7551"/>
    <cellStyle name="Normal 2 5 2 3 3 2 9" xfId="3503"/>
    <cellStyle name="Normal 2 5 2 3 3 2_Degree data" xfId="2662"/>
    <cellStyle name="Normal 2 5 2 3 3 3" xfId="494"/>
    <cellStyle name="Normal 2 5 2 3 3 3 2" xfId="2009"/>
    <cellStyle name="Normal 2 5 2 3 3 3 2 2" xfId="9753"/>
    <cellStyle name="Normal 2 5 2 3 3 3 2 3" xfId="4735"/>
    <cellStyle name="Normal 2 5 2 3 3 3 3" xfId="6156"/>
    <cellStyle name="Normal 2 5 2 3 3 3 3 2" xfId="11172"/>
    <cellStyle name="Normal 2 5 2 3 3 3 4" xfId="8869"/>
    <cellStyle name="Normal 2 5 2 3 3 3 5" xfId="12626"/>
    <cellStyle name="Normal 2 5 2 3 3 3 6" xfId="7346"/>
    <cellStyle name="Normal 2 5 2 3 3 3 7" xfId="3800"/>
    <cellStyle name="Normal 2 5 2 3 3 4" xfId="903"/>
    <cellStyle name="Normal 2 5 2 3 3 4 2" xfId="2358"/>
    <cellStyle name="Normal 2 5 2 3 3 4 2 2" xfId="10115"/>
    <cellStyle name="Normal 2 5 2 3 3 4 2 3" xfId="5097"/>
    <cellStyle name="Normal 2 5 2 3 3 4 3" xfId="6505"/>
    <cellStyle name="Normal 2 5 2 3 3 4 3 2" xfId="11520"/>
    <cellStyle name="Normal 2 5 2 3 3 4 4" xfId="9231"/>
    <cellStyle name="Normal 2 5 2 3 3 4 5" xfId="12974"/>
    <cellStyle name="Normal 2 5 2 3 3 4 6" xfId="7708"/>
    <cellStyle name="Normal 2 5 2 3 3 4 7" xfId="4162"/>
    <cellStyle name="Normal 2 5 2 3 3 5" xfId="1258"/>
    <cellStyle name="Normal 2 5 2 3 3 5 2" xfId="2814"/>
    <cellStyle name="Normal 2 5 2 3 3 5 2 2" xfId="10462"/>
    <cellStyle name="Normal 2 5 2 3 3 5 2 3" xfId="5445"/>
    <cellStyle name="Normal 2 5 2 3 3 5 3" xfId="6843"/>
    <cellStyle name="Normal 2 5 2 3 3 5 3 2" xfId="11858"/>
    <cellStyle name="Normal 2 5 2 3 3 5 4" xfId="8755"/>
    <cellStyle name="Normal 2 5 2 3 3 5 5" xfId="13312"/>
    <cellStyle name="Normal 2 5 2 3 3 5 6" xfId="8056"/>
    <cellStyle name="Normal 2 5 2 3 3 5 7" xfId="3685"/>
    <cellStyle name="Normal 2 5 2 3 3 6" xfId="1652"/>
    <cellStyle name="Normal 2 5 2 3 3 6 2" xfId="9641"/>
    <cellStyle name="Normal 2 5 2 3 3 6 3" xfId="4623"/>
    <cellStyle name="Normal 2 5 2 3 3 7" xfId="5799"/>
    <cellStyle name="Normal 2 5 2 3 3 7 2" xfId="10815"/>
    <cellStyle name="Normal 2 5 2 3 3 8" xfId="8376"/>
    <cellStyle name="Normal 2 5 2 3 3 9" xfId="12269"/>
    <cellStyle name="Normal 2 5 2 3 3_Degree data" xfId="2654"/>
    <cellStyle name="Normal 2 5 2 3 4" xfId="279"/>
    <cellStyle name="Normal 2 5 2 3 4 2" xfId="594"/>
    <cellStyle name="Normal 2 5 2 3 4 2 2" xfId="2011"/>
    <cellStyle name="Normal 2 5 2 3 4 2 2 2" xfId="10117"/>
    <cellStyle name="Normal 2 5 2 3 4 2 2 3" xfId="5099"/>
    <cellStyle name="Normal 2 5 2 3 4 2 3" xfId="6158"/>
    <cellStyle name="Normal 2 5 2 3 4 2 3 2" xfId="11174"/>
    <cellStyle name="Normal 2 5 2 3 4 2 4" xfId="9233"/>
    <cellStyle name="Normal 2 5 2 3 4 2 5" xfId="12628"/>
    <cellStyle name="Normal 2 5 2 3 4 2 6" xfId="7710"/>
    <cellStyle name="Normal 2 5 2 3 4 2 7" xfId="4164"/>
    <cellStyle name="Normal 2 5 2 3 4 3" xfId="1003"/>
    <cellStyle name="Normal 2 5 2 3 4 3 2" xfId="2360"/>
    <cellStyle name="Normal 2 5 2 3 4 3 2 2" xfId="10562"/>
    <cellStyle name="Normal 2 5 2 3 4 3 2 3" xfId="5545"/>
    <cellStyle name="Normal 2 5 2 3 4 3 3" xfId="6507"/>
    <cellStyle name="Normal 2 5 2 3 4 3 3 2" xfId="11522"/>
    <cellStyle name="Normal 2 5 2 3 4 3 4" xfId="8969"/>
    <cellStyle name="Normal 2 5 2 3 4 3 5" xfId="12976"/>
    <cellStyle name="Normal 2 5 2 3 4 3 6" xfId="8156"/>
    <cellStyle name="Normal 2 5 2 3 4 3 7" xfId="3900"/>
    <cellStyle name="Normal 2 5 2 3 4 4" xfId="1359"/>
    <cellStyle name="Normal 2 5 2 3 4 4 2" xfId="2917"/>
    <cellStyle name="Normal 2 5 2 3 4 4 2 2" xfId="11958"/>
    <cellStyle name="Normal 2 5 2 3 4 4 2 3" xfId="6943"/>
    <cellStyle name="Normal 2 5 2 3 4 4 3" xfId="13412"/>
    <cellStyle name="Normal 2 5 2 3 4 4 4" xfId="9853"/>
    <cellStyle name="Normal 2 5 2 3 4 4 5" xfId="4835"/>
    <cellStyle name="Normal 2 5 2 3 4 5" xfId="1752"/>
    <cellStyle name="Normal 2 5 2 3 4 5 2" xfId="10915"/>
    <cellStyle name="Normal 2 5 2 3 4 5 3" xfId="5899"/>
    <cellStyle name="Normal 2 5 2 3 4 6" xfId="8476"/>
    <cellStyle name="Normal 2 5 2 3 4 7" xfId="12369"/>
    <cellStyle name="Normal 2 5 2 3 4 8" xfId="7446"/>
    <cellStyle name="Normal 2 5 2 3 4 9" xfId="3398"/>
    <cellStyle name="Normal 2 5 2 3 4_Degree data" xfId="2691"/>
    <cellStyle name="Normal 2 5 2 3 5" xfId="435"/>
    <cellStyle name="Normal 2 5 2 3 5 2" xfId="843"/>
    <cellStyle name="Normal 2 5 2 3 5 2 2" xfId="9694"/>
    <cellStyle name="Normal 2 5 2 3 5 2 3" xfId="4676"/>
    <cellStyle name="Normal 2 5 2 3 5 3" xfId="2006"/>
    <cellStyle name="Normal 2 5 2 3 5 3 2" xfId="11169"/>
    <cellStyle name="Normal 2 5 2 3 5 3 3" xfId="6153"/>
    <cellStyle name="Normal 2 5 2 3 5 4" xfId="8810"/>
    <cellStyle name="Normal 2 5 2 3 5 5" xfId="12623"/>
    <cellStyle name="Normal 2 5 2 3 5 6" xfId="7287"/>
    <cellStyle name="Normal 2 5 2 3 5 7" xfId="3741"/>
    <cellStyle name="Normal 2 5 2 3 6" xfId="770"/>
    <cellStyle name="Normal 2 5 2 3 6 2" xfId="2355"/>
    <cellStyle name="Normal 2 5 2 3 6 2 2" xfId="10112"/>
    <cellStyle name="Normal 2 5 2 3 6 2 3" xfId="5094"/>
    <cellStyle name="Normal 2 5 2 3 6 3" xfId="6502"/>
    <cellStyle name="Normal 2 5 2 3 6 3 2" xfId="11517"/>
    <cellStyle name="Normal 2 5 2 3 6 4" xfId="9228"/>
    <cellStyle name="Normal 2 5 2 3 6 5" xfId="12971"/>
    <cellStyle name="Normal 2 5 2 3 6 6" xfId="7705"/>
    <cellStyle name="Normal 2 5 2 3 6 7" xfId="4159"/>
    <cellStyle name="Normal 2 5 2 3 7" xfId="1194"/>
    <cellStyle name="Normal 2 5 2 3 7 2" xfId="2746"/>
    <cellStyle name="Normal 2 5 2 3 7 2 2" xfId="10403"/>
    <cellStyle name="Normal 2 5 2 3 7 2 3" xfId="5386"/>
    <cellStyle name="Normal 2 5 2 3 7 3" xfId="6784"/>
    <cellStyle name="Normal 2 5 2 3 7 3 2" xfId="11799"/>
    <cellStyle name="Normal 2 5 2 3 7 4" xfId="8649"/>
    <cellStyle name="Normal 2 5 2 3 7 5" xfId="13253"/>
    <cellStyle name="Normal 2 5 2 3 7 6" xfId="7997"/>
    <cellStyle name="Normal 2 5 2 3 7 7" xfId="3576"/>
    <cellStyle name="Normal 2 5 2 3 8" xfId="1593"/>
    <cellStyle name="Normal 2 5 2 3 8 2" xfId="12210"/>
    <cellStyle name="Normal 2 5 2 3 8 3" xfId="9536"/>
    <cellStyle name="Normal 2 5 2 3 8 4" xfId="4518"/>
    <cellStyle name="Normal 2 5 2 3 9" xfId="1520"/>
    <cellStyle name="Normal 2 5 2 3 9 2" xfId="10754"/>
    <cellStyle name="Normal 2 5 2 3 9 3" xfId="5738"/>
    <cellStyle name="Normal 2 5 2 3_Degree data" xfId="2645"/>
    <cellStyle name="Normal 2 5 2 4" xfId="194"/>
    <cellStyle name="Normal 2 5 2 4 10" xfId="7162"/>
    <cellStyle name="Normal 2 5 2 4 11" xfId="3331"/>
    <cellStyle name="Normal 2 5 2 4 2" xfId="376"/>
    <cellStyle name="Normal 2 5 2 4 2 2" xfId="627"/>
    <cellStyle name="Normal 2 5 2 4 2 2 2" xfId="2013"/>
    <cellStyle name="Normal 2 5 2 4 2 2 2 2" xfId="10119"/>
    <cellStyle name="Normal 2 5 2 4 2 2 2 3" xfId="5101"/>
    <cellStyle name="Normal 2 5 2 4 2 2 3" xfId="6160"/>
    <cellStyle name="Normal 2 5 2 4 2 2 3 2" xfId="11176"/>
    <cellStyle name="Normal 2 5 2 4 2 2 4" xfId="9235"/>
    <cellStyle name="Normal 2 5 2 4 2 2 5" xfId="12630"/>
    <cellStyle name="Normal 2 5 2 4 2 2 6" xfId="7712"/>
    <cellStyle name="Normal 2 5 2 4 2 2 7" xfId="4166"/>
    <cellStyle name="Normal 2 5 2 4 2 3" xfId="1036"/>
    <cellStyle name="Normal 2 5 2 4 2 3 2" xfId="2362"/>
    <cellStyle name="Normal 2 5 2 4 2 3 2 2" xfId="10595"/>
    <cellStyle name="Normal 2 5 2 4 2 3 2 3" xfId="5578"/>
    <cellStyle name="Normal 2 5 2 4 2 3 3" xfId="6509"/>
    <cellStyle name="Normal 2 5 2 4 2 3 3 2" xfId="11524"/>
    <cellStyle name="Normal 2 5 2 4 2 3 4" xfId="9002"/>
    <cellStyle name="Normal 2 5 2 4 2 3 5" xfId="12978"/>
    <cellStyle name="Normal 2 5 2 4 2 3 6" xfId="8189"/>
    <cellStyle name="Normal 2 5 2 4 2 3 7" xfId="3933"/>
    <cellStyle name="Normal 2 5 2 4 2 4" xfId="1393"/>
    <cellStyle name="Normal 2 5 2 4 2 4 2" xfId="2951"/>
    <cellStyle name="Normal 2 5 2 4 2 4 2 2" xfId="11991"/>
    <cellStyle name="Normal 2 5 2 4 2 4 2 3" xfId="6976"/>
    <cellStyle name="Normal 2 5 2 4 2 4 3" xfId="13445"/>
    <cellStyle name="Normal 2 5 2 4 2 4 4" xfId="9886"/>
    <cellStyle name="Normal 2 5 2 4 2 4 5" xfId="4868"/>
    <cellStyle name="Normal 2 5 2 4 2 5" xfId="1785"/>
    <cellStyle name="Normal 2 5 2 4 2 5 2" xfId="10948"/>
    <cellStyle name="Normal 2 5 2 4 2 5 3" xfId="5932"/>
    <cellStyle name="Normal 2 5 2 4 2 6" xfId="8509"/>
    <cellStyle name="Normal 2 5 2 4 2 7" xfId="12402"/>
    <cellStyle name="Normal 2 5 2 4 2 8" xfId="7479"/>
    <cellStyle name="Normal 2 5 2 4 2 9" xfId="3431"/>
    <cellStyle name="Normal 2 5 2 4 2_Degree data" xfId="2689"/>
    <cellStyle name="Normal 2 5 2 4 3" xfId="527"/>
    <cellStyle name="Normal 2 5 2 4 3 2" xfId="936"/>
    <cellStyle name="Normal 2 5 2 4 3 2 2" xfId="9786"/>
    <cellStyle name="Normal 2 5 2 4 3 2 3" xfId="4768"/>
    <cellStyle name="Normal 2 5 2 4 3 3" xfId="2012"/>
    <cellStyle name="Normal 2 5 2 4 3 3 2" xfId="11175"/>
    <cellStyle name="Normal 2 5 2 4 3 3 3" xfId="6159"/>
    <cellStyle name="Normal 2 5 2 4 3 4" xfId="8902"/>
    <cellStyle name="Normal 2 5 2 4 3 5" xfId="12629"/>
    <cellStyle name="Normal 2 5 2 4 3 6" xfId="7379"/>
    <cellStyle name="Normal 2 5 2 4 3 7" xfId="3833"/>
    <cellStyle name="Normal 2 5 2 4 4" xfId="800"/>
    <cellStyle name="Normal 2 5 2 4 4 2" xfId="2361"/>
    <cellStyle name="Normal 2 5 2 4 4 2 2" xfId="10118"/>
    <cellStyle name="Normal 2 5 2 4 4 2 3" xfId="5100"/>
    <cellStyle name="Normal 2 5 2 4 4 3" xfId="6508"/>
    <cellStyle name="Normal 2 5 2 4 4 3 2" xfId="11523"/>
    <cellStyle name="Normal 2 5 2 4 4 4" xfId="9234"/>
    <cellStyle name="Normal 2 5 2 4 4 5" xfId="12977"/>
    <cellStyle name="Normal 2 5 2 4 4 6" xfId="7711"/>
    <cellStyle name="Normal 2 5 2 4 4 7" xfId="4165"/>
    <cellStyle name="Normal 2 5 2 4 5" xfId="1292"/>
    <cellStyle name="Normal 2 5 2 4 5 2" xfId="2849"/>
    <cellStyle name="Normal 2 5 2 4 5 2 2" xfId="10495"/>
    <cellStyle name="Normal 2 5 2 4 5 2 3" xfId="5478"/>
    <cellStyle name="Normal 2 5 2 4 5 3" xfId="6876"/>
    <cellStyle name="Normal 2 5 2 4 5 3 2" xfId="11891"/>
    <cellStyle name="Normal 2 5 2 4 5 4" xfId="8683"/>
    <cellStyle name="Normal 2 5 2 4 5 5" xfId="13345"/>
    <cellStyle name="Normal 2 5 2 4 5 6" xfId="8089"/>
    <cellStyle name="Normal 2 5 2 4 5 7" xfId="3612"/>
    <cellStyle name="Normal 2 5 2 4 6" xfId="1685"/>
    <cellStyle name="Normal 2 5 2 4 6 2" xfId="9569"/>
    <cellStyle name="Normal 2 5 2 4 6 3" xfId="4551"/>
    <cellStyle name="Normal 2 5 2 4 7" xfId="5832"/>
    <cellStyle name="Normal 2 5 2 4 7 2" xfId="10848"/>
    <cellStyle name="Normal 2 5 2 4 8" xfId="8409"/>
    <cellStyle name="Normal 2 5 2 4 9" xfId="12302"/>
    <cellStyle name="Normal 2 5 2 4_Degree data" xfId="2690"/>
    <cellStyle name="Normal 2 5 2 5" xfId="230"/>
    <cellStyle name="Normal 2 5 2 5 10" xfId="7216"/>
    <cellStyle name="Normal 2 5 2 5 11" xfId="3280"/>
    <cellStyle name="Normal 2 5 2 5 2" xfId="324"/>
    <cellStyle name="Normal 2 5 2 5 2 2" xfId="681"/>
    <cellStyle name="Normal 2 5 2 5 2 2 2" xfId="2015"/>
    <cellStyle name="Normal 2 5 2 5 2 2 2 2" xfId="10121"/>
    <cellStyle name="Normal 2 5 2 5 2 2 2 3" xfId="5103"/>
    <cellStyle name="Normal 2 5 2 5 2 2 3" xfId="6162"/>
    <cellStyle name="Normal 2 5 2 5 2 2 3 2" xfId="11178"/>
    <cellStyle name="Normal 2 5 2 5 2 2 4" xfId="9237"/>
    <cellStyle name="Normal 2 5 2 5 2 2 5" xfId="12632"/>
    <cellStyle name="Normal 2 5 2 5 2 2 6" xfId="7714"/>
    <cellStyle name="Normal 2 5 2 5 2 2 7" xfId="4168"/>
    <cellStyle name="Normal 2 5 2 5 2 3" xfId="1090"/>
    <cellStyle name="Normal 2 5 2 5 2 3 2" xfId="2364"/>
    <cellStyle name="Normal 2 5 2 5 2 3 2 2" xfId="10649"/>
    <cellStyle name="Normal 2 5 2 5 2 3 2 3" xfId="5632"/>
    <cellStyle name="Normal 2 5 2 5 2 3 3" xfId="6511"/>
    <cellStyle name="Normal 2 5 2 5 2 3 3 2" xfId="11526"/>
    <cellStyle name="Normal 2 5 2 5 2 3 4" xfId="9056"/>
    <cellStyle name="Normal 2 5 2 5 2 3 5" xfId="12980"/>
    <cellStyle name="Normal 2 5 2 5 2 3 6" xfId="8243"/>
    <cellStyle name="Normal 2 5 2 5 2 3 7" xfId="3987"/>
    <cellStyle name="Normal 2 5 2 5 2 4" xfId="1448"/>
    <cellStyle name="Normal 2 5 2 5 2 4 2" xfId="3007"/>
    <cellStyle name="Normal 2 5 2 5 2 4 2 2" xfId="12045"/>
    <cellStyle name="Normal 2 5 2 5 2 4 2 3" xfId="7030"/>
    <cellStyle name="Normal 2 5 2 5 2 4 3" xfId="13499"/>
    <cellStyle name="Normal 2 5 2 5 2 4 4" xfId="9940"/>
    <cellStyle name="Normal 2 5 2 5 2 4 5" xfId="4922"/>
    <cellStyle name="Normal 2 5 2 5 2 5" xfId="1839"/>
    <cellStyle name="Normal 2 5 2 5 2 5 2" xfId="11002"/>
    <cellStyle name="Normal 2 5 2 5 2 5 3" xfId="5986"/>
    <cellStyle name="Normal 2 5 2 5 2 6" xfId="8563"/>
    <cellStyle name="Normal 2 5 2 5 2 7" xfId="12456"/>
    <cellStyle name="Normal 2 5 2 5 2 8" xfId="7533"/>
    <cellStyle name="Normal 2 5 2 5 2 9" xfId="3485"/>
    <cellStyle name="Normal 2 5 2 5 2_Degree data" xfId="2626"/>
    <cellStyle name="Normal 2 5 2 5 3" xfId="476"/>
    <cellStyle name="Normal 2 5 2 5 3 2" xfId="2014"/>
    <cellStyle name="Normal 2 5 2 5 3 2 2" xfId="9735"/>
    <cellStyle name="Normal 2 5 2 5 3 2 3" xfId="4717"/>
    <cellStyle name="Normal 2 5 2 5 3 3" xfId="6161"/>
    <cellStyle name="Normal 2 5 2 5 3 3 2" xfId="11177"/>
    <cellStyle name="Normal 2 5 2 5 3 4" xfId="8851"/>
    <cellStyle name="Normal 2 5 2 5 3 5" xfId="12631"/>
    <cellStyle name="Normal 2 5 2 5 3 6" xfId="7328"/>
    <cellStyle name="Normal 2 5 2 5 3 7" xfId="3782"/>
    <cellStyle name="Normal 2 5 2 5 4" xfId="885"/>
    <cellStyle name="Normal 2 5 2 5 4 2" xfId="2363"/>
    <cellStyle name="Normal 2 5 2 5 4 2 2" xfId="10120"/>
    <cellStyle name="Normal 2 5 2 5 4 2 3" xfId="5102"/>
    <cellStyle name="Normal 2 5 2 5 4 3" xfId="6510"/>
    <cellStyle name="Normal 2 5 2 5 4 3 2" xfId="11525"/>
    <cellStyle name="Normal 2 5 2 5 4 4" xfId="9236"/>
    <cellStyle name="Normal 2 5 2 5 4 5" xfId="12979"/>
    <cellStyle name="Normal 2 5 2 5 4 6" xfId="7713"/>
    <cellStyle name="Normal 2 5 2 5 4 7" xfId="4167"/>
    <cellStyle name="Normal 2 5 2 5 5" xfId="1237"/>
    <cellStyle name="Normal 2 5 2 5 5 2" xfId="2793"/>
    <cellStyle name="Normal 2 5 2 5 5 2 2" xfId="10444"/>
    <cellStyle name="Normal 2 5 2 5 5 2 3" xfId="5427"/>
    <cellStyle name="Normal 2 5 2 5 5 3" xfId="6825"/>
    <cellStyle name="Normal 2 5 2 5 5 3 2" xfId="11840"/>
    <cellStyle name="Normal 2 5 2 5 5 4" xfId="8737"/>
    <cellStyle name="Normal 2 5 2 5 5 5" xfId="13294"/>
    <cellStyle name="Normal 2 5 2 5 5 6" xfId="8038"/>
    <cellStyle name="Normal 2 5 2 5 5 7" xfId="3667"/>
    <cellStyle name="Normal 2 5 2 5 6" xfId="1634"/>
    <cellStyle name="Normal 2 5 2 5 6 2" xfId="9623"/>
    <cellStyle name="Normal 2 5 2 5 6 3" xfId="4605"/>
    <cellStyle name="Normal 2 5 2 5 7" xfId="5781"/>
    <cellStyle name="Normal 2 5 2 5 7 2" xfId="10797"/>
    <cellStyle name="Normal 2 5 2 5 8" xfId="8358"/>
    <cellStyle name="Normal 2 5 2 5 9" xfId="12251"/>
    <cellStyle name="Normal 2 5 2 5_Degree data" xfId="2616"/>
    <cellStyle name="Normal 2 5 2 6" xfId="266"/>
    <cellStyle name="Normal 2 5 2 6 2" xfId="576"/>
    <cellStyle name="Normal 2 5 2 6 2 2" xfId="2016"/>
    <cellStyle name="Normal 2 5 2 6 2 2 2" xfId="10122"/>
    <cellStyle name="Normal 2 5 2 6 2 2 3" xfId="5104"/>
    <cellStyle name="Normal 2 5 2 6 2 3" xfId="6163"/>
    <cellStyle name="Normal 2 5 2 6 2 3 2" xfId="11179"/>
    <cellStyle name="Normal 2 5 2 6 2 4" xfId="9238"/>
    <cellStyle name="Normal 2 5 2 6 2 5" xfId="12633"/>
    <cellStyle name="Normal 2 5 2 6 2 6" xfId="7715"/>
    <cellStyle name="Normal 2 5 2 6 2 7" xfId="4169"/>
    <cellStyle name="Normal 2 5 2 6 3" xfId="985"/>
    <cellStyle name="Normal 2 5 2 6 3 2" xfId="2365"/>
    <cellStyle name="Normal 2 5 2 6 3 2 2" xfId="10544"/>
    <cellStyle name="Normal 2 5 2 6 3 2 3" xfId="5527"/>
    <cellStyle name="Normal 2 5 2 6 3 3" xfId="6512"/>
    <cellStyle name="Normal 2 5 2 6 3 3 2" xfId="11527"/>
    <cellStyle name="Normal 2 5 2 6 3 4" xfId="8951"/>
    <cellStyle name="Normal 2 5 2 6 3 5" xfId="12981"/>
    <cellStyle name="Normal 2 5 2 6 3 6" xfId="8138"/>
    <cellStyle name="Normal 2 5 2 6 3 7" xfId="3882"/>
    <cellStyle name="Normal 2 5 2 6 4" xfId="1341"/>
    <cellStyle name="Normal 2 5 2 6 4 2" xfId="2899"/>
    <cellStyle name="Normal 2 5 2 6 4 2 2" xfId="11940"/>
    <cellStyle name="Normal 2 5 2 6 4 2 3" xfId="6925"/>
    <cellStyle name="Normal 2 5 2 6 4 3" xfId="13394"/>
    <cellStyle name="Normal 2 5 2 6 4 4" xfId="9835"/>
    <cellStyle name="Normal 2 5 2 6 4 5" xfId="4817"/>
    <cellStyle name="Normal 2 5 2 6 5" xfId="1734"/>
    <cellStyle name="Normal 2 5 2 6 5 2" xfId="10897"/>
    <cellStyle name="Normal 2 5 2 6 5 3" xfId="5881"/>
    <cellStyle name="Normal 2 5 2 6 6" xfId="8458"/>
    <cellStyle name="Normal 2 5 2 6 7" xfId="12351"/>
    <cellStyle name="Normal 2 5 2 6 8" xfId="7428"/>
    <cellStyle name="Normal 2 5 2 6 9" xfId="3380"/>
    <cellStyle name="Normal 2 5 2 6_Degree data" xfId="2625"/>
    <cellStyle name="Normal 2 5 2 7" xfId="424"/>
    <cellStyle name="Normal 2 5 2 7 2" xfId="832"/>
    <cellStyle name="Normal 2 5 2 7 2 2" xfId="2017"/>
    <cellStyle name="Normal 2 5 2 7 2 2 2" xfId="10123"/>
    <cellStyle name="Normal 2 5 2 7 2 2 3" xfId="5105"/>
    <cellStyle name="Normal 2 5 2 7 2 3" xfId="6164"/>
    <cellStyle name="Normal 2 5 2 7 2 3 2" xfId="11180"/>
    <cellStyle name="Normal 2 5 2 7 2 4" xfId="9239"/>
    <cellStyle name="Normal 2 5 2 7 2 5" xfId="12634"/>
    <cellStyle name="Normal 2 5 2 7 2 6" xfId="7716"/>
    <cellStyle name="Normal 2 5 2 7 2 7" xfId="4170"/>
    <cellStyle name="Normal 2 5 2 7 3" xfId="1182"/>
    <cellStyle name="Normal 2 5 2 7 3 2" xfId="2366"/>
    <cellStyle name="Normal 2 5 2 7 3 2 2" xfId="10392"/>
    <cellStyle name="Normal 2 5 2 7 3 2 3" xfId="5375"/>
    <cellStyle name="Normal 2 5 2 7 3 3" xfId="6513"/>
    <cellStyle name="Normal 2 5 2 7 3 3 2" xfId="11528"/>
    <cellStyle name="Normal 2 5 2 7 3 4" xfId="8655"/>
    <cellStyle name="Normal 2 5 2 7 3 5" xfId="12982"/>
    <cellStyle name="Normal 2 5 2 7 3 6" xfId="7986"/>
    <cellStyle name="Normal 2 5 2 7 3 7" xfId="3582"/>
    <cellStyle name="Normal 2 5 2 7 4" xfId="2733"/>
    <cellStyle name="Normal 2 5 2 7 4 2" xfId="6773"/>
    <cellStyle name="Normal 2 5 2 7 4 2 2" xfId="11788"/>
    <cellStyle name="Normal 2 5 2 7 4 3" xfId="13242"/>
    <cellStyle name="Normal 2 5 2 7 4 4" xfId="9683"/>
    <cellStyle name="Normal 2 5 2 7 4 5" xfId="4665"/>
    <cellStyle name="Normal 2 5 2 7 5" xfId="1582"/>
    <cellStyle name="Normal 2 5 2 7 5 2" xfId="10743"/>
    <cellStyle name="Normal 2 5 2 7 5 3" xfId="5727"/>
    <cellStyle name="Normal 2 5 2 7 6" xfId="8799"/>
    <cellStyle name="Normal 2 5 2 7 7" xfId="12199"/>
    <cellStyle name="Normal 2 5 2 7 8" xfId="7276"/>
    <cellStyle name="Normal 2 5 2 7 9" xfId="3730"/>
    <cellStyle name="Normal 2 5 2 7_Degree data" xfId="2865"/>
    <cellStyle name="Normal 2 5 2 8" xfId="746"/>
    <cellStyle name="Normal 2 5 2 8 2" xfId="1998"/>
    <cellStyle name="Normal 2 5 2 8 2 2" xfId="10104"/>
    <cellStyle name="Normal 2 5 2 8 2 3" xfId="5086"/>
    <cellStyle name="Normal 2 5 2 8 3" xfId="6145"/>
    <cellStyle name="Normal 2 5 2 8 3 2" xfId="11161"/>
    <cellStyle name="Normal 2 5 2 8 4" xfId="9220"/>
    <cellStyle name="Normal 2 5 2 8 5" xfId="12615"/>
    <cellStyle name="Normal 2 5 2 8 6" xfId="7697"/>
    <cellStyle name="Normal 2 5 2 8 7" xfId="4151"/>
    <cellStyle name="Normal 2 5 2 9" xfId="1150"/>
    <cellStyle name="Normal 2 5 2 9 2" xfId="2347"/>
    <cellStyle name="Normal 2 5 2 9 2 2" xfId="10360"/>
    <cellStyle name="Normal 2 5 2 9 2 3" xfId="5343"/>
    <cellStyle name="Normal 2 5 2 9 3" xfId="6494"/>
    <cellStyle name="Normal 2 5 2 9 3 2" xfId="11509"/>
    <cellStyle name="Normal 2 5 2 9 4" xfId="8631"/>
    <cellStyle name="Normal 2 5 2 9 5" xfId="12963"/>
    <cellStyle name="Normal 2 5 2 9 6" xfId="7954"/>
    <cellStyle name="Normal 2 5 2 9 7" xfId="3555"/>
    <cellStyle name="Normal 2 5 2_Degree data" xfId="2803"/>
    <cellStyle name="Normal 2 5 3" xfId="107"/>
    <cellStyle name="Normal 2 5 3 10" xfId="1554"/>
    <cellStyle name="Normal 2 5 3 10 2" xfId="12171"/>
    <cellStyle name="Normal 2 5 3 10 3" xfId="10715"/>
    <cellStyle name="Normal 2 5 3 10 4" xfId="5699"/>
    <cellStyle name="Normal 2 5 3 11" xfId="1524"/>
    <cellStyle name="Normal 2 5 3 11 2" xfId="8321"/>
    <cellStyle name="Normal 2 5 3 12" xfId="12141"/>
    <cellStyle name="Normal 2 5 3 13" xfId="7103"/>
    <cellStyle name="Normal 2 5 3 14" xfId="3242"/>
    <cellStyle name="Normal 2 5 3 2" xfId="172"/>
    <cellStyle name="Normal 2 5 3 2 10" xfId="12273"/>
    <cellStyle name="Normal 2 5 3 2 11" xfId="7133"/>
    <cellStyle name="Normal 2 5 3 2 12" xfId="3302"/>
    <cellStyle name="Normal 2 5 3 2 2" xfId="346"/>
    <cellStyle name="Normal 2 5 3 2 2 10" xfId="3506"/>
    <cellStyle name="Normal 2 5 3 2 2 2" xfId="702"/>
    <cellStyle name="Normal 2 5 3 2 2 2 2" xfId="2020"/>
    <cellStyle name="Normal 2 5 3 2 2 2 2 2" xfId="9961"/>
    <cellStyle name="Normal 2 5 3 2 2 2 2 3" xfId="4943"/>
    <cellStyle name="Normal 2 5 3 2 2 2 3" xfId="6167"/>
    <cellStyle name="Normal 2 5 3 2 2 2 3 2" xfId="11183"/>
    <cellStyle name="Normal 2 5 3 2 2 2 4" xfId="9077"/>
    <cellStyle name="Normal 2 5 3 2 2 2 5" xfId="12637"/>
    <cellStyle name="Normal 2 5 3 2 2 2 6" xfId="7554"/>
    <cellStyle name="Normal 2 5 3 2 2 2 7" xfId="4008"/>
    <cellStyle name="Normal 2 5 3 2 2 3" xfId="1111"/>
    <cellStyle name="Normal 2 5 3 2 2 3 2" xfId="2369"/>
    <cellStyle name="Normal 2 5 3 2 2 3 2 2" xfId="10126"/>
    <cellStyle name="Normal 2 5 3 2 2 3 2 3" xfId="5108"/>
    <cellStyle name="Normal 2 5 3 2 2 3 3" xfId="6516"/>
    <cellStyle name="Normal 2 5 3 2 2 3 3 2" xfId="11531"/>
    <cellStyle name="Normal 2 5 3 2 2 3 4" xfId="9242"/>
    <cellStyle name="Normal 2 5 3 2 2 3 5" xfId="12985"/>
    <cellStyle name="Normal 2 5 3 2 2 3 6" xfId="7719"/>
    <cellStyle name="Normal 2 5 3 2 2 3 7" xfId="4173"/>
    <cellStyle name="Normal 2 5 3 2 2 4" xfId="1469"/>
    <cellStyle name="Normal 2 5 3 2 2 4 2" xfId="3028"/>
    <cellStyle name="Normal 2 5 3 2 2 4 2 2" xfId="10670"/>
    <cellStyle name="Normal 2 5 3 2 2 4 2 3" xfId="5653"/>
    <cellStyle name="Normal 2 5 3 2 2 4 3" xfId="7051"/>
    <cellStyle name="Normal 2 5 3 2 2 4 3 2" xfId="12066"/>
    <cellStyle name="Normal 2 5 3 2 2 4 4" xfId="8758"/>
    <cellStyle name="Normal 2 5 3 2 2 4 5" xfId="13520"/>
    <cellStyle name="Normal 2 5 3 2 2 4 6" xfId="8264"/>
    <cellStyle name="Normal 2 5 3 2 2 4 7" xfId="3688"/>
    <cellStyle name="Normal 2 5 3 2 2 5" xfId="1860"/>
    <cellStyle name="Normal 2 5 3 2 2 5 2" xfId="9644"/>
    <cellStyle name="Normal 2 5 3 2 2 5 3" xfId="4626"/>
    <cellStyle name="Normal 2 5 3 2 2 6" xfId="6007"/>
    <cellStyle name="Normal 2 5 3 2 2 6 2" xfId="11023"/>
    <cellStyle name="Normal 2 5 3 2 2 7" xfId="8584"/>
    <cellStyle name="Normal 2 5 3 2 2 8" xfId="12477"/>
    <cellStyle name="Normal 2 5 3 2 2 9" xfId="7237"/>
    <cellStyle name="Normal 2 5 3 2 2_Degree data" xfId="2684"/>
    <cellStyle name="Normal 2 5 3 2 3" xfId="598"/>
    <cellStyle name="Normal 2 5 3 2 3 2" xfId="1007"/>
    <cellStyle name="Normal 2 5 3 2 3 2 2" xfId="2021"/>
    <cellStyle name="Normal 2 5 3 2 3 2 2 2" xfId="10127"/>
    <cellStyle name="Normal 2 5 3 2 3 2 2 3" xfId="5109"/>
    <cellStyle name="Normal 2 5 3 2 3 2 3" xfId="6168"/>
    <cellStyle name="Normal 2 5 3 2 3 2 3 2" xfId="11184"/>
    <cellStyle name="Normal 2 5 3 2 3 2 4" xfId="9243"/>
    <cellStyle name="Normal 2 5 3 2 3 2 5" xfId="12638"/>
    <cellStyle name="Normal 2 5 3 2 3 2 6" xfId="7720"/>
    <cellStyle name="Normal 2 5 3 2 3 2 7" xfId="4174"/>
    <cellStyle name="Normal 2 5 3 2 3 3" xfId="1363"/>
    <cellStyle name="Normal 2 5 3 2 3 3 2" xfId="2370"/>
    <cellStyle name="Normal 2 5 3 2 3 3 2 2" xfId="10566"/>
    <cellStyle name="Normal 2 5 3 2 3 3 2 3" xfId="5549"/>
    <cellStyle name="Normal 2 5 3 2 3 3 3" xfId="6517"/>
    <cellStyle name="Normal 2 5 3 2 3 3 3 2" xfId="11532"/>
    <cellStyle name="Normal 2 5 3 2 3 3 4" xfId="8973"/>
    <cellStyle name="Normal 2 5 3 2 3 3 5" xfId="12986"/>
    <cellStyle name="Normal 2 5 3 2 3 3 6" xfId="8160"/>
    <cellStyle name="Normal 2 5 3 2 3 3 7" xfId="3904"/>
    <cellStyle name="Normal 2 5 3 2 3 4" xfId="2921"/>
    <cellStyle name="Normal 2 5 3 2 3 4 2" xfId="6947"/>
    <cellStyle name="Normal 2 5 3 2 3 4 2 2" xfId="11962"/>
    <cellStyle name="Normal 2 5 3 2 3 4 3" xfId="13416"/>
    <cellStyle name="Normal 2 5 3 2 3 4 4" xfId="9857"/>
    <cellStyle name="Normal 2 5 3 2 3 4 5" xfId="4839"/>
    <cellStyle name="Normal 2 5 3 2 3 5" xfId="1756"/>
    <cellStyle name="Normal 2 5 3 2 3 5 2" xfId="10919"/>
    <cellStyle name="Normal 2 5 3 2 3 5 3" xfId="5903"/>
    <cellStyle name="Normal 2 5 3 2 3 6" xfId="8480"/>
    <cellStyle name="Normal 2 5 3 2 3 7" xfId="12373"/>
    <cellStyle name="Normal 2 5 3 2 3 8" xfId="7450"/>
    <cellStyle name="Normal 2 5 3 2 3 9" xfId="3402"/>
    <cellStyle name="Normal 2 5 3 2 3_Degree data" xfId="2624"/>
    <cellStyle name="Normal 2 5 3 2 4" xfId="498"/>
    <cellStyle name="Normal 2 5 3 2 4 2" xfId="907"/>
    <cellStyle name="Normal 2 5 3 2 4 2 2" xfId="9757"/>
    <cellStyle name="Normal 2 5 3 2 4 2 3" xfId="4739"/>
    <cellStyle name="Normal 2 5 3 2 4 3" xfId="2019"/>
    <cellStyle name="Normal 2 5 3 2 4 3 2" xfId="11182"/>
    <cellStyle name="Normal 2 5 3 2 4 3 3" xfId="6166"/>
    <cellStyle name="Normal 2 5 3 2 4 4" xfId="8873"/>
    <cellStyle name="Normal 2 5 3 2 4 5" xfId="12636"/>
    <cellStyle name="Normal 2 5 3 2 4 6" xfId="7350"/>
    <cellStyle name="Normal 2 5 3 2 4 7" xfId="3804"/>
    <cellStyle name="Normal 2 5 3 2 5" xfId="774"/>
    <cellStyle name="Normal 2 5 3 2 5 2" xfId="2368"/>
    <cellStyle name="Normal 2 5 3 2 5 2 2" xfId="10125"/>
    <cellStyle name="Normal 2 5 3 2 5 2 3" xfId="5107"/>
    <cellStyle name="Normal 2 5 3 2 5 3" xfId="6515"/>
    <cellStyle name="Normal 2 5 3 2 5 3 2" xfId="11530"/>
    <cellStyle name="Normal 2 5 3 2 5 4" xfId="9241"/>
    <cellStyle name="Normal 2 5 3 2 5 5" xfId="12984"/>
    <cellStyle name="Normal 2 5 3 2 5 6" xfId="7718"/>
    <cellStyle name="Normal 2 5 3 2 5 7" xfId="4172"/>
    <cellStyle name="Normal 2 5 3 2 6" xfId="1262"/>
    <cellStyle name="Normal 2 5 3 2 6 2" xfId="2818"/>
    <cellStyle name="Normal 2 5 3 2 6 2 2" xfId="10466"/>
    <cellStyle name="Normal 2 5 3 2 6 2 3" xfId="5449"/>
    <cellStyle name="Normal 2 5 3 2 6 3" xfId="6847"/>
    <cellStyle name="Normal 2 5 3 2 6 3 2" xfId="11862"/>
    <cellStyle name="Normal 2 5 3 2 6 4" xfId="8653"/>
    <cellStyle name="Normal 2 5 3 2 6 5" xfId="13316"/>
    <cellStyle name="Normal 2 5 3 2 6 6" xfId="8060"/>
    <cellStyle name="Normal 2 5 3 2 6 7" xfId="3580"/>
    <cellStyle name="Normal 2 5 3 2 7" xfId="1656"/>
    <cellStyle name="Normal 2 5 3 2 7 2" xfId="9540"/>
    <cellStyle name="Normal 2 5 3 2 7 3" xfId="4522"/>
    <cellStyle name="Normal 2 5 3 2 8" xfId="5803"/>
    <cellStyle name="Normal 2 5 3 2 8 2" xfId="10819"/>
    <cellStyle name="Normal 2 5 3 2 9" xfId="8380"/>
    <cellStyle name="Normal 2 5 3 2_Degree data" xfId="2752"/>
    <cellStyle name="Normal 2 5 3 3" xfId="198"/>
    <cellStyle name="Normal 2 5 3 3 10" xfId="7176"/>
    <cellStyle name="Normal 2 5 3 3 11" xfId="3345"/>
    <cellStyle name="Normal 2 5 3 3 2" xfId="390"/>
    <cellStyle name="Normal 2 5 3 3 2 2" xfId="641"/>
    <cellStyle name="Normal 2 5 3 3 2 2 2" xfId="2023"/>
    <cellStyle name="Normal 2 5 3 3 2 2 2 2" xfId="10129"/>
    <cellStyle name="Normal 2 5 3 3 2 2 2 3" xfId="5111"/>
    <cellStyle name="Normal 2 5 3 3 2 2 3" xfId="6170"/>
    <cellStyle name="Normal 2 5 3 3 2 2 3 2" xfId="11186"/>
    <cellStyle name="Normal 2 5 3 3 2 2 4" xfId="9245"/>
    <cellStyle name="Normal 2 5 3 3 2 2 5" xfId="12640"/>
    <cellStyle name="Normal 2 5 3 3 2 2 6" xfId="7722"/>
    <cellStyle name="Normal 2 5 3 3 2 2 7" xfId="4176"/>
    <cellStyle name="Normal 2 5 3 3 2 3" xfId="1050"/>
    <cellStyle name="Normal 2 5 3 3 2 3 2" xfId="2372"/>
    <cellStyle name="Normal 2 5 3 3 2 3 2 2" xfId="10609"/>
    <cellStyle name="Normal 2 5 3 3 2 3 2 3" xfId="5592"/>
    <cellStyle name="Normal 2 5 3 3 2 3 3" xfId="6519"/>
    <cellStyle name="Normal 2 5 3 3 2 3 3 2" xfId="11534"/>
    <cellStyle name="Normal 2 5 3 3 2 3 4" xfId="9016"/>
    <cellStyle name="Normal 2 5 3 3 2 3 5" xfId="12988"/>
    <cellStyle name="Normal 2 5 3 3 2 3 6" xfId="8203"/>
    <cellStyle name="Normal 2 5 3 3 2 3 7" xfId="3947"/>
    <cellStyle name="Normal 2 5 3 3 2 4" xfId="1407"/>
    <cellStyle name="Normal 2 5 3 3 2 4 2" xfId="2965"/>
    <cellStyle name="Normal 2 5 3 3 2 4 2 2" xfId="12005"/>
    <cellStyle name="Normal 2 5 3 3 2 4 2 3" xfId="6990"/>
    <cellStyle name="Normal 2 5 3 3 2 4 3" xfId="13459"/>
    <cellStyle name="Normal 2 5 3 3 2 4 4" xfId="9900"/>
    <cellStyle name="Normal 2 5 3 3 2 4 5" xfId="4882"/>
    <cellStyle name="Normal 2 5 3 3 2 5" xfId="1799"/>
    <cellStyle name="Normal 2 5 3 3 2 5 2" xfId="10962"/>
    <cellStyle name="Normal 2 5 3 3 2 5 3" xfId="5946"/>
    <cellStyle name="Normal 2 5 3 3 2 6" xfId="8523"/>
    <cellStyle name="Normal 2 5 3 3 2 7" xfId="12416"/>
    <cellStyle name="Normal 2 5 3 3 2 8" xfId="7493"/>
    <cellStyle name="Normal 2 5 3 3 2 9" xfId="3445"/>
    <cellStyle name="Normal 2 5 3 3 2_Degree data" xfId="2614"/>
    <cellStyle name="Normal 2 5 3 3 3" xfId="541"/>
    <cellStyle name="Normal 2 5 3 3 3 2" xfId="950"/>
    <cellStyle name="Normal 2 5 3 3 3 2 2" xfId="9800"/>
    <cellStyle name="Normal 2 5 3 3 3 2 3" xfId="4782"/>
    <cellStyle name="Normal 2 5 3 3 3 3" xfId="2022"/>
    <cellStyle name="Normal 2 5 3 3 3 3 2" xfId="11185"/>
    <cellStyle name="Normal 2 5 3 3 3 3 3" xfId="6169"/>
    <cellStyle name="Normal 2 5 3 3 3 4" xfId="8916"/>
    <cellStyle name="Normal 2 5 3 3 3 5" xfId="12639"/>
    <cellStyle name="Normal 2 5 3 3 3 6" xfId="7393"/>
    <cellStyle name="Normal 2 5 3 3 3 7" xfId="3847"/>
    <cellStyle name="Normal 2 5 3 3 4" xfId="804"/>
    <cellStyle name="Normal 2 5 3 3 4 2" xfId="2371"/>
    <cellStyle name="Normal 2 5 3 3 4 2 2" xfId="10128"/>
    <cellStyle name="Normal 2 5 3 3 4 2 3" xfId="5110"/>
    <cellStyle name="Normal 2 5 3 3 4 3" xfId="6518"/>
    <cellStyle name="Normal 2 5 3 3 4 3 2" xfId="11533"/>
    <cellStyle name="Normal 2 5 3 3 4 4" xfId="9244"/>
    <cellStyle name="Normal 2 5 3 3 4 5" xfId="12987"/>
    <cellStyle name="Normal 2 5 3 3 4 6" xfId="7721"/>
    <cellStyle name="Normal 2 5 3 3 4 7" xfId="4175"/>
    <cellStyle name="Normal 2 5 3 3 5" xfId="1306"/>
    <cellStyle name="Normal 2 5 3 3 5 2" xfId="2863"/>
    <cellStyle name="Normal 2 5 3 3 5 2 2" xfId="10509"/>
    <cellStyle name="Normal 2 5 3 3 5 2 3" xfId="5492"/>
    <cellStyle name="Normal 2 5 3 3 5 3" xfId="6890"/>
    <cellStyle name="Normal 2 5 3 3 5 3 2" xfId="11905"/>
    <cellStyle name="Normal 2 5 3 3 5 4" xfId="8697"/>
    <cellStyle name="Normal 2 5 3 3 5 5" xfId="13359"/>
    <cellStyle name="Normal 2 5 3 3 5 6" xfId="8103"/>
    <cellStyle name="Normal 2 5 3 3 5 7" xfId="3626"/>
    <cellStyle name="Normal 2 5 3 3 6" xfId="1699"/>
    <cellStyle name="Normal 2 5 3 3 6 2" xfId="9583"/>
    <cellStyle name="Normal 2 5 3 3 6 3" xfId="4565"/>
    <cellStyle name="Normal 2 5 3 3 7" xfId="5846"/>
    <cellStyle name="Normal 2 5 3 3 7 2" xfId="10862"/>
    <cellStyle name="Normal 2 5 3 3 8" xfId="8423"/>
    <cellStyle name="Normal 2 5 3 3 9" xfId="12316"/>
    <cellStyle name="Normal 2 5 3 3_Degree data" xfId="2615"/>
    <cellStyle name="Normal 2 5 3 4" xfId="234"/>
    <cellStyle name="Normal 2 5 3 4 10" xfId="7208"/>
    <cellStyle name="Normal 2 5 3 4 11" xfId="3272"/>
    <cellStyle name="Normal 2 5 3 4 2" xfId="316"/>
    <cellStyle name="Normal 2 5 3 4 2 2" xfId="673"/>
    <cellStyle name="Normal 2 5 3 4 2 2 2" xfId="2025"/>
    <cellStyle name="Normal 2 5 3 4 2 2 2 2" xfId="10131"/>
    <cellStyle name="Normal 2 5 3 4 2 2 2 3" xfId="5113"/>
    <cellStyle name="Normal 2 5 3 4 2 2 3" xfId="6172"/>
    <cellStyle name="Normal 2 5 3 4 2 2 3 2" xfId="11188"/>
    <cellStyle name="Normal 2 5 3 4 2 2 4" xfId="9247"/>
    <cellStyle name="Normal 2 5 3 4 2 2 5" xfId="12642"/>
    <cellStyle name="Normal 2 5 3 4 2 2 6" xfId="7724"/>
    <cellStyle name="Normal 2 5 3 4 2 2 7" xfId="4178"/>
    <cellStyle name="Normal 2 5 3 4 2 3" xfId="1082"/>
    <cellStyle name="Normal 2 5 3 4 2 3 2" xfId="2374"/>
    <cellStyle name="Normal 2 5 3 4 2 3 2 2" xfId="10641"/>
    <cellStyle name="Normal 2 5 3 4 2 3 2 3" xfId="5624"/>
    <cellStyle name="Normal 2 5 3 4 2 3 3" xfId="6521"/>
    <cellStyle name="Normal 2 5 3 4 2 3 3 2" xfId="11536"/>
    <cellStyle name="Normal 2 5 3 4 2 3 4" xfId="9048"/>
    <cellStyle name="Normal 2 5 3 4 2 3 5" xfId="12990"/>
    <cellStyle name="Normal 2 5 3 4 2 3 6" xfId="8235"/>
    <cellStyle name="Normal 2 5 3 4 2 3 7" xfId="3979"/>
    <cellStyle name="Normal 2 5 3 4 2 4" xfId="1440"/>
    <cellStyle name="Normal 2 5 3 4 2 4 2" xfId="2999"/>
    <cellStyle name="Normal 2 5 3 4 2 4 2 2" xfId="12037"/>
    <cellStyle name="Normal 2 5 3 4 2 4 2 3" xfId="7022"/>
    <cellStyle name="Normal 2 5 3 4 2 4 3" xfId="13491"/>
    <cellStyle name="Normal 2 5 3 4 2 4 4" xfId="9932"/>
    <cellStyle name="Normal 2 5 3 4 2 4 5" xfId="4914"/>
    <cellStyle name="Normal 2 5 3 4 2 5" xfId="1831"/>
    <cellStyle name="Normal 2 5 3 4 2 5 2" xfId="10994"/>
    <cellStyle name="Normal 2 5 3 4 2 5 3" xfId="5978"/>
    <cellStyle name="Normal 2 5 3 4 2 6" xfId="8555"/>
    <cellStyle name="Normal 2 5 3 4 2 7" xfId="12448"/>
    <cellStyle name="Normal 2 5 3 4 2 8" xfId="7525"/>
    <cellStyle name="Normal 2 5 3 4 2 9" xfId="3477"/>
    <cellStyle name="Normal 2 5 3 4 2_Degree data" xfId="2612"/>
    <cellStyle name="Normal 2 5 3 4 3" xfId="468"/>
    <cellStyle name="Normal 2 5 3 4 3 2" xfId="2024"/>
    <cellStyle name="Normal 2 5 3 4 3 2 2" xfId="9727"/>
    <cellStyle name="Normal 2 5 3 4 3 2 3" xfId="4709"/>
    <cellStyle name="Normal 2 5 3 4 3 3" xfId="6171"/>
    <cellStyle name="Normal 2 5 3 4 3 3 2" xfId="11187"/>
    <cellStyle name="Normal 2 5 3 4 3 4" xfId="8843"/>
    <cellStyle name="Normal 2 5 3 4 3 5" xfId="12641"/>
    <cellStyle name="Normal 2 5 3 4 3 6" xfId="7320"/>
    <cellStyle name="Normal 2 5 3 4 3 7" xfId="3774"/>
    <cellStyle name="Normal 2 5 3 4 4" xfId="877"/>
    <cellStyle name="Normal 2 5 3 4 4 2" xfId="2373"/>
    <cellStyle name="Normal 2 5 3 4 4 2 2" xfId="10130"/>
    <cellStyle name="Normal 2 5 3 4 4 2 3" xfId="5112"/>
    <cellStyle name="Normal 2 5 3 4 4 3" xfId="6520"/>
    <cellStyle name="Normal 2 5 3 4 4 3 2" xfId="11535"/>
    <cellStyle name="Normal 2 5 3 4 4 4" xfId="9246"/>
    <cellStyle name="Normal 2 5 3 4 4 5" xfId="12989"/>
    <cellStyle name="Normal 2 5 3 4 4 6" xfId="7723"/>
    <cellStyle name="Normal 2 5 3 4 4 7" xfId="4177"/>
    <cellStyle name="Normal 2 5 3 4 5" xfId="1229"/>
    <cellStyle name="Normal 2 5 3 4 5 2" xfId="2785"/>
    <cellStyle name="Normal 2 5 3 4 5 2 2" xfId="10436"/>
    <cellStyle name="Normal 2 5 3 4 5 2 3" xfId="5419"/>
    <cellStyle name="Normal 2 5 3 4 5 3" xfId="6817"/>
    <cellStyle name="Normal 2 5 3 4 5 3 2" xfId="11832"/>
    <cellStyle name="Normal 2 5 3 4 5 4" xfId="8729"/>
    <cellStyle name="Normal 2 5 3 4 5 5" xfId="13286"/>
    <cellStyle name="Normal 2 5 3 4 5 6" xfId="8030"/>
    <cellStyle name="Normal 2 5 3 4 5 7" xfId="3659"/>
    <cellStyle name="Normal 2 5 3 4 6" xfId="1626"/>
    <cellStyle name="Normal 2 5 3 4 6 2" xfId="9615"/>
    <cellStyle name="Normal 2 5 3 4 6 3" xfId="4597"/>
    <cellStyle name="Normal 2 5 3 4 7" xfId="5773"/>
    <cellStyle name="Normal 2 5 3 4 7 2" xfId="10789"/>
    <cellStyle name="Normal 2 5 3 4 8" xfId="8350"/>
    <cellStyle name="Normal 2 5 3 4 9" xfId="12243"/>
    <cellStyle name="Normal 2 5 3 4_Degree data" xfId="2613"/>
    <cellStyle name="Normal 2 5 3 5" xfId="283"/>
    <cellStyle name="Normal 2 5 3 5 2" xfId="568"/>
    <cellStyle name="Normal 2 5 3 5 2 2" xfId="2026"/>
    <cellStyle name="Normal 2 5 3 5 2 2 2" xfId="10132"/>
    <cellStyle name="Normal 2 5 3 5 2 2 3" xfId="5114"/>
    <cellStyle name="Normal 2 5 3 5 2 3" xfId="6173"/>
    <cellStyle name="Normal 2 5 3 5 2 3 2" xfId="11189"/>
    <cellStyle name="Normal 2 5 3 5 2 4" xfId="9248"/>
    <cellStyle name="Normal 2 5 3 5 2 5" xfId="12643"/>
    <cellStyle name="Normal 2 5 3 5 2 6" xfId="7725"/>
    <cellStyle name="Normal 2 5 3 5 2 7" xfId="4179"/>
    <cellStyle name="Normal 2 5 3 5 3" xfId="977"/>
    <cellStyle name="Normal 2 5 3 5 3 2" xfId="2375"/>
    <cellStyle name="Normal 2 5 3 5 3 2 2" xfId="10536"/>
    <cellStyle name="Normal 2 5 3 5 3 2 3" xfId="5519"/>
    <cellStyle name="Normal 2 5 3 5 3 3" xfId="6522"/>
    <cellStyle name="Normal 2 5 3 5 3 3 2" xfId="11537"/>
    <cellStyle name="Normal 2 5 3 5 3 4" xfId="8943"/>
    <cellStyle name="Normal 2 5 3 5 3 5" xfId="12991"/>
    <cellStyle name="Normal 2 5 3 5 3 6" xfId="8130"/>
    <cellStyle name="Normal 2 5 3 5 3 7" xfId="3874"/>
    <cellStyle name="Normal 2 5 3 5 4" xfId="1333"/>
    <cellStyle name="Normal 2 5 3 5 4 2" xfId="2891"/>
    <cellStyle name="Normal 2 5 3 5 4 2 2" xfId="11932"/>
    <cellStyle name="Normal 2 5 3 5 4 2 3" xfId="6917"/>
    <cellStyle name="Normal 2 5 3 5 4 3" xfId="13386"/>
    <cellStyle name="Normal 2 5 3 5 4 4" xfId="9827"/>
    <cellStyle name="Normal 2 5 3 5 4 5" xfId="4809"/>
    <cellStyle name="Normal 2 5 3 5 5" xfId="1726"/>
    <cellStyle name="Normal 2 5 3 5 5 2" xfId="10889"/>
    <cellStyle name="Normal 2 5 3 5 5 3" xfId="5873"/>
    <cellStyle name="Normal 2 5 3 5 6" xfId="8450"/>
    <cellStyle name="Normal 2 5 3 5 7" xfId="12343"/>
    <cellStyle name="Normal 2 5 3 5 8" xfId="7420"/>
    <cellStyle name="Normal 2 5 3 5 9" xfId="3372"/>
    <cellStyle name="Normal 2 5 3 5_Degree data" xfId="2611"/>
    <cellStyle name="Normal 2 5 3 6" xfId="439"/>
    <cellStyle name="Normal 2 5 3 6 2" xfId="847"/>
    <cellStyle name="Normal 2 5 3 6 2 2" xfId="2027"/>
    <cellStyle name="Normal 2 5 3 6 2 2 2" xfId="10133"/>
    <cellStyle name="Normal 2 5 3 6 2 2 3" xfId="5115"/>
    <cellStyle name="Normal 2 5 3 6 2 3" xfId="6174"/>
    <cellStyle name="Normal 2 5 3 6 2 3 2" xfId="11190"/>
    <cellStyle name="Normal 2 5 3 6 2 4" xfId="9249"/>
    <cellStyle name="Normal 2 5 3 6 2 5" xfId="12644"/>
    <cellStyle name="Normal 2 5 3 6 2 6" xfId="7726"/>
    <cellStyle name="Normal 2 5 3 6 2 7" xfId="4180"/>
    <cellStyle name="Normal 2 5 3 6 3" xfId="1198"/>
    <cellStyle name="Normal 2 5 3 6 3 2" xfId="2376"/>
    <cellStyle name="Normal 2 5 3 6 3 2 2" xfId="10407"/>
    <cellStyle name="Normal 2 5 3 6 3 2 3" xfId="5390"/>
    <cellStyle name="Normal 2 5 3 6 3 3" xfId="6523"/>
    <cellStyle name="Normal 2 5 3 6 3 3 2" xfId="11538"/>
    <cellStyle name="Normal 2 5 3 6 3 4" xfId="9484"/>
    <cellStyle name="Normal 2 5 3 6 3 5" xfId="12992"/>
    <cellStyle name="Normal 2 5 3 6 3 6" xfId="8001"/>
    <cellStyle name="Normal 2 5 3 6 3 7" xfId="4466"/>
    <cellStyle name="Normal 2 5 3 6 4" xfId="2750"/>
    <cellStyle name="Normal 2 5 3 6 4 2" xfId="6788"/>
    <cellStyle name="Normal 2 5 3 6 4 2 2" xfId="11803"/>
    <cellStyle name="Normal 2 5 3 6 4 3" xfId="13257"/>
    <cellStyle name="Normal 2 5 3 6 4 4" xfId="9698"/>
    <cellStyle name="Normal 2 5 3 6 4 5" xfId="4680"/>
    <cellStyle name="Normal 2 5 3 6 5" xfId="1597"/>
    <cellStyle name="Normal 2 5 3 6 5 2" xfId="10758"/>
    <cellStyle name="Normal 2 5 3 6 5 3" xfId="5742"/>
    <cellStyle name="Normal 2 5 3 6 6" xfId="8814"/>
    <cellStyle name="Normal 2 5 3 6 7" xfId="12214"/>
    <cellStyle name="Normal 2 5 3 6 8" xfId="7291"/>
    <cellStyle name="Normal 2 5 3 6 9" xfId="3745"/>
    <cellStyle name="Normal 2 5 3 6_Degree data" xfId="2610"/>
    <cellStyle name="Normal 2 5 3 7" xfId="750"/>
    <cellStyle name="Normal 2 5 3 7 2" xfId="2018"/>
    <cellStyle name="Normal 2 5 3 7 2 2" xfId="10124"/>
    <cellStyle name="Normal 2 5 3 7 2 3" xfId="5106"/>
    <cellStyle name="Normal 2 5 3 7 3" xfId="6165"/>
    <cellStyle name="Normal 2 5 3 7 3 2" xfId="11181"/>
    <cellStyle name="Normal 2 5 3 7 4" xfId="9240"/>
    <cellStyle name="Normal 2 5 3 7 5" xfId="12635"/>
    <cellStyle name="Normal 2 5 3 7 6" xfId="7717"/>
    <cellStyle name="Normal 2 5 3 7 7" xfId="4171"/>
    <cellStyle name="Normal 2 5 3 8" xfId="1154"/>
    <cellStyle name="Normal 2 5 3 8 2" xfId="2367"/>
    <cellStyle name="Normal 2 5 3 8 2 2" xfId="10364"/>
    <cellStyle name="Normal 2 5 3 8 2 3" xfId="5347"/>
    <cellStyle name="Normal 2 5 3 8 3" xfId="6514"/>
    <cellStyle name="Normal 2 5 3 8 3 2" xfId="11529"/>
    <cellStyle name="Normal 2 5 3 8 4" xfId="8623"/>
    <cellStyle name="Normal 2 5 3 8 5" xfId="12983"/>
    <cellStyle name="Normal 2 5 3 8 6" xfId="7958"/>
    <cellStyle name="Normal 2 5 3 8 7" xfId="3547"/>
    <cellStyle name="Normal 2 5 3 9" xfId="2679"/>
    <cellStyle name="Normal 2 5 3 9 2" xfId="6745"/>
    <cellStyle name="Normal 2 5 3 9 2 2" xfId="11760"/>
    <cellStyle name="Normal 2 5 3 9 3" xfId="13214"/>
    <cellStyle name="Normal 2 5 3 9 4" xfId="9509"/>
    <cellStyle name="Normal 2 5 3 9 5" xfId="4491"/>
    <cellStyle name="Normal 2 5 3_Degree data" xfId="2984"/>
    <cellStyle name="Normal 2 5 4" xfId="154"/>
    <cellStyle name="Normal 2 5 4 10" xfId="1570"/>
    <cellStyle name="Normal 2 5 4 10 2" xfId="12187"/>
    <cellStyle name="Normal 2 5 4 10 3" xfId="10731"/>
    <cellStyle name="Normal 2 5 4 10 4" xfId="5715"/>
    <cellStyle name="Normal 2 5 4 11" xfId="1540"/>
    <cellStyle name="Normal 2 5 4 11 2" xfId="8339"/>
    <cellStyle name="Normal 2 5 4 12" xfId="12157"/>
    <cellStyle name="Normal 2 5 4 13" xfId="7116"/>
    <cellStyle name="Normal 2 5 4 14" xfId="3261"/>
    <cellStyle name="Normal 2 5 4 2" xfId="214"/>
    <cellStyle name="Normal 2 5 4 2 10" xfId="12289"/>
    <cellStyle name="Normal 2 5 4 2 11" xfId="7149"/>
    <cellStyle name="Normal 2 5 4 2 12" xfId="3318"/>
    <cellStyle name="Normal 2 5 4 2 2" xfId="363"/>
    <cellStyle name="Normal 2 5 4 2 2 10" xfId="3522"/>
    <cellStyle name="Normal 2 5 4 2 2 2" xfId="718"/>
    <cellStyle name="Normal 2 5 4 2 2 2 2" xfId="2030"/>
    <cellStyle name="Normal 2 5 4 2 2 2 2 2" xfId="9977"/>
    <cellStyle name="Normal 2 5 4 2 2 2 2 3" xfId="4959"/>
    <cellStyle name="Normal 2 5 4 2 2 2 3" xfId="6177"/>
    <cellStyle name="Normal 2 5 4 2 2 2 3 2" xfId="11193"/>
    <cellStyle name="Normal 2 5 4 2 2 2 4" xfId="9093"/>
    <cellStyle name="Normal 2 5 4 2 2 2 5" xfId="12647"/>
    <cellStyle name="Normal 2 5 4 2 2 2 6" xfId="7570"/>
    <cellStyle name="Normal 2 5 4 2 2 2 7" xfId="4024"/>
    <cellStyle name="Normal 2 5 4 2 2 3" xfId="1127"/>
    <cellStyle name="Normal 2 5 4 2 2 3 2" xfId="2379"/>
    <cellStyle name="Normal 2 5 4 2 2 3 2 2" xfId="10136"/>
    <cellStyle name="Normal 2 5 4 2 2 3 2 3" xfId="5118"/>
    <cellStyle name="Normal 2 5 4 2 2 3 3" xfId="6526"/>
    <cellStyle name="Normal 2 5 4 2 2 3 3 2" xfId="11541"/>
    <cellStyle name="Normal 2 5 4 2 2 3 4" xfId="9252"/>
    <cellStyle name="Normal 2 5 4 2 2 3 5" xfId="12995"/>
    <cellStyle name="Normal 2 5 4 2 2 3 6" xfId="7729"/>
    <cellStyle name="Normal 2 5 4 2 2 3 7" xfId="4183"/>
    <cellStyle name="Normal 2 5 4 2 2 4" xfId="1485"/>
    <cellStyle name="Normal 2 5 4 2 2 4 2" xfId="3044"/>
    <cellStyle name="Normal 2 5 4 2 2 4 2 2" xfId="10686"/>
    <cellStyle name="Normal 2 5 4 2 2 4 2 3" xfId="5669"/>
    <cellStyle name="Normal 2 5 4 2 2 4 3" xfId="7067"/>
    <cellStyle name="Normal 2 5 4 2 2 4 3 2" xfId="12082"/>
    <cellStyle name="Normal 2 5 4 2 2 4 4" xfId="8774"/>
    <cellStyle name="Normal 2 5 4 2 2 4 5" xfId="13536"/>
    <cellStyle name="Normal 2 5 4 2 2 4 6" xfId="8280"/>
    <cellStyle name="Normal 2 5 4 2 2 4 7" xfId="3704"/>
    <cellStyle name="Normal 2 5 4 2 2 5" xfId="1876"/>
    <cellStyle name="Normal 2 5 4 2 2 5 2" xfId="9660"/>
    <cellStyle name="Normal 2 5 4 2 2 5 3" xfId="4642"/>
    <cellStyle name="Normal 2 5 4 2 2 6" xfId="6023"/>
    <cellStyle name="Normal 2 5 4 2 2 6 2" xfId="11039"/>
    <cellStyle name="Normal 2 5 4 2 2 7" xfId="8600"/>
    <cellStyle name="Normal 2 5 4 2 2 8" xfId="12493"/>
    <cellStyle name="Normal 2 5 4 2 2 9" xfId="7253"/>
    <cellStyle name="Normal 2 5 4 2 2_Degree data" xfId="2607"/>
    <cellStyle name="Normal 2 5 4 2 3" xfId="614"/>
    <cellStyle name="Normal 2 5 4 2 3 2" xfId="1023"/>
    <cellStyle name="Normal 2 5 4 2 3 2 2" xfId="2031"/>
    <cellStyle name="Normal 2 5 4 2 3 2 2 2" xfId="10137"/>
    <cellStyle name="Normal 2 5 4 2 3 2 2 3" xfId="5119"/>
    <cellStyle name="Normal 2 5 4 2 3 2 3" xfId="6178"/>
    <cellStyle name="Normal 2 5 4 2 3 2 3 2" xfId="11194"/>
    <cellStyle name="Normal 2 5 4 2 3 2 4" xfId="9253"/>
    <cellStyle name="Normal 2 5 4 2 3 2 5" xfId="12648"/>
    <cellStyle name="Normal 2 5 4 2 3 2 6" xfId="7730"/>
    <cellStyle name="Normal 2 5 4 2 3 2 7" xfId="4184"/>
    <cellStyle name="Normal 2 5 4 2 3 3" xfId="1379"/>
    <cellStyle name="Normal 2 5 4 2 3 3 2" xfId="2380"/>
    <cellStyle name="Normal 2 5 4 2 3 3 2 2" xfId="10582"/>
    <cellStyle name="Normal 2 5 4 2 3 3 2 3" xfId="5565"/>
    <cellStyle name="Normal 2 5 4 2 3 3 3" xfId="6527"/>
    <cellStyle name="Normal 2 5 4 2 3 3 3 2" xfId="11542"/>
    <cellStyle name="Normal 2 5 4 2 3 3 4" xfId="8989"/>
    <cellStyle name="Normal 2 5 4 2 3 3 5" xfId="12996"/>
    <cellStyle name="Normal 2 5 4 2 3 3 6" xfId="8176"/>
    <cellStyle name="Normal 2 5 4 2 3 3 7" xfId="3920"/>
    <cellStyle name="Normal 2 5 4 2 3 4" xfId="2937"/>
    <cellStyle name="Normal 2 5 4 2 3 4 2" xfId="6963"/>
    <cellStyle name="Normal 2 5 4 2 3 4 2 2" xfId="11978"/>
    <cellStyle name="Normal 2 5 4 2 3 4 3" xfId="13432"/>
    <cellStyle name="Normal 2 5 4 2 3 4 4" xfId="9873"/>
    <cellStyle name="Normal 2 5 4 2 3 4 5" xfId="4855"/>
    <cellStyle name="Normal 2 5 4 2 3 5" xfId="1772"/>
    <cellStyle name="Normal 2 5 4 2 3 5 2" xfId="10935"/>
    <cellStyle name="Normal 2 5 4 2 3 5 3" xfId="5919"/>
    <cellStyle name="Normal 2 5 4 2 3 6" xfId="8496"/>
    <cellStyle name="Normal 2 5 4 2 3 7" xfId="12389"/>
    <cellStyle name="Normal 2 5 4 2 3 8" xfId="7466"/>
    <cellStyle name="Normal 2 5 4 2 3 9" xfId="3418"/>
    <cellStyle name="Normal 2 5 4 2 3_Degree data" xfId="2657"/>
    <cellStyle name="Normal 2 5 4 2 4" xfId="514"/>
    <cellStyle name="Normal 2 5 4 2 4 2" xfId="923"/>
    <cellStyle name="Normal 2 5 4 2 4 2 2" xfId="9773"/>
    <cellStyle name="Normal 2 5 4 2 4 2 3" xfId="4755"/>
    <cellStyle name="Normal 2 5 4 2 4 3" xfId="2029"/>
    <cellStyle name="Normal 2 5 4 2 4 3 2" xfId="11192"/>
    <cellStyle name="Normal 2 5 4 2 4 3 3" xfId="6176"/>
    <cellStyle name="Normal 2 5 4 2 4 4" xfId="8889"/>
    <cellStyle name="Normal 2 5 4 2 4 5" xfId="12646"/>
    <cellStyle name="Normal 2 5 4 2 4 6" xfId="7366"/>
    <cellStyle name="Normal 2 5 4 2 4 7" xfId="3820"/>
    <cellStyle name="Normal 2 5 4 2 5" xfId="790"/>
    <cellStyle name="Normal 2 5 4 2 5 2" xfId="2378"/>
    <cellStyle name="Normal 2 5 4 2 5 2 2" xfId="10135"/>
    <cellStyle name="Normal 2 5 4 2 5 2 3" xfId="5117"/>
    <cellStyle name="Normal 2 5 4 2 5 3" xfId="6525"/>
    <cellStyle name="Normal 2 5 4 2 5 3 2" xfId="11540"/>
    <cellStyle name="Normal 2 5 4 2 5 4" xfId="9251"/>
    <cellStyle name="Normal 2 5 4 2 5 5" xfId="12994"/>
    <cellStyle name="Normal 2 5 4 2 5 6" xfId="7728"/>
    <cellStyle name="Normal 2 5 4 2 5 7" xfId="4182"/>
    <cellStyle name="Normal 2 5 4 2 6" xfId="1278"/>
    <cellStyle name="Normal 2 5 4 2 6 2" xfId="2835"/>
    <cellStyle name="Normal 2 5 4 2 6 2 2" xfId="10482"/>
    <cellStyle name="Normal 2 5 4 2 6 2 3" xfId="5465"/>
    <cellStyle name="Normal 2 5 4 2 6 3" xfId="6863"/>
    <cellStyle name="Normal 2 5 4 2 6 3 2" xfId="11878"/>
    <cellStyle name="Normal 2 5 4 2 6 4" xfId="8670"/>
    <cellStyle name="Normal 2 5 4 2 6 5" xfId="13332"/>
    <cellStyle name="Normal 2 5 4 2 6 6" xfId="8076"/>
    <cellStyle name="Normal 2 5 4 2 6 7" xfId="3597"/>
    <cellStyle name="Normal 2 5 4 2 7" xfId="1672"/>
    <cellStyle name="Normal 2 5 4 2 7 2" xfId="9556"/>
    <cellStyle name="Normal 2 5 4 2 7 3" xfId="4538"/>
    <cellStyle name="Normal 2 5 4 2 8" xfId="5819"/>
    <cellStyle name="Normal 2 5 4 2 8 2" xfId="10835"/>
    <cellStyle name="Normal 2 5 4 2 9" xfId="8396"/>
    <cellStyle name="Normal 2 5 4 2_Degree data" xfId="2608"/>
    <cellStyle name="Normal 2 5 4 3" xfId="250"/>
    <cellStyle name="Normal 2 5 4 3 10" xfId="7192"/>
    <cellStyle name="Normal 2 5 4 3 11" xfId="3361"/>
    <cellStyle name="Normal 2 5 4 3 2" xfId="407"/>
    <cellStyle name="Normal 2 5 4 3 2 2" xfId="657"/>
    <cellStyle name="Normal 2 5 4 3 2 2 2" xfId="2033"/>
    <cellStyle name="Normal 2 5 4 3 2 2 2 2" xfId="10139"/>
    <cellStyle name="Normal 2 5 4 3 2 2 2 3" xfId="5121"/>
    <cellStyle name="Normal 2 5 4 3 2 2 3" xfId="6180"/>
    <cellStyle name="Normal 2 5 4 3 2 2 3 2" xfId="11196"/>
    <cellStyle name="Normal 2 5 4 3 2 2 4" xfId="9255"/>
    <cellStyle name="Normal 2 5 4 3 2 2 5" xfId="12650"/>
    <cellStyle name="Normal 2 5 4 3 2 2 6" xfId="7732"/>
    <cellStyle name="Normal 2 5 4 3 2 2 7" xfId="4186"/>
    <cellStyle name="Normal 2 5 4 3 2 3" xfId="1066"/>
    <cellStyle name="Normal 2 5 4 3 2 3 2" xfId="2382"/>
    <cellStyle name="Normal 2 5 4 3 2 3 2 2" xfId="10625"/>
    <cellStyle name="Normal 2 5 4 3 2 3 2 3" xfId="5608"/>
    <cellStyle name="Normal 2 5 4 3 2 3 3" xfId="6529"/>
    <cellStyle name="Normal 2 5 4 3 2 3 3 2" xfId="11544"/>
    <cellStyle name="Normal 2 5 4 3 2 3 4" xfId="9032"/>
    <cellStyle name="Normal 2 5 4 3 2 3 5" xfId="12998"/>
    <cellStyle name="Normal 2 5 4 3 2 3 6" xfId="8219"/>
    <cellStyle name="Normal 2 5 4 3 2 3 7" xfId="3963"/>
    <cellStyle name="Normal 2 5 4 3 2 4" xfId="1424"/>
    <cellStyle name="Normal 2 5 4 3 2 4 2" xfId="2982"/>
    <cellStyle name="Normal 2 5 4 3 2 4 2 2" xfId="12021"/>
    <cellStyle name="Normal 2 5 4 3 2 4 2 3" xfId="7006"/>
    <cellStyle name="Normal 2 5 4 3 2 4 3" xfId="13475"/>
    <cellStyle name="Normal 2 5 4 3 2 4 4" xfId="9916"/>
    <cellStyle name="Normal 2 5 4 3 2 4 5" xfId="4898"/>
    <cellStyle name="Normal 2 5 4 3 2 5" xfId="1815"/>
    <cellStyle name="Normal 2 5 4 3 2 5 2" xfId="10978"/>
    <cellStyle name="Normal 2 5 4 3 2 5 3" xfId="5962"/>
    <cellStyle name="Normal 2 5 4 3 2 6" xfId="8539"/>
    <cellStyle name="Normal 2 5 4 3 2 7" xfId="12432"/>
    <cellStyle name="Normal 2 5 4 3 2 8" xfId="7509"/>
    <cellStyle name="Normal 2 5 4 3 2 9" xfId="3461"/>
    <cellStyle name="Normal 2 5 4 3 2_Degree data" xfId="2712"/>
    <cellStyle name="Normal 2 5 4 3 3" xfId="557"/>
    <cellStyle name="Normal 2 5 4 3 3 2" xfId="966"/>
    <cellStyle name="Normal 2 5 4 3 3 2 2" xfId="9816"/>
    <cellStyle name="Normal 2 5 4 3 3 2 3" xfId="4798"/>
    <cellStyle name="Normal 2 5 4 3 3 3" xfId="2032"/>
    <cellStyle name="Normal 2 5 4 3 3 3 2" xfId="11195"/>
    <cellStyle name="Normal 2 5 4 3 3 3 3" xfId="6179"/>
    <cellStyle name="Normal 2 5 4 3 3 4" xfId="8932"/>
    <cellStyle name="Normal 2 5 4 3 3 5" xfId="12649"/>
    <cellStyle name="Normal 2 5 4 3 3 6" xfId="7409"/>
    <cellStyle name="Normal 2 5 4 3 3 7" xfId="3863"/>
    <cellStyle name="Normal 2 5 4 3 4" xfId="820"/>
    <cellStyle name="Normal 2 5 4 3 4 2" xfId="2381"/>
    <cellStyle name="Normal 2 5 4 3 4 2 2" xfId="10138"/>
    <cellStyle name="Normal 2 5 4 3 4 2 3" xfId="5120"/>
    <cellStyle name="Normal 2 5 4 3 4 3" xfId="6528"/>
    <cellStyle name="Normal 2 5 4 3 4 3 2" xfId="11543"/>
    <cellStyle name="Normal 2 5 4 3 4 4" xfId="9254"/>
    <cellStyle name="Normal 2 5 4 3 4 5" xfId="12997"/>
    <cellStyle name="Normal 2 5 4 3 4 6" xfId="7731"/>
    <cellStyle name="Normal 2 5 4 3 4 7" xfId="4185"/>
    <cellStyle name="Normal 2 5 4 3 5" xfId="1322"/>
    <cellStyle name="Normal 2 5 4 3 5 2" xfId="2880"/>
    <cellStyle name="Normal 2 5 4 3 5 2 2" xfId="10525"/>
    <cellStyle name="Normal 2 5 4 3 5 2 3" xfId="5508"/>
    <cellStyle name="Normal 2 5 4 3 5 3" xfId="6906"/>
    <cellStyle name="Normal 2 5 4 3 5 3 2" xfId="11921"/>
    <cellStyle name="Normal 2 5 4 3 5 4" xfId="8713"/>
    <cellStyle name="Normal 2 5 4 3 5 5" xfId="13375"/>
    <cellStyle name="Normal 2 5 4 3 5 6" xfId="8119"/>
    <cellStyle name="Normal 2 5 4 3 5 7" xfId="3643"/>
    <cellStyle name="Normal 2 5 4 3 6" xfId="1715"/>
    <cellStyle name="Normal 2 5 4 3 6 2" xfId="9599"/>
    <cellStyle name="Normal 2 5 4 3 6 3" xfId="4581"/>
    <cellStyle name="Normal 2 5 4 3 7" xfId="5862"/>
    <cellStyle name="Normal 2 5 4 3 7 2" xfId="10878"/>
    <cellStyle name="Normal 2 5 4 3 8" xfId="8439"/>
    <cellStyle name="Normal 2 5 4 3 9" xfId="12332"/>
    <cellStyle name="Normal 2 5 4 3_Degree data" xfId="3056"/>
    <cellStyle name="Normal 2 5 4 4" xfId="329"/>
    <cellStyle name="Normal 2 5 4 4 10" xfId="7221"/>
    <cellStyle name="Normal 2 5 4 4 11" xfId="3285"/>
    <cellStyle name="Normal 2 5 4 4 2" xfId="686"/>
    <cellStyle name="Normal 2 5 4 4 2 2" xfId="1095"/>
    <cellStyle name="Normal 2 5 4 4 2 2 2" xfId="2035"/>
    <cellStyle name="Normal 2 5 4 4 2 2 2 2" xfId="10141"/>
    <cellStyle name="Normal 2 5 4 4 2 2 2 3" xfId="5123"/>
    <cellStyle name="Normal 2 5 4 4 2 2 3" xfId="6182"/>
    <cellStyle name="Normal 2 5 4 4 2 2 3 2" xfId="11198"/>
    <cellStyle name="Normal 2 5 4 4 2 2 4" xfId="9257"/>
    <cellStyle name="Normal 2 5 4 4 2 2 5" xfId="12652"/>
    <cellStyle name="Normal 2 5 4 4 2 2 6" xfId="7734"/>
    <cellStyle name="Normal 2 5 4 4 2 2 7" xfId="4188"/>
    <cellStyle name="Normal 2 5 4 4 2 3" xfId="1453"/>
    <cellStyle name="Normal 2 5 4 4 2 3 2" xfId="2384"/>
    <cellStyle name="Normal 2 5 4 4 2 3 2 2" xfId="10654"/>
    <cellStyle name="Normal 2 5 4 4 2 3 2 3" xfId="5637"/>
    <cellStyle name="Normal 2 5 4 4 2 3 3" xfId="6531"/>
    <cellStyle name="Normal 2 5 4 4 2 3 3 2" xfId="11546"/>
    <cellStyle name="Normal 2 5 4 4 2 3 4" xfId="9061"/>
    <cellStyle name="Normal 2 5 4 4 2 3 5" xfId="13000"/>
    <cellStyle name="Normal 2 5 4 4 2 3 6" xfId="8248"/>
    <cellStyle name="Normal 2 5 4 4 2 3 7" xfId="3992"/>
    <cellStyle name="Normal 2 5 4 4 2 4" xfId="3012"/>
    <cellStyle name="Normal 2 5 4 4 2 4 2" xfId="7035"/>
    <cellStyle name="Normal 2 5 4 4 2 4 2 2" xfId="12050"/>
    <cellStyle name="Normal 2 5 4 4 2 4 3" xfId="13504"/>
    <cellStyle name="Normal 2 5 4 4 2 4 4" xfId="9945"/>
    <cellStyle name="Normal 2 5 4 4 2 4 5" xfId="4927"/>
    <cellStyle name="Normal 2 5 4 4 2 5" xfId="1844"/>
    <cellStyle name="Normal 2 5 4 4 2 5 2" xfId="11007"/>
    <cellStyle name="Normal 2 5 4 4 2 5 3" xfId="5991"/>
    <cellStyle name="Normal 2 5 4 4 2 6" xfId="8568"/>
    <cellStyle name="Normal 2 5 4 4 2 7" xfId="12461"/>
    <cellStyle name="Normal 2 5 4 4 2 8" xfId="7538"/>
    <cellStyle name="Normal 2 5 4 4 2 9" xfId="3490"/>
    <cellStyle name="Normal 2 5 4 4 2_Degree data" xfId="2606"/>
    <cellStyle name="Normal 2 5 4 4 3" xfId="481"/>
    <cellStyle name="Normal 2 5 4 4 3 2" xfId="2034"/>
    <cellStyle name="Normal 2 5 4 4 3 2 2" xfId="9740"/>
    <cellStyle name="Normal 2 5 4 4 3 2 3" xfId="4722"/>
    <cellStyle name="Normal 2 5 4 4 3 3" xfId="6181"/>
    <cellStyle name="Normal 2 5 4 4 3 3 2" xfId="11197"/>
    <cellStyle name="Normal 2 5 4 4 3 4" xfId="8856"/>
    <cellStyle name="Normal 2 5 4 4 3 5" xfId="12651"/>
    <cellStyle name="Normal 2 5 4 4 3 6" xfId="7333"/>
    <cellStyle name="Normal 2 5 4 4 3 7" xfId="3787"/>
    <cellStyle name="Normal 2 5 4 4 4" xfId="890"/>
    <cellStyle name="Normal 2 5 4 4 4 2" xfId="2383"/>
    <cellStyle name="Normal 2 5 4 4 4 2 2" xfId="10140"/>
    <cellStyle name="Normal 2 5 4 4 4 2 3" xfId="5122"/>
    <cellStyle name="Normal 2 5 4 4 4 3" xfId="6530"/>
    <cellStyle name="Normal 2 5 4 4 4 3 2" xfId="11545"/>
    <cellStyle name="Normal 2 5 4 4 4 4" xfId="9256"/>
    <cellStyle name="Normal 2 5 4 4 4 5" xfId="12999"/>
    <cellStyle name="Normal 2 5 4 4 4 6" xfId="7733"/>
    <cellStyle name="Normal 2 5 4 4 4 7" xfId="4187"/>
    <cellStyle name="Normal 2 5 4 4 5" xfId="1242"/>
    <cellStyle name="Normal 2 5 4 4 5 2" xfId="2798"/>
    <cellStyle name="Normal 2 5 4 4 5 2 2" xfId="10449"/>
    <cellStyle name="Normal 2 5 4 4 5 2 3" xfId="5432"/>
    <cellStyle name="Normal 2 5 4 4 5 3" xfId="6830"/>
    <cellStyle name="Normal 2 5 4 4 5 3 2" xfId="11845"/>
    <cellStyle name="Normal 2 5 4 4 5 4" xfId="8742"/>
    <cellStyle name="Normal 2 5 4 4 5 5" xfId="13299"/>
    <cellStyle name="Normal 2 5 4 4 5 6" xfId="8043"/>
    <cellStyle name="Normal 2 5 4 4 5 7" xfId="3672"/>
    <cellStyle name="Normal 2 5 4 4 6" xfId="1639"/>
    <cellStyle name="Normal 2 5 4 4 6 2" xfId="9628"/>
    <cellStyle name="Normal 2 5 4 4 6 3" xfId="4610"/>
    <cellStyle name="Normal 2 5 4 4 7" xfId="5786"/>
    <cellStyle name="Normal 2 5 4 4 7 2" xfId="10802"/>
    <cellStyle name="Normal 2 5 4 4 8" xfId="8363"/>
    <cellStyle name="Normal 2 5 4 4 9" xfId="12256"/>
    <cellStyle name="Normal 2 5 4 4_Degree data" xfId="2642"/>
    <cellStyle name="Normal 2 5 4 5" xfId="303"/>
    <cellStyle name="Normal 2 5 4 5 2" xfId="581"/>
    <cellStyle name="Normal 2 5 4 5 2 2" xfId="2036"/>
    <cellStyle name="Normal 2 5 4 5 2 2 2" xfId="10142"/>
    <cellStyle name="Normal 2 5 4 5 2 2 3" xfId="5124"/>
    <cellStyle name="Normal 2 5 4 5 2 3" xfId="6183"/>
    <cellStyle name="Normal 2 5 4 5 2 3 2" xfId="11199"/>
    <cellStyle name="Normal 2 5 4 5 2 4" xfId="9258"/>
    <cellStyle name="Normal 2 5 4 5 2 5" xfId="12653"/>
    <cellStyle name="Normal 2 5 4 5 2 6" xfId="7735"/>
    <cellStyle name="Normal 2 5 4 5 2 7" xfId="4189"/>
    <cellStyle name="Normal 2 5 4 5 3" xfId="990"/>
    <cellStyle name="Normal 2 5 4 5 3 2" xfId="2385"/>
    <cellStyle name="Normal 2 5 4 5 3 2 2" xfId="10549"/>
    <cellStyle name="Normal 2 5 4 5 3 2 3" xfId="5532"/>
    <cellStyle name="Normal 2 5 4 5 3 3" xfId="6532"/>
    <cellStyle name="Normal 2 5 4 5 3 3 2" xfId="11547"/>
    <cellStyle name="Normal 2 5 4 5 3 4" xfId="8956"/>
    <cellStyle name="Normal 2 5 4 5 3 5" xfId="13001"/>
    <cellStyle name="Normal 2 5 4 5 3 6" xfId="8143"/>
    <cellStyle name="Normal 2 5 4 5 3 7" xfId="3887"/>
    <cellStyle name="Normal 2 5 4 5 4" xfId="1346"/>
    <cellStyle name="Normal 2 5 4 5 4 2" xfId="2904"/>
    <cellStyle name="Normal 2 5 4 5 4 2 2" xfId="11945"/>
    <cellStyle name="Normal 2 5 4 5 4 2 3" xfId="6930"/>
    <cellStyle name="Normal 2 5 4 5 4 3" xfId="13399"/>
    <cellStyle name="Normal 2 5 4 5 4 4" xfId="9840"/>
    <cellStyle name="Normal 2 5 4 5 4 5" xfId="4822"/>
    <cellStyle name="Normal 2 5 4 5 5" xfId="1739"/>
    <cellStyle name="Normal 2 5 4 5 5 2" xfId="10902"/>
    <cellStyle name="Normal 2 5 4 5 5 3" xfId="5886"/>
    <cellStyle name="Normal 2 5 4 5 6" xfId="8463"/>
    <cellStyle name="Normal 2 5 4 5 7" xfId="12356"/>
    <cellStyle name="Normal 2 5 4 5 8" xfId="7433"/>
    <cellStyle name="Normal 2 5 4 5 9" xfId="3385"/>
    <cellStyle name="Normal 2 5 4 5_Degree data" xfId="2693"/>
    <cellStyle name="Normal 2 5 4 6" xfId="457"/>
    <cellStyle name="Normal 2 5 4 6 2" xfId="866"/>
    <cellStyle name="Normal 2 5 4 6 2 2" xfId="2037"/>
    <cellStyle name="Normal 2 5 4 6 2 2 2" xfId="10143"/>
    <cellStyle name="Normal 2 5 4 6 2 2 3" xfId="5125"/>
    <cellStyle name="Normal 2 5 4 6 2 3" xfId="6184"/>
    <cellStyle name="Normal 2 5 4 6 2 3 2" xfId="11200"/>
    <cellStyle name="Normal 2 5 4 6 2 4" xfId="9259"/>
    <cellStyle name="Normal 2 5 4 6 2 5" xfId="12654"/>
    <cellStyle name="Normal 2 5 4 6 2 6" xfId="7736"/>
    <cellStyle name="Normal 2 5 4 6 2 7" xfId="4190"/>
    <cellStyle name="Normal 2 5 4 6 3" xfId="1216"/>
    <cellStyle name="Normal 2 5 4 6 3 2" xfId="2386"/>
    <cellStyle name="Normal 2 5 4 6 3 2 2" xfId="10425"/>
    <cellStyle name="Normal 2 5 4 6 3 2 3" xfId="5408"/>
    <cellStyle name="Normal 2 5 4 6 3 3" xfId="6533"/>
    <cellStyle name="Normal 2 5 4 6 3 3 2" xfId="11548"/>
    <cellStyle name="Normal 2 5 4 6 3 4" xfId="9486"/>
    <cellStyle name="Normal 2 5 4 6 3 5" xfId="13002"/>
    <cellStyle name="Normal 2 5 4 6 3 6" xfId="8019"/>
    <cellStyle name="Normal 2 5 4 6 3 7" xfId="4468"/>
    <cellStyle name="Normal 2 5 4 6 4" xfId="2770"/>
    <cellStyle name="Normal 2 5 4 6 4 2" xfId="6806"/>
    <cellStyle name="Normal 2 5 4 6 4 2 2" xfId="11821"/>
    <cellStyle name="Normal 2 5 4 6 4 3" xfId="13275"/>
    <cellStyle name="Normal 2 5 4 6 4 4" xfId="9716"/>
    <cellStyle name="Normal 2 5 4 6 4 5" xfId="4698"/>
    <cellStyle name="Normal 2 5 4 6 5" xfId="1615"/>
    <cellStyle name="Normal 2 5 4 6 5 2" xfId="10776"/>
    <cellStyle name="Normal 2 5 4 6 5 3" xfId="5760"/>
    <cellStyle name="Normal 2 5 4 6 6" xfId="8832"/>
    <cellStyle name="Normal 2 5 4 6 7" xfId="12232"/>
    <cellStyle name="Normal 2 5 4 6 8" xfId="7309"/>
    <cellStyle name="Normal 2 5 4 6 9" xfId="3763"/>
    <cellStyle name="Normal 2 5 4 6_Degree data" xfId="2605"/>
    <cellStyle name="Normal 2 5 4 7" xfId="738"/>
    <cellStyle name="Normal 2 5 4 7 2" xfId="2028"/>
    <cellStyle name="Normal 2 5 4 7 2 2" xfId="10134"/>
    <cellStyle name="Normal 2 5 4 7 2 3" xfId="5116"/>
    <cellStyle name="Normal 2 5 4 7 3" xfId="6175"/>
    <cellStyle name="Normal 2 5 4 7 3 2" xfId="11191"/>
    <cellStyle name="Normal 2 5 4 7 4" xfId="9250"/>
    <cellStyle name="Normal 2 5 4 7 5" xfId="12645"/>
    <cellStyle name="Normal 2 5 4 7 6" xfId="7727"/>
    <cellStyle name="Normal 2 5 4 7 7" xfId="4181"/>
    <cellStyle name="Normal 2 5 4 8" xfId="1170"/>
    <cellStyle name="Normal 2 5 4 8 2" xfId="2377"/>
    <cellStyle name="Normal 2 5 4 8 2 2" xfId="10380"/>
    <cellStyle name="Normal 2 5 4 8 2 3" xfId="5363"/>
    <cellStyle name="Normal 2 5 4 8 3" xfId="6524"/>
    <cellStyle name="Normal 2 5 4 8 3 2" xfId="11539"/>
    <cellStyle name="Normal 2 5 4 8 4" xfId="8636"/>
    <cellStyle name="Normal 2 5 4 8 5" xfId="12993"/>
    <cellStyle name="Normal 2 5 4 8 6" xfId="7974"/>
    <cellStyle name="Normal 2 5 4 8 7" xfId="3560"/>
    <cellStyle name="Normal 2 5 4 9" xfId="2721"/>
    <cellStyle name="Normal 2 5 4 9 2" xfId="6761"/>
    <cellStyle name="Normal 2 5 4 9 2 2" xfId="11776"/>
    <cellStyle name="Normal 2 5 4 9 3" xfId="13230"/>
    <cellStyle name="Normal 2 5 4 9 4" xfId="9523"/>
    <cellStyle name="Normal 2 5 4 9 5" xfId="4505"/>
    <cellStyle name="Normal 2 5 4_Degree data" xfId="2609"/>
    <cellStyle name="Normal 2 5 5" xfId="163"/>
    <cellStyle name="Normal 2 5 5 10" xfId="8309"/>
    <cellStyle name="Normal 2 5 5 11" xfId="12129"/>
    <cellStyle name="Normal 2 5 5 12" xfId="7121"/>
    <cellStyle name="Normal 2 5 5 13" xfId="3230"/>
    <cellStyle name="Normal 2 5 5 2" xfId="378"/>
    <cellStyle name="Normal 2 5 5 2 10" xfId="7164"/>
    <cellStyle name="Normal 2 5 5 2 11" xfId="3333"/>
    <cellStyle name="Normal 2 5 5 2 2" xfId="629"/>
    <cellStyle name="Normal 2 5 5 2 2 2" xfId="1038"/>
    <cellStyle name="Normal 2 5 5 2 2 2 2" xfId="2040"/>
    <cellStyle name="Normal 2 5 5 2 2 2 2 2" xfId="10146"/>
    <cellStyle name="Normal 2 5 5 2 2 2 2 3" xfId="5128"/>
    <cellStyle name="Normal 2 5 5 2 2 2 3" xfId="6187"/>
    <cellStyle name="Normal 2 5 5 2 2 2 3 2" xfId="11203"/>
    <cellStyle name="Normal 2 5 5 2 2 2 4" xfId="9262"/>
    <cellStyle name="Normal 2 5 5 2 2 2 5" xfId="12657"/>
    <cellStyle name="Normal 2 5 5 2 2 2 6" xfId="7739"/>
    <cellStyle name="Normal 2 5 5 2 2 2 7" xfId="4193"/>
    <cellStyle name="Normal 2 5 5 2 2 3" xfId="1395"/>
    <cellStyle name="Normal 2 5 5 2 2 3 2" xfId="2389"/>
    <cellStyle name="Normal 2 5 5 2 2 3 2 2" xfId="10597"/>
    <cellStyle name="Normal 2 5 5 2 2 3 2 3" xfId="5580"/>
    <cellStyle name="Normal 2 5 5 2 2 3 3" xfId="6536"/>
    <cellStyle name="Normal 2 5 5 2 2 3 3 2" xfId="11551"/>
    <cellStyle name="Normal 2 5 5 2 2 3 4" xfId="9004"/>
    <cellStyle name="Normal 2 5 5 2 2 3 5" xfId="13005"/>
    <cellStyle name="Normal 2 5 5 2 2 3 6" xfId="8191"/>
    <cellStyle name="Normal 2 5 5 2 2 3 7" xfId="3935"/>
    <cellStyle name="Normal 2 5 5 2 2 4" xfId="2953"/>
    <cellStyle name="Normal 2 5 5 2 2 4 2" xfId="6978"/>
    <cellStyle name="Normal 2 5 5 2 2 4 2 2" xfId="11993"/>
    <cellStyle name="Normal 2 5 5 2 2 4 3" xfId="13447"/>
    <cellStyle name="Normal 2 5 5 2 2 4 4" xfId="9888"/>
    <cellStyle name="Normal 2 5 5 2 2 4 5" xfId="4870"/>
    <cellStyle name="Normal 2 5 5 2 2 5" xfId="1787"/>
    <cellStyle name="Normal 2 5 5 2 2 5 2" xfId="10950"/>
    <cellStyle name="Normal 2 5 5 2 2 5 3" xfId="5934"/>
    <cellStyle name="Normal 2 5 5 2 2 6" xfId="8511"/>
    <cellStyle name="Normal 2 5 5 2 2 7" xfId="12404"/>
    <cellStyle name="Normal 2 5 5 2 2 8" xfId="7481"/>
    <cellStyle name="Normal 2 5 5 2 2 9" xfId="3433"/>
    <cellStyle name="Normal 2 5 5 2 2_Degree data" xfId="2602"/>
    <cellStyle name="Normal 2 5 5 2 3" xfId="529"/>
    <cellStyle name="Normal 2 5 5 2 3 2" xfId="2039"/>
    <cellStyle name="Normal 2 5 5 2 3 2 2" xfId="9788"/>
    <cellStyle name="Normal 2 5 5 2 3 2 3" xfId="4770"/>
    <cellStyle name="Normal 2 5 5 2 3 3" xfId="6186"/>
    <cellStyle name="Normal 2 5 5 2 3 3 2" xfId="11202"/>
    <cellStyle name="Normal 2 5 5 2 3 4" xfId="8904"/>
    <cellStyle name="Normal 2 5 5 2 3 5" xfId="12656"/>
    <cellStyle name="Normal 2 5 5 2 3 6" xfId="7381"/>
    <cellStyle name="Normal 2 5 5 2 3 7" xfId="3835"/>
    <cellStyle name="Normal 2 5 5 2 4" xfId="938"/>
    <cellStyle name="Normal 2 5 5 2 4 2" xfId="2388"/>
    <cellStyle name="Normal 2 5 5 2 4 2 2" xfId="10145"/>
    <cellStyle name="Normal 2 5 5 2 4 2 3" xfId="5127"/>
    <cellStyle name="Normal 2 5 5 2 4 3" xfId="6535"/>
    <cellStyle name="Normal 2 5 5 2 4 3 2" xfId="11550"/>
    <cellStyle name="Normal 2 5 5 2 4 4" xfId="9261"/>
    <cellStyle name="Normal 2 5 5 2 4 5" xfId="13004"/>
    <cellStyle name="Normal 2 5 5 2 4 6" xfId="7738"/>
    <cellStyle name="Normal 2 5 5 2 4 7" xfId="4192"/>
    <cellStyle name="Normal 2 5 5 2 5" xfId="1294"/>
    <cellStyle name="Normal 2 5 5 2 5 2" xfId="2851"/>
    <cellStyle name="Normal 2 5 5 2 5 2 2" xfId="10497"/>
    <cellStyle name="Normal 2 5 5 2 5 2 3" xfId="5480"/>
    <cellStyle name="Normal 2 5 5 2 5 3" xfId="6878"/>
    <cellStyle name="Normal 2 5 5 2 5 3 2" xfId="11893"/>
    <cellStyle name="Normal 2 5 5 2 5 4" xfId="8685"/>
    <cellStyle name="Normal 2 5 5 2 5 5" xfId="13347"/>
    <cellStyle name="Normal 2 5 5 2 5 6" xfId="8091"/>
    <cellStyle name="Normal 2 5 5 2 5 7" xfId="3614"/>
    <cellStyle name="Normal 2 5 5 2 6" xfId="1687"/>
    <cellStyle name="Normal 2 5 5 2 6 2" xfId="9571"/>
    <cellStyle name="Normal 2 5 5 2 6 3" xfId="4553"/>
    <cellStyle name="Normal 2 5 5 2 7" xfId="5834"/>
    <cellStyle name="Normal 2 5 5 2 7 2" xfId="10850"/>
    <cellStyle name="Normal 2 5 5 2 8" xfId="8411"/>
    <cellStyle name="Normal 2 5 5 2 9" xfId="12304"/>
    <cellStyle name="Normal 2 5 5 2_Degree data" xfId="2603"/>
    <cellStyle name="Normal 2 5 5 3" xfId="334"/>
    <cellStyle name="Normal 2 5 5 3 10" xfId="7226"/>
    <cellStyle name="Normal 2 5 5 3 11" xfId="3290"/>
    <cellStyle name="Normal 2 5 5 3 2" xfId="691"/>
    <cellStyle name="Normal 2 5 5 3 2 2" xfId="1100"/>
    <cellStyle name="Normal 2 5 5 3 2 2 2" xfId="2042"/>
    <cellStyle name="Normal 2 5 5 3 2 2 2 2" xfId="10148"/>
    <cellStyle name="Normal 2 5 5 3 2 2 2 3" xfId="5130"/>
    <cellStyle name="Normal 2 5 5 3 2 2 3" xfId="6189"/>
    <cellStyle name="Normal 2 5 5 3 2 2 3 2" xfId="11205"/>
    <cellStyle name="Normal 2 5 5 3 2 2 4" xfId="9264"/>
    <cellStyle name="Normal 2 5 5 3 2 2 5" xfId="12659"/>
    <cellStyle name="Normal 2 5 5 3 2 2 6" xfId="7741"/>
    <cellStyle name="Normal 2 5 5 3 2 2 7" xfId="4195"/>
    <cellStyle name="Normal 2 5 5 3 2 3" xfId="1458"/>
    <cellStyle name="Normal 2 5 5 3 2 3 2" xfId="2391"/>
    <cellStyle name="Normal 2 5 5 3 2 3 2 2" xfId="10659"/>
    <cellStyle name="Normal 2 5 5 3 2 3 2 3" xfId="5642"/>
    <cellStyle name="Normal 2 5 5 3 2 3 3" xfId="6538"/>
    <cellStyle name="Normal 2 5 5 3 2 3 3 2" xfId="11553"/>
    <cellStyle name="Normal 2 5 5 3 2 3 4" xfId="9066"/>
    <cellStyle name="Normal 2 5 5 3 2 3 5" xfId="13007"/>
    <cellStyle name="Normal 2 5 5 3 2 3 6" xfId="8253"/>
    <cellStyle name="Normal 2 5 5 3 2 3 7" xfId="3997"/>
    <cellStyle name="Normal 2 5 5 3 2 4" xfId="3017"/>
    <cellStyle name="Normal 2 5 5 3 2 4 2" xfId="7040"/>
    <cellStyle name="Normal 2 5 5 3 2 4 2 2" xfId="12055"/>
    <cellStyle name="Normal 2 5 5 3 2 4 3" xfId="13509"/>
    <cellStyle name="Normal 2 5 5 3 2 4 4" xfId="9950"/>
    <cellStyle name="Normal 2 5 5 3 2 4 5" xfId="4932"/>
    <cellStyle name="Normal 2 5 5 3 2 5" xfId="1849"/>
    <cellStyle name="Normal 2 5 5 3 2 5 2" xfId="11012"/>
    <cellStyle name="Normal 2 5 5 3 2 5 3" xfId="5996"/>
    <cellStyle name="Normal 2 5 5 3 2 6" xfId="8573"/>
    <cellStyle name="Normal 2 5 5 3 2 7" xfId="12466"/>
    <cellStyle name="Normal 2 5 5 3 2 8" xfId="7543"/>
    <cellStyle name="Normal 2 5 5 3 2 9" xfId="3495"/>
    <cellStyle name="Normal 2 5 5 3 2_Degree data" xfId="2600"/>
    <cellStyle name="Normal 2 5 5 3 3" xfId="486"/>
    <cellStyle name="Normal 2 5 5 3 3 2" xfId="2041"/>
    <cellStyle name="Normal 2 5 5 3 3 2 2" xfId="9745"/>
    <cellStyle name="Normal 2 5 5 3 3 2 3" xfId="4727"/>
    <cellStyle name="Normal 2 5 5 3 3 3" xfId="6188"/>
    <cellStyle name="Normal 2 5 5 3 3 3 2" xfId="11204"/>
    <cellStyle name="Normal 2 5 5 3 3 4" xfId="8861"/>
    <cellStyle name="Normal 2 5 5 3 3 5" xfId="12658"/>
    <cellStyle name="Normal 2 5 5 3 3 6" xfId="7338"/>
    <cellStyle name="Normal 2 5 5 3 3 7" xfId="3792"/>
    <cellStyle name="Normal 2 5 5 3 4" xfId="895"/>
    <cellStyle name="Normal 2 5 5 3 4 2" xfId="2390"/>
    <cellStyle name="Normal 2 5 5 3 4 2 2" xfId="10147"/>
    <cellStyle name="Normal 2 5 5 3 4 2 3" xfId="5129"/>
    <cellStyle name="Normal 2 5 5 3 4 3" xfId="6537"/>
    <cellStyle name="Normal 2 5 5 3 4 3 2" xfId="11552"/>
    <cellStyle name="Normal 2 5 5 3 4 4" xfId="9263"/>
    <cellStyle name="Normal 2 5 5 3 4 5" xfId="13006"/>
    <cellStyle name="Normal 2 5 5 3 4 6" xfId="7740"/>
    <cellStyle name="Normal 2 5 5 3 4 7" xfId="4194"/>
    <cellStyle name="Normal 2 5 5 3 5" xfId="1250"/>
    <cellStyle name="Normal 2 5 5 3 5 2" xfId="2806"/>
    <cellStyle name="Normal 2 5 5 3 5 2 2" xfId="10454"/>
    <cellStyle name="Normal 2 5 5 3 5 2 3" xfId="5437"/>
    <cellStyle name="Normal 2 5 5 3 5 3" xfId="6835"/>
    <cellStyle name="Normal 2 5 5 3 5 3 2" xfId="11850"/>
    <cellStyle name="Normal 2 5 5 3 5 4" xfId="8747"/>
    <cellStyle name="Normal 2 5 5 3 5 5" xfId="13304"/>
    <cellStyle name="Normal 2 5 5 3 5 6" xfId="8048"/>
    <cellStyle name="Normal 2 5 5 3 5 7" xfId="3677"/>
    <cellStyle name="Normal 2 5 5 3 6" xfId="1644"/>
    <cellStyle name="Normal 2 5 5 3 6 2" xfId="9633"/>
    <cellStyle name="Normal 2 5 5 3 6 3" xfId="4615"/>
    <cellStyle name="Normal 2 5 5 3 7" xfId="5791"/>
    <cellStyle name="Normal 2 5 5 3 7 2" xfId="10807"/>
    <cellStyle name="Normal 2 5 5 3 8" xfId="8368"/>
    <cellStyle name="Normal 2 5 5 3 9" xfId="12261"/>
    <cellStyle name="Normal 2 5 5 3_Degree data" xfId="2601"/>
    <cellStyle name="Normal 2 5 5 4" xfId="271"/>
    <cellStyle name="Normal 2 5 5 4 2" xfId="586"/>
    <cellStyle name="Normal 2 5 5 4 2 2" xfId="2043"/>
    <cellStyle name="Normal 2 5 5 4 2 2 2" xfId="10149"/>
    <cellStyle name="Normal 2 5 5 4 2 2 3" xfId="5131"/>
    <cellStyle name="Normal 2 5 5 4 2 3" xfId="6190"/>
    <cellStyle name="Normal 2 5 5 4 2 3 2" xfId="11206"/>
    <cellStyle name="Normal 2 5 5 4 2 4" xfId="9265"/>
    <cellStyle name="Normal 2 5 5 4 2 5" xfId="12660"/>
    <cellStyle name="Normal 2 5 5 4 2 6" xfId="7742"/>
    <cellStyle name="Normal 2 5 5 4 2 7" xfId="4196"/>
    <cellStyle name="Normal 2 5 5 4 3" xfId="995"/>
    <cellStyle name="Normal 2 5 5 4 3 2" xfId="2392"/>
    <cellStyle name="Normal 2 5 5 4 3 2 2" xfId="10554"/>
    <cellStyle name="Normal 2 5 5 4 3 2 3" xfId="5537"/>
    <cellStyle name="Normal 2 5 5 4 3 3" xfId="6539"/>
    <cellStyle name="Normal 2 5 5 4 3 3 2" xfId="11554"/>
    <cellStyle name="Normal 2 5 5 4 3 4" xfId="8961"/>
    <cellStyle name="Normal 2 5 5 4 3 5" xfId="13008"/>
    <cellStyle name="Normal 2 5 5 4 3 6" xfId="8148"/>
    <cellStyle name="Normal 2 5 5 4 3 7" xfId="3892"/>
    <cellStyle name="Normal 2 5 5 4 4" xfId="1351"/>
    <cellStyle name="Normal 2 5 5 4 4 2" xfId="2909"/>
    <cellStyle name="Normal 2 5 5 4 4 2 2" xfId="11950"/>
    <cellStyle name="Normal 2 5 5 4 4 2 3" xfId="6935"/>
    <cellStyle name="Normal 2 5 5 4 4 3" xfId="13404"/>
    <cellStyle name="Normal 2 5 5 4 4 4" xfId="9845"/>
    <cellStyle name="Normal 2 5 5 4 4 5" xfId="4827"/>
    <cellStyle name="Normal 2 5 5 4 5" xfId="1744"/>
    <cellStyle name="Normal 2 5 5 4 5 2" xfId="10907"/>
    <cellStyle name="Normal 2 5 5 4 5 3" xfId="5891"/>
    <cellStyle name="Normal 2 5 5 4 6" xfId="8468"/>
    <cellStyle name="Normal 2 5 5 4 7" xfId="12361"/>
    <cellStyle name="Normal 2 5 5 4 8" xfId="7438"/>
    <cellStyle name="Normal 2 5 5 4 9" xfId="3390"/>
    <cellStyle name="Normal 2 5 5 4_Degree data" xfId="2599"/>
    <cellStyle name="Normal 2 5 5 5" xfId="427"/>
    <cellStyle name="Normal 2 5 5 5 2" xfId="835"/>
    <cellStyle name="Normal 2 5 5 5 2 2" xfId="9686"/>
    <cellStyle name="Normal 2 5 5 5 2 3" xfId="4668"/>
    <cellStyle name="Normal 2 5 5 5 3" xfId="2038"/>
    <cellStyle name="Normal 2 5 5 5 3 2" xfId="11201"/>
    <cellStyle name="Normal 2 5 5 5 3 3" xfId="6185"/>
    <cellStyle name="Normal 2 5 5 5 4" xfId="8802"/>
    <cellStyle name="Normal 2 5 5 5 5" xfId="12655"/>
    <cellStyle name="Normal 2 5 5 5 6" xfId="7279"/>
    <cellStyle name="Normal 2 5 5 5 7" xfId="3733"/>
    <cellStyle name="Normal 2 5 5 6" xfId="762"/>
    <cellStyle name="Normal 2 5 5 6 2" xfId="2387"/>
    <cellStyle name="Normal 2 5 5 6 2 2" xfId="10144"/>
    <cellStyle name="Normal 2 5 5 6 2 3" xfId="5126"/>
    <cellStyle name="Normal 2 5 5 6 3" xfId="6534"/>
    <cellStyle name="Normal 2 5 5 6 3 2" xfId="11549"/>
    <cellStyle name="Normal 2 5 5 6 4" xfId="9260"/>
    <cellStyle name="Normal 2 5 5 6 5" xfId="13003"/>
    <cellStyle name="Normal 2 5 5 6 6" xfId="7737"/>
    <cellStyle name="Normal 2 5 5 6 7" xfId="4191"/>
    <cellStyle name="Normal 2 5 5 7" xfId="1186"/>
    <cellStyle name="Normal 2 5 5 7 2" xfId="2738"/>
    <cellStyle name="Normal 2 5 5 7 2 2" xfId="10395"/>
    <cellStyle name="Normal 2 5 5 7 2 3" xfId="5378"/>
    <cellStyle name="Normal 2 5 5 7 3" xfId="6776"/>
    <cellStyle name="Normal 2 5 5 7 3 2" xfId="11791"/>
    <cellStyle name="Normal 2 5 5 7 4" xfId="8641"/>
    <cellStyle name="Normal 2 5 5 7 5" xfId="13245"/>
    <cellStyle name="Normal 2 5 5 7 6" xfId="7989"/>
    <cellStyle name="Normal 2 5 5 7 7" xfId="3568"/>
    <cellStyle name="Normal 2 5 5 8" xfId="1585"/>
    <cellStyle name="Normal 2 5 5 8 2" xfId="12202"/>
    <cellStyle name="Normal 2 5 5 8 3" xfId="9528"/>
    <cellStyle name="Normal 2 5 5 8 4" xfId="4510"/>
    <cellStyle name="Normal 2 5 5 9" xfId="1512"/>
    <cellStyle name="Normal 2 5 5 9 2" xfId="10746"/>
    <cellStyle name="Normal 2 5 5 9 3" xfId="5730"/>
    <cellStyle name="Normal 2 5 5_Degree data" xfId="2604"/>
    <cellStyle name="Normal 2 5 6" xfId="186"/>
    <cellStyle name="Normal 2 5 6 10" xfId="7155"/>
    <cellStyle name="Normal 2 5 6 11" xfId="3324"/>
    <cellStyle name="Normal 2 5 6 2" xfId="369"/>
    <cellStyle name="Normal 2 5 6 2 2" xfId="620"/>
    <cellStyle name="Normal 2 5 6 2 2 2" xfId="2045"/>
    <cellStyle name="Normal 2 5 6 2 2 2 2" xfId="10151"/>
    <cellStyle name="Normal 2 5 6 2 2 2 3" xfId="5133"/>
    <cellStyle name="Normal 2 5 6 2 2 3" xfId="6192"/>
    <cellStyle name="Normal 2 5 6 2 2 3 2" xfId="11208"/>
    <cellStyle name="Normal 2 5 6 2 2 4" xfId="9267"/>
    <cellStyle name="Normal 2 5 6 2 2 5" xfId="12662"/>
    <cellStyle name="Normal 2 5 6 2 2 6" xfId="7744"/>
    <cellStyle name="Normal 2 5 6 2 2 7" xfId="4198"/>
    <cellStyle name="Normal 2 5 6 2 3" xfId="1029"/>
    <cellStyle name="Normal 2 5 6 2 3 2" xfId="2394"/>
    <cellStyle name="Normal 2 5 6 2 3 2 2" xfId="10588"/>
    <cellStyle name="Normal 2 5 6 2 3 2 3" xfId="5571"/>
    <cellStyle name="Normal 2 5 6 2 3 3" xfId="6541"/>
    <cellStyle name="Normal 2 5 6 2 3 3 2" xfId="11556"/>
    <cellStyle name="Normal 2 5 6 2 3 4" xfId="8995"/>
    <cellStyle name="Normal 2 5 6 2 3 5" xfId="13010"/>
    <cellStyle name="Normal 2 5 6 2 3 6" xfId="8182"/>
    <cellStyle name="Normal 2 5 6 2 3 7" xfId="3926"/>
    <cellStyle name="Normal 2 5 6 2 4" xfId="1386"/>
    <cellStyle name="Normal 2 5 6 2 4 2" xfId="2944"/>
    <cellStyle name="Normal 2 5 6 2 4 2 2" xfId="11984"/>
    <cellStyle name="Normal 2 5 6 2 4 2 3" xfId="6969"/>
    <cellStyle name="Normal 2 5 6 2 4 3" xfId="13438"/>
    <cellStyle name="Normal 2 5 6 2 4 4" xfId="9879"/>
    <cellStyle name="Normal 2 5 6 2 4 5" xfId="4861"/>
    <cellStyle name="Normal 2 5 6 2 5" xfId="1778"/>
    <cellStyle name="Normal 2 5 6 2 5 2" xfId="10941"/>
    <cellStyle name="Normal 2 5 6 2 5 3" xfId="5925"/>
    <cellStyle name="Normal 2 5 6 2 6" xfId="8502"/>
    <cellStyle name="Normal 2 5 6 2 7" xfId="12395"/>
    <cellStyle name="Normal 2 5 6 2 8" xfId="7472"/>
    <cellStyle name="Normal 2 5 6 2 9" xfId="3424"/>
    <cellStyle name="Normal 2 5 6 2_Degree data" xfId="2683"/>
    <cellStyle name="Normal 2 5 6 3" xfId="520"/>
    <cellStyle name="Normal 2 5 6 3 2" xfId="929"/>
    <cellStyle name="Normal 2 5 6 3 2 2" xfId="9779"/>
    <cellStyle name="Normal 2 5 6 3 2 3" xfId="4761"/>
    <cellStyle name="Normal 2 5 6 3 3" xfId="2044"/>
    <cellStyle name="Normal 2 5 6 3 3 2" xfId="11207"/>
    <cellStyle name="Normal 2 5 6 3 3 3" xfId="6191"/>
    <cellStyle name="Normal 2 5 6 3 4" xfId="8895"/>
    <cellStyle name="Normal 2 5 6 3 5" xfId="12661"/>
    <cellStyle name="Normal 2 5 6 3 6" xfId="7372"/>
    <cellStyle name="Normal 2 5 6 3 7" xfId="3826"/>
    <cellStyle name="Normal 2 5 6 4" xfId="792"/>
    <cellStyle name="Normal 2 5 6 4 2" xfId="2393"/>
    <cellStyle name="Normal 2 5 6 4 2 2" xfId="10150"/>
    <cellStyle name="Normal 2 5 6 4 2 3" xfId="5132"/>
    <cellStyle name="Normal 2 5 6 4 3" xfId="6540"/>
    <cellStyle name="Normal 2 5 6 4 3 2" xfId="11555"/>
    <cellStyle name="Normal 2 5 6 4 4" xfId="9266"/>
    <cellStyle name="Normal 2 5 6 4 5" xfId="13009"/>
    <cellStyle name="Normal 2 5 6 4 6" xfId="7743"/>
    <cellStyle name="Normal 2 5 6 4 7" xfId="4197"/>
    <cellStyle name="Normal 2 5 6 5" xfId="1285"/>
    <cellStyle name="Normal 2 5 6 5 2" xfId="2842"/>
    <cellStyle name="Normal 2 5 6 5 2 2" xfId="10488"/>
    <cellStyle name="Normal 2 5 6 5 2 3" xfId="5471"/>
    <cellStyle name="Normal 2 5 6 5 3" xfId="6869"/>
    <cellStyle name="Normal 2 5 6 5 3 2" xfId="11884"/>
    <cellStyle name="Normal 2 5 6 5 4" xfId="8676"/>
    <cellStyle name="Normal 2 5 6 5 5" xfId="13338"/>
    <cellStyle name="Normal 2 5 6 5 6" xfId="8082"/>
    <cellStyle name="Normal 2 5 6 5 7" xfId="3605"/>
    <cellStyle name="Normal 2 5 6 6" xfId="1678"/>
    <cellStyle name="Normal 2 5 6 6 2" xfId="9562"/>
    <cellStyle name="Normal 2 5 6 6 3" xfId="4544"/>
    <cellStyle name="Normal 2 5 6 7" xfId="5825"/>
    <cellStyle name="Normal 2 5 6 7 2" xfId="10841"/>
    <cellStyle name="Normal 2 5 6 8" xfId="8402"/>
    <cellStyle name="Normal 2 5 6 9" xfId="12295"/>
    <cellStyle name="Normal 2 5 6_Degree data" xfId="2598"/>
    <cellStyle name="Normal 2 5 7" xfId="222"/>
    <cellStyle name="Normal 2 5 7 10" xfId="7203"/>
    <cellStyle name="Normal 2 5 7 11" xfId="3267"/>
    <cellStyle name="Normal 2 5 7 2" xfId="311"/>
    <cellStyle name="Normal 2 5 7 2 2" xfId="668"/>
    <cellStyle name="Normal 2 5 7 2 2 2" xfId="2047"/>
    <cellStyle name="Normal 2 5 7 2 2 2 2" xfId="10153"/>
    <cellStyle name="Normal 2 5 7 2 2 2 3" xfId="5135"/>
    <cellStyle name="Normal 2 5 7 2 2 3" xfId="6194"/>
    <cellStyle name="Normal 2 5 7 2 2 3 2" xfId="11210"/>
    <cellStyle name="Normal 2 5 7 2 2 4" xfId="9269"/>
    <cellStyle name="Normal 2 5 7 2 2 5" xfId="12664"/>
    <cellStyle name="Normal 2 5 7 2 2 6" xfId="7746"/>
    <cellStyle name="Normal 2 5 7 2 2 7" xfId="4200"/>
    <cellStyle name="Normal 2 5 7 2 3" xfId="1077"/>
    <cellStyle name="Normal 2 5 7 2 3 2" xfId="2396"/>
    <cellStyle name="Normal 2 5 7 2 3 2 2" xfId="10636"/>
    <cellStyle name="Normal 2 5 7 2 3 2 3" xfId="5619"/>
    <cellStyle name="Normal 2 5 7 2 3 3" xfId="6543"/>
    <cellStyle name="Normal 2 5 7 2 3 3 2" xfId="11558"/>
    <cellStyle name="Normal 2 5 7 2 3 4" xfId="9043"/>
    <cellStyle name="Normal 2 5 7 2 3 5" xfId="13012"/>
    <cellStyle name="Normal 2 5 7 2 3 6" xfId="8230"/>
    <cellStyle name="Normal 2 5 7 2 3 7" xfId="3974"/>
    <cellStyle name="Normal 2 5 7 2 4" xfId="1435"/>
    <cellStyle name="Normal 2 5 7 2 4 2" xfId="2994"/>
    <cellStyle name="Normal 2 5 7 2 4 2 2" xfId="12032"/>
    <cellStyle name="Normal 2 5 7 2 4 2 3" xfId="7017"/>
    <cellStyle name="Normal 2 5 7 2 4 3" xfId="13486"/>
    <cellStyle name="Normal 2 5 7 2 4 4" xfId="9927"/>
    <cellStyle name="Normal 2 5 7 2 4 5" xfId="4909"/>
    <cellStyle name="Normal 2 5 7 2 5" xfId="1826"/>
    <cellStyle name="Normal 2 5 7 2 5 2" xfId="10989"/>
    <cellStyle name="Normal 2 5 7 2 5 3" xfId="5973"/>
    <cellStyle name="Normal 2 5 7 2 6" xfId="8550"/>
    <cellStyle name="Normal 2 5 7 2 7" xfId="12443"/>
    <cellStyle name="Normal 2 5 7 2 8" xfId="7520"/>
    <cellStyle name="Normal 2 5 7 2 9" xfId="3472"/>
    <cellStyle name="Normal 2 5 7 2_Degree data" xfId="2653"/>
    <cellStyle name="Normal 2 5 7 3" xfId="463"/>
    <cellStyle name="Normal 2 5 7 3 2" xfId="2046"/>
    <cellStyle name="Normal 2 5 7 3 2 2" xfId="9722"/>
    <cellStyle name="Normal 2 5 7 3 2 3" xfId="4704"/>
    <cellStyle name="Normal 2 5 7 3 3" xfId="6193"/>
    <cellStyle name="Normal 2 5 7 3 3 2" xfId="11209"/>
    <cellStyle name="Normal 2 5 7 3 4" xfId="8838"/>
    <cellStyle name="Normal 2 5 7 3 5" xfId="12663"/>
    <cellStyle name="Normal 2 5 7 3 6" xfId="7315"/>
    <cellStyle name="Normal 2 5 7 3 7" xfId="3769"/>
    <cellStyle name="Normal 2 5 7 4" xfId="872"/>
    <cellStyle name="Normal 2 5 7 4 2" xfId="2395"/>
    <cellStyle name="Normal 2 5 7 4 2 2" xfId="10152"/>
    <cellStyle name="Normal 2 5 7 4 2 3" xfId="5134"/>
    <cellStyle name="Normal 2 5 7 4 3" xfId="6542"/>
    <cellStyle name="Normal 2 5 7 4 3 2" xfId="11557"/>
    <cellStyle name="Normal 2 5 7 4 4" xfId="9268"/>
    <cellStyle name="Normal 2 5 7 4 5" xfId="13011"/>
    <cellStyle name="Normal 2 5 7 4 6" xfId="7745"/>
    <cellStyle name="Normal 2 5 7 4 7" xfId="4199"/>
    <cellStyle name="Normal 2 5 7 5" xfId="1224"/>
    <cellStyle name="Normal 2 5 7 5 2" xfId="2780"/>
    <cellStyle name="Normal 2 5 7 5 2 2" xfId="10431"/>
    <cellStyle name="Normal 2 5 7 5 2 3" xfId="5414"/>
    <cellStyle name="Normal 2 5 7 5 3" xfId="6812"/>
    <cellStyle name="Normal 2 5 7 5 3 2" xfId="11827"/>
    <cellStyle name="Normal 2 5 7 5 4" xfId="8724"/>
    <cellStyle name="Normal 2 5 7 5 5" xfId="13281"/>
    <cellStyle name="Normal 2 5 7 5 6" xfId="8025"/>
    <cellStyle name="Normal 2 5 7 5 7" xfId="3654"/>
    <cellStyle name="Normal 2 5 7 6" xfId="1621"/>
    <cellStyle name="Normal 2 5 7 6 2" xfId="9610"/>
    <cellStyle name="Normal 2 5 7 6 3" xfId="4592"/>
    <cellStyle name="Normal 2 5 7 7" xfId="5768"/>
    <cellStyle name="Normal 2 5 7 7 2" xfId="10784"/>
    <cellStyle name="Normal 2 5 7 8" xfId="8345"/>
    <cellStyle name="Normal 2 5 7 9" xfId="12238"/>
    <cellStyle name="Normal 2 5 7_Degree data" xfId="2706"/>
    <cellStyle name="Normal 2 5 8" xfId="258"/>
    <cellStyle name="Normal 2 5 8 10" xfId="3528"/>
    <cellStyle name="Normal 2 5 8 2" xfId="724"/>
    <cellStyle name="Normal 2 5 8 2 2" xfId="2048"/>
    <cellStyle name="Normal 2 5 8 2 2 2" xfId="9983"/>
    <cellStyle name="Normal 2 5 8 2 2 3" xfId="4965"/>
    <cellStyle name="Normal 2 5 8 2 3" xfId="6195"/>
    <cellStyle name="Normal 2 5 8 2 3 2" xfId="11211"/>
    <cellStyle name="Normal 2 5 8 2 4" xfId="9099"/>
    <cellStyle name="Normal 2 5 8 2 5" xfId="12665"/>
    <cellStyle name="Normal 2 5 8 2 6" xfId="7576"/>
    <cellStyle name="Normal 2 5 8 2 7" xfId="4030"/>
    <cellStyle name="Normal 2 5 8 3" xfId="1133"/>
    <cellStyle name="Normal 2 5 8 3 2" xfId="2397"/>
    <cellStyle name="Normal 2 5 8 3 2 2" xfId="10154"/>
    <cellStyle name="Normal 2 5 8 3 2 3" xfId="5136"/>
    <cellStyle name="Normal 2 5 8 3 3" xfId="6544"/>
    <cellStyle name="Normal 2 5 8 3 3 2" xfId="11559"/>
    <cellStyle name="Normal 2 5 8 3 4" xfId="9270"/>
    <cellStyle name="Normal 2 5 8 3 5" xfId="13013"/>
    <cellStyle name="Normal 2 5 8 3 6" xfId="7747"/>
    <cellStyle name="Normal 2 5 8 3 7" xfId="4201"/>
    <cellStyle name="Normal 2 5 8 4" xfId="1491"/>
    <cellStyle name="Normal 2 5 8 4 2" xfId="3050"/>
    <cellStyle name="Normal 2 5 8 4 2 2" xfId="10692"/>
    <cellStyle name="Normal 2 5 8 4 2 3" xfId="5675"/>
    <cellStyle name="Normal 2 5 8 4 3" xfId="7073"/>
    <cellStyle name="Normal 2 5 8 4 3 2" xfId="12088"/>
    <cellStyle name="Normal 2 5 8 4 4" xfId="8780"/>
    <cellStyle name="Normal 2 5 8 4 5" xfId="13542"/>
    <cellStyle name="Normal 2 5 8 4 6" xfId="8286"/>
    <cellStyle name="Normal 2 5 8 4 7" xfId="3710"/>
    <cellStyle name="Normal 2 5 8 5" xfId="1882"/>
    <cellStyle name="Normal 2 5 8 5 2" xfId="9666"/>
    <cellStyle name="Normal 2 5 8 5 3" xfId="4648"/>
    <cellStyle name="Normal 2 5 8 6" xfId="6029"/>
    <cellStyle name="Normal 2 5 8 6 2" xfId="11045"/>
    <cellStyle name="Normal 2 5 8 7" xfId="8606"/>
    <cellStyle name="Normal 2 5 8 8" xfId="12499"/>
    <cellStyle name="Normal 2 5 8 9" xfId="7259"/>
    <cellStyle name="Normal 2 5 8_Degree data" xfId="2597"/>
    <cellStyle name="Normal 2 5 9" xfId="563"/>
    <cellStyle name="Normal 2 5 9 2" xfId="972"/>
    <cellStyle name="Normal 2 5 9 2 2" xfId="2049"/>
    <cellStyle name="Normal 2 5 9 2 2 2" xfId="10155"/>
    <cellStyle name="Normal 2 5 9 2 2 3" xfId="5137"/>
    <cellStyle name="Normal 2 5 9 2 3" xfId="6196"/>
    <cellStyle name="Normal 2 5 9 2 3 2" xfId="11212"/>
    <cellStyle name="Normal 2 5 9 2 4" xfId="9271"/>
    <cellStyle name="Normal 2 5 9 2 5" xfId="12666"/>
    <cellStyle name="Normal 2 5 9 2 6" xfId="7748"/>
    <cellStyle name="Normal 2 5 9 2 7" xfId="4202"/>
    <cellStyle name="Normal 2 5 9 3" xfId="1328"/>
    <cellStyle name="Normal 2 5 9 3 2" xfId="2398"/>
    <cellStyle name="Normal 2 5 9 3 2 2" xfId="10531"/>
    <cellStyle name="Normal 2 5 9 3 2 3" xfId="5514"/>
    <cellStyle name="Normal 2 5 9 3 3" xfId="6545"/>
    <cellStyle name="Normal 2 5 9 3 3 2" xfId="11560"/>
    <cellStyle name="Normal 2 5 9 3 4" xfId="8938"/>
    <cellStyle name="Normal 2 5 9 3 5" xfId="13014"/>
    <cellStyle name="Normal 2 5 9 3 6" xfId="8125"/>
    <cellStyle name="Normal 2 5 9 3 7" xfId="3869"/>
    <cellStyle name="Normal 2 5 9 4" xfId="2886"/>
    <cellStyle name="Normal 2 5 9 4 2" xfId="6912"/>
    <cellStyle name="Normal 2 5 9 4 2 2" xfId="11927"/>
    <cellStyle name="Normal 2 5 9 4 3" xfId="13381"/>
    <cellStyle name="Normal 2 5 9 4 4" xfId="9822"/>
    <cellStyle name="Normal 2 5 9 4 5" xfId="4804"/>
    <cellStyle name="Normal 2 5 9 5" xfId="1721"/>
    <cellStyle name="Normal 2 5 9 5 2" xfId="10884"/>
    <cellStyle name="Normal 2 5 9 5 3" xfId="5868"/>
    <cellStyle name="Normal 2 5 9 6" xfId="8445"/>
    <cellStyle name="Normal 2 5 9 7" xfId="12338"/>
    <cellStyle name="Normal 2 5 9 8" xfId="7415"/>
    <cellStyle name="Normal 2 5 9 9" xfId="3367"/>
    <cellStyle name="Normal 2 5 9_Degree data" xfId="2596"/>
    <cellStyle name="Normal 2 5_Degree data" xfId="2938"/>
    <cellStyle name="Normal 2 6" xfId="60"/>
    <cellStyle name="Normal 2 6 2" xfId="728"/>
    <cellStyle name="Normal 2 6 2 2" xfId="1136"/>
    <cellStyle name="Normal 2 6 3" xfId="3713"/>
    <cellStyle name="Normal 2 6_Degree data" xfId="2595"/>
    <cellStyle name="Normal 2 7" xfId="4435"/>
    <cellStyle name="Normal 20" xfId="51"/>
    <cellStyle name="Normal 21" xfId="52"/>
    <cellStyle name="Normal 22" xfId="53"/>
    <cellStyle name="Normal 23" xfId="54"/>
    <cellStyle name="Normal 24" xfId="120"/>
    <cellStyle name="Normal 25" xfId="55"/>
    <cellStyle name="Normal 26" xfId="56"/>
    <cellStyle name="Normal 27" xfId="28"/>
    <cellStyle name="Normal 28" xfId="29"/>
    <cellStyle name="Normal 29" xfId="30"/>
    <cellStyle name="Normal 3" xfId="11"/>
    <cellStyle name="Normal 3 2" xfId="134"/>
    <cellStyle name="Normal 3 2 2" xfId="731"/>
    <cellStyle name="Normal 3 2 2 10" xfId="3532"/>
    <cellStyle name="Normal 3 2 2 2" xfId="1138"/>
    <cellStyle name="Normal 3 2 2 2 2" xfId="2050"/>
    <cellStyle name="Normal 3 2 2 2 2 2" xfId="9987"/>
    <cellStyle name="Normal 3 2 2 2 2 3" xfId="4969"/>
    <cellStyle name="Normal 3 2 2 2 3" xfId="6197"/>
    <cellStyle name="Normal 3 2 2 2 3 2" xfId="11213"/>
    <cellStyle name="Normal 3 2 2 2 4" xfId="9103"/>
    <cellStyle name="Normal 3 2 2 2 5" xfId="12667"/>
    <cellStyle name="Normal 3 2 2 2 6" xfId="7580"/>
    <cellStyle name="Normal 3 2 2 2 7" xfId="4034"/>
    <cellStyle name="Normal 3 2 2 3" xfId="1495"/>
    <cellStyle name="Normal 3 2 2 3 2" xfId="2399"/>
    <cellStyle name="Normal 3 2 2 3 2 2" xfId="10156"/>
    <cellStyle name="Normal 3 2 2 3 2 3" xfId="5138"/>
    <cellStyle name="Normal 3 2 2 3 3" xfId="6546"/>
    <cellStyle name="Normal 3 2 2 3 3 2" xfId="11561"/>
    <cellStyle name="Normal 3 2 2 3 4" xfId="9272"/>
    <cellStyle name="Normal 3 2 2 3 5" xfId="13015"/>
    <cellStyle name="Normal 3 2 2 3 6" xfId="7749"/>
    <cellStyle name="Normal 3 2 2 3 7" xfId="4203"/>
    <cellStyle name="Normal 3 2 2 4" xfId="3057"/>
    <cellStyle name="Normal 3 2 2 4 2" xfId="5679"/>
    <cellStyle name="Normal 3 2 2 4 2 2" xfId="10696"/>
    <cellStyle name="Normal 3 2 2 4 3" xfId="7077"/>
    <cellStyle name="Normal 3 2 2 4 3 2" xfId="12092"/>
    <cellStyle name="Normal 3 2 2 4 4" xfId="8784"/>
    <cellStyle name="Normal 3 2 2 4 5" xfId="13546"/>
    <cellStyle name="Normal 3 2 2 4 6" xfId="8290"/>
    <cellStyle name="Normal 3 2 2 4 7" xfId="3715"/>
    <cellStyle name="Normal 3 2 2 5" xfId="1886"/>
    <cellStyle name="Normal 3 2 2 5 2" xfId="9670"/>
    <cellStyle name="Normal 3 2 2 5 3" xfId="4652"/>
    <cellStyle name="Normal 3 2 2 6" xfId="6033"/>
    <cellStyle name="Normal 3 2 2 6 2" xfId="11049"/>
    <cellStyle name="Normal 3 2 2 7" xfId="8610"/>
    <cellStyle name="Normal 3 2 2 8" xfId="12503"/>
    <cellStyle name="Normal 3 2 2 9" xfId="7263"/>
    <cellStyle name="Normal 3 2 2_Degree data" xfId="2623"/>
    <cellStyle name="Normal 3 3" xfId="111"/>
    <cellStyle name="Normal 3 4" xfId="83"/>
    <cellStyle name="Normal 3 5" xfId="3218"/>
    <cellStyle name="Normal 3 6" xfId="3226"/>
    <cellStyle name="Normal 3 7" xfId="13553"/>
    <cellStyle name="Normal 3 8" xfId="13554"/>
    <cellStyle name="Normal 3 9" xfId="13552"/>
    <cellStyle name="Normal 30" xfId="31"/>
    <cellStyle name="Normal 31" xfId="32"/>
    <cellStyle name="Normal 32" xfId="33"/>
    <cellStyle name="Normal 33" xfId="34"/>
    <cellStyle name="Normal 34" xfId="35"/>
    <cellStyle name="Normal 35" xfId="36"/>
    <cellStyle name="Normal 36" xfId="37"/>
    <cellStyle name="Normal 37" xfId="38"/>
    <cellStyle name="Normal 38" xfId="121"/>
    <cellStyle name="Normal 39" xfId="39"/>
    <cellStyle name="Normal 4" xfId="12"/>
    <cellStyle name="Normal 4 2" xfId="140"/>
    <cellStyle name="Normal 4 2 2" xfId="730"/>
    <cellStyle name="Normal 4 3" xfId="87"/>
    <cellStyle name="Normal 4 4" xfId="72"/>
    <cellStyle name="Normal 4 4 10" xfId="3529"/>
    <cellStyle name="Normal 4 4 2" xfId="725"/>
    <cellStyle name="Normal 4 4 2 2" xfId="1134"/>
    <cellStyle name="Normal 4 4 2 2 2" xfId="9984"/>
    <cellStyle name="Normal 4 4 2 2 3" xfId="4966"/>
    <cellStyle name="Normal 4 4 2 3" xfId="2051"/>
    <cellStyle name="Normal 4 4 2 3 2" xfId="11214"/>
    <cellStyle name="Normal 4 4 2 3 3" xfId="6198"/>
    <cellStyle name="Normal 4 4 2 4" xfId="9100"/>
    <cellStyle name="Normal 4 4 2 5" xfId="12668"/>
    <cellStyle name="Normal 4 4 2 6" xfId="7577"/>
    <cellStyle name="Normal 4 4 2 7" xfId="4031"/>
    <cellStyle name="Normal 4 4 3" xfId="1492"/>
    <cellStyle name="Normal 4 4 3 2" xfId="2400"/>
    <cellStyle name="Normal 4 4 3 2 2" xfId="10157"/>
    <cellStyle name="Normal 4 4 3 2 3" xfId="5139"/>
    <cellStyle name="Normal 4 4 3 3" xfId="6547"/>
    <cellStyle name="Normal 4 4 3 3 2" xfId="11562"/>
    <cellStyle name="Normal 4 4 3 4" xfId="9273"/>
    <cellStyle name="Normal 4 4 3 5" xfId="13016"/>
    <cellStyle name="Normal 4 4 3 6" xfId="7750"/>
    <cellStyle name="Normal 4 4 3 7" xfId="4204"/>
    <cellStyle name="Normal 4 4 4" xfId="3051"/>
    <cellStyle name="Normal 4 4 4 2" xfId="5676"/>
    <cellStyle name="Normal 4 4 4 2 2" xfId="10693"/>
    <cellStyle name="Normal 4 4 4 3" xfId="7074"/>
    <cellStyle name="Normal 4 4 4 3 2" xfId="12089"/>
    <cellStyle name="Normal 4 4 4 4" xfId="8781"/>
    <cellStyle name="Normal 4 4 4 5" xfId="13543"/>
    <cellStyle name="Normal 4 4 4 6" xfId="8287"/>
    <cellStyle name="Normal 4 4 4 7" xfId="3711"/>
    <cellStyle name="Normal 4 4 5" xfId="1883"/>
    <cellStyle name="Normal 4 4 5 2" xfId="9667"/>
    <cellStyle name="Normal 4 4 5 3" xfId="4649"/>
    <cellStyle name="Normal 4 4 6" xfId="6030"/>
    <cellStyle name="Normal 4 4 6 2" xfId="11046"/>
    <cellStyle name="Normal 4 4 7" xfId="8607"/>
    <cellStyle name="Normal 4 4 8" xfId="12500"/>
    <cellStyle name="Normal 4 4 9" xfId="7260"/>
    <cellStyle name="Normal 4 4_Degree data" xfId="2622"/>
    <cellStyle name="Normal 40" xfId="40"/>
    <cellStyle name="Normal 41" xfId="41"/>
    <cellStyle name="Normal 42" xfId="42"/>
    <cellStyle name="Normal 43" xfId="43"/>
    <cellStyle name="Normal 44" xfId="44"/>
    <cellStyle name="Normal 45" xfId="45"/>
    <cellStyle name="Normal 46" xfId="46"/>
    <cellStyle name="Normal 47" xfId="47"/>
    <cellStyle name="Normal 48" xfId="48"/>
    <cellStyle name="Normal 49" xfId="57"/>
    <cellStyle name="Normal 5" xfId="70"/>
    <cellStyle name="Normal 5 10" xfId="739"/>
    <cellStyle name="Normal 5 10 2" xfId="2401"/>
    <cellStyle name="Normal 5 10 2 2" xfId="10353"/>
    <cellStyle name="Normal 5 10 2 3" xfId="5336"/>
    <cellStyle name="Normal 5 10 3" xfId="6548"/>
    <cellStyle name="Normal 5 10 3 2" xfId="11563"/>
    <cellStyle name="Normal 5 10 4" xfId="9473"/>
    <cellStyle name="Normal 5 10 5" xfId="13017"/>
    <cellStyle name="Normal 5 10 6" xfId="7947"/>
    <cellStyle name="Normal 5 10 7" xfId="4455"/>
    <cellStyle name="Normal 5 11" xfId="1143"/>
    <cellStyle name="Normal 5 11 2" xfId="2640"/>
    <cellStyle name="Normal 5 11 2 2" xfId="11749"/>
    <cellStyle name="Normal 5 11 2 3" xfId="6734"/>
    <cellStyle name="Normal 5 11 3" xfId="13203"/>
    <cellStyle name="Normal 5 11 4" xfId="10699"/>
    <cellStyle name="Normal 5 11 5" xfId="5682"/>
    <cellStyle name="Normal 5 12" xfId="1543"/>
    <cellStyle name="Normal 5 12 2" xfId="12160"/>
    <cellStyle name="Normal 5 12 3" xfId="10703"/>
    <cellStyle name="Normal 5 12 4" xfId="5687"/>
    <cellStyle name="Normal 5 13" xfId="1499"/>
    <cellStyle name="Normal 5 13 2" xfId="8299"/>
    <cellStyle name="Normal 5 14" xfId="12116"/>
    <cellStyle name="Normal 5 15" xfId="3217"/>
    <cellStyle name="Normal 5 2" xfId="112"/>
    <cellStyle name="Normal 5 2 10" xfId="12120"/>
    <cellStyle name="Normal 5 2 11" xfId="7104"/>
    <cellStyle name="Normal 5 2 2" xfId="143"/>
    <cellStyle name="Normal 5 2 2 10" xfId="12151"/>
    <cellStyle name="Normal 5 2 2 11" xfId="3255"/>
    <cellStyle name="Normal 5 2 2 2" xfId="182"/>
    <cellStyle name="Normal 5 2 2 2 10" xfId="12109"/>
    <cellStyle name="Normal 5 2 2 2 11" xfId="7143"/>
    <cellStyle name="Normal 5 2 2 2 12" xfId="3244"/>
    <cellStyle name="Normal 5 2 2 2 2" xfId="357"/>
    <cellStyle name="Normal 5 2 2 2 2 10" xfId="7247"/>
    <cellStyle name="Normal 5 2 2 2 2 11" xfId="3312"/>
    <cellStyle name="Normal 5 2 2 2 2 2" xfId="712"/>
    <cellStyle name="Normal 5 2 2 2 2 2 2" xfId="1121"/>
    <cellStyle name="Normal 5 2 2 2 2 2 2 2" xfId="2055"/>
    <cellStyle name="Normal 5 2 2 2 2 2 2 2 2" xfId="10161"/>
    <cellStyle name="Normal 5 2 2 2 2 2 2 2 3" xfId="5143"/>
    <cellStyle name="Normal 5 2 2 2 2 2 2 3" xfId="6202"/>
    <cellStyle name="Normal 5 2 2 2 2 2 2 3 2" xfId="11218"/>
    <cellStyle name="Normal 5 2 2 2 2 2 2 4" xfId="9277"/>
    <cellStyle name="Normal 5 2 2 2 2 2 2 5" xfId="12672"/>
    <cellStyle name="Normal 5 2 2 2 2 2 2 6" xfId="7754"/>
    <cellStyle name="Normal 5 2 2 2 2 2 2 7" xfId="4208"/>
    <cellStyle name="Normal 5 2 2 2 2 2 3" xfId="1479"/>
    <cellStyle name="Normal 5 2 2 2 2 2 3 2" xfId="2404"/>
    <cellStyle name="Normal 5 2 2 2 2 2 3 2 2" xfId="10680"/>
    <cellStyle name="Normal 5 2 2 2 2 2 3 2 3" xfId="5663"/>
    <cellStyle name="Normal 5 2 2 2 2 2 3 3" xfId="6551"/>
    <cellStyle name="Normal 5 2 2 2 2 2 3 3 2" xfId="11566"/>
    <cellStyle name="Normal 5 2 2 2 2 2 3 4" xfId="9087"/>
    <cellStyle name="Normal 5 2 2 2 2 2 3 5" xfId="13020"/>
    <cellStyle name="Normal 5 2 2 2 2 2 3 6" xfId="8274"/>
    <cellStyle name="Normal 5 2 2 2 2 2 3 7" xfId="4018"/>
    <cellStyle name="Normal 5 2 2 2 2 2 4" xfId="3038"/>
    <cellStyle name="Normal 5 2 2 2 2 2 4 2" xfId="7061"/>
    <cellStyle name="Normal 5 2 2 2 2 2 4 2 2" xfId="12076"/>
    <cellStyle name="Normal 5 2 2 2 2 2 4 3" xfId="13530"/>
    <cellStyle name="Normal 5 2 2 2 2 2 4 4" xfId="9971"/>
    <cellStyle name="Normal 5 2 2 2 2 2 4 5" xfId="4953"/>
    <cellStyle name="Normal 5 2 2 2 2 2 5" xfId="1870"/>
    <cellStyle name="Normal 5 2 2 2 2 2 5 2" xfId="11033"/>
    <cellStyle name="Normal 5 2 2 2 2 2 5 3" xfId="6017"/>
    <cellStyle name="Normal 5 2 2 2 2 2 6" xfId="8594"/>
    <cellStyle name="Normal 5 2 2 2 2 2 7" xfId="12487"/>
    <cellStyle name="Normal 5 2 2 2 2 2 8" xfId="7564"/>
    <cellStyle name="Normal 5 2 2 2 2 2 9" xfId="3516"/>
    <cellStyle name="Normal 5 2 2 2 2 2_Degree data" xfId="2619"/>
    <cellStyle name="Normal 5 2 2 2 2 3" xfId="508"/>
    <cellStyle name="Normal 5 2 2 2 2 3 2" xfId="2054"/>
    <cellStyle name="Normal 5 2 2 2 2 3 2 2" xfId="9767"/>
    <cellStyle name="Normal 5 2 2 2 2 3 2 3" xfId="4749"/>
    <cellStyle name="Normal 5 2 2 2 2 3 3" xfId="6201"/>
    <cellStyle name="Normal 5 2 2 2 2 3 3 2" xfId="11217"/>
    <cellStyle name="Normal 5 2 2 2 2 3 4" xfId="8883"/>
    <cellStyle name="Normal 5 2 2 2 2 3 5" xfId="12671"/>
    <cellStyle name="Normal 5 2 2 2 2 3 6" xfId="7360"/>
    <cellStyle name="Normal 5 2 2 2 2 3 7" xfId="3814"/>
    <cellStyle name="Normal 5 2 2 2 2 4" xfId="917"/>
    <cellStyle name="Normal 5 2 2 2 2 4 2" xfId="2403"/>
    <cellStyle name="Normal 5 2 2 2 2 4 2 2" xfId="10160"/>
    <cellStyle name="Normal 5 2 2 2 2 4 2 3" xfId="5142"/>
    <cellStyle name="Normal 5 2 2 2 2 4 3" xfId="6550"/>
    <cellStyle name="Normal 5 2 2 2 2 4 3 2" xfId="11565"/>
    <cellStyle name="Normal 5 2 2 2 2 4 4" xfId="9276"/>
    <cellStyle name="Normal 5 2 2 2 2 4 5" xfId="13019"/>
    <cellStyle name="Normal 5 2 2 2 2 4 6" xfId="7753"/>
    <cellStyle name="Normal 5 2 2 2 2 4 7" xfId="4207"/>
    <cellStyle name="Normal 5 2 2 2 2 5" xfId="1272"/>
    <cellStyle name="Normal 5 2 2 2 2 5 2" xfId="2829"/>
    <cellStyle name="Normal 5 2 2 2 2 5 2 2" xfId="10476"/>
    <cellStyle name="Normal 5 2 2 2 2 5 2 3" xfId="5459"/>
    <cellStyle name="Normal 5 2 2 2 2 5 3" xfId="6857"/>
    <cellStyle name="Normal 5 2 2 2 2 5 3 2" xfId="11872"/>
    <cellStyle name="Normal 5 2 2 2 2 5 4" xfId="8768"/>
    <cellStyle name="Normal 5 2 2 2 2 5 5" xfId="13326"/>
    <cellStyle name="Normal 5 2 2 2 2 5 6" xfId="8070"/>
    <cellStyle name="Normal 5 2 2 2 2 5 7" xfId="3698"/>
    <cellStyle name="Normal 5 2 2 2 2 6" xfId="1666"/>
    <cellStyle name="Normal 5 2 2 2 2 6 2" xfId="9654"/>
    <cellStyle name="Normal 5 2 2 2 2 6 3" xfId="4636"/>
    <cellStyle name="Normal 5 2 2 2 2 7" xfId="5813"/>
    <cellStyle name="Normal 5 2 2 2 2 7 2" xfId="10829"/>
    <cellStyle name="Normal 5 2 2 2 2 8" xfId="8390"/>
    <cellStyle name="Normal 5 2 2 2 2 9" xfId="12283"/>
    <cellStyle name="Normal 5 2 2 2 2_Degree data" xfId="2620"/>
    <cellStyle name="Normal 5 2 2 2 3" xfId="285"/>
    <cellStyle name="Normal 5 2 2 2 4" xfId="608"/>
    <cellStyle name="Normal 5 2 2 2 4 2" xfId="1017"/>
    <cellStyle name="Normal 5 2 2 2 4 2 2" xfId="2056"/>
    <cellStyle name="Normal 5 2 2 2 4 2 2 2" xfId="10162"/>
    <cellStyle name="Normal 5 2 2 2 4 2 2 3" xfId="5144"/>
    <cellStyle name="Normal 5 2 2 2 4 2 3" xfId="6203"/>
    <cellStyle name="Normal 5 2 2 2 4 2 3 2" xfId="11219"/>
    <cellStyle name="Normal 5 2 2 2 4 2 4" xfId="9278"/>
    <cellStyle name="Normal 5 2 2 2 4 2 5" xfId="12673"/>
    <cellStyle name="Normal 5 2 2 2 4 2 6" xfId="7755"/>
    <cellStyle name="Normal 5 2 2 2 4 2 7" xfId="4209"/>
    <cellStyle name="Normal 5 2 2 2 4 3" xfId="1373"/>
    <cellStyle name="Normal 5 2 2 2 4 3 2" xfId="2405"/>
    <cellStyle name="Normal 5 2 2 2 4 3 2 2" xfId="10576"/>
    <cellStyle name="Normal 5 2 2 2 4 3 2 3" xfId="5559"/>
    <cellStyle name="Normal 5 2 2 2 4 3 3" xfId="6552"/>
    <cellStyle name="Normal 5 2 2 2 4 3 3 2" xfId="11567"/>
    <cellStyle name="Normal 5 2 2 2 4 3 4" xfId="8983"/>
    <cellStyle name="Normal 5 2 2 2 4 3 5" xfId="13021"/>
    <cellStyle name="Normal 5 2 2 2 4 3 6" xfId="8170"/>
    <cellStyle name="Normal 5 2 2 2 4 3 7" xfId="3914"/>
    <cellStyle name="Normal 5 2 2 2 4 4" xfId="2931"/>
    <cellStyle name="Normal 5 2 2 2 4 4 2" xfId="6957"/>
    <cellStyle name="Normal 5 2 2 2 4 4 2 2" xfId="11972"/>
    <cellStyle name="Normal 5 2 2 2 4 4 3" xfId="13426"/>
    <cellStyle name="Normal 5 2 2 2 4 4 4" xfId="9867"/>
    <cellStyle name="Normal 5 2 2 2 4 4 5" xfId="4849"/>
    <cellStyle name="Normal 5 2 2 2 4 5" xfId="1766"/>
    <cellStyle name="Normal 5 2 2 2 4 5 2" xfId="10929"/>
    <cellStyle name="Normal 5 2 2 2 4 5 3" xfId="5913"/>
    <cellStyle name="Normal 5 2 2 2 4 6" xfId="8490"/>
    <cellStyle name="Normal 5 2 2 2 4 7" xfId="12383"/>
    <cellStyle name="Normal 5 2 2 2 4 8" xfId="7460"/>
    <cellStyle name="Normal 5 2 2 2 4 9" xfId="3412"/>
    <cellStyle name="Normal 5 2 2 2 4_Degree data" xfId="2618"/>
    <cellStyle name="Normal 5 2 2 2 5" xfId="849"/>
    <cellStyle name="Normal 5 2 2 2 5 2" xfId="8664"/>
    <cellStyle name="Normal 5 2 2 2 5 3" xfId="3591"/>
    <cellStyle name="Normal 5 2 2 2 6" xfId="784"/>
    <cellStyle name="Normal 5 2 2 2 6 2" xfId="9550"/>
    <cellStyle name="Normal 5 2 2 2 6 3" xfId="4532"/>
    <cellStyle name="Normal 5 2 2 2 7" xfId="8294"/>
    <cellStyle name="Normal 5 2 2 2 8" xfId="12110"/>
    <cellStyle name="Normal 5 2 2 2 9" xfId="12108"/>
    <cellStyle name="Normal 5 2 2 3" xfId="208"/>
    <cellStyle name="Normal 5 2 2 3 10" xfId="7186"/>
    <cellStyle name="Normal 5 2 2 3 11" xfId="3355"/>
    <cellStyle name="Normal 5 2 2 3 2" xfId="401"/>
    <cellStyle name="Normal 5 2 2 3 2 2" xfId="651"/>
    <cellStyle name="Normal 5 2 2 3 2 2 2" xfId="2058"/>
    <cellStyle name="Normal 5 2 2 3 2 2 2 2" xfId="10164"/>
    <cellStyle name="Normal 5 2 2 3 2 2 2 3" xfId="5146"/>
    <cellStyle name="Normal 5 2 2 3 2 2 3" xfId="6205"/>
    <cellStyle name="Normal 5 2 2 3 2 2 3 2" xfId="11221"/>
    <cellStyle name="Normal 5 2 2 3 2 2 4" xfId="9280"/>
    <cellStyle name="Normal 5 2 2 3 2 2 5" xfId="12675"/>
    <cellStyle name="Normal 5 2 2 3 2 2 6" xfId="7757"/>
    <cellStyle name="Normal 5 2 2 3 2 2 7" xfId="4211"/>
    <cellStyle name="Normal 5 2 2 3 2 3" xfId="1060"/>
    <cellStyle name="Normal 5 2 2 3 2 3 2" xfId="2407"/>
    <cellStyle name="Normal 5 2 2 3 2 3 2 2" xfId="10619"/>
    <cellStyle name="Normal 5 2 2 3 2 3 2 3" xfId="5602"/>
    <cellStyle name="Normal 5 2 2 3 2 3 3" xfId="6554"/>
    <cellStyle name="Normal 5 2 2 3 2 3 3 2" xfId="11569"/>
    <cellStyle name="Normal 5 2 2 3 2 3 4" xfId="9026"/>
    <cellStyle name="Normal 5 2 2 3 2 3 5" xfId="13023"/>
    <cellStyle name="Normal 5 2 2 3 2 3 6" xfId="8213"/>
    <cellStyle name="Normal 5 2 2 3 2 3 7" xfId="3957"/>
    <cellStyle name="Normal 5 2 2 3 2 4" xfId="1418"/>
    <cellStyle name="Normal 5 2 2 3 2 4 2" xfId="2976"/>
    <cellStyle name="Normal 5 2 2 3 2 4 2 2" xfId="12015"/>
    <cellStyle name="Normal 5 2 2 3 2 4 2 3" xfId="7000"/>
    <cellStyle name="Normal 5 2 2 3 2 4 3" xfId="13469"/>
    <cellStyle name="Normal 5 2 2 3 2 4 4" xfId="9910"/>
    <cellStyle name="Normal 5 2 2 3 2 4 5" xfId="4892"/>
    <cellStyle name="Normal 5 2 2 3 2 5" xfId="1809"/>
    <cellStyle name="Normal 5 2 2 3 2 5 2" xfId="10972"/>
    <cellStyle name="Normal 5 2 2 3 2 5 3" xfId="5956"/>
    <cellStyle name="Normal 5 2 2 3 2 6" xfId="8533"/>
    <cellStyle name="Normal 5 2 2 3 2 7" xfId="12426"/>
    <cellStyle name="Normal 5 2 2 3 2 8" xfId="7503"/>
    <cellStyle name="Normal 5 2 2 3 2 9" xfId="3455"/>
    <cellStyle name="Normal 5 2 2 3 2_Degree data" xfId="3052"/>
    <cellStyle name="Normal 5 2 2 3 3" xfId="551"/>
    <cellStyle name="Normal 5 2 2 3 3 2" xfId="960"/>
    <cellStyle name="Normal 5 2 2 3 3 2 2" xfId="9810"/>
    <cellStyle name="Normal 5 2 2 3 3 2 3" xfId="4792"/>
    <cellStyle name="Normal 5 2 2 3 3 3" xfId="2057"/>
    <cellStyle name="Normal 5 2 2 3 3 3 2" xfId="11220"/>
    <cellStyle name="Normal 5 2 2 3 3 3 3" xfId="6204"/>
    <cellStyle name="Normal 5 2 2 3 3 4" xfId="8926"/>
    <cellStyle name="Normal 5 2 2 3 3 5" xfId="12674"/>
    <cellStyle name="Normal 5 2 2 3 3 6" xfId="7403"/>
    <cellStyle name="Normal 5 2 2 3 3 7" xfId="3857"/>
    <cellStyle name="Normal 5 2 2 3 4" xfId="814"/>
    <cellStyle name="Normal 5 2 2 3 4 2" xfId="2406"/>
    <cellStyle name="Normal 5 2 2 3 4 2 2" xfId="10163"/>
    <cellStyle name="Normal 5 2 2 3 4 2 3" xfId="5145"/>
    <cellStyle name="Normal 5 2 2 3 4 3" xfId="6553"/>
    <cellStyle name="Normal 5 2 2 3 4 3 2" xfId="11568"/>
    <cellStyle name="Normal 5 2 2 3 4 4" xfId="9279"/>
    <cellStyle name="Normal 5 2 2 3 4 5" xfId="13022"/>
    <cellStyle name="Normal 5 2 2 3 4 6" xfId="7756"/>
    <cellStyle name="Normal 5 2 2 3 4 7" xfId="4210"/>
    <cellStyle name="Normal 5 2 2 3 5" xfId="1316"/>
    <cellStyle name="Normal 5 2 2 3 5 2" xfId="2874"/>
    <cellStyle name="Normal 5 2 2 3 5 2 2" xfId="10519"/>
    <cellStyle name="Normal 5 2 2 3 5 2 3" xfId="5502"/>
    <cellStyle name="Normal 5 2 2 3 5 3" xfId="6900"/>
    <cellStyle name="Normal 5 2 2 3 5 3 2" xfId="11915"/>
    <cellStyle name="Normal 5 2 2 3 5 4" xfId="8707"/>
    <cellStyle name="Normal 5 2 2 3 5 5" xfId="13369"/>
    <cellStyle name="Normal 5 2 2 3 5 6" xfId="8113"/>
    <cellStyle name="Normal 5 2 2 3 5 7" xfId="3637"/>
    <cellStyle name="Normal 5 2 2 3 6" xfId="1709"/>
    <cellStyle name="Normal 5 2 2 3 6 2" xfId="9593"/>
    <cellStyle name="Normal 5 2 2 3 6 3" xfId="4575"/>
    <cellStyle name="Normal 5 2 2 3 7" xfId="5856"/>
    <cellStyle name="Normal 5 2 2 3 7 2" xfId="10872"/>
    <cellStyle name="Normal 5 2 2 3 8" xfId="8433"/>
    <cellStyle name="Normal 5 2 2 3 9" xfId="12326"/>
    <cellStyle name="Normal 5 2 2 3_Degree data" xfId="3054"/>
    <cellStyle name="Normal 5 2 2 4" xfId="244"/>
    <cellStyle name="Normal 5 2 2 4 2" xfId="860"/>
    <cellStyle name="Normal 5 2 2 4 2 2" xfId="2059"/>
    <cellStyle name="Normal 5 2 2 4 2 2 2" xfId="10165"/>
    <cellStyle name="Normal 5 2 2 4 2 2 3" xfId="5147"/>
    <cellStyle name="Normal 5 2 2 4 2 3" xfId="6206"/>
    <cellStyle name="Normal 5 2 2 4 2 3 2" xfId="11222"/>
    <cellStyle name="Normal 5 2 2 4 2 4" xfId="9281"/>
    <cellStyle name="Normal 5 2 2 4 2 5" xfId="12676"/>
    <cellStyle name="Normal 5 2 2 4 2 6" xfId="7758"/>
    <cellStyle name="Normal 5 2 2 4 2 7" xfId="4212"/>
    <cellStyle name="Normal 5 2 2 4 3" xfId="1210"/>
    <cellStyle name="Normal 5 2 2 4 3 2" xfId="2408"/>
    <cellStyle name="Normal 5 2 2 4 3 2 2" xfId="10419"/>
    <cellStyle name="Normal 5 2 2 4 3 2 3" xfId="5402"/>
    <cellStyle name="Normal 5 2 2 4 3 3" xfId="6555"/>
    <cellStyle name="Normal 5 2 2 4 3 3 2" xfId="11570"/>
    <cellStyle name="Normal 5 2 2 4 3 4" xfId="9475"/>
    <cellStyle name="Normal 5 2 2 4 3 5" xfId="13024"/>
    <cellStyle name="Normal 5 2 2 4 3 6" xfId="8013"/>
    <cellStyle name="Normal 5 2 2 4 3 7" xfId="4457"/>
    <cellStyle name="Normal 5 2 2 4 4" xfId="2764"/>
    <cellStyle name="Normal 5 2 2 4 4 2" xfId="6800"/>
    <cellStyle name="Normal 5 2 2 4 4 2 2" xfId="11815"/>
    <cellStyle name="Normal 5 2 2 4 4 3" xfId="13269"/>
    <cellStyle name="Normal 5 2 2 4 4 4" xfId="9710"/>
    <cellStyle name="Normal 5 2 2 4 4 5" xfId="4692"/>
    <cellStyle name="Normal 5 2 2 4 5" xfId="1609"/>
    <cellStyle name="Normal 5 2 2 4 5 2" xfId="10770"/>
    <cellStyle name="Normal 5 2 2 4 5 3" xfId="5754"/>
    <cellStyle name="Normal 5 2 2 4 6" xfId="8826"/>
    <cellStyle name="Normal 5 2 2 4 7" xfId="12226"/>
    <cellStyle name="Normal 5 2 2 4 8" xfId="7303"/>
    <cellStyle name="Normal 5 2 2 4 9" xfId="3757"/>
    <cellStyle name="Normal 5 2 2 4_Degree data" xfId="2674"/>
    <cellStyle name="Normal 5 2 2 5" xfId="297"/>
    <cellStyle name="Normal 5 2 2 5 2" xfId="2053"/>
    <cellStyle name="Normal 5 2 2 5 2 2" xfId="10159"/>
    <cellStyle name="Normal 5 2 2 5 2 3" xfId="5141"/>
    <cellStyle name="Normal 5 2 2 5 3" xfId="6200"/>
    <cellStyle name="Normal 5 2 2 5 3 2" xfId="11216"/>
    <cellStyle name="Normal 5 2 2 5 4" xfId="9275"/>
    <cellStyle name="Normal 5 2 2 5 5" xfId="12670"/>
    <cellStyle name="Normal 5 2 2 5 6" xfId="7752"/>
    <cellStyle name="Normal 5 2 2 5 7" xfId="4206"/>
    <cellStyle name="Normal 5 2 2 6" xfId="451"/>
    <cellStyle name="Normal 5 2 2 6 2" xfId="2402"/>
    <cellStyle name="Normal 5 2 2 6 2 2" xfId="10374"/>
    <cellStyle name="Normal 5 2 2 6 2 3" xfId="5357"/>
    <cellStyle name="Normal 5 2 2 6 3" xfId="6549"/>
    <cellStyle name="Normal 5 2 2 6 3 2" xfId="11564"/>
    <cellStyle name="Normal 5 2 2 6 4" xfId="9483"/>
    <cellStyle name="Normal 5 2 2 6 5" xfId="13018"/>
    <cellStyle name="Normal 5 2 2 6 6" xfId="7968"/>
    <cellStyle name="Normal 5 2 2 6 7" xfId="4465"/>
    <cellStyle name="Normal 5 2 2 7" xfId="760"/>
    <cellStyle name="Normal 5 2 2 7 2" xfId="2715"/>
    <cellStyle name="Normal 5 2 2 7 2 2" xfId="11770"/>
    <cellStyle name="Normal 5 2 2 7 2 3" xfId="6755"/>
    <cellStyle name="Normal 5 2 2 7 3" xfId="13224"/>
    <cellStyle name="Normal 5 2 2 7 4" xfId="9519"/>
    <cellStyle name="Normal 5 2 2 7 5" xfId="4501"/>
    <cellStyle name="Normal 5 2 2 8" xfId="1164"/>
    <cellStyle name="Normal 5 2 2 8 2" xfId="1564"/>
    <cellStyle name="Normal 5 2 2 8 2 2" xfId="12181"/>
    <cellStyle name="Normal 5 2 2 8 3" xfId="10725"/>
    <cellStyle name="Normal 5 2 2 8 4" xfId="5709"/>
    <cellStyle name="Normal 5 2 2 9" xfId="1534"/>
    <cellStyle name="Normal 5 2 2 9 2" xfId="8333"/>
    <cellStyle name="Normal 5 2 2_Degree data" xfId="2621"/>
    <cellStyle name="Normal 5 2 3" xfId="392"/>
    <cellStyle name="Normal 5 2 4" xfId="373"/>
    <cellStyle name="Normal 5 2 4 10" xfId="7159"/>
    <cellStyle name="Normal 5 2 4 11" xfId="3328"/>
    <cellStyle name="Normal 5 2 4 2" xfId="624"/>
    <cellStyle name="Normal 5 2 4 2 2" xfId="1033"/>
    <cellStyle name="Normal 5 2 4 2 2 2" xfId="2061"/>
    <cellStyle name="Normal 5 2 4 2 2 2 2" xfId="10167"/>
    <cellStyle name="Normal 5 2 4 2 2 2 3" xfId="5149"/>
    <cellStyle name="Normal 5 2 4 2 2 3" xfId="6208"/>
    <cellStyle name="Normal 5 2 4 2 2 3 2" xfId="11224"/>
    <cellStyle name="Normal 5 2 4 2 2 4" xfId="9283"/>
    <cellStyle name="Normal 5 2 4 2 2 5" xfId="12678"/>
    <cellStyle name="Normal 5 2 4 2 2 6" xfId="7760"/>
    <cellStyle name="Normal 5 2 4 2 2 7" xfId="4214"/>
    <cellStyle name="Normal 5 2 4 2 3" xfId="1390"/>
    <cellStyle name="Normal 5 2 4 2 3 2" xfId="2410"/>
    <cellStyle name="Normal 5 2 4 2 3 2 2" xfId="10592"/>
    <cellStyle name="Normal 5 2 4 2 3 2 3" xfId="5575"/>
    <cellStyle name="Normal 5 2 4 2 3 3" xfId="6557"/>
    <cellStyle name="Normal 5 2 4 2 3 3 2" xfId="11572"/>
    <cellStyle name="Normal 5 2 4 2 3 4" xfId="8999"/>
    <cellStyle name="Normal 5 2 4 2 3 5" xfId="13026"/>
    <cellStyle name="Normal 5 2 4 2 3 6" xfId="8186"/>
    <cellStyle name="Normal 5 2 4 2 3 7" xfId="3930"/>
    <cellStyle name="Normal 5 2 4 2 4" xfId="2948"/>
    <cellStyle name="Normal 5 2 4 2 4 2" xfId="6973"/>
    <cellStyle name="Normal 5 2 4 2 4 2 2" xfId="11988"/>
    <cellStyle name="Normal 5 2 4 2 4 3" xfId="13442"/>
    <cellStyle name="Normal 5 2 4 2 4 4" xfId="9883"/>
    <cellStyle name="Normal 5 2 4 2 4 5" xfId="4865"/>
    <cellStyle name="Normal 5 2 4 2 5" xfId="1782"/>
    <cellStyle name="Normal 5 2 4 2 5 2" xfId="10945"/>
    <cellStyle name="Normal 5 2 4 2 5 3" xfId="5929"/>
    <cellStyle name="Normal 5 2 4 2 6" xfId="8506"/>
    <cellStyle name="Normal 5 2 4 2 7" xfId="12399"/>
    <cellStyle name="Normal 5 2 4 2 8" xfId="7476"/>
    <cellStyle name="Normal 5 2 4 2 9" xfId="3428"/>
    <cellStyle name="Normal 5 2 4 2_Degree data" xfId="2665"/>
    <cellStyle name="Normal 5 2 4 3" xfId="524"/>
    <cellStyle name="Normal 5 2 4 3 2" xfId="2060"/>
    <cellStyle name="Normal 5 2 4 3 2 2" xfId="9783"/>
    <cellStyle name="Normal 5 2 4 3 2 3" xfId="4765"/>
    <cellStyle name="Normal 5 2 4 3 3" xfId="6207"/>
    <cellStyle name="Normal 5 2 4 3 3 2" xfId="11223"/>
    <cellStyle name="Normal 5 2 4 3 4" xfId="8899"/>
    <cellStyle name="Normal 5 2 4 3 5" xfId="12677"/>
    <cellStyle name="Normal 5 2 4 3 6" xfId="7376"/>
    <cellStyle name="Normal 5 2 4 3 7" xfId="3830"/>
    <cellStyle name="Normal 5 2 4 4" xfId="933"/>
    <cellStyle name="Normal 5 2 4 4 2" xfId="2409"/>
    <cellStyle name="Normal 5 2 4 4 2 2" xfId="10166"/>
    <cellStyle name="Normal 5 2 4 4 2 3" xfId="5148"/>
    <cellStyle name="Normal 5 2 4 4 3" xfId="6556"/>
    <cellStyle name="Normal 5 2 4 4 3 2" xfId="11571"/>
    <cellStyle name="Normal 5 2 4 4 4" xfId="9282"/>
    <cellStyle name="Normal 5 2 4 4 5" xfId="13025"/>
    <cellStyle name="Normal 5 2 4 4 6" xfId="7759"/>
    <cellStyle name="Normal 5 2 4 4 7" xfId="4213"/>
    <cellStyle name="Normal 5 2 4 5" xfId="1289"/>
    <cellStyle name="Normal 5 2 4 5 2" xfId="2846"/>
    <cellStyle name="Normal 5 2 4 5 2 2" xfId="10492"/>
    <cellStyle name="Normal 5 2 4 5 2 3" xfId="5475"/>
    <cellStyle name="Normal 5 2 4 5 3" xfId="6873"/>
    <cellStyle name="Normal 5 2 4 5 3 2" xfId="11888"/>
    <cellStyle name="Normal 5 2 4 5 4" xfId="8680"/>
    <cellStyle name="Normal 5 2 4 5 5" xfId="13342"/>
    <cellStyle name="Normal 5 2 4 5 6" xfId="8086"/>
    <cellStyle name="Normal 5 2 4 5 7" xfId="3609"/>
    <cellStyle name="Normal 5 2 4 6" xfId="1682"/>
    <cellStyle name="Normal 5 2 4 6 2" xfId="9566"/>
    <cellStyle name="Normal 5 2 4 6 3" xfId="4548"/>
    <cellStyle name="Normal 5 2 4 7" xfId="5829"/>
    <cellStyle name="Normal 5 2 4 7 2" xfId="10845"/>
    <cellStyle name="Normal 5 2 4 8" xfId="8406"/>
    <cellStyle name="Normal 5 2 4 9" xfId="12299"/>
    <cellStyle name="Normal 5 2 4_Degree data" xfId="2666"/>
    <cellStyle name="Normal 5 2 5" xfId="317"/>
    <cellStyle name="Normal 5 2 5 10" xfId="7209"/>
    <cellStyle name="Normal 5 2 5 11" xfId="3273"/>
    <cellStyle name="Normal 5 2 5 2" xfId="674"/>
    <cellStyle name="Normal 5 2 5 2 2" xfId="1083"/>
    <cellStyle name="Normal 5 2 5 2 2 2" xfId="2063"/>
    <cellStyle name="Normal 5 2 5 2 2 2 2" xfId="10169"/>
    <cellStyle name="Normal 5 2 5 2 2 2 3" xfId="5151"/>
    <cellStyle name="Normal 5 2 5 2 2 3" xfId="6210"/>
    <cellStyle name="Normal 5 2 5 2 2 3 2" xfId="11226"/>
    <cellStyle name="Normal 5 2 5 2 2 4" xfId="9285"/>
    <cellStyle name="Normal 5 2 5 2 2 5" xfId="12680"/>
    <cellStyle name="Normal 5 2 5 2 2 6" xfId="7762"/>
    <cellStyle name="Normal 5 2 5 2 2 7" xfId="4216"/>
    <cellStyle name="Normal 5 2 5 2 3" xfId="1441"/>
    <cellStyle name="Normal 5 2 5 2 3 2" xfId="2412"/>
    <cellStyle name="Normal 5 2 5 2 3 2 2" xfId="10642"/>
    <cellStyle name="Normal 5 2 5 2 3 2 3" xfId="5625"/>
    <cellStyle name="Normal 5 2 5 2 3 3" xfId="6559"/>
    <cellStyle name="Normal 5 2 5 2 3 3 2" xfId="11574"/>
    <cellStyle name="Normal 5 2 5 2 3 4" xfId="9049"/>
    <cellStyle name="Normal 5 2 5 2 3 5" xfId="13028"/>
    <cellStyle name="Normal 5 2 5 2 3 6" xfId="8236"/>
    <cellStyle name="Normal 5 2 5 2 3 7" xfId="3980"/>
    <cellStyle name="Normal 5 2 5 2 4" xfId="3000"/>
    <cellStyle name="Normal 5 2 5 2 4 2" xfId="7023"/>
    <cellStyle name="Normal 5 2 5 2 4 2 2" xfId="12038"/>
    <cellStyle name="Normal 5 2 5 2 4 3" xfId="13492"/>
    <cellStyle name="Normal 5 2 5 2 4 4" xfId="9933"/>
    <cellStyle name="Normal 5 2 5 2 4 5" xfId="4915"/>
    <cellStyle name="Normal 5 2 5 2 5" xfId="1832"/>
    <cellStyle name="Normal 5 2 5 2 5 2" xfId="10995"/>
    <cellStyle name="Normal 5 2 5 2 5 3" xfId="5979"/>
    <cellStyle name="Normal 5 2 5 2 6" xfId="8556"/>
    <cellStyle name="Normal 5 2 5 2 7" xfId="12449"/>
    <cellStyle name="Normal 5 2 5 2 8" xfId="7526"/>
    <cellStyle name="Normal 5 2 5 2 9" xfId="3478"/>
    <cellStyle name="Normal 5 2 5 2_Degree data" xfId="2635"/>
    <cellStyle name="Normal 5 2 5 3" xfId="469"/>
    <cellStyle name="Normal 5 2 5 3 2" xfId="2062"/>
    <cellStyle name="Normal 5 2 5 3 2 2" xfId="9728"/>
    <cellStyle name="Normal 5 2 5 3 2 3" xfId="4710"/>
    <cellStyle name="Normal 5 2 5 3 3" xfId="6209"/>
    <cellStyle name="Normal 5 2 5 3 3 2" xfId="11225"/>
    <cellStyle name="Normal 5 2 5 3 4" xfId="8844"/>
    <cellStyle name="Normal 5 2 5 3 5" xfId="12679"/>
    <cellStyle name="Normal 5 2 5 3 6" xfId="7321"/>
    <cellStyle name="Normal 5 2 5 3 7" xfId="3775"/>
    <cellStyle name="Normal 5 2 5 4" xfId="878"/>
    <cellStyle name="Normal 5 2 5 4 2" xfId="2411"/>
    <cellStyle name="Normal 5 2 5 4 2 2" xfId="10168"/>
    <cellStyle name="Normal 5 2 5 4 2 3" xfId="5150"/>
    <cellStyle name="Normal 5 2 5 4 3" xfId="6558"/>
    <cellStyle name="Normal 5 2 5 4 3 2" xfId="11573"/>
    <cellStyle name="Normal 5 2 5 4 4" xfId="9284"/>
    <cellStyle name="Normal 5 2 5 4 5" xfId="13027"/>
    <cellStyle name="Normal 5 2 5 4 6" xfId="7761"/>
    <cellStyle name="Normal 5 2 5 4 7" xfId="4215"/>
    <cellStyle name="Normal 5 2 5 5" xfId="1230"/>
    <cellStyle name="Normal 5 2 5 5 2" xfId="2786"/>
    <cellStyle name="Normal 5 2 5 5 2 2" xfId="10437"/>
    <cellStyle name="Normal 5 2 5 5 2 3" xfId="5420"/>
    <cellStyle name="Normal 5 2 5 5 3" xfId="6818"/>
    <cellStyle name="Normal 5 2 5 5 3 2" xfId="11833"/>
    <cellStyle name="Normal 5 2 5 5 4" xfId="8730"/>
    <cellStyle name="Normal 5 2 5 5 5" xfId="13287"/>
    <cellStyle name="Normal 5 2 5 5 6" xfId="8031"/>
    <cellStyle name="Normal 5 2 5 5 7" xfId="3660"/>
    <cellStyle name="Normal 5 2 5 6" xfId="1627"/>
    <cellStyle name="Normal 5 2 5 6 2" xfId="9616"/>
    <cellStyle name="Normal 5 2 5 6 3" xfId="4598"/>
    <cellStyle name="Normal 5 2 5 7" xfId="5774"/>
    <cellStyle name="Normal 5 2 5 7 2" xfId="10790"/>
    <cellStyle name="Normal 5 2 5 8" xfId="8351"/>
    <cellStyle name="Normal 5 2 5 9" xfId="12244"/>
    <cellStyle name="Normal 5 2 5_Degree data" xfId="2639"/>
    <cellStyle name="Normal 5 2 6" xfId="732"/>
    <cellStyle name="Normal 5 2 6 10" xfId="3533"/>
    <cellStyle name="Normal 5 2 6 2" xfId="1139"/>
    <cellStyle name="Normal 5 2 6 2 2" xfId="2064"/>
    <cellStyle name="Normal 5 2 6 2 2 2" xfId="9988"/>
    <cellStyle name="Normal 5 2 6 2 2 3" xfId="4970"/>
    <cellStyle name="Normal 5 2 6 2 3" xfId="6211"/>
    <cellStyle name="Normal 5 2 6 2 3 2" xfId="11227"/>
    <cellStyle name="Normal 5 2 6 2 4" xfId="9104"/>
    <cellStyle name="Normal 5 2 6 2 5" xfId="12681"/>
    <cellStyle name="Normal 5 2 6 2 6" xfId="7581"/>
    <cellStyle name="Normal 5 2 6 2 7" xfId="4035"/>
    <cellStyle name="Normal 5 2 6 3" xfId="1496"/>
    <cellStyle name="Normal 5 2 6 3 2" xfId="2413"/>
    <cellStyle name="Normal 5 2 6 3 2 2" xfId="10170"/>
    <cellStyle name="Normal 5 2 6 3 2 3" xfId="5152"/>
    <cellStyle name="Normal 5 2 6 3 3" xfId="6560"/>
    <cellStyle name="Normal 5 2 6 3 3 2" xfId="11575"/>
    <cellStyle name="Normal 5 2 6 3 4" xfId="9286"/>
    <cellStyle name="Normal 5 2 6 3 5" xfId="13029"/>
    <cellStyle name="Normal 5 2 6 3 6" xfId="7763"/>
    <cellStyle name="Normal 5 2 6 3 7" xfId="4217"/>
    <cellStyle name="Normal 5 2 6 4" xfId="3058"/>
    <cellStyle name="Normal 5 2 6 4 2" xfId="5680"/>
    <cellStyle name="Normal 5 2 6 4 2 2" xfId="10697"/>
    <cellStyle name="Normal 5 2 6 4 3" xfId="7078"/>
    <cellStyle name="Normal 5 2 6 4 3 2" xfId="12093"/>
    <cellStyle name="Normal 5 2 6 4 4" xfId="8785"/>
    <cellStyle name="Normal 5 2 6 4 5" xfId="13547"/>
    <cellStyle name="Normal 5 2 6 4 6" xfId="8291"/>
    <cellStyle name="Normal 5 2 6 4 7" xfId="3716"/>
    <cellStyle name="Normal 5 2 6 5" xfId="1887"/>
    <cellStyle name="Normal 5 2 6 5 2" xfId="9671"/>
    <cellStyle name="Normal 5 2 6 5 3" xfId="4653"/>
    <cellStyle name="Normal 5 2 6 6" xfId="6034"/>
    <cellStyle name="Normal 5 2 6 6 2" xfId="11050"/>
    <cellStyle name="Normal 5 2 6 7" xfId="8611"/>
    <cellStyle name="Normal 5 2 6 8" xfId="12504"/>
    <cellStyle name="Normal 5 2 6 9" xfId="7264"/>
    <cellStyle name="Normal 5 2 6_Degree data" xfId="2627"/>
    <cellStyle name="Normal 5 2 7" xfId="569"/>
    <cellStyle name="Normal 5 2 7 2" xfId="978"/>
    <cellStyle name="Normal 5 2 7 2 2" xfId="2065"/>
    <cellStyle name="Normal 5 2 7 2 2 2" xfId="10171"/>
    <cellStyle name="Normal 5 2 7 2 2 3" xfId="5153"/>
    <cellStyle name="Normal 5 2 7 2 3" xfId="6212"/>
    <cellStyle name="Normal 5 2 7 2 3 2" xfId="11228"/>
    <cellStyle name="Normal 5 2 7 2 4" xfId="9287"/>
    <cellStyle name="Normal 5 2 7 2 5" xfId="12682"/>
    <cellStyle name="Normal 5 2 7 2 6" xfId="7764"/>
    <cellStyle name="Normal 5 2 7 2 7" xfId="4218"/>
    <cellStyle name="Normal 5 2 7 3" xfId="1334"/>
    <cellStyle name="Normal 5 2 7 3 2" xfId="2414"/>
    <cellStyle name="Normal 5 2 7 3 2 2" xfId="10537"/>
    <cellStyle name="Normal 5 2 7 3 2 3" xfId="5520"/>
    <cellStyle name="Normal 5 2 7 3 3" xfId="6561"/>
    <cellStyle name="Normal 5 2 7 3 3 2" xfId="11576"/>
    <cellStyle name="Normal 5 2 7 3 4" xfId="8944"/>
    <cellStyle name="Normal 5 2 7 3 5" xfId="13030"/>
    <cellStyle name="Normal 5 2 7 3 6" xfId="8131"/>
    <cellStyle name="Normal 5 2 7 3 7" xfId="3875"/>
    <cellStyle name="Normal 5 2 7 4" xfId="2892"/>
    <cellStyle name="Normal 5 2 7 4 2" xfId="6918"/>
    <cellStyle name="Normal 5 2 7 4 2 2" xfId="11933"/>
    <cellStyle name="Normal 5 2 7 4 3" xfId="13387"/>
    <cellStyle name="Normal 5 2 7 4 4" xfId="9828"/>
    <cellStyle name="Normal 5 2 7 4 5" xfId="4810"/>
    <cellStyle name="Normal 5 2 7 5" xfId="1727"/>
    <cellStyle name="Normal 5 2 7 5 2" xfId="10890"/>
    <cellStyle name="Normal 5 2 7 5 3" xfId="5874"/>
    <cellStyle name="Normal 5 2 7 6" xfId="8451"/>
    <cellStyle name="Normal 5 2 7 7" xfId="12344"/>
    <cellStyle name="Normal 5 2 7 8" xfId="7421"/>
    <cellStyle name="Normal 5 2 7 9" xfId="3373"/>
    <cellStyle name="Normal 5 2 7_Degree data" xfId="2681"/>
    <cellStyle name="Normal 5 2 8" xfId="1503"/>
    <cellStyle name="Normal 5 2 8 2" xfId="8624"/>
    <cellStyle name="Normal 5 2 8 3" xfId="3548"/>
    <cellStyle name="Normal 5 2 9" xfId="4492"/>
    <cellStyle name="Normal 5 2 9 2" xfId="9510"/>
    <cellStyle name="Normal 5 3" xfId="129"/>
    <cellStyle name="Normal 5 3 10" xfId="1556"/>
    <cellStyle name="Normal 5 3 10 2" xfId="12173"/>
    <cellStyle name="Normal 5 3 10 3" xfId="10717"/>
    <cellStyle name="Normal 5 3 10 4" xfId="5701"/>
    <cellStyle name="Normal 5 3 11" xfId="1526"/>
    <cellStyle name="Normal 5 3 11 2" xfId="8300"/>
    <cellStyle name="Normal 5 3 12" xfId="12143"/>
    <cellStyle name="Normal 5 3 13" xfId="7100"/>
    <cellStyle name="Normal 5 3 14" xfId="3220"/>
    <cellStyle name="Normal 5 3 2" xfId="174"/>
    <cellStyle name="Normal 5 3 2 10" xfId="8325"/>
    <cellStyle name="Normal 5 3 2 11" xfId="12218"/>
    <cellStyle name="Normal 5 3 2 12" xfId="7135"/>
    <cellStyle name="Normal 5 3 2 13" xfId="3247"/>
    <cellStyle name="Normal 5 3 2 2" xfId="349"/>
    <cellStyle name="Normal 5 3 2 2 10" xfId="7239"/>
    <cellStyle name="Normal 5 3 2 2 11" xfId="3304"/>
    <cellStyle name="Normal 5 3 2 2 2" xfId="704"/>
    <cellStyle name="Normal 5 3 2 2 2 2" xfId="1113"/>
    <cellStyle name="Normal 5 3 2 2 2 2 2" xfId="2069"/>
    <cellStyle name="Normal 5 3 2 2 2 2 2 2" xfId="10175"/>
    <cellStyle name="Normal 5 3 2 2 2 2 2 3" xfId="5157"/>
    <cellStyle name="Normal 5 3 2 2 2 2 3" xfId="6216"/>
    <cellStyle name="Normal 5 3 2 2 2 2 3 2" xfId="11232"/>
    <cellStyle name="Normal 5 3 2 2 2 2 4" xfId="9291"/>
    <cellStyle name="Normal 5 3 2 2 2 2 5" xfId="12686"/>
    <cellStyle name="Normal 5 3 2 2 2 2 6" xfId="7768"/>
    <cellStyle name="Normal 5 3 2 2 2 2 7" xfId="4222"/>
    <cellStyle name="Normal 5 3 2 2 2 3" xfId="1471"/>
    <cellStyle name="Normal 5 3 2 2 2 3 2" xfId="2418"/>
    <cellStyle name="Normal 5 3 2 2 2 3 2 2" xfId="10672"/>
    <cellStyle name="Normal 5 3 2 2 2 3 2 3" xfId="5655"/>
    <cellStyle name="Normal 5 3 2 2 2 3 3" xfId="6565"/>
    <cellStyle name="Normal 5 3 2 2 2 3 3 2" xfId="11580"/>
    <cellStyle name="Normal 5 3 2 2 2 3 4" xfId="9079"/>
    <cellStyle name="Normal 5 3 2 2 2 3 5" xfId="13034"/>
    <cellStyle name="Normal 5 3 2 2 2 3 6" xfId="8266"/>
    <cellStyle name="Normal 5 3 2 2 2 3 7" xfId="4010"/>
    <cellStyle name="Normal 5 3 2 2 2 4" xfId="3030"/>
    <cellStyle name="Normal 5 3 2 2 2 4 2" xfId="7053"/>
    <cellStyle name="Normal 5 3 2 2 2 4 2 2" xfId="12068"/>
    <cellStyle name="Normal 5 3 2 2 2 4 3" xfId="13522"/>
    <cellStyle name="Normal 5 3 2 2 2 4 4" xfId="9963"/>
    <cellStyle name="Normal 5 3 2 2 2 4 5" xfId="4945"/>
    <cellStyle name="Normal 5 3 2 2 2 5" xfId="1862"/>
    <cellStyle name="Normal 5 3 2 2 2 5 2" xfId="11025"/>
    <cellStyle name="Normal 5 3 2 2 2 5 3" xfId="6009"/>
    <cellStyle name="Normal 5 3 2 2 2 6" xfId="8586"/>
    <cellStyle name="Normal 5 3 2 2 2 7" xfId="12479"/>
    <cellStyle name="Normal 5 3 2 2 2 8" xfId="7556"/>
    <cellStyle name="Normal 5 3 2 2 2 9" xfId="3508"/>
    <cellStyle name="Normal 5 3 2 2 2_Degree data" xfId="2593"/>
    <cellStyle name="Normal 5 3 2 2 3" xfId="500"/>
    <cellStyle name="Normal 5 3 2 2 3 2" xfId="2068"/>
    <cellStyle name="Normal 5 3 2 2 3 2 2" xfId="9759"/>
    <cellStyle name="Normal 5 3 2 2 3 2 3" xfId="4741"/>
    <cellStyle name="Normal 5 3 2 2 3 3" xfId="6215"/>
    <cellStyle name="Normal 5 3 2 2 3 3 2" xfId="11231"/>
    <cellStyle name="Normal 5 3 2 2 3 4" xfId="8875"/>
    <cellStyle name="Normal 5 3 2 2 3 5" xfId="12685"/>
    <cellStyle name="Normal 5 3 2 2 3 6" xfId="7352"/>
    <cellStyle name="Normal 5 3 2 2 3 7" xfId="3806"/>
    <cellStyle name="Normal 5 3 2 2 4" xfId="909"/>
    <cellStyle name="Normal 5 3 2 2 4 2" xfId="2417"/>
    <cellStyle name="Normal 5 3 2 2 4 2 2" xfId="10174"/>
    <cellStyle name="Normal 5 3 2 2 4 2 3" xfId="5156"/>
    <cellStyle name="Normal 5 3 2 2 4 3" xfId="6564"/>
    <cellStyle name="Normal 5 3 2 2 4 3 2" xfId="11579"/>
    <cellStyle name="Normal 5 3 2 2 4 4" xfId="9290"/>
    <cellStyle name="Normal 5 3 2 2 4 5" xfId="13033"/>
    <cellStyle name="Normal 5 3 2 2 4 6" xfId="7767"/>
    <cellStyle name="Normal 5 3 2 2 4 7" xfId="4221"/>
    <cellStyle name="Normal 5 3 2 2 5" xfId="1264"/>
    <cellStyle name="Normal 5 3 2 2 5 2" xfId="2821"/>
    <cellStyle name="Normal 5 3 2 2 5 2 2" xfId="10468"/>
    <cellStyle name="Normal 5 3 2 2 5 2 3" xfId="5451"/>
    <cellStyle name="Normal 5 3 2 2 5 3" xfId="6849"/>
    <cellStyle name="Normal 5 3 2 2 5 3 2" xfId="11864"/>
    <cellStyle name="Normal 5 3 2 2 5 4" xfId="8760"/>
    <cellStyle name="Normal 5 3 2 2 5 5" xfId="13318"/>
    <cellStyle name="Normal 5 3 2 2 5 6" xfId="8062"/>
    <cellStyle name="Normal 5 3 2 2 5 7" xfId="3690"/>
    <cellStyle name="Normal 5 3 2 2 6" xfId="1658"/>
    <cellStyle name="Normal 5 3 2 2 6 2" xfId="9646"/>
    <cellStyle name="Normal 5 3 2 2 6 3" xfId="4628"/>
    <cellStyle name="Normal 5 3 2 2 7" xfId="5805"/>
    <cellStyle name="Normal 5 3 2 2 7 2" xfId="10821"/>
    <cellStyle name="Normal 5 3 2 2 8" xfId="8382"/>
    <cellStyle name="Normal 5 3 2 2 9" xfId="12275"/>
    <cellStyle name="Normal 5 3 2 2_Degree data" xfId="2594"/>
    <cellStyle name="Normal 5 3 2 3" xfId="288"/>
    <cellStyle name="Normal 5 3 2 3 10" xfId="3465"/>
    <cellStyle name="Normal 5 3 2 3 2" xfId="661"/>
    <cellStyle name="Normal 5 3 2 3 2 2" xfId="2070"/>
    <cellStyle name="Normal 5 3 2 3 2 2 2" xfId="9920"/>
    <cellStyle name="Normal 5 3 2 3 2 2 3" xfId="4902"/>
    <cellStyle name="Normal 5 3 2 3 2 3" xfId="6217"/>
    <cellStyle name="Normal 5 3 2 3 2 3 2" xfId="11233"/>
    <cellStyle name="Normal 5 3 2 3 2 4" xfId="9036"/>
    <cellStyle name="Normal 5 3 2 3 2 5" xfId="12687"/>
    <cellStyle name="Normal 5 3 2 3 2 6" xfId="7513"/>
    <cellStyle name="Normal 5 3 2 3 2 7" xfId="3967"/>
    <cellStyle name="Normal 5 3 2 3 3" xfId="1070"/>
    <cellStyle name="Normal 5 3 2 3 3 2" xfId="2419"/>
    <cellStyle name="Normal 5 3 2 3 3 2 2" xfId="10176"/>
    <cellStyle name="Normal 5 3 2 3 3 2 3" xfId="5158"/>
    <cellStyle name="Normal 5 3 2 3 3 3" xfId="6566"/>
    <cellStyle name="Normal 5 3 2 3 3 3 2" xfId="11581"/>
    <cellStyle name="Normal 5 3 2 3 3 4" xfId="9292"/>
    <cellStyle name="Normal 5 3 2 3 3 5" xfId="13035"/>
    <cellStyle name="Normal 5 3 2 3 3 6" xfId="7769"/>
    <cellStyle name="Normal 5 3 2 3 3 7" xfId="4223"/>
    <cellStyle name="Normal 5 3 2 3 4" xfId="1428"/>
    <cellStyle name="Normal 5 3 2 3 4 2" xfId="2987"/>
    <cellStyle name="Normal 5 3 2 3 4 2 2" xfId="10629"/>
    <cellStyle name="Normal 5 3 2 3 4 2 3" xfId="5612"/>
    <cellStyle name="Normal 5 3 2 3 4 3" xfId="7010"/>
    <cellStyle name="Normal 5 3 2 3 4 3 2" xfId="12025"/>
    <cellStyle name="Normal 5 3 2 3 4 4" xfId="8717"/>
    <cellStyle name="Normal 5 3 2 3 4 5" xfId="13479"/>
    <cellStyle name="Normal 5 3 2 3 4 6" xfId="8223"/>
    <cellStyle name="Normal 5 3 2 3 4 7" xfId="3647"/>
    <cellStyle name="Normal 5 3 2 3 5" xfId="1819"/>
    <cellStyle name="Normal 5 3 2 3 5 2" xfId="9603"/>
    <cellStyle name="Normal 5 3 2 3 5 3" xfId="4585"/>
    <cellStyle name="Normal 5 3 2 3 6" xfId="5966"/>
    <cellStyle name="Normal 5 3 2 3 6 2" xfId="10982"/>
    <cellStyle name="Normal 5 3 2 3 7" xfId="8543"/>
    <cellStyle name="Normal 5 3 2 3 8" xfId="12436"/>
    <cellStyle name="Normal 5 3 2 3 9" xfId="7196"/>
    <cellStyle name="Normal 5 3 2 3_Degree data" xfId="2592"/>
    <cellStyle name="Normal 5 3 2 4" xfId="600"/>
    <cellStyle name="Normal 5 3 2 4 2" xfId="1009"/>
    <cellStyle name="Normal 5 3 2 4 2 2" xfId="2071"/>
    <cellStyle name="Normal 5 3 2 4 2 2 2" xfId="10177"/>
    <cellStyle name="Normal 5 3 2 4 2 2 3" xfId="5159"/>
    <cellStyle name="Normal 5 3 2 4 2 3" xfId="6218"/>
    <cellStyle name="Normal 5 3 2 4 2 3 2" xfId="11234"/>
    <cellStyle name="Normal 5 3 2 4 2 4" xfId="9293"/>
    <cellStyle name="Normal 5 3 2 4 2 5" xfId="12688"/>
    <cellStyle name="Normal 5 3 2 4 2 6" xfId="7770"/>
    <cellStyle name="Normal 5 3 2 4 2 7" xfId="4224"/>
    <cellStyle name="Normal 5 3 2 4 3" xfId="1365"/>
    <cellStyle name="Normal 5 3 2 4 3 2" xfId="2420"/>
    <cellStyle name="Normal 5 3 2 4 3 2 2" xfId="10568"/>
    <cellStyle name="Normal 5 3 2 4 3 2 3" xfId="5551"/>
    <cellStyle name="Normal 5 3 2 4 3 3" xfId="6567"/>
    <cellStyle name="Normal 5 3 2 4 3 3 2" xfId="11582"/>
    <cellStyle name="Normal 5 3 2 4 3 4" xfId="8975"/>
    <cellStyle name="Normal 5 3 2 4 3 5" xfId="13036"/>
    <cellStyle name="Normal 5 3 2 4 3 6" xfId="8162"/>
    <cellStyle name="Normal 5 3 2 4 3 7" xfId="3906"/>
    <cellStyle name="Normal 5 3 2 4 4" xfId="2923"/>
    <cellStyle name="Normal 5 3 2 4 4 2" xfId="6949"/>
    <cellStyle name="Normal 5 3 2 4 4 2 2" xfId="11964"/>
    <cellStyle name="Normal 5 3 2 4 4 3" xfId="13418"/>
    <cellStyle name="Normal 5 3 2 4 4 4" xfId="9859"/>
    <cellStyle name="Normal 5 3 2 4 4 5" xfId="4841"/>
    <cellStyle name="Normal 5 3 2 4 5" xfId="1758"/>
    <cellStyle name="Normal 5 3 2 4 5 2" xfId="10921"/>
    <cellStyle name="Normal 5 3 2 4 5 3" xfId="5905"/>
    <cellStyle name="Normal 5 3 2 4 6" xfId="8482"/>
    <cellStyle name="Normal 5 3 2 4 7" xfId="12375"/>
    <cellStyle name="Normal 5 3 2 4 8" xfId="7452"/>
    <cellStyle name="Normal 5 3 2 4 9" xfId="3404"/>
    <cellStyle name="Normal 5 3 2 4_Degree data" xfId="2687"/>
    <cellStyle name="Normal 5 3 2 5" xfId="443"/>
    <cellStyle name="Normal 5 3 2 5 2" xfId="852"/>
    <cellStyle name="Normal 5 3 2 5 2 2" xfId="9702"/>
    <cellStyle name="Normal 5 3 2 5 2 3" xfId="4684"/>
    <cellStyle name="Normal 5 3 2 5 3" xfId="2067"/>
    <cellStyle name="Normal 5 3 2 5 3 2" xfId="11230"/>
    <cellStyle name="Normal 5 3 2 5 3 3" xfId="6214"/>
    <cellStyle name="Normal 5 3 2 5 4" xfId="8818"/>
    <cellStyle name="Normal 5 3 2 5 5" xfId="12684"/>
    <cellStyle name="Normal 5 3 2 5 6" xfId="7295"/>
    <cellStyle name="Normal 5 3 2 5 7" xfId="3749"/>
    <cellStyle name="Normal 5 3 2 6" xfId="776"/>
    <cellStyle name="Normal 5 3 2 6 2" xfId="2416"/>
    <cellStyle name="Normal 5 3 2 6 2 2" xfId="10173"/>
    <cellStyle name="Normal 5 3 2 6 2 3" xfId="5155"/>
    <cellStyle name="Normal 5 3 2 6 3" xfId="6563"/>
    <cellStyle name="Normal 5 3 2 6 3 2" xfId="11578"/>
    <cellStyle name="Normal 5 3 2 6 4" xfId="9289"/>
    <cellStyle name="Normal 5 3 2 6 5" xfId="13032"/>
    <cellStyle name="Normal 5 3 2 6 6" xfId="7766"/>
    <cellStyle name="Normal 5 3 2 6 7" xfId="4220"/>
    <cellStyle name="Normal 5 3 2 7" xfId="1202"/>
    <cellStyle name="Normal 5 3 2 7 2" xfId="2755"/>
    <cellStyle name="Normal 5 3 2 7 2 2" xfId="10411"/>
    <cellStyle name="Normal 5 3 2 7 2 3" xfId="5394"/>
    <cellStyle name="Normal 5 3 2 7 3" xfId="6792"/>
    <cellStyle name="Normal 5 3 2 7 3 2" xfId="11807"/>
    <cellStyle name="Normal 5 3 2 7 4" xfId="8656"/>
    <cellStyle name="Normal 5 3 2 7 5" xfId="13261"/>
    <cellStyle name="Normal 5 3 2 7 6" xfId="8005"/>
    <cellStyle name="Normal 5 3 2 7 7" xfId="3583"/>
    <cellStyle name="Normal 5 3 2 8" xfId="1601"/>
    <cellStyle name="Normal 5 3 2 8 2" xfId="9542"/>
    <cellStyle name="Normal 5 3 2 8 3" xfId="4524"/>
    <cellStyle name="Normal 5 3 2 9" xfId="5746"/>
    <cellStyle name="Normal 5 3 2 9 2" xfId="10762"/>
    <cellStyle name="Normal 5 3 2_Degree data" xfId="2617"/>
    <cellStyle name="Normal 5 3 3" xfId="200"/>
    <cellStyle name="Normal 5 3 3 10" xfId="7178"/>
    <cellStyle name="Normal 5 3 3 11" xfId="3347"/>
    <cellStyle name="Normal 5 3 3 2" xfId="393"/>
    <cellStyle name="Normal 5 3 3 2 2" xfId="643"/>
    <cellStyle name="Normal 5 3 3 2 2 2" xfId="2073"/>
    <cellStyle name="Normal 5 3 3 2 2 2 2" xfId="10179"/>
    <cellStyle name="Normal 5 3 3 2 2 2 3" xfId="5161"/>
    <cellStyle name="Normal 5 3 3 2 2 3" xfId="6220"/>
    <cellStyle name="Normal 5 3 3 2 2 3 2" xfId="11236"/>
    <cellStyle name="Normal 5 3 3 2 2 4" xfId="9295"/>
    <cellStyle name="Normal 5 3 3 2 2 5" xfId="12690"/>
    <cellStyle name="Normal 5 3 3 2 2 6" xfId="7772"/>
    <cellStyle name="Normal 5 3 3 2 2 7" xfId="4226"/>
    <cellStyle name="Normal 5 3 3 2 3" xfId="1052"/>
    <cellStyle name="Normal 5 3 3 2 3 2" xfId="2422"/>
    <cellStyle name="Normal 5 3 3 2 3 2 2" xfId="10611"/>
    <cellStyle name="Normal 5 3 3 2 3 2 3" xfId="5594"/>
    <cellStyle name="Normal 5 3 3 2 3 3" xfId="6569"/>
    <cellStyle name="Normal 5 3 3 2 3 3 2" xfId="11584"/>
    <cellStyle name="Normal 5 3 3 2 3 4" xfId="9018"/>
    <cellStyle name="Normal 5 3 3 2 3 5" xfId="13038"/>
    <cellStyle name="Normal 5 3 3 2 3 6" xfId="8205"/>
    <cellStyle name="Normal 5 3 3 2 3 7" xfId="3949"/>
    <cellStyle name="Normal 5 3 3 2 4" xfId="1410"/>
    <cellStyle name="Normal 5 3 3 2 4 2" xfId="2968"/>
    <cellStyle name="Normal 5 3 3 2 4 2 2" xfId="12007"/>
    <cellStyle name="Normal 5 3 3 2 4 2 3" xfId="6992"/>
    <cellStyle name="Normal 5 3 3 2 4 3" xfId="13461"/>
    <cellStyle name="Normal 5 3 3 2 4 4" xfId="9902"/>
    <cellStyle name="Normal 5 3 3 2 4 5" xfId="4884"/>
    <cellStyle name="Normal 5 3 3 2 5" xfId="1801"/>
    <cellStyle name="Normal 5 3 3 2 5 2" xfId="10964"/>
    <cellStyle name="Normal 5 3 3 2 5 3" xfId="5948"/>
    <cellStyle name="Normal 5 3 3 2 6" xfId="8525"/>
    <cellStyle name="Normal 5 3 3 2 7" xfId="12418"/>
    <cellStyle name="Normal 5 3 3 2 8" xfId="7495"/>
    <cellStyle name="Normal 5 3 3 2 9" xfId="3447"/>
    <cellStyle name="Normal 5 3 3 2_Degree data" xfId="2704"/>
    <cellStyle name="Normal 5 3 3 3" xfId="543"/>
    <cellStyle name="Normal 5 3 3 3 2" xfId="952"/>
    <cellStyle name="Normal 5 3 3 3 2 2" xfId="9802"/>
    <cellStyle name="Normal 5 3 3 3 2 3" xfId="4784"/>
    <cellStyle name="Normal 5 3 3 3 3" xfId="2072"/>
    <cellStyle name="Normal 5 3 3 3 3 2" xfId="11235"/>
    <cellStyle name="Normal 5 3 3 3 3 3" xfId="6219"/>
    <cellStyle name="Normal 5 3 3 3 4" xfId="8918"/>
    <cellStyle name="Normal 5 3 3 3 5" xfId="12689"/>
    <cellStyle name="Normal 5 3 3 3 6" xfId="7395"/>
    <cellStyle name="Normal 5 3 3 3 7" xfId="3849"/>
    <cellStyle name="Normal 5 3 3 4" xfId="806"/>
    <cellStyle name="Normal 5 3 3 4 2" xfId="2421"/>
    <cellStyle name="Normal 5 3 3 4 2 2" xfId="10178"/>
    <cellStyle name="Normal 5 3 3 4 2 3" xfId="5160"/>
    <cellStyle name="Normal 5 3 3 4 3" xfId="6568"/>
    <cellStyle name="Normal 5 3 3 4 3 2" xfId="11583"/>
    <cellStyle name="Normal 5 3 3 4 4" xfId="9294"/>
    <cellStyle name="Normal 5 3 3 4 5" xfId="13037"/>
    <cellStyle name="Normal 5 3 3 4 6" xfId="7771"/>
    <cellStyle name="Normal 5 3 3 4 7" xfId="4225"/>
    <cellStyle name="Normal 5 3 3 5" xfId="1308"/>
    <cellStyle name="Normal 5 3 3 5 2" xfId="2866"/>
    <cellStyle name="Normal 5 3 3 5 2 2" xfId="10511"/>
    <cellStyle name="Normal 5 3 3 5 2 3" xfId="5494"/>
    <cellStyle name="Normal 5 3 3 5 3" xfId="6892"/>
    <cellStyle name="Normal 5 3 3 5 3 2" xfId="11907"/>
    <cellStyle name="Normal 5 3 3 5 4" xfId="8699"/>
    <cellStyle name="Normal 5 3 3 5 5" xfId="13361"/>
    <cellStyle name="Normal 5 3 3 5 6" xfId="8105"/>
    <cellStyle name="Normal 5 3 3 5 7" xfId="3629"/>
    <cellStyle name="Normal 5 3 3 6" xfId="1701"/>
    <cellStyle name="Normal 5 3 3 6 2" xfId="9585"/>
    <cellStyle name="Normal 5 3 3 6 3" xfId="4567"/>
    <cellStyle name="Normal 5 3 3 7" xfId="5848"/>
    <cellStyle name="Normal 5 3 3 7 2" xfId="10864"/>
    <cellStyle name="Normal 5 3 3 8" xfId="8425"/>
    <cellStyle name="Normal 5 3 3 9" xfId="12318"/>
    <cellStyle name="Normal 5 3 3_Degree data" xfId="2686"/>
    <cellStyle name="Normal 5 3 4" xfId="236"/>
    <cellStyle name="Normal 5 3 4 10" xfId="7205"/>
    <cellStyle name="Normal 5 3 4 11" xfId="3269"/>
    <cellStyle name="Normal 5 3 4 2" xfId="313"/>
    <cellStyle name="Normal 5 3 4 2 2" xfId="670"/>
    <cellStyle name="Normal 5 3 4 2 2 2" xfId="2075"/>
    <cellStyle name="Normal 5 3 4 2 2 2 2" xfId="10181"/>
    <cellStyle name="Normal 5 3 4 2 2 2 3" xfId="5163"/>
    <cellStyle name="Normal 5 3 4 2 2 3" xfId="6222"/>
    <cellStyle name="Normal 5 3 4 2 2 3 2" xfId="11238"/>
    <cellStyle name="Normal 5 3 4 2 2 4" xfId="9297"/>
    <cellStyle name="Normal 5 3 4 2 2 5" xfId="12692"/>
    <cellStyle name="Normal 5 3 4 2 2 6" xfId="7774"/>
    <cellStyle name="Normal 5 3 4 2 2 7" xfId="4228"/>
    <cellStyle name="Normal 5 3 4 2 3" xfId="1079"/>
    <cellStyle name="Normal 5 3 4 2 3 2" xfId="2424"/>
    <cellStyle name="Normal 5 3 4 2 3 2 2" xfId="10638"/>
    <cellStyle name="Normal 5 3 4 2 3 2 3" xfId="5621"/>
    <cellStyle name="Normal 5 3 4 2 3 3" xfId="6571"/>
    <cellStyle name="Normal 5 3 4 2 3 3 2" xfId="11586"/>
    <cellStyle name="Normal 5 3 4 2 3 4" xfId="9045"/>
    <cellStyle name="Normal 5 3 4 2 3 5" xfId="13040"/>
    <cellStyle name="Normal 5 3 4 2 3 6" xfId="8232"/>
    <cellStyle name="Normal 5 3 4 2 3 7" xfId="3976"/>
    <cellStyle name="Normal 5 3 4 2 4" xfId="1437"/>
    <cellStyle name="Normal 5 3 4 2 4 2" xfId="2996"/>
    <cellStyle name="Normal 5 3 4 2 4 2 2" xfId="12034"/>
    <cellStyle name="Normal 5 3 4 2 4 2 3" xfId="7019"/>
    <cellStyle name="Normal 5 3 4 2 4 3" xfId="13488"/>
    <cellStyle name="Normal 5 3 4 2 4 4" xfId="9929"/>
    <cellStyle name="Normal 5 3 4 2 4 5" xfId="4911"/>
    <cellStyle name="Normal 5 3 4 2 5" xfId="1828"/>
    <cellStyle name="Normal 5 3 4 2 5 2" xfId="10991"/>
    <cellStyle name="Normal 5 3 4 2 5 3" xfId="5975"/>
    <cellStyle name="Normal 5 3 4 2 6" xfId="8552"/>
    <cellStyle name="Normal 5 3 4 2 7" xfId="12445"/>
    <cellStyle name="Normal 5 3 4 2 8" xfId="7522"/>
    <cellStyle name="Normal 5 3 4 2 9" xfId="3474"/>
    <cellStyle name="Normal 5 3 4 2_Degree data" xfId="2774"/>
    <cellStyle name="Normal 5 3 4 3" xfId="465"/>
    <cellStyle name="Normal 5 3 4 3 2" xfId="2074"/>
    <cellStyle name="Normal 5 3 4 3 2 2" xfId="9724"/>
    <cellStyle name="Normal 5 3 4 3 2 3" xfId="4706"/>
    <cellStyle name="Normal 5 3 4 3 3" xfId="6221"/>
    <cellStyle name="Normal 5 3 4 3 3 2" xfId="11237"/>
    <cellStyle name="Normal 5 3 4 3 4" xfId="8840"/>
    <cellStyle name="Normal 5 3 4 3 5" xfId="12691"/>
    <cellStyle name="Normal 5 3 4 3 6" xfId="7317"/>
    <cellStyle name="Normal 5 3 4 3 7" xfId="3771"/>
    <cellStyle name="Normal 5 3 4 4" xfId="874"/>
    <cellStyle name="Normal 5 3 4 4 2" xfId="2423"/>
    <cellStyle name="Normal 5 3 4 4 2 2" xfId="10180"/>
    <cellStyle name="Normal 5 3 4 4 2 3" xfId="5162"/>
    <cellStyle name="Normal 5 3 4 4 3" xfId="6570"/>
    <cellStyle name="Normal 5 3 4 4 3 2" xfId="11585"/>
    <cellStyle name="Normal 5 3 4 4 4" xfId="9296"/>
    <cellStyle name="Normal 5 3 4 4 5" xfId="13039"/>
    <cellStyle name="Normal 5 3 4 4 6" xfId="7773"/>
    <cellStyle name="Normal 5 3 4 4 7" xfId="4227"/>
    <cellStyle name="Normal 5 3 4 5" xfId="1226"/>
    <cellStyle name="Normal 5 3 4 5 2" xfId="2782"/>
    <cellStyle name="Normal 5 3 4 5 2 2" xfId="10433"/>
    <cellStyle name="Normal 5 3 4 5 2 3" xfId="5416"/>
    <cellStyle name="Normal 5 3 4 5 3" xfId="6814"/>
    <cellStyle name="Normal 5 3 4 5 3 2" xfId="11829"/>
    <cellStyle name="Normal 5 3 4 5 4" xfId="8726"/>
    <cellStyle name="Normal 5 3 4 5 5" xfId="13283"/>
    <cellStyle name="Normal 5 3 4 5 6" xfId="8027"/>
    <cellStyle name="Normal 5 3 4 5 7" xfId="3656"/>
    <cellStyle name="Normal 5 3 4 6" xfId="1623"/>
    <cellStyle name="Normal 5 3 4 6 2" xfId="9612"/>
    <cellStyle name="Normal 5 3 4 6 3" xfId="4594"/>
    <cellStyle name="Normal 5 3 4 7" xfId="5770"/>
    <cellStyle name="Normal 5 3 4 7 2" xfId="10786"/>
    <cellStyle name="Normal 5 3 4 8" xfId="8347"/>
    <cellStyle name="Normal 5 3 4 9" xfId="12240"/>
    <cellStyle name="Normal 5 3 4_Degree data" xfId="2649"/>
    <cellStyle name="Normal 5 3 5" xfId="262"/>
    <cellStyle name="Normal 5 3 5 2" xfId="565"/>
    <cellStyle name="Normal 5 3 5 2 2" xfId="2076"/>
    <cellStyle name="Normal 5 3 5 2 2 2" xfId="10182"/>
    <cellStyle name="Normal 5 3 5 2 2 3" xfId="5164"/>
    <cellStyle name="Normal 5 3 5 2 3" xfId="6223"/>
    <cellStyle name="Normal 5 3 5 2 3 2" xfId="11239"/>
    <cellStyle name="Normal 5 3 5 2 4" xfId="9298"/>
    <cellStyle name="Normal 5 3 5 2 5" xfId="12693"/>
    <cellStyle name="Normal 5 3 5 2 6" xfId="7775"/>
    <cellStyle name="Normal 5 3 5 2 7" xfId="4229"/>
    <cellStyle name="Normal 5 3 5 3" xfId="974"/>
    <cellStyle name="Normal 5 3 5 3 2" xfId="2425"/>
    <cellStyle name="Normal 5 3 5 3 2 2" xfId="10533"/>
    <cellStyle name="Normal 5 3 5 3 2 3" xfId="5516"/>
    <cellStyle name="Normal 5 3 5 3 3" xfId="6572"/>
    <cellStyle name="Normal 5 3 5 3 3 2" xfId="11587"/>
    <cellStyle name="Normal 5 3 5 3 4" xfId="8940"/>
    <cellStyle name="Normal 5 3 5 3 5" xfId="13041"/>
    <cellStyle name="Normal 5 3 5 3 6" xfId="8127"/>
    <cellStyle name="Normal 5 3 5 3 7" xfId="3871"/>
    <cellStyle name="Normal 5 3 5 4" xfId="1330"/>
    <cellStyle name="Normal 5 3 5 4 2" xfId="2888"/>
    <cellStyle name="Normal 5 3 5 4 2 2" xfId="11929"/>
    <cellStyle name="Normal 5 3 5 4 2 3" xfId="6914"/>
    <cellStyle name="Normal 5 3 5 4 3" xfId="13383"/>
    <cellStyle name="Normal 5 3 5 4 4" xfId="9824"/>
    <cellStyle name="Normal 5 3 5 4 5" xfId="4806"/>
    <cellStyle name="Normal 5 3 5 5" xfId="1723"/>
    <cellStyle name="Normal 5 3 5 5 2" xfId="10886"/>
    <cellStyle name="Normal 5 3 5 5 3" xfId="5870"/>
    <cellStyle name="Normal 5 3 5 6" xfId="8447"/>
    <cellStyle name="Normal 5 3 5 7" xfId="12340"/>
    <cellStyle name="Normal 5 3 5 8" xfId="7417"/>
    <cellStyle name="Normal 5 3 5 9" xfId="3369"/>
    <cellStyle name="Normal 5 3 5_Degree data" xfId="2736"/>
    <cellStyle name="Normal 5 3 6" xfId="418"/>
    <cellStyle name="Normal 5 3 6 2" xfId="826"/>
    <cellStyle name="Normal 5 3 6 2 2" xfId="2077"/>
    <cellStyle name="Normal 5 3 6 2 2 2" xfId="10183"/>
    <cellStyle name="Normal 5 3 6 2 2 3" xfId="5165"/>
    <cellStyle name="Normal 5 3 6 2 3" xfId="6224"/>
    <cellStyle name="Normal 5 3 6 2 3 2" xfId="11240"/>
    <cellStyle name="Normal 5 3 6 2 4" xfId="9299"/>
    <cellStyle name="Normal 5 3 6 2 5" xfId="12694"/>
    <cellStyle name="Normal 5 3 6 2 6" xfId="7776"/>
    <cellStyle name="Normal 5 3 6 2 7" xfId="4230"/>
    <cellStyle name="Normal 5 3 6 3" xfId="1176"/>
    <cellStyle name="Normal 5 3 6 3 2" xfId="2426"/>
    <cellStyle name="Normal 5 3 6 3 2 2" xfId="10386"/>
    <cellStyle name="Normal 5 3 6 3 2 3" xfId="5369"/>
    <cellStyle name="Normal 5 3 6 3 3" xfId="6573"/>
    <cellStyle name="Normal 5 3 6 3 3 2" xfId="11588"/>
    <cellStyle name="Normal 5 3 6 3 4" xfId="8613"/>
    <cellStyle name="Normal 5 3 6 3 5" xfId="13042"/>
    <cellStyle name="Normal 5 3 6 3 6" xfId="7980"/>
    <cellStyle name="Normal 5 3 6 3 7" xfId="3535"/>
    <cellStyle name="Normal 5 3 6 4" xfId="2727"/>
    <cellStyle name="Normal 5 3 6 4 2" xfId="6767"/>
    <cellStyle name="Normal 5 3 6 4 2 2" xfId="11782"/>
    <cellStyle name="Normal 5 3 6 4 3" xfId="13236"/>
    <cellStyle name="Normal 5 3 6 4 4" xfId="9677"/>
    <cellStyle name="Normal 5 3 6 4 5" xfId="4659"/>
    <cellStyle name="Normal 5 3 6 5" xfId="1576"/>
    <cellStyle name="Normal 5 3 6 5 2" xfId="10737"/>
    <cellStyle name="Normal 5 3 6 5 3" xfId="5721"/>
    <cellStyle name="Normal 5 3 6 6" xfId="8793"/>
    <cellStyle name="Normal 5 3 6 7" xfId="12193"/>
    <cellStyle name="Normal 5 3 6 8" xfId="7270"/>
    <cellStyle name="Normal 5 3 6 9" xfId="3724"/>
    <cellStyle name="Normal 5 3 6_Degree data" xfId="2699"/>
    <cellStyle name="Normal 5 3 7" xfId="752"/>
    <cellStyle name="Normal 5 3 7 2" xfId="2066"/>
    <cellStyle name="Normal 5 3 7 2 2" xfId="10172"/>
    <cellStyle name="Normal 5 3 7 2 3" xfId="5154"/>
    <cellStyle name="Normal 5 3 7 3" xfId="6213"/>
    <cellStyle name="Normal 5 3 7 3 2" xfId="11229"/>
    <cellStyle name="Normal 5 3 7 4" xfId="9288"/>
    <cellStyle name="Normal 5 3 7 5" xfId="12683"/>
    <cellStyle name="Normal 5 3 7 6" xfId="7765"/>
    <cellStyle name="Normal 5 3 7 7" xfId="4219"/>
    <cellStyle name="Normal 5 3 8" xfId="1156"/>
    <cellStyle name="Normal 5 3 8 2" xfId="2415"/>
    <cellStyle name="Normal 5 3 8 2 2" xfId="10366"/>
    <cellStyle name="Normal 5 3 8 2 3" xfId="5349"/>
    <cellStyle name="Normal 5 3 8 3" xfId="6562"/>
    <cellStyle name="Normal 5 3 8 3 2" xfId="11577"/>
    <cellStyle name="Normal 5 3 8 4" xfId="8620"/>
    <cellStyle name="Normal 5 3 8 5" xfId="13031"/>
    <cellStyle name="Normal 5 3 8 6" xfId="7960"/>
    <cellStyle name="Normal 5 3 8 7" xfId="3544"/>
    <cellStyle name="Normal 5 3 9" xfId="2701"/>
    <cellStyle name="Normal 5 3 9 2" xfId="6747"/>
    <cellStyle name="Normal 5 3 9 2 2" xfId="11762"/>
    <cellStyle name="Normal 5 3 9 3" xfId="13216"/>
    <cellStyle name="Normal 5 3 9 4" xfId="9506"/>
    <cellStyle name="Normal 5 3 9 5" xfId="4488"/>
    <cellStyle name="Normal 5 3_Degree data" xfId="2713"/>
    <cellStyle name="Normal 5 4" xfId="108"/>
    <cellStyle name="Normal 5 4 10" xfId="1525"/>
    <cellStyle name="Normal 5 4 10 2" xfId="8322"/>
    <cellStyle name="Normal 5 4 11" xfId="12142"/>
    <cellStyle name="Normal 5 4 12" xfId="7134"/>
    <cellStyle name="Normal 5 4 13" xfId="3243"/>
    <cellStyle name="Normal 5 4 2" xfId="173"/>
    <cellStyle name="Normal 5 4 2 10" xfId="7177"/>
    <cellStyle name="Normal 5 4 2 11" xfId="3346"/>
    <cellStyle name="Normal 5 4 2 2" xfId="391"/>
    <cellStyle name="Normal 5 4 2 2 2" xfId="642"/>
    <cellStyle name="Normal 5 4 2 2 2 2" xfId="2080"/>
    <cellStyle name="Normal 5 4 2 2 2 2 2" xfId="10186"/>
    <cellStyle name="Normal 5 4 2 2 2 2 3" xfId="5168"/>
    <cellStyle name="Normal 5 4 2 2 2 3" xfId="6227"/>
    <cellStyle name="Normal 5 4 2 2 2 3 2" xfId="11243"/>
    <cellStyle name="Normal 5 4 2 2 2 4" xfId="9302"/>
    <cellStyle name="Normal 5 4 2 2 2 5" xfId="12697"/>
    <cellStyle name="Normal 5 4 2 2 2 6" xfId="7779"/>
    <cellStyle name="Normal 5 4 2 2 2 7" xfId="4233"/>
    <cellStyle name="Normal 5 4 2 2 3" xfId="1051"/>
    <cellStyle name="Normal 5 4 2 2 3 2" xfId="2429"/>
    <cellStyle name="Normal 5 4 2 2 3 2 2" xfId="10610"/>
    <cellStyle name="Normal 5 4 2 2 3 2 3" xfId="5593"/>
    <cellStyle name="Normal 5 4 2 2 3 3" xfId="6576"/>
    <cellStyle name="Normal 5 4 2 2 3 3 2" xfId="11591"/>
    <cellStyle name="Normal 5 4 2 2 3 4" xfId="9017"/>
    <cellStyle name="Normal 5 4 2 2 3 5" xfId="13045"/>
    <cellStyle name="Normal 5 4 2 2 3 6" xfId="8204"/>
    <cellStyle name="Normal 5 4 2 2 3 7" xfId="3948"/>
    <cellStyle name="Normal 5 4 2 2 4" xfId="1408"/>
    <cellStyle name="Normal 5 4 2 2 4 2" xfId="2966"/>
    <cellStyle name="Normal 5 4 2 2 4 2 2" xfId="12006"/>
    <cellStyle name="Normal 5 4 2 2 4 2 3" xfId="6991"/>
    <cellStyle name="Normal 5 4 2 2 4 3" xfId="13460"/>
    <cellStyle name="Normal 5 4 2 2 4 4" xfId="9901"/>
    <cellStyle name="Normal 5 4 2 2 4 5" xfId="4883"/>
    <cellStyle name="Normal 5 4 2 2 5" xfId="1800"/>
    <cellStyle name="Normal 5 4 2 2 5 2" xfId="10963"/>
    <cellStyle name="Normal 5 4 2 2 5 3" xfId="5947"/>
    <cellStyle name="Normal 5 4 2 2 6" xfId="8524"/>
    <cellStyle name="Normal 5 4 2 2 7" xfId="12417"/>
    <cellStyle name="Normal 5 4 2 2 8" xfId="7494"/>
    <cellStyle name="Normal 5 4 2 2 9" xfId="3446"/>
    <cellStyle name="Normal 5 4 2 2_Degree data" xfId="2688"/>
    <cellStyle name="Normal 5 4 2 3" xfId="542"/>
    <cellStyle name="Normal 5 4 2 3 2" xfId="951"/>
    <cellStyle name="Normal 5 4 2 3 2 2" xfId="9801"/>
    <cellStyle name="Normal 5 4 2 3 2 3" xfId="4783"/>
    <cellStyle name="Normal 5 4 2 3 3" xfId="2079"/>
    <cellStyle name="Normal 5 4 2 3 3 2" xfId="11242"/>
    <cellStyle name="Normal 5 4 2 3 3 3" xfId="6226"/>
    <cellStyle name="Normal 5 4 2 3 4" xfId="8917"/>
    <cellStyle name="Normal 5 4 2 3 5" xfId="12696"/>
    <cellStyle name="Normal 5 4 2 3 6" xfId="7394"/>
    <cellStyle name="Normal 5 4 2 3 7" xfId="3848"/>
    <cellStyle name="Normal 5 4 2 4" xfId="775"/>
    <cellStyle name="Normal 5 4 2 4 2" xfId="2428"/>
    <cellStyle name="Normal 5 4 2 4 2 2" xfId="10185"/>
    <cellStyle name="Normal 5 4 2 4 2 3" xfId="5167"/>
    <cellStyle name="Normal 5 4 2 4 3" xfId="6575"/>
    <cellStyle name="Normal 5 4 2 4 3 2" xfId="11590"/>
    <cellStyle name="Normal 5 4 2 4 4" xfId="9301"/>
    <cellStyle name="Normal 5 4 2 4 5" xfId="13044"/>
    <cellStyle name="Normal 5 4 2 4 6" xfId="7778"/>
    <cellStyle name="Normal 5 4 2 4 7" xfId="4232"/>
    <cellStyle name="Normal 5 4 2 5" xfId="1307"/>
    <cellStyle name="Normal 5 4 2 5 2" xfId="2864"/>
    <cellStyle name="Normal 5 4 2 5 2 2" xfId="10510"/>
    <cellStyle name="Normal 5 4 2 5 2 3" xfId="5493"/>
    <cellStyle name="Normal 5 4 2 5 3" xfId="6891"/>
    <cellStyle name="Normal 5 4 2 5 3 2" xfId="11906"/>
    <cellStyle name="Normal 5 4 2 5 4" xfId="8698"/>
    <cellStyle name="Normal 5 4 2 5 5" xfId="13360"/>
    <cellStyle name="Normal 5 4 2 5 6" xfId="8104"/>
    <cellStyle name="Normal 5 4 2 5 7" xfId="3627"/>
    <cellStyle name="Normal 5 4 2 6" xfId="1700"/>
    <cellStyle name="Normal 5 4 2 6 2" xfId="9584"/>
    <cellStyle name="Normal 5 4 2 6 3" xfId="4566"/>
    <cellStyle name="Normal 5 4 2 7" xfId="5847"/>
    <cellStyle name="Normal 5 4 2 7 2" xfId="10863"/>
    <cellStyle name="Normal 5 4 2 8" xfId="8424"/>
    <cellStyle name="Normal 5 4 2 9" xfId="12317"/>
    <cellStyle name="Normal 5 4 2_Degree data" xfId="2591"/>
    <cellStyle name="Normal 5 4 3" xfId="199"/>
    <cellStyle name="Normal 5 4 3 10" xfId="7238"/>
    <cellStyle name="Normal 5 4 3 11" xfId="3303"/>
    <cellStyle name="Normal 5 4 3 2" xfId="347"/>
    <cellStyle name="Normal 5 4 3 2 2" xfId="703"/>
    <cellStyle name="Normal 5 4 3 2 2 2" xfId="2082"/>
    <cellStyle name="Normal 5 4 3 2 2 2 2" xfId="10188"/>
    <cellStyle name="Normal 5 4 3 2 2 2 3" xfId="5170"/>
    <cellStyle name="Normal 5 4 3 2 2 3" xfId="6229"/>
    <cellStyle name="Normal 5 4 3 2 2 3 2" xfId="11245"/>
    <cellStyle name="Normal 5 4 3 2 2 4" xfId="9304"/>
    <cellStyle name="Normal 5 4 3 2 2 5" xfId="12699"/>
    <cellStyle name="Normal 5 4 3 2 2 6" xfId="7781"/>
    <cellStyle name="Normal 5 4 3 2 2 7" xfId="4235"/>
    <cellStyle name="Normal 5 4 3 2 3" xfId="1112"/>
    <cellStyle name="Normal 5 4 3 2 3 2" xfId="2431"/>
    <cellStyle name="Normal 5 4 3 2 3 2 2" xfId="10671"/>
    <cellStyle name="Normal 5 4 3 2 3 2 3" xfId="5654"/>
    <cellStyle name="Normal 5 4 3 2 3 3" xfId="6578"/>
    <cellStyle name="Normal 5 4 3 2 3 3 2" xfId="11593"/>
    <cellStyle name="Normal 5 4 3 2 3 4" xfId="9078"/>
    <cellStyle name="Normal 5 4 3 2 3 5" xfId="13047"/>
    <cellStyle name="Normal 5 4 3 2 3 6" xfId="8265"/>
    <cellStyle name="Normal 5 4 3 2 3 7" xfId="4009"/>
    <cellStyle name="Normal 5 4 3 2 4" xfId="1470"/>
    <cellStyle name="Normal 5 4 3 2 4 2" xfId="3029"/>
    <cellStyle name="Normal 5 4 3 2 4 2 2" xfId="12067"/>
    <cellStyle name="Normal 5 4 3 2 4 2 3" xfId="7052"/>
    <cellStyle name="Normal 5 4 3 2 4 3" xfId="13521"/>
    <cellStyle name="Normal 5 4 3 2 4 4" xfId="9962"/>
    <cellStyle name="Normal 5 4 3 2 4 5" xfId="4944"/>
    <cellStyle name="Normal 5 4 3 2 5" xfId="1861"/>
    <cellStyle name="Normal 5 4 3 2 5 2" xfId="11024"/>
    <cellStyle name="Normal 5 4 3 2 5 3" xfId="6008"/>
    <cellStyle name="Normal 5 4 3 2 6" xfId="8585"/>
    <cellStyle name="Normal 5 4 3 2 7" xfId="12478"/>
    <cellStyle name="Normal 5 4 3 2 8" xfId="7555"/>
    <cellStyle name="Normal 5 4 3 2 9" xfId="3507"/>
    <cellStyle name="Normal 5 4 3 2_Degree data" xfId="2650"/>
    <cellStyle name="Normal 5 4 3 3" xfId="499"/>
    <cellStyle name="Normal 5 4 3 3 2" xfId="908"/>
    <cellStyle name="Normal 5 4 3 3 2 2" xfId="9758"/>
    <cellStyle name="Normal 5 4 3 3 2 3" xfId="4740"/>
    <cellStyle name="Normal 5 4 3 3 3" xfId="2081"/>
    <cellStyle name="Normal 5 4 3 3 3 2" xfId="11244"/>
    <cellStyle name="Normal 5 4 3 3 3 3" xfId="6228"/>
    <cellStyle name="Normal 5 4 3 3 4" xfId="8874"/>
    <cellStyle name="Normal 5 4 3 3 5" xfId="12698"/>
    <cellStyle name="Normal 5 4 3 3 6" xfId="7351"/>
    <cellStyle name="Normal 5 4 3 3 7" xfId="3805"/>
    <cellStyle name="Normal 5 4 3 4" xfId="805"/>
    <cellStyle name="Normal 5 4 3 4 2" xfId="2430"/>
    <cellStyle name="Normal 5 4 3 4 2 2" xfId="10187"/>
    <cellStyle name="Normal 5 4 3 4 2 3" xfId="5169"/>
    <cellStyle name="Normal 5 4 3 4 3" xfId="6577"/>
    <cellStyle name="Normal 5 4 3 4 3 2" xfId="11592"/>
    <cellStyle name="Normal 5 4 3 4 4" xfId="9303"/>
    <cellStyle name="Normal 5 4 3 4 5" xfId="13046"/>
    <cellStyle name="Normal 5 4 3 4 6" xfId="7780"/>
    <cellStyle name="Normal 5 4 3 4 7" xfId="4234"/>
    <cellStyle name="Normal 5 4 3 5" xfId="1263"/>
    <cellStyle name="Normal 5 4 3 5 2" xfId="2819"/>
    <cellStyle name="Normal 5 4 3 5 2 2" xfId="10467"/>
    <cellStyle name="Normal 5 4 3 5 2 3" xfId="5450"/>
    <cellStyle name="Normal 5 4 3 5 3" xfId="6848"/>
    <cellStyle name="Normal 5 4 3 5 3 2" xfId="11863"/>
    <cellStyle name="Normal 5 4 3 5 4" xfId="8759"/>
    <cellStyle name="Normal 5 4 3 5 5" xfId="13317"/>
    <cellStyle name="Normal 5 4 3 5 6" xfId="8061"/>
    <cellStyle name="Normal 5 4 3 5 7" xfId="3689"/>
    <cellStyle name="Normal 5 4 3 6" xfId="1657"/>
    <cellStyle name="Normal 5 4 3 6 2" xfId="9645"/>
    <cellStyle name="Normal 5 4 3 6 3" xfId="4627"/>
    <cellStyle name="Normal 5 4 3 7" xfId="5804"/>
    <cellStyle name="Normal 5 4 3 7 2" xfId="10820"/>
    <cellStyle name="Normal 5 4 3 8" xfId="8381"/>
    <cellStyle name="Normal 5 4 3 9" xfId="12274"/>
    <cellStyle name="Normal 5 4 3_Degree data" xfId="2705"/>
    <cellStyle name="Normal 5 4 4" xfId="235"/>
    <cellStyle name="Normal 5 4 4 2" xfId="599"/>
    <cellStyle name="Normal 5 4 4 2 2" xfId="2083"/>
    <cellStyle name="Normal 5 4 4 2 2 2" xfId="10189"/>
    <cellStyle name="Normal 5 4 4 2 2 3" xfId="5171"/>
    <cellStyle name="Normal 5 4 4 2 3" xfId="6230"/>
    <cellStyle name="Normal 5 4 4 2 3 2" xfId="11246"/>
    <cellStyle name="Normal 5 4 4 2 4" xfId="9305"/>
    <cellStyle name="Normal 5 4 4 2 5" xfId="12700"/>
    <cellStyle name="Normal 5 4 4 2 6" xfId="7782"/>
    <cellStyle name="Normal 5 4 4 2 7" xfId="4236"/>
    <cellStyle name="Normal 5 4 4 3" xfId="1008"/>
    <cellStyle name="Normal 5 4 4 3 2" xfId="2432"/>
    <cellStyle name="Normal 5 4 4 3 2 2" xfId="10567"/>
    <cellStyle name="Normal 5 4 4 3 2 3" xfId="5550"/>
    <cellStyle name="Normal 5 4 4 3 3" xfId="6579"/>
    <cellStyle name="Normal 5 4 4 3 3 2" xfId="11594"/>
    <cellStyle name="Normal 5 4 4 3 4" xfId="8974"/>
    <cellStyle name="Normal 5 4 4 3 5" xfId="13048"/>
    <cellStyle name="Normal 5 4 4 3 6" xfId="8161"/>
    <cellStyle name="Normal 5 4 4 3 7" xfId="3905"/>
    <cellStyle name="Normal 5 4 4 4" xfId="1364"/>
    <cellStyle name="Normal 5 4 4 4 2" xfId="2922"/>
    <cellStyle name="Normal 5 4 4 4 2 2" xfId="11963"/>
    <cellStyle name="Normal 5 4 4 4 2 3" xfId="6948"/>
    <cellStyle name="Normal 5 4 4 4 3" xfId="13417"/>
    <cellStyle name="Normal 5 4 4 4 4" xfId="9858"/>
    <cellStyle name="Normal 5 4 4 4 5" xfId="4840"/>
    <cellStyle name="Normal 5 4 4 5" xfId="1757"/>
    <cellStyle name="Normal 5 4 4 5 2" xfId="10920"/>
    <cellStyle name="Normal 5 4 4 5 3" xfId="5904"/>
    <cellStyle name="Normal 5 4 4 6" xfId="8481"/>
    <cellStyle name="Normal 5 4 4 7" xfId="12374"/>
    <cellStyle name="Normal 5 4 4 8" xfId="7451"/>
    <cellStyle name="Normal 5 4 4 9" xfId="3403"/>
    <cellStyle name="Normal 5 4 4_Degree data" xfId="2697"/>
    <cellStyle name="Normal 5 4 5" xfId="284"/>
    <cellStyle name="Normal 5 4 5 2" xfId="848"/>
    <cellStyle name="Normal 5 4 5 2 2" xfId="2084"/>
    <cellStyle name="Normal 5 4 5 2 2 2" xfId="10190"/>
    <cellStyle name="Normal 5 4 5 2 2 3" xfId="5172"/>
    <cellStyle name="Normal 5 4 5 2 3" xfId="6231"/>
    <cellStyle name="Normal 5 4 5 2 3 2" xfId="11247"/>
    <cellStyle name="Normal 5 4 5 2 4" xfId="9306"/>
    <cellStyle name="Normal 5 4 5 2 5" xfId="12701"/>
    <cellStyle name="Normal 5 4 5 2 6" xfId="7783"/>
    <cellStyle name="Normal 5 4 5 2 7" xfId="4237"/>
    <cellStyle name="Normal 5 4 5 3" xfId="1199"/>
    <cellStyle name="Normal 5 4 5 3 2" xfId="2433"/>
    <cellStyle name="Normal 5 4 5 3 2 2" xfId="10408"/>
    <cellStyle name="Normal 5 4 5 3 2 3" xfId="5391"/>
    <cellStyle name="Normal 5 4 5 3 3" xfId="6580"/>
    <cellStyle name="Normal 5 4 5 3 3 2" xfId="11595"/>
    <cellStyle name="Normal 5 4 5 3 4" xfId="9474"/>
    <cellStyle name="Normal 5 4 5 3 5" xfId="13049"/>
    <cellStyle name="Normal 5 4 5 3 6" xfId="8002"/>
    <cellStyle name="Normal 5 4 5 3 7" xfId="4456"/>
    <cellStyle name="Normal 5 4 5 4" xfId="2751"/>
    <cellStyle name="Normal 5 4 5 4 2" xfId="6789"/>
    <cellStyle name="Normal 5 4 5 4 2 2" xfId="11804"/>
    <cellStyle name="Normal 5 4 5 4 3" xfId="13258"/>
    <cellStyle name="Normal 5 4 5 4 4" xfId="9699"/>
    <cellStyle name="Normal 5 4 5 4 5" xfId="4681"/>
    <cellStyle name="Normal 5 4 5 5" xfId="1598"/>
    <cellStyle name="Normal 5 4 5 5 2" xfId="10759"/>
    <cellStyle name="Normal 5 4 5 5 3" xfId="5743"/>
    <cellStyle name="Normal 5 4 5 6" xfId="8815"/>
    <cellStyle name="Normal 5 4 5 7" xfId="12215"/>
    <cellStyle name="Normal 5 4 5 8" xfId="7292"/>
    <cellStyle name="Normal 5 4 5 9" xfId="3746"/>
    <cellStyle name="Normal 5 4 5_Degree data" xfId="2820"/>
    <cellStyle name="Normal 5 4 6" xfId="440"/>
    <cellStyle name="Normal 5 4 6 2" xfId="2078"/>
    <cellStyle name="Normal 5 4 6 2 2" xfId="10184"/>
    <cellStyle name="Normal 5 4 6 2 3" xfId="5166"/>
    <cellStyle name="Normal 5 4 6 3" xfId="6225"/>
    <cellStyle name="Normal 5 4 6 3 2" xfId="11241"/>
    <cellStyle name="Normal 5 4 6 4" xfId="9300"/>
    <cellStyle name="Normal 5 4 6 5" xfId="12695"/>
    <cellStyle name="Normal 5 4 6 6" xfId="7777"/>
    <cellStyle name="Normal 5 4 6 7" xfId="4231"/>
    <cellStyle name="Normal 5 4 7" xfId="751"/>
    <cellStyle name="Normal 5 4 7 2" xfId="2427"/>
    <cellStyle name="Normal 5 4 7 2 2" xfId="10365"/>
    <cellStyle name="Normal 5 4 7 2 3" xfId="5348"/>
    <cellStyle name="Normal 5 4 7 3" xfId="6574"/>
    <cellStyle name="Normal 5 4 7 3 2" xfId="11589"/>
    <cellStyle name="Normal 5 4 7 4" xfId="8654"/>
    <cellStyle name="Normal 5 4 7 5" xfId="13043"/>
    <cellStyle name="Normal 5 4 7 6" xfId="7959"/>
    <cellStyle name="Normal 5 4 7 7" xfId="3581"/>
    <cellStyle name="Normal 5 4 8" xfId="1155"/>
    <cellStyle name="Normal 5 4 8 2" xfId="2680"/>
    <cellStyle name="Normal 5 4 8 2 2" xfId="11761"/>
    <cellStyle name="Normal 5 4 8 2 3" xfId="6746"/>
    <cellStyle name="Normal 5 4 8 3" xfId="13215"/>
    <cellStyle name="Normal 5 4 8 4" xfId="9541"/>
    <cellStyle name="Normal 5 4 8 5" xfId="4523"/>
    <cellStyle name="Normal 5 4 9" xfId="1555"/>
    <cellStyle name="Normal 5 4 9 2" xfId="12172"/>
    <cellStyle name="Normal 5 4 9 3" xfId="10716"/>
    <cellStyle name="Normal 5 4 9 4" xfId="5700"/>
    <cellStyle name="Normal 5 4_Degree data" xfId="2651"/>
    <cellStyle name="Normal 5 5" xfId="165"/>
    <cellStyle name="Normal 5 5 10" xfId="8310"/>
    <cellStyle name="Normal 5 5 11" xfId="12130"/>
    <cellStyle name="Normal 5 5 12" xfId="7122"/>
    <cellStyle name="Normal 5 5 13" xfId="3231"/>
    <cellStyle name="Normal 5 5 2" xfId="379"/>
    <cellStyle name="Normal 5 5 2 10" xfId="7165"/>
    <cellStyle name="Normal 5 5 2 11" xfId="3334"/>
    <cellStyle name="Normal 5 5 2 2" xfId="630"/>
    <cellStyle name="Normal 5 5 2 2 2" xfId="1039"/>
    <cellStyle name="Normal 5 5 2 2 2 2" xfId="2087"/>
    <cellStyle name="Normal 5 5 2 2 2 2 2" xfId="10193"/>
    <cellStyle name="Normal 5 5 2 2 2 2 3" xfId="5175"/>
    <cellStyle name="Normal 5 5 2 2 2 3" xfId="6234"/>
    <cellStyle name="Normal 5 5 2 2 2 3 2" xfId="11250"/>
    <cellStyle name="Normal 5 5 2 2 2 4" xfId="9309"/>
    <cellStyle name="Normal 5 5 2 2 2 5" xfId="12704"/>
    <cellStyle name="Normal 5 5 2 2 2 6" xfId="7786"/>
    <cellStyle name="Normal 5 5 2 2 2 7" xfId="4240"/>
    <cellStyle name="Normal 5 5 2 2 3" xfId="1396"/>
    <cellStyle name="Normal 5 5 2 2 3 2" xfId="2436"/>
    <cellStyle name="Normal 5 5 2 2 3 2 2" xfId="10598"/>
    <cellStyle name="Normal 5 5 2 2 3 2 3" xfId="5581"/>
    <cellStyle name="Normal 5 5 2 2 3 3" xfId="6583"/>
    <cellStyle name="Normal 5 5 2 2 3 3 2" xfId="11598"/>
    <cellStyle name="Normal 5 5 2 2 3 4" xfId="9005"/>
    <cellStyle name="Normal 5 5 2 2 3 5" xfId="13052"/>
    <cellStyle name="Normal 5 5 2 2 3 6" xfId="8192"/>
    <cellStyle name="Normal 5 5 2 2 3 7" xfId="3936"/>
    <cellStyle name="Normal 5 5 2 2 4" xfId="2954"/>
    <cellStyle name="Normal 5 5 2 2 4 2" xfId="6979"/>
    <cellStyle name="Normal 5 5 2 2 4 2 2" xfId="11994"/>
    <cellStyle name="Normal 5 5 2 2 4 3" xfId="13448"/>
    <cellStyle name="Normal 5 5 2 2 4 4" xfId="9889"/>
    <cellStyle name="Normal 5 5 2 2 4 5" xfId="4871"/>
    <cellStyle name="Normal 5 5 2 2 5" xfId="1788"/>
    <cellStyle name="Normal 5 5 2 2 5 2" xfId="10951"/>
    <cellStyle name="Normal 5 5 2 2 5 3" xfId="5935"/>
    <cellStyle name="Normal 5 5 2 2 6" xfId="8512"/>
    <cellStyle name="Normal 5 5 2 2 7" xfId="12405"/>
    <cellStyle name="Normal 5 5 2 2 8" xfId="7482"/>
    <cellStyle name="Normal 5 5 2 2 9" xfId="3434"/>
    <cellStyle name="Normal 5 5 2 2_Degree data" xfId="2682"/>
    <cellStyle name="Normal 5 5 2 3" xfId="530"/>
    <cellStyle name="Normal 5 5 2 3 2" xfId="2086"/>
    <cellStyle name="Normal 5 5 2 3 2 2" xfId="9789"/>
    <cellStyle name="Normal 5 5 2 3 2 3" xfId="4771"/>
    <cellStyle name="Normal 5 5 2 3 3" xfId="6233"/>
    <cellStyle name="Normal 5 5 2 3 3 2" xfId="11249"/>
    <cellStyle name="Normal 5 5 2 3 4" xfId="8905"/>
    <cellStyle name="Normal 5 5 2 3 5" xfId="12703"/>
    <cellStyle name="Normal 5 5 2 3 6" xfId="7382"/>
    <cellStyle name="Normal 5 5 2 3 7" xfId="3836"/>
    <cellStyle name="Normal 5 5 2 4" xfId="939"/>
    <cellStyle name="Normal 5 5 2 4 2" xfId="2435"/>
    <cellStyle name="Normal 5 5 2 4 2 2" xfId="10192"/>
    <cellStyle name="Normal 5 5 2 4 2 3" xfId="5174"/>
    <cellStyle name="Normal 5 5 2 4 3" xfId="6582"/>
    <cellStyle name="Normal 5 5 2 4 3 2" xfId="11597"/>
    <cellStyle name="Normal 5 5 2 4 4" xfId="9308"/>
    <cellStyle name="Normal 5 5 2 4 5" xfId="13051"/>
    <cellStyle name="Normal 5 5 2 4 6" xfId="7785"/>
    <cellStyle name="Normal 5 5 2 4 7" xfId="4239"/>
    <cellStyle name="Normal 5 5 2 5" xfId="1295"/>
    <cellStyle name="Normal 5 5 2 5 2" xfId="2852"/>
    <cellStyle name="Normal 5 5 2 5 2 2" xfId="10498"/>
    <cellStyle name="Normal 5 5 2 5 2 3" xfId="5481"/>
    <cellStyle name="Normal 5 5 2 5 3" xfId="6879"/>
    <cellStyle name="Normal 5 5 2 5 3 2" xfId="11894"/>
    <cellStyle name="Normal 5 5 2 5 4" xfId="8686"/>
    <cellStyle name="Normal 5 5 2 5 5" xfId="13348"/>
    <cellStyle name="Normal 5 5 2 5 6" xfId="8092"/>
    <cellStyle name="Normal 5 5 2 5 7" xfId="3615"/>
    <cellStyle name="Normal 5 5 2 6" xfId="1688"/>
    <cellStyle name="Normal 5 5 2 6 2" xfId="9572"/>
    <cellStyle name="Normal 5 5 2 6 3" xfId="4554"/>
    <cellStyle name="Normal 5 5 2 7" xfId="5835"/>
    <cellStyle name="Normal 5 5 2 7 2" xfId="10851"/>
    <cellStyle name="Normal 5 5 2 8" xfId="8412"/>
    <cellStyle name="Normal 5 5 2 9" xfId="12305"/>
    <cellStyle name="Normal 5 5 2_Degree data" xfId="2585"/>
    <cellStyle name="Normal 5 5 3" xfId="335"/>
    <cellStyle name="Normal 5 5 3 10" xfId="7227"/>
    <cellStyle name="Normal 5 5 3 11" xfId="3291"/>
    <cellStyle name="Normal 5 5 3 2" xfId="692"/>
    <cellStyle name="Normal 5 5 3 2 2" xfId="1101"/>
    <cellStyle name="Normal 5 5 3 2 2 2" xfId="2089"/>
    <cellStyle name="Normal 5 5 3 2 2 2 2" xfId="10195"/>
    <cellStyle name="Normal 5 5 3 2 2 2 3" xfId="5177"/>
    <cellStyle name="Normal 5 5 3 2 2 3" xfId="6236"/>
    <cellStyle name="Normal 5 5 3 2 2 3 2" xfId="11252"/>
    <cellStyle name="Normal 5 5 3 2 2 4" xfId="9311"/>
    <cellStyle name="Normal 5 5 3 2 2 5" xfId="12706"/>
    <cellStyle name="Normal 5 5 3 2 2 6" xfId="7788"/>
    <cellStyle name="Normal 5 5 3 2 2 7" xfId="4242"/>
    <cellStyle name="Normal 5 5 3 2 3" xfId="1459"/>
    <cellStyle name="Normal 5 5 3 2 3 2" xfId="2438"/>
    <cellStyle name="Normal 5 5 3 2 3 2 2" xfId="10660"/>
    <cellStyle name="Normal 5 5 3 2 3 2 3" xfId="5643"/>
    <cellStyle name="Normal 5 5 3 2 3 3" xfId="6585"/>
    <cellStyle name="Normal 5 5 3 2 3 3 2" xfId="11600"/>
    <cellStyle name="Normal 5 5 3 2 3 4" xfId="9067"/>
    <cellStyle name="Normal 5 5 3 2 3 5" xfId="13054"/>
    <cellStyle name="Normal 5 5 3 2 3 6" xfId="8254"/>
    <cellStyle name="Normal 5 5 3 2 3 7" xfId="3998"/>
    <cellStyle name="Normal 5 5 3 2 4" xfId="3018"/>
    <cellStyle name="Normal 5 5 3 2 4 2" xfId="7041"/>
    <cellStyle name="Normal 5 5 3 2 4 2 2" xfId="12056"/>
    <cellStyle name="Normal 5 5 3 2 4 3" xfId="13510"/>
    <cellStyle name="Normal 5 5 3 2 4 4" xfId="9951"/>
    <cellStyle name="Normal 5 5 3 2 4 5" xfId="4933"/>
    <cellStyle name="Normal 5 5 3 2 5" xfId="1850"/>
    <cellStyle name="Normal 5 5 3 2 5 2" xfId="11013"/>
    <cellStyle name="Normal 5 5 3 2 5 3" xfId="5997"/>
    <cellStyle name="Normal 5 5 3 2 6" xfId="8574"/>
    <cellStyle name="Normal 5 5 3 2 7" xfId="12467"/>
    <cellStyle name="Normal 5 5 3 2 8" xfId="7544"/>
    <cellStyle name="Normal 5 5 3 2 9" xfId="3496"/>
    <cellStyle name="Normal 5 5 3 2_Degree data" xfId="2630"/>
    <cellStyle name="Normal 5 5 3 3" xfId="487"/>
    <cellStyle name="Normal 5 5 3 3 2" xfId="2088"/>
    <cellStyle name="Normal 5 5 3 3 2 2" xfId="9746"/>
    <cellStyle name="Normal 5 5 3 3 2 3" xfId="4728"/>
    <cellStyle name="Normal 5 5 3 3 3" xfId="6235"/>
    <cellStyle name="Normal 5 5 3 3 3 2" xfId="11251"/>
    <cellStyle name="Normal 5 5 3 3 4" xfId="8862"/>
    <cellStyle name="Normal 5 5 3 3 5" xfId="12705"/>
    <cellStyle name="Normal 5 5 3 3 6" xfId="7339"/>
    <cellStyle name="Normal 5 5 3 3 7" xfId="3793"/>
    <cellStyle name="Normal 5 5 3 4" xfId="896"/>
    <cellStyle name="Normal 5 5 3 4 2" xfId="2437"/>
    <cellStyle name="Normal 5 5 3 4 2 2" xfId="10194"/>
    <cellStyle name="Normal 5 5 3 4 2 3" xfId="5176"/>
    <cellStyle name="Normal 5 5 3 4 3" xfId="6584"/>
    <cellStyle name="Normal 5 5 3 4 3 2" xfId="11599"/>
    <cellStyle name="Normal 5 5 3 4 4" xfId="9310"/>
    <cellStyle name="Normal 5 5 3 4 5" xfId="13053"/>
    <cellStyle name="Normal 5 5 3 4 6" xfId="7787"/>
    <cellStyle name="Normal 5 5 3 4 7" xfId="4241"/>
    <cellStyle name="Normal 5 5 3 5" xfId="1251"/>
    <cellStyle name="Normal 5 5 3 5 2" xfId="2807"/>
    <cellStyle name="Normal 5 5 3 5 2 2" xfId="10455"/>
    <cellStyle name="Normal 5 5 3 5 2 3" xfId="5438"/>
    <cellStyle name="Normal 5 5 3 5 3" xfId="6836"/>
    <cellStyle name="Normal 5 5 3 5 3 2" xfId="11851"/>
    <cellStyle name="Normal 5 5 3 5 4" xfId="8748"/>
    <cellStyle name="Normal 5 5 3 5 5" xfId="13305"/>
    <cellStyle name="Normal 5 5 3 5 6" xfId="8049"/>
    <cellStyle name="Normal 5 5 3 5 7" xfId="3678"/>
    <cellStyle name="Normal 5 5 3 6" xfId="1645"/>
    <cellStyle name="Normal 5 5 3 6 2" xfId="9634"/>
    <cellStyle name="Normal 5 5 3 6 3" xfId="4616"/>
    <cellStyle name="Normal 5 5 3 7" xfId="5792"/>
    <cellStyle name="Normal 5 5 3 7 2" xfId="10808"/>
    <cellStyle name="Normal 5 5 3 8" xfId="8369"/>
    <cellStyle name="Normal 5 5 3 9" xfId="12262"/>
    <cellStyle name="Normal 5 5 3_Degree data" xfId="2647"/>
    <cellStyle name="Normal 5 5 4" xfId="272"/>
    <cellStyle name="Normal 5 5 4 2" xfId="587"/>
    <cellStyle name="Normal 5 5 4 2 2" xfId="2090"/>
    <cellStyle name="Normal 5 5 4 2 2 2" xfId="10196"/>
    <cellStyle name="Normal 5 5 4 2 2 3" xfId="5178"/>
    <cellStyle name="Normal 5 5 4 2 3" xfId="6237"/>
    <cellStyle name="Normal 5 5 4 2 3 2" xfId="11253"/>
    <cellStyle name="Normal 5 5 4 2 4" xfId="9312"/>
    <cellStyle name="Normal 5 5 4 2 5" xfId="12707"/>
    <cellStyle name="Normal 5 5 4 2 6" xfId="7789"/>
    <cellStyle name="Normal 5 5 4 2 7" xfId="4243"/>
    <cellStyle name="Normal 5 5 4 3" xfId="996"/>
    <cellStyle name="Normal 5 5 4 3 2" xfId="2439"/>
    <cellStyle name="Normal 5 5 4 3 2 2" xfId="10555"/>
    <cellStyle name="Normal 5 5 4 3 2 3" xfId="5538"/>
    <cellStyle name="Normal 5 5 4 3 3" xfId="6586"/>
    <cellStyle name="Normal 5 5 4 3 3 2" xfId="11601"/>
    <cellStyle name="Normal 5 5 4 3 4" xfId="8962"/>
    <cellStyle name="Normal 5 5 4 3 5" xfId="13055"/>
    <cellStyle name="Normal 5 5 4 3 6" xfId="8149"/>
    <cellStyle name="Normal 5 5 4 3 7" xfId="3893"/>
    <cellStyle name="Normal 5 5 4 4" xfId="1352"/>
    <cellStyle name="Normal 5 5 4 4 2" xfId="2910"/>
    <cellStyle name="Normal 5 5 4 4 2 2" xfId="11951"/>
    <cellStyle name="Normal 5 5 4 4 2 3" xfId="6936"/>
    <cellStyle name="Normal 5 5 4 4 3" xfId="13405"/>
    <cellStyle name="Normal 5 5 4 4 4" xfId="9846"/>
    <cellStyle name="Normal 5 5 4 4 5" xfId="4828"/>
    <cellStyle name="Normal 5 5 4 5" xfId="1745"/>
    <cellStyle name="Normal 5 5 4 5 2" xfId="10908"/>
    <cellStyle name="Normal 5 5 4 5 3" xfId="5892"/>
    <cellStyle name="Normal 5 5 4 6" xfId="8469"/>
    <cellStyle name="Normal 5 5 4 7" xfId="12362"/>
    <cellStyle name="Normal 5 5 4 8" xfId="7439"/>
    <cellStyle name="Normal 5 5 4 9" xfId="3391"/>
    <cellStyle name="Normal 5 5 4_Degree data" xfId="2658"/>
    <cellStyle name="Normal 5 5 5" xfId="428"/>
    <cellStyle name="Normal 5 5 5 2" xfId="836"/>
    <cellStyle name="Normal 5 5 5 2 2" xfId="9687"/>
    <cellStyle name="Normal 5 5 5 2 3" xfId="4669"/>
    <cellStyle name="Normal 5 5 5 3" xfId="2085"/>
    <cellStyle name="Normal 5 5 5 3 2" xfId="11248"/>
    <cellStyle name="Normal 5 5 5 3 3" xfId="6232"/>
    <cellStyle name="Normal 5 5 5 4" xfId="8803"/>
    <cellStyle name="Normal 5 5 5 5" xfId="12702"/>
    <cellStyle name="Normal 5 5 5 6" xfId="7280"/>
    <cellStyle name="Normal 5 5 5 7" xfId="3734"/>
    <cellStyle name="Normal 5 5 6" xfId="763"/>
    <cellStyle name="Normal 5 5 6 2" xfId="2434"/>
    <cellStyle name="Normal 5 5 6 2 2" xfId="10191"/>
    <cellStyle name="Normal 5 5 6 2 3" xfId="5173"/>
    <cellStyle name="Normal 5 5 6 3" xfId="6581"/>
    <cellStyle name="Normal 5 5 6 3 2" xfId="11596"/>
    <cellStyle name="Normal 5 5 6 4" xfId="9307"/>
    <cellStyle name="Normal 5 5 6 5" xfId="13050"/>
    <cellStyle name="Normal 5 5 6 6" xfId="7784"/>
    <cellStyle name="Normal 5 5 6 7" xfId="4238"/>
    <cellStyle name="Normal 5 5 7" xfId="1187"/>
    <cellStyle name="Normal 5 5 7 2" xfId="2739"/>
    <cellStyle name="Normal 5 5 7 2 2" xfId="10396"/>
    <cellStyle name="Normal 5 5 7 2 3" xfId="5379"/>
    <cellStyle name="Normal 5 5 7 3" xfId="6777"/>
    <cellStyle name="Normal 5 5 7 3 2" xfId="11792"/>
    <cellStyle name="Normal 5 5 7 4" xfId="8642"/>
    <cellStyle name="Normal 5 5 7 5" xfId="13246"/>
    <cellStyle name="Normal 5 5 7 6" xfId="7990"/>
    <cellStyle name="Normal 5 5 7 7" xfId="3569"/>
    <cellStyle name="Normal 5 5 8" xfId="1586"/>
    <cellStyle name="Normal 5 5 8 2" xfId="12203"/>
    <cellStyle name="Normal 5 5 8 3" xfId="9529"/>
    <cellStyle name="Normal 5 5 8 4" xfId="4511"/>
    <cellStyle name="Normal 5 5 9" xfId="1513"/>
    <cellStyle name="Normal 5 5 9 2" xfId="10747"/>
    <cellStyle name="Normal 5 5 9 3" xfId="5731"/>
    <cellStyle name="Normal 5 5_Degree data" xfId="2696"/>
    <cellStyle name="Normal 5 6" xfId="187"/>
    <cellStyle name="Normal 5 6 10" xfId="7156"/>
    <cellStyle name="Normal 5 6 11" xfId="3325"/>
    <cellStyle name="Normal 5 6 2" xfId="370"/>
    <cellStyle name="Normal 5 6 2 2" xfId="621"/>
    <cellStyle name="Normal 5 6 2 2 2" xfId="2092"/>
    <cellStyle name="Normal 5 6 2 2 2 2" xfId="10198"/>
    <cellStyle name="Normal 5 6 2 2 2 3" xfId="5180"/>
    <cellStyle name="Normal 5 6 2 2 3" xfId="6239"/>
    <cellStyle name="Normal 5 6 2 2 3 2" xfId="11255"/>
    <cellStyle name="Normal 5 6 2 2 4" xfId="9314"/>
    <cellStyle name="Normal 5 6 2 2 5" xfId="12709"/>
    <cellStyle name="Normal 5 6 2 2 6" xfId="7791"/>
    <cellStyle name="Normal 5 6 2 2 7" xfId="4245"/>
    <cellStyle name="Normal 5 6 2 3" xfId="1030"/>
    <cellStyle name="Normal 5 6 2 3 2" xfId="2441"/>
    <cellStyle name="Normal 5 6 2 3 2 2" xfId="10589"/>
    <cellStyle name="Normal 5 6 2 3 2 3" xfId="5572"/>
    <cellStyle name="Normal 5 6 2 3 3" xfId="6588"/>
    <cellStyle name="Normal 5 6 2 3 3 2" xfId="11603"/>
    <cellStyle name="Normal 5 6 2 3 4" xfId="8996"/>
    <cellStyle name="Normal 5 6 2 3 5" xfId="13057"/>
    <cellStyle name="Normal 5 6 2 3 6" xfId="8183"/>
    <cellStyle name="Normal 5 6 2 3 7" xfId="3927"/>
    <cellStyle name="Normal 5 6 2 4" xfId="1387"/>
    <cellStyle name="Normal 5 6 2 4 2" xfId="2945"/>
    <cellStyle name="Normal 5 6 2 4 2 2" xfId="11985"/>
    <cellStyle name="Normal 5 6 2 4 2 3" xfId="6970"/>
    <cellStyle name="Normal 5 6 2 4 3" xfId="13439"/>
    <cellStyle name="Normal 5 6 2 4 4" xfId="9880"/>
    <cellStyle name="Normal 5 6 2 4 5" xfId="4862"/>
    <cellStyle name="Normal 5 6 2 5" xfId="1779"/>
    <cellStyle name="Normal 5 6 2 5 2" xfId="10942"/>
    <cellStyle name="Normal 5 6 2 5 3" xfId="5926"/>
    <cellStyle name="Normal 5 6 2 6" xfId="8503"/>
    <cellStyle name="Normal 5 6 2 7" xfId="12396"/>
    <cellStyle name="Normal 5 6 2 8" xfId="7473"/>
    <cellStyle name="Normal 5 6 2 9" xfId="3425"/>
    <cellStyle name="Normal 5 6 2_Degree data" xfId="2698"/>
    <cellStyle name="Normal 5 6 3" xfId="521"/>
    <cellStyle name="Normal 5 6 3 2" xfId="930"/>
    <cellStyle name="Normal 5 6 3 2 2" xfId="9780"/>
    <cellStyle name="Normal 5 6 3 2 3" xfId="4762"/>
    <cellStyle name="Normal 5 6 3 3" xfId="2091"/>
    <cellStyle name="Normal 5 6 3 3 2" xfId="11254"/>
    <cellStyle name="Normal 5 6 3 3 3" xfId="6238"/>
    <cellStyle name="Normal 5 6 3 4" xfId="8896"/>
    <cellStyle name="Normal 5 6 3 5" xfId="12708"/>
    <cellStyle name="Normal 5 6 3 6" xfId="7373"/>
    <cellStyle name="Normal 5 6 3 7" xfId="3827"/>
    <cellStyle name="Normal 5 6 4" xfId="793"/>
    <cellStyle name="Normal 5 6 4 2" xfId="2440"/>
    <cellStyle name="Normal 5 6 4 2 2" xfId="10197"/>
    <cellStyle name="Normal 5 6 4 2 3" xfId="5179"/>
    <cellStyle name="Normal 5 6 4 3" xfId="6587"/>
    <cellStyle name="Normal 5 6 4 3 2" xfId="11602"/>
    <cellStyle name="Normal 5 6 4 4" xfId="9313"/>
    <cellStyle name="Normal 5 6 4 5" xfId="13056"/>
    <cellStyle name="Normal 5 6 4 6" xfId="7790"/>
    <cellStyle name="Normal 5 6 4 7" xfId="4244"/>
    <cellStyle name="Normal 5 6 5" xfId="1286"/>
    <cellStyle name="Normal 5 6 5 2" xfId="2843"/>
    <cellStyle name="Normal 5 6 5 2 2" xfId="10489"/>
    <cellStyle name="Normal 5 6 5 2 3" xfId="5472"/>
    <cellStyle name="Normal 5 6 5 3" xfId="6870"/>
    <cellStyle name="Normal 5 6 5 3 2" xfId="11885"/>
    <cellStyle name="Normal 5 6 5 4" xfId="8677"/>
    <cellStyle name="Normal 5 6 5 5" xfId="13339"/>
    <cellStyle name="Normal 5 6 5 6" xfId="8083"/>
    <cellStyle name="Normal 5 6 5 7" xfId="3606"/>
    <cellStyle name="Normal 5 6 6" xfId="1679"/>
    <cellStyle name="Normal 5 6 6 2" xfId="9563"/>
    <cellStyle name="Normal 5 6 6 3" xfId="4545"/>
    <cellStyle name="Normal 5 6 7" xfId="5826"/>
    <cellStyle name="Normal 5 6 7 2" xfId="10842"/>
    <cellStyle name="Normal 5 6 8" xfId="8403"/>
    <cellStyle name="Normal 5 6 9" xfId="12296"/>
    <cellStyle name="Normal 5 6_Degree data" xfId="2675"/>
    <cellStyle name="Normal 5 7" xfId="223"/>
    <cellStyle name="Normal 5 7 10" xfId="3530"/>
    <cellStyle name="Normal 5 7 2" xfId="727"/>
    <cellStyle name="Normal 5 7 2 2" xfId="2093"/>
    <cellStyle name="Normal 5 7 2 2 2" xfId="9985"/>
    <cellStyle name="Normal 5 7 2 2 3" xfId="4967"/>
    <cellStyle name="Normal 5 7 2 3" xfId="6240"/>
    <cellStyle name="Normal 5 7 2 3 2" xfId="11256"/>
    <cellStyle name="Normal 5 7 2 4" xfId="9101"/>
    <cellStyle name="Normal 5 7 2 5" xfId="12710"/>
    <cellStyle name="Normal 5 7 2 6" xfId="7578"/>
    <cellStyle name="Normal 5 7 2 7" xfId="4032"/>
    <cellStyle name="Normal 5 7 3" xfId="1135"/>
    <cellStyle name="Normal 5 7 3 2" xfId="2442"/>
    <cellStyle name="Normal 5 7 3 2 2" xfId="10199"/>
    <cellStyle name="Normal 5 7 3 2 3" xfId="5181"/>
    <cellStyle name="Normal 5 7 3 3" xfId="6589"/>
    <cellStyle name="Normal 5 7 3 3 2" xfId="11604"/>
    <cellStyle name="Normal 5 7 3 4" xfId="9315"/>
    <cellStyle name="Normal 5 7 3 5" xfId="13058"/>
    <cellStyle name="Normal 5 7 3 6" xfId="7792"/>
    <cellStyle name="Normal 5 7 3 7" xfId="4246"/>
    <cellStyle name="Normal 5 7 4" xfId="1493"/>
    <cellStyle name="Normal 5 7 4 2" xfId="3053"/>
    <cellStyle name="Normal 5 7 4 2 2" xfId="10694"/>
    <cellStyle name="Normal 5 7 4 2 3" xfId="5677"/>
    <cellStyle name="Normal 5 7 4 3" xfId="7075"/>
    <cellStyle name="Normal 5 7 4 3 2" xfId="12090"/>
    <cellStyle name="Normal 5 7 4 4" xfId="8782"/>
    <cellStyle name="Normal 5 7 4 5" xfId="13544"/>
    <cellStyle name="Normal 5 7 4 6" xfId="8288"/>
    <cellStyle name="Normal 5 7 4 7" xfId="3712"/>
    <cellStyle name="Normal 5 7 5" xfId="1884"/>
    <cellStyle name="Normal 5 7 5 2" xfId="9668"/>
    <cellStyle name="Normal 5 7 5 3" xfId="4650"/>
    <cellStyle name="Normal 5 7 6" xfId="6031"/>
    <cellStyle name="Normal 5 7 6 2" xfId="11047"/>
    <cellStyle name="Normal 5 7 7" xfId="8608"/>
    <cellStyle name="Normal 5 7 8" xfId="12501"/>
    <cellStyle name="Normal 5 7 9" xfId="7261"/>
    <cellStyle name="Normal 5 7_Degree data" xfId="2629"/>
    <cellStyle name="Normal 5 8" xfId="260"/>
    <cellStyle name="Normal 5 8 2" xfId="825"/>
    <cellStyle name="Normal 5 8 2 2" xfId="2094"/>
    <cellStyle name="Normal 5 8 2 2 2" xfId="10200"/>
    <cellStyle name="Normal 5 8 2 2 3" xfId="5182"/>
    <cellStyle name="Normal 5 8 2 3" xfId="6241"/>
    <cellStyle name="Normal 5 8 2 3 2" xfId="11257"/>
    <cellStyle name="Normal 5 8 2 4" xfId="9316"/>
    <cellStyle name="Normal 5 8 2 5" xfId="12711"/>
    <cellStyle name="Normal 5 8 2 6" xfId="7793"/>
    <cellStyle name="Normal 5 8 2 7" xfId="4247"/>
    <cellStyle name="Normal 5 8 3" xfId="1175"/>
    <cellStyle name="Normal 5 8 3 2" xfId="2443"/>
    <cellStyle name="Normal 5 8 3 2 2" xfId="10385"/>
    <cellStyle name="Normal 5 8 3 2 3" xfId="5368"/>
    <cellStyle name="Normal 5 8 3 3" xfId="6590"/>
    <cellStyle name="Normal 5 8 3 3 2" xfId="11605"/>
    <cellStyle name="Normal 5 8 3 4" xfId="9478"/>
    <cellStyle name="Normal 5 8 3 5" xfId="13059"/>
    <cellStyle name="Normal 5 8 3 6" xfId="7979"/>
    <cellStyle name="Normal 5 8 3 7" xfId="4460"/>
    <cellStyle name="Normal 5 8 4" xfId="2726"/>
    <cellStyle name="Normal 5 8 4 2" xfId="6766"/>
    <cellStyle name="Normal 5 8 4 2 2" xfId="11781"/>
    <cellStyle name="Normal 5 8 4 3" xfId="13235"/>
    <cellStyle name="Normal 5 8 4 4" xfId="9676"/>
    <cellStyle name="Normal 5 8 4 5" xfId="4658"/>
    <cellStyle name="Normal 5 8 5" xfId="1575"/>
    <cellStyle name="Normal 5 8 5 2" xfId="10736"/>
    <cellStyle name="Normal 5 8 5 3" xfId="5720"/>
    <cellStyle name="Normal 5 8 6" xfId="8792"/>
    <cellStyle name="Normal 5 8 7" xfId="12192"/>
    <cellStyle name="Normal 5 8 8" xfId="7269"/>
    <cellStyle name="Normal 5 8 9" xfId="3723"/>
    <cellStyle name="Normal 5 8_Degree data" xfId="3060"/>
    <cellStyle name="Normal 5 9" xfId="417"/>
    <cellStyle name="Normal 5 9 2" xfId="2052"/>
    <cellStyle name="Normal 5 9 2 2" xfId="10158"/>
    <cellStyle name="Normal 5 9 2 3" xfId="5140"/>
    <cellStyle name="Normal 5 9 3" xfId="6199"/>
    <cellStyle name="Normal 5 9 3 2" xfId="11215"/>
    <cellStyle name="Normal 5 9 4" xfId="9274"/>
    <cellStyle name="Normal 5 9 5" xfId="12669"/>
    <cellStyle name="Normal 5 9 6" xfId="7751"/>
    <cellStyle name="Normal 5 9 7" xfId="4205"/>
    <cellStyle name="Normal 5_Degree data" xfId="2692"/>
    <cellStyle name="Normal 50" xfId="58"/>
    <cellStyle name="Normal 51" xfId="59"/>
    <cellStyle name="Normal 52" xfId="49"/>
    <cellStyle name="Normal 53" xfId="117"/>
    <cellStyle name="Normal 54" xfId="118"/>
    <cellStyle name="Normal 55" xfId="119"/>
    <cellStyle name="Normal 56" xfId="15"/>
    <cellStyle name="Normal 57" xfId="65"/>
    <cellStyle name="Normal 57 10" xfId="719"/>
    <cellStyle name="Normal 57 10 10" xfId="3523"/>
    <cellStyle name="Normal 57 10 2" xfId="1128"/>
    <cellStyle name="Normal 57 10 2 2" xfId="2096"/>
    <cellStyle name="Normal 57 10 2 2 2" xfId="9978"/>
    <cellStyle name="Normal 57 10 2 2 3" xfId="4960"/>
    <cellStyle name="Normal 57 10 2 3" xfId="6243"/>
    <cellStyle name="Normal 57 10 2 3 2" xfId="11259"/>
    <cellStyle name="Normal 57 10 2 4" xfId="9094"/>
    <cellStyle name="Normal 57 10 2 5" xfId="12713"/>
    <cellStyle name="Normal 57 10 2 6" xfId="7571"/>
    <cellStyle name="Normal 57 10 2 7" xfId="4025"/>
    <cellStyle name="Normal 57 10 3" xfId="1486"/>
    <cellStyle name="Normal 57 10 3 2" xfId="2445"/>
    <cellStyle name="Normal 57 10 3 2 2" xfId="10202"/>
    <cellStyle name="Normal 57 10 3 2 3" xfId="5184"/>
    <cellStyle name="Normal 57 10 3 3" xfId="6592"/>
    <cellStyle name="Normal 57 10 3 3 2" xfId="11607"/>
    <cellStyle name="Normal 57 10 3 4" xfId="9318"/>
    <cellStyle name="Normal 57 10 3 5" xfId="13061"/>
    <cellStyle name="Normal 57 10 3 6" xfId="7795"/>
    <cellStyle name="Normal 57 10 3 7" xfId="4249"/>
    <cellStyle name="Normal 57 10 4" xfId="3045"/>
    <cellStyle name="Normal 57 10 4 2" xfId="5670"/>
    <cellStyle name="Normal 57 10 4 2 2" xfId="10687"/>
    <cellStyle name="Normal 57 10 4 3" xfId="7068"/>
    <cellStyle name="Normal 57 10 4 3 2" xfId="12083"/>
    <cellStyle name="Normal 57 10 4 4" xfId="8775"/>
    <cellStyle name="Normal 57 10 4 5" xfId="13537"/>
    <cellStyle name="Normal 57 10 4 6" xfId="8281"/>
    <cellStyle name="Normal 57 10 4 7" xfId="3705"/>
    <cellStyle name="Normal 57 10 5" xfId="1877"/>
    <cellStyle name="Normal 57 10 5 2" xfId="9661"/>
    <cellStyle name="Normal 57 10 5 3" xfId="4643"/>
    <cellStyle name="Normal 57 10 6" xfId="6024"/>
    <cellStyle name="Normal 57 10 6 2" xfId="11040"/>
    <cellStyle name="Normal 57 10 7" xfId="8601"/>
    <cellStyle name="Normal 57 10 8" xfId="12494"/>
    <cellStyle name="Normal 57 10 9" xfId="7254"/>
    <cellStyle name="Normal 57 10_Degree data" xfId="3062"/>
    <cellStyle name="Normal 57 11" xfId="558"/>
    <cellStyle name="Normal 57 11 2" xfId="967"/>
    <cellStyle name="Normal 57 11 2 2" xfId="2097"/>
    <cellStyle name="Normal 57 11 2 2 2" xfId="10203"/>
    <cellStyle name="Normal 57 11 2 2 3" xfId="5185"/>
    <cellStyle name="Normal 57 11 2 3" xfId="6244"/>
    <cellStyle name="Normal 57 11 2 3 2" xfId="11260"/>
    <cellStyle name="Normal 57 11 2 4" xfId="9319"/>
    <cellStyle name="Normal 57 11 2 5" xfId="12714"/>
    <cellStyle name="Normal 57 11 2 6" xfId="7796"/>
    <cellStyle name="Normal 57 11 2 7" xfId="4250"/>
    <cellStyle name="Normal 57 11 3" xfId="1323"/>
    <cellStyle name="Normal 57 11 3 2" xfId="2446"/>
    <cellStyle name="Normal 57 11 3 2 2" xfId="10526"/>
    <cellStyle name="Normal 57 11 3 2 3" xfId="5509"/>
    <cellStyle name="Normal 57 11 3 3" xfId="6593"/>
    <cellStyle name="Normal 57 11 3 3 2" xfId="11608"/>
    <cellStyle name="Normal 57 11 3 4" xfId="8933"/>
    <cellStyle name="Normal 57 11 3 5" xfId="13062"/>
    <cellStyle name="Normal 57 11 3 6" xfId="8120"/>
    <cellStyle name="Normal 57 11 3 7" xfId="3864"/>
    <cellStyle name="Normal 57 11 4" xfId="2881"/>
    <cellStyle name="Normal 57 11 4 2" xfId="6907"/>
    <cellStyle name="Normal 57 11 4 2 2" xfId="11922"/>
    <cellStyle name="Normal 57 11 4 3" xfId="13376"/>
    <cellStyle name="Normal 57 11 4 4" xfId="9817"/>
    <cellStyle name="Normal 57 11 4 5" xfId="4799"/>
    <cellStyle name="Normal 57 11 5" xfId="1716"/>
    <cellStyle name="Normal 57 11 5 2" xfId="10879"/>
    <cellStyle name="Normal 57 11 5 3" xfId="5863"/>
    <cellStyle name="Normal 57 11 6" xfId="8440"/>
    <cellStyle name="Normal 57 11 7" xfId="12333"/>
    <cellStyle name="Normal 57 11 8" xfId="7410"/>
    <cellStyle name="Normal 57 11 9" xfId="3362"/>
    <cellStyle name="Normal 57 11_Degree data" xfId="3063"/>
    <cellStyle name="Normal 57 12" xfId="413"/>
    <cellStyle name="Normal 57 12 2" xfId="821"/>
    <cellStyle name="Normal 57 12 2 2" xfId="2098"/>
    <cellStyle name="Normal 57 12 2 2 2" xfId="10204"/>
    <cellStyle name="Normal 57 12 2 2 3" xfId="5186"/>
    <cellStyle name="Normal 57 12 2 3" xfId="6245"/>
    <cellStyle name="Normal 57 12 2 3 2" xfId="11261"/>
    <cellStyle name="Normal 57 12 2 4" xfId="9320"/>
    <cellStyle name="Normal 57 12 2 5" xfId="12715"/>
    <cellStyle name="Normal 57 12 2 6" xfId="7797"/>
    <cellStyle name="Normal 57 12 2 7" xfId="4251"/>
    <cellStyle name="Normal 57 12 3" xfId="1171"/>
    <cellStyle name="Normal 57 12 3 2" xfId="2447"/>
    <cellStyle name="Normal 57 12 3 2 2" xfId="10381"/>
    <cellStyle name="Normal 57 12 3 2 3" xfId="5364"/>
    <cellStyle name="Normal 57 12 3 3" xfId="6594"/>
    <cellStyle name="Normal 57 12 3 3 2" xfId="11609"/>
    <cellStyle name="Normal 57 12 3 4" xfId="9472"/>
    <cellStyle name="Normal 57 12 3 5" xfId="13063"/>
    <cellStyle name="Normal 57 12 3 6" xfId="7975"/>
    <cellStyle name="Normal 57 12 3 7" xfId="4454"/>
    <cellStyle name="Normal 57 12 4" xfId="2722"/>
    <cellStyle name="Normal 57 12 4 2" xfId="6762"/>
    <cellStyle name="Normal 57 12 4 2 2" xfId="11777"/>
    <cellStyle name="Normal 57 12 4 3" xfId="13231"/>
    <cellStyle name="Normal 57 12 4 4" xfId="9672"/>
    <cellStyle name="Normal 57 12 4 5" xfId="4654"/>
    <cellStyle name="Normal 57 12 5" xfId="1571"/>
    <cellStyle name="Normal 57 12 5 2" xfId="10732"/>
    <cellStyle name="Normal 57 12 5 3" xfId="5716"/>
    <cellStyle name="Normal 57 12 6" xfId="8788"/>
    <cellStyle name="Normal 57 12 7" xfId="12188"/>
    <cellStyle name="Normal 57 12 8" xfId="7265"/>
    <cellStyle name="Normal 57 12 9" xfId="3719"/>
    <cellStyle name="Normal 57 12_Degree data" xfId="3064"/>
    <cellStyle name="Normal 57 13" xfId="736"/>
    <cellStyle name="Normal 57 13 2" xfId="2095"/>
    <cellStyle name="Normal 57 13 2 2" xfId="10201"/>
    <cellStyle name="Normal 57 13 2 3" xfId="5183"/>
    <cellStyle name="Normal 57 13 3" xfId="6242"/>
    <cellStyle name="Normal 57 13 3 2" xfId="11258"/>
    <cellStyle name="Normal 57 13 4" xfId="9317"/>
    <cellStyle name="Normal 57 13 5" xfId="12712"/>
    <cellStyle name="Normal 57 13 6" xfId="7794"/>
    <cellStyle name="Normal 57 13 7" xfId="4248"/>
    <cellStyle name="Normal 57 14" xfId="1141"/>
    <cellStyle name="Normal 57 14 2" xfId="2444"/>
    <cellStyle name="Normal 57 14 2 2" xfId="10351"/>
    <cellStyle name="Normal 57 14 2 3" xfId="5334"/>
    <cellStyle name="Normal 57 14 3" xfId="6591"/>
    <cellStyle name="Normal 57 14 3 2" xfId="11606"/>
    <cellStyle name="Normal 57 14 4" xfId="8612"/>
    <cellStyle name="Normal 57 14 5" xfId="13060"/>
    <cellStyle name="Normal 57 14 6" xfId="7945"/>
    <cellStyle name="Normal 57 14 7" xfId="3534"/>
    <cellStyle name="Normal 57 15" xfId="2634"/>
    <cellStyle name="Normal 57 15 2" xfId="6732"/>
    <cellStyle name="Normal 57 15 2 2" xfId="11747"/>
    <cellStyle name="Normal 57 15 3" xfId="13201"/>
    <cellStyle name="Normal 57 15 4" xfId="9499"/>
    <cellStyle name="Normal 57 15 5" xfId="4481"/>
    <cellStyle name="Normal 57 16" xfId="1541"/>
    <cellStyle name="Normal 57 16 2" xfId="12158"/>
    <cellStyle name="Normal 57 16 3" xfId="10701"/>
    <cellStyle name="Normal 57 16 4" xfId="5685"/>
    <cellStyle name="Normal 57 17" xfId="1498"/>
    <cellStyle name="Normal 57 17 2" xfId="8295"/>
    <cellStyle name="Normal 57 18" xfId="12115"/>
    <cellStyle name="Normal 57 19" xfId="7093"/>
    <cellStyle name="Normal 57 2" xfId="84"/>
    <cellStyle name="Normal 57 20" xfId="3213"/>
    <cellStyle name="Normal 57 3" xfId="74"/>
    <cellStyle name="Normal 57 3 10" xfId="2644"/>
    <cellStyle name="Normal 57 3 10 2" xfId="6736"/>
    <cellStyle name="Normal 57 3 10 2 2" xfId="11751"/>
    <cellStyle name="Normal 57 3 10 3" xfId="13205"/>
    <cellStyle name="Normal 57 3 10 4" xfId="9512"/>
    <cellStyle name="Normal 57 3 10 5" xfId="4494"/>
    <cellStyle name="Normal 57 3 11" xfId="1545"/>
    <cellStyle name="Normal 57 3 11 2" xfId="12162"/>
    <cellStyle name="Normal 57 3 11 3" xfId="10705"/>
    <cellStyle name="Normal 57 3 11 4" xfId="5689"/>
    <cellStyle name="Normal 57 3 12" xfId="1505"/>
    <cellStyle name="Normal 57 3 12 2" xfId="8301"/>
    <cellStyle name="Normal 57 3 13" xfId="12122"/>
    <cellStyle name="Normal 57 3 14" xfId="7106"/>
    <cellStyle name="Normal 57 3 15" xfId="3221"/>
    <cellStyle name="Normal 57 3 2" xfId="130"/>
    <cellStyle name="Normal 57 3 2 10" xfId="1527"/>
    <cellStyle name="Normal 57 3 2 10 2" xfId="8326"/>
    <cellStyle name="Normal 57 3 2 11" xfId="12144"/>
    <cellStyle name="Normal 57 3 2 12" xfId="7136"/>
    <cellStyle name="Normal 57 3 2 13" xfId="3248"/>
    <cellStyle name="Normal 57 3 2 2" xfId="175"/>
    <cellStyle name="Normal 57 3 2 2 10" xfId="7179"/>
    <cellStyle name="Normal 57 3 2 2 11" xfId="3348"/>
    <cellStyle name="Normal 57 3 2 2 2" xfId="394"/>
    <cellStyle name="Normal 57 3 2 2 2 2" xfId="644"/>
    <cellStyle name="Normal 57 3 2 2 2 2 2" xfId="2102"/>
    <cellStyle name="Normal 57 3 2 2 2 2 2 2" xfId="10208"/>
    <cellStyle name="Normal 57 3 2 2 2 2 2 3" xfId="5190"/>
    <cellStyle name="Normal 57 3 2 2 2 2 3" xfId="6249"/>
    <cellStyle name="Normal 57 3 2 2 2 2 3 2" xfId="11265"/>
    <cellStyle name="Normal 57 3 2 2 2 2 4" xfId="9324"/>
    <cellStyle name="Normal 57 3 2 2 2 2 5" xfId="12719"/>
    <cellStyle name="Normal 57 3 2 2 2 2 6" xfId="7801"/>
    <cellStyle name="Normal 57 3 2 2 2 2 7" xfId="4255"/>
    <cellStyle name="Normal 57 3 2 2 2 3" xfId="1053"/>
    <cellStyle name="Normal 57 3 2 2 2 3 2" xfId="2451"/>
    <cellStyle name="Normal 57 3 2 2 2 3 2 2" xfId="10612"/>
    <cellStyle name="Normal 57 3 2 2 2 3 2 3" xfId="5595"/>
    <cellStyle name="Normal 57 3 2 2 2 3 3" xfId="6598"/>
    <cellStyle name="Normal 57 3 2 2 2 3 3 2" xfId="11613"/>
    <cellStyle name="Normal 57 3 2 2 2 3 4" xfId="9019"/>
    <cellStyle name="Normal 57 3 2 2 2 3 5" xfId="13067"/>
    <cellStyle name="Normal 57 3 2 2 2 3 6" xfId="8206"/>
    <cellStyle name="Normal 57 3 2 2 2 3 7" xfId="3950"/>
    <cellStyle name="Normal 57 3 2 2 2 4" xfId="1411"/>
    <cellStyle name="Normal 57 3 2 2 2 4 2" xfId="2969"/>
    <cellStyle name="Normal 57 3 2 2 2 4 2 2" xfId="12008"/>
    <cellStyle name="Normal 57 3 2 2 2 4 2 3" xfId="6993"/>
    <cellStyle name="Normal 57 3 2 2 2 4 3" xfId="13462"/>
    <cellStyle name="Normal 57 3 2 2 2 4 4" xfId="9903"/>
    <cellStyle name="Normal 57 3 2 2 2 4 5" xfId="4885"/>
    <cellStyle name="Normal 57 3 2 2 2 5" xfId="1802"/>
    <cellStyle name="Normal 57 3 2 2 2 5 2" xfId="10965"/>
    <cellStyle name="Normal 57 3 2 2 2 5 3" xfId="5949"/>
    <cellStyle name="Normal 57 3 2 2 2 6" xfId="8526"/>
    <cellStyle name="Normal 57 3 2 2 2 7" xfId="12419"/>
    <cellStyle name="Normal 57 3 2 2 2 8" xfId="7496"/>
    <cellStyle name="Normal 57 3 2 2 2 9" xfId="3448"/>
    <cellStyle name="Normal 57 3 2 2 2_Degree data" xfId="3068"/>
    <cellStyle name="Normal 57 3 2 2 3" xfId="544"/>
    <cellStyle name="Normal 57 3 2 2 3 2" xfId="953"/>
    <cellStyle name="Normal 57 3 2 2 3 2 2" xfId="9803"/>
    <cellStyle name="Normal 57 3 2 2 3 2 3" xfId="4785"/>
    <cellStyle name="Normal 57 3 2 2 3 3" xfId="2101"/>
    <cellStyle name="Normal 57 3 2 2 3 3 2" xfId="11264"/>
    <cellStyle name="Normal 57 3 2 2 3 3 3" xfId="6248"/>
    <cellStyle name="Normal 57 3 2 2 3 4" xfId="8919"/>
    <cellStyle name="Normal 57 3 2 2 3 5" xfId="12718"/>
    <cellStyle name="Normal 57 3 2 2 3 6" xfId="7396"/>
    <cellStyle name="Normal 57 3 2 2 3 7" xfId="3850"/>
    <cellStyle name="Normal 57 3 2 2 4" xfId="777"/>
    <cellStyle name="Normal 57 3 2 2 4 2" xfId="2450"/>
    <cellStyle name="Normal 57 3 2 2 4 2 2" xfId="10207"/>
    <cellStyle name="Normal 57 3 2 2 4 2 3" xfId="5189"/>
    <cellStyle name="Normal 57 3 2 2 4 3" xfId="6597"/>
    <cellStyle name="Normal 57 3 2 2 4 3 2" xfId="11612"/>
    <cellStyle name="Normal 57 3 2 2 4 4" xfId="9323"/>
    <cellStyle name="Normal 57 3 2 2 4 5" xfId="13066"/>
    <cellStyle name="Normal 57 3 2 2 4 6" xfId="7800"/>
    <cellStyle name="Normal 57 3 2 2 4 7" xfId="4254"/>
    <cellStyle name="Normal 57 3 2 2 5" xfId="1309"/>
    <cellStyle name="Normal 57 3 2 2 5 2" xfId="2867"/>
    <cellStyle name="Normal 57 3 2 2 5 2 2" xfId="10512"/>
    <cellStyle name="Normal 57 3 2 2 5 2 3" xfId="5495"/>
    <cellStyle name="Normal 57 3 2 2 5 3" xfId="6893"/>
    <cellStyle name="Normal 57 3 2 2 5 3 2" xfId="11908"/>
    <cellStyle name="Normal 57 3 2 2 5 4" xfId="8700"/>
    <cellStyle name="Normal 57 3 2 2 5 5" xfId="13362"/>
    <cellStyle name="Normal 57 3 2 2 5 6" xfId="8106"/>
    <cellStyle name="Normal 57 3 2 2 5 7" xfId="3630"/>
    <cellStyle name="Normal 57 3 2 2 6" xfId="1702"/>
    <cellStyle name="Normal 57 3 2 2 6 2" xfId="9586"/>
    <cellStyle name="Normal 57 3 2 2 6 3" xfId="4568"/>
    <cellStyle name="Normal 57 3 2 2 7" xfId="5849"/>
    <cellStyle name="Normal 57 3 2 2 7 2" xfId="10865"/>
    <cellStyle name="Normal 57 3 2 2 8" xfId="8426"/>
    <cellStyle name="Normal 57 3 2 2 9" xfId="12319"/>
    <cellStyle name="Normal 57 3 2 2_Degree data" xfId="3067"/>
    <cellStyle name="Normal 57 3 2 3" xfId="201"/>
    <cellStyle name="Normal 57 3 2 3 10" xfId="7240"/>
    <cellStyle name="Normal 57 3 2 3 11" xfId="3305"/>
    <cellStyle name="Normal 57 3 2 3 2" xfId="350"/>
    <cellStyle name="Normal 57 3 2 3 2 2" xfId="705"/>
    <cellStyle name="Normal 57 3 2 3 2 2 2" xfId="2104"/>
    <cellStyle name="Normal 57 3 2 3 2 2 2 2" xfId="10210"/>
    <cellStyle name="Normal 57 3 2 3 2 2 2 3" xfId="5192"/>
    <cellStyle name="Normal 57 3 2 3 2 2 3" xfId="6251"/>
    <cellStyle name="Normal 57 3 2 3 2 2 3 2" xfId="11267"/>
    <cellStyle name="Normal 57 3 2 3 2 2 4" xfId="9326"/>
    <cellStyle name="Normal 57 3 2 3 2 2 5" xfId="12721"/>
    <cellStyle name="Normal 57 3 2 3 2 2 6" xfId="7803"/>
    <cellStyle name="Normal 57 3 2 3 2 2 7" xfId="4257"/>
    <cellStyle name="Normal 57 3 2 3 2 3" xfId="1114"/>
    <cellStyle name="Normal 57 3 2 3 2 3 2" xfId="2453"/>
    <cellStyle name="Normal 57 3 2 3 2 3 2 2" xfId="10673"/>
    <cellStyle name="Normal 57 3 2 3 2 3 2 3" xfId="5656"/>
    <cellStyle name="Normal 57 3 2 3 2 3 3" xfId="6600"/>
    <cellStyle name="Normal 57 3 2 3 2 3 3 2" xfId="11615"/>
    <cellStyle name="Normal 57 3 2 3 2 3 4" xfId="9080"/>
    <cellStyle name="Normal 57 3 2 3 2 3 5" xfId="13069"/>
    <cellStyle name="Normal 57 3 2 3 2 3 6" xfId="8267"/>
    <cellStyle name="Normal 57 3 2 3 2 3 7" xfId="4011"/>
    <cellStyle name="Normal 57 3 2 3 2 4" xfId="1472"/>
    <cellStyle name="Normal 57 3 2 3 2 4 2" xfId="3031"/>
    <cellStyle name="Normal 57 3 2 3 2 4 2 2" xfId="12069"/>
    <cellStyle name="Normal 57 3 2 3 2 4 2 3" xfId="7054"/>
    <cellStyle name="Normal 57 3 2 3 2 4 3" xfId="13523"/>
    <cellStyle name="Normal 57 3 2 3 2 4 4" xfId="9964"/>
    <cellStyle name="Normal 57 3 2 3 2 4 5" xfId="4946"/>
    <cellStyle name="Normal 57 3 2 3 2 5" xfId="1863"/>
    <cellStyle name="Normal 57 3 2 3 2 5 2" xfId="11026"/>
    <cellStyle name="Normal 57 3 2 3 2 5 3" xfId="6010"/>
    <cellStyle name="Normal 57 3 2 3 2 6" xfId="8587"/>
    <cellStyle name="Normal 57 3 2 3 2 7" xfId="12480"/>
    <cellStyle name="Normal 57 3 2 3 2 8" xfId="7557"/>
    <cellStyle name="Normal 57 3 2 3 2 9" xfId="3509"/>
    <cellStyle name="Normal 57 3 2 3 2_Degree data" xfId="3070"/>
    <cellStyle name="Normal 57 3 2 3 3" xfId="501"/>
    <cellStyle name="Normal 57 3 2 3 3 2" xfId="910"/>
    <cellStyle name="Normal 57 3 2 3 3 2 2" xfId="9760"/>
    <cellStyle name="Normal 57 3 2 3 3 2 3" xfId="4742"/>
    <cellStyle name="Normal 57 3 2 3 3 3" xfId="2103"/>
    <cellStyle name="Normal 57 3 2 3 3 3 2" xfId="11266"/>
    <cellStyle name="Normal 57 3 2 3 3 3 3" xfId="6250"/>
    <cellStyle name="Normal 57 3 2 3 3 4" xfId="8876"/>
    <cellStyle name="Normal 57 3 2 3 3 5" xfId="12720"/>
    <cellStyle name="Normal 57 3 2 3 3 6" xfId="7353"/>
    <cellStyle name="Normal 57 3 2 3 3 7" xfId="3807"/>
    <cellStyle name="Normal 57 3 2 3 4" xfId="807"/>
    <cellStyle name="Normal 57 3 2 3 4 2" xfId="2452"/>
    <cellStyle name="Normal 57 3 2 3 4 2 2" xfId="10209"/>
    <cellStyle name="Normal 57 3 2 3 4 2 3" xfId="5191"/>
    <cellStyle name="Normal 57 3 2 3 4 3" xfId="6599"/>
    <cellStyle name="Normal 57 3 2 3 4 3 2" xfId="11614"/>
    <cellStyle name="Normal 57 3 2 3 4 4" xfId="9325"/>
    <cellStyle name="Normal 57 3 2 3 4 5" xfId="13068"/>
    <cellStyle name="Normal 57 3 2 3 4 6" xfId="7802"/>
    <cellStyle name="Normal 57 3 2 3 4 7" xfId="4256"/>
    <cellStyle name="Normal 57 3 2 3 5" xfId="1265"/>
    <cellStyle name="Normal 57 3 2 3 5 2" xfId="2822"/>
    <cellStyle name="Normal 57 3 2 3 5 2 2" xfId="10469"/>
    <cellStyle name="Normal 57 3 2 3 5 2 3" xfId="5452"/>
    <cellStyle name="Normal 57 3 2 3 5 3" xfId="6850"/>
    <cellStyle name="Normal 57 3 2 3 5 3 2" xfId="11865"/>
    <cellStyle name="Normal 57 3 2 3 5 4" xfId="8761"/>
    <cellStyle name="Normal 57 3 2 3 5 5" xfId="13319"/>
    <cellStyle name="Normal 57 3 2 3 5 6" xfId="8063"/>
    <cellStyle name="Normal 57 3 2 3 5 7" xfId="3691"/>
    <cellStyle name="Normal 57 3 2 3 6" xfId="1659"/>
    <cellStyle name="Normal 57 3 2 3 6 2" xfId="9647"/>
    <cellStyle name="Normal 57 3 2 3 6 3" xfId="4629"/>
    <cellStyle name="Normal 57 3 2 3 7" xfId="5806"/>
    <cellStyle name="Normal 57 3 2 3 7 2" xfId="10822"/>
    <cellStyle name="Normal 57 3 2 3 8" xfId="8383"/>
    <cellStyle name="Normal 57 3 2 3 9" xfId="12276"/>
    <cellStyle name="Normal 57 3 2 3_Degree data" xfId="3069"/>
    <cellStyle name="Normal 57 3 2 4" xfId="237"/>
    <cellStyle name="Normal 57 3 2 4 2" xfId="601"/>
    <cellStyle name="Normal 57 3 2 4 2 2" xfId="2105"/>
    <cellStyle name="Normal 57 3 2 4 2 2 2" xfId="10211"/>
    <cellStyle name="Normal 57 3 2 4 2 2 3" xfId="5193"/>
    <cellStyle name="Normal 57 3 2 4 2 3" xfId="6252"/>
    <cellStyle name="Normal 57 3 2 4 2 3 2" xfId="11268"/>
    <cellStyle name="Normal 57 3 2 4 2 4" xfId="9327"/>
    <cellStyle name="Normal 57 3 2 4 2 5" xfId="12722"/>
    <cellStyle name="Normal 57 3 2 4 2 6" xfId="7804"/>
    <cellStyle name="Normal 57 3 2 4 2 7" xfId="4258"/>
    <cellStyle name="Normal 57 3 2 4 3" xfId="1010"/>
    <cellStyle name="Normal 57 3 2 4 3 2" xfId="2454"/>
    <cellStyle name="Normal 57 3 2 4 3 2 2" xfId="10569"/>
    <cellStyle name="Normal 57 3 2 4 3 2 3" xfId="5552"/>
    <cellStyle name="Normal 57 3 2 4 3 3" xfId="6601"/>
    <cellStyle name="Normal 57 3 2 4 3 3 2" xfId="11616"/>
    <cellStyle name="Normal 57 3 2 4 3 4" xfId="8976"/>
    <cellStyle name="Normal 57 3 2 4 3 5" xfId="13070"/>
    <cellStyle name="Normal 57 3 2 4 3 6" xfId="8163"/>
    <cellStyle name="Normal 57 3 2 4 3 7" xfId="3907"/>
    <cellStyle name="Normal 57 3 2 4 4" xfId="1366"/>
    <cellStyle name="Normal 57 3 2 4 4 2" xfId="2924"/>
    <cellStyle name="Normal 57 3 2 4 4 2 2" xfId="11965"/>
    <cellStyle name="Normal 57 3 2 4 4 2 3" xfId="6950"/>
    <cellStyle name="Normal 57 3 2 4 4 3" xfId="13419"/>
    <cellStyle name="Normal 57 3 2 4 4 4" xfId="9860"/>
    <cellStyle name="Normal 57 3 2 4 4 5" xfId="4842"/>
    <cellStyle name="Normal 57 3 2 4 5" xfId="1759"/>
    <cellStyle name="Normal 57 3 2 4 5 2" xfId="10922"/>
    <cellStyle name="Normal 57 3 2 4 5 3" xfId="5906"/>
    <cellStyle name="Normal 57 3 2 4 6" xfId="8483"/>
    <cellStyle name="Normal 57 3 2 4 7" xfId="12376"/>
    <cellStyle name="Normal 57 3 2 4 8" xfId="7453"/>
    <cellStyle name="Normal 57 3 2 4 9" xfId="3405"/>
    <cellStyle name="Normal 57 3 2 4_Degree data" xfId="3071"/>
    <cellStyle name="Normal 57 3 2 5" xfId="289"/>
    <cellStyle name="Normal 57 3 2 5 2" xfId="853"/>
    <cellStyle name="Normal 57 3 2 5 2 2" xfId="2106"/>
    <cellStyle name="Normal 57 3 2 5 2 2 2" xfId="10212"/>
    <cellStyle name="Normal 57 3 2 5 2 2 3" xfId="5194"/>
    <cellStyle name="Normal 57 3 2 5 2 3" xfId="6253"/>
    <cellStyle name="Normal 57 3 2 5 2 3 2" xfId="11269"/>
    <cellStyle name="Normal 57 3 2 5 2 4" xfId="9328"/>
    <cellStyle name="Normal 57 3 2 5 2 5" xfId="12723"/>
    <cellStyle name="Normal 57 3 2 5 2 6" xfId="7805"/>
    <cellStyle name="Normal 57 3 2 5 2 7" xfId="4259"/>
    <cellStyle name="Normal 57 3 2 5 3" xfId="1203"/>
    <cellStyle name="Normal 57 3 2 5 3 2" xfId="2455"/>
    <cellStyle name="Normal 57 3 2 5 3 2 2" xfId="10412"/>
    <cellStyle name="Normal 57 3 2 5 3 2 3" xfId="5395"/>
    <cellStyle name="Normal 57 3 2 5 3 3" xfId="6602"/>
    <cellStyle name="Normal 57 3 2 5 3 3 2" xfId="11617"/>
    <cellStyle name="Normal 57 3 2 5 3 4" xfId="9488"/>
    <cellStyle name="Normal 57 3 2 5 3 5" xfId="13071"/>
    <cellStyle name="Normal 57 3 2 5 3 6" xfId="8006"/>
    <cellStyle name="Normal 57 3 2 5 3 7" xfId="4470"/>
    <cellStyle name="Normal 57 3 2 5 4" xfId="2756"/>
    <cellStyle name="Normal 57 3 2 5 4 2" xfId="6793"/>
    <cellStyle name="Normal 57 3 2 5 4 2 2" xfId="11808"/>
    <cellStyle name="Normal 57 3 2 5 4 3" xfId="13262"/>
    <cellStyle name="Normal 57 3 2 5 4 4" xfId="9703"/>
    <cellStyle name="Normal 57 3 2 5 4 5" xfId="4685"/>
    <cellStyle name="Normal 57 3 2 5 5" xfId="1602"/>
    <cellStyle name="Normal 57 3 2 5 5 2" xfId="10763"/>
    <cellStyle name="Normal 57 3 2 5 5 3" xfId="5747"/>
    <cellStyle name="Normal 57 3 2 5 6" xfId="8819"/>
    <cellStyle name="Normal 57 3 2 5 7" xfId="12219"/>
    <cellStyle name="Normal 57 3 2 5 8" xfId="7296"/>
    <cellStyle name="Normal 57 3 2 5 9" xfId="3750"/>
    <cellStyle name="Normal 57 3 2 5_Degree data" xfId="3072"/>
    <cellStyle name="Normal 57 3 2 6" xfId="444"/>
    <cellStyle name="Normal 57 3 2 6 2" xfId="2100"/>
    <cellStyle name="Normal 57 3 2 6 2 2" xfId="10206"/>
    <cellStyle name="Normal 57 3 2 6 2 3" xfId="5188"/>
    <cellStyle name="Normal 57 3 2 6 3" xfId="6247"/>
    <cellStyle name="Normal 57 3 2 6 3 2" xfId="11263"/>
    <cellStyle name="Normal 57 3 2 6 4" xfId="9322"/>
    <cellStyle name="Normal 57 3 2 6 5" xfId="12717"/>
    <cellStyle name="Normal 57 3 2 6 6" xfId="7799"/>
    <cellStyle name="Normal 57 3 2 6 7" xfId="4253"/>
    <cellStyle name="Normal 57 3 2 7" xfId="753"/>
    <cellStyle name="Normal 57 3 2 7 2" xfId="2449"/>
    <cellStyle name="Normal 57 3 2 7 2 2" xfId="10367"/>
    <cellStyle name="Normal 57 3 2 7 2 3" xfId="5350"/>
    <cellStyle name="Normal 57 3 2 7 3" xfId="6596"/>
    <cellStyle name="Normal 57 3 2 7 3 2" xfId="11611"/>
    <cellStyle name="Normal 57 3 2 7 4" xfId="8657"/>
    <cellStyle name="Normal 57 3 2 7 5" xfId="13065"/>
    <cellStyle name="Normal 57 3 2 7 6" xfId="7961"/>
    <cellStyle name="Normal 57 3 2 7 7" xfId="3584"/>
    <cellStyle name="Normal 57 3 2 8" xfId="1157"/>
    <cellStyle name="Normal 57 3 2 8 2" xfId="2702"/>
    <cellStyle name="Normal 57 3 2 8 2 2" xfId="11763"/>
    <cellStyle name="Normal 57 3 2 8 2 3" xfId="6748"/>
    <cellStyle name="Normal 57 3 2 8 3" xfId="13217"/>
    <cellStyle name="Normal 57 3 2 8 4" xfId="9543"/>
    <cellStyle name="Normal 57 3 2 8 5" xfId="4525"/>
    <cellStyle name="Normal 57 3 2 9" xfId="1557"/>
    <cellStyle name="Normal 57 3 2 9 2" xfId="12174"/>
    <cellStyle name="Normal 57 3 2 9 3" xfId="10718"/>
    <cellStyle name="Normal 57 3 2 9 4" xfId="5702"/>
    <cellStyle name="Normal 57 3 2_Degree data" xfId="3066"/>
    <cellStyle name="Normal 57 3 3" xfId="167"/>
    <cellStyle name="Normal 57 3 3 10" xfId="8312"/>
    <cellStyle name="Normal 57 3 3 11" xfId="12132"/>
    <cellStyle name="Normal 57 3 3 12" xfId="7124"/>
    <cellStyle name="Normal 57 3 3 13" xfId="3233"/>
    <cellStyle name="Normal 57 3 3 2" xfId="381"/>
    <cellStyle name="Normal 57 3 3 2 10" xfId="7167"/>
    <cellStyle name="Normal 57 3 3 2 11" xfId="3336"/>
    <cellStyle name="Normal 57 3 3 2 2" xfId="632"/>
    <cellStyle name="Normal 57 3 3 2 2 2" xfId="1041"/>
    <cellStyle name="Normal 57 3 3 2 2 2 2" xfId="2109"/>
    <cellStyle name="Normal 57 3 3 2 2 2 2 2" xfId="10215"/>
    <cellStyle name="Normal 57 3 3 2 2 2 2 3" xfId="5197"/>
    <cellStyle name="Normal 57 3 3 2 2 2 3" xfId="6256"/>
    <cellStyle name="Normal 57 3 3 2 2 2 3 2" xfId="11272"/>
    <cellStyle name="Normal 57 3 3 2 2 2 4" xfId="9331"/>
    <cellStyle name="Normal 57 3 3 2 2 2 5" xfId="12726"/>
    <cellStyle name="Normal 57 3 3 2 2 2 6" xfId="7808"/>
    <cellStyle name="Normal 57 3 3 2 2 2 7" xfId="4262"/>
    <cellStyle name="Normal 57 3 3 2 2 3" xfId="1398"/>
    <cellStyle name="Normal 57 3 3 2 2 3 2" xfId="2458"/>
    <cellStyle name="Normal 57 3 3 2 2 3 2 2" xfId="10600"/>
    <cellStyle name="Normal 57 3 3 2 2 3 2 3" xfId="5583"/>
    <cellStyle name="Normal 57 3 3 2 2 3 3" xfId="6605"/>
    <cellStyle name="Normal 57 3 3 2 2 3 3 2" xfId="11620"/>
    <cellStyle name="Normal 57 3 3 2 2 3 4" xfId="9007"/>
    <cellStyle name="Normal 57 3 3 2 2 3 5" xfId="13074"/>
    <cellStyle name="Normal 57 3 3 2 2 3 6" xfId="8194"/>
    <cellStyle name="Normal 57 3 3 2 2 3 7" xfId="3938"/>
    <cellStyle name="Normal 57 3 3 2 2 4" xfId="2956"/>
    <cellStyle name="Normal 57 3 3 2 2 4 2" xfId="6981"/>
    <cellStyle name="Normal 57 3 3 2 2 4 2 2" xfId="11996"/>
    <cellStyle name="Normal 57 3 3 2 2 4 3" xfId="13450"/>
    <cellStyle name="Normal 57 3 3 2 2 4 4" xfId="9891"/>
    <cellStyle name="Normal 57 3 3 2 2 4 5" xfId="4873"/>
    <cellStyle name="Normal 57 3 3 2 2 5" xfId="1790"/>
    <cellStyle name="Normal 57 3 3 2 2 5 2" xfId="10953"/>
    <cellStyle name="Normal 57 3 3 2 2 5 3" xfId="5937"/>
    <cellStyle name="Normal 57 3 3 2 2 6" xfId="8514"/>
    <cellStyle name="Normal 57 3 3 2 2 7" xfId="12407"/>
    <cellStyle name="Normal 57 3 3 2 2 8" xfId="7484"/>
    <cellStyle name="Normal 57 3 3 2 2 9" xfId="3436"/>
    <cellStyle name="Normal 57 3 3 2 2_Degree data" xfId="3075"/>
    <cellStyle name="Normal 57 3 3 2 3" xfId="532"/>
    <cellStyle name="Normal 57 3 3 2 3 2" xfId="2108"/>
    <cellStyle name="Normal 57 3 3 2 3 2 2" xfId="9791"/>
    <cellStyle name="Normal 57 3 3 2 3 2 3" xfId="4773"/>
    <cellStyle name="Normal 57 3 3 2 3 3" xfId="6255"/>
    <cellStyle name="Normal 57 3 3 2 3 3 2" xfId="11271"/>
    <cellStyle name="Normal 57 3 3 2 3 4" xfId="8907"/>
    <cellStyle name="Normal 57 3 3 2 3 5" xfId="12725"/>
    <cellStyle name="Normal 57 3 3 2 3 6" xfId="7384"/>
    <cellStyle name="Normal 57 3 3 2 3 7" xfId="3838"/>
    <cellStyle name="Normal 57 3 3 2 4" xfId="941"/>
    <cellStyle name="Normal 57 3 3 2 4 2" xfId="2457"/>
    <cellStyle name="Normal 57 3 3 2 4 2 2" xfId="10214"/>
    <cellStyle name="Normal 57 3 3 2 4 2 3" xfId="5196"/>
    <cellStyle name="Normal 57 3 3 2 4 3" xfId="6604"/>
    <cellStyle name="Normal 57 3 3 2 4 3 2" xfId="11619"/>
    <cellStyle name="Normal 57 3 3 2 4 4" xfId="9330"/>
    <cellStyle name="Normal 57 3 3 2 4 5" xfId="13073"/>
    <cellStyle name="Normal 57 3 3 2 4 6" xfId="7807"/>
    <cellStyle name="Normal 57 3 3 2 4 7" xfId="4261"/>
    <cellStyle name="Normal 57 3 3 2 5" xfId="1297"/>
    <cellStyle name="Normal 57 3 3 2 5 2" xfId="2854"/>
    <cellStyle name="Normal 57 3 3 2 5 2 2" xfId="10500"/>
    <cellStyle name="Normal 57 3 3 2 5 2 3" xfId="5483"/>
    <cellStyle name="Normal 57 3 3 2 5 3" xfId="6881"/>
    <cellStyle name="Normal 57 3 3 2 5 3 2" xfId="11896"/>
    <cellStyle name="Normal 57 3 3 2 5 4" xfId="8688"/>
    <cellStyle name="Normal 57 3 3 2 5 5" xfId="13350"/>
    <cellStyle name="Normal 57 3 3 2 5 6" xfId="8094"/>
    <cellStyle name="Normal 57 3 3 2 5 7" xfId="3617"/>
    <cellStyle name="Normal 57 3 3 2 6" xfId="1690"/>
    <cellStyle name="Normal 57 3 3 2 6 2" xfId="9574"/>
    <cellStyle name="Normal 57 3 3 2 6 3" xfId="4556"/>
    <cellStyle name="Normal 57 3 3 2 7" xfId="5837"/>
    <cellStyle name="Normal 57 3 3 2 7 2" xfId="10853"/>
    <cellStyle name="Normal 57 3 3 2 8" xfId="8414"/>
    <cellStyle name="Normal 57 3 3 2 9" xfId="12307"/>
    <cellStyle name="Normal 57 3 3 2_Degree data" xfId="3074"/>
    <cellStyle name="Normal 57 3 3 3" xfId="337"/>
    <cellStyle name="Normal 57 3 3 3 10" xfId="7229"/>
    <cellStyle name="Normal 57 3 3 3 11" xfId="3293"/>
    <cellStyle name="Normal 57 3 3 3 2" xfId="694"/>
    <cellStyle name="Normal 57 3 3 3 2 2" xfId="1103"/>
    <cellStyle name="Normal 57 3 3 3 2 2 2" xfId="2111"/>
    <cellStyle name="Normal 57 3 3 3 2 2 2 2" xfId="10217"/>
    <cellStyle name="Normal 57 3 3 3 2 2 2 3" xfId="5199"/>
    <cellStyle name="Normal 57 3 3 3 2 2 3" xfId="6258"/>
    <cellStyle name="Normal 57 3 3 3 2 2 3 2" xfId="11274"/>
    <cellStyle name="Normal 57 3 3 3 2 2 4" xfId="9333"/>
    <cellStyle name="Normal 57 3 3 3 2 2 5" xfId="12728"/>
    <cellStyle name="Normal 57 3 3 3 2 2 6" xfId="7810"/>
    <cellStyle name="Normal 57 3 3 3 2 2 7" xfId="4264"/>
    <cellStyle name="Normal 57 3 3 3 2 3" xfId="1461"/>
    <cellStyle name="Normal 57 3 3 3 2 3 2" xfId="2460"/>
    <cellStyle name="Normal 57 3 3 3 2 3 2 2" xfId="10662"/>
    <cellStyle name="Normal 57 3 3 3 2 3 2 3" xfId="5645"/>
    <cellStyle name="Normal 57 3 3 3 2 3 3" xfId="6607"/>
    <cellStyle name="Normal 57 3 3 3 2 3 3 2" xfId="11622"/>
    <cellStyle name="Normal 57 3 3 3 2 3 4" xfId="9069"/>
    <cellStyle name="Normal 57 3 3 3 2 3 5" xfId="13076"/>
    <cellStyle name="Normal 57 3 3 3 2 3 6" xfId="8256"/>
    <cellStyle name="Normal 57 3 3 3 2 3 7" xfId="4000"/>
    <cellStyle name="Normal 57 3 3 3 2 4" xfId="3020"/>
    <cellStyle name="Normal 57 3 3 3 2 4 2" xfId="7043"/>
    <cellStyle name="Normal 57 3 3 3 2 4 2 2" xfId="12058"/>
    <cellStyle name="Normal 57 3 3 3 2 4 3" xfId="13512"/>
    <cellStyle name="Normal 57 3 3 3 2 4 4" xfId="9953"/>
    <cellStyle name="Normal 57 3 3 3 2 4 5" xfId="4935"/>
    <cellStyle name="Normal 57 3 3 3 2 5" xfId="1852"/>
    <cellStyle name="Normal 57 3 3 3 2 5 2" xfId="11015"/>
    <cellStyle name="Normal 57 3 3 3 2 5 3" xfId="5999"/>
    <cellStyle name="Normal 57 3 3 3 2 6" xfId="8576"/>
    <cellStyle name="Normal 57 3 3 3 2 7" xfId="12469"/>
    <cellStyle name="Normal 57 3 3 3 2 8" xfId="7546"/>
    <cellStyle name="Normal 57 3 3 3 2 9" xfId="3498"/>
    <cellStyle name="Normal 57 3 3 3 2_Degree data" xfId="3077"/>
    <cellStyle name="Normal 57 3 3 3 3" xfId="489"/>
    <cellStyle name="Normal 57 3 3 3 3 2" xfId="2110"/>
    <cellStyle name="Normal 57 3 3 3 3 2 2" xfId="9748"/>
    <cellStyle name="Normal 57 3 3 3 3 2 3" xfId="4730"/>
    <cellStyle name="Normal 57 3 3 3 3 3" xfId="6257"/>
    <cellStyle name="Normal 57 3 3 3 3 3 2" xfId="11273"/>
    <cellStyle name="Normal 57 3 3 3 3 4" xfId="8864"/>
    <cellStyle name="Normal 57 3 3 3 3 5" xfId="12727"/>
    <cellStyle name="Normal 57 3 3 3 3 6" xfId="7341"/>
    <cellStyle name="Normal 57 3 3 3 3 7" xfId="3795"/>
    <cellStyle name="Normal 57 3 3 3 4" xfId="898"/>
    <cellStyle name="Normal 57 3 3 3 4 2" xfId="2459"/>
    <cellStyle name="Normal 57 3 3 3 4 2 2" xfId="10216"/>
    <cellStyle name="Normal 57 3 3 3 4 2 3" xfId="5198"/>
    <cellStyle name="Normal 57 3 3 3 4 3" xfId="6606"/>
    <cellStyle name="Normal 57 3 3 3 4 3 2" xfId="11621"/>
    <cellStyle name="Normal 57 3 3 3 4 4" xfId="9332"/>
    <cellStyle name="Normal 57 3 3 3 4 5" xfId="13075"/>
    <cellStyle name="Normal 57 3 3 3 4 6" xfId="7809"/>
    <cellStyle name="Normal 57 3 3 3 4 7" xfId="4263"/>
    <cellStyle name="Normal 57 3 3 3 5" xfId="1253"/>
    <cellStyle name="Normal 57 3 3 3 5 2" xfId="2809"/>
    <cellStyle name="Normal 57 3 3 3 5 2 2" xfId="10457"/>
    <cellStyle name="Normal 57 3 3 3 5 2 3" xfId="5440"/>
    <cellStyle name="Normal 57 3 3 3 5 3" xfId="6838"/>
    <cellStyle name="Normal 57 3 3 3 5 3 2" xfId="11853"/>
    <cellStyle name="Normal 57 3 3 3 5 4" xfId="8750"/>
    <cellStyle name="Normal 57 3 3 3 5 5" xfId="13307"/>
    <cellStyle name="Normal 57 3 3 3 5 6" xfId="8051"/>
    <cellStyle name="Normal 57 3 3 3 5 7" xfId="3680"/>
    <cellStyle name="Normal 57 3 3 3 6" xfId="1647"/>
    <cellStyle name="Normal 57 3 3 3 6 2" xfId="9636"/>
    <cellStyle name="Normal 57 3 3 3 6 3" xfId="4618"/>
    <cellStyle name="Normal 57 3 3 3 7" xfId="5794"/>
    <cellStyle name="Normal 57 3 3 3 7 2" xfId="10810"/>
    <cellStyle name="Normal 57 3 3 3 8" xfId="8371"/>
    <cellStyle name="Normal 57 3 3 3 9" xfId="12264"/>
    <cellStyle name="Normal 57 3 3 3_Degree data" xfId="3076"/>
    <cellStyle name="Normal 57 3 3 4" xfId="274"/>
    <cellStyle name="Normal 57 3 3 4 2" xfId="589"/>
    <cellStyle name="Normal 57 3 3 4 2 2" xfId="2112"/>
    <cellStyle name="Normal 57 3 3 4 2 2 2" xfId="10218"/>
    <cellStyle name="Normal 57 3 3 4 2 2 3" xfId="5200"/>
    <cellStyle name="Normal 57 3 3 4 2 3" xfId="6259"/>
    <cellStyle name="Normal 57 3 3 4 2 3 2" xfId="11275"/>
    <cellStyle name="Normal 57 3 3 4 2 4" xfId="9334"/>
    <cellStyle name="Normal 57 3 3 4 2 5" xfId="12729"/>
    <cellStyle name="Normal 57 3 3 4 2 6" xfId="7811"/>
    <cellStyle name="Normal 57 3 3 4 2 7" xfId="4265"/>
    <cellStyle name="Normal 57 3 3 4 3" xfId="998"/>
    <cellStyle name="Normal 57 3 3 4 3 2" xfId="2461"/>
    <cellStyle name="Normal 57 3 3 4 3 2 2" xfId="10557"/>
    <cellStyle name="Normal 57 3 3 4 3 2 3" xfId="5540"/>
    <cellStyle name="Normal 57 3 3 4 3 3" xfId="6608"/>
    <cellStyle name="Normal 57 3 3 4 3 3 2" xfId="11623"/>
    <cellStyle name="Normal 57 3 3 4 3 4" xfId="8964"/>
    <cellStyle name="Normal 57 3 3 4 3 5" xfId="13077"/>
    <cellStyle name="Normal 57 3 3 4 3 6" xfId="8151"/>
    <cellStyle name="Normal 57 3 3 4 3 7" xfId="3895"/>
    <cellStyle name="Normal 57 3 3 4 4" xfId="1354"/>
    <cellStyle name="Normal 57 3 3 4 4 2" xfId="2912"/>
    <cellStyle name="Normal 57 3 3 4 4 2 2" xfId="11953"/>
    <cellStyle name="Normal 57 3 3 4 4 2 3" xfId="6938"/>
    <cellStyle name="Normal 57 3 3 4 4 3" xfId="13407"/>
    <cellStyle name="Normal 57 3 3 4 4 4" xfId="9848"/>
    <cellStyle name="Normal 57 3 3 4 4 5" xfId="4830"/>
    <cellStyle name="Normal 57 3 3 4 5" xfId="1747"/>
    <cellStyle name="Normal 57 3 3 4 5 2" xfId="10910"/>
    <cellStyle name="Normal 57 3 3 4 5 3" xfId="5894"/>
    <cellStyle name="Normal 57 3 3 4 6" xfId="8471"/>
    <cellStyle name="Normal 57 3 3 4 7" xfId="12364"/>
    <cellStyle name="Normal 57 3 3 4 8" xfId="7441"/>
    <cellStyle name="Normal 57 3 3 4 9" xfId="3393"/>
    <cellStyle name="Normal 57 3 3 4_Degree data" xfId="3078"/>
    <cellStyle name="Normal 57 3 3 5" xfId="430"/>
    <cellStyle name="Normal 57 3 3 5 2" xfId="838"/>
    <cellStyle name="Normal 57 3 3 5 2 2" xfId="9689"/>
    <cellStyle name="Normal 57 3 3 5 2 3" xfId="4671"/>
    <cellStyle name="Normal 57 3 3 5 3" xfId="2107"/>
    <cellStyle name="Normal 57 3 3 5 3 2" xfId="11270"/>
    <cellStyle name="Normal 57 3 3 5 3 3" xfId="6254"/>
    <cellStyle name="Normal 57 3 3 5 4" xfId="8805"/>
    <cellStyle name="Normal 57 3 3 5 5" xfId="12724"/>
    <cellStyle name="Normal 57 3 3 5 6" xfId="7282"/>
    <cellStyle name="Normal 57 3 3 5 7" xfId="3736"/>
    <cellStyle name="Normal 57 3 3 6" xfId="765"/>
    <cellStyle name="Normal 57 3 3 6 2" xfId="2456"/>
    <cellStyle name="Normal 57 3 3 6 2 2" xfId="10213"/>
    <cellStyle name="Normal 57 3 3 6 2 3" xfId="5195"/>
    <cellStyle name="Normal 57 3 3 6 3" xfId="6603"/>
    <cellStyle name="Normal 57 3 3 6 3 2" xfId="11618"/>
    <cellStyle name="Normal 57 3 3 6 4" xfId="9329"/>
    <cellStyle name="Normal 57 3 3 6 5" xfId="13072"/>
    <cellStyle name="Normal 57 3 3 6 6" xfId="7806"/>
    <cellStyle name="Normal 57 3 3 6 7" xfId="4260"/>
    <cellStyle name="Normal 57 3 3 7" xfId="1189"/>
    <cellStyle name="Normal 57 3 3 7 2" xfId="2741"/>
    <cellStyle name="Normal 57 3 3 7 2 2" xfId="10398"/>
    <cellStyle name="Normal 57 3 3 7 2 3" xfId="5381"/>
    <cellStyle name="Normal 57 3 3 7 3" xfId="6779"/>
    <cellStyle name="Normal 57 3 3 7 3 2" xfId="11794"/>
    <cellStyle name="Normal 57 3 3 7 4" xfId="8644"/>
    <cellStyle name="Normal 57 3 3 7 5" xfId="13248"/>
    <cellStyle name="Normal 57 3 3 7 6" xfId="7992"/>
    <cellStyle name="Normal 57 3 3 7 7" xfId="3571"/>
    <cellStyle name="Normal 57 3 3 8" xfId="1588"/>
    <cellStyle name="Normal 57 3 3 8 2" xfId="12205"/>
    <cellStyle name="Normal 57 3 3 8 3" xfId="9531"/>
    <cellStyle name="Normal 57 3 3 8 4" xfId="4513"/>
    <cellStyle name="Normal 57 3 3 9" xfId="1515"/>
    <cellStyle name="Normal 57 3 3 9 2" xfId="10749"/>
    <cellStyle name="Normal 57 3 3 9 3" xfId="5733"/>
    <cellStyle name="Normal 57 3 3_Degree data" xfId="3073"/>
    <cellStyle name="Normal 57 3 4" xfId="189"/>
    <cellStyle name="Normal 57 3 4 10" xfId="7161"/>
    <cellStyle name="Normal 57 3 4 11" xfId="3330"/>
    <cellStyle name="Normal 57 3 4 2" xfId="375"/>
    <cellStyle name="Normal 57 3 4 2 2" xfId="626"/>
    <cellStyle name="Normal 57 3 4 2 2 2" xfId="2114"/>
    <cellStyle name="Normal 57 3 4 2 2 2 2" xfId="10220"/>
    <cellStyle name="Normal 57 3 4 2 2 2 3" xfId="5202"/>
    <cellStyle name="Normal 57 3 4 2 2 3" xfId="6261"/>
    <cellStyle name="Normal 57 3 4 2 2 3 2" xfId="11277"/>
    <cellStyle name="Normal 57 3 4 2 2 4" xfId="9336"/>
    <cellStyle name="Normal 57 3 4 2 2 5" xfId="12731"/>
    <cellStyle name="Normal 57 3 4 2 2 6" xfId="7813"/>
    <cellStyle name="Normal 57 3 4 2 2 7" xfId="4267"/>
    <cellStyle name="Normal 57 3 4 2 3" xfId="1035"/>
    <cellStyle name="Normal 57 3 4 2 3 2" xfId="2463"/>
    <cellStyle name="Normal 57 3 4 2 3 2 2" xfId="10594"/>
    <cellStyle name="Normal 57 3 4 2 3 2 3" xfId="5577"/>
    <cellStyle name="Normal 57 3 4 2 3 3" xfId="6610"/>
    <cellStyle name="Normal 57 3 4 2 3 3 2" xfId="11625"/>
    <cellStyle name="Normal 57 3 4 2 3 4" xfId="9001"/>
    <cellStyle name="Normal 57 3 4 2 3 5" xfId="13079"/>
    <cellStyle name="Normal 57 3 4 2 3 6" xfId="8188"/>
    <cellStyle name="Normal 57 3 4 2 3 7" xfId="3932"/>
    <cellStyle name="Normal 57 3 4 2 4" xfId="1392"/>
    <cellStyle name="Normal 57 3 4 2 4 2" xfId="2950"/>
    <cellStyle name="Normal 57 3 4 2 4 2 2" xfId="11990"/>
    <cellStyle name="Normal 57 3 4 2 4 2 3" xfId="6975"/>
    <cellStyle name="Normal 57 3 4 2 4 3" xfId="13444"/>
    <cellStyle name="Normal 57 3 4 2 4 4" xfId="9885"/>
    <cellStyle name="Normal 57 3 4 2 4 5" xfId="4867"/>
    <cellStyle name="Normal 57 3 4 2 5" xfId="1784"/>
    <cellStyle name="Normal 57 3 4 2 5 2" xfId="10947"/>
    <cellStyle name="Normal 57 3 4 2 5 3" xfId="5931"/>
    <cellStyle name="Normal 57 3 4 2 6" xfId="8508"/>
    <cellStyle name="Normal 57 3 4 2 7" xfId="12401"/>
    <cellStyle name="Normal 57 3 4 2 8" xfId="7478"/>
    <cellStyle name="Normal 57 3 4 2 9" xfId="3430"/>
    <cellStyle name="Normal 57 3 4 2_Degree data" xfId="3080"/>
    <cellStyle name="Normal 57 3 4 3" xfId="526"/>
    <cellStyle name="Normal 57 3 4 3 2" xfId="935"/>
    <cellStyle name="Normal 57 3 4 3 2 2" xfId="9785"/>
    <cellStyle name="Normal 57 3 4 3 2 3" xfId="4767"/>
    <cellStyle name="Normal 57 3 4 3 3" xfId="2113"/>
    <cellStyle name="Normal 57 3 4 3 3 2" xfId="11276"/>
    <cellStyle name="Normal 57 3 4 3 3 3" xfId="6260"/>
    <cellStyle name="Normal 57 3 4 3 4" xfId="8901"/>
    <cellStyle name="Normal 57 3 4 3 5" xfId="12730"/>
    <cellStyle name="Normal 57 3 4 3 6" xfId="7378"/>
    <cellStyle name="Normal 57 3 4 3 7" xfId="3832"/>
    <cellStyle name="Normal 57 3 4 4" xfId="795"/>
    <cellStyle name="Normal 57 3 4 4 2" xfId="2462"/>
    <cellStyle name="Normal 57 3 4 4 2 2" xfId="10219"/>
    <cellStyle name="Normal 57 3 4 4 2 3" xfId="5201"/>
    <cellStyle name="Normal 57 3 4 4 3" xfId="6609"/>
    <cellStyle name="Normal 57 3 4 4 3 2" xfId="11624"/>
    <cellStyle name="Normal 57 3 4 4 4" xfId="9335"/>
    <cellStyle name="Normal 57 3 4 4 5" xfId="13078"/>
    <cellStyle name="Normal 57 3 4 4 6" xfId="7812"/>
    <cellStyle name="Normal 57 3 4 4 7" xfId="4266"/>
    <cellStyle name="Normal 57 3 4 5" xfId="1291"/>
    <cellStyle name="Normal 57 3 4 5 2" xfId="2848"/>
    <cellStyle name="Normal 57 3 4 5 2 2" xfId="10494"/>
    <cellStyle name="Normal 57 3 4 5 2 3" xfId="5477"/>
    <cellStyle name="Normal 57 3 4 5 3" xfId="6875"/>
    <cellStyle name="Normal 57 3 4 5 3 2" xfId="11890"/>
    <cellStyle name="Normal 57 3 4 5 4" xfId="8682"/>
    <cellStyle name="Normal 57 3 4 5 5" xfId="13344"/>
    <cellStyle name="Normal 57 3 4 5 6" xfId="8088"/>
    <cellStyle name="Normal 57 3 4 5 7" xfId="3611"/>
    <cellStyle name="Normal 57 3 4 6" xfId="1684"/>
    <cellStyle name="Normal 57 3 4 6 2" xfId="9568"/>
    <cellStyle name="Normal 57 3 4 6 3" xfId="4550"/>
    <cellStyle name="Normal 57 3 4 7" xfId="5831"/>
    <cellStyle name="Normal 57 3 4 7 2" xfId="10847"/>
    <cellStyle name="Normal 57 3 4 8" xfId="8408"/>
    <cellStyle name="Normal 57 3 4 9" xfId="12301"/>
    <cellStyle name="Normal 57 3 4_Degree data" xfId="3079"/>
    <cellStyle name="Normal 57 3 5" xfId="225"/>
    <cellStyle name="Normal 57 3 5 10" xfId="7211"/>
    <cellStyle name="Normal 57 3 5 11" xfId="3275"/>
    <cellStyle name="Normal 57 3 5 2" xfId="319"/>
    <cellStyle name="Normal 57 3 5 2 2" xfId="676"/>
    <cellStyle name="Normal 57 3 5 2 2 2" xfId="2116"/>
    <cellStyle name="Normal 57 3 5 2 2 2 2" xfId="10222"/>
    <cellStyle name="Normal 57 3 5 2 2 2 3" xfId="5204"/>
    <cellStyle name="Normal 57 3 5 2 2 3" xfId="6263"/>
    <cellStyle name="Normal 57 3 5 2 2 3 2" xfId="11279"/>
    <cellStyle name="Normal 57 3 5 2 2 4" xfId="9338"/>
    <cellStyle name="Normal 57 3 5 2 2 5" xfId="12733"/>
    <cellStyle name="Normal 57 3 5 2 2 6" xfId="7815"/>
    <cellStyle name="Normal 57 3 5 2 2 7" xfId="4269"/>
    <cellStyle name="Normal 57 3 5 2 3" xfId="1085"/>
    <cellStyle name="Normal 57 3 5 2 3 2" xfId="2465"/>
    <cellStyle name="Normal 57 3 5 2 3 2 2" xfId="10644"/>
    <cellStyle name="Normal 57 3 5 2 3 2 3" xfId="5627"/>
    <cellStyle name="Normal 57 3 5 2 3 3" xfId="6612"/>
    <cellStyle name="Normal 57 3 5 2 3 3 2" xfId="11627"/>
    <cellStyle name="Normal 57 3 5 2 3 4" xfId="9051"/>
    <cellStyle name="Normal 57 3 5 2 3 5" xfId="13081"/>
    <cellStyle name="Normal 57 3 5 2 3 6" xfId="8238"/>
    <cellStyle name="Normal 57 3 5 2 3 7" xfId="3982"/>
    <cellStyle name="Normal 57 3 5 2 4" xfId="1443"/>
    <cellStyle name="Normal 57 3 5 2 4 2" xfId="3002"/>
    <cellStyle name="Normal 57 3 5 2 4 2 2" xfId="12040"/>
    <cellStyle name="Normal 57 3 5 2 4 2 3" xfId="7025"/>
    <cellStyle name="Normal 57 3 5 2 4 3" xfId="13494"/>
    <cellStyle name="Normal 57 3 5 2 4 4" xfId="9935"/>
    <cellStyle name="Normal 57 3 5 2 4 5" xfId="4917"/>
    <cellStyle name="Normal 57 3 5 2 5" xfId="1834"/>
    <cellStyle name="Normal 57 3 5 2 5 2" xfId="10997"/>
    <cellStyle name="Normal 57 3 5 2 5 3" xfId="5981"/>
    <cellStyle name="Normal 57 3 5 2 6" xfId="8558"/>
    <cellStyle name="Normal 57 3 5 2 7" xfId="12451"/>
    <cellStyle name="Normal 57 3 5 2 8" xfId="7528"/>
    <cellStyle name="Normal 57 3 5 2 9" xfId="3480"/>
    <cellStyle name="Normal 57 3 5 2_Degree data" xfId="3082"/>
    <cellStyle name="Normal 57 3 5 3" xfId="471"/>
    <cellStyle name="Normal 57 3 5 3 2" xfId="2115"/>
    <cellStyle name="Normal 57 3 5 3 2 2" xfId="9730"/>
    <cellStyle name="Normal 57 3 5 3 2 3" xfId="4712"/>
    <cellStyle name="Normal 57 3 5 3 3" xfId="6262"/>
    <cellStyle name="Normal 57 3 5 3 3 2" xfId="11278"/>
    <cellStyle name="Normal 57 3 5 3 4" xfId="8846"/>
    <cellStyle name="Normal 57 3 5 3 5" xfId="12732"/>
    <cellStyle name="Normal 57 3 5 3 6" xfId="7323"/>
    <cellStyle name="Normal 57 3 5 3 7" xfId="3777"/>
    <cellStyle name="Normal 57 3 5 4" xfId="880"/>
    <cellStyle name="Normal 57 3 5 4 2" xfId="2464"/>
    <cellStyle name="Normal 57 3 5 4 2 2" xfId="10221"/>
    <cellStyle name="Normal 57 3 5 4 2 3" xfId="5203"/>
    <cellStyle name="Normal 57 3 5 4 3" xfId="6611"/>
    <cellStyle name="Normal 57 3 5 4 3 2" xfId="11626"/>
    <cellStyle name="Normal 57 3 5 4 4" xfId="9337"/>
    <cellStyle name="Normal 57 3 5 4 5" xfId="13080"/>
    <cellStyle name="Normal 57 3 5 4 6" xfId="7814"/>
    <cellStyle name="Normal 57 3 5 4 7" xfId="4268"/>
    <cellStyle name="Normal 57 3 5 5" xfId="1232"/>
    <cellStyle name="Normal 57 3 5 5 2" xfId="2788"/>
    <cellStyle name="Normal 57 3 5 5 2 2" xfId="10439"/>
    <cellStyle name="Normal 57 3 5 5 2 3" xfId="5422"/>
    <cellStyle name="Normal 57 3 5 5 3" xfId="6820"/>
    <cellStyle name="Normal 57 3 5 5 3 2" xfId="11835"/>
    <cellStyle name="Normal 57 3 5 5 4" xfId="8732"/>
    <cellStyle name="Normal 57 3 5 5 5" xfId="13289"/>
    <cellStyle name="Normal 57 3 5 5 6" xfId="8033"/>
    <cellStyle name="Normal 57 3 5 5 7" xfId="3662"/>
    <cellStyle name="Normal 57 3 5 6" xfId="1629"/>
    <cellStyle name="Normal 57 3 5 6 2" xfId="9618"/>
    <cellStyle name="Normal 57 3 5 6 3" xfId="4600"/>
    <cellStyle name="Normal 57 3 5 7" xfId="5776"/>
    <cellStyle name="Normal 57 3 5 7 2" xfId="10792"/>
    <cellStyle name="Normal 57 3 5 8" xfId="8353"/>
    <cellStyle name="Normal 57 3 5 9" xfId="12246"/>
    <cellStyle name="Normal 57 3 5_Degree data" xfId="3081"/>
    <cellStyle name="Normal 57 3 6" xfId="263"/>
    <cellStyle name="Normal 57 3 6 2" xfId="571"/>
    <cellStyle name="Normal 57 3 6 2 2" xfId="2117"/>
    <cellStyle name="Normal 57 3 6 2 2 2" xfId="10223"/>
    <cellStyle name="Normal 57 3 6 2 2 3" xfId="5205"/>
    <cellStyle name="Normal 57 3 6 2 3" xfId="6264"/>
    <cellStyle name="Normal 57 3 6 2 3 2" xfId="11280"/>
    <cellStyle name="Normal 57 3 6 2 4" xfId="9339"/>
    <cellStyle name="Normal 57 3 6 2 5" xfId="12734"/>
    <cellStyle name="Normal 57 3 6 2 6" xfId="7816"/>
    <cellStyle name="Normal 57 3 6 2 7" xfId="4270"/>
    <cellStyle name="Normal 57 3 6 3" xfId="980"/>
    <cellStyle name="Normal 57 3 6 3 2" xfId="2466"/>
    <cellStyle name="Normal 57 3 6 3 2 2" xfId="10539"/>
    <cellStyle name="Normal 57 3 6 3 2 3" xfId="5522"/>
    <cellStyle name="Normal 57 3 6 3 3" xfId="6613"/>
    <cellStyle name="Normal 57 3 6 3 3 2" xfId="11628"/>
    <cellStyle name="Normal 57 3 6 3 4" xfId="8946"/>
    <cellStyle name="Normal 57 3 6 3 5" xfId="13082"/>
    <cellStyle name="Normal 57 3 6 3 6" xfId="8133"/>
    <cellStyle name="Normal 57 3 6 3 7" xfId="3877"/>
    <cellStyle name="Normal 57 3 6 4" xfId="1336"/>
    <cellStyle name="Normal 57 3 6 4 2" xfId="2894"/>
    <cellStyle name="Normal 57 3 6 4 2 2" xfId="11935"/>
    <cellStyle name="Normal 57 3 6 4 2 3" xfId="6920"/>
    <cellStyle name="Normal 57 3 6 4 3" xfId="13389"/>
    <cellStyle name="Normal 57 3 6 4 4" xfId="9830"/>
    <cellStyle name="Normal 57 3 6 4 5" xfId="4812"/>
    <cellStyle name="Normal 57 3 6 5" xfId="1729"/>
    <cellStyle name="Normal 57 3 6 5 2" xfId="10892"/>
    <cellStyle name="Normal 57 3 6 5 3" xfId="5876"/>
    <cellStyle name="Normal 57 3 6 6" xfId="8453"/>
    <cellStyle name="Normal 57 3 6 7" xfId="12346"/>
    <cellStyle name="Normal 57 3 6 8" xfId="7423"/>
    <cellStyle name="Normal 57 3 6 9" xfId="3375"/>
    <cellStyle name="Normal 57 3 6_Degree data" xfId="3083"/>
    <cellStyle name="Normal 57 3 7" xfId="419"/>
    <cellStyle name="Normal 57 3 7 2" xfId="827"/>
    <cellStyle name="Normal 57 3 7 2 2" xfId="2118"/>
    <cellStyle name="Normal 57 3 7 2 2 2" xfId="10224"/>
    <cellStyle name="Normal 57 3 7 2 2 3" xfId="5206"/>
    <cellStyle name="Normal 57 3 7 2 3" xfId="6265"/>
    <cellStyle name="Normal 57 3 7 2 3 2" xfId="11281"/>
    <cellStyle name="Normal 57 3 7 2 4" xfId="9340"/>
    <cellStyle name="Normal 57 3 7 2 5" xfId="12735"/>
    <cellStyle name="Normal 57 3 7 2 6" xfId="7817"/>
    <cellStyle name="Normal 57 3 7 2 7" xfId="4271"/>
    <cellStyle name="Normal 57 3 7 3" xfId="1177"/>
    <cellStyle name="Normal 57 3 7 3 2" xfId="2467"/>
    <cellStyle name="Normal 57 3 7 3 2 2" xfId="10387"/>
    <cellStyle name="Normal 57 3 7 3 2 3" xfId="5370"/>
    <cellStyle name="Normal 57 3 7 3 3" xfId="6614"/>
    <cellStyle name="Normal 57 3 7 3 3 2" xfId="11629"/>
    <cellStyle name="Normal 57 3 7 3 4" xfId="9489"/>
    <cellStyle name="Normal 57 3 7 3 5" xfId="13083"/>
    <cellStyle name="Normal 57 3 7 3 6" xfId="7981"/>
    <cellStyle name="Normal 57 3 7 3 7" xfId="4471"/>
    <cellStyle name="Normal 57 3 7 4" xfId="2728"/>
    <cellStyle name="Normal 57 3 7 4 2" xfId="6768"/>
    <cellStyle name="Normal 57 3 7 4 2 2" xfId="11783"/>
    <cellStyle name="Normal 57 3 7 4 3" xfId="13237"/>
    <cellStyle name="Normal 57 3 7 4 4" xfId="9678"/>
    <cellStyle name="Normal 57 3 7 4 5" xfId="4660"/>
    <cellStyle name="Normal 57 3 7 5" xfId="1577"/>
    <cellStyle name="Normal 57 3 7 5 2" xfId="10738"/>
    <cellStyle name="Normal 57 3 7 5 3" xfId="5722"/>
    <cellStyle name="Normal 57 3 7 6" xfId="8794"/>
    <cellStyle name="Normal 57 3 7 7" xfId="12194"/>
    <cellStyle name="Normal 57 3 7 8" xfId="7271"/>
    <cellStyle name="Normal 57 3 7 9" xfId="3725"/>
    <cellStyle name="Normal 57 3 7_Degree data" xfId="3084"/>
    <cellStyle name="Normal 57 3 8" xfId="741"/>
    <cellStyle name="Normal 57 3 8 2" xfId="2099"/>
    <cellStyle name="Normal 57 3 8 2 2" xfId="10205"/>
    <cellStyle name="Normal 57 3 8 2 3" xfId="5187"/>
    <cellStyle name="Normal 57 3 8 3" xfId="6246"/>
    <cellStyle name="Normal 57 3 8 3 2" xfId="11262"/>
    <cellStyle name="Normal 57 3 8 4" xfId="9321"/>
    <cellStyle name="Normal 57 3 8 5" xfId="12716"/>
    <cellStyle name="Normal 57 3 8 6" xfId="7798"/>
    <cellStyle name="Normal 57 3 8 7" xfId="4252"/>
    <cellStyle name="Normal 57 3 9" xfId="1145"/>
    <cellStyle name="Normal 57 3 9 2" xfId="2448"/>
    <cellStyle name="Normal 57 3 9 2 2" xfId="10355"/>
    <cellStyle name="Normal 57 3 9 2 3" xfId="5338"/>
    <cellStyle name="Normal 57 3 9 3" xfId="6595"/>
    <cellStyle name="Normal 57 3 9 3 2" xfId="11610"/>
    <cellStyle name="Normal 57 3 9 4" xfId="8626"/>
    <cellStyle name="Normal 57 3 9 5" xfId="13064"/>
    <cellStyle name="Normal 57 3 9 6" xfId="7949"/>
    <cellStyle name="Normal 57 3 9 7" xfId="3550"/>
    <cellStyle name="Normal 57 3_Degree data" xfId="3065"/>
    <cellStyle name="Normal 57 4" xfId="104"/>
    <cellStyle name="Normal 57 4 10" xfId="1551"/>
    <cellStyle name="Normal 57 4 10 2" xfId="12168"/>
    <cellStyle name="Normal 57 4 10 3" xfId="10712"/>
    <cellStyle name="Normal 57 4 10 4" xfId="5696"/>
    <cellStyle name="Normal 57 4 11" xfId="1501"/>
    <cellStyle name="Normal 57 4 11 2" xfId="8318"/>
    <cellStyle name="Normal 57 4 12" xfId="12118"/>
    <cellStyle name="Normal 57 4 13" xfId="7102"/>
    <cellStyle name="Normal 57 4 14" xfId="3239"/>
    <cellStyle name="Normal 57 4 2" xfId="169"/>
    <cellStyle name="Normal 57 4 2 10" xfId="12138"/>
    <cellStyle name="Normal 57 4 2 11" xfId="7130"/>
    <cellStyle name="Normal 57 4 2 12" xfId="3299"/>
    <cellStyle name="Normal 57 4 2 2" xfId="387"/>
    <cellStyle name="Normal 57 4 2 2 10" xfId="7173"/>
    <cellStyle name="Normal 57 4 2 2 11" xfId="3342"/>
    <cellStyle name="Normal 57 4 2 2 2" xfId="638"/>
    <cellStyle name="Normal 57 4 2 2 2 2" xfId="1047"/>
    <cellStyle name="Normal 57 4 2 2 2 2 2" xfId="2122"/>
    <cellStyle name="Normal 57 4 2 2 2 2 2 2" xfId="10228"/>
    <cellStyle name="Normal 57 4 2 2 2 2 2 3" xfId="5210"/>
    <cellStyle name="Normal 57 4 2 2 2 2 3" xfId="6269"/>
    <cellStyle name="Normal 57 4 2 2 2 2 3 2" xfId="11285"/>
    <cellStyle name="Normal 57 4 2 2 2 2 4" xfId="9344"/>
    <cellStyle name="Normal 57 4 2 2 2 2 5" xfId="12739"/>
    <cellStyle name="Normal 57 4 2 2 2 2 6" xfId="7821"/>
    <cellStyle name="Normal 57 4 2 2 2 2 7" xfId="4275"/>
    <cellStyle name="Normal 57 4 2 2 2 3" xfId="1404"/>
    <cellStyle name="Normal 57 4 2 2 2 3 2" xfId="2471"/>
    <cellStyle name="Normal 57 4 2 2 2 3 2 2" xfId="10606"/>
    <cellStyle name="Normal 57 4 2 2 2 3 2 3" xfId="5589"/>
    <cellStyle name="Normal 57 4 2 2 2 3 3" xfId="6618"/>
    <cellStyle name="Normal 57 4 2 2 2 3 3 2" xfId="11633"/>
    <cellStyle name="Normal 57 4 2 2 2 3 4" xfId="9013"/>
    <cellStyle name="Normal 57 4 2 2 2 3 5" xfId="13087"/>
    <cellStyle name="Normal 57 4 2 2 2 3 6" xfId="8200"/>
    <cellStyle name="Normal 57 4 2 2 2 3 7" xfId="3944"/>
    <cellStyle name="Normal 57 4 2 2 2 4" xfId="2962"/>
    <cellStyle name="Normal 57 4 2 2 2 4 2" xfId="6987"/>
    <cellStyle name="Normal 57 4 2 2 2 4 2 2" xfId="12002"/>
    <cellStyle name="Normal 57 4 2 2 2 4 3" xfId="13456"/>
    <cellStyle name="Normal 57 4 2 2 2 4 4" xfId="9897"/>
    <cellStyle name="Normal 57 4 2 2 2 4 5" xfId="4879"/>
    <cellStyle name="Normal 57 4 2 2 2 5" xfId="1796"/>
    <cellStyle name="Normal 57 4 2 2 2 5 2" xfId="10959"/>
    <cellStyle name="Normal 57 4 2 2 2 5 3" xfId="5943"/>
    <cellStyle name="Normal 57 4 2 2 2 6" xfId="8520"/>
    <cellStyle name="Normal 57 4 2 2 2 7" xfId="12413"/>
    <cellStyle name="Normal 57 4 2 2 2 8" xfId="7490"/>
    <cellStyle name="Normal 57 4 2 2 2 9" xfId="3442"/>
    <cellStyle name="Normal 57 4 2 2 2_Degree data" xfId="3088"/>
    <cellStyle name="Normal 57 4 2 2 3" xfId="538"/>
    <cellStyle name="Normal 57 4 2 2 3 2" xfId="2121"/>
    <cellStyle name="Normal 57 4 2 2 3 2 2" xfId="9797"/>
    <cellStyle name="Normal 57 4 2 2 3 2 3" xfId="4779"/>
    <cellStyle name="Normal 57 4 2 2 3 3" xfId="6268"/>
    <cellStyle name="Normal 57 4 2 2 3 3 2" xfId="11284"/>
    <cellStyle name="Normal 57 4 2 2 3 4" xfId="8913"/>
    <cellStyle name="Normal 57 4 2 2 3 5" xfId="12738"/>
    <cellStyle name="Normal 57 4 2 2 3 6" xfId="7390"/>
    <cellStyle name="Normal 57 4 2 2 3 7" xfId="3844"/>
    <cellStyle name="Normal 57 4 2 2 4" xfId="947"/>
    <cellStyle name="Normal 57 4 2 2 4 2" xfId="2470"/>
    <cellStyle name="Normal 57 4 2 2 4 2 2" xfId="10227"/>
    <cellStyle name="Normal 57 4 2 2 4 2 3" xfId="5209"/>
    <cellStyle name="Normal 57 4 2 2 4 3" xfId="6617"/>
    <cellStyle name="Normal 57 4 2 2 4 3 2" xfId="11632"/>
    <cellStyle name="Normal 57 4 2 2 4 4" xfId="9343"/>
    <cellStyle name="Normal 57 4 2 2 4 5" xfId="13086"/>
    <cellStyle name="Normal 57 4 2 2 4 6" xfId="7820"/>
    <cellStyle name="Normal 57 4 2 2 4 7" xfId="4274"/>
    <cellStyle name="Normal 57 4 2 2 5" xfId="1303"/>
    <cellStyle name="Normal 57 4 2 2 5 2" xfId="2860"/>
    <cellStyle name="Normal 57 4 2 2 5 2 2" xfId="10506"/>
    <cellStyle name="Normal 57 4 2 2 5 2 3" xfId="5489"/>
    <cellStyle name="Normal 57 4 2 2 5 3" xfId="6887"/>
    <cellStyle name="Normal 57 4 2 2 5 3 2" xfId="11902"/>
    <cellStyle name="Normal 57 4 2 2 5 4" xfId="8694"/>
    <cellStyle name="Normal 57 4 2 2 5 5" xfId="13356"/>
    <cellStyle name="Normal 57 4 2 2 5 6" xfId="8100"/>
    <cellStyle name="Normal 57 4 2 2 5 7" xfId="3623"/>
    <cellStyle name="Normal 57 4 2 2 6" xfId="1696"/>
    <cellStyle name="Normal 57 4 2 2 6 2" xfId="9580"/>
    <cellStyle name="Normal 57 4 2 2 6 3" xfId="4562"/>
    <cellStyle name="Normal 57 4 2 2 7" xfId="5843"/>
    <cellStyle name="Normal 57 4 2 2 7 2" xfId="10859"/>
    <cellStyle name="Normal 57 4 2 2 8" xfId="8420"/>
    <cellStyle name="Normal 57 4 2 2 9" xfId="12313"/>
    <cellStyle name="Normal 57 4 2 2_Degree data" xfId="3087"/>
    <cellStyle name="Normal 57 4 2 3" xfId="343"/>
    <cellStyle name="Normal 57 4 2 3 2" xfId="595"/>
    <cellStyle name="Normal 57 4 2 3 2 2" xfId="2123"/>
    <cellStyle name="Normal 57 4 2 3 2 2 2" xfId="10229"/>
    <cellStyle name="Normal 57 4 2 3 2 2 3" xfId="5211"/>
    <cellStyle name="Normal 57 4 2 3 2 3" xfId="6270"/>
    <cellStyle name="Normal 57 4 2 3 2 3 2" xfId="11286"/>
    <cellStyle name="Normal 57 4 2 3 2 4" xfId="9345"/>
    <cellStyle name="Normal 57 4 2 3 2 5" xfId="12740"/>
    <cellStyle name="Normal 57 4 2 3 2 6" xfId="7822"/>
    <cellStyle name="Normal 57 4 2 3 2 7" xfId="4276"/>
    <cellStyle name="Normal 57 4 2 3 3" xfId="1004"/>
    <cellStyle name="Normal 57 4 2 3 3 2" xfId="2472"/>
    <cellStyle name="Normal 57 4 2 3 3 2 2" xfId="10563"/>
    <cellStyle name="Normal 57 4 2 3 3 2 3" xfId="5546"/>
    <cellStyle name="Normal 57 4 2 3 3 3" xfId="6619"/>
    <cellStyle name="Normal 57 4 2 3 3 3 2" xfId="11634"/>
    <cellStyle name="Normal 57 4 2 3 3 4" xfId="8970"/>
    <cellStyle name="Normal 57 4 2 3 3 5" xfId="13088"/>
    <cellStyle name="Normal 57 4 2 3 3 6" xfId="8157"/>
    <cellStyle name="Normal 57 4 2 3 3 7" xfId="3901"/>
    <cellStyle name="Normal 57 4 2 3 4" xfId="1360"/>
    <cellStyle name="Normal 57 4 2 3 4 2" xfId="2918"/>
    <cellStyle name="Normal 57 4 2 3 4 2 2" xfId="11959"/>
    <cellStyle name="Normal 57 4 2 3 4 2 3" xfId="6944"/>
    <cellStyle name="Normal 57 4 2 3 4 3" xfId="13413"/>
    <cellStyle name="Normal 57 4 2 3 4 4" xfId="9854"/>
    <cellStyle name="Normal 57 4 2 3 4 5" xfId="4836"/>
    <cellStyle name="Normal 57 4 2 3 5" xfId="1753"/>
    <cellStyle name="Normal 57 4 2 3 5 2" xfId="10916"/>
    <cellStyle name="Normal 57 4 2 3 5 3" xfId="5900"/>
    <cellStyle name="Normal 57 4 2 3 6" xfId="8477"/>
    <cellStyle name="Normal 57 4 2 3 7" xfId="12370"/>
    <cellStyle name="Normal 57 4 2 3 8" xfId="7447"/>
    <cellStyle name="Normal 57 4 2 3 9" xfId="3399"/>
    <cellStyle name="Normal 57 4 2 3_Degree data" xfId="3089"/>
    <cellStyle name="Normal 57 4 2 4" xfId="495"/>
    <cellStyle name="Normal 57 4 2 4 2" xfId="904"/>
    <cellStyle name="Normal 57 4 2 4 2 2" xfId="9754"/>
    <cellStyle name="Normal 57 4 2 4 2 3" xfId="4736"/>
    <cellStyle name="Normal 57 4 2 4 3" xfId="2120"/>
    <cellStyle name="Normal 57 4 2 4 3 2" xfId="11283"/>
    <cellStyle name="Normal 57 4 2 4 3 3" xfId="6267"/>
    <cellStyle name="Normal 57 4 2 4 4" xfId="8870"/>
    <cellStyle name="Normal 57 4 2 4 5" xfId="12737"/>
    <cellStyle name="Normal 57 4 2 4 6" xfId="7347"/>
    <cellStyle name="Normal 57 4 2 4 7" xfId="3801"/>
    <cellStyle name="Normal 57 4 2 5" xfId="771"/>
    <cellStyle name="Normal 57 4 2 5 2" xfId="2469"/>
    <cellStyle name="Normal 57 4 2 5 2 2" xfId="10226"/>
    <cellStyle name="Normal 57 4 2 5 2 3" xfId="5208"/>
    <cellStyle name="Normal 57 4 2 5 3" xfId="6616"/>
    <cellStyle name="Normal 57 4 2 5 3 2" xfId="11631"/>
    <cellStyle name="Normal 57 4 2 5 4" xfId="9342"/>
    <cellStyle name="Normal 57 4 2 5 5" xfId="13085"/>
    <cellStyle name="Normal 57 4 2 5 6" xfId="7819"/>
    <cellStyle name="Normal 57 4 2 5 7" xfId="4273"/>
    <cellStyle name="Normal 57 4 2 6" xfId="1259"/>
    <cellStyle name="Normal 57 4 2 6 2" xfId="2815"/>
    <cellStyle name="Normal 57 4 2 6 2 2" xfId="10463"/>
    <cellStyle name="Normal 57 4 2 6 2 3" xfId="5446"/>
    <cellStyle name="Normal 57 4 2 6 3" xfId="6844"/>
    <cellStyle name="Normal 57 4 2 6 3 2" xfId="11859"/>
    <cellStyle name="Normal 57 4 2 6 4" xfId="8650"/>
    <cellStyle name="Normal 57 4 2 6 5" xfId="13313"/>
    <cellStyle name="Normal 57 4 2 6 6" xfId="8057"/>
    <cellStyle name="Normal 57 4 2 6 7" xfId="3577"/>
    <cellStyle name="Normal 57 4 2 7" xfId="1653"/>
    <cellStyle name="Normal 57 4 2 7 2" xfId="12270"/>
    <cellStyle name="Normal 57 4 2 7 3" xfId="9537"/>
    <cellStyle name="Normal 57 4 2 7 4" xfId="4519"/>
    <cellStyle name="Normal 57 4 2 8" xfId="1521"/>
    <cellStyle name="Normal 57 4 2 8 2" xfId="10816"/>
    <cellStyle name="Normal 57 4 2 8 3" xfId="5800"/>
    <cellStyle name="Normal 57 4 2 9" xfId="8377"/>
    <cellStyle name="Normal 57 4 2_Degree data" xfId="3086"/>
    <cellStyle name="Normal 57 4 3" xfId="195"/>
    <cellStyle name="Normal 57 4 3 10" xfId="7158"/>
    <cellStyle name="Normal 57 4 3 11" xfId="3327"/>
    <cellStyle name="Normal 57 4 3 2" xfId="372"/>
    <cellStyle name="Normal 57 4 3 2 2" xfId="623"/>
    <cellStyle name="Normal 57 4 3 2 2 2" xfId="2125"/>
    <cellStyle name="Normal 57 4 3 2 2 2 2" xfId="10231"/>
    <cellStyle name="Normal 57 4 3 2 2 2 3" xfId="5213"/>
    <cellStyle name="Normal 57 4 3 2 2 3" xfId="6272"/>
    <cellStyle name="Normal 57 4 3 2 2 3 2" xfId="11288"/>
    <cellStyle name="Normal 57 4 3 2 2 4" xfId="9347"/>
    <cellStyle name="Normal 57 4 3 2 2 5" xfId="12742"/>
    <cellStyle name="Normal 57 4 3 2 2 6" xfId="7824"/>
    <cellStyle name="Normal 57 4 3 2 2 7" xfId="4278"/>
    <cellStyle name="Normal 57 4 3 2 3" xfId="1032"/>
    <cellStyle name="Normal 57 4 3 2 3 2" xfId="2474"/>
    <cellStyle name="Normal 57 4 3 2 3 2 2" xfId="10591"/>
    <cellStyle name="Normal 57 4 3 2 3 2 3" xfId="5574"/>
    <cellStyle name="Normal 57 4 3 2 3 3" xfId="6621"/>
    <cellStyle name="Normal 57 4 3 2 3 3 2" xfId="11636"/>
    <cellStyle name="Normal 57 4 3 2 3 4" xfId="8998"/>
    <cellStyle name="Normal 57 4 3 2 3 5" xfId="13090"/>
    <cellStyle name="Normal 57 4 3 2 3 6" xfId="8185"/>
    <cellStyle name="Normal 57 4 3 2 3 7" xfId="3929"/>
    <cellStyle name="Normal 57 4 3 2 4" xfId="1389"/>
    <cellStyle name="Normal 57 4 3 2 4 2" xfId="2947"/>
    <cellStyle name="Normal 57 4 3 2 4 2 2" xfId="11987"/>
    <cellStyle name="Normal 57 4 3 2 4 2 3" xfId="6972"/>
    <cellStyle name="Normal 57 4 3 2 4 3" xfId="13441"/>
    <cellStyle name="Normal 57 4 3 2 4 4" xfId="9882"/>
    <cellStyle name="Normal 57 4 3 2 4 5" xfId="4864"/>
    <cellStyle name="Normal 57 4 3 2 5" xfId="1781"/>
    <cellStyle name="Normal 57 4 3 2 5 2" xfId="10944"/>
    <cellStyle name="Normal 57 4 3 2 5 3" xfId="5928"/>
    <cellStyle name="Normal 57 4 3 2 6" xfId="8505"/>
    <cellStyle name="Normal 57 4 3 2 7" xfId="12398"/>
    <cellStyle name="Normal 57 4 3 2 8" xfId="7475"/>
    <cellStyle name="Normal 57 4 3 2 9" xfId="3427"/>
    <cellStyle name="Normal 57 4 3 2_Degree data" xfId="3091"/>
    <cellStyle name="Normal 57 4 3 3" xfId="523"/>
    <cellStyle name="Normal 57 4 3 3 2" xfId="932"/>
    <cellStyle name="Normal 57 4 3 3 2 2" xfId="9782"/>
    <cellStyle name="Normal 57 4 3 3 2 3" xfId="4764"/>
    <cellStyle name="Normal 57 4 3 3 3" xfId="2124"/>
    <cellStyle name="Normal 57 4 3 3 3 2" xfId="11287"/>
    <cellStyle name="Normal 57 4 3 3 3 3" xfId="6271"/>
    <cellStyle name="Normal 57 4 3 3 4" xfId="8898"/>
    <cellStyle name="Normal 57 4 3 3 5" xfId="12741"/>
    <cellStyle name="Normal 57 4 3 3 6" xfId="7375"/>
    <cellStyle name="Normal 57 4 3 3 7" xfId="3829"/>
    <cellStyle name="Normal 57 4 3 4" xfId="801"/>
    <cellStyle name="Normal 57 4 3 4 2" xfId="2473"/>
    <cellStyle name="Normal 57 4 3 4 2 2" xfId="10230"/>
    <cellStyle name="Normal 57 4 3 4 2 3" xfId="5212"/>
    <cellStyle name="Normal 57 4 3 4 3" xfId="6620"/>
    <cellStyle name="Normal 57 4 3 4 3 2" xfId="11635"/>
    <cellStyle name="Normal 57 4 3 4 4" xfId="9346"/>
    <cellStyle name="Normal 57 4 3 4 5" xfId="13089"/>
    <cellStyle name="Normal 57 4 3 4 6" xfId="7823"/>
    <cellStyle name="Normal 57 4 3 4 7" xfId="4277"/>
    <cellStyle name="Normal 57 4 3 5" xfId="1288"/>
    <cellStyle name="Normal 57 4 3 5 2" xfId="2845"/>
    <cellStyle name="Normal 57 4 3 5 2 2" xfId="10491"/>
    <cellStyle name="Normal 57 4 3 5 2 3" xfId="5474"/>
    <cellStyle name="Normal 57 4 3 5 3" xfId="6872"/>
    <cellStyle name="Normal 57 4 3 5 3 2" xfId="11887"/>
    <cellStyle name="Normal 57 4 3 5 4" xfId="8679"/>
    <cellStyle name="Normal 57 4 3 5 5" xfId="13341"/>
    <cellStyle name="Normal 57 4 3 5 6" xfId="8085"/>
    <cellStyle name="Normal 57 4 3 5 7" xfId="3608"/>
    <cellStyle name="Normal 57 4 3 6" xfId="1681"/>
    <cellStyle name="Normal 57 4 3 6 2" xfId="9565"/>
    <cellStyle name="Normal 57 4 3 6 3" xfId="4547"/>
    <cellStyle name="Normal 57 4 3 7" xfId="5828"/>
    <cellStyle name="Normal 57 4 3 7 2" xfId="10844"/>
    <cellStyle name="Normal 57 4 3 8" xfId="8405"/>
    <cellStyle name="Normal 57 4 3 9" xfId="12298"/>
    <cellStyle name="Normal 57 4 3_Degree data" xfId="3090"/>
    <cellStyle name="Normal 57 4 4" xfId="231"/>
    <cellStyle name="Normal 57 4 4 10" xfId="7207"/>
    <cellStyle name="Normal 57 4 4 11" xfId="3271"/>
    <cellStyle name="Normal 57 4 4 2" xfId="315"/>
    <cellStyle name="Normal 57 4 4 2 2" xfId="672"/>
    <cellStyle name="Normal 57 4 4 2 2 2" xfId="2127"/>
    <cellStyle name="Normal 57 4 4 2 2 2 2" xfId="10233"/>
    <cellStyle name="Normal 57 4 4 2 2 2 3" xfId="5215"/>
    <cellStyle name="Normal 57 4 4 2 2 3" xfId="6274"/>
    <cellStyle name="Normal 57 4 4 2 2 3 2" xfId="11290"/>
    <cellStyle name="Normal 57 4 4 2 2 4" xfId="9349"/>
    <cellStyle name="Normal 57 4 4 2 2 5" xfId="12744"/>
    <cellStyle name="Normal 57 4 4 2 2 6" xfId="7826"/>
    <cellStyle name="Normal 57 4 4 2 2 7" xfId="4280"/>
    <cellStyle name="Normal 57 4 4 2 3" xfId="1081"/>
    <cellStyle name="Normal 57 4 4 2 3 2" xfId="2476"/>
    <cellStyle name="Normal 57 4 4 2 3 2 2" xfId="10640"/>
    <cellStyle name="Normal 57 4 4 2 3 2 3" xfId="5623"/>
    <cellStyle name="Normal 57 4 4 2 3 3" xfId="6623"/>
    <cellStyle name="Normal 57 4 4 2 3 3 2" xfId="11638"/>
    <cellStyle name="Normal 57 4 4 2 3 4" xfId="9047"/>
    <cellStyle name="Normal 57 4 4 2 3 5" xfId="13092"/>
    <cellStyle name="Normal 57 4 4 2 3 6" xfId="8234"/>
    <cellStyle name="Normal 57 4 4 2 3 7" xfId="3978"/>
    <cellStyle name="Normal 57 4 4 2 4" xfId="1439"/>
    <cellStyle name="Normal 57 4 4 2 4 2" xfId="2998"/>
    <cellStyle name="Normal 57 4 4 2 4 2 2" xfId="12036"/>
    <cellStyle name="Normal 57 4 4 2 4 2 3" xfId="7021"/>
    <cellStyle name="Normal 57 4 4 2 4 3" xfId="13490"/>
    <cellStyle name="Normal 57 4 4 2 4 4" xfId="9931"/>
    <cellStyle name="Normal 57 4 4 2 4 5" xfId="4913"/>
    <cellStyle name="Normal 57 4 4 2 5" xfId="1830"/>
    <cellStyle name="Normal 57 4 4 2 5 2" xfId="10993"/>
    <cellStyle name="Normal 57 4 4 2 5 3" xfId="5977"/>
    <cellStyle name="Normal 57 4 4 2 6" xfId="8554"/>
    <cellStyle name="Normal 57 4 4 2 7" xfId="12447"/>
    <cellStyle name="Normal 57 4 4 2 8" xfId="7524"/>
    <cellStyle name="Normal 57 4 4 2 9" xfId="3476"/>
    <cellStyle name="Normal 57 4 4 2_Degree data" xfId="3093"/>
    <cellStyle name="Normal 57 4 4 3" xfId="467"/>
    <cellStyle name="Normal 57 4 4 3 2" xfId="2126"/>
    <cellStyle name="Normal 57 4 4 3 2 2" xfId="9726"/>
    <cellStyle name="Normal 57 4 4 3 2 3" xfId="4708"/>
    <cellStyle name="Normal 57 4 4 3 3" xfId="6273"/>
    <cellStyle name="Normal 57 4 4 3 3 2" xfId="11289"/>
    <cellStyle name="Normal 57 4 4 3 4" xfId="8842"/>
    <cellStyle name="Normal 57 4 4 3 5" xfId="12743"/>
    <cellStyle name="Normal 57 4 4 3 6" xfId="7319"/>
    <cellStyle name="Normal 57 4 4 3 7" xfId="3773"/>
    <cellStyle name="Normal 57 4 4 4" xfId="876"/>
    <cellStyle name="Normal 57 4 4 4 2" xfId="2475"/>
    <cellStyle name="Normal 57 4 4 4 2 2" xfId="10232"/>
    <cellStyle name="Normal 57 4 4 4 2 3" xfId="5214"/>
    <cellStyle name="Normal 57 4 4 4 3" xfId="6622"/>
    <cellStyle name="Normal 57 4 4 4 3 2" xfId="11637"/>
    <cellStyle name="Normal 57 4 4 4 4" xfId="9348"/>
    <cellStyle name="Normal 57 4 4 4 5" xfId="13091"/>
    <cellStyle name="Normal 57 4 4 4 6" xfId="7825"/>
    <cellStyle name="Normal 57 4 4 4 7" xfId="4279"/>
    <cellStyle name="Normal 57 4 4 5" xfId="1228"/>
    <cellStyle name="Normal 57 4 4 5 2" xfId="2784"/>
    <cellStyle name="Normal 57 4 4 5 2 2" xfId="10435"/>
    <cellStyle name="Normal 57 4 4 5 2 3" xfId="5418"/>
    <cellStyle name="Normal 57 4 4 5 3" xfId="6816"/>
    <cellStyle name="Normal 57 4 4 5 3 2" xfId="11831"/>
    <cellStyle name="Normal 57 4 4 5 4" xfId="8728"/>
    <cellStyle name="Normal 57 4 4 5 5" xfId="13285"/>
    <cellStyle name="Normal 57 4 4 5 6" xfId="8029"/>
    <cellStyle name="Normal 57 4 4 5 7" xfId="3658"/>
    <cellStyle name="Normal 57 4 4 6" xfId="1625"/>
    <cellStyle name="Normal 57 4 4 6 2" xfId="9614"/>
    <cellStyle name="Normal 57 4 4 6 3" xfId="4596"/>
    <cellStyle name="Normal 57 4 4 7" xfId="5772"/>
    <cellStyle name="Normal 57 4 4 7 2" xfId="10788"/>
    <cellStyle name="Normal 57 4 4 8" xfId="8349"/>
    <cellStyle name="Normal 57 4 4 9" xfId="12242"/>
    <cellStyle name="Normal 57 4 4_Degree data" xfId="3092"/>
    <cellStyle name="Normal 57 4 5" xfId="280"/>
    <cellStyle name="Normal 57 4 5 2" xfId="567"/>
    <cellStyle name="Normal 57 4 5 2 2" xfId="2128"/>
    <cellStyle name="Normal 57 4 5 2 2 2" xfId="10234"/>
    <cellStyle name="Normal 57 4 5 2 2 3" xfId="5216"/>
    <cellStyle name="Normal 57 4 5 2 3" xfId="6275"/>
    <cellStyle name="Normal 57 4 5 2 3 2" xfId="11291"/>
    <cellStyle name="Normal 57 4 5 2 4" xfId="9350"/>
    <cellStyle name="Normal 57 4 5 2 5" xfId="12745"/>
    <cellStyle name="Normal 57 4 5 2 6" xfId="7827"/>
    <cellStyle name="Normal 57 4 5 2 7" xfId="4281"/>
    <cellStyle name="Normal 57 4 5 3" xfId="976"/>
    <cellStyle name="Normal 57 4 5 3 2" xfId="2477"/>
    <cellStyle name="Normal 57 4 5 3 2 2" xfId="10535"/>
    <cellStyle name="Normal 57 4 5 3 2 3" xfId="5518"/>
    <cellStyle name="Normal 57 4 5 3 3" xfId="6624"/>
    <cellStyle name="Normal 57 4 5 3 3 2" xfId="11639"/>
    <cellStyle name="Normal 57 4 5 3 4" xfId="8942"/>
    <cellStyle name="Normal 57 4 5 3 5" xfId="13093"/>
    <cellStyle name="Normal 57 4 5 3 6" xfId="8129"/>
    <cellStyle name="Normal 57 4 5 3 7" xfId="3873"/>
    <cellStyle name="Normal 57 4 5 4" xfId="1332"/>
    <cellStyle name="Normal 57 4 5 4 2" xfId="2890"/>
    <cellStyle name="Normal 57 4 5 4 2 2" xfId="11931"/>
    <cellStyle name="Normal 57 4 5 4 2 3" xfId="6916"/>
    <cellStyle name="Normal 57 4 5 4 3" xfId="13385"/>
    <cellStyle name="Normal 57 4 5 4 4" xfId="9826"/>
    <cellStyle name="Normal 57 4 5 4 5" xfId="4808"/>
    <cellStyle name="Normal 57 4 5 5" xfId="1725"/>
    <cellStyle name="Normal 57 4 5 5 2" xfId="10888"/>
    <cellStyle name="Normal 57 4 5 5 3" xfId="5872"/>
    <cellStyle name="Normal 57 4 5 6" xfId="8449"/>
    <cellStyle name="Normal 57 4 5 7" xfId="12342"/>
    <cellStyle name="Normal 57 4 5 8" xfId="7419"/>
    <cellStyle name="Normal 57 4 5 9" xfId="3371"/>
    <cellStyle name="Normal 57 4 5_Degree data" xfId="3094"/>
    <cellStyle name="Normal 57 4 6" xfId="436"/>
    <cellStyle name="Normal 57 4 6 2" xfId="844"/>
    <cellStyle name="Normal 57 4 6 2 2" xfId="2129"/>
    <cellStyle name="Normal 57 4 6 2 2 2" xfId="10235"/>
    <cellStyle name="Normal 57 4 6 2 2 3" xfId="5217"/>
    <cellStyle name="Normal 57 4 6 2 3" xfId="6276"/>
    <cellStyle name="Normal 57 4 6 2 3 2" xfId="11292"/>
    <cellStyle name="Normal 57 4 6 2 4" xfId="9351"/>
    <cellStyle name="Normal 57 4 6 2 5" xfId="12746"/>
    <cellStyle name="Normal 57 4 6 2 6" xfId="7828"/>
    <cellStyle name="Normal 57 4 6 2 7" xfId="4282"/>
    <cellStyle name="Normal 57 4 6 3" xfId="1195"/>
    <cellStyle name="Normal 57 4 6 3 2" xfId="2478"/>
    <cellStyle name="Normal 57 4 6 3 2 2" xfId="10404"/>
    <cellStyle name="Normal 57 4 6 3 2 3" xfId="5387"/>
    <cellStyle name="Normal 57 4 6 3 3" xfId="6625"/>
    <cellStyle name="Normal 57 4 6 3 3 2" xfId="11640"/>
    <cellStyle name="Normal 57 4 6 3 4" xfId="9490"/>
    <cellStyle name="Normal 57 4 6 3 5" xfId="13094"/>
    <cellStyle name="Normal 57 4 6 3 6" xfId="7998"/>
    <cellStyle name="Normal 57 4 6 3 7" xfId="4472"/>
    <cellStyle name="Normal 57 4 6 4" xfId="2747"/>
    <cellStyle name="Normal 57 4 6 4 2" xfId="6785"/>
    <cellStyle name="Normal 57 4 6 4 2 2" xfId="11800"/>
    <cellStyle name="Normal 57 4 6 4 3" xfId="13254"/>
    <cellStyle name="Normal 57 4 6 4 4" xfId="9695"/>
    <cellStyle name="Normal 57 4 6 4 5" xfId="4677"/>
    <cellStyle name="Normal 57 4 6 5" xfId="1594"/>
    <cellStyle name="Normal 57 4 6 5 2" xfId="10755"/>
    <cellStyle name="Normal 57 4 6 5 3" xfId="5739"/>
    <cellStyle name="Normal 57 4 6 6" xfId="8811"/>
    <cellStyle name="Normal 57 4 6 7" xfId="12211"/>
    <cellStyle name="Normal 57 4 6 8" xfId="7288"/>
    <cellStyle name="Normal 57 4 6 9" xfId="3742"/>
    <cellStyle name="Normal 57 4 6_Degree data" xfId="3095"/>
    <cellStyle name="Normal 57 4 7" xfId="747"/>
    <cellStyle name="Normal 57 4 7 2" xfId="2119"/>
    <cellStyle name="Normal 57 4 7 2 2" xfId="10225"/>
    <cellStyle name="Normal 57 4 7 2 3" xfId="5207"/>
    <cellStyle name="Normal 57 4 7 3" xfId="6266"/>
    <cellStyle name="Normal 57 4 7 3 2" xfId="11282"/>
    <cellStyle name="Normal 57 4 7 4" xfId="9341"/>
    <cellStyle name="Normal 57 4 7 5" xfId="12736"/>
    <cellStyle name="Normal 57 4 7 6" xfId="7818"/>
    <cellStyle name="Normal 57 4 7 7" xfId="4272"/>
    <cellStyle name="Normal 57 4 8" xfId="1151"/>
    <cellStyle name="Normal 57 4 8 2" xfId="2468"/>
    <cellStyle name="Normal 57 4 8 2 2" xfId="10361"/>
    <cellStyle name="Normal 57 4 8 2 3" xfId="5344"/>
    <cellStyle name="Normal 57 4 8 3" xfId="6615"/>
    <cellStyle name="Normal 57 4 8 3 2" xfId="11630"/>
    <cellStyle name="Normal 57 4 8 4" xfId="8622"/>
    <cellStyle name="Normal 57 4 8 5" xfId="13084"/>
    <cellStyle name="Normal 57 4 8 6" xfId="7955"/>
    <cellStyle name="Normal 57 4 8 7" xfId="3546"/>
    <cellStyle name="Normal 57 4 9" xfId="2676"/>
    <cellStyle name="Normal 57 4 9 2" xfId="6742"/>
    <cellStyle name="Normal 57 4 9 2 2" xfId="11757"/>
    <cellStyle name="Normal 57 4 9 3" xfId="13211"/>
    <cellStyle name="Normal 57 4 9 4" xfId="9508"/>
    <cellStyle name="Normal 57 4 9 5" xfId="4490"/>
    <cellStyle name="Normal 57 4_Degree data" xfId="3085"/>
    <cellStyle name="Normal 57 5" xfId="149"/>
    <cellStyle name="Normal 57 5 10" xfId="1565"/>
    <cellStyle name="Normal 57 5 10 2" xfId="12182"/>
    <cellStyle name="Normal 57 5 10 3" xfId="10726"/>
    <cellStyle name="Normal 57 5 10 4" xfId="5710"/>
    <cellStyle name="Normal 57 5 11" xfId="1535"/>
    <cellStyle name="Normal 57 5 11 2" xfId="8334"/>
    <cellStyle name="Normal 57 5 12" xfId="12152"/>
    <cellStyle name="Normal 57 5 13" xfId="7099"/>
    <cellStyle name="Normal 57 5 14" xfId="3256"/>
    <cellStyle name="Normal 57 5 2" xfId="209"/>
    <cellStyle name="Normal 57 5 2 10" xfId="12284"/>
    <cellStyle name="Normal 57 5 2 11" xfId="7144"/>
    <cellStyle name="Normal 57 5 2 12" xfId="3313"/>
    <cellStyle name="Normal 57 5 2 2" xfId="358"/>
    <cellStyle name="Normal 57 5 2 2 10" xfId="3517"/>
    <cellStyle name="Normal 57 5 2 2 2" xfId="713"/>
    <cellStyle name="Normal 57 5 2 2 2 2" xfId="2132"/>
    <cellStyle name="Normal 57 5 2 2 2 2 2" xfId="9972"/>
    <cellStyle name="Normal 57 5 2 2 2 2 3" xfId="4954"/>
    <cellStyle name="Normal 57 5 2 2 2 3" xfId="6279"/>
    <cellStyle name="Normal 57 5 2 2 2 3 2" xfId="11295"/>
    <cellStyle name="Normal 57 5 2 2 2 4" xfId="9088"/>
    <cellStyle name="Normal 57 5 2 2 2 5" xfId="12749"/>
    <cellStyle name="Normal 57 5 2 2 2 6" xfId="7565"/>
    <cellStyle name="Normal 57 5 2 2 2 7" xfId="4019"/>
    <cellStyle name="Normal 57 5 2 2 3" xfId="1122"/>
    <cellStyle name="Normal 57 5 2 2 3 2" xfId="2481"/>
    <cellStyle name="Normal 57 5 2 2 3 2 2" xfId="10238"/>
    <cellStyle name="Normal 57 5 2 2 3 2 3" xfId="5220"/>
    <cellStyle name="Normal 57 5 2 2 3 3" xfId="6628"/>
    <cellStyle name="Normal 57 5 2 2 3 3 2" xfId="11643"/>
    <cellStyle name="Normal 57 5 2 2 3 4" xfId="9354"/>
    <cellStyle name="Normal 57 5 2 2 3 5" xfId="13097"/>
    <cellStyle name="Normal 57 5 2 2 3 6" xfId="7831"/>
    <cellStyle name="Normal 57 5 2 2 3 7" xfId="4285"/>
    <cellStyle name="Normal 57 5 2 2 4" xfId="1480"/>
    <cellStyle name="Normal 57 5 2 2 4 2" xfId="3039"/>
    <cellStyle name="Normal 57 5 2 2 4 2 2" xfId="10681"/>
    <cellStyle name="Normal 57 5 2 2 4 2 3" xfId="5664"/>
    <cellStyle name="Normal 57 5 2 2 4 3" xfId="7062"/>
    <cellStyle name="Normal 57 5 2 2 4 3 2" xfId="12077"/>
    <cellStyle name="Normal 57 5 2 2 4 4" xfId="8769"/>
    <cellStyle name="Normal 57 5 2 2 4 5" xfId="13531"/>
    <cellStyle name="Normal 57 5 2 2 4 6" xfId="8275"/>
    <cellStyle name="Normal 57 5 2 2 4 7" xfId="3699"/>
    <cellStyle name="Normal 57 5 2 2 5" xfId="1871"/>
    <cellStyle name="Normal 57 5 2 2 5 2" xfId="9655"/>
    <cellStyle name="Normal 57 5 2 2 5 3" xfId="4637"/>
    <cellStyle name="Normal 57 5 2 2 6" xfId="6018"/>
    <cellStyle name="Normal 57 5 2 2 6 2" xfId="11034"/>
    <cellStyle name="Normal 57 5 2 2 7" xfId="8595"/>
    <cellStyle name="Normal 57 5 2 2 8" xfId="12488"/>
    <cellStyle name="Normal 57 5 2 2 9" xfId="7248"/>
    <cellStyle name="Normal 57 5 2 2_Degree data" xfId="3098"/>
    <cellStyle name="Normal 57 5 2 3" xfId="609"/>
    <cellStyle name="Normal 57 5 2 3 2" xfId="1018"/>
    <cellStyle name="Normal 57 5 2 3 2 2" xfId="2133"/>
    <cellStyle name="Normal 57 5 2 3 2 2 2" xfId="10239"/>
    <cellStyle name="Normal 57 5 2 3 2 2 3" xfId="5221"/>
    <cellStyle name="Normal 57 5 2 3 2 3" xfId="6280"/>
    <cellStyle name="Normal 57 5 2 3 2 3 2" xfId="11296"/>
    <cellStyle name="Normal 57 5 2 3 2 4" xfId="9355"/>
    <cellStyle name="Normal 57 5 2 3 2 5" xfId="12750"/>
    <cellStyle name="Normal 57 5 2 3 2 6" xfId="7832"/>
    <cellStyle name="Normal 57 5 2 3 2 7" xfId="4286"/>
    <cellStyle name="Normal 57 5 2 3 3" xfId="1374"/>
    <cellStyle name="Normal 57 5 2 3 3 2" xfId="2482"/>
    <cellStyle name="Normal 57 5 2 3 3 2 2" xfId="10577"/>
    <cellStyle name="Normal 57 5 2 3 3 2 3" xfId="5560"/>
    <cellStyle name="Normal 57 5 2 3 3 3" xfId="6629"/>
    <cellStyle name="Normal 57 5 2 3 3 3 2" xfId="11644"/>
    <cellStyle name="Normal 57 5 2 3 3 4" xfId="8984"/>
    <cellStyle name="Normal 57 5 2 3 3 5" xfId="13098"/>
    <cellStyle name="Normal 57 5 2 3 3 6" xfId="8171"/>
    <cellStyle name="Normal 57 5 2 3 3 7" xfId="3915"/>
    <cellStyle name="Normal 57 5 2 3 4" xfId="2932"/>
    <cellStyle name="Normal 57 5 2 3 4 2" xfId="6958"/>
    <cellStyle name="Normal 57 5 2 3 4 2 2" xfId="11973"/>
    <cellStyle name="Normal 57 5 2 3 4 3" xfId="13427"/>
    <cellStyle name="Normal 57 5 2 3 4 4" xfId="9868"/>
    <cellStyle name="Normal 57 5 2 3 4 5" xfId="4850"/>
    <cellStyle name="Normal 57 5 2 3 5" xfId="1767"/>
    <cellStyle name="Normal 57 5 2 3 5 2" xfId="10930"/>
    <cellStyle name="Normal 57 5 2 3 5 3" xfId="5914"/>
    <cellStyle name="Normal 57 5 2 3 6" xfId="8491"/>
    <cellStyle name="Normal 57 5 2 3 7" xfId="12384"/>
    <cellStyle name="Normal 57 5 2 3 8" xfId="7461"/>
    <cellStyle name="Normal 57 5 2 3 9" xfId="3413"/>
    <cellStyle name="Normal 57 5 2 3_Degree data" xfId="3099"/>
    <cellStyle name="Normal 57 5 2 4" xfId="509"/>
    <cellStyle name="Normal 57 5 2 4 2" xfId="918"/>
    <cellStyle name="Normal 57 5 2 4 2 2" xfId="9768"/>
    <cellStyle name="Normal 57 5 2 4 2 3" xfId="4750"/>
    <cellStyle name="Normal 57 5 2 4 3" xfId="2131"/>
    <cellStyle name="Normal 57 5 2 4 3 2" xfId="11294"/>
    <cellStyle name="Normal 57 5 2 4 3 3" xfId="6278"/>
    <cellStyle name="Normal 57 5 2 4 4" xfId="8884"/>
    <cellStyle name="Normal 57 5 2 4 5" xfId="12748"/>
    <cellStyle name="Normal 57 5 2 4 6" xfId="7361"/>
    <cellStyle name="Normal 57 5 2 4 7" xfId="3815"/>
    <cellStyle name="Normal 57 5 2 5" xfId="815"/>
    <cellStyle name="Normal 57 5 2 5 2" xfId="2480"/>
    <cellStyle name="Normal 57 5 2 5 2 2" xfId="10237"/>
    <cellStyle name="Normal 57 5 2 5 2 3" xfId="5219"/>
    <cellStyle name="Normal 57 5 2 5 3" xfId="6627"/>
    <cellStyle name="Normal 57 5 2 5 3 2" xfId="11642"/>
    <cellStyle name="Normal 57 5 2 5 4" xfId="9353"/>
    <cellStyle name="Normal 57 5 2 5 5" xfId="13096"/>
    <cellStyle name="Normal 57 5 2 5 6" xfId="7830"/>
    <cellStyle name="Normal 57 5 2 5 7" xfId="4284"/>
    <cellStyle name="Normal 57 5 2 6" xfId="1273"/>
    <cellStyle name="Normal 57 5 2 6 2" xfId="2830"/>
    <cellStyle name="Normal 57 5 2 6 2 2" xfId="10477"/>
    <cellStyle name="Normal 57 5 2 6 2 3" xfId="5460"/>
    <cellStyle name="Normal 57 5 2 6 3" xfId="6858"/>
    <cellStyle name="Normal 57 5 2 6 3 2" xfId="11873"/>
    <cellStyle name="Normal 57 5 2 6 4" xfId="8665"/>
    <cellStyle name="Normal 57 5 2 6 5" xfId="13327"/>
    <cellStyle name="Normal 57 5 2 6 6" xfId="8071"/>
    <cellStyle name="Normal 57 5 2 6 7" xfId="3592"/>
    <cellStyle name="Normal 57 5 2 7" xfId="1667"/>
    <cellStyle name="Normal 57 5 2 7 2" xfId="9551"/>
    <cellStyle name="Normal 57 5 2 7 3" xfId="4533"/>
    <cellStyle name="Normal 57 5 2 8" xfId="5814"/>
    <cellStyle name="Normal 57 5 2 8 2" xfId="10830"/>
    <cellStyle name="Normal 57 5 2 9" xfId="8391"/>
    <cellStyle name="Normal 57 5 2_Degree data" xfId="3097"/>
    <cellStyle name="Normal 57 5 3" xfId="245"/>
    <cellStyle name="Normal 57 5 3 10" xfId="7187"/>
    <cellStyle name="Normal 57 5 3 11" xfId="3356"/>
    <cellStyle name="Normal 57 5 3 2" xfId="402"/>
    <cellStyle name="Normal 57 5 3 2 2" xfId="652"/>
    <cellStyle name="Normal 57 5 3 2 2 2" xfId="2135"/>
    <cellStyle name="Normal 57 5 3 2 2 2 2" xfId="10241"/>
    <cellStyle name="Normal 57 5 3 2 2 2 3" xfId="5223"/>
    <cellStyle name="Normal 57 5 3 2 2 3" xfId="6282"/>
    <cellStyle name="Normal 57 5 3 2 2 3 2" xfId="11298"/>
    <cellStyle name="Normal 57 5 3 2 2 4" xfId="9357"/>
    <cellStyle name="Normal 57 5 3 2 2 5" xfId="12752"/>
    <cellStyle name="Normal 57 5 3 2 2 6" xfId="7834"/>
    <cellStyle name="Normal 57 5 3 2 2 7" xfId="4288"/>
    <cellStyle name="Normal 57 5 3 2 3" xfId="1061"/>
    <cellStyle name="Normal 57 5 3 2 3 2" xfId="2484"/>
    <cellStyle name="Normal 57 5 3 2 3 2 2" xfId="10620"/>
    <cellStyle name="Normal 57 5 3 2 3 2 3" xfId="5603"/>
    <cellStyle name="Normal 57 5 3 2 3 3" xfId="6631"/>
    <cellStyle name="Normal 57 5 3 2 3 3 2" xfId="11646"/>
    <cellStyle name="Normal 57 5 3 2 3 4" xfId="9027"/>
    <cellStyle name="Normal 57 5 3 2 3 5" xfId="13100"/>
    <cellStyle name="Normal 57 5 3 2 3 6" xfId="8214"/>
    <cellStyle name="Normal 57 5 3 2 3 7" xfId="3958"/>
    <cellStyle name="Normal 57 5 3 2 4" xfId="1419"/>
    <cellStyle name="Normal 57 5 3 2 4 2" xfId="2977"/>
    <cellStyle name="Normal 57 5 3 2 4 2 2" xfId="12016"/>
    <cellStyle name="Normal 57 5 3 2 4 2 3" xfId="7001"/>
    <cellStyle name="Normal 57 5 3 2 4 3" xfId="13470"/>
    <cellStyle name="Normal 57 5 3 2 4 4" xfId="9911"/>
    <cellStyle name="Normal 57 5 3 2 4 5" xfId="4893"/>
    <cellStyle name="Normal 57 5 3 2 5" xfId="1810"/>
    <cellStyle name="Normal 57 5 3 2 5 2" xfId="10973"/>
    <cellStyle name="Normal 57 5 3 2 5 3" xfId="5957"/>
    <cellStyle name="Normal 57 5 3 2 6" xfId="8534"/>
    <cellStyle name="Normal 57 5 3 2 7" xfId="12427"/>
    <cellStyle name="Normal 57 5 3 2 8" xfId="7504"/>
    <cellStyle name="Normal 57 5 3 2 9" xfId="3456"/>
    <cellStyle name="Normal 57 5 3 2_Degree data" xfId="3101"/>
    <cellStyle name="Normal 57 5 3 3" xfId="552"/>
    <cellStyle name="Normal 57 5 3 3 2" xfId="2134"/>
    <cellStyle name="Normal 57 5 3 3 2 2" xfId="9811"/>
    <cellStyle name="Normal 57 5 3 3 2 3" xfId="4793"/>
    <cellStyle name="Normal 57 5 3 3 3" xfId="6281"/>
    <cellStyle name="Normal 57 5 3 3 3 2" xfId="11297"/>
    <cellStyle name="Normal 57 5 3 3 4" xfId="8927"/>
    <cellStyle name="Normal 57 5 3 3 5" xfId="12751"/>
    <cellStyle name="Normal 57 5 3 3 6" xfId="7404"/>
    <cellStyle name="Normal 57 5 3 3 7" xfId="3858"/>
    <cellStyle name="Normal 57 5 3 4" xfId="961"/>
    <cellStyle name="Normal 57 5 3 4 2" xfId="2483"/>
    <cellStyle name="Normal 57 5 3 4 2 2" xfId="10240"/>
    <cellStyle name="Normal 57 5 3 4 2 3" xfId="5222"/>
    <cellStyle name="Normal 57 5 3 4 3" xfId="6630"/>
    <cellStyle name="Normal 57 5 3 4 3 2" xfId="11645"/>
    <cellStyle name="Normal 57 5 3 4 4" xfId="9356"/>
    <cellStyle name="Normal 57 5 3 4 5" xfId="13099"/>
    <cellStyle name="Normal 57 5 3 4 6" xfId="7833"/>
    <cellStyle name="Normal 57 5 3 4 7" xfId="4287"/>
    <cellStyle name="Normal 57 5 3 5" xfId="1317"/>
    <cellStyle name="Normal 57 5 3 5 2" xfId="2875"/>
    <cellStyle name="Normal 57 5 3 5 2 2" xfId="10520"/>
    <cellStyle name="Normal 57 5 3 5 2 3" xfId="5503"/>
    <cellStyle name="Normal 57 5 3 5 3" xfId="6901"/>
    <cellStyle name="Normal 57 5 3 5 3 2" xfId="11916"/>
    <cellStyle name="Normal 57 5 3 5 4" xfId="8708"/>
    <cellStyle name="Normal 57 5 3 5 5" xfId="13370"/>
    <cellStyle name="Normal 57 5 3 5 6" xfId="8114"/>
    <cellStyle name="Normal 57 5 3 5 7" xfId="3638"/>
    <cellStyle name="Normal 57 5 3 6" xfId="1710"/>
    <cellStyle name="Normal 57 5 3 6 2" xfId="9594"/>
    <cellStyle name="Normal 57 5 3 6 3" xfId="4576"/>
    <cellStyle name="Normal 57 5 3 7" xfId="5857"/>
    <cellStyle name="Normal 57 5 3 7 2" xfId="10873"/>
    <cellStyle name="Normal 57 5 3 8" xfId="8434"/>
    <cellStyle name="Normal 57 5 3 9" xfId="12327"/>
    <cellStyle name="Normal 57 5 3_Degree data" xfId="3100"/>
    <cellStyle name="Normal 57 5 4" xfId="312"/>
    <cellStyle name="Normal 57 5 4 10" xfId="7204"/>
    <cellStyle name="Normal 57 5 4 11" xfId="3268"/>
    <cellStyle name="Normal 57 5 4 2" xfId="669"/>
    <cellStyle name="Normal 57 5 4 2 2" xfId="1078"/>
    <cellStyle name="Normal 57 5 4 2 2 2" xfId="2137"/>
    <cellStyle name="Normal 57 5 4 2 2 2 2" xfId="10243"/>
    <cellStyle name="Normal 57 5 4 2 2 2 3" xfId="5225"/>
    <cellStyle name="Normal 57 5 4 2 2 3" xfId="6284"/>
    <cellStyle name="Normal 57 5 4 2 2 3 2" xfId="11300"/>
    <cellStyle name="Normal 57 5 4 2 2 4" xfId="9359"/>
    <cellStyle name="Normal 57 5 4 2 2 5" xfId="12754"/>
    <cellStyle name="Normal 57 5 4 2 2 6" xfId="7836"/>
    <cellStyle name="Normal 57 5 4 2 2 7" xfId="4290"/>
    <cellStyle name="Normal 57 5 4 2 3" xfId="1436"/>
    <cellStyle name="Normal 57 5 4 2 3 2" xfId="2486"/>
    <cellStyle name="Normal 57 5 4 2 3 2 2" xfId="10637"/>
    <cellStyle name="Normal 57 5 4 2 3 2 3" xfId="5620"/>
    <cellStyle name="Normal 57 5 4 2 3 3" xfId="6633"/>
    <cellStyle name="Normal 57 5 4 2 3 3 2" xfId="11648"/>
    <cellStyle name="Normal 57 5 4 2 3 4" xfId="9044"/>
    <cellStyle name="Normal 57 5 4 2 3 5" xfId="13102"/>
    <cellStyle name="Normal 57 5 4 2 3 6" xfId="8231"/>
    <cellStyle name="Normal 57 5 4 2 3 7" xfId="3975"/>
    <cellStyle name="Normal 57 5 4 2 4" xfId="2995"/>
    <cellStyle name="Normal 57 5 4 2 4 2" xfId="7018"/>
    <cellStyle name="Normal 57 5 4 2 4 2 2" xfId="12033"/>
    <cellStyle name="Normal 57 5 4 2 4 3" xfId="13487"/>
    <cellStyle name="Normal 57 5 4 2 4 4" xfId="9928"/>
    <cellStyle name="Normal 57 5 4 2 4 5" xfId="4910"/>
    <cellStyle name="Normal 57 5 4 2 5" xfId="1827"/>
    <cellStyle name="Normal 57 5 4 2 5 2" xfId="10990"/>
    <cellStyle name="Normal 57 5 4 2 5 3" xfId="5974"/>
    <cellStyle name="Normal 57 5 4 2 6" xfId="8551"/>
    <cellStyle name="Normal 57 5 4 2 7" xfId="12444"/>
    <cellStyle name="Normal 57 5 4 2 8" xfId="7521"/>
    <cellStyle name="Normal 57 5 4 2 9" xfId="3473"/>
    <cellStyle name="Normal 57 5 4 2_Degree data" xfId="3103"/>
    <cellStyle name="Normal 57 5 4 3" xfId="464"/>
    <cellStyle name="Normal 57 5 4 3 2" xfId="2136"/>
    <cellStyle name="Normal 57 5 4 3 2 2" xfId="9723"/>
    <cellStyle name="Normal 57 5 4 3 2 3" xfId="4705"/>
    <cellStyle name="Normal 57 5 4 3 3" xfId="6283"/>
    <cellStyle name="Normal 57 5 4 3 3 2" xfId="11299"/>
    <cellStyle name="Normal 57 5 4 3 4" xfId="8839"/>
    <cellStyle name="Normal 57 5 4 3 5" xfId="12753"/>
    <cellStyle name="Normal 57 5 4 3 6" xfId="7316"/>
    <cellStyle name="Normal 57 5 4 3 7" xfId="3770"/>
    <cellStyle name="Normal 57 5 4 4" xfId="873"/>
    <cellStyle name="Normal 57 5 4 4 2" xfId="2485"/>
    <cellStyle name="Normal 57 5 4 4 2 2" xfId="10242"/>
    <cellStyle name="Normal 57 5 4 4 2 3" xfId="5224"/>
    <cellStyle name="Normal 57 5 4 4 3" xfId="6632"/>
    <cellStyle name="Normal 57 5 4 4 3 2" xfId="11647"/>
    <cellStyle name="Normal 57 5 4 4 4" xfId="9358"/>
    <cellStyle name="Normal 57 5 4 4 5" xfId="13101"/>
    <cellStyle name="Normal 57 5 4 4 6" xfId="7835"/>
    <cellStyle name="Normal 57 5 4 4 7" xfId="4289"/>
    <cellStyle name="Normal 57 5 4 5" xfId="1225"/>
    <cellStyle name="Normal 57 5 4 5 2" xfId="2781"/>
    <cellStyle name="Normal 57 5 4 5 2 2" xfId="10432"/>
    <cellStyle name="Normal 57 5 4 5 2 3" xfId="5415"/>
    <cellStyle name="Normal 57 5 4 5 3" xfId="6813"/>
    <cellStyle name="Normal 57 5 4 5 3 2" xfId="11828"/>
    <cellStyle name="Normal 57 5 4 5 4" xfId="8725"/>
    <cellStyle name="Normal 57 5 4 5 5" xfId="13282"/>
    <cellStyle name="Normal 57 5 4 5 6" xfId="8026"/>
    <cellStyle name="Normal 57 5 4 5 7" xfId="3655"/>
    <cellStyle name="Normal 57 5 4 6" xfId="1622"/>
    <cellStyle name="Normal 57 5 4 6 2" xfId="9611"/>
    <cellStyle name="Normal 57 5 4 6 3" xfId="4593"/>
    <cellStyle name="Normal 57 5 4 7" xfId="5769"/>
    <cellStyle name="Normal 57 5 4 7 2" xfId="10785"/>
    <cellStyle name="Normal 57 5 4 8" xfId="8346"/>
    <cellStyle name="Normal 57 5 4 9" xfId="12239"/>
    <cellStyle name="Normal 57 5 4_Degree data" xfId="3102"/>
    <cellStyle name="Normal 57 5 5" xfId="298"/>
    <cellStyle name="Normal 57 5 5 2" xfId="564"/>
    <cellStyle name="Normal 57 5 5 2 2" xfId="2138"/>
    <cellStyle name="Normal 57 5 5 2 2 2" xfId="10244"/>
    <cellStyle name="Normal 57 5 5 2 2 3" xfId="5226"/>
    <cellStyle name="Normal 57 5 5 2 3" xfId="6285"/>
    <cellStyle name="Normal 57 5 5 2 3 2" xfId="11301"/>
    <cellStyle name="Normal 57 5 5 2 4" xfId="9360"/>
    <cellStyle name="Normal 57 5 5 2 5" xfId="12755"/>
    <cellStyle name="Normal 57 5 5 2 6" xfId="7837"/>
    <cellStyle name="Normal 57 5 5 2 7" xfId="4291"/>
    <cellStyle name="Normal 57 5 5 3" xfId="973"/>
    <cellStyle name="Normal 57 5 5 3 2" xfId="2487"/>
    <cellStyle name="Normal 57 5 5 3 2 2" xfId="10532"/>
    <cellStyle name="Normal 57 5 5 3 2 3" xfId="5515"/>
    <cellStyle name="Normal 57 5 5 3 3" xfId="6634"/>
    <cellStyle name="Normal 57 5 5 3 3 2" xfId="11649"/>
    <cellStyle name="Normal 57 5 5 3 4" xfId="8939"/>
    <cellStyle name="Normal 57 5 5 3 5" xfId="13103"/>
    <cellStyle name="Normal 57 5 5 3 6" xfId="8126"/>
    <cellStyle name="Normal 57 5 5 3 7" xfId="3870"/>
    <cellStyle name="Normal 57 5 5 4" xfId="1329"/>
    <cellStyle name="Normal 57 5 5 4 2" xfId="2887"/>
    <cellStyle name="Normal 57 5 5 4 2 2" xfId="11928"/>
    <cellStyle name="Normal 57 5 5 4 2 3" xfId="6913"/>
    <cellStyle name="Normal 57 5 5 4 3" xfId="13382"/>
    <cellStyle name="Normal 57 5 5 4 4" xfId="9823"/>
    <cellStyle name="Normal 57 5 5 4 5" xfId="4805"/>
    <cellStyle name="Normal 57 5 5 5" xfId="1722"/>
    <cellStyle name="Normal 57 5 5 5 2" xfId="10885"/>
    <cellStyle name="Normal 57 5 5 5 3" xfId="5869"/>
    <cellStyle name="Normal 57 5 5 6" xfId="8446"/>
    <cellStyle name="Normal 57 5 5 7" xfId="12339"/>
    <cellStyle name="Normal 57 5 5 8" xfId="7416"/>
    <cellStyle name="Normal 57 5 5 9" xfId="3368"/>
    <cellStyle name="Normal 57 5 5_Degree data" xfId="3104"/>
    <cellStyle name="Normal 57 5 6" xfId="452"/>
    <cellStyle name="Normal 57 5 6 2" xfId="861"/>
    <cellStyle name="Normal 57 5 6 2 2" xfId="2139"/>
    <cellStyle name="Normal 57 5 6 2 2 2" xfId="10245"/>
    <cellStyle name="Normal 57 5 6 2 2 3" xfId="5227"/>
    <cellStyle name="Normal 57 5 6 2 3" xfId="6286"/>
    <cellStyle name="Normal 57 5 6 2 3 2" xfId="11302"/>
    <cellStyle name="Normal 57 5 6 2 4" xfId="9361"/>
    <cellStyle name="Normal 57 5 6 2 5" xfId="12756"/>
    <cellStyle name="Normal 57 5 6 2 6" xfId="7838"/>
    <cellStyle name="Normal 57 5 6 2 7" xfId="4292"/>
    <cellStyle name="Normal 57 5 6 3" xfId="1211"/>
    <cellStyle name="Normal 57 5 6 3 2" xfId="2488"/>
    <cellStyle name="Normal 57 5 6 3 2 2" xfId="10420"/>
    <cellStyle name="Normal 57 5 6 3 2 3" xfId="5403"/>
    <cellStyle name="Normal 57 5 6 3 3" xfId="6635"/>
    <cellStyle name="Normal 57 5 6 3 3 2" xfId="11650"/>
    <cellStyle name="Normal 57 5 6 3 4" xfId="9491"/>
    <cellStyle name="Normal 57 5 6 3 5" xfId="13104"/>
    <cellStyle name="Normal 57 5 6 3 6" xfId="8014"/>
    <cellStyle name="Normal 57 5 6 3 7" xfId="4473"/>
    <cellStyle name="Normal 57 5 6 4" xfId="2765"/>
    <cellStyle name="Normal 57 5 6 4 2" xfId="6801"/>
    <cellStyle name="Normal 57 5 6 4 2 2" xfId="11816"/>
    <cellStyle name="Normal 57 5 6 4 3" xfId="13270"/>
    <cellStyle name="Normal 57 5 6 4 4" xfId="9711"/>
    <cellStyle name="Normal 57 5 6 4 5" xfId="4693"/>
    <cellStyle name="Normal 57 5 6 5" xfId="1610"/>
    <cellStyle name="Normal 57 5 6 5 2" xfId="10771"/>
    <cellStyle name="Normal 57 5 6 5 3" xfId="5755"/>
    <cellStyle name="Normal 57 5 6 6" xfId="8827"/>
    <cellStyle name="Normal 57 5 6 7" xfId="12227"/>
    <cellStyle name="Normal 57 5 6 8" xfId="7304"/>
    <cellStyle name="Normal 57 5 6 9" xfId="3758"/>
    <cellStyle name="Normal 57 5 6_Degree data" xfId="3105"/>
    <cellStyle name="Normal 57 5 7" xfId="785"/>
    <cellStyle name="Normal 57 5 7 2" xfId="2130"/>
    <cellStyle name="Normal 57 5 7 2 2" xfId="10236"/>
    <cellStyle name="Normal 57 5 7 2 3" xfId="5218"/>
    <cellStyle name="Normal 57 5 7 3" xfId="6277"/>
    <cellStyle name="Normal 57 5 7 3 2" xfId="11293"/>
    <cellStyle name="Normal 57 5 7 4" xfId="9352"/>
    <cellStyle name="Normal 57 5 7 5" xfId="12747"/>
    <cellStyle name="Normal 57 5 7 6" xfId="7829"/>
    <cellStyle name="Normal 57 5 7 7" xfId="4283"/>
    <cellStyle name="Normal 57 5 8" xfId="1165"/>
    <cellStyle name="Normal 57 5 8 2" xfId="2479"/>
    <cellStyle name="Normal 57 5 8 2 2" xfId="10375"/>
    <cellStyle name="Normal 57 5 8 2 3" xfId="5358"/>
    <cellStyle name="Normal 57 5 8 3" xfId="6626"/>
    <cellStyle name="Normal 57 5 8 3 2" xfId="11641"/>
    <cellStyle name="Normal 57 5 8 4" xfId="8619"/>
    <cellStyle name="Normal 57 5 8 5" xfId="13095"/>
    <cellStyle name="Normal 57 5 8 6" xfId="7969"/>
    <cellStyle name="Normal 57 5 8 7" xfId="3543"/>
    <cellStyle name="Normal 57 5 9" xfId="2716"/>
    <cellStyle name="Normal 57 5 9 2" xfId="6756"/>
    <cellStyle name="Normal 57 5 9 2 2" xfId="11771"/>
    <cellStyle name="Normal 57 5 9 3" xfId="13225"/>
    <cellStyle name="Normal 57 5 9 4" xfId="9505"/>
    <cellStyle name="Normal 57 5 9 5" xfId="4487"/>
    <cellStyle name="Normal 57 5_Degree data" xfId="3096"/>
    <cellStyle name="Normal 57 6" xfId="155"/>
    <cellStyle name="Normal 57 6 10" xfId="8308"/>
    <cellStyle name="Normal 57 6 11" xfId="12128"/>
    <cellStyle name="Normal 57 6 12" xfId="7117"/>
    <cellStyle name="Normal 57 6 13" xfId="3229"/>
    <cellStyle name="Normal 57 6 2" xfId="377"/>
    <cellStyle name="Normal 57 6 2 10" xfId="7163"/>
    <cellStyle name="Normal 57 6 2 11" xfId="3332"/>
    <cellStyle name="Normal 57 6 2 2" xfId="628"/>
    <cellStyle name="Normal 57 6 2 2 2" xfId="1037"/>
    <cellStyle name="Normal 57 6 2 2 2 2" xfId="2142"/>
    <cellStyle name="Normal 57 6 2 2 2 2 2" xfId="10248"/>
    <cellStyle name="Normal 57 6 2 2 2 2 3" xfId="5230"/>
    <cellStyle name="Normal 57 6 2 2 2 3" xfId="6289"/>
    <cellStyle name="Normal 57 6 2 2 2 3 2" xfId="11305"/>
    <cellStyle name="Normal 57 6 2 2 2 4" xfId="9364"/>
    <cellStyle name="Normal 57 6 2 2 2 5" xfId="12759"/>
    <cellStyle name="Normal 57 6 2 2 2 6" xfId="7841"/>
    <cellStyle name="Normal 57 6 2 2 2 7" xfId="4295"/>
    <cellStyle name="Normal 57 6 2 2 3" xfId="1394"/>
    <cellStyle name="Normal 57 6 2 2 3 2" xfId="2491"/>
    <cellStyle name="Normal 57 6 2 2 3 2 2" xfId="10596"/>
    <cellStyle name="Normal 57 6 2 2 3 2 3" xfId="5579"/>
    <cellStyle name="Normal 57 6 2 2 3 3" xfId="6638"/>
    <cellStyle name="Normal 57 6 2 2 3 3 2" xfId="11653"/>
    <cellStyle name="Normal 57 6 2 2 3 4" xfId="9003"/>
    <cellStyle name="Normal 57 6 2 2 3 5" xfId="13107"/>
    <cellStyle name="Normal 57 6 2 2 3 6" xfId="8190"/>
    <cellStyle name="Normal 57 6 2 2 3 7" xfId="3934"/>
    <cellStyle name="Normal 57 6 2 2 4" xfId="2952"/>
    <cellStyle name="Normal 57 6 2 2 4 2" xfId="6977"/>
    <cellStyle name="Normal 57 6 2 2 4 2 2" xfId="11992"/>
    <cellStyle name="Normal 57 6 2 2 4 3" xfId="13446"/>
    <cellStyle name="Normal 57 6 2 2 4 4" xfId="9887"/>
    <cellStyle name="Normal 57 6 2 2 4 5" xfId="4869"/>
    <cellStyle name="Normal 57 6 2 2 5" xfId="1786"/>
    <cellStyle name="Normal 57 6 2 2 5 2" xfId="10949"/>
    <cellStyle name="Normal 57 6 2 2 5 3" xfId="5933"/>
    <cellStyle name="Normal 57 6 2 2 6" xfId="8510"/>
    <cellStyle name="Normal 57 6 2 2 7" xfId="12403"/>
    <cellStyle name="Normal 57 6 2 2 8" xfId="7480"/>
    <cellStyle name="Normal 57 6 2 2 9" xfId="3432"/>
    <cellStyle name="Normal 57 6 2 2_Degree data" xfId="3108"/>
    <cellStyle name="Normal 57 6 2 3" xfId="528"/>
    <cellStyle name="Normal 57 6 2 3 2" xfId="2141"/>
    <cellStyle name="Normal 57 6 2 3 2 2" xfId="9787"/>
    <cellStyle name="Normal 57 6 2 3 2 3" xfId="4769"/>
    <cellStyle name="Normal 57 6 2 3 3" xfId="6288"/>
    <cellStyle name="Normal 57 6 2 3 3 2" xfId="11304"/>
    <cellStyle name="Normal 57 6 2 3 4" xfId="8903"/>
    <cellStyle name="Normal 57 6 2 3 5" xfId="12758"/>
    <cellStyle name="Normal 57 6 2 3 6" xfId="7380"/>
    <cellStyle name="Normal 57 6 2 3 7" xfId="3834"/>
    <cellStyle name="Normal 57 6 2 4" xfId="937"/>
    <cellStyle name="Normal 57 6 2 4 2" xfId="2490"/>
    <cellStyle name="Normal 57 6 2 4 2 2" xfId="10247"/>
    <cellStyle name="Normal 57 6 2 4 2 3" xfId="5229"/>
    <cellStyle name="Normal 57 6 2 4 3" xfId="6637"/>
    <cellStyle name="Normal 57 6 2 4 3 2" xfId="11652"/>
    <cellStyle name="Normal 57 6 2 4 4" xfId="9363"/>
    <cellStyle name="Normal 57 6 2 4 5" xfId="13106"/>
    <cellStyle name="Normal 57 6 2 4 6" xfId="7840"/>
    <cellStyle name="Normal 57 6 2 4 7" xfId="4294"/>
    <cellStyle name="Normal 57 6 2 5" xfId="1293"/>
    <cellStyle name="Normal 57 6 2 5 2" xfId="2850"/>
    <cellStyle name="Normal 57 6 2 5 2 2" xfId="10496"/>
    <cellStyle name="Normal 57 6 2 5 2 3" xfId="5479"/>
    <cellStyle name="Normal 57 6 2 5 3" xfId="6877"/>
    <cellStyle name="Normal 57 6 2 5 3 2" xfId="11892"/>
    <cellStyle name="Normal 57 6 2 5 4" xfId="8684"/>
    <cellStyle name="Normal 57 6 2 5 5" xfId="13346"/>
    <cellStyle name="Normal 57 6 2 5 6" xfId="8090"/>
    <cellStyle name="Normal 57 6 2 5 7" xfId="3613"/>
    <cellStyle name="Normal 57 6 2 6" xfId="1686"/>
    <cellStyle name="Normal 57 6 2 6 2" xfId="9570"/>
    <cellStyle name="Normal 57 6 2 6 3" xfId="4552"/>
    <cellStyle name="Normal 57 6 2 7" xfId="5833"/>
    <cellStyle name="Normal 57 6 2 7 2" xfId="10849"/>
    <cellStyle name="Normal 57 6 2 8" xfId="8410"/>
    <cellStyle name="Normal 57 6 2 9" xfId="12303"/>
    <cellStyle name="Normal 57 6 2_Degree data" xfId="3107"/>
    <cellStyle name="Normal 57 6 3" xfId="330"/>
    <cellStyle name="Normal 57 6 3 10" xfId="7222"/>
    <cellStyle name="Normal 57 6 3 11" xfId="3286"/>
    <cellStyle name="Normal 57 6 3 2" xfId="687"/>
    <cellStyle name="Normal 57 6 3 2 2" xfId="1096"/>
    <cellStyle name="Normal 57 6 3 2 2 2" xfId="2144"/>
    <cellStyle name="Normal 57 6 3 2 2 2 2" xfId="10250"/>
    <cellStyle name="Normal 57 6 3 2 2 2 3" xfId="5232"/>
    <cellStyle name="Normal 57 6 3 2 2 3" xfId="6291"/>
    <cellStyle name="Normal 57 6 3 2 2 3 2" xfId="11307"/>
    <cellStyle name="Normal 57 6 3 2 2 4" xfId="9366"/>
    <cellStyle name="Normal 57 6 3 2 2 5" xfId="12761"/>
    <cellStyle name="Normal 57 6 3 2 2 6" xfId="7843"/>
    <cellStyle name="Normal 57 6 3 2 2 7" xfId="4297"/>
    <cellStyle name="Normal 57 6 3 2 3" xfId="1454"/>
    <cellStyle name="Normal 57 6 3 2 3 2" xfId="2493"/>
    <cellStyle name="Normal 57 6 3 2 3 2 2" xfId="10655"/>
    <cellStyle name="Normal 57 6 3 2 3 2 3" xfId="5638"/>
    <cellStyle name="Normal 57 6 3 2 3 3" xfId="6640"/>
    <cellStyle name="Normal 57 6 3 2 3 3 2" xfId="11655"/>
    <cellStyle name="Normal 57 6 3 2 3 4" xfId="9062"/>
    <cellStyle name="Normal 57 6 3 2 3 5" xfId="13109"/>
    <cellStyle name="Normal 57 6 3 2 3 6" xfId="8249"/>
    <cellStyle name="Normal 57 6 3 2 3 7" xfId="3993"/>
    <cellStyle name="Normal 57 6 3 2 4" xfId="3013"/>
    <cellStyle name="Normal 57 6 3 2 4 2" xfId="7036"/>
    <cellStyle name="Normal 57 6 3 2 4 2 2" xfId="12051"/>
    <cellStyle name="Normal 57 6 3 2 4 3" xfId="13505"/>
    <cellStyle name="Normal 57 6 3 2 4 4" xfId="9946"/>
    <cellStyle name="Normal 57 6 3 2 4 5" xfId="4928"/>
    <cellStyle name="Normal 57 6 3 2 5" xfId="1845"/>
    <cellStyle name="Normal 57 6 3 2 5 2" xfId="11008"/>
    <cellStyle name="Normal 57 6 3 2 5 3" xfId="5992"/>
    <cellStyle name="Normal 57 6 3 2 6" xfId="8569"/>
    <cellStyle name="Normal 57 6 3 2 7" xfId="12462"/>
    <cellStyle name="Normal 57 6 3 2 8" xfId="7539"/>
    <cellStyle name="Normal 57 6 3 2 9" xfId="3491"/>
    <cellStyle name="Normal 57 6 3 2_Degree data" xfId="3110"/>
    <cellStyle name="Normal 57 6 3 3" xfId="482"/>
    <cellStyle name="Normal 57 6 3 3 2" xfId="2143"/>
    <cellStyle name="Normal 57 6 3 3 2 2" xfId="9741"/>
    <cellStyle name="Normal 57 6 3 3 2 3" xfId="4723"/>
    <cellStyle name="Normal 57 6 3 3 3" xfId="6290"/>
    <cellStyle name="Normal 57 6 3 3 3 2" xfId="11306"/>
    <cellStyle name="Normal 57 6 3 3 4" xfId="8857"/>
    <cellStyle name="Normal 57 6 3 3 5" xfId="12760"/>
    <cellStyle name="Normal 57 6 3 3 6" xfId="7334"/>
    <cellStyle name="Normal 57 6 3 3 7" xfId="3788"/>
    <cellStyle name="Normal 57 6 3 4" xfId="891"/>
    <cellStyle name="Normal 57 6 3 4 2" xfId="2492"/>
    <cellStyle name="Normal 57 6 3 4 2 2" xfId="10249"/>
    <cellStyle name="Normal 57 6 3 4 2 3" xfId="5231"/>
    <cellStyle name="Normal 57 6 3 4 3" xfId="6639"/>
    <cellStyle name="Normal 57 6 3 4 3 2" xfId="11654"/>
    <cellStyle name="Normal 57 6 3 4 4" xfId="9365"/>
    <cellStyle name="Normal 57 6 3 4 5" xfId="13108"/>
    <cellStyle name="Normal 57 6 3 4 6" xfId="7842"/>
    <cellStyle name="Normal 57 6 3 4 7" xfId="4296"/>
    <cellStyle name="Normal 57 6 3 5" xfId="1243"/>
    <cellStyle name="Normal 57 6 3 5 2" xfId="2799"/>
    <cellStyle name="Normal 57 6 3 5 2 2" xfId="10450"/>
    <cellStyle name="Normal 57 6 3 5 2 3" xfId="5433"/>
    <cellStyle name="Normal 57 6 3 5 3" xfId="6831"/>
    <cellStyle name="Normal 57 6 3 5 3 2" xfId="11846"/>
    <cellStyle name="Normal 57 6 3 5 4" xfId="8743"/>
    <cellStyle name="Normal 57 6 3 5 5" xfId="13300"/>
    <cellStyle name="Normal 57 6 3 5 6" xfId="8044"/>
    <cellStyle name="Normal 57 6 3 5 7" xfId="3673"/>
    <cellStyle name="Normal 57 6 3 6" xfId="1640"/>
    <cellStyle name="Normal 57 6 3 6 2" xfId="9629"/>
    <cellStyle name="Normal 57 6 3 6 3" xfId="4611"/>
    <cellStyle name="Normal 57 6 3 7" xfId="5787"/>
    <cellStyle name="Normal 57 6 3 7 2" xfId="10803"/>
    <cellStyle name="Normal 57 6 3 8" xfId="8364"/>
    <cellStyle name="Normal 57 6 3 9" xfId="12257"/>
    <cellStyle name="Normal 57 6 3_Degree data" xfId="3109"/>
    <cellStyle name="Normal 57 6 4" xfId="270"/>
    <cellStyle name="Normal 57 6 4 2" xfId="582"/>
    <cellStyle name="Normal 57 6 4 2 2" xfId="2145"/>
    <cellStyle name="Normal 57 6 4 2 2 2" xfId="10251"/>
    <cellStyle name="Normal 57 6 4 2 2 3" xfId="5233"/>
    <cellStyle name="Normal 57 6 4 2 3" xfId="6292"/>
    <cellStyle name="Normal 57 6 4 2 3 2" xfId="11308"/>
    <cellStyle name="Normal 57 6 4 2 4" xfId="9367"/>
    <cellStyle name="Normal 57 6 4 2 5" xfId="12762"/>
    <cellStyle name="Normal 57 6 4 2 6" xfId="7844"/>
    <cellStyle name="Normal 57 6 4 2 7" xfId="4298"/>
    <cellStyle name="Normal 57 6 4 3" xfId="991"/>
    <cellStyle name="Normal 57 6 4 3 2" xfId="2494"/>
    <cellStyle name="Normal 57 6 4 3 2 2" xfId="10550"/>
    <cellStyle name="Normal 57 6 4 3 2 3" xfId="5533"/>
    <cellStyle name="Normal 57 6 4 3 3" xfId="6641"/>
    <cellStyle name="Normal 57 6 4 3 3 2" xfId="11656"/>
    <cellStyle name="Normal 57 6 4 3 4" xfId="8957"/>
    <cellStyle name="Normal 57 6 4 3 5" xfId="13110"/>
    <cellStyle name="Normal 57 6 4 3 6" xfId="8144"/>
    <cellStyle name="Normal 57 6 4 3 7" xfId="3888"/>
    <cellStyle name="Normal 57 6 4 4" xfId="1347"/>
    <cellStyle name="Normal 57 6 4 4 2" xfId="2905"/>
    <cellStyle name="Normal 57 6 4 4 2 2" xfId="11946"/>
    <cellStyle name="Normal 57 6 4 4 2 3" xfId="6931"/>
    <cellStyle name="Normal 57 6 4 4 3" xfId="13400"/>
    <cellStyle name="Normal 57 6 4 4 4" xfId="9841"/>
    <cellStyle name="Normal 57 6 4 4 5" xfId="4823"/>
    <cellStyle name="Normal 57 6 4 5" xfId="1740"/>
    <cellStyle name="Normal 57 6 4 5 2" xfId="10903"/>
    <cellStyle name="Normal 57 6 4 5 3" xfId="5887"/>
    <cellStyle name="Normal 57 6 4 6" xfId="8464"/>
    <cellStyle name="Normal 57 6 4 7" xfId="12357"/>
    <cellStyle name="Normal 57 6 4 8" xfId="7434"/>
    <cellStyle name="Normal 57 6 4 9" xfId="3386"/>
    <cellStyle name="Normal 57 6 4_Degree data" xfId="3111"/>
    <cellStyle name="Normal 57 6 5" xfId="426"/>
    <cellStyle name="Normal 57 6 5 2" xfId="834"/>
    <cellStyle name="Normal 57 6 5 2 2" xfId="9685"/>
    <cellStyle name="Normal 57 6 5 2 3" xfId="4667"/>
    <cellStyle name="Normal 57 6 5 3" xfId="2140"/>
    <cellStyle name="Normal 57 6 5 3 2" xfId="11303"/>
    <cellStyle name="Normal 57 6 5 3 3" xfId="6287"/>
    <cellStyle name="Normal 57 6 5 4" xfId="8801"/>
    <cellStyle name="Normal 57 6 5 5" xfId="12757"/>
    <cellStyle name="Normal 57 6 5 6" xfId="7278"/>
    <cellStyle name="Normal 57 6 5 7" xfId="3732"/>
    <cellStyle name="Normal 57 6 6" xfId="761"/>
    <cellStyle name="Normal 57 6 6 2" xfId="2489"/>
    <cellStyle name="Normal 57 6 6 2 2" xfId="10246"/>
    <cellStyle name="Normal 57 6 6 2 3" xfId="5228"/>
    <cellStyle name="Normal 57 6 6 3" xfId="6636"/>
    <cellStyle name="Normal 57 6 6 3 2" xfId="11651"/>
    <cellStyle name="Normal 57 6 6 4" xfId="9362"/>
    <cellStyle name="Normal 57 6 6 5" xfId="13105"/>
    <cellStyle name="Normal 57 6 6 6" xfId="7839"/>
    <cellStyle name="Normal 57 6 6 7" xfId="4293"/>
    <cellStyle name="Normal 57 6 7" xfId="1185"/>
    <cellStyle name="Normal 57 6 7 2" xfId="2737"/>
    <cellStyle name="Normal 57 6 7 2 2" xfId="10394"/>
    <cellStyle name="Normal 57 6 7 2 3" xfId="5377"/>
    <cellStyle name="Normal 57 6 7 3" xfId="6775"/>
    <cellStyle name="Normal 57 6 7 3 2" xfId="11790"/>
    <cellStyle name="Normal 57 6 7 4" xfId="8637"/>
    <cellStyle name="Normal 57 6 7 5" xfId="13244"/>
    <cellStyle name="Normal 57 6 7 6" xfId="7988"/>
    <cellStyle name="Normal 57 6 7 7" xfId="3561"/>
    <cellStyle name="Normal 57 6 8" xfId="1584"/>
    <cellStyle name="Normal 57 6 8 2" xfId="12201"/>
    <cellStyle name="Normal 57 6 8 3" xfId="9524"/>
    <cellStyle name="Normal 57 6 8 4" xfId="4506"/>
    <cellStyle name="Normal 57 6 9" xfId="1511"/>
    <cellStyle name="Normal 57 6 9 2" xfId="10745"/>
    <cellStyle name="Normal 57 6 9 3" xfId="5729"/>
    <cellStyle name="Normal 57 6_Degree data" xfId="3106"/>
    <cellStyle name="Normal 57 7" xfId="185"/>
    <cellStyle name="Normal 57 7 10" xfId="12260"/>
    <cellStyle name="Normal 57 7 11" xfId="7120"/>
    <cellStyle name="Normal 57 7 12" xfId="3289"/>
    <cellStyle name="Normal 57 7 2" xfId="333"/>
    <cellStyle name="Normal 57 7 2 10" xfId="3494"/>
    <cellStyle name="Normal 57 7 2 2" xfId="690"/>
    <cellStyle name="Normal 57 7 2 2 2" xfId="2147"/>
    <cellStyle name="Normal 57 7 2 2 2 2" xfId="9949"/>
    <cellStyle name="Normal 57 7 2 2 2 3" xfId="4931"/>
    <cellStyle name="Normal 57 7 2 2 3" xfId="6294"/>
    <cellStyle name="Normal 57 7 2 2 3 2" xfId="11310"/>
    <cellStyle name="Normal 57 7 2 2 4" xfId="9065"/>
    <cellStyle name="Normal 57 7 2 2 5" xfId="12764"/>
    <cellStyle name="Normal 57 7 2 2 6" xfId="7542"/>
    <cellStyle name="Normal 57 7 2 2 7" xfId="3996"/>
    <cellStyle name="Normal 57 7 2 3" xfId="1099"/>
    <cellStyle name="Normal 57 7 2 3 2" xfId="2496"/>
    <cellStyle name="Normal 57 7 2 3 2 2" xfId="10253"/>
    <cellStyle name="Normal 57 7 2 3 2 3" xfId="5235"/>
    <cellStyle name="Normal 57 7 2 3 3" xfId="6643"/>
    <cellStyle name="Normal 57 7 2 3 3 2" xfId="11658"/>
    <cellStyle name="Normal 57 7 2 3 4" xfId="9369"/>
    <cellStyle name="Normal 57 7 2 3 5" xfId="13112"/>
    <cellStyle name="Normal 57 7 2 3 6" xfId="7846"/>
    <cellStyle name="Normal 57 7 2 3 7" xfId="4300"/>
    <cellStyle name="Normal 57 7 2 4" xfId="1457"/>
    <cellStyle name="Normal 57 7 2 4 2" xfId="3016"/>
    <cellStyle name="Normal 57 7 2 4 2 2" xfId="10658"/>
    <cellStyle name="Normal 57 7 2 4 2 3" xfId="5641"/>
    <cellStyle name="Normal 57 7 2 4 3" xfId="7039"/>
    <cellStyle name="Normal 57 7 2 4 3 2" xfId="12054"/>
    <cellStyle name="Normal 57 7 2 4 4" xfId="8746"/>
    <cellStyle name="Normal 57 7 2 4 5" xfId="13508"/>
    <cellStyle name="Normal 57 7 2 4 6" xfId="8252"/>
    <cellStyle name="Normal 57 7 2 4 7" xfId="3676"/>
    <cellStyle name="Normal 57 7 2 5" xfId="1848"/>
    <cellStyle name="Normal 57 7 2 5 2" xfId="9632"/>
    <cellStyle name="Normal 57 7 2 5 3" xfId="4614"/>
    <cellStyle name="Normal 57 7 2 6" xfId="5995"/>
    <cellStyle name="Normal 57 7 2 6 2" xfId="11011"/>
    <cellStyle name="Normal 57 7 2 7" xfId="8572"/>
    <cellStyle name="Normal 57 7 2 8" xfId="12465"/>
    <cellStyle name="Normal 57 7 2 9" xfId="7225"/>
    <cellStyle name="Normal 57 7 2_Degree data" xfId="3113"/>
    <cellStyle name="Normal 57 7 3" xfId="585"/>
    <cellStyle name="Normal 57 7 3 2" xfId="994"/>
    <cellStyle name="Normal 57 7 3 2 2" xfId="2148"/>
    <cellStyle name="Normal 57 7 3 2 2 2" xfId="10254"/>
    <cellStyle name="Normal 57 7 3 2 2 3" xfId="5236"/>
    <cellStyle name="Normal 57 7 3 2 3" xfId="6295"/>
    <cellStyle name="Normal 57 7 3 2 3 2" xfId="11311"/>
    <cellStyle name="Normal 57 7 3 2 4" xfId="9370"/>
    <cellStyle name="Normal 57 7 3 2 5" xfId="12765"/>
    <cellStyle name="Normal 57 7 3 2 6" xfId="7847"/>
    <cellStyle name="Normal 57 7 3 2 7" xfId="4301"/>
    <cellStyle name="Normal 57 7 3 3" xfId="1350"/>
    <cellStyle name="Normal 57 7 3 3 2" xfId="2497"/>
    <cellStyle name="Normal 57 7 3 3 2 2" xfId="10553"/>
    <cellStyle name="Normal 57 7 3 3 2 3" xfId="5536"/>
    <cellStyle name="Normal 57 7 3 3 3" xfId="6644"/>
    <cellStyle name="Normal 57 7 3 3 3 2" xfId="11659"/>
    <cellStyle name="Normal 57 7 3 3 4" xfId="8960"/>
    <cellStyle name="Normal 57 7 3 3 5" xfId="13113"/>
    <cellStyle name="Normal 57 7 3 3 6" xfId="8147"/>
    <cellStyle name="Normal 57 7 3 3 7" xfId="3891"/>
    <cellStyle name="Normal 57 7 3 4" xfId="2908"/>
    <cellStyle name="Normal 57 7 3 4 2" xfId="6934"/>
    <cellStyle name="Normal 57 7 3 4 2 2" xfId="11949"/>
    <cellStyle name="Normal 57 7 3 4 3" xfId="13403"/>
    <cellStyle name="Normal 57 7 3 4 4" xfId="9844"/>
    <cellStyle name="Normal 57 7 3 4 5" xfId="4826"/>
    <cellStyle name="Normal 57 7 3 5" xfId="1743"/>
    <cellStyle name="Normal 57 7 3 5 2" xfId="10906"/>
    <cellStyle name="Normal 57 7 3 5 3" xfId="5890"/>
    <cellStyle name="Normal 57 7 3 6" xfId="8467"/>
    <cellStyle name="Normal 57 7 3 7" xfId="12360"/>
    <cellStyle name="Normal 57 7 3 8" xfId="7437"/>
    <cellStyle name="Normal 57 7 3 9" xfId="3389"/>
    <cellStyle name="Normal 57 7 3_Degree data" xfId="3114"/>
    <cellStyle name="Normal 57 7 4" xfId="485"/>
    <cellStyle name="Normal 57 7 4 2" xfId="894"/>
    <cellStyle name="Normal 57 7 4 2 2" xfId="9744"/>
    <cellStyle name="Normal 57 7 4 2 3" xfId="4726"/>
    <cellStyle name="Normal 57 7 4 3" xfId="2146"/>
    <cellStyle name="Normal 57 7 4 3 2" xfId="11309"/>
    <cellStyle name="Normal 57 7 4 3 3" xfId="6293"/>
    <cellStyle name="Normal 57 7 4 4" xfId="8860"/>
    <cellStyle name="Normal 57 7 4 5" xfId="12763"/>
    <cellStyle name="Normal 57 7 4 6" xfId="7337"/>
    <cellStyle name="Normal 57 7 4 7" xfId="3791"/>
    <cellStyle name="Normal 57 7 5" xfId="791"/>
    <cellStyle name="Normal 57 7 5 2" xfId="2495"/>
    <cellStyle name="Normal 57 7 5 2 2" xfId="10252"/>
    <cellStyle name="Normal 57 7 5 2 3" xfId="5234"/>
    <cellStyle name="Normal 57 7 5 3" xfId="6642"/>
    <cellStyle name="Normal 57 7 5 3 2" xfId="11657"/>
    <cellStyle name="Normal 57 7 5 4" xfId="9368"/>
    <cellStyle name="Normal 57 7 5 5" xfId="13111"/>
    <cellStyle name="Normal 57 7 5 6" xfId="7845"/>
    <cellStyle name="Normal 57 7 5 7" xfId="4299"/>
    <cellStyle name="Normal 57 7 6" xfId="1249"/>
    <cellStyle name="Normal 57 7 6 2" xfId="2805"/>
    <cellStyle name="Normal 57 7 6 2 2" xfId="10453"/>
    <cellStyle name="Normal 57 7 6 2 3" xfId="5436"/>
    <cellStyle name="Normal 57 7 6 3" xfId="6834"/>
    <cellStyle name="Normal 57 7 6 3 2" xfId="11849"/>
    <cellStyle name="Normal 57 7 6 4" xfId="8640"/>
    <cellStyle name="Normal 57 7 6 5" xfId="13303"/>
    <cellStyle name="Normal 57 7 6 6" xfId="8047"/>
    <cellStyle name="Normal 57 7 6 7" xfId="3567"/>
    <cellStyle name="Normal 57 7 7" xfId="1643"/>
    <cellStyle name="Normal 57 7 7 2" xfId="9527"/>
    <cellStyle name="Normal 57 7 7 3" xfId="4509"/>
    <cellStyle name="Normal 57 7 8" xfId="5790"/>
    <cellStyle name="Normal 57 7 8 2" xfId="10806"/>
    <cellStyle name="Normal 57 7 9" xfId="8367"/>
    <cellStyle name="Normal 57 7_Degree data" xfId="3112"/>
    <cellStyle name="Normal 57 8" xfId="219"/>
    <cellStyle name="Normal 57 8 10" xfId="7150"/>
    <cellStyle name="Normal 57 8 11" xfId="3319"/>
    <cellStyle name="Normal 57 8 2" xfId="364"/>
    <cellStyle name="Normal 57 8 2 2" xfId="615"/>
    <cellStyle name="Normal 57 8 2 2 2" xfId="2150"/>
    <cellStyle name="Normal 57 8 2 2 2 2" xfId="10256"/>
    <cellStyle name="Normal 57 8 2 2 2 3" xfId="5238"/>
    <cellStyle name="Normal 57 8 2 2 3" xfId="6297"/>
    <cellStyle name="Normal 57 8 2 2 3 2" xfId="11313"/>
    <cellStyle name="Normal 57 8 2 2 4" xfId="9372"/>
    <cellStyle name="Normal 57 8 2 2 5" xfId="12767"/>
    <cellStyle name="Normal 57 8 2 2 6" xfId="7849"/>
    <cellStyle name="Normal 57 8 2 2 7" xfId="4303"/>
    <cellStyle name="Normal 57 8 2 3" xfId="1024"/>
    <cellStyle name="Normal 57 8 2 3 2" xfId="2499"/>
    <cellStyle name="Normal 57 8 2 3 2 2" xfId="10583"/>
    <cellStyle name="Normal 57 8 2 3 2 3" xfId="5566"/>
    <cellStyle name="Normal 57 8 2 3 3" xfId="6646"/>
    <cellStyle name="Normal 57 8 2 3 3 2" xfId="11661"/>
    <cellStyle name="Normal 57 8 2 3 4" xfId="8990"/>
    <cellStyle name="Normal 57 8 2 3 5" xfId="13115"/>
    <cellStyle name="Normal 57 8 2 3 6" xfId="8177"/>
    <cellStyle name="Normal 57 8 2 3 7" xfId="3921"/>
    <cellStyle name="Normal 57 8 2 4" xfId="1381"/>
    <cellStyle name="Normal 57 8 2 4 2" xfId="2939"/>
    <cellStyle name="Normal 57 8 2 4 2 2" xfId="11979"/>
    <cellStyle name="Normal 57 8 2 4 2 3" xfId="6964"/>
    <cellStyle name="Normal 57 8 2 4 3" xfId="13433"/>
    <cellStyle name="Normal 57 8 2 4 4" xfId="9874"/>
    <cellStyle name="Normal 57 8 2 4 5" xfId="4856"/>
    <cellStyle name="Normal 57 8 2 5" xfId="1773"/>
    <cellStyle name="Normal 57 8 2 5 2" xfId="10936"/>
    <cellStyle name="Normal 57 8 2 5 3" xfId="5920"/>
    <cellStyle name="Normal 57 8 2 6" xfId="8497"/>
    <cellStyle name="Normal 57 8 2 7" xfId="12390"/>
    <cellStyle name="Normal 57 8 2 8" xfId="7467"/>
    <cellStyle name="Normal 57 8 2 9" xfId="3419"/>
    <cellStyle name="Normal 57 8 2_Degree data" xfId="3116"/>
    <cellStyle name="Normal 57 8 3" xfId="515"/>
    <cellStyle name="Normal 57 8 3 2" xfId="2149"/>
    <cellStyle name="Normal 57 8 3 2 2" xfId="9774"/>
    <cellStyle name="Normal 57 8 3 2 3" xfId="4756"/>
    <cellStyle name="Normal 57 8 3 3" xfId="6296"/>
    <cellStyle name="Normal 57 8 3 3 2" xfId="11312"/>
    <cellStyle name="Normal 57 8 3 4" xfId="8890"/>
    <cellStyle name="Normal 57 8 3 5" xfId="12766"/>
    <cellStyle name="Normal 57 8 3 6" xfId="7367"/>
    <cellStyle name="Normal 57 8 3 7" xfId="3821"/>
    <cellStyle name="Normal 57 8 4" xfId="924"/>
    <cellStyle name="Normal 57 8 4 2" xfId="2498"/>
    <cellStyle name="Normal 57 8 4 2 2" xfId="10255"/>
    <cellStyle name="Normal 57 8 4 2 3" xfId="5237"/>
    <cellStyle name="Normal 57 8 4 3" xfId="6645"/>
    <cellStyle name="Normal 57 8 4 3 2" xfId="11660"/>
    <cellStyle name="Normal 57 8 4 4" xfId="9371"/>
    <cellStyle name="Normal 57 8 4 5" xfId="13114"/>
    <cellStyle name="Normal 57 8 4 6" xfId="7848"/>
    <cellStyle name="Normal 57 8 4 7" xfId="4302"/>
    <cellStyle name="Normal 57 8 5" xfId="1280"/>
    <cellStyle name="Normal 57 8 5 2" xfId="2837"/>
    <cellStyle name="Normal 57 8 5 2 2" xfId="10483"/>
    <cellStyle name="Normal 57 8 5 2 3" xfId="5466"/>
    <cellStyle name="Normal 57 8 5 3" xfId="6864"/>
    <cellStyle name="Normal 57 8 5 3 2" xfId="11879"/>
    <cellStyle name="Normal 57 8 5 4" xfId="8671"/>
    <cellStyle name="Normal 57 8 5 5" xfId="13333"/>
    <cellStyle name="Normal 57 8 5 6" xfId="8077"/>
    <cellStyle name="Normal 57 8 5 7" xfId="3600"/>
    <cellStyle name="Normal 57 8 6" xfId="1673"/>
    <cellStyle name="Normal 57 8 6 2" xfId="9557"/>
    <cellStyle name="Normal 57 8 6 3" xfId="4539"/>
    <cellStyle name="Normal 57 8 7" xfId="5820"/>
    <cellStyle name="Normal 57 8 7 2" xfId="10836"/>
    <cellStyle name="Normal 57 8 8" xfId="8397"/>
    <cellStyle name="Normal 57 8 9" xfId="12290"/>
    <cellStyle name="Normal 57 8_Degree data" xfId="3115"/>
    <cellStyle name="Normal 57 9" xfId="251"/>
    <cellStyle name="Normal 57 9 10" xfId="7198"/>
    <cellStyle name="Normal 57 9 11" xfId="3262"/>
    <cellStyle name="Normal 57 9 2" xfId="663"/>
    <cellStyle name="Normal 57 9 2 2" xfId="1072"/>
    <cellStyle name="Normal 57 9 2 2 2" xfId="2152"/>
    <cellStyle name="Normal 57 9 2 2 2 2" xfId="10258"/>
    <cellStyle name="Normal 57 9 2 2 2 3" xfId="5240"/>
    <cellStyle name="Normal 57 9 2 2 3" xfId="6299"/>
    <cellStyle name="Normal 57 9 2 2 3 2" xfId="11315"/>
    <cellStyle name="Normal 57 9 2 2 4" xfId="9374"/>
    <cellStyle name="Normal 57 9 2 2 5" xfId="12769"/>
    <cellStyle name="Normal 57 9 2 2 6" xfId="7851"/>
    <cellStyle name="Normal 57 9 2 2 7" xfId="4305"/>
    <cellStyle name="Normal 57 9 2 3" xfId="1430"/>
    <cellStyle name="Normal 57 9 2 3 2" xfId="2501"/>
    <cellStyle name="Normal 57 9 2 3 2 2" xfId="10631"/>
    <cellStyle name="Normal 57 9 2 3 2 3" xfId="5614"/>
    <cellStyle name="Normal 57 9 2 3 3" xfId="6648"/>
    <cellStyle name="Normal 57 9 2 3 3 2" xfId="11663"/>
    <cellStyle name="Normal 57 9 2 3 4" xfId="9038"/>
    <cellStyle name="Normal 57 9 2 3 5" xfId="13117"/>
    <cellStyle name="Normal 57 9 2 3 6" xfId="8225"/>
    <cellStyle name="Normal 57 9 2 3 7" xfId="3969"/>
    <cellStyle name="Normal 57 9 2 4" xfId="2989"/>
    <cellStyle name="Normal 57 9 2 4 2" xfId="7012"/>
    <cellStyle name="Normal 57 9 2 4 2 2" xfId="12027"/>
    <cellStyle name="Normal 57 9 2 4 3" xfId="13481"/>
    <cellStyle name="Normal 57 9 2 4 4" xfId="9922"/>
    <cellStyle name="Normal 57 9 2 4 5" xfId="4904"/>
    <cellStyle name="Normal 57 9 2 5" xfId="1821"/>
    <cellStyle name="Normal 57 9 2 5 2" xfId="10984"/>
    <cellStyle name="Normal 57 9 2 5 3" xfId="5968"/>
    <cellStyle name="Normal 57 9 2 6" xfId="8545"/>
    <cellStyle name="Normal 57 9 2 7" xfId="12438"/>
    <cellStyle name="Normal 57 9 2 8" xfId="7515"/>
    <cellStyle name="Normal 57 9 2 9" xfId="3467"/>
    <cellStyle name="Normal 57 9 2_Degree data" xfId="3118"/>
    <cellStyle name="Normal 57 9 3" xfId="458"/>
    <cellStyle name="Normal 57 9 3 2" xfId="2151"/>
    <cellStyle name="Normal 57 9 3 2 2" xfId="9717"/>
    <cellStyle name="Normal 57 9 3 2 3" xfId="4699"/>
    <cellStyle name="Normal 57 9 3 3" xfId="6298"/>
    <cellStyle name="Normal 57 9 3 3 2" xfId="11314"/>
    <cellStyle name="Normal 57 9 3 4" xfId="8833"/>
    <cellStyle name="Normal 57 9 3 5" xfId="12768"/>
    <cellStyle name="Normal 57 9 3 6" xfId="7310"/>
    <cellStyle name="Normal 57 9 3 7" xfId="3764"/>
    <cellStyle name="Normal 57 9 4" xfId="867"/>
    <cellStyle name="Normal 57 9 4 2" xfId="2500"/>
    <cellStyle name="Normal 57 9 4 2 2" xfId="10257"/>
    <cellStyle name="Normal 57 9 4 2 3" xfId="5239"/>
    <cellStyle name="Normal 57 9 4 3" xfId="6647"/>
    <cellStyle name="Normal 57 9 4 3 2" xfId="11662"/>
    <cellStyle name="Normal 57 9 4 4" xfId="9373"/>
    <cellStyle name="Normal 57 9 4 5" xfId="13116"/>
    <cellStyle name="Normal 57 9 4 6" xfId="7850"/>
    <cellStyle name="Normal 57 9 4 7" xfId="4304"/>
    <cellStyle name="Normal 57 9 5" xfId="1219"/>
    <cellStyle name="Normal 57 9 5 2" xfId="2775"/>
    <cellStyle name="Normal 57 9 5 2 2" xfId="10426"/>
    <cellStyle name="Normal 57 9 5 2 3" xfId="5409"/>
    <cellStyle name="Normal 57 9 5 3" xfId="6807"/>
    <cellStyle name="Normal 57 9 5 3 2" xfId="11822"/>
    <cellStyle name="Normal 57 9 5 4" xfId="8719"/>
    <cellStyle name="Normal 57 9 5 5" xfId="13276"/>
    <cellStyle name="Normal 57 9 5 6" xfId="8020"/>
    <cellStyle name="Normal 57 9 5 7" xfId="3649"/>
    <cellStyle name="Normal 57 9 6" xfId="1616"/>
    <cellStyle name="Normal 57 9 6 2" xfId="9605"/>
    <cellStyle name="Normal 57 9 6 3" xfId="4587"/>
    <cellStyle name="Normal 57 9 7" xfId="5763"/>
    <cellStyle name="Normal 57 9 7 2" xfId="10779"/>
    <cellStyle name="Normal 57 9 8" xfId="8340"/>
    <cellStyle name="Normal 57 9 9" xfId="12233"/>
    <cellStyle name="Normal 57 9_Degree data" xfId="3117"/>
    <cellStyle name="Normal 57_Degree data" xfId="3061"/>
    <cellStyle name="Normal 58" xfId="16"/>
    <cellStyle name="Normal 58 10" xfId="253"/>
    <cellStyle name="Normal 58 10 2" xfId="559"/>
    <cellStyle name="Normal 58 10 2 2" xfId="2154"/>
    <cellStyle name="Normal 58 10 2 2 2" xfId="10260"/>
    <cellStyle name="Normal 58 10 2 2 3" xfId="5242"/>
    <cellStyle name="Normal 58 10 2 3" xfId="6301"/>
    <cellStyle name="Normal 58 10 2 3 2" xfId="11317"/>
    <cellStyle name="Normal 58 10 2 4" xfId="9376"/>
    <cellStyle name="Normal 58 10 2 5" xfId="12771"/>
    <cellStyle name="Normal 58 10 2 6" xfId="7853"/>
    <cellStyle name="Normal 58 10 2 7" xfId="4307"/>
    <cellStyle name="Normal 58 10 3" xfId="968"/>
    <cellStyle name="Normal 58 10 3 2" xfId="2503"/>
    <cellStyle name="Normal 58 10 3 2 2" xfId="10527"/>
    <cellStyle name="Normal 58 10 3 2 3" xfId="5510"/>
    <cellStyle name="Normal 58 10 3 3" xfId="6650"/>
    <cellStyle name="Normal 58 10 3 3 2" xfId="11665"/>
    <cellStyle name="Normal 58 10 3 4" xfId="8934"/>
    <cellStyle name="Normal 58 10 3 5" xfId="13119"/>
    <cellStyle name="Normal 58 10 3 6" xfId="8121"/>
    <cellStyle name="Normal 58 10 3 7" xfId="3865"/>
    <cellStyle name="Normal 58 10 4" xfId="1324"/>
    <cellStyle name="Normal 58 10 4 2" xfId="2882"/>
    <cellStyle name="Normal 58 10 4 2 2" xfId="11923"/>
    <cellStyle name="Normal 58 10 4 2 3" xfId="6908"/>
    <cellStyle name="Normal 58 10 4 3" xfId="13377"/>
    <cellStyle name="Normal 58 10 4 4" xfId="9818"/>
    <cellStyle name="Normal 58 10 4 5" xfId="4800"/>
    <cellStyle name="Normal 58 10 5" xfId="1717"/>
    <cellStyle name="Normal 58 10 5 2" xfId="10880"/>
    <cellStyle name="Normal 58 10 5 3" xfId="5864"/>
    <cellStyle name="Normal 58 10 6" xfId="8441"/>
    <cellStyle name="Normal 58 10 7" xfId="12334"/>
    <cellStyle name="Normal 58 10 8" xfId="7411"/>
    <cellStyle name="Normal 58 10 9" xfId="3363"/>
    <cellStyle name="Normal 58 10_Degree data" xfId="3120"/>
    <cellStyle name="Normal 58 11" xfId="415"/>
    <cellStyle name="Normal 58 11 2" xfId="823"/>
    <cellStyle name="Normal 58 11 2 2" xfId="2155"/>
    <cellStyle name="Normal 58 11 2 2 2" xfId="10261"/>
    <cellStyle name="Normal 58 11 2 2 3" xfId="5243"/>
    <cellStyle name="Normal 58 11 2 3" xfId="6302"/>
    <cellStyle name="Normal 58 11 2 3 2" xfId="11318"/>
    <cellStyle name="Normal 58 11 2 4" xfId="9377"/>
    <cellStyle name="Normal 58 11 2 5" xfId="12772"/>
    <cellStyle name="Normal 58 11 2 6" xfId="7854"/>
    <cellStyle name="Normal 58 11 2 7" xfId="4308"/>
    <cellStyle name="Normal 58 11 3" xfId="1173"/>
    <cellStyle name="Normal 58 11 3 2" xfId="2504"/>
    <cellStyle name="Normal 58 11 3 2 2" xfId="10383"/>
    <cellStyle name="Normal 58 11 3 2 3" xfId="5366"/>
    <cellStyle name="Normal 58 11 3 3" xfId="6651"/>
    <cellStyle name="Normal 58 11 3 3 2" xfId="11666"/>
    <cellStyle name="Normal 58 11 3 4" xfId="9492"/>
    <cellStyle name="Normal 58 11 3 5" xfId="13120"/>
    <cellStyle name="Normal 58 11 3 6" xfId="7977"/>
    <cellStyle name="Normal 58 11 3 7" xfId="4474"/>
    <cellStyle name="Normal 58 11 4" xfId="2724"/>
    <cellStyle name="Normal 58 11 4 2" xfId="6764"/>
    <cellStyle name="Normal 58 11 4 2 2" xfId="11779"/>
    <cellStyle name="Normal 58 11 4 3" xfId="13233"/>
    <cellStyle name="Normal 58 11 4 4" xfId="9674"/>
    <cellStyle name="Normal 58 11 4 5" xfId="4656"/>
    <cellStyle name="Normal 58 11 5" xfId="1573"/>
    <cellStyle name="Normal 58 11 5 2" xfId="10734"/>
    <cellStyle name="Normal 58 11 5 3" xfId="5718"/>
    <cellStyle name="Normal 58 11 6" xfId="8790"/>
    <cellStyle name="Normal 58 11 7" xfId="12190"/>
    <cellStyle name="Normal 58 11 8" xfId="7267"/>
    <cellStyle name="Normal 58 11 9" xfId="3721"/>
    <cellStyle name="Normal 58 11_Degree data" xfId="3121"/>
    <cellStyle name="Normal 58 12" xfId="742"/>
    <cellStyle name="Normal 58 12 2" xfId="2153"/>
    <cellStyle name="Normal 58 12 2 2" xfId="10259"/>
    <cellStyle name="Normal 58 12 2 3" xfId="5241"/>
    <cellStyle name="Normal 58 12 3" xfId="6300"/>
    <cellStyle name="Normal 58 12 3 2" xfId="11316"/>
    <cellStyle name="Normal 58 12 4" xfId="9375"/>
    <cellStyle name="Normal 58 12 5" xfId="12770"/>
    <cellStyle name="Normal 58 12 6" xfId="7852"/>
    <cellStyle name="Normal 58 12 7" xfId="4306"/>
    <cellStyle name="Normal 58 13" xfId="1146"/>
    <cellStyle name="Normal 58 13 2" xfId="2502"/>
    <cellStyle name="Normal 58 13 2 2" xfId="10356"/>
    <cellStyle name="Normal 58 13 2 3" xfId="5339"/>
    <cellStyle name="Normal 58 13 3" xfId="6649"/>
    <cellStyle name="Normal 58 13 3 2" xfId="11664"/>
    <cellStyle name="Normal 58 13 4" xfId="8614"/>
    <cellStyle name="Normal 58 13 5" xfId="13118"/>
    <cellStyle name="Normal 58 13 6" xfId="7950"/>
    <cellStyle name="Normal 58 13 7" xfId="3536"/>
    <cellStyle name="Normal 58 14" xfId="2656"/>
    <cellStyle name="Normal 58 14 2" xfId="6737"/>
    <cellStyle name="Normal 58 14 2 2" xfId="11752"/>
    <cellStyle name="Normal 58 14 3" xfId="13206"/>
    <cellStyle name="Normal 58 14 4" xfId="9500"/>
    <cellStyle name="Normal 58 14 5" xfId="4482"/>
    <cellStyle name="Normal 58 15" xfId="1546"/>
    <cellStyle name="Normal 58 15 2" xfId="12163"/>
    <cellStyle name="Normal 58 15 3" xfId="10707"/>
    <cellStyle name="Normal 58 15 4" xfId="5691"/>
    <cellStyle name="Normal 58 16" xfId="1506"/>
    <cellStyle name="Normal 58 16 2" xfId="8297"/>
    <cellStyle name="Normal 58 17" xfId="12123"/>
    <cellStyle name="Normal 58 18" xfId="7094"/>
    <cellStyle name="Normal 58 19" xfId="3215"/>
    <cellStyle name="Normal 58 2" xfId="85"/>
    <cellStyle name="Normal 58 2 2" xfId="735"/>
    <cellStyle name="Normal 58 3" xfId="135"/>
    <cellStyle name="Normal 58 3 10" xfId="1558"/>
    <cellStyle name="Normal 58 3 10 2" xfId="12175"/>
    <cellStyle name="Normal 58 3 10 3" xfId="10719"/>
    <cellStyle name="Normal 58 3 10 4" xfId="5703"/>
    <cellStyle name="Normal 58 3 11" xfId="1528"/>
    <cellStyle name="Normal 58 3 11 2" xfId="8302"/>
    <cellStyle name="Normal 58 3 12" xfId="12145"/>
    <cellStyle name="Normal 58 3 13" xfId="7107"/>
    <cellStyle name="Normal 58 3 14" xfId="3222"/>
    <cellStyle name="Normal 58 3 2" xfId="176"/>
    <cellStyle name="Normal 58 3 2 10" xfId="8327"/>
    <cellStyle name="Normal 58 3 2 11" xfId="12220"/>
    <cellStyle name="Normal 58 3 2 12" xfId="7137"/>
    <cellStyle name="Normal 58 3 2 13" xfId="3249"/>
    <cellStyle name="Normal 58 3 2 2" xfId="351"/>
    <cellStyle name="Normal 58 3 2 2 10" xfId="7241"/>
    <cellStyle name="Normal 58 3 2 2 11" xfId="3306"/>
    <cellStyle name="Normal 58 3 2 2 2" xfId="706"/>
    <cellStyle name="Normal 58 3 2 2 2 2" xfId="1115"/>
    <cellStyle name="Normal 58 3 2 2 2 2 2" xfId="2159"/>
    <cellStyle name="Normal 58 3 2 2 2 2 2 2" xfId="10265"/>
    <cellStyle name="Normal 58 3 2 2 2 2 2 3" xfId="5247"/>
    <cellStyle name="Normal 58 3 2 2 2 2 3" xfId="6306"/>
    <cellStyle name="Normal 58 3 2 2 2 2 3 2" xfId="11322"/>
    <cellStyle name="Normal 58 3 2 2 2 2 4" xfId="9381"/>
    <cellStyle name="Normal 58 3 2 2 2 2 5" xfId="12776"/>
    <cellStyle name="Normal 58 3 2 2 2 2 6" xfId="7858"/>
    <cellStyle name="Normal 58 3 2 2 2 2 7" xfId="4312"/>
    <cellStyle name="Normal 58 3 2 2 2 3" xfId="1473"/>
    <cellStyle name="Normal 58 3 2 2 2 3 2" xfId="2508"/>
    <cellStyle name="Normal 58 3 2 2 2 3 2 2" xfId="10674"/>
    <cellStyle name="Normal 58 3 2 2 2 3 2 3" xfId="5657"/>
    <cellStyle name="Normal 58 3 2 2 2 3 3" xfId="6655"/>
    <cellStyle name="Normal 58 3 2 2 2 3 3 2" xfId="11670"/>
    <cellStyle name="Normal 58 3 2 2 2 3 4" xfId="9081"/>
    <cellStyle name="Normal 58 3 2 2 2 3 5" xfId="13124"/>
    <cellStyle name="Normal 58 3 2 2 2 3 6" xfId="8268"/>
    <cellStyle name="Normal 58 3 2 2 2 3 7" xfId="4012"/>
    <cellStyle name="Normal 58 3 2 2 2 4" xfId="3032"/>
    <cellStyle name="Normal 58 3 2 2 2 4 2" xfId="7055"/>
    <cellStyle name="Normal 58 3 2 2 2 4 2 2" xfId="12070"/>
    <cellStyle name="Normal 58 3 2 2 2 4 3" xfId="13524"/>
    <cellStyle name="Normal 58 3 2 2 2 4 4" xfId="9965"/>
    <cellStyle name="Normal 58 3 2 2 2 4 5" xfId="4947"/>
    <cellStyle name="Normal 58 3 2 2 2 5" xfId="1864"/>
    <cellStyle name="Normal 58 3 2 2 2 5 2" xfId="11027"/>
    <cellStyle name="Normal 58 3 2 2 2 5 3" xfId="6011"/>
    <cellStyle name="Normal 58 3 2 2 2 6" xfId="8588"/>
    <cellStyle name="Normal 58 3 2 2 2 7" xfId="12481"/>
    <cellStyle name="Normal 58 3 2 2 2 8" xfId="7558"/>
    <cellStyle name="Normal 58 3 2 2 2 9" xfId="3510"/>
    <cellStyle name="Normal 58 3 2 2 2_Degree data" xfId="3125"/>
    <cellStyle name="Normal 58 3 2 2 3" xfId="502"/>
    <cellStyle name="Normal 58 3 2 2 3 2" xfId="2158"/>
    <cellStyle name="Normal 58 3 2 2 3 2 2" xfId="9761"/>
    <cellStyle name="Normal 58 3 2 2 3 2 3" xfId="4743"/>
    <cellStyle name="Normal 58 3 2 2 3 3" xfId="6305"/>
    <cellStyle name="Normal 58 3 2 2 3 3 2" xfId="11321"/>
    <cellStyle name="Normal 58 3 2 2 3 4" xfId="8877"/>
    <cellStyle name="Normal 58 3 2 2 3 5" xfId="12775"/>
    <cellStyle name="Normal 58 3 2 2 3 6" xfId="7354"/>
    <cellStyle name="Normal 58 3 2 2 3 7" xfId="3808"/>
    <cellStyle name="Normal 58 3 2 2 4" xfId="911"/>
    <cellStyle name="Normal 58 3 2 2 4 2" xfId="2507"/>
    <cellStyle name="Normal 58 3 2 2 4 2 2" xfId="10264"/>
    <cellStyle name="Normal 58 3 2 2 4 2 3" xfId="5246"/>
    <cellStyle name="Normal 58 3 2 2 4 3" xfId="6654"/>
    <cellStyle name="Normal 58 3 2 2 4 3 2" xfId="11669"/>
    <cellStyle name="Normal 58 3 2 2 4 4" xfId="9380"/>
    <cellStyle name="Normal 58 3 2 2 4 5" xfId="13123"/>
    <cellStyle name="Normal 58 3 2 2 4 6" xfId="7857"/>
    <cellStyle name="Normal 58 3 2 2 4 7" xfId="4311"/>
    <cellStyle name="Normal 58 3 2 2 5" xfId="1266"/>
    <cellStyle name="Normal 58 3 2 2 5 2" xfId="2823"/>
    <cellStyle name="Normal 58 3 2 2 5 2 2" xfId="10470"/>
    <cellStyle name="Normal 58 3 2 2 5 2 3" xfId="5453"/>
    <cellStyle name="Normal 58 3 2 2 5 3" xfId="6851"/>
    <cellStyle name="Normal 58 3 2 2 5 3 2" xfId="11866"/>
    <cellStyle name="Normal 58 3 2 2 5 4" xfId="8762"/>
    <cellStyle name="Normal 58 3 2 2 5 5" xfId="13320"/>
    <cellStyle name="Normal 58 3 2 2 5 6" xfId="8064"/>
    <cellStyle name="Normal 58 3 2 2 5 7" xfId="3692"/>
    <cellStyle name="Normal 58 3 2 2 6" xfId="1660"/>
    <cellStyle name="Normal 58 3 2 2 6 2" xfId="9648"/>
    <cellStyle name="Normal 58 3 2 2 6 3" xfId="4630"/>
    <cellStyle name="Normal 58 3 2 2 7" xfId="5807"/>
    <cellStyle name="Normal 58 3 2 2 7 2" xfId="10823"/>
    <cellStyle name="Normal 58 3 2 2 8" xfId="8384"/>
    <cellStyle name="Normal 58 3 2 2 9" xfId="12277"/>
    <cellStyle name="Normal 58 3 2 2_Degree data" xfId="3124"/>
    <cellStyle name="Normal 58 3 2 3" xfId="291"/>
    <cellStyle name="Normal 58 3 2 3 10" xfId="3466"/>
    <cellStyle name="Normal 58 3 2 3 2" xfId="662"/>
    <cellStyle name="Normal 58 3 2 3 2 2" xfId="2160"/>
    <cellStyle name="Normal 58 3 2 3 2 2 2" xfId="9921"/>
    <cellStyle name="Normal 58 3 2 3 2 2 3" xfId="4903"/>
    <cellStyle name="Normal 58 3 2 3 2 3" xfId="6307"/>
    <cellStyle name="Normal 58 3 2 3 2 3 2" xfId="11323"/>
    <cellStyle name="Normal 58 3 2 3 2 4" xfId="9037"/>
    <cellStyle name="Normal 58 3 2 3 2 5" xfId="12777"/>
    <cellStyle name="Normal 58 3 2 3 2 6" xfId="7514"/>
    <cellStyle name="Normal 58 3 2 3 2 7" xfId="3968"/>
    <cellStyle name="Normal 58 3 2 3 3" xfId="1071"/>
    <cellStyle name="Normal 58 3 2 3 3 2" xfId="2509"/>
    <cellStyle name="Normal 58 3 2 3 3 2 2" xfId="10266"/>
    <cellStyle name="Normal 58 3 2 3 3 2 3" xfId="5248"/>
    <cellStyle name="Normal 58 3 2 3 3 3" xfId="6656"/>
    <cellStyle name="Normal 58 3 2 3 3 3 2" xfId="11671"/>
    <cellStyle name="Normal 58 3 2 3 3 4" xfId="9382"/>
    <cellStyle name="Normal 58 3 2 3 3 5" xfId="13125"/>
    <cellStyle name="Normal 58 3 2 3 3 6" xfId="7859"/>
    <cellStyle name="Normal 58 3 2 3 3 7" xfId="4313"/>
    <cellStyle name="Normal 58 3 2 3 4" xfId="1429"/>
    <cellStyle name="Normal 58 3 2 3 4 2" xfId="2988"/>
    <cellStyle name="Normal 58 3 2 3 4 2 2" xfId="10630"/>
    <cellStyle name="Normal 58 3 2 3 4 2 3" xfId="5613"/>
    <cellStyle name="Normal 58 3 2 3 4 3" xfId="7011"/>
    <cellStyle name="Normal 58 3 2 3 4 3 2" xfId="12026"/>
    <cellStyle name="Normal 58 3 2 3 4 4" xfId="8718"/>
    <cellStyle name="Normal 58 3 2 3 4 5" xfId="13480"/>
    <cellStyle name="Normal 58 3 2 3 4 6" xfId="8224"/>
    <cellStyle name="Normal 58 3 2 3 4 7" xfId="3648"/>
    <cellStyle name="Normal 58 3 2 3 5" xfId="1820"/>
    <cellStyle name="Normal 58 3 2 3 5 2" xfId="9604"/>
    <cellStyle name="Normal 58 3 2 3 5 3" xfId="4586"/>
    <cellStyle name="Normal 58 3 2 3 6" xfId="5967"/>
    <cellStyle name="Normal 58 3 2 3 6 2" xfId="10983"/>
    <cellStyle name="Normal 58 3 2 3 7" xfId="8544"/>
    <cellStyle name="Normal 58 3 2 3 8" xfId="12437"/>
    <cellStyle name="Normal 58 3 2 3 9" xfId="7197"/>
    <cellStyle name="Normal 58 3 2 3_Degree data" xfId="3126"/>
    <cellStyle name="Normal 58 3 2 4" xfId="602"/>
    <cellStyle name="Normal 58 3 2 4 2" xfId="1011"/>
    <cellStyle name="Normal 58 3 2 4 2 2" xfId="2161"/>
    <cellStyle name="Normal 58 3 2 4 2 2 2" xfId="10267"/>
    <cellStyle name="Normal 58 3 2 4 2 2 3" xfId="5249"/>
    <cellStyle name="Normal 58 3 2 4 2 3" xfId="6308"/>
    <cellStyle name="Normal 58 3 2 4 2 3 2" xfId="11324"/>
    <cellStyle name="Normal 58 3 2 4 2 4" xfId="9383"/>
    <cellStyle name="Normal 58 3 2 4 2 5" xfId="12778"/>
    <cellStyle name="Normal 58 3 2 4 2 6" xfId="7860"/>
    <cellStyle name="Normal 58 3 2 4 2 7" xfId="4314"/>
    <cellStyle name="Normal 58 3 2 4 3" xfId="1367"/>
    <cellStyle name="Normal 58 3 2 4 3 2" xfId="2510"/>
    <cellStyle name="Normal 58 3 2 4 3 2 2" xfId="10570"/>
    <cellStyle name="Normal 58 3 2 4 3 2 3" xfId="5553"/>
    <cellStyle name="Normal 58 3 2 4 3 3" xfId="6657"/>
    <cellStyle name="Normal 58 3 2 4 3 3 2" xfId="11672"/>
    <cellStyle name="Normal 58 3 2 4 3 4" xfId="8977"/>
    <cellStyle name="Normal 58 3 2 4 3 5" xfId="13126"/>
    <cellStyle name="Normal 58 3 2 4 3 6" xfId="8164"/>
    <cellStyle name="Normal 58 3 2 4 3 7" xfId="3908"/>
    <cellStyle name="Normal 58 3 2 4 4" xfId="2925"/>
    <cellStyle name="Normal 58 3 2 4 4 2" xfId="6951"/>
    <cellStyle name="Normal 58 3 2 4 4 2 2" xfId="11966"/>
    <cellStyle name="Normal 58 3 2 4 4 3" xfId="13420"/>
    <cellStyle name="Normal 58 3 2 4 4 4" xfId="9861"/>
    <cellStyle name="Normal 58 3 2 4 4 5" xfId="4843"/>
    <cellStyle name="Normal 58 3 2 4 5" xfId="1760"/>
    <cellStyle name="Normal 58 3 2 4 5 2" xfId="10923"/>
    <cellStyle name="Normal 58 3 2 4 5 3" xfId="5907"/>
    <cellStyle name="Normal 58 3 2 4 6" xfId="8484"/>
    <cellStyle name="Normal 58 3 2 4 7" xfId="12377"/>
    <cellStyle name="Normal 58 3 2 4 8" xfId="7454"/>
    <cellStyle name="Normal 58 3 2 4 9" xfId="3406"/>
    <cellStyle name="Normal 58 3 2 4_Degree data" xfId="3127"/>
    <cellStyle name="Normal 58 3 2 5" xfId="445"/>
    <cellStyle name="Normal 58 3 2 5 2" xfId="854"/>
    <cellStyle name="Normal 58 3 2 5 2 2" xfId="9704"/>
    <cellStyle name="Normal 58 3 2 5 2 3" xfId="4686"/>
    <cellStyle name="Normal 58 3 2 5 3" xfId="2157"/>
    <cellStyle name="Normal 58 3 2 5 3 2" xfId="11320"/>
    <cellStyle name="Normal 58 3 2 5 3 3" xfId="6304"/>
    <cellStyle name="Normal 58 3 2 5 4" xfId="8820"/>
    <cellStyle name="Normal 58 3 2 5 5" xfId="12774"/>
    <cellStyle name="Normal 58 3 2 5 6" xfId="7297"/>
    <cellStyle name="Normal 58 3 2 5 7" xfId="3751"/>
    <cellStyle name="Normal 58 3 2 6" xfId="778"/>
    <cellStyle name="Normal 58 3 2 6 2" xfId="2506"/>
    <cellStyle name="Normal 58 3 2 6 2 2" xfId="10263"/>
    <cellStyle name="Normal 58 3 2 6 2 3" xfId="5245"/>
    <cellStyle name="Normal 58 3 2 6 3" xfId="6653"/>
    <cellStyle name="Normal 58 3 2 6 3 2" xfId="11668"/>
    <cellStyle name="Normal 58 3 2 6 4" xfId="9379"/>
    <cellStyle name="Normal 58 3 2 6 5" xfId="13122"/>
    <cellStyle name="Normal 58 3 2 6 6" xfId="7856"/>
    <cellStyle name="Normal 58 3 2 6 7" xfId="4310"/>
    <cellStyle name="Normal 58 3 2 7" xfId="1204"/>
    <cellStyle name="Normal 58 3 2 7 2" xfId="2758"/>
    <cellStyle name="Normal 58 3 2 7 2 2" xfId="10413"/>
    <cellStyle name="Normal 58 3 2 7 2 3" xfId="5396"/>
    <cellStyle name="Normal 58 3 2 7 3" xfId="6794"/>
    <cellStyle name="Normal 58 3 2 7 3 2" xfId="11809"/>
    <cellStyle name="Normal 58 3 2 7 4" xfId="8658"/>
    <cellStyle name="Normal 58 3 2 7 5" xfId="13263"/>
    <cellStyle name="Normal 58 3 2 7 6" xfId="8007"/>
    <cellStyle name="Normal 58 3 2 7 7" xfId="3585"/>
    <cellStyle name="Normal 58 3 2 8" xfId="1603"/>
    <cellStyle name="Normal 58 3 2 8 2" xfId="9544"/>
    <cellStyle name="Normal 58 3 2 8 3" xfId="4526"/>
    <cellStyle name="Normal 58 3 2 9" xfId="5748"/>
    <cellStyle name="Normal 58 3 2 9 2" xfId="10764"/>
    <cellStyle name="Normal 58 3 2_Degree data" xfId="3123"/>
    <cellStyle name="Normal 58 3 3" xfId="202"/>
    <cellStyle name="Normal 58 3 3 10" xfId="7180"/>
    <cellStyle name="Normal 58 3 3 11" xfId="3349"/>
    <cellStyle name="Normal 58 3 3 2" xfId="395"/>
    <cellStyle name="Normal 58 3 3 2 2" xfId="645"/>
    <cellStyle name="Normal 58 3 3 2 2 2" xfId="2163"/>
    <cellStyle name="Normal 58 3 3 2 2 2 2" xfId="10269"/>
    <cellStyle name="Normal 58 3 3 2 2 2 3" xfId="5251"/>
    <cellStyle name="Normal 58 3 3 2 2 3" xfId="6310"/>
    <cellStyle name="Normal 58 3 3 2 2 3 2" xfId="11326"/>
    <cellStyle name="Normal 58 3 3 2 2 4" xfId="9385"/>
    <cellStyle name="Normal 58 3 3 2 2 5" xfId="12780"/>
    <cellStyle name="Normal 58 3 3 2 2 6" xfId="7862"/>
    <cellStyle name="Normal 58 3 3 2 2 7" xfId="4316"/>
    <cellStyle name="Normal 58 3 3 2 3" xfId="1054"/>
    <cellStyle name="Normal 58 3 3 2 3 2" xfId="2512"/>
    <cellStyle name="Normal 58 3 3 2 3 2 2" xfId="10613"/>
    <cellStyle name="Normal 58 3 3 2 3 2 3" xfId="5596"/>
    <cellStyle name="Normal 58 3 3 2 3 3" xfId="6659"/>
    <cellStyle name="Normal 58 3 3 2 3 3 2" xfId="11674"/>
    <cellStyle name="Normal 58 3 3 2 3 4" xfId="9020"/>
    <cellStyle name="Normal 58 3 3 2 3 5" xfId="13128"/>
    <cellStyle name="Normal 58 3 3 2 3 6" xfId="8207"/>
    <cellStyle name="Normal 58 3 3 2 3 7" xfId="3951"/>
    <cellStyle name="Normal 58 3 3 2 4" xfId="1412"/>
    <cellStyle name="Normal 58 3 3 2 4 2" xfId="2970"/>
    <cellStyle name="Normal 58 3 3 2 4 2 2" xfId="12009"/>
    <cellStyle name="Normal 58 3 3 2 4 2 3" xfId="6994"/>
    <cellStyle name="Normal 58 3 3 2 4 3" xfId="13463"/>
    <cellStyle name="Normal 58 3 3 2 4 4" xfId="9904"/>
    <cellStyle name="Normal 58 3 3 2 4 5" xfId="4886"/>
    <cellStyle name="Normal 58 3 3 2 5" xfId="1803"/>
    <cellStyle name="Normal 58 3 3 2 5 2" xfId="10966"/>
    <cellStyle name="Normal 58 3 3 2 5 3" xfId="5950"/>
    <cellStyle name="Normal 58 3 3 2 6" xfId="8527"/>
    <cellStyle name="Normal 58 3 3 2 7" xfId="12420"/>
    <cellStyle name="Normal 58 3 3 2 8" xfId="7497"/>
    <cellStyle name="Normal 58 3 3 2 9" xfId="3449"/>
    <cellStyle name="Normal 58 3 3 2_Degree data" xfId="3129"/>
    <cellStyle name="Normal 58 3 3 3" xfId="545"/>
    <cellStyle name="Normal 58 3 3 3 2" xfId="954"/>
    <cellStyle name="Normal 58 3 3 3 2 2" xfId="9804"/>
    <cellStyle name="Normal 58 3 3 3 2 3" xfId="4786"/>
    <cellStyle name="Normal 58 3 3 3 3" xfId="2162"/>
    <cellStyle name="Normal 58 3 3 3 3 2" xfId="11325"/>
    <cellStyle name="Normal 58 3 3 3 3 3" xfId="6309"/>
    <cellStyle name="Normal 58 3 3 3 4" xfId="8920"/>
    <cellStyle name="Normal 58 3 3 3 5" xfId="12779"/>
    <cellStyle name="Normal 58 3 3 3 6" xfId="7397"/>
    <cellStyle name="Normal 58 3 3 3 7" xfId="3851"/>
    <cellStyle name="Normal 58 3 3 4" xfId="808"/>
    <cellStyle name="Normal 58 3 3 4 2" xfId="2511"/>
    <cellStyle name="Normal 58 3 3 4 2 2" xfId="10268"/>
    <cellStyle name="Normal 58 3 3 4 2 3" xfId="5250"/>
    <cellStyle name="Normal 58 3 3 4 3" xfId="6658"/>
    <cellStyle name="Normal 58 3 3 4 3 2" xfId="11673"/>
    <cellStyle name="Normal 58 3 3 4 4" xfId="9384"/>
    <cellStyle name="Normal 58 3 3 4 5" xfId="13127"/>
    <cellStyle name="Normal 58 3 3 4 6" xfId="7861"/>
    <cellStyle name="Normal 58 3 3 4 7" xfId="4315"/>
    <cellStyle name="Normal 58 3 3 5" xfId="1310"/>
    <cellStyle name="Normal 58 3 3 5 2" xfId="2868"/>
    <cellStyle name="Normal 58 3 3 5 2 2" xfId="10513"/>
    <cellStyle name="Normal 58 3 3 5 2 3" xfId="5496"/>
    <cellStyle name="Normal 58 3 3 5 3" xfId="6894"/>
    <cellStyle name="Normal 58 3 3 5 3 2" xfId="11909"/>
    <cellStyle name="Normal 58 3 3 5 4" xfId="8701"/>
    <cellStyle name="Normal 58 3 3 5 5" xfId="13363"/>
    <cellStyle name="Normal 58 3 3 5 6" xfId="8107"/>
    <cellStyle name="Normal 58 3 3 5 7" xfId="3631"/>
    <cellStyle name="Normal 58 3 3 6" xfId="1703"/>
    <cellStyle name="Normal 58 3 3 6 2" xfId="9587"/>
    <cellStyle name="Normal 58 3 3 6 3" xfId="4569"/>
    <cellStyle name="Normal 58 3 3 7" xfId="5850"/>
    <cellStyle name="Normal 58 3 3 7 2" xfId="10866"/>
    <cellStyle name="Normal 58 3 3 8" xfId="8427"/>
    <cellStyle name="Normal 58 3 3 9" xfId="12320"/>
    <cellStyle name="Normal 58 3 3_Degree data" xfId="3128"/>
    <cellStyle name="Normal 58 3 4" xfId="238"/>
    <cellStyle name="Normal 58 3 4 10" xfId="7212"/>
    <cellStyle name="Normal 58 3 4 11" xfId="3276"/>
    <cellStyle name="Normal 58 3 4 2" xfId="320"/>
    <cellStyle name="Normal 58 3 4 2 2" xfId="677"/>
    <cellStyle name="Normal 58 3 4 2 2 2" xfId="2165"/>
    <cellStyle name="Normal 58 3 4 2 2 2 2" xfId="10271"/>
    <cellStyle name="Normal 58 3 4 2 2 2 3" xfId="5253"/>
    <cellStyle name="Normal 58 3 4 2 2 3" xfId="6312"/>
    <cellStyle name="Normal 58 3 4 2 2 3 2" xfId="11328"/>
    <cellStyle name="Normal 58 3 4 2 2 4" xfId="9387"/>
    <cellStyle name="Normal 58 3 4 2 2 5" xfId="12782"/>
    <cellStyle name="Normal 58 3 4 2 2 6" xfId="7864"/>
    <cellStyle name="Normal 58 3 4 2 2 7" xfId="4318"/>
    <cellStyle name="Normal 58 3 4 2 3" xfId="1086"/>
    <cellStyle name="Normal 58 3 4 2 3 2" xfId="2514"/>
    <cellStyle name="Normal 58 3 4 2 3 2 2" xfId="10645"/>
    <cellStyle name="Normal 58 3 4 2 3 2 3" xfId="5628"/>
    <cellStyle name="Normal 58 3 4 2 3 3" xfId="6661"/>
    <cellStyle name="Normal 58 3 4 2 3 3 2" xfId="11676"/>
    <cellStyle name="Normal 58 3 4 2 3 4" xfId="9052"/>
    <cellStyle name="Normal 58 3 4 2 3 5" xfId="13130"/>
    <cellStyle name="Normal 58 3 4 2 3 6" xfId="8239"/>
    <cellStyle name="Normal 58 3 4 2 3 7" xfId="3983"/>
    <cellStyle name="Normal 58 3 4 2 4" xfId="1444"/>
    <cellStyle name="Normal 58 3 4 2 4 2" xfId="3003"/>
    <cellStyle name="Normal 58 3 4 2 4 2 2" xfId="12041"/>
    <cellStyle name="Normal 58 3 4 2 4 2 3" xfId="7026"/>
    <cellStyle name="Normal 58 3 4 2 4 3" xfId="13495"/>
    <cellStyle name="Normal 58 3 4 2 4 4" xfId="9936"/>
    <cellStyle name="Normal 58 3 4 2 4 5" xfId="4918"/>
    <cellStyle name="Normal 58 3 4 2 5" xfId="1835"/>
    <cellStyle name="Normal 58 3 4 2 5 2" xfId="10998"/>
    <cellStyle name="Normal 58 3 4 2 5 3" xfId="5982"/>
    <cellStyle name="Normal 58 3 4 2 6" xfId="8559"/>
    <cellStyle name="Normal 58 3 4 2 7" xfId="12452"/>
    <cellStyle name="Normal 58 3 4 2 8" xfId="7529"/>
    <cellStyle name="Normal 58 3 4 2 9" xfId="3481"/>
    <cellStyle name="Normal 58 3 4 2_Degree data" xfId="3131"/>
    <cellStyle name="Normal 58 3 4 3" xfId="472"/>
    <cellStyle name="Normal 58 3 4 3 2" xfId="2164"/>
    <cellStyle name="Normal 58 3 4 3 2 2" xfId="9731"/>
    <cellStyle name="Normal 58 3 4 3 2 3" xfId="4713"/>
    <cellStyle name="Normal 58 3 4 3 3" xfId="6311"/>
    <cellStyle name="Normal 58 3 4 3 3 2" xfId="11327"/>
    <cellStyle name="Normal 58 3 4 3 4" xfId="8847"/>
    <cellStyle name="Normal 58 3 4 3 5" xfId="12781"/>
    <cellStyle name="Normal 58 3 4 3 6" xfId="7324"/>
    <cellStyle name="Normal 58 3 4 3 7" xfId="3778"/>
    <cellStyle name="Normal 58 3 4 4" xfId="881"/>
    <cellStyle name="Normal 58 3 4 4 2" xfId="2513"/>
    <cellStyle name="Normal 58 3 4 4 2 2" xfId="10270"/>
    <cellStyle name="Normal 58 3 4 4 2 3" xfId="5252"/>
    <cellStyle name="Normal 58 3 4 4 3" xfId="6660"/>
    <cellStyle name="Normal 58 3 4 4 3 2" xfId="11675"/>
    <cellStyle name="Normal 58 3 4 4 4" xfId="9386"/>
    <cellStyle name="Normal 58 3 4 4 5" xfId="13129"/>
    <cellStyle name="Normal 58 3 4 4 6" xfId="7863"/>
    <cellStyle name="Normal 58 3 4 4 7" xfId="4317"/>
    <cellStyle name="Normal 58 3 4 5" xfId="1233"/>
    <cellStyle name="Normal 58 3 4 5 2" xfId="2789"/>
    <cellStyle name="Normal 58 3 4 5 2 2" xfId="10440"/>
    <cellStyle name="Normal 58 3 4 5 2 3" xfId="5423"/>
    <cellStyle name="Normal 58 3 4 5 3" xfId="6821"/>
    <cellStyle name="Normal 58 3 4 5 3 2" xfId="11836"/>
    <cellStyle name="Normal 58 3 4 5 4" xfId="8733"/>
    <cellStyle name="Normal 58 3 4 5 5" xfId="13290"/>
    <cellStyle name="Normal 58 3 4 5 6" xfId="8034"/>
    <cellStyle name="Normal 58 3 4 5 7" xfId="3663"/>
    <cellStyle name="Normal 58 3 4 6" xfId="1630"/>
    <cellStyle name="Normal 58 3 4 6 2" xfId="9619"/>
    <cellStyle name="Normal 58 3 4 6 3" xfId="4601"/>
    <cellStyle name="Normal 58 3 4 7" xfId="5777"/>
    <cellStyle name="Normal 58 3 4 7 2" xfId="10793"/>
    <cellStyle name="Normal 58 3 4 8" xfId="8354"/>
    <cellStyle name="Normal 58 3 4 9" xfId="12247"/>
    <cellStyle name="Normal 58 3 4_Degree data" xfId="3130"/>
    <cellStyle name="Normal 58 3 5" xfId="264"/>
    <cellStyle name="Normal 58 3 5 2" xfId="572"/>
    <cellStyle name="Normal 58 3 5 2 2" xfId="2166"/>
    <cellStyle name="Normal 58 3 5 2 2 2" xfId="10272"/>
    <cellStyle name="Normal 58 3 5 2 2 3" xfId="5254"/>
    <cellStyle name="Normal 58 3 5 2 3" xfId="6313"/>
    <cellStyle name="Normal 58 3 5 2 3 2" xfId="11329"/>
    <cellStyle name="Normal 58 3 5 2 4" xfId="9388"/>
    <cellStyle name="Normal 58 3 5 2 5" xfId="12783"/>
    <cellStyle name="Normal 58 3 5 2 6" xfId="7865"/>
    <cellStyle name="Normal 58 3 5 2 7" xfId="4319"/>
    <cellStyle name="Normal 58 3 5 3" xfId="981"/>
    <cellStyle name="Normal 58 3 5 3 2" xfId="2515"/>
    <cellStyle name="Normal 58 3 5 3 2 2" xfId="10540"/>
    <cellStyle name="Normal 58 3 5 3 2 3" xfId="5523"/>
    <cellStyle name="Normal 58 3 5 3 3" xfId="6662"/>
    <cellStyle name="Normal 58 3 5 3 3 2" xfId="11677"/>
    <cellStyle name="Normal 58 3 5 3 4" xfId="8947"/>
    <cellStyle name="Normal 58 3 5 3 5" xfId="13131"/>
    <cellStyle name="Normal 58 3 5 3 6" xfId="8134"/>
    <cellStyle name="Normal 58 3 5 3 7" xfId="3878"/>
    <cellStyle name="Normal 58 3 5 4" xfId="1337"/>
    <cellStyle name="Normal 58 3 5 4 2" xfId="2895"/>
    <cellStyle name="Normal 58 3 5 4 2 2" xfId="11936"/>
    <cellStyle name="Normal 58 3 5 4 2 3" xfId="6921"/>
    <cellStyle name="Normal 58 3 5 4 3" xfId="13390"/>
    <cellStyle name="Normal 58 3 5 4 4" xfId="9831"/>
    <cellStyle name="Normal 58 3 5 4 5" xfId="4813"/>
    <cellStyle name="Normal 58 3 5 5" xfId="1730"/>
    <cellStyle name="Normal 58 3 5 5 2" xfId="10893"/>
    <cellStyle name="Normal 58 3 5 5 3" xfId="5877"/>
    <cellStyle name="Normal 58 3 5 6" xfId="8454"/>
    <cellStyle name="Normal 58 3 5 7" xfId="12347"/>
    <cellStyle name="Normal 58 3 5 8" xfId="7424"/>
    <cellStyle name="Normal 58 3 5 9" xfId="3376"/>
    <cellStyle name="Normal 58 3 5_Degree data" xfId="3132"/>
    <cellStyle name="Normal 58 3 6" xfId="420"/>
    <cellStyle name="Normal 58 3 6 2" xfId="828"/>
    <cellStyle name="Normal 58 3 6 2 2" xfId="2167"/>
    <cellStyle name="Normal 58 3 6 2 2 2" xfId="10273"/>
    <cellStyle name="Normal 58 3 6 2 2 3" xfId="5255"/>
    <cellStyle name="Normal 58 3 6 2 3" xfId="6314"/>
    <cellStyle name="Normal 58 3 6 2 3 2" xfId="11330"/>
    <cellStyle name="Normal 58 3 6 2 4" xfId="9389"/>
    <cellStyle name="Normal 58 3 6 2 5" xfId="12784"/>
    <cellStyle name="Normal 58 3 6 2 6" xfId="7866"/>
    <cellStyle name="Normal 58 3 6 2 7" xfId="4320"/>
    <cellStyle name="Normal 58 3 6 3" xfId="1178"/>
    <cellStyle name="Normal 58 3 6 3 2" xfId="2516"/>
    <cellStyle name="Normal 58 3 6 3 2 2" xfId="10388"/>
    <cellStyle name="Normal 58 3 6 3 2 3" xfId="5371"/>
    <cellStyle name="Normal 58 3 6 3 3" xfId="6663"/>
    <cellStyle name="Normal 58 3 6 3 3 2" xfId="11678"/>
    <cellStyle name="Normal 58 3 6 3 4" xfId="9493"/>
    <cellStyle name="Normal 58 3 6 3 5" xfId="13132"/>
    <cellStyle name="Normal 58 3 6 3 6" xfId="7982"/>
    <cellStyle name="Normal 58 3 6 3 7" xfId="4475"/>
    <cellStyle name="Normal 58 3 6 4" xfId="2729"/>
    <cellStyle name="Normal 58 3 6 4 2" xfId="6769"/>
    <cellStyle name="Normal 58 3 6 4 2 2" xfId="11784"/>
    <cellStyle name="Normal 58 3 6 4 3" xfId="13238"/>
    <cellStyle name="Normal 58 3 6 4 4" xfId="9679"/>
    <cellStyle name="Normal 58 3 6 4 5" xfId="4661"/>
    <cellStyle name="Normal 58 3 6 5" xfId="1578"/>
    <cellStyle name="Normal 58 3 6 5 2" xfId="10739"/>
    <cellStyle name="Normal 58 3 6 5 3" xfId="5723"/>
    <cellStyle name="Normal 58 3 6 6" xfId="8795"/>
    <cellStyle name="Normal 58 3 6 7" xfId="12195"/>
    <cellStyle name="Normal 58 3 6 8" xfId="7272"/>
    <cellStyle name="Normal 58 3 6 9" xfId="3726"/>
    <cellStyle name="Normal 58 3 6_Degree data" xfId="3133"/>
    <cellStyle name="Normal 58 3 7" xfId="754"/>
    <cellStyle name="Normal 58 3 7 2" xfId="2156"/>
    <cellStyle name="Normal 58 3 7 2 2" xfId="10262"/>
    <cellStyle name="Normal 58 3 7 2 3" xfId="5244"/>
    <cellStyle name="Normal 58 3 7 3" xfId="6303"/>
    <cellStyle name="Normal 58 3 7 3 2" xfId="11319"/>
    <cellStyle name="Normal 58 3 7 4" xfId="9378"/>
    <cellStyle name="Normal 58 3 7 5" xfId="12773"/>
    <cellStyle name="Normal 58 3 7 6" xfId="7855"/>
    <cellStyle name="Normal 58 3 7 7" xfId="4309"/>
    <cellStyle name="Normal 58 3 8" xfId="1158"/>
    <cellStyle name="Normal 58 3 8 2" xfId="2505"/>
    <cellStyle name="Normal 58 3 8 2 2" xfId="10368"/>
    <cellStyle name="Normal 58 3 8 2 3" xfId="5351"/>
    <cellStyle name="Normal 58 3 8 3" xfId="6652"/>
    <cellStyle name="Normal 58 3 8 3 2" xfId="11667"/>
    <cellStyle name="Normal 58 3 8 4" xfId="8627"/>
    <cellStyle name="Normal 58 3 8 5" xfId="13121"/>
    <cellStyle name="Normal 58 3 8 6" xfId="7962"/>
    <cellStyle name="Normal 58 3 8 7" xfId="3551"/>
    <cellStyle name="Normal 58 3 9" xfId="2707"/>
    <cellStyle name="Normal 58 3 9 2" xfId="6749"/>
    <cellStyle name="Normal 58 3 9 2 2" xfId="11764"/>
    <cellStyle name="Normal 58 3 9 3" xfId="13218"/>
    <cellStyle name="Normal 58 3 9 4" xfId="9513"/>
    <cellStyle name="Normal 58 3 9 5" xfId="4495"/>
    <cellStyle name="Normal 58 3_Degree data" xfId="3122"/>
    <cellStyle name="Normal 58 4" xfId="106"/>
    <cellStyle name="Normal 58 4 10" xfId="1553"/>
    <cellStyle name="Normal 58 4 10 2" xfId="12170"/>
    <cellStyle name="Normal 58 4 10 3" xfId="10714"/>
    <cellStyle name="Normal 58 4 10 4" xfId="5698"/>
    <cellStyle name="Normal 58 4 11" xfId="1523"/>
    <cellStyle name="Normal 58 4 11 2" xfId="8320"/>
    <cellStyle name="Normal 58 4 12" xfId="12140"/>
    <cellStyle name="Normal 58 4 13" xfId="7118"/>
    <cellStyle name="Normal 58 4 14" xfId="3241"/>
    <cellStyle name="Normal 58 4 2" xfId="171"/>
    <cellStyle name="Normal 58 4 2 10" xfId="12272"/>
    <cellStyle name="Normal 58 4 2 11" xfId="7132"/>
    <cellStyle name="Normal 58 4 2 12" xfId="3301"/>
    <cellStyle name="Normal 58 4 2 2" xfId="345"/>
    <cellStyle name="Normal 58 4 2 2 10" xfId="3505"/>
    <cellStyle name="Normal 58 4 2 2 2" xfId="701"/>
    <cellStyle name="Normal 58 4 2 2 2 2" xfId="2170"/>
    <cellStyle name="Normal 58 4 2 2 2 2 2" xfId="9960"/>
    <cellStyle name="Normal 58 4 2 2 2 2 3" xfId="4942"/>
    <cellStyle name="Normal 58 4 2 2 2 3" xfId="6317"/>
    <cellStyle name="Normal 58 4 2 2 2 3 2" xfId="11333"/>
    <cellStyle name="Normal 58 4 2 2 2 4" xfId="9076"/>
    <cellStyle name="Normal 58 4 2 2 2 5" xfId="12787"/>
    <cellStyle name="Normal 58 4 2 2 2 6" xfId="7553"/>
    <cellStyle name="Normal 58 4 2 2 2 7" xfId="4007"/>
    <cellStyle name="Normal 58 4 2 2 3" xfId="1110"/>
    <cellStyle name="Normal 58 4 2 2 3 2" xfId="2519"/>
    <cellStyle name="Normal 58 4 2 2 3 2 2" xfId="10276"/>
    <cellStyle name="Normal 58 4 2 2 3 2 3" xfId="5258"/>
    <cellStyle name="Normal 58 4 2 2 3 3" xfId="6666"/>
    <cellStyle name="Normal 58 4 2 2 3 3 2" xfId="11681"/>
    <cellStyle name="Normal 58 4 2 2 3 4" xfId="9392"/>
    <cellStyle name="Normal 58 4 2 2 3 5" xfId="13135"/>
    <cellStyle name="Normal 58 4 2 2 3 6" xfId="7869"/>
    <cellStyle name="Normal 58 4 2 2 3 7" xfId="4323"/>
    <cellStyle name="Normal 58 4 2 2 4" xfId="1468"/>
    <cellStyle name="Normal 58 4 2 2 4 2" xfId="3027"/>
    <cellStyle name="Normal 58 4 2 2 4 2 2" xfId="10669"/>
    <cellStyle name="Normal 58 4 2 2 4 2 3" xfId="5652"/>
    <cellStyle name="Normal 58 4 2 2 4 3" xfId="7050"/>
    <cellStyle name="Normal 58 4 2 2 4 3 2" xfId="12065"/>
    <cellStyle name="Normal 58 4 2 2 4 4" xfId="8757"/>
    <cellStyle name="Normal 58 4 2 2 4 5" xfId="13519"/>
    <cellStyle name="Normal 58 4 2 2 4 6" xfId="8263"/>
    <cellStyle name="Normal 58 4 2 2 4 7" xfId="3687"/>
    <cellStyle name="Normal 58 4 2 2 5" xfId="1859"/>
    <cellStyle name="Normal 58 4 2 2 5 2" xfId="9643"/>
    <cellStyle name="Normal 58 4 2 2 5 3" xfId="4625"/>
    <cellStyle name="Normal 58 4 2 2 6" xfId="6006"/>
    <cellStyle name="Normal 58 4 2 2 6 2" xfId="11022"/>
    <cellStyle name="Normal 58 4 2 2 7" xfId="8583"/>
    <cellStyle name="Normal 58 4 2 2 8" xfId="12476"/>
    <cellStyle name="Normal 58 4 2 2 9" xfId="7236"/>
    <cellStyle name="Normal 58 4 2 2_Degree data" xfId="3136"/>
    <cellStyle name="Normal 58 4 2 3" xfId="597"/>
    <cellStyle name="Normal 58 4 2 3 2" xfId="1006"/>
    <cellStyle name="Normal 58 4 2 3 2 2" xfId="2171"/>
    <cellStyle name="Normal 58 4 2 3 2 2 2" xfId="10277"/>
    <cellStyle name="Normal 58 4 2 3 2 2 3" xfId="5259"/>
    <cellStyle name="Normal 58 4 2 3 2 3" xfId="6318"/>
    <cellStyle name="Normal 58 4 2 3 2 3 2" xfId="11334"/>
    <cellStyle name="Normal 58 4 2 3 2 4" xfId="9393"/>
    <cellStyle name="Normal 58 4 2 3 2 5" xfId="12788"/>
    <cellStyle name="Normal 58 4 2 3 2 6" xfId="7870"/>
    <cellStyle name="Normal 58 4 2 3 2 7" xfId="4324"/>
    <cellStyle name="Normal 58 4 2 3 3" xfId="1362"/>
    <cellStyle name="Normal 58 4 2 3 3 2" xfId="2520"/>
    <cellStyle name="Normal 58 4 2 3 3 2 2" xfId="10565"/>
    <cellStyle name="Normal 58 4 2 3 3 2 3" xfId="5548"/>
    <cellStyle name="Normal 58 4 2 3 3 3" xfId="6667"/>
    <cellStyle name="Normal 58 4 2 3 3 3 2" xfId="11682"/>
    <cellStyle name="Normal 58 4 2 3 3 4" xfId="8972"/>
    <cellStyle name="Normal 58 4 2 3 3 5" xfId="13136"/>
    <cellStyle name="Normal 58 4 2 3 3 6" xfId="8159"/>
    <cellStyle name="Normal 58 4 2 3 3 7" xfId="3903"/>
    <cellStyle name="Normal 58 4 2 3 4" xfId="2920"/>
    <cellStyle name="Normal 58 4 2 3 4 2" xfId="6946"/>
    <cellStyle name="Normal 58 4 2 3 4 2 2" xfId="11961"/>
    <cellStyle name="Normal 58 4 2 3 4 3" xfId="13415"/>
    <cellStyle name="Normal 58 4 2 3 4 4" xfId="9856"/>
    <cellStyle name="Normal 58 4 2 3 4 5" xfId="4838"/>
    <cellStyle name="Normal 58 4 2 3 5" xfId="1755"/>
    <cellStyle name="Normal 58 4 2 3 5 2" xfId="10918"/>
    <cellStyle name="Normal 58 4 2 3 5 3" xfId="5902"/>
    <cellStyle name="Normal 58 4 2 3 6" xfId="8479"/>
    <cellStyle name="Normal 58 4 2 3 7" xfId="12372"/>
    <cellStyle name="Normal 58 4 2 3 8" xfId="7449"/>
    <cellStyle name="Normal 58 4 2 3 9" xfId="3401"/>
    <cellStyle name="Normal 58 4 2 3_Degree data" xfId="3137"/>
    <cellStyle name="Normal 58 4 2 4" xfId="497"/>
    <cellStyle name="Normal 58 4 2 4 2" xfId="906"/>
    <cellStyle name="Normal 58 4 2 4 2 2" xfId="9756"/>
    <cellStyle name="Normal 58 4 2 4 2 3" xfId="4738"/>
    <cellStyle name="Normal 58 4 2 4 3" xfId="2169"/>
    <cellStyle name="Normal 58 4 2 4 3 2" xfId="11332"/>
    <cellStyle name="Normal 58 4 2 4 3 3" xfId="6316"/>
    <cellStyle name="Normal 58 4 2 4 4" xfId="8872"/>
    <cellStyle name="Normal 58 4 2 4 5" xfId="12786"/>
    <cellStyle name="Normal 58 4 2 4 6" xfId="7349"/>
    <cellStyle name="Normal 58 4 2 4 7" xfId="3803"/>
    <cellStyle name="Normal 58 4 2 5" xfId="773"/>
    <cellStyle name="Normal 58 4 2 5 2" xfId="2518"/>
    <cellStyle name="Normal 58 4 2 5 2 2" xfId="10275"/>
    <cellStyle name="Normal 58 4 2 5 2 3" xfId="5257"/>
    <cellStyle name="Normal 58 4 2 5 3" xfId="6665"/>
    <cellStyle name="Normal 58 4 2 5 3 2" xfId="11680"/>
    <cellStyle name="Normal 58 4 2 5 4" xfId="9391"/>
    <cellStyle name="Normal 58 4 2 5 5" xfId="13134"/>
    <cellStyle name="Normal 58 4 2 5 6" xfId="7868"/>
    <cellStyle name="Normal 58 4 2 5 7" xfId="4322"/>
    <cellStyle name="Normal 58 4 2 6" xfId="1261"/>
    <cellStyle name="Normal 58 4 2 6 2" xfId="2817"/>
    <cellStyle name="Normal 58 4 2 6 2 2" xfId="10465"/>
    <cellStyle name="Normal 58 4 2 6 2 3" xfId="5448"/>
    <cellStyle name="Normal 58 4 2 6 3" xfId="6846"/>
    <cellStyle name="Normal 58 4 2 6 3 2" xfId="11861"/>
    <cellStyle name="Normal 58 4 2 6 4" xfId="8652"/>
    <cellStyle name="Normal 58 4 2 6 5" xfId="13315"/>
    <cellStyle name="Normal 58 4 2 6 6" xfId="8059"/>
    <cellStyle name="Normal 58 4 2 6 7" xfId="3579"/>
    <cellStyle name="Normal 58 4 2 7" xfId="1655"/>
    <cellStyle name="Normal 58 4 2 7 2" xfId="9539"/>
    <cellStyle name="Normal 58 4 2 7 3" xfId="4521"/>
    <cellStyle name="Normal 58 4 2 8" xfId="5802"/>
    <cellStyle name="Normal 58 4 2 8 2" xfId="10818"/>
    <cellStyle name="Normal 58 4 2 9" xfId="8379"/>
    <cellStyle name="Normal 58 4 2_Degree data" xfId="3135"/>
    <cellStyle name="Normal 58 4 3" xfId="197"/>
    <cellStyle name="Normal 58 4 3 10" xfId="7175"/>
    <cellStyle name="Normal 58 4 3 11" xfId="3344"/>
    <cellStyle name="Normal 58 4 3 2" xfId="389"/>
    <cellStyle name="Normal 58 4 3 2 2" xfId="640"/>
    <cellStyle name="Normal 58 4 3 2 2 2" xfId="2173"/>
    <cellStyle name="Normal 58 4 3 2 2 2 2" xfId="10279"/>
    <cellStyle name="Normal 58 4 3 2 2 2 3" xfId="5261"/>
    <cellStyle name="Normal 58 4 3 2 2 3" xfId="6320"/>
    <cellStyle name="Normal 58 4 3 2 2 3 2" xfId="11336"/>
    <cellStyle name="Normal 58 4 3 2 2 4" xfId="9395"/>
    <cellStyle name="Normal 58 4 3 2 2 5" xfId="12790"/>
    <cellStyle name="Normal 58 4 3 2 2 6" xfId="7872"/>
    <cellStyle name="Normal 58 4 3 2 2 7" xfId="4326"/>
    <cellStyle name="Normal 58 4 3 2 3" xfId="1049"/>
    <cellStyle name="Normal 58 4 3 2 3 2" xfId="2522"/>
    <cellStyle name="Normal 58 4 3 2 3 2 2" xfId="10608"/>
    <cellStyle name="Normal 58 4 3 2 3 2 3" xfId="5591"/>
    <cellStyle name="Normal 58 4 3 2 3 3" xfId="6669"/>
    <cellStyle name="Normal 58 4 3 2 3 3 2" xfId="11684"/>
    <cellStyle name="Normal 58 4 3 2 3 4" xfId="9015"/>
    <cellStyle name="Normal 58 4 3 2 3 5" xfId="13138"/>
    <cellStyle name="Normal 58 4 3 2 3 6" xfId="8202"/>
    <cellStyle name="Normal 58 4 3 2 3 7" xfId="3946"/>
    <cellStyle name="Normal 58 4 3 2 4" xfId="1406"/>
    <cellStyle name="Normal 58 4 3 2 4 2" xfId="2964"/>
    <cellStyle name="Normal 58 4 3 2 4 2 2" xfId="12004"/>
    <cellStyle name="Normal 58 4 3 2 4 2 3" xfId="6989"/>
    <cellStyle name="Normal 58 4 3 2 4 3" xfId="13458"/>
    <cellStyle name="Normal 58 4 3 2 4 4" xfId="9899"/>
    <cellStyle name="Normal 58 4 3 2 4 5" xfId="4881"/>
    <cellStyle name="Normal 58 4 3 2 5" xfId="1798"/>
    <cellStyle name="Normal 58 4 3 2 5 2" xfId="10961"/>
    <cellStyle name="Normal 58 4 3 2 5 3" xfId="5945"/>
    <cellStyle name="Normal 58 4 3 2 6" xfId="8522"/>
    <cellStyle name="Normal 58 4 3 2 7" xfId="12415"/>
    <cellStyle name="Normal 58 4 3 2 8" xfId="7492"/>
    <cellStyle name="Normal 58 4 3 2 9" xfId="3444"/>
    <cellStyle name="Normal 58 4 3 2_Degree data" xfId="3139"/>
    <cellStyle name="Normal 58 4 3 3" xfId="540"/>
    <cellStyle name="Normal 58 4 3 3 2" xfId="949"/>
    <cellStyle name="Normal 58 4 3 3 2 2" xfId="9799"/>
    <cellStyle name="Normal 58 4 3 3 2 3" xfId="4781"/>
    <cellStyle name="Normal 58 4 3 3 3" xfId="2172"/>
    <cellStyle name="Normal 58 4 3 3 3 2" xfId="11335"/>
    <cellStyle name="Normal 58 4 3 3 3 3" xfId="6319"/>
    <cellStyle name="Normal 58 4 3 3 4" xfId="8915"/>
    <cellStyle name="Normal 58 4 3 3 5" xfId="12789"/>
    <cellStyle name="Normal 58 4 3 3 6" xfId="7392"/>
    <cellStyle name="Normal 58 4 3 3 7" xfId="3846"/>
    <cellStyle name="Normal 58 4 3 4" xfId="803"/>
    <cellStyle name="Normal 58 4 3 4 2" xfId="2521"/>
    <cellStyle name="Normal 58 4 3 4 2 2" xfId="10278"/>
    <cellStyle name="Normal 58 4 3 4 2 3" xfId="5260"/>
    <cellStyle name="Normal 58 4 3 4 3" xfId="6668"/>
    <cellStyle name="Normal 58 4 3 4 3 2" xfId="11683"/>
    <cellStyle name="Normal 58 4 3 4 4" xfId="9394"/>
    <cellStyle name="Normal 58 4 3 4 5" xfId="13137"/>
    <cellStyle name="Normal 58 4 3 4 6" xfId="7871"/>
    <cellStyle name="Normal 58 4 3 4 7" xfId="4325"/>
    <cellStyle name="Normal 58 4 3 5" xfId="1305"/>
    <cellStyle name="Normal 58 4 3 5 2" xfId="2862"/>
    <cellStyle name="Normal 58 4 3 5 2 2" xfId="10508"/>
    <cellStyle name="Normal 58 4 3 5 2 3" xfId="5491"/>
    <cellStyle name="Normal 58 4 3 5 3" xfId="6889"/>
    <cellStyle name="Normal 58 4 3 5 3 2" xfId="11904"/>
    <cellStyle name="Normal 58 4 3 5 4" xfId="8696"/>
    <cellStyle name="Normal 58 4 3 5 5" xfId="13358"/>
    <cellStyle name="Normal 58 4 3 5 6" xfId="8102"/>
    <cellStyle name="Normal 58 4 3 5 7" xfId="3625"/>
    <cellStyle name="Normal 58 4 3 6" xfId="1698"/>
    <cellStyle name="Normal 58 4 3 6 2" xfId="9582"/>
    <cellStyle name="Normal 58 4 3 6 3" xfId="4564"/>
    <cellStyle name="Normal 58 4 3 7" xfId="5845"/>
    <cellStyle name="Normal 58 4 3 7 2" xfId="10861"/>
    <cellStyle name="Normal 58 4 3 8" xfId="8422"/>
    <cellStyle name="Normal 58 4 3 9" xfId="12315"/>
    <cellStyle name="Normal 58 4 3_Degree data" xfId="3138"/>
    <cellStyle name="Normal 58 4 4" xfId="233"/>
    <cellStyle name="Normal 58 4 4 10" xfId="7223"/>
    <cellStyle name="Normal 58 4 4 11" xfId="3287"/>
    <cellStyle name="Normal 58 4 4 2" xfId="331"/>
    <cellStyle name="Normal 58 4 4 2 2" xfId="688"/>
    <cellStyle name="Normal 58 4 4 2 2 2" xfId="2175"/>
    <cellStyle name="Normal 58 4 4 2 2 2 2" xfId="10281"/>
    <cellStyle name="Normal 58 4 4 2 2 2 3" xfId="5263"/>
    <cellStyle name="Normal 58 4 4 2 2 3" xfId="6322"/>
    <cellStyle name="Normal 58 4 4 2 2 3 2" xfId="11338"/>
    <cellStyle name="Normal 58 4 4 2 2 4" xfId="9397"/>
    <cellStyle name="Normal 58 4 4 2 2 5" xfId="12792"/>
    <cellStyle name="Normal 58 4 4 2 2 6" xfId="7874"/>
    <cellStyle name="Normal 58 4 4 2 2 7" xfId="4328"/>
    <cellStyle name="Normal 58 4 4 2 3" xfId="1097"/>
    <cellStyle name="Normal 58 4 4 2 3 2" xfId="2524"/>
    <cellStyle name="Normal 58 4 4 2 3 2 2" xfId="10656"/>
    <cellStyle name="Normal 58 4 4 2 3 2 3" xfId="5639"/>
    <cellStyle name="Normal 58 4 4 2 3 3" xfId="6671"/>
    <cellStyle name="Normal 58 4 4 2 3 3 2" xfId="11686"/>
    <cellStyle name="Normal 58 4 4 2 3 4" xfId="9063"/>
    <cellStyle name="Normal 58 4 4 2 3 5" xfId="13140"/>
    <cellStyle name="Normal 58 4 4 2 3 6" xfId="8250"/>
    <cellStyle name="Normal 58 4 4 2 3 7" xfId="3994"/>
    <cellStyle name="Normal 58 4 4 2 4" xfId="1455"/>
    <cellStyle name="Normal 58 4 4 2 4 2" xfId="3014"/>
    <cellStyle name="Normal 58 4 4 2 4 2 2" xfId="12052"/>
    <cellStyle name="Normal 58 4 4 2 4 2 3" xfId="7037"/>
    <cellStyle name="Normal 58 4 4 2 4 3" xfId="13506"/>
    <cellStyle name="Normal 58 4 4 2 4 4" xfId="9947"/>
    <cellStyle name="Normal 58 4 4 2 4 5" xfId="4929"/>
    <cellStyle name="Normal 58 4 4 2 5" xfId="1846"/>
    <cellStyle name="Normal 58 4 4 2 5 2" xfId="11009"/>
    <cellStyle name="Normal 58 4 4 2 5 3" xfId="5993"/>
    <cellStyle name="Normal 58 4 4 2 6" xfId="8570"/>
    <cellStyle name="Normal 58 4 4 2 7" xfId="12463"/>
    <cellStyle name="Normal 58 4 4 2 8" xfId="7540"/>
    <cellStyle name="Normal 58 4 4 2 9" xfId="3492"/>
    <cellStyle name="Normal 58 4 4 2_Degree data" xfId="3141"/>
    <cellStyle name="Normal 58 4 4 3" xfId="483"/>
    <cellStyle name="Normal 58 4 4 3 2" xfId="2174"/>
    <cellStyle name="Normal 58 4 4 3 2 2" xfId="9742"/>
    <cellStyle name="Normal 58 4 4 3 2 3" xfId="4724"/>
    <cellStyle name="Normal 58 4 4 3 3" xfId="6321"/>
    <cellStyle name="Normal 58 4 4 3 3 2" xfId="11337"/>
    <cellStyle name="Normal 58 4 4 3 4" xfId="8858"/>
    <cellStyle name="Normal 58 4 4 3 5" xfId="12791"/>
    <cellStyle name="Normal 58 4 4 3 6" xfId="7335"/>
    <cellStyle name="Normal 58 4 4 3 7" xfId="3789"/>
    <cellStyle name="Normal 58 4 4 4" xfId="892"/>
    <cellStyle name="Normal 58 4 4 4 2" xfId="2523"/>
    <cellStyle name="Normal 58 4 4 4 2 2" xfId="10280"/>
    <cellStyle name="Normal 58 4 4 4 2 3" xfId="5262"/>
    <cellStyle name="Normal 58 4 4 4 3" xfId="6670"/>
    <cellStyle name="Normal 58 4 4 4 3 2" xfId="11685"/>
    <cellStyle name="Normal 58 4 4 4 4" xfId="9396"/>
    <cellStyle name="Normal 58 4 4 4 5" xfId="13139"/>
    <cellStyle name="Normal 58 4 4 4 6" xfId="7873"/>
    <cellStyle name="Normal 58 4 4 4 7" xfId="4327"/>
    <cellStyle name="Normal 58 4 4 5" xfId="1244"/>
    <cellStyle name="Normal 58 4 4 5 2" xfId="2800"/>
    <cellStyle name="Normal 58 4 4 5 2 2" xfId="10451"/>
    <cellStyle name="Normal 58 4 4 5 2 3" xfId="5434"/>
    <cellStyle name="Normal 58 4 4 5 3" xfId="6832"/>
    <cellStyle name="Normal 58 4 4 5 3 2" xfId="11847"/>
    <cellStyle name="Normal 58 4 4 5 4" xfId="8744"/>
    <cellStyle name="Normal 58 4 4 5 5" xfId="13301"/>
    <cellStyle name="Normal 58 4 4 5 6" xfId="8045"/>
    <cellStyle name="Normal 58 4 4 5 7" xfId="3674"/>
    <cellStyle name="Normal 58 4 4 6" xfId="1641"/>
    <cellStyle name="Normal 58 4 4 6 2" xfId="9630"/>
    <cellStyle name="Normal 58 4 4 6 3" xfId="4612"/>
    <cellStyle name="Normal 58 4 4 7" xfId="5788"/>
    <cellStyle name="Normal 58 4 4 7 2" xfId="10804"/>
    <cellStyle name="Normal 58 4 4 8" xfId="8365"/>
    <cellStyle name="Normal 58 4 4 9" xfId="12258"/>
    <cellStyle name="Normal 58 4 4_Degree data" xfId="3140"/>
    <cellStyle name="Normal 58 4 5" xfId="282"/>
    <cellStyle name="Normal 58 4 5 2" xfId="583"/>
    <cellStyle name="Normal 58 4 5 2 2" xfId="2176"/>
    <cellStyle name="Normal 58 4 5 2 2 2" xfId="10282"/>
    <cellStyle name="Normal 58 4 5 2 2 3" xfId="5264"/>
    <cellStyle name="Normal 58 4 5 2 3" xfId="6323"/>
    <cellStyle name="Normal 58 4 5 2 3 2" xfId="11339"/>
    <cellStyle name="Normal 58 4 5 2 4" xfId="9398"/>
    <cellStyle name="Normal 58 4 5 2 5" xfId="12793"/>
    <cellStyle name="Normal 58 4 5 2 6" xfId="7875"/>
    <cellStyle name="Normal 58 4 5 2 7" xfId="4329"/>
    <cellStyle name="Normal 58 4 5 3" xfId="992"/>
    <cellStyle name="Normal 58 4 5 3 2" xfId="2525"/>
    <cellStyle name="Normal 58 4 5 3 2 2" xfId="10551"/>
    <cellStyle name="Normal 58 4 5 3 2 3" xfId="5534"/>
    <cellStyle name="Normal 58 4 5 3 3" xfId="6672"/>
    <cellStyle name="Normal 58 4 5 3 3 2" xfId="11687"/>
    <cellStyle name="Normal 58 4 5 3 4" xfId="8958"/>
    <cellStyle name="Normal 58 4 5 3 5" xfId="13141"/>
    <cellStyle name="Normal 58 4 5 3 6" xfId="8145"/>
    <cellStyle name="Normal 58 4 5 3 7" xfId="3889"/>
    <cellStyle name="Normal 58 4 5 4" xfId="1348"/>
    <cellStyle name="Normal 58 4 5 4 2" xfId="2906"/>
    <cellStyle name="Normal 58 4 5 4 2 2" xfId="11947"/>
    <cellStyle name="Normal 58 4 5 4 2 3" xfId="6932"/>
    <cellStyle name="Normal 58 4 5 4 3" xfId="13401"/>
    <cellStyle name="Normal 58 4 5 4 4" xfId="9842"/>
    <cellStyle name="Normal 58 4 5 4 5" xfId="4824"/>
    <cellStyle name="Normal 58 4 5 5" xfId="1741"/>
    <cellStyle name="Normal 58 4 5 5 2" xfId="10904"/>
    <cellStyle name="Normal 58 4 5 5 3" xfId="5888"/>
    <cellStyle name="Normal 58 4 5 6" xfId="8465"/>
    <cellStyle name="Normal 58 4 5 7" xfId="12358"/>
    <cellStyle name="Normal 58 4 5 8" xfId="7435"/>
    <cellStyle name="Normal 58 4 5 9" xfId="3387"/>
    <cellStyle name="Normal 58 4 5_Degree data" xfId="3142"/>
    <cellStyle name="Normal 58 4 6" xfId="438"/>
    <cellStyle name="Normal 58 4 6 2" xfId="846"/>
    <cellStyle name="Normal 58 4 6 2 2" xfId="2177"/>
    <cellStyle name="Normal 58 4 6 2 2 2" xfId="10283"/>
    <cellStyle name="Normal 58 4 6 2 2 3" xfId="5265"/>
    <cellStyle name="Normal 58 4 6 2 3" xfId="6324"/>
    <cellStyle name="Normal 58 4 6 2 3 2" xfId="11340"/>
    <cellStyle name="Normal 58 4 6 2 4" xfId="9399"/>
    <cellStyle name="Normal 58 4 6 2 5" xfId="12794"/>
    <cellStyle name="Normal 58 4 6 2 6" xfId="7876"/>
    <cellStyle name="Normal 58 4 6 2 7" xfId="4330"/>
    <cellStyle name="Normal 58 4 6 3" xfId="1197"/>
    <cellStyle name="Normal 58 4 6 3 2" xfId="2526"/>
    <cellStyle name="Normal 58 4 6 3 2 2" xfId="10406"/>
    <cellStyle name="Normal 58 4 6 3 2 3" xfId="5389"/>
    <cellStyle name="Normal 58 4 6 3 3" xfId="6673"/>
    <cellStyle name="Normal 58 4 6 3 3 2" xfId="11688"/>
    <cellStyle name="Normal 58 4 6 3 4" xfId="9494"/>
    <cellStyle name="Normal 58 4 6 3 5" xfId="13142"/>
    <cellStyle name="Normal 58 4 6 3 6" xfId="8000"/>
    <cellStyle name="Normal 58 4 6 3 7" xfId="4476"/>
    <cellStyle name="Normal 58 4 6 4" xfId="2749"/>
    <cellStyle name="Normal 58 4 6 4 2" xfId="6787"/>
    <cellStyle name="Normal 58 4 6 4 2 2" xfId="11802"/>
    <cellStyle name="Normal 58 4 6 4 3" xfId="13256"/>
    <cellStyle name="Normal 58 4 6 4 4" xfId="9697"/>
    <cellStyle name="Normal 58 4 6 4 5" xfId="4679"/>
    <cellStyle name="Normal 58 4 6 5" xfId="1596"/>
    <cellStyle name="Normal 58 4 6 5 2" xfId="10757"/>
    <cellStyle name="Normal 58 4 6 5 3" xfId="5741"/>
    <cellStyle name="Normal 58 4 6 6" xfId="8813"/>
    <cellStyle name="Normal 58 4 6 7" xfId="12213"/>
    <cellStyle name="Normal 58 4 6 8" xfId="7290"/>
    <cellStyle name="Normal 58 4 6 9" xfId="3744"/>
    <cellStyle name="Normal 58 4 6_Degree data" xfId="3143"/>
    <cellStyle name="Normal 58 4 7" xfId="749"/>
    <cellStyle name="Normal 58 4 7 2" xfId="2168"/>
    <cellStyle name="Normal 58 4 7 2 2" xfId="10274"/>
    <cellStyle name="Normal 58 4 7 2 3" xfId="5256"/>
    <cellStyle name="Normal 58 4 7 3" xfId="6315"/>
    <cellStyle name="Normal 58 4 7 3 2" xfId="11331"/>
    <cellStyle name="Normal 58 4 7 4" xfId="9390"/>
    <cellStyle name="Normal 58 4 7 5" xfId="12785"/>
    <cellStyle name="Normal 58 4 7 6" xfId="7867"/>
    <cellStyle name="Normal 58 4 7 7" xfId="4321"/>
    <cellStyle name="Normal 58 4 8" xfId="1153"/>
    <cellStyle name="Normal 58 4 8 2" xfId="2517"/>
    <cellStyle name="Normal 58 4 8 2 2" xfId="10363"/>
    <cellStyle name="Normal 58 4 8 2 3" xfId="5346"/>
    <cellStyle name="Normal 58 4 8 3" xfId="6664"/>
    <cellStyle name="Normal 58 4 8 3 2" xfId="11679"/>
    <cellStyle name="Normal 58 4 8 4" xfId="8638"/>
    <cellStyle name="Normal 58 4 8 5" xfId="13133"/>
    <cellStyle name="Normal 58 4 8 6" xfId="7957"/>
    <cellStyle name="Normal 58 4 8 7" xfId="3562"/>
    <cellStyle name="Normal 58 4 9" xfId="2678"/>
    <cellStyle name="Normal 58 4 9 2" xfId="6744"/>
    <cellStyle name="Normal 58 4 9 2 2" xfId="11759"/>
    <cellStyle name="Normal 58 4 9 3" xfId="13213"/>
    <cellStyle name="Normal 58 4 9 4" xfId="9525"/>
    <cellStyle name="Normal 58 4 9 5" xfId="4507"/>
    <cellStyle name="Normal 58 4_Degree data" xfId="3134"/>
    <cellStyle name="Normal 58 5" xfId="86"/>
    <cellStyle name="Normal 58 5 10" xfId="1536"/>
    <cellStyle name="Normal 58 5 10 2" xfId="8335"/>
    <cellStyle name="Normal 58 5 11" xfId="12153"/>
    <cellStyle name="Normal 58 5 12" xfId="7145"/>
    <cellStyle name="Normal 58 5 13" xfId="3257"/>
    <cellStyle name="Normal 58 5 2" xfId="210"/>
    <cellStyle name="Normal 58 5 2 10" xfId="7188"/>
    <cellStyle name="Normal 58 5 2 11" xfId="3357"/>
    <cellStyle name="Normal 58 5 2 2" xfId="403"/>
    <cellStyle name="Normal 58 5 2 2 2" xfId="653"/>
    <cellStyle name="Normal 58 5 2 2 2 2" xfId="2180"/>
    <cellStyle name="Normal 58 5 2 2 2 2 2" xfId="10286"/>
    <cellStyle name="Normal 58 5 2 2 2 2 3" xfId="5268"/>
    <cellStyle name="Normal 58 5 2 2 2 3" xfId="6327"/>
    <cellStyle name="Normal 58 5 2 2 2 3 2" xfId="11343"/>
    <cellStyle name="Normal 58 5 2 2 2 4" xfId="9402"/>
    <cellStyle name="Normal 58 5 2 2 2 5" xfId="12797"/>
    <cellStyle name="Normal 58 5 2 2 2 6" xfId="7879"/>
    <cellStyle name="Normal 58 5 2 2 2 7" xfId="4333"/>
    <cellStyle name="Normal 58 5 2 2 3" xfId="1062"/>
    <cellStyle name="Normal 58 5 2 2 3 2" xfId="2529"/>
    <cellStyle name="Normal 58 5 2 2 3 2 2" xfId="10621"/>
    <cellStyle name="Normal 58 5 2 2 3 2 3" xfId="5604"/>
    <cellStyle name="Normal 58 5 2 2 3 3" xfId="6676"/>
    <cellStyle name="Normal 58 5 2 2 3 3 2" xfId="11691"/>
    <cellStyle name="Normal 58 5 2 2 3 4" xfId="9028"/>
    <cellStyle name="Normal 58 5 2 2 3 5" xfId="13145"/>
    <cellStyle name="Normal 58 5 2 2 3 6" xfId="8215"/>
    <cellStyle name="Normal 58 5 2 2 3 7" xfId="3959"/>
    <cellStyle name="Normal 58 5 2 2 4" xfId="1420"/>
    <cellStyle name="Normal 58 5 2 2 4 2" xfId="2978"/>
    <cellStyle name="Normal 58 5 2 2 4 2 2" xfId="12017"/>
    <cellStyle name="Normal 58 5 2 2 4 2 3" xfId="7002"/>
    <cellStyle name="Normal 58 5 2 2 4 3" xfId="13471"/>
    <cellStyle name="Normal 58 5 2 2 4 4" xfId="9912"/>
    <cellStyle name="Normal 58 5 2 2 4 5" xfId="4894"/>
    <cellStyle name="Normal 58 5 2 2 5" xfId="1811"/>
    <cellStyle name="Normal 58 5 2 2 5 2" xfId="10974"/>
    <cellStyle name="Normal 58 5 2 2 5 3" xfId="5958"/>
    <cellStyle name="Normal 58 5 2 2 6" xfId="8535"/>
    <cellStyle name="Normal 58 5 2 2 7" xfId="12428"/>
    <cellStyle name="Normal 58 5 2 2 8" xfId="7505"/>
    <cellStyle name="Normal 58 5 2 2 9" xfId="3457"/>
    <cellStyle name="Normal 58 5 2 2_Degree data" xfId="3146"/>
    <cellStyle name="Normal 58 5 2 3" xfId="553"/>
    <cellStyle name="Normal 58 5 2 3 2" xfId="962"/>
    <cellStyle name="Normal 58 5 2 3 2 2" xfId="9812"/>
    <cellStyle name="Normal 58 5 2 3 2 3" xfId="4794"/>
    <cellStyle name="Normal 58 5 2 3 3" xfId="2179"/>
    <cellStyle name="Normal 58 5 2 3 3 2" xfId="11342"/>
    <cellStyle name="Normal 58 5 2 3 3 3" xfId="6326"/>
    <cellStyle name="Normal 58 5 2 3 4" xfId="8928"/>
    <cellStyle name="Normal 58 5 2 3 5" xfId="12796"/>
    <cellStyle name="Normal 58 5 2 3 6" xfId="7405"/>
    <cellStyle name="Normal 58 5 2 3 7" xfId="3859"/>
    <cellStyle name="Normal 58 5 2 4" xfId="816"/>
    <cellStyle name="Normal 58 5 2 4 2" xfId="2528"/>
    <cellStyle name="Normal 58 5 2 4 2 2" xfId="10285"/>
    <cellStyle name="Normal 58 5 2 4 2 3" xfId="5267"/>
    <cellStyle name="Normal 58 5 2 4 3" xfId="6675"/>
    <cellStyle name="Normal 58 5 2 4 3 2" xfId="11690"/>
    <cellStyle name="Normal 58 5 2 4 4" xfId="9401"/>
    <cellStyle name="Normal 58 5 2 4 5" xfId="13144"/>
    <cellStyle name="Normal 58 5 2 4 6" xfId="7878"/>
    <cellStyle name="Normal 58 5 2 4 7" xfId="4332"/>
    <cellStyle name="Normal 58 5 2 5" xfId="1318"/>
    <cellStyle name="Normal 58 5 2 5 2" xfId="2876"/>
    <cellStyle name="Normal 58 5 2 5 2 2" xfId="10521"/>
    <cellStyle name="Normal 58 5 2 5 2 3" xfId="5504"/>
    <cellStyle name="Normal 58 5 2 5 3" xfId="6902"/>
    <cellStyle name="Normal 58 5 2 5 3 2" xfId="11917"/>
    <cellStyle name="Normal 58 5 2 5 4" xfId="8709"/>
    <cellStyle name="Normal 58 5 2 5 5" xfId="13371"/>
    <cellStyle name="Normal 58 5 2 5 6" xfId="8115"/>
    <cellStyle name="Normal 58 5 2 5 7" xfId="3639"/>
    <cellStyle name="Normal 58 5 2 6" xfId="1711"/>
    <cellStyle name="Normal 58 5 2 6 2" xfId="9595"/>
    <cellStyle name="Normal 58 5 2 6 3" xfId="4577"/>
    <cellStyle name="Normal 58 5 2 7" xfId="5858"/>
    <cellStyle name="Normal 58 5 2 7 2" xfId="10874"/>
    <cellStyle name="Normal 58 5 2 8" xfId="8435"/>
    <cellStyle name="Normal 58 5 2 9" xfId="12328"/>
    <cellStyle name="Normal 58 5 2_Degree data" xfId="3145"/>
    <cellStyle name="Normal 58 5 3" xfId="246"/>
    <cellStyle name="Normal 58 5 3 10" xfId="7249"/>
    <cellStyle name="Normal 58 5 3 11" xfId="3314"/>
    <cellStyle name="Normal 58 5 3 2" xfId="359"/>
    <cellStyle name="Normal 58 5 3 2 2" xfId="714"/>
    <cellStyle name="Normal 58 5 3 2 2 2" xfId="2182"/>
    <cellStyle name="Normal 58 5 3 2 2 2 2" xfId="10288"/>
    <cellStyle name="Normal 58 5 3 2 2 2 3" xfId="5270"/>
    <cellStyle name="Normal 58 5 3 2 2 3" xfId="6329"/>
    <cellStyle name="Normal 58 5 3 2 2 3 2" xfId="11345"/>
    <cellStyle name="Normal 58 5 3 2 2 4" xfId="9404"/>
    <cellStyle name="Normal 58 5 3 2 2 5" xfId="12799"/>
    <cellStyle name="Normal 58 5 3 2 2 6" xfId="7881"/>
    <cellStyle name="Normal 58 5 3 2 2 7" xfId="4335"/>
    <cellStyle name="Normal 58 5 3 2 3" xfId="1123"/>
    <cellStyle name="Normal 58 5 3 2 3 2" xfId="2531"/>
    <cellStyle name="Normal 58 5 3 2 3 2 2" xfId="10682"/>
    <cellStyle name="Normal 58 5 3 2 3 2 3" xfId="5665"/>
    <cellStyle name="Normal 58 5 3 2 3 3" xfId="6678"/>
    <cellStyle name="Normal 58 5 3 2 3 3 2" xfId="11693"/>
    <cellStyle name="Normal 58 5 3 2 3 4" xfId="9089"/>
    <cellStyle name="Normal 58 5 3 2 3 5" xfId="13147"/>
    <cellStyle name="Normal 58 5 3 2 3 6" xfId="8276"/>
    <cellStyle name="Normal 58 5 3 2 3 7" xfId="4020"/>
    <cellStyle name="Normal 58 5 3 2 4" xfId="1481"/>
    <cellStyle name="Normal 58 5 3 2 4 2" xfId="3040"/>
    <cellStyle name="Normal 58 5 3 2 4 2 2" xfId="12078"/>
    <cellStyle name="Normal 58 5 3 2 4 2 3" xfId="7063"/>
    <cellStyle name="Normal 58 5 3 2 4 3" xfId="13532"/>
    <cellStyle name="Normal 58 5 3 2 4 4" xfId="9973"/>
    <cellStyle name="Normal 58 5 3 2 4 5" xfId="4955"/>
    <cellStyle name="Normal 58 5 3 2 5" xfId="1872"/>
    <cellStyle name="Normal 58 5 3 2 5 2" xfId="11035"/>
    <cellStyle name="Normal 58 5 3 2 5 3" xfId="6019"/>
    <cellStyle name="Normal 58 5 3 2 6" xfId="8596"/>
    <cellStyle name="Normal 58 5 3 2 7" xfId="12489"/>
    <cellStyle name="Normal 58 5 3 2 8" xfId="7566"/>
    <cellStyle name="Normal 58 5 3 2 9" xfId="3518"/>
    <cellStyle name="Normal 58 5 3 2_Degree data" xfId="3148"/>
    <cellStyle name="Normal 58 5 3 3" xfId="510"/>
    <cellStyle name="Normal 58 5 3 3 2" xfId="2181"/>
    <cellStyle name="Normal 58 5 3 3 2 2" xfId="9769"/>
    <cellStyle name="Normal 58 5 3 3 2 3" xfId="4751"/>
    <cellStyle name="Normal 58 5 3 3 3" xfId="6328"/>
    <cellStyle name="Normal 58 5 3 3 3 2" xfId="11344"/>
    <cellStyle name="Normal 58 5 3 3 4" xfId="8885"/>
    <cellStyle name="Normal 58 5 3 3 5" xfId="12798"/>
    <cellStyle name="Normal 58 5 3 3 6" xfId="7362"/>
    <cellStyle name="Normal 58 5 3 3 7" xfId="3816"/>
    <cellStyle name="Normal 58 5 3 4" xfId="919"/>
    <cellStyle name="Normal 58 5 3 4 2" xfId="2530"/>
    <cellStyle name="Normal 58 5 3 4 2 2" xfId="10287"/>
    <cellStyle name="Normal 58 5 3 4 2 3" xfId="5269"/>
    <cellStyle name="Normal 58 5 3 4 3" xfId="6677"/>
    <cellStyle name="Normal 58 5 3 4 3 2" xfId="11692"/>
    <cellStyle name="Normal 58 5 3 4 4" xfId="9403"/>
    <cellStyle name="Normal 58 5 3 4 5" xfId="13146"/>
    <cellStyle name="Normal 58 5 3 4 6" xfId="7880"/>
    <cellStyle name="Normal 58 5 3 4 7" xfId="4334"/>
    <cellStyle name="Normal 58 5 3 5" xfId="1274"/>
    <cellStyle name="Normal 58 5 3 5 2" xfId="2831"/>
    <cellStyle name="Normal 58 5 3 5 2 2" xfId="10478"/>
    <cellStyle name="Normal 58 5 3 5 2 3" xfId="5461"/>
    <cellStyle name="Normal 58 5 3 5 3" xfId="6859"/>
    <cellStyle name="Normal 58 5 3 5 3 2" xfId="11874"/>
    <cellStyle name="Normal 58 5 3 5 4" xfId="8770"/>
    <cellStyle name="Normal 58 5 3 5 5" xfId="13328"/>
    <cellStyle name="Normal 58 5 3 5 6" xfId="8072"/>
    <cellStyle name="Normal 58 5 3 5 7" xfId="3700"/>
    <cellStyle name="Normal 58 5 3 6" xfId="1668"/>
    <cellStyle name="Normal 58 5 3 6 2" xfId="9656"/>
    <cellStyle name="Normal 58 5 3 6 3" xfId="4638"/>
    <cellStyle name="Normal 58 5 3 7" xfId="5815"/>
    <cellStyle name="Normal 58 5 3 7 2" xfId="10831"/>
    <cellStyle name="Normal 58 5 3 8" xfId="8392"/>
    <cellStyle name="Normal 58 5 3 9" xfId="12285"/>
    <cellStyle name="Normal 58 5 3_Degree data" xfId="3147"/>
    <cellStyle name="Normal 58 5 4" xfId="299"/>
    <cellStyle name="Normal 58 5 4 2" xfId="610"/>
    <cellStyle name="Normal 58 5 4 2 2" xfId="2183"/>
    <cellStyle name="Normal 58 5 4 2 2 2" xfId="10289"/>
    <cellStyle name="Normal 58 5 4 2 2 3" xfId="5271"/>
    <cellStyle name="Normal 58 5 4 2 3" xfId="6330"/>
    <cellStyle name="Normal 58 5 4 2 3 2" xfId="11346"/>
    <cellStyle name="Normal 58 5 4 2 4" xfId="9405"/>
    <cellStyle name="Normal 58 5 4 2 5" xfId="12800"/>
    <cellStyle name="Normal 58 5 4 2 6" xfId="7882"/>
    <cellStyle name="Normal 58 5 4 2 7" xfId="4336"/>
    <cellStyle name="Normal 58 5 4 3" xfId="1019"/>
    <cellStyle name="Normal 58 5 4 3 2" xfId="2532"/>
    <cellStyle name="Normal 58 5 4 3 2 2" xfId="10578"/>
    <cellStyle name="Normal 58 5 4 3 2 3" xfId="5561"/>
    <cellStyle name="Normal 58 5 4 3 3" xfId="6679"/>
    <cellStyle name="Normal 58 5 4 3 3 2" xfId="11694"/>
    <cellStyle name="Normal 58 5 4 3 4" xfId="8985"/>
    <cellStyle name="Normal 58 5 4 3 5" xfId="13148"/>
    <cellStyle name="Normal 58 5 4 3 6" xfId="8172"/>
    <cellStyle name="Normal 58 5 4 3 7" xfId="3916"/>
    <cellStyle name="Normal 58 5 4 4" xfId="1375"/>
    <cellStyle name="Normal 58 5 4 4 2" xfId="2933"/>
    <cellStyle name="Normal 58 5 4 4 2 2" xfId="11974"/>
    <cellStyle name="Normal 58 5 4 4 2 3" xfId="6959"/>
    <cellStyle name="Normal 58 5 4 4 3" xfId="13428"/>
    <cellStyle name="Normal 58 5 4 4 4" xfId="9869"/>
    <cellStyle name="Normal 58 5 4 4 5" xfId="4851"/>
    <cellStyle name="Normal 58 5 4 5" xfId="1768"/>
    <cellStyle name="Normal 58 5 4 5 2" xfId="10931"/>
    <cellStyle name="Normal 58 5 4 5 3" xfId="5915"/>
    <cellStyle name="Normal 58 5 4 6" xfId="8492"/>
    <cellStyle name="Normal 58 5 4 7" xfId="12385"/>
    <cellStyle name="Normal 58 5 4 8" xfId="7462"/>
    <cellStyle name="Normal 58 5 4 9" xfId="3414"/>
    <cellStyle name="Normal 58 5 4_Degree data" xfId="3149"/>
    <cellStyle name="Normal 58 5 5" xfId="453"/>
    <cellStyle name="Normal 58 5 5 2" xfId="862"/>
    <cellStyle name="Normal 58 5 5 2 2" xfId="2184"/>
    <cellStyle name="Normal 58 5 5 2 2 2" xfId="10290"/>
    <cellStyle name="Normal 58 5 5 2 2 3" xfId="5272"/>
    <cellStyle name="Normal 58 5 5 2 3" xfId="6331"/>
    <cellStyle name="Normal 58 5 5 2 3 2" xfId="11347"/>
    <cellStyle name="Normal 58 5 5 2 4" xfId="9406"/>
    <cellStyle name="Normal 58 5 5 2 5" xfId="12801"/>
    <cellStyle name="Normal 58 5 5 2 6" xfId="7883"/>
    <cellStyle name="Normal 58 5 5 2 7" xfId="4337"/>
    <cellStyle name="Normal 58 5 5 3" xfId="1212"/>
    <cellStyle name="Normal 58 5 5 3 2" xfId="2533"/>
    <cellStyle name="Normal 58 5 5 3 2 2" xfId="10421"/>
    <cellStyle name="Normal 58 5 5 3 2 3" xfId="5404"/>
    <cellStyle name="Normal 58 5 5 3 3" xfId="6680"/>
    <cellStyle name="Normal 58 5 5 3 3 2" xfId="11695"/>
    <cellStyle name="Normal 58 5 5 3 4" xfId="9495"/>
    <cellStyle name="Normal 58 5 5 3 5" xfId="13149"/>
    <cellStyle name="Normal 58 5 5 3 6" xfId="8015"/>
    <cellStyle name="Normal 58 5 5 3 7" xfId="4477"/>
    <cellStyle name="Normal 58 5 5 4" xfId="2766"/>
    <cellStyle name="Normal 58 5 5 4 2" xfId="6802"/>
    <cellStyle name="Normal 58 5 5 4 2 2" xfId="11817"/>
    <cellStyle name="Normal 58 5 5 4 3" xfId="13271"/>
    <cellStyle name="Normal 58 5 5 4 4" xfId="9712"/>
    <cellStyle name="Normal 58 5 5 4 5" xfId="4694"/>
    <cellStyle name="Normal 58 5 5 5" xfId="1611"/>
    <cellStyle name="Normal 58 5 5 5 2" xfId="10772"/>
    <cellStyle name="Normal 58 5 5 5 3" xfId="5756"/>
    <cellStyle name="Normal 58 5 5 6" xfId="8828"/>
    <cellStyle name="Normal 58 5 5 7" xfId="12228"/>
    <cellStyle name="Normal 58 5 5 8" xfId="7305"/>
    <cellStyle name="Normal 58 5 5 9" xfId="3759"/>
    <cellStyle name="Normal 58 5 5_Degree data" xfId="3150"/>
    <cellStyle name="Normal 58 5 6" xfId="786"/>
    <cellStyle name="Normal 58 5 6 2" xfId="2178"/>
    <cellStyle name="Normal 58 5 6 2 2" xfId="10284"/>
    <cellStyle name="Normal 58 5 6 2 3" xfId="5266"/>
    <cellStyle name="Normal 58 5 6 3" xfId="6325"/>
    <cellStyle name="Normal 58 5 6 3 2" xfId="11341"/>
    <cellStyle name="Normal 58 5 6 4" xfId="9400"/>
    <cellStyle name="Normal 58 5 6 5" xfId="12795"/>
    <cellStyle name="Normal 58 5 6 6" xfId="7877"/>
    <cellStyle name="Normal 58 5 6 7" xfId="4331"/>
    <cellStyle name="Normal 58 5 7" xfId="1166"/>
    <cellStyle name="Normal 58 5 7 2" xfId="2527"/>
    <cellStyle name="Normal 58 5 7 2 2" xfId="10376"/>
    <cellStyle name="Normal 58 5 7 2 3" xfId="5359"/>
    <cellStyle name="Normal 58 5 7 3" xfId="6674"/>
    <cellStyle name="Normal 58 5 7 3 2" xfId="11689"/>
    <cellStyle name="Normal 58 5 7 4" xfId="8666"/>
    <cellStyle name="Normal 58 5 7 5" xfId="13143"/>
    <cellStyle name="Normal 58 5 7 6" xfId="7970"/>
    <cellStyle name="Normal 58 5 7 7" xfId="3593"/>
    <cellStyle name="Normal 58 5 8" xfId="2717"/>
    <cellStyle name="Normal 58 5 8 2" xfId="6757"/>
    <cellStyle name="Normal 58 5 8 2 2" xfId="11772"/>
    <cellStyle name="Normal 58 5 8 3" xfId="13226"/>
    <cellStyle name="Normal 58 5 8 4" xfId="9552"/>
    <cellStyle name="Normal 58 5 8 5" xfId="4534"/>
    <cellStyle name="Normal 58 5 9" xfId="1566"/>
    <cellStyle name="Normal 58 5 9 2" xfId="12183"/>
    <cellStyle name="Normal 58 5 9 3" xfId="10727"/>
    <cellStyle name="Normal 58 5 9 4" xfId="5711"/>
    <cellStyle name="Normal 58 5_Degree data" xfId="3144"/>
    <cellStyle name="Normal 58 6" xfId="150"/>
    <cellStyle name="Normal 58 6 10" xfId="8313"/>
    <cellStyle name="Normal 58 6 11" xfId="12133"/>
    <cellStyle name="Normal 58 6 12" xfId="7125"/>
    <cellStyle name="Normal 58 6 13" xfId="3234"/>
    <cellStyle name="Normal 58 6 2" xfId="382"/>
    <cellStyle name="Normal 58 6 2 10" xfId="7168"/>
    <cellStyle name="Normal 58 6 2 11" xfId="3337"/>
    <cellStyle name="Normal 58 6 2 2" xfId="633"/>
    <cellStyle name="Normal 58 6 2 2 2" xfId="1042"/>
    <cellStyle name="Normal 58 6 2 2 2 2" xfId="2187"/>
    <cellStyle name="Normal 58 6 2 2 2 2 2" xfId="10293"/>
    <cellStyle name="Normal 58 6 2 2 2 2 3" xfId="5275"/>
    <cellStyle name="Normal 58 6 2 2 2 3" xfId="6334"/>
    <cellStyle name="Normal 58 6 2 2 2 3 2" xfId="11350"/>
    <cellStyle name="Normal 58 6 2 2 2 4" xfId="9409"/>
    <cellStyle name="Normal 58 6 2 2 2 5" xfId="12804"/>
    <cellStyle name="Normal 58 6 2 2 2 6" xfId="7886"/>
    <cellStyle name="Normal 58 6 2 2 2 7" xfId="4340"/>
    <cellStyle name="Normal 58 6 2 2 3" xfId="1399"/>
    <cellStyle name="Normal 58 6 2 2 3 2" xfId="2536"/>
    <cellStyle name="Normal 58 6 2 2 3 2 2" xfId="10601"/>
    <cellStyle name="Normal 58 6 2 2 3 2 3" xfId="5584"/>
    <cellStyle name="Normal 58 6 2 2 3 3" xfId="6683"/>
    <cellStyle name="Normal 58 6 2 2 3 3 2" xfId="11698"/>
    <cellStyle name="Normal 58 6 2 2 3 4" xfId="9008"/>
    <cellStyle name="Normal 58 6 2 2 3 5" xfId="13152"/>
    <cellStyle name="Normal 58 6 2 2 3 6" xfId="8195"/>
    <cellStyle name="Normal 58 6 2 2 3 7" xfId="3939"/>
    <cellStyle name="Normal 58 6 2 2 4" xfId="2957"/>
    <cellStyle name="Normal 58 6 2 2 4 2" xfId="6982"/>
    <cellStyle name="Normal 58 6 2 2 4 2 2" xfId="11997"/>
    <cellStyle name="Normal 58 6 2 2 4 3" xfId="13451"/>
    <cellStyle name="Normal 58 6 2 2 4 4" xfId="9892"/>
    <cellStyle name="Normal 58 6 2 2 4 5" xfId="4874"/>
    <cellStyle name="Normal 58 6 2 2 5" xfId="1791"/>
    <cellStyle name="Normal 58 6 2 2 5 2" xfId="10954"/>
    <cellStyle name="Normal 58 6 2 2 5 3" xfId="5938"/>
    <cellStyle name="Normal 58 6 2 2 6" xfId="8515"/>
    <cellStyle name="Normal 58 6 2 2 7" xfId="12408"/>
    <cellStyle name="Normal 58 6 2 2 8" xfId="7485"/>
    <cellStyle name="Normal 58 6 2 2 9" xfId="3437"/>
    <cellStyle name="Normal 58 6 2 2_Degree data" xfId="3153"/>
    <cellStyle name="Normal 58 6 2 3" xfId="533"/>
    <cellStyle name="Normal 58 6 2 3 2" xfId="2186"/>
    <cellStyle name="Normal 58 6 2 3 2 2" xfId="9792"/>
    <cellStyle name="Normal 58 6 2 3 2 3" xfId="4774"/>
    <cellStyle name="Normal 58 6 2 3 3" xfId="6333"/>
    <cellStyle name="Normal 58 6 2 3 3 2" xfId="11349"/>
    <cellStyle name="Normal 58 6 2 3 4" xfId="8908"/>
    <cellStyle name="Normal 58 6 2 3 5" xfId="12803"/>
    <cellStyle name="Normal 58 6 2 3 6" xfId="7385"/>
    <cellStyle name="Normal 58 6 2 3 7" xfId="3839"/>
    <cellStyle name="Normal 58 6 2 4" xfId="942"/>
    <cellStyle name="Normal 58 6 2 4 2" xfId="2535"/>
    <cellStyle name="Normal 58 6 2 4 2 2" xfId="10292"/>
    <cellStyle name="Normal 58 6 2 4 2 3" xfId="5274"/>
    <cellStyle name="Normal 58 6 2 4 3" xfId="6682"/>
    <cellStyle name="Normal 58 6 2 4 3 2" xfId="11697"/>
    <cellStyle name="Normal 58 6 2 4 4" xfId="9408"/>
    <cellStyle name="Normal 58 6 2 4 5" xfId="13151"/>
    <cellStyle name="Normal 58 6 2 4 6" xfId="7885"/>
    <cellStyle name="Normal 58 6 2 4 7" xfId="4339"/>
    <cellStyle name="Normal 58 6 2 5" xfId="1298"/>
    <cellStyle name="Normal 58 6 2 5 2" xfId="2855"/>
    <cellStyle name="Normal 58 6 2 5 2 2" xfId="10501"/>
    <cellStyle name="Normal 58 6 2 5 2 3" xfId="5484"/>
    <cellStyle name="Normal 58 6 2 5 3" xfId="6882"/>
    <cellStyle name="Normal 58 6 2 5 3 2" xfId="11897"/>
    <cellStyle name="Normal 58 6 2 5 4" xfId="8689"/>
    <cellStyle name="Normal 58 6 2 5 5" xfId="13351"/>
    <cellStyle name="Normal 58 6 2 5 6" xfId="8095"/>
    <cellStyle name="Normal 58 6 2 5 7" xfId="3618"/>
    <cellStyle name="Normal 58 6 2 6" xfId="1691"/>
    <cellStyle name="Normal 58 6 2 6 2" xfId="9575"/>
    <cellStyle name="Normal 58 6 2 6 3" xfId="4557"/>
    <cellStyle name="Normal 58 6 2 7" xfId="5838"/>
    <cellStyle name="Normal 58 6 2 7 2" xfId="10854"/>
    <cellStyle name="Normal 58 6 2 8" xfId="8415"/>
    <cellStyle name="Normal 58 6 2 9" xfId="12308"/>
    <cellStyle name="Normal 58 6 2_Degree data" xfId="3152"/>
    <cellStyle name="Normal 58 6 3" xfId="338"/>
    <cellStyle name="Normal 58 6 3 10" xfId="7230"/>
    <cellStyle name="Normal 58 6 3 11" xfId="3294"/>
    <cellStyle name="Normal 58 6 3 2" xfId="695"/>
    <cellStyle name="Normal 58 6 3 2 2" xfId="1104"/>
    <cellStyle name="Normal 58 6 3 2 2 2" xfId="2189"/>
    <cellStyle name="Normal 58 6 3 2 2 2 2" xfId="10295"/>
    <cellStyle name="Normal 58 6 3 2 2 2 3" xfId="5277"/>
    <cellStyle name="Normal 58 6 3 2 2 3" xfId="6336"/>
    <cellStyle name="Normal 58 6 3 2 2 3 2" xfId="11352"/>
    <cellStyle name="Normal 58 6 3 2 2 4" xfId="9411"/>
    <cellStyle name="Normal 58 6 3 2 2 5" xfId="12806"/>
    <cellStyle name="Normal 58 6 3 2 2 6" xfId="7888"/>
    <cellStyle name="Normal 58 6 3 2 2 7" xfId="4342"/>
    <cellStyle name="Normal 58 6 3 2 3" xfId="1462"/>
    <cellStyle name="Normal 58 6 3 2 3 2" xfId="2538"/>
    <cellStyle name="Normal 58 6 3 2 3 2 2" xfId="10663"/>
    <cellStyle name="Normal 58 6 3 2 3 2 3" xfId="5646"/>
    <cellStyle name="Normal 58 6 3 2 3 3" xfId="6685"/>
    <cellStyle name="Normal 58 6 3 2 3 3 2" xfId="11700"/>
    <cellStyle name="Normal 58 6 3 2 3 4" xfId="9070"/>
    <cellStyle name="Normal 58 6 3 2 3 5" xfId="13154"/>
    <cellStyle name="Normal 58 6 3 2 3 6" xfId="8257"/>
    <cellStyle name="Normal 58 6 3 2 3 7" xfId="4001"/>
    <cellStyle name="Normal 58 6 3 2 4" xfId="3021"/>
    <cellStyle name="Normal 58 6 3 2 4 2" xfId="7044"/>
    <cellStyle name="Normal 58 6 3 2 4 2 2" xfId="12059"/>
    <cellStyle name="Normal 58 6 3 2 4 3" xfId="13513"/>
    <cellStyle name="Normal 58 6 3 2 4 4" xfId="9954"/>
    <cellStyle name="Normal 58 6 3 2 4 5" xfId="4936"/>
    <cellStyle name="Normal 58 6 3 2 5" xfId="1853"/>
    <cellStyle name="Normal 58 6 3 2 5 2" xfId="11016"/>
    <cellStyle name="Normal 58 6 3 2 5 3" xfId="6000"/>
    <cellStyle name="Normal 58 6 3 2 6" xfId="8577"/>
    <cellStyle name="Normal 58 6 3 2 7" xfId="12470"/>
    <cellStyle name="Normal 58 6 3 2 8" xfId="7547"/>
    <cellStyle name="Normal 58 6 3 2 9" xfId="3499"/>
    <cellStyle name="Normal 58 6 3 2_Degree data" xfId="3155"/>
    <cellStyle name="Normal 58 6 3 3" xfId="490"/>
    <cellStyle name="Normal 58 6 3 3 2" xfId="2188"/>
    <cellStyle name="Normal 58 6 3 3 2 2" xfId="9749"/>
    <cellStyle name="Normal 58 6 3 3 2 3" xfId="4731"/>
    <cellStyle name="Normal 58 6 3 3 3" xfId="6335"/>
    <cellStyle name="Normal 58 6 3 3 3 2" xfId="11351"/>
    <cellStyle name="Normal 58 6 3 3 4" xfId="8865"/>
    <cellStyle name="Normal 58 6 3 3 5" xfId="12805"/>
    <cellStyle name="Normal 58 6 3 3 6" xfId="7342"/>
    <cellStyle name="Normal 58 6 3 3 7" xfId="3796"/>
    <cellStyle name="Normal 58 6 3 4" xfId="899"/>
    <cellStyle name="Normal 58 6 3 4 2" xfId="2537"/>
    <cellStyle name="Normal 58 6 3 4 2 2" xfId="10294"/>
    <cellStyle name="Normal 58 6 3 4 2 3" xfId="5276"/>
    <cellStyle name="Normal 58 6 3 4 3" xfId="6684"/>
    <cellStyle name="Normal 58 6 3 4 3 2" xfId="11699"/>
    <cellStyle name="Normal 58 6 3 4 4" xfId="9410"/>
    <cellStyle name="Normal 58 6 3 4 5" xfId="13153"/>
    <cellStyle name="Normal 58 6 3 4 6" xfId="7887"/>
    <cellStyle name="Normal 58 6 3 4 7" xfId="4341"/>
    <cellStyle name="Normal 58 6 3 5" xfId="1254"/>
    <cellStyle name="Normal 58 6 3 5 2" xfId="2810"/>
    <cellStyle name="Normal 58 6 3 5 2 2" xfId="10458"/>
    <cellStyle name="Normal 58 6 3 5 2 3" xfId="5441"/>
    <cellStyle name="Normal 58 6 3 5 3" xfId="6839"/>
    <cellStyle name="Normal 58 6 3 5 3 2" xfId="11854"/>
    <cellStyle name="Normal 58 6 3 5 4" xfId="8751"/>
    <cellStyle name="Normal 58 6 3 5 5" xfId="13308"/>
    <cellStyle name="Normal 58 6 3 5 6" xfId="8052"/>
    <cellStyle name="Normal 58 6 3 5 7" xfId="3681"/>
    <cellStyle name="Normal 58 6 3 6" xfId="1648"/>
    <cellStyle name="Normal 58 6 3 6 2" xfId="9637"/>
    <cellStyle name="Normal 58 6 3 6 3" xfId="4619"/>
    <cellStyle name="Normal 58 6 3 7" xfId="5795"/>
    <cellStyle name="Normal 58 6 3 7 2" xfId="10811"/>
    <cellStyle name="Normal 58 6 3 8" xfId="8372"/>
    <cellStyle name="Normal 58 6 3 9" xfId="12265"/>
    <cellStyle name="Normal 58 6 3_Degree data" xfId="3154"/>
    <cellStyle name="Normal 58 6 4" xfId="275"/>
    <cellStyle name="Normal 58 6 4 2" xfId="590"/>
    <cellStyle name="Normal 58 6 4 2 2" xfId="2190"/>
    <cellStyle name="Normal 58 6 4 2 2 2" xfId="10296"/>
    <cellStyle name="Normal 58 6 4 2 2 3" xfId="5278"/>
    <cellStyle name="Normal 58 6 4 2 3" xfId="6337"/>
    <cellStyle name="Normal 58 6 4 2 3 2" xfId="11353"/>
    <cellStyle name="Normal 58 6 4 2 4" xfId="9412"/>
    <cellStyle name="Normal 58 6 4 2 5" xfId="12807"/>
    <cellStyle name="Normal 58 6 4 2 6" xfId="7889"/>
    <cellStyle name="Normal 58 6 4 2 7" xfId="4343"/>
    <cellStyle name="Normal 58 6 4 3" xfId="999"/>
    <cellStyle name="Normal 58 6 4 3 2" xfId="2539"/>
    <cellStyle name="Normal 58 6 4 3 2 2" xfId="10558"/>
    <cellStyle name="Normal 58 6 4 3 2 3" xfId="5541"/>
    <cellStyle name="Normal 58 6 4 3 3" xfId="6686"/>
    <cellStyle name="Normal 58 6 4 3 3 2" xfId="11701"/>
    <cellStyle name="Normal 58 6 4 3 4" xfId="8965"/>
    <cellStyle name="Normal 58 6 4 3 5" xfId="13155"/>
    <cellStyle name="Normal 58 6 4 3 6" xfId="8152"/>
    <cellStyle name="Normal 58 6 4 3 7" xfId="3896"/>
    <cellStyle name="Normal 58 6 4 4" xfId="1355"/>
    <cellStyle name="Normal 58 6 4 4 2" xfId="2913"/>
    <cellStyle name="Normal 58 6 4 4 2 2" xfId="11954"/>
    <cellStyle name="Normal 58 6 4 4 2 3" xfId="6939"/>
    <cellStyle name="Normal 58 6 4 4 3" xfId="13408"/>
    <cellStyle name="Normal 58 6 4 4 4" xfId="9849"/>
    <cellStyle name="Normal 58 6 4 4 5" xfId="4831"/>
    <cellStyle name="Normal 58 6 4 5" xfId="1748"/>
    <cellStyle name="Normal 58 6 4 5 2" xfId="10911"/>
    <cellStyle name="Normal 58 6 4 5 3" xfId="5895"/>
    <cellStyle name="Normal 58 6 4 6" xfId="8472"/>
    <cellStyle name="Normal 58 6 4 7" xfId="12365"/>
    <cellStyle name="Normal 58 6 4 8" xfId="7442"/>
    <cellStyle name="Normal 58 6 4 9" xfId="3394"/>
    <cellStyle name="Normal 58 6 4_Degree data" xfId="3156"/>
    <cellStyle name="Normal 58 6 5" xfId="431"/>
    <cellStyle name="Normal 58 6 5 2" xfId="839"/>
    <cellStyle name="Normal 58 6 5 2 2" xfId="9690"/>
    <cellStyle name="Normal 58 6 5 2 3" xfId="4672"/>
    <cellStyle name="Normal 58 6 5 3" xfId="2185"/>
    <cellStyle name="Normal 58 6 5 3 2" xfId="11348"/>
    <cellStyle name="Normal 58 6 5 3 3" xfId="6332"/>
    <cellStyle name="Normal 58 6 5 4" xfId="8806"/>
    <cellStyle name="Normal 58 6 5 5" xfId="12802"/>
    <cellStyle name="Normal 58 6 5 6" xfId="7283"/>
    <cellStyle name="Normal 58 6 5 7" xfId="3737"/>
    <cellStyle name="Normal 58 6 6" xfId="766"/>
    <cellStyle name="Normal 58 6 6 2" xfId="2534"/>
    <cellStyle name="Normal 58 6 6 2 2" xfId="10291"/>
    <cellStyle name="Normal 58 6 6 2 3" xfId="5273"/>
    <cellStyle name="Normal 58 6 6 3" xfId="6681"/>
    <cellStyle name="Normal 58 6 6 3 2" xfId="11696"/>
    <cellStyle name="Normal 58 6 6 4" xfId="9407"/>
    <cellStyle name="Normal 58 6 6 5" xfId="13150"/>
    <cellStyle name="Normal 58 6 6 6" xfId="7884"/>
    <cellStyle name="Normal 58 6 6 7" xfId="4338"/>
    <cellStyle name="Normal 58 6 7" xfId="1190"/>
    <cellStyle name="Normal 58 6 7 2" xfId="2742"/>
    <cellStyle name="Normal 58 6 7 2 2" xfId="10399"/>
    <cellStyle name="Normal 58 6 7 2 3" xfId="5382"/>
    <cellStyle name="Normal 58 6 7 3" xfId="6780"/>
    <cellStyle name="Normal 58 6 7 3 2" xfId="11795"/>
    <cellStyle name="Normal 58 6 7 4" xfId="8645"/>
    <cellStyle name="Normal 58 6 7 5" xfId="13249"/>
    <cellStyle name="Normal 58 6 7 6" xfId="7993"/>
    <cellStyle name="Normal 58 6 7 7" xfId="3572"/>
    <cellStyle name="Normal 58 6 8" xfId="1589"/>
    <cellStyle name="Normal 58 6 8 2" xfId="12206"/>
    <cellStyle name="Normal 58 6 8 3" xfId="9532"/>
    <cellStyle name="Normal 58 6 8 4" xfId="4514"/>
    <cellStyle name="Normal 58 6 9" xfId="1516"/>
    <cellStyle name="Normal 58 6 9 2" xfId="10750"/>
    <cellStyle name="Normal 58 6 9 3" xfId="5734"/>
    <cellStyle name="Normal 58 6_Degree data" xfId="3151"/>
    <cellStyle name="Normal 58 7" xfId="158"/>
    <cellStyle name="Normal 58 7 10" xfId="7151"/>
    <cellStyle name="Normal 58 7 11" xfId="3320"/>
    <cellStyle name="Normal 58 7 2" xfId="365"/>
    <cellStyle name="Normal 58 7 2 2" xfId="616"/>
    <cellStyle name="Normal 58 7 2 2 2" xfId="2192"/>
    <cellStyle name="Normal 58 7 2 2 2 2" xfId="10298"/>
    <cellStyle name="Normal 58 7 2 2 2 3" xfId="5280"/>
    <cellStyle name="Normal 58 7 2 2 3" xfId="6339"/>
    <cellStyle name="Normal 58 7 2 2 3 2" xfId="11355"/>
    <cellStyle name="Normal 58 7 2 2 4" xfId="9414"/>
    <cellStyle name="Normal 58 7 2 2 5" xfId="12809"/>
    <cellStyle name="Normal 58 7 2 2 6" xfId="7891"/>
    <cellStyle name="Normal 58 7 2 2 7" xfId="4345"/>
    <cellStyle name="Normal 58 7 2 3" xfId="1025"/>
    <cellStyle name="Normal 58 7 2 3 2" xfId="2541"/>
    <cellStyle name="Normal 58 7 2 3 2 2" xfId="10584"/>
    <cellStyle name="Normal 58 7 2 3 2 3" xfId="5567"/>
    <cellStyle name="Normal 58 7 2 3 3" xfId="6688"/>
    <cellStyle name="Normal 58 7 2 3 3 2" xfId="11703"/>
    <cellStyle name="Normal 58 7 2 3 4" xfId="8991"/>
    <cellStyle name="Normal 58 7 2 3 5" xfId="13157"/>
    <cellStyle name="Normal 58 7 2 3 6" xfId="8178"/>
    <cellStyle name="Normal 58 7 2 3 7" xfId="3922"/>
    <cellStyle name="Normal 58 7 2 4" xfId="1382"/>
    <cellStyle name="Normal 58 7 2 4 2" xfId="2940"/>
    <cellStyle name="Normal 58 7 2 4 2 2" xfId="11980"/>
    <cellStyle name="Normal 58 7 2 4 2 3" xfId="6965"/>
    <cellStyle name="Normal 58 7 2 4 3" xfId="13434"/>
    <cellStyle name="Normal 58 7 2 4 4" xfId="9875"/>
    <cellStyle name="Normal 58 7 2 4 5" xfId="4857"/>
    <cellStyle name="Normal 58 7 2 5" xfId="1774"/>
    <cellStyle name="Normal 58 7 2 5 2" xfId="10937"/>
    <cellStyle name="Normal 58 7 2 5 3" xfId="5921"/>
    <cellStyle name="Normal 58 7 2 6" xfId="8498"/>
    <cellStyle name="Normal 58 7 2 7" xfId="12391"/>
    <cellStyle name="Normal 58 7 2 8" xfId="7468"/>
    <cellStyle name="Normal 58 7 2 9" xfId="3420"/>
    <cellStyle name="Normal 58 7 2_Degree data" xfId="3158"/>
    <cellStyle name="Normal 58 7 3" xfId="516"/>
    <cellStyle name="Normal 58 7 3 2" xfId="925"/>
    <cellStyle name="Normal 58 7 3 2 2" xfId="9775"/>
    <cellStyle name="Normal 58 7 3 2 3" xfId="4757"/>
    <cellStyle name="Normal 58 7 3 3" xfId="2191"/>
    <cellStyle name="Normal 58 7 3 3 2" xfId="11354"/>
    <cellStyle name="Normal 58 7 3 3 3" xfId="6338"/>
    <cellStyle name="Normal 58 7 3 4" xfId="8891"/>
    <cellStyle name="Normal 58 7 3 5" xfId="12808"/>
    <cellStyle name="Normal 58 7 3 6" xfId="7368"/>
    <cellStyle name="Normal 58 7 3 7" xfId="3822"/>
    <cellStyle name="Normal 58 7 4" xfId="796"/>
    <cellStyle name="Normal 58 7 4 2" xfId="2540"/>
    <cellStyle name="Normal 58 7 4 2 2" xfId="10297"/>
    <cellStyle name="Normal 58 7 4 2 3" xfId="5279"/>
    <cellStyle name="Normal 58 7 4 3" xfId="6687"/>
    <cellStyle name="Normal 58 7 4 3 2" xfId="11702"/>
    <cellStyle name="Normal 58 7 4 4" xfId="9413"/>
    <cellStyle name="Normal 58 7 4 5" xfId="13156"/>
    <cellStyle name="Normal 58 7 4 6" xfId="7890"/>
    <cellStyle name="Normal 58 7 4 7" xfId="4344"/>
    <cellStyle name="Normal 58 7 5" xfId="1281"/>
    <cellStyle name="Normal 58 7 5 2" xfId="2838"/>
    <cellStyle name="Normal 58 7 5 2 2" xfId="10484"/>
    <cellStyle name="Normal 58 7 5 2 3" xfId="5467"/>
    <cellStyle name="Normal 58 7 5 3" xfId="6865"/>
    <cellStyle name="Normal 58 7 5 3 2" xfId="11880"/>
    <cellStyle name="Normal 58 7 5 4" xfId="8672"/>
    <cellStyle name="Normal 58 7 5 5" xfId="13334"/>
    <cellStyle name="Normal 58 7 5 6" xfId="8078"/>
    <cellStyle name="Normal 58 7 5 7" xfId="3601"/>
    <cellStyle name="Normal 58 7 6" xfId="1674"/>
    <cellStyle name="Normal 58 7 6 2" xfId="9558"/>
    <cellStyle name="Normal 58 7 6 3" xfId="4540"/>
    <cellStyle name="Normal 58 7 7" xfId="5821"/>
    <cellStyle name="Normal 58 7 7 2" xfId="10837"/>
    <cellStyle name="Normal 58 7 8" xfId="8398"/>
    <cellStyle name="Normal 58 7 9" xfId="12291"/>
    <cellStyle name="Normal 58 7_Degree data" xfId="3157"/>
    <cellStyle name="Normal 58 8" xfId="190"/>
    <cellStyle name="Normal 58 8 10" xfId="7199"/>
    <cellStyle name="Normal 58 8 11" xfId="3263"/>
    <cellStyle name="Normal 58 8 2" xfId="307"/>
    <cellStyle name="Normal 58 8 2 2" xfId="664"/>
    <cellStyle name="Normal 58 8 2 2 2" xfId="2194"/>
    <cellStyle name="Normal 58 8 2 2 2 2" xfId="10300"/>
    <cellStyle name="Normal 58 8 2 2 2 3" xfId="5282"/>
    <cellStyle name="Normal 58 8 2 2 3" xfId="6341"/>
    <cellStyle name="Normal 58 8 2 2 3 2" xfId="11357"/>
    <cellStyle name="Normal 58 8 2 2 4" xfId="9416"/>
    <cellStyle name="Normal 58 8 2 2 5" xfId="12811"/>
    <cellStyle name="Normal 58 8 2 2 6" xfId="7893"/>
    <cellStyle name="Normal 58 8 2 2 7" xfId="4347"/>
    <cellStyle name="Normal 58 8 2 3" xfId="1073"/>
    <cellStyle name="Normal 58 8 2 3 2" xfId="2543"/>
    <cellStyle name="Normal 58 8 2 3 2 2" xfId="10632"/>
    <cellStyle name="Normal 58 8 2 3 2 3" xfId="5615"/>
    <cellStyle name="Normal 58 8 2 3 3" xfId="6690"/>
    <cellStyle name="Normal 58 8 2 3 3 2" xfId="11705"/>
    <cellStyle name="Normal 58 8 2 3 4" xfId="9039"/>
    <cellStyle name="Normal 58 8 2 3 5" xfId="13159"/>
    <cellStyle name="Normal 58 8 2 3 6" xfId="8226"/>
    <cellStyle name="Normal 58 8 2 3 7" xfId="3970"/>
    <cellStyle name="Normal 58 8 2 4" xfId="1431"/>
    <cellStyle name="Normal 58 8 2 4 2" xfId="2990"/>
    <cellStyle name="Normal 58 8 2 4 2 2" xfId="12028"/>
    <cellStyle name="Normal 58 8 2 4 2 3" xfId="7013"/>
    <cellStyle name="Normal 58 8 2 4 3" xfId="13482"/>
    <cellStyle name="Normal 58 8 2 4 4" xfId="9923"/>
    <cellStyle name="Normal 58 8 2 4 5" xfId="4905"/>
    <cellStyle name="Normal 58 8 2 5" xfId="1822"/>
    <cellStyle name="Normal 58 8 2 5 2" xfId="10985"/>
    <cellStyle name="Normal 58 8 2 5 3" xfId="5969"/>
    <cellStyle name="Normal 58 8 2 6" xfId="8546"/>
    <cellStyle name="Normal 58 8 2 7" xfId="12439"/>
    <cellStyle name="Normal 58 8 2 8" xfId="7516"/>
    <cellStyle name="Normal 58 8 2 9" xfId="3468"/>
    <cellStyle name="Normal 58 8 2_Degree data" xfId="3160"/>
    <cellStyle name="Normal 58 8 3" xfId="459"/>
    <cellStyle name="Normal 58 8 3 2" xfId="2193"/>
    <cellStyle name="Normal 58 8 3 2 2" xfId="9718"/>
    <cellStyle name="Normal 58 8 3 2 3" xfId="4700"/>
    <cellStyle name="Normal 58 8 3 3" xfId="6340"/>
    <cellStyle name="Normal 58 8 3 3 2" xfId="11356"/>
    <cellStyle name="Normal 58 8 3 4" xfId="8834"/>
    <cellStyle name="Normal 58 8 3 5" xfId="12810"/>
    <cellStyle name="Normal 58 8 3 6" xfId="7311"/>
    <cellStyle name="Normal 58 8 3 7" xfId="3765"/>
    <cellStyle name="Normal 58 8 4" xfId="868"/>
    <cellStyle name="Normal 58 8 4 2" xfId="2542"/>
    <cellStyle name="Normal 58 8 4 2 2" xfId="10299"/>
    <cellStyle name="Normal 58 8 4 2 3" xfId="5281"/>
    <cellStyle name="Normal 58 8 4 3" xfId="6689"/>
    <cellStyle name="Normal 58 8 4 3 2" xfId="11704"/>
    <cellStyle name="Normal 58 8 4 4" xfId="9415"/>
    <cellStyle name="Normal 58 8 4 5" xfId="13158"/>
    <cellStyle name="Normal 58 8 4 6" xfId="7892"/>
    <cellStyle name="Normal 58 8 4 7" xfId="4346"/>
    <cellStyle name="Normal 58 8 5" xfId="1220"/>
    <cellStyle name="Normal 58 8 5 2" xfId="2776"/>
    <cellStyle name="Normal 58 8 5 2 2" xfId="10427"/>
    <cellStyle name="Normal 58 8 5 2 3" xfId="5410"/>
    <cellStyle name="Normal 58 8 5 3" xfId="6808"/>
    <cellStyle name="Normal 58 8 5 3 2" xfId="11823"/>
    <cellStyle name="Normal 58 8 5 4" xfId="8720"/>
    <cellStyle name="Normal 58 8 5 5" xfId="13277"/>
    <cellStyle name="Normal 58 8 5 6" xfId="8021"/>
    <cellStyle name="Normal 58 8 5 7" xfId="3650"/>
    <cellStyle name="Normal 58 8 6" xfId="1617"/>
    <cellStyle name="Normal 58 8 6 2" xfId="9606"/>
    <cellStyle name="Normal 58 8 6 3" xfId="4588"/>
    <cellStyle name="Normal 58 8 7" xfId="5764"/>
    <cellStyle name="Normal 58 8 7 2" xfId="10780"/>
    <cellStyle name="Normal 58 8 8" xfId="8341"/>
    <cellStyle name="Normal 58 8 9" xfId="12234"/>
    <cellStyle name="Normal 58 8_Degree data" xfId="3159"/>
    <cellStyle name="Normal 58 9" xfId="226"/>
    <cellStyle name="Normal 58 9 10" xfId="3524"/>
    <cellStyle name="Normal 58 9 2" xfId="720"/>
    <cellStyle name="Normal 58 9 2 2" xfId="2195"/>
    <cellStyle name="Normal 58 9 2 2 2" xfId="9979"/>
    <cellStyle name="Normal 58 9 2 2 3" xfId="4961"/>
    <cellStyle name="Normal 58 9 2 3" xfId="6342"/>
    <cellStyle name="Normal 58 9 2 3 2" xfId="11358"/>
    <cellStyle name="Normal 58 9 2 4" xfId="9095"/>
    <cellStyle name="Normal 58 9 2 5" xfId="12812"/>
    <cellStyle name="Normal 58 9 2 6" xfId="7572"/>
    <cellStyle name="Normal 58 9 2 7" xfId="4026"/>
    <cellStyle name="Normal 58 9 3" xfId="1129"/>
    <cellStyle name="Normal 58 9 3 2" xfId="2544"/>
    <cellStyle name="Normal 58 9 3 2 2" xfId="10301"/>
    <cellStyle name="Normal 58 9 3 2 3" xfId="5283"/>
    <cellStyle name="Normal 58 9 3 3" xfId="6691"/>
    <cellStyle name="Normal 58 9 3 3 2" xfId="11706"/>
    <cellStyle name="Normal 58 9 3 4" xfId="9417"/>
    <cellStyle name="Normal 58 9 3 5" xfId="13160"/>
    <cellStyle name="Normal 58 9 3 6" xfId="7894"/>
    <cellStyle name="Normal 58 9 3 7" xfId="4348"/>
    <cellStyle name="Normal 58 9 4" xfId="1487"/>
    <cellStyle name="Normal 58 9 4 2" xfId="3046"/>
    <cellStyle name="Normal 58 9 4 2 2" xfId="10688"/>
    <cellStyle name="Normal 58 9 4 2 3" xfId="5671"/>
    <cellStyle name="Normal 58 9 4 3" xfId="7069"/>
    <cellStyle name="Normal 58 9 4 3 2" xfId="12084"/>
    <cellStyle name="Normal 58 9 4 4" xfId="8776"/>
    <cellStyle name="Normal 58 9 4 5" xfId="13538"/>
    <cellStyle name="Normal 58 9 4 6" xfId="8282"/>
    <cellStyle name="Normal 58 9 4 7" xfId="3706"/>
    <cellStyle name="Normal 58 9 5" xfId="1878"/>
    <cellStyle name="Normal 58 9 5 2" xfId="9662"/>
    <cellStyle name="Normal 58 9 5 3" xfId="4644"/>
    <cellStyle name="Normal 58 9 6" xfId="6025"/>
    <cellStyle name="Normal 58 9 6 2" xfId="11041"/>
    <cellStyle name="Normal 58 9 7" xfId="8602"/>
    <cellStyle name="Normal 58 9 8" xfId="12495"/>
    <cellStyle name="Normal 58 9 9" xfId="7255"/>
    <cellStyle name="Normal 58 9_Degree data" xfId="3161"/>
    <cellStyle name="Normal 58_Degree data" xfId="3119"/>
    <cellStyle name="Normal 59" xfId="17"/>
    <cellStyle name="Normal 6" xfId="75"/>
    <cellStyle name="Normal 6 2 2" xfId="18"/>
    <cellStyle name="Normal 6_sreb progression tab 2 redo" xfId="82"/>
    <cellStyle name="Normal 60" xfId="20"/>
    <cellStyle name="Normal 60 2" xfId="305"/>
    <cellStyle name="Normal 60 2 2" xfId="2196"/>
    <cellStyle name="Normal 60 3" xfId="1218"/>
    <cellStyle name="Normal 60_Degree data" xfId="3162"/>
    <cellStyle name="Normal 61" xfId="21"/>
    <cellStyle name="Normal 61 2" xfId="1217"/>
    <cellStyle name="Normal 61 3" xfId="3541"/>
    <cellStyle name="Normal 61_Degree data" xfId="3163"/>
    <cellStyle name="Normal 62" xfId="61"/>
    <cellStyle name="Normal 62 2" xfId="1184"/>
    <cellStyle name="Normal 62 3" xfId="3542"/>
    <cellStyle name="Normal 62_Degree data" xfId="3164"/>
    <cellStyle name="Normal 63" xfId="67"/>
    <cellStyle name="Normal 63 10" xfId="8324"/>
    <cellStyle name="Normal 63 11" xfId="12217"/>
    <cellStyle name="Normal 63 12" xfId="7113"/>
    <cellStyle name="Normal 63 13" xfId="3246"/>
    <cellStyle name="Normal 63 2" xfId="326"/>
    <cellStyle name="Normal 63 2 10" xfId="7218"/>
    <cellStyle name="Normal 63 2 11" xfId="3282"/>
    <cellStyle name="Normal 63 2 2" xfId="683"/>
    <cellStyle name="Normal 63 2 2 2" xfId="1092"/>
    <cellStyle name="Normal 63 2 2 2 2" xfId="2199"/>
    <cellStyle name="Normal 63 2 2 2 2 2" xfId="10304"/>
    <cellStyle name="Normal 63 2 2 2 2 3" xfId="5286"/>
    <cellStyle name="Normal 63 2 2 2 3" xfId="6345"/>
    <cellStyle name="Normal 63 2 2 2 3 2" xfId="11361"/>
    <cellStyle name="Normal 63 2 2 2 4" xfId="9420"/>
    <cellStyle name="Normal 63 2 2 2 5" xfId="12815"/>
    <cellStyle name="Normal 63 2 2 2 6" xfId="7897"/>
    <cellStyle name="Normal 63 2 2 2 7" xfId="4351"/>
    <cellStyle name="Normal 63 2 2 3" xfId="1450"/>
    <cellStyle name="Normal 63 2 2 3 2" xfId="2547"/>
    <cellStyle name="Normal 63 2 2 3 2 2" xfId="10651"/>
    <cellStyle name="Normal 63 2 2 3 2 3" xfId="5634"/>
    <cellStyle name="Normal 63 2 2 3 3" xfId="6694"/>
    <cellStyle name="Normal 63 2 2 3 3 2" xfId="11709"/>
    <cellStyle name="Normal 63 2 2 3 4" xfId="9058"/>
    <cellStyle name="Normal 63 2 2 3 5" xfId="13163"/>
    <cellStyle name="Normal 63 2 2 3 6" xfId="8245"/>
    <cellStyle name="Normal 63 2 2 3 7" xfId="3989"/>
    <cellStyle name="Normal 63 2 2 4" xfId="3009"/>
    <cellStyle name="Normal 63 2 2 4 2" xfId="7032"/>
    <cellStyle name="Normal 63 2 2 4 2 2" xfId="12047"/>
    <cellStyle name="Normal 63 2 2 4 3" xfId="13501"/>
    <cellStyle name="Normal 63 2 2 4 4" xfId="9942"/>
    <cellStyle name="Normal 63 2 2 4 5" xfId="4924"/>
    <cellStyle name="Normal 63 2 2 5" xfId="1841"/>
    <cellStyle name="Normal 63 2 2 5 2" xfId="11004"/>
    <cellStyle name="Normal 63 2 2 5 3" xfId="5988"/>
    <cellStyle name="Normal 63 2 2 6" xfId="8565"/>
    <cellStyle name="Normal 63 2 2 7" xfId="12458"/>
    <cellStyle name="Normal 63 2 2 8" xfId="7535"/>
    <cellStyle name="Normal 63 2 2 9" xfId="3487"/>
    <cellStyle name="Normal 63 2 2_Degree data" xfId="3167"/>
    <cellStyle name="Normal 63 2 3" xfId="478"/>
    <cellStyle name="Normal 63 2 3 2" xfId="2198"/>
    <cellStyle name="Normal 63 2 3 2 2" xfId="9737"/>
    <cellStyle name="Normal 63 2 3 2 3" xfId="4719"/>
    <cellStyle name="Normal 63 2 3 3" xfId="6344"/>
    <cellStyle name="Normal 63 2 3 3 2" xfId="11360"/>
    <cellStyle name="Normal 63 2 3 4" xfId="8853"/>
    <cellStyle name="Normal 63 2 3 5" xfId="12814"/>
    <cellStyle name="Normal 63 2 3 6" xfId="7330"/>
    <cellStyle name="Normal 63 2 3 7" xfId="3784"/>
    <cellStyle name="Normal 63 2 4" xfId="887"/>
    <cellStyle name="Normal 63 2 4 2" xfId="2546"/>
    <cellStyle name="Normal 63 2 4 2 2" xfId="10303"/>
    <cellStyle name="Normal 63 2 4 2 3" xfId="5285"/>
    <cellStyle name="Normal 63 2 4 3" xfId="6693"/>
    <cellStyle name="Normal 63 2 4 3 2" xfId="11708"/>
    <cellStyle name="Normal 63 2 4 4" xfId="9419"/>
    <cellStyle name="Normal 63 2 4 5" xfId="13162"/>
    <cellStyle name="Normal 63 2 4 6" xfId="7896"/>
    <cellStyle name="Normal 63 2 4 7" xfId="4350"/>
    <cellStyle name="Normal 63 2 5" xfId="1239"/>
    <cellStyle name="Normal 63 2 5 2" xfId="2795"/>
    <cellStyle name="Normal 63 2 5 2 2" xfId="10446"/>
    <cellStyle name="Normal 63 2 5 2 3" xfId="5429"/>
    <cellStyle name="Normal 63 2 5 3" xfId="6827"/>
    <cellStyle name="Normal 63 2 5 3 2" xfId="11842"/>
    <cellStyle name="Normal 63 2 5 4" xfId="8739"/>
    <cellStyle name="Normal 63 2 5 5" xfId="13296"/>
    <cellStyle name="Normal 63 2 5 6" xfId="8040"/>
    <cellStyle name="Normal 63 2 5 7" xfId="3669"/>
    <cellStyle name="Normal 63 2 6" xfId="1636"/>
    <cellStyle name="Normal 63 2 6 2" xfId="9625"/>
    <cellStyle name="Normal 63 2 6 3" xfId="4607"/>
    <cellStyle name="Normal 63 2 7" xfId="5783"/>
    <cellStyle name="Normal 63 2 7 2" xfId="10799"/>
    <cellStyle name="Normal 63 2 8" xfId="8360"/>
    <cellStyle name="Normal 63 2 9" xfId="12253"/>
    <cellStyle name="Normal 63 2_Degree data" xfId="3166"/>
    <cellStyle name="Normal 63 3" xfId="287"/>
    <cellStyle name="Normal 63 3 10" xfId="3464"/>
    <cellStyle name="Normal 63 3 2" xfId="660"/>
    <cellStyle name="Normal 63 3 2 2" xfId="2200"/>
    <cellStyle name="Normal 63 3 2 2 2" xfId="9919"/>
    <cellStyle name="Normal 63 3 2 2 3" xfId="4901"/>
    <cellStyle name="Normal 63 3 2 3" xfId="6346"/>
    <cellStyle name="Normal 63 3 2 3 2" xfId="11362"/>
    <cellStyle name="Normal 63 3 2 4" xfId="9035"/>
    <cellStyle name="Normal 63 3 2 5" xfId="12816"/>
    <cellStyle name="Normal 63 3 2 6" xfId="7512"/>
    <cellStyle name="Normal 63 3 2 7" xfId="3966"/>
    <cellStyle name="Normal 63 3 3" xfId="1069"/>
    <cellStyle name="Normal 63 3 3 2" xfId="2548"/>
    <cellStyle name="Normal 63 3 3 2 2" xfId="10305"/>
    <cellStyle name="Normal 63 3 3 2 3" xfId="5287"/>
    <cellStyle name="Normal 63 3 3 3" xfId="6695"/>
    <cellStyle name="Normal 63 3 3 3 2" xfId="11710"/>
    <cellStyle name="Normal 63 3 3 4" xfId="9421"/>
    <cellStyle name="Normal 63 3 3 5" xfId="13164"/>
    <cellStyle name="Normal 63 3 3 6" xfId="7898"/>
    <cellStyle name="Normal 63 3 3 7" xfId="4352"/>
    <cellStyle name="Normal 63 3 4" xfId="1427"/>
    <cellStyle name="Normal 63 3 4 2" xfId="2986"/>
    <cellStyle name="Normal 63 3 4 2 2" xfId="10628"/>
    <cellStyle name="Normal 63 3 4 2 3" xfId="5611"/>
    <cellStyle name="Normal 63 3 4 3" xfId="7009"/>
    <cellStyle name="Normal 63 3 4 3 2" xfId="12024"/>
    <cellStyle name="Normal 63 3 4 4" xfId="8716"/>
    <cellStyle name="Normal 63 3 4 5" xfId="13478"/>
    <cellStyle name="Normal 63 3 4 6" xfId="8222"/>
    <cellStyle name="Normal 63 3 4 7" xfId="3646"/>
    <cellStyle name="Normal 63 3 5" xfId="1818"/>
    <cellStyle name="Normal 63 3 5 2" xfId="9602"/>
    <cellStyle name="Normal 63 3 5 3" xfId="4584"/>
    <cellStyle name="Normal 63 3 6" xfId="5965"/>
    <cellStyle name="Normal 63 3 6 2" xfId="10981"/>
    <cellStyle name="Normal 63 3 7" xfId="8542"/>
    <cellStyle name="Normal 63 3 8" xfId="12435"/>
    <cellStyle name="Normal 63 3 9" xfId="7195"/>
    <cellStyle name="Normal 63 3_Degree data" xfId="3168"/>
    <cellStyle name="Normal 63 4" xfId="578"/>
    <cellStyle name="Normal 63 4 2" xfId="987"/>
    <cellStyle name="Normal 63 4 2 2" xfId="2201"/>
    <cellStyle name="Normal 63 4 2 2 2" xfId="10306"/>
    <cellStyle name="Normal 63 4 2 2 3" xfId="5288"/>
    <cellStyle name="Normal 63 4 2 3" xfId="6347"/>
    <cellStyle name="Normal 63 4 2 3 2" xfId="11363"/>
    <cellStyle name="Normal 63 4 2 4" xfId="9422"/>
    <cellStyle name="Normal 63 4 2 5" xfId="12817"/>
    <cellStyle name="Normal 63 4 2 6" xfId="7899"/>
    <cellStyle name="Normal 63 4 2 7" xfId="4353"/>
    <cellStyle name="Normal 63 4 3" xfId="1343"/>
    <cellStyle name="Normal 63 4 3 2" xfId="2549"/>
    <cellStyle name="Normal 63 4 3 2 2" xfId="10546"/>
    <cellStyle name="Normal 63 4 3 2 3" xfId="5529"/>
    <cellStyle name="Normal 63 4 3 3" xfId="6696"/>
    <cellStyle name="Normal 63 4 3 3 2" xfId="11711"/>
    <cellStyle name="Normal 63 4 3 4" xfId="8953"/>
    <cellStyle name="Normal 63 4 3 5" xfId="13165"/>
    <cellStyle name="Normal 63 4 3 6" xfId="8140"/>
    <cellStyle name="Normal 63 4 3 7" xfId="3884"/>
    <cellStyle name="Normal 63 4 4" xfId="2901"/>
    <cellStyle name="Normal 63 4 4 2" xfId="6927"/>
    <cellStyle name="Normal 63 4 4 2 2" xfId="11942"/>
    <cellStyle name="Normal 63 4 4 3" xfId="13396"/>
    <cellStyle name="Normal 63 4 4 4" xfId="9837"/>
    <cellStyle name="Normal 63 4 4 5" xfId="4819"/>
    <cellStyle name="Normal 63 4 5" xfId="1736"/>
    <cellStyle name="Normal 63 4 5 2" xfId="10899"/>
    <cellStyle name="Normal 63 4 5 3" xfId="5883"/>
    <cellStyle name="Normal 63 4 6" xfId="8460"/>
    <cellStyle name="Normal 63 4 7" xfId="12353"/>
    <cellStyle name="Normal 63 4 8" xfId="7430"/>
    <cellStyle name="Normal 63 4 9" xfId="3382"/>
    <cellStyle name="Normal 63 4_Degree data" xfId="3169"/>
    <cellStyle name="Normal 63 5" xfId="442"/>
    <cellStyle name="Normal 63 5 2" xfId="2197"/>
    <cellStyle name="Normal 63 5 2 2" xfId="9701"/>
    <cellStyle name="Normal 63 5 2 3" xfId="4683"/>
    <cellStyle name="Normal 63 5 3" xfId="6343"/>
    <cellStyle name="Normal 63 5 3 2" xfId="11359"/>
    <cellStyle name="Normal 63 5 4" xfId="8817"/>
    <cellStyle name="Normal 63 5 5" xfId="12813"/>
    <cellStyle name="Normal 63 5 6" xfId="7294"/>
    <cellStyle name="Normal 63 5 7" xfId="3748"/>
    <cellStyle name="Normal 63 6" xfId="851"/>
    <cellStyle name="Normal 63 6 2" xfId="2545"/>
    <cellStyle name="Normal 63 6 2 2" xfId="10302"/>
    <cellStyle name="Normal 63 6 2 3" xfId="5284"/>
    <cellStyle name="Normal 63 6 3" xfId="6692"/>
    <cellStyle name="Normal 63 6 3 2" xfId="11707"/>
    <cellStyle name="Normal 63 6 4" xfId="9418"/>
    <cellStyle name="Normal 63 6 5" xfId="13161"/>
    <cellStyle name="Normal 63 6 6" xfId="7895"/>
    <cellStyle name="Normal 63 6 7" xfId="4349"/>
    <cellStyle name="Normal 63 7" xfId="1201"/>
    <cellStyle name="Normal 63 7 2" xfId="2754"/>
    <cellStyle name="Normal 63 7 2 2" xfId="10410"/>
    <cellStyle name="Normal 63 7 2 3" xfId="5393"/>
    <cellStyle name="Normal 63 7 3" xfId="6791"/>
    <cellStyle name="Normal 63 7 3 2" xfId="11806"/>
    <cellStyle name="Normal 63 7 4" xfId="8633"/>
    <cellStyle name="Normal 63 7 5" xfId="13260"/>
    <cellStyle name="Normal 63 7 6" xfId="8004"/>
    <cellStyle name="Normal 63 7 7" xfId="3557"/>
    <cellStyle name="Normal 63 8" xfId="1600"/>
    <cellStyle name="Normal 63 8 2" xfId="9520"/>
    <cellStyle name="Normal 63 8 3" xfId="4502"/>
    <cellStyle name="Normal 63 9" xfId="5745"/>
    <cellStyle name="Normal 63 9 2" xfId="10761"/>
    <cellStyle name="Normal 63_Degree data" xfId="3165"/>
    <cellStyle name="Normal 64" xfId="145"/>
    <cellStyle name="Normal 64 2" xfId="1246"/>
    <cellStyle name="Normal 64 3" xfId="3564"/>
    <cellStyle name="Normal 64_Degree data" xfId="3170"/>
    <cellStyle name="Normal 65" xfId="147"/>
    <cellStyle name="Normal 65 2" xfId="1248"/>
    <cellStyle name="Normal 65 3" xfId="3566"/>
    <cellStyle name="Normal 65_Degree data" xfId="3171"/>
    <cellStyle name="Normal 66" xfId="92"/>
    <cellStyle name="Normal 66 2" xfId="1247"/>
    <cellStyle name="Normal 66 3" xfId="3565"/>
    <cellStyle name="Normal 66_Degree data" xfId="3172"/>
    <cellStyle name="Normal 67" xfId="64"/>
    <cellStyle name="Normal 67 2" xfId="1279"/>
    <cellStyle name="Normal 67 3" xfId="3598"/>
    <cellStyle name="Normal 67_Degree data" xfId="3173"/>
    <cellStyle name="Normal 68" xfId="144"/>
    <cellStyle name="Normal 68 2" xfId="1380"/>
    <cellStyle name="Normal 68 3" xfId="3599"/>
    <cellStyle name="Normal 68_Degree data" xfId="3174"/>
    <cellStyle name="Normal 69" xfId="148"/>
    <cellStyle name="Normal 69 2" xfId="1409"/>
    <cellStyle name="Normal 69 3" xfId="3628"/>
    <cellStyle name="Normal 69_Degree data" xfId="3175"/>
    <cellStyle name="Normal 7" xfId="91"/>
    <cellStyle name="Normal 7 10" xfId="745"/>
    <cellStyle name="Normal 7 10 2" xfId="2202"/>
    <cellStyle name="Normal 7 10 2 2" xfId="10307"/>
    <cellStyle name="Normal 7 10 2 3" xfId="5289"/>
    <cellStyle name="Normal 7 10 3" xfId="6349"/>
    <cellStyle name="Normal 7 10 3 2" xfId="11364"/>
    <cellStyle name="Normal 7 10 4" xfId="9423"/>
    <cellStyle name="Normal 7 10 5" xfId="12818"/>
    <cellStyle name="Normal 7 10 6" xfId="7900"/>
    <cellStyle name="Normal 7 10 7" xfId="4354"/>
    <cellStyle name="Normal 7 11" xfId="1149"/>
    <cellStyle name="Normal 7 11 2" xfId="2550"/>
    <cellStyle name="Normal 7 11 2 2" xfId="10359"/>
    <cellStyle name="Normal 7 11 2 3" xfId="5342"/>
    <cellStyle name="Normal 7 11 3" xfId="6697"/>
    <cellStyle name="Normal 7 11 3 2" xfId="11712"/>
    <cellStyle name="Normal 7 11 4" xfId="8617"/>
    <cellStyle name="Normal 7 11 5" xfId="13166"/>
    <cellStyle name="Normal 7 11 6" xfId="7953"/>
    <cellStyle name="Normal 7 11 7" xfId="3539"/>
    <cellStyle name="Normal 7 12" xfId="2661"/>
    <cellStyle name="Normal 7 12 2" xfId="6740"/>
    <cellStyle name="Normal 7 12 2 2" xfId="11755"/>
    <cellStyle name="Normal 7 12 3" xfId="13209"/>
    <cellStyle name="Normal 7 12 4" xfId="9503"/>
    <cellStyle name="Normal 7 12 5" xfId="4485"/>
    <cellStyle name="Normal 7 13" xfId="1549"/>
    <cellStyle name="Normal 7 13 2" xfId="12166"/>
    <cellStyle name="Normal 7 13 3" xfId="10710"/>
    <cellStyle name="Normal 7 13 4" xfId="5694"/>
    <cellStyle name="Normal 7 14" xfId="1509"/>
    <cellStyle name="Normal 7 14 2" xfId="8305"/>
    <cellStyle name="Normal 7 15" xfId="12126"/>
    <cellStyle name="Normal 7 16" xfId="7097"/>
    <cellStyle name="Normal 7 17" xfId="3225"/>
    <cellStyle name="Normal 7 2" xfId="138"/>
    <cellStyle name="Normal 7 2 10" xfId="1561"/>
    <cellStyle name="Normal 7 2 10 2" xfId="12178"/>
    <cellStyle name="Normal 7 2 10 3" xfId="10722"/>
    <cellStyle name="Normal 7 2 10 4" xfId="5706"/>
    <cellStyle name="Normal 7 2 11" xfId="1531"/>
    <cellStyle name="Normal 7 2 11 2" xfId="8330"/>
    <cellStyle name="Normal 7 2 12" xfId="12148"/>
    <cellStyle name="Normal 7 2 13" xfId="7110"/>
    <cellStyle name="Normal 7 2 14" xfId="3252"/>
    <cellStyle name="Normal 7 2 2" xfId="179"/>
    <cellStyle name="Normal 7 2 2 10" xfId="12280"/>
    <cellStyle name="Normal 7 2 2 11" xfId="7140"/>
    <cellStyle name="Normal 7 2 2 12" xfId="3309"/>
    <cellStyle name="Normal 7 2 2 2" xfId="354"/>
    <cellStyle name="Normal 7 2 2 2 10" xfId="3513"/>
    <cellStyle name="Normal 7 2 2 2 2" xfId="709"/>
    <cellStyle name="Normal 7 2 2 2 2 2" xfId="2205"/>
    <cellStyle name="Normal 7 2 2 2 2 2 2" xfId="9968"/>
    <cellStyle name="Normal 7 2 2 2 2 2 3" xfId="4950"/>
    <cellStyle name="Normal 7 2 2 2 2 3" xfId="6352"/>
    <cellStyle name="Normal 7 2 2 2 2 3 2" xfId="11367"/>
    <cellStyle name="Normal 7 2 2 2 2 4" xfId="9084"/>
    <cellStyle name="Normal 7 2 2 2 2 5" xfId="12821"/>
    <cellStyle name="Normal 7 2 2 2 2 6" xfId="7561"/>
    <cellStyle name="Normal 7 2 2 2 2 7" xfId="4015"/>
    <cellStyle name="Normal 7 2 2 2 3" xfId="1118"/>
    <cellStyle name="Normal 7 2 2 2 3 2" xfId="2553"/>
    <cellStyle name="Normal 7 2 2 2 3 2 2" xfId="10310"/>
    <cellStyle name="Normal 7 2 2 2 3 2 3" xfId="5292"/>
    <cellStyle name="Normal 7 2 2 2 3 3" xfId="6700"/>
    <cellStyle name="Normal 7 2 2 2 3 3 2" xfId="11715"/>
    <cellStyle name="Normal 7 2 2 2 3 4" xfId="9426"/>
    <cellStyle name="Normal 7 2 2 2 3 5" xfId="13169"/>
    <cellStyle name="Normal 7 2 2 2 3 6" xfId="7903"/>
    <cellStyle name="Normal 7 2 2 2 3 7" xfId="4357"/>
    <cellStyle name="Normal 7 2 2 2 4" xfId="1476"/>
    <cellStyle name="Normal 7 2 2 2 4 2" xfId="3035"/>
    <cellStyle name="Normal 7 2 2 2 4 2 2" xfId="10677"/>
    <cellStyle name="Normal 7 2 2 2 4 2 3" xfId="5660"/>
    <cellStyle name="Normal 7 2 2 2 4 3" xfId="7058"/>
    <cellStyle name="Normal 7 2 2 2 4 3 2" xfId="12073"/>
    <cellStyle name="Normal 7 2 2 2 4 4" xfId="8765"/>
    <cellStyle name="Normal 7 2 2 2 4 5" xfId="13527"/>
    <cellStyle name="Normal 7 2 2 2 4 6" xfId="8271"/>
    <cellStyle name="Normal 7 2 2 2 4 7" xfId="3695"/>
    <cellStyle name="Normal 7 2 2 2 5" xfId="1867"/>
    <cellStyle name="Normal 7 2 2 2 5 2" xfId="9651"/>
    <cellStyle name="Normal 7 2 2 2 5 3" xfId="4633"/>
    <cellStyle name="Normal 7 2 2 2 6" xfId="6014"/>
    <cellStyle name="Normal 7 2 2 2 6 2" xfId="11030"/>
    <cellStyle name="Normal 7 2 2 2 7" xfId="8591"/>
    <cellStyle name="Normal 7 2 2 2 8" xfId="12484"/>
    <cellStyle name="Normal 7 2 2 2 9" xfId="7244"/>
    <cellStyle name="Normal 7 2 2 2_Degree data" xfId="3179"/>
    <cellStyle name="Normal 7 2 2 3" xfId="605"/>
    <cellStyle name="Normal 7 2 2 3 2" xfId="1014"/>
    <cellStyle name="Normal 7 2 2 3 2 2" xfId="2206"/>
    <cellStyle name="Normal 7 2 2 3 2 2 2" xfId="10311"/>
    <cellStyle name="Normal 7 2 2 3 2 2 3" xfId="5293"/>
    <cellStyle name="Normal 7 2 2 3 2 3" xfId="6353"/>
    <cellStyle name="Normal 7 2 2 3 2 3 2" xfId="11368"/>
    <cellStyle name="Normal 7 2 2 3 2 4" xfId="9427"/>
    <cellStyle name="Normal 7 2 2 3 2 5" xfId="12822"/>
    <cellStyle name="Normal 7 2 2 3 2 6" xfId="7904"/>
    <cellStyle name="Normal 7 2 2 3 2 7" xfId="4358"/>
    <cellStyle name="Normal 7 2 2 3 3" xfId="1370"/>
    <cellStyle name="Normal 7 2 2 3 3 2" xfId="2554"/>
    <cellStyle name="Normal 7 2 2 3 3 2 2" xfId="10573"/>
    <cellStyle name="Normal 7 2 2 3 3 2 3" xfId="5556"/>
    <cellStyle name="Normal 7 2 2 3 3 3" xfId="6701"/>
    <cellStyle name="Normal 7 2 2 3 3 3 2" xfId="11716"/>
    <cellStyle name="Normal 7 2 2 3 3 4" xfId="8980"/>
    <cellStyle name="Normal 7 2 2 3 3 5" xfId="13170"/>
    <cellStyle name="Normal 7 2 2 3 3 6" xfId="8167"/>
    <cellStyle name="Normal 7 2 2 3 3 7" xfId="3911"/>
    <cellStyle name="Normal 7 2 2 3 4" xfId="2928"/>
    <cellStyle name="Normal 7 2 2 3 4 2" xfId="6954"/>
    <cellStyle name="Normal 7 2 2 3 4 2 2" xfId="11969"/>
    <cellStyle name="Normal 7 2 2 3 4 3" xfId="13423"/>
    <cellStyle name="Normal 7 2 2 3 4 4" xfId="9864"/>
    <cellStyle name="Normal 7 2 2 3 4 5" xfId="4846"/>
    <cellStyle name="Normal 7 2 2 3 5" xfId="1763"/>
    <cellStyle name="Normal 7 2 2 3 5 2" xfId="10926"/>
    <cellStyle name="Normal 7 2 2 3 5 3" xfId="5910"/>
    <cellStyle name="Normal 7 2 2 3 6" xfId="8487"/>
    <cellStyle name="Normal 7 2 2 3 7" xfId="12380"/>
    <cellStyle name="Normal 7 2 2 3 8" xfId="7457"/>
    <cellStyle name="Normal 7 2 2 3 9" xfId="3409"/>
    <cellStyle name="Normal 7 2 2 3_Degree data" xfId="3180"/>
    <cellStyle name="Normal 7 2 2 4" xfId="505"/>
    <cellStyle name="Normal 7 2 2 4 2" xfId="914"/>
    <cellStyle name="Normal 7 2 2 4 2 2" xfId="9764"/>
    <cellStyle name="Normal 7 2 2 4 2 3" xfId="4746"/>
    <cellStyle name="Normal 7 2 2 4 3" xfId="2204"/>
    <cellStyle name="Normal 7 2 2 4 3 2" xfId="11366"/>
    <cellStyle name="Normal 7 2 2 4 3 3" xfId="6351"/>
    <cellStyle name="Normal 7 2 2 4 4" xfId="8880"/>
    <cellStyle name="Normal 7 2 2 4 5" xfId="12820"/>
    <cellStyle name="Normal 7 2 2 4 6" xfId="7357"/>
    <cellStyle name="Normal 7 2 2 4 7" xfId="3811"/>
    <cellStyle name="Normal 7 2 2 5" xfId="781"/>
    <cellStyle name="Normal 7 2 2 5 2" xfId="2552"/>
    <cellStyle name="Normal 7 2 2 5 2 2" xfId="10309"/>
    <cellStyle name="Normal 7 2 2 5 2 3" xfId="5291"/>
    <cellStyle name="Normal 7 2 2 5 3" xfId="6699"/>
    <cellStyle name="Normal 7 2 2 5 3 2" xfId="11714"/>
    <cellStyle name="Normal 7 2 2 5 4" xfId="9425"/>
    <cellStyle name="Normal 7 2 2 5 5" xfId="13168"/>
    <cellStyle name="Normal 7 2 2 5 6" xfId="7902"/>
    <cellStyle name="Normal 7 2 2 5 7" xfId="4356"/>
    <cellStyle name="Normal 7 2 2 6" xfId="1269"/>
    <cellStyle name="Normal 7 2 2 6 2" xfId="2826"/>
    <cellStyle name="Normal 7 2 2 6 2 2" xfId="10473"/>
    <cellStyle name="Normal 7 2 2 6 2 3" xfId="5456"/>
    <cellStyle name="Normal 7 2 2 6 3" xfId="6854"/>
    <cellStyle name="Normal 7 2 2 6 3 2" xfId="11869"/>
    <cellStyle name="Normal 7 2 2 6 4" xfId="8661"/>
    <cellStyle name="Normal 7 2 2 6 5" xfId="13323"/>
    <cellStyle name="Normal 7 2 2 6 6" xfId="8067"/>
    <cellStyle name="Normal 7 2 2 6 7" xfId="3588"/>
    <cellStyle name="Normal 7 2 2 7" xfId="1663"/>
    <cellStyle name="Normal 7 2 2 7 2" xfId="9547"/>
    <cellStyle name="Normal 7 2 2 7 3" xfId="4529"/>
    <cellStyle name="Normal 7 2 2 8" xfId="5810"/>
    <cellStyle name="Normal 7 2 2 8 2" xfId="10826"/>
    <cellStyle name="Normal 7 2 2 9" xfId="8387"/>
    <cellStyle name="Normal 7 2 2_Degree data" xfId="3178"/>
    <cellStyle name="Normal 7 2 3" xfId="205"/>
    <cellStyle name="Normal 7 2 3 10" xfId="7183"/>
    <cellStyle name="Normal 7 2 3 11" xfId="3352"/>
    <cellStyle name="Normal 7 2 3 2" xfId="398"/>
    <cellStyle name="Normal 7 2 3 2 2" xfId="648"/>
    <cellStyle name="Normal 7 2 3 2 2 2" xfId="2208"/>
    <cellStyle name="Normal 7 2 3 2 2 2 2" xfId="10313"/>
    <cellStyle name="Normal 7 2 3 2 2 2 3" xfId="5295"/>
    <cellStyle name="Normal 7 2 3 2 2 3" xfId="6355"/>
    <cellStyle name="Normal 7 2 3 2 2 3 2" xfId="11370"/>
    <cellStyle name="Normal 7 2 3 2 2 4" xfId="9429"/>
    <cellStyle name="Normal 7 2 3 2 2 5" xfId="12824"/>
    <cellStyle name="Normal 7 2 3 2 2 6" xfId="7906"/>
    <cellStyle name="Normal 7 2 3 2 2 7" xfId="4360"/>
    <cellStyle name="Normal 7 2 3 2 3" xfId="1057"/>
    <cellStyle name="Normal 7 2 3 2 3 2" xfId="2556"/>
    <cellStyle name="Normal 7 2 3 2 3 2 2" xfId="10616"/>
    <cellStyle name="Normal 7 2 3 2 3 2 3" xfId="5599"/>
    <cellStyle name="Normal 7 2 3 2 3 3" xfId="6703"/>
    <cellStyle name="Normal 7 2 3 2 3 3 2" xfId="11718"/>
    <cellStyle name="Normal 7 2 3 2 3 4" xfId="9023"/>
    <cellStyle name="Normal 7 2 3 2 3 5" xfId="13172"/>
    <cellStyle name="Normal 7 2 3 2 3 6" xfId="8210"/>
    <cellStyle name="Normal 7 2 3 2 3 7" xfId="3954"/>
    <cellStyle name="Normal 7 2 3 2 4" xfId="1415"/>
    <cellStyle name="Normal 7 2 3 2 4 2" xfId="2973"/>
    <cellStyle name="Normal 7 2 3 2 4 2 2" xfId="12012"/>
    <cellStyle name="Normal 7 2 3 2 4 2 3" xfId="6997"/>
    <cellStyle name="Normal 7 2 3 2 4 3" xfId="13466"/>
    <cellStyle name="Normal 7 2 3 2 4 4" xfId="9907"/>
    <cellStyle name="Normal 7 2 3 2 4 5" xfId="4889"/>
    <cellStyle name="Normal 7 2 3 2 5" xfId="1806"/>
    <cellStyle name="Normal 7 2 3 2 5 2" xfId="10969"/>
    <cellStyle name="Normal 7 2 3 2 5 3" xfId="5953"/>
    <cellStyle name="Normal 7 2 3 2 6" xfId="8530"/>
    <cellStyle name="Normal 7 2 3 2 7" xfId="12423"/>
    <cellStyle name="Normal 7 2 3 2 8" xfId="7500"/>
    <cellStyle name="Normal 7 2 3 2 9" xfId="3452"/>
    <cellStyle name="Normal 7 2 3 2_Degree data" xfId="3182"/>
    <cellStyle name="Normal 7 2 3 3" xfId="548"/>
    <cellStyle name="Normal 7 2 3 3 2" xfId="957"/>
    <cellStyle name="Normal 7 2 3 3 2 2" xfId="9807"/>
    <cellStyle name="Normal 7 2 3 3 2 3" xfId="4789"/>
    <cellStyle name="Normal 7 2 3 3 3" xfId="2207"/>
    <cellStyle name="Normal 7 2 3 3 3 2" xfId="11369"/>
    <cellStyle name="Normal 7 2 3 3 3 3" xfId="6354"/>
    <cellStyle name="Normal 7 2 3 3 4" xfId="8923"/>
    <cellStyle name="Normal 7 2 3 3 5" xfId="12823"/>
    <cellStyle name="Normal 7 2 3 3 6" xfId="7400"/>
    <cellStyle name="Normal 7 2 3 3 7" xfId="3854"/>
    <cellStyle name="Normal 7 2 3 4" xfId="811"/>
    <cellStyle name="Normal 7 2 3 4 2" xfId="2555"/>
    <cellStyle name="Normal 7 2 3 4 2 2" xfId="10312"/>
    <cellStyle name="Normal 7 2 3 4 2 3" xfId="5294"/>
    <cellStyle name="Normal 7 2 3 4 3" xfId="6702"/>
    <cellStyle name="Normal 7 2 3 4 3 2" xfId="11717"/>
    <cellStyle name="Normal 7 2 3 4 4" xfId="9428"/>
    <cellStyle name="Normal 7 2 3 4 5" xfId="13171"/>
    <cellStyle name="Normal 7 2 3 4 6" xfId="7905"/>
    <cellStyle name="Normal 7 2 3 4 7" xfId="4359"/>
    <cellStyle name="Normal 7 2 3 5" xfId="1313"/>
    <cellStyle name="Normal 7 2 3 5 2" xfId="2871"/>
    <cellStyle name="Normal 7 2 3 5 2 2" xfId="10516"/>
    <cellStyle name="Normal 7 2 3 5 2 3" xfId="5499"/>
    <cellStyle name="Normal 7 2 3 5 3" xfId="6897"/>
    <cellStyle name="Normal 7 2 3 5 3 2" xfId="11912"/>
    <cellStyle name="Normal 7 2 3 5 4" xfId="8704"/>
    <cellStyle name="Normal 7 2 3 5 5" xfId="13366"/>
    <cellStyle name="Normal 7 2 3 5 6" xfId="8110"/>
    <cellStyle name="Normal 7 2 3 5 7" xfId="3634"/>
    <cellStyle name="Normal 7 2 3 6" xfId="1706"/>
    <cellStyle name="Normal 7 2 3 6 2" xfId="9590"/>
    <cellStyle name="Normal 7 2 3 6 3" xfId="4572"/>
    <cellStyle name="Normal 7 2 3 7" xfId="5853"/>
    <cellStyle name="Normal 7 2 3 7 2" xfId="10869"/>
    <cellStyle name="Normal 7 2 3 8" xfId="8430"/>
    <cellStyle name="Normal 7 2 3 9" xfId="12323"/>
    <cellStyle name="Normal 7 2 3_Degree data" xfId="3181"/>
    <cellStyle name="Normal 7 2 4" xfId="241"/>
    <cellStyle name="Normal 7 2 4 10" xfId="7215"/>
    <cellStyle name="Normal 7 2 4 11" xfId="3279"/>
    <cellStyle name="Normal 7 2 4 2" xfId="323"/>
    <cellStyle name="Normal 7 2 4 2 2" xfId="680"/>
    <cellStyle name="Normal 7 2 4 2 2 2" xfId="2210"/>
    <cellStyle name="Normal 7 2 4 2 2 2 2" xfId="10315"/>
    <cellStyle name="Normal 7 2 4 2 2 2 3" xfId="5297"/>
    <cellStyle name="Normal 7 2 4 2 2 3" xfId="6357"/>
    <cellStyle name="Normal 7 2 4 2 2 3 2" xfId="11372"/>
    <cellStyle name="Normal 7 2 4 2 2 4" xfId="9431"/>
    <cellStyle name="Normal 7 2 4 2 2 5" xfId="12826"/>
    <cellStyle name="Normal 7 2 4 2 2 6" xfId="7908"/>
    <cellStyle name="Normal 7 2 4 2 2 7" xfId="4362"/>
    <cellStyle name="Normal 7 2 4 2 3" xfId="1089"/>
    <cellStyle name="Normal 7 2 4 2 3 2" xfId="2558"/>
    <cellStyle name="Normal 7 2 4 2 3 2 2" xfId="10648"/>
    <cellStyle name="Normal 7 2 4 2 3 2 3" xfId="5631"/>
    <cellStyle name="Normal 7 2 4 2 3 3" xfId="6705"/>
    <cellStyle name="Normal 7 2 4 2 3 3 2" xfId="11720"/>
    <cellStyle name="Normal 7 2 4 2 3 4" xfId="9055"/>
    <cellStyle name="Normal 7 2 4 2 3 5" xfId="13174"/>
    <cellStyle name="Normal 7 2 4 2 3 6" xfId="8242"/>
    <cellStyle name="Normal 7 2 4 2 3 7" xfId="3986"/>
    <cellStyle name="Normal 7 2 4 2 4" xfId="1447"/>
    <cellStyle name="Normal 7 2 4 2 4 2" xfId="3006"/>
    <cellStyle name="Normal 7 2 4 2 4 2 2" xfId="12044"/>
    <cellStyle name="Normal 7 2 4 2 4 2 3" xfId="7029"/>
    <cellStyle name="Normal 7 2 4 2 4 3" xfId="13498"/>
    <cellStyle name="Normal 7 2 4 2 4 4" xfId="9939"/>
    <cellStyle name="Normal 7 2 4 2 4 5" xfId="4921"/>
    <cellStyle name="Normal 7 2 4 2 5" xfId="1838"/>
    <cellStyle name="Normal 7 2 4 2 5 2" xfId="11001"/>
    <cellStyle name="Normal 7 2 4 2 5 3" xfId="5985"/>
    <cellStyle name="Normal 7 2 4 2 6" xfId="8562"/>
    <cellStyle name="Normal 7 2 4 2 7" xfId="12455"/>
    <cellStyle name="Normal 7 2 4 2 8" xfId="7532"/>
    <cellStyle name="Normal 7 2 4 2 9" xfId="3484"/>
    <cellStyle name="Normal 7 2 4 2_Degree data" xfId="3184"/>
    <cellStyle name="Normal 7 2 4 3" xfId="475"/>
    <cellStyle name="Normal 7 2 4 3 2" xfId="2209"/>
    <cellStyle name="Normal 7 2 4 3 2 2" xfId="9734"/>
    <cellStyle name="Normal 7 2 4 3 2 3" xfId="4716"/>
    <cellStyle name="Normal 7 2 4 3 3" xfId="6356"/>
    <cellStyle name="Normal 7 2 4 3 3 2" xfId="11371"/>
    <cellStyle name="Normal 7 2 4 3 4" xfId="8850"/>
    <cellStyle name="Normal 7 2 4 3 5" xfId="12825"/>
    <cellStyle name="Normal 7 2 4 3 6" xfId="7327"/>
    <cellStyle name="Normal 7 2 4 3 7" xfId="3781"/>
    <cellStyle name="Normal 7 2 4 4" xfId="884"/>
    <cellStyle name="Normal 7 2 4 4 2" xfId="2557"/>
    <cellStyle name="Normal 7 2 4 4 2 2" xfId="10314"/>
    <cellStyle name="Normal 7 2 4 4 2 3" xfId="5296"/>
    <cellStyle name="Normal 7 2 4 4 3" xfId="6704"/>
    <cellStyle name="Normal 7 2 4 4 3 2" xfId="11719"/>
    <cellStyle name="Normal 7 2 4 4 4" xfId="9430"/>
    <cellStyle name="Normal 7 2 4 4 5" xfId="13173"/>
    <cellStyle name="Normal 7 2 4 4 6" xfId="7907"/>
    <cellStyle name="Normal 7 2 4 4 7" xfId="4361"/>
    <cellStyle name="Normal 7 2 4 5" xfId="1236"/>
    <cellStyle name="Normal 7 2 4 5 2" xfId="2792"/>
    <cellStyle name="Normal 7 2 4 5 2 2" xfId="10443"/>
    <cellStyle name="Normal 7 2 4 5 2 3" xfId="5426"/>
    <cellStyle name="Normal 7 2 4 5 3" xfId="6824"/>
    <cellStyle name="Normal 7 2 4 5 3 2" xfId="11839"/>
    <cellStyle name="Normal 7 2 4 5 4" xfId="8736"/>
    <cellStyle name="Normal 7 2 4 5 5" xfId="13293"/>
    <cellStyle name="Normal 7 2 4 5 6" xfId="8037"/>
    <cellStyle name="Normal 7 2 4 5 7" xfId="3666"/>
    <cellStyle name="Normal 7 2 4 6" xfId="1633"/>
    <cellStyle name="Normal 7 2 4 6 2" xfId="9622"/>
    <cellStyle name="Normal 7 2 4 6 3" xfId="4604"/>
    <cellStyle name="Normal 7 2 4 7" xfId="5780"/>
    <cellStyle name="Normal 7 2 4 7 2" xfId="10796"/>
    <cellStyle name="Normal 7 2 4 8" xfId="8357"/>
    <cellStyle name="Normal 7 2 4 9" xfId="12250"/>
    <cellStyle name="Normal 7 2 4_Degree data" xfId="3183"/>
    <cellStyle name="Normal 7 2 5" xfId="294"/>
    <cellStyle name="Normal 7 2 5 2" xfId="575"/>
    <cellStyle name="Normal 7 2 5 2 2" xfId="2211"/>
    <cellStyle name="Normal 7 2 5 2 2 2" xfId="10316"/>
    <cellStyle name="Normal 7 2 5 2 2 3" xfId="5298"/>
    <cellStyle name="Normal 7 2 5 2 3" xfId="6358"/>
    <cellStyle name="Normal 7 2 5 2 3 2" xfId="11373"/>
    <cellStyle name="Normal 7 2 5 2 4" xfId="9432"/>
    <cellStyle name="Normal 7 2 5 2 5" xfId="12827"/>
    <cellStyle name="Normal 7 2 5 2 6" xfId="7909"/>
    <cellStyle name="Normal 7 2 5 2 7" xfId="4363"/>
    <cellStyle name="Normal 7 2 5 3" xfId="984"/>
    <cellStyle name="Normal 7 2 5 3 2" xfId="2559"/>
    <cellStyle name="Normal 7 2 5 3 2 2" xfId="10543"/>
    <cellStyle name="Normal 7 2 5 3 2 3" xfId="5526"/>
    <cellStyle name="Normal 7 2 5 3 3" xfId="6706"/>
    <cellStyle name="Normal 7 2 5 3 3 2" xfId="11721"/>
    <cellStyle name="Normal 7 2 5 3 4" xfId="8950"/>
    <cellStyle name="Normal 7 2 5 3 5" xfId="13175"/>
    <cellStyle name="Normal 7 2 5 3 6" xfId="8137"/>
    <cellStyle name="Normal 7 2 5 3 7" xfId="3881"/>
    <cellStyle name="Normal 7 2 5 4" xfId="1340"/>
    <cellStyle name="Normal 7 2 5 4 2" xfId="2898"/>
    <cellStyle name="Normal 7 2 5 4 2 2" xfId="11939"/>
    <cellStyle name="Normal 7 2 5 4 2 3" xfId="6924"/>
    <cellStyle name="Normal 7 2 5 4 3" xfId="13393"/>
    <cellStyle name="Normal 7 2 5 4 4" xfId="9834"/>
    <cellStyle name="Normal 7 2 5 4 5" xfId="4816"/>
    <cellStyle name="Normal 7 2 5 5" xfId="1733"/>
    <cellStyle name="Normal 7 2 5 5 2" xfId="10896"/>
    <cellStyle name="Normal 7 2 5 5 3" xfId="5880"/>
    <cellStyle name="Normal 7 2 5 6" xfId="8457"/>
    <cellStyle name="Normal 7 2 5 7" xfId="12350"/>
    <cellStyle name="Normal 7 2 5 8" xfId="7427"/>
    <cellStyle name="Normal 7 2 5 9" xfId="3379"/>
    <cellStyle name="Normal 7 2 5_Degree data" xfId="3185"/>
    <cellStyle name="Normal 7 2 6" xfId="448"/>
    <cellStyle name="Normal 7 2 6 2" xfId="857"/>
    <cellStyle name="Normal 7 2 6 2 2" xfId="2212"/>
    <cellStyle name="Normal 7 2 6 2 2 2" xfId="10317"/>
    <cellStyle name="Normal 7 2 6 2 2 3" xfId="5299"/>
    <cellStyle name="Normal 7 2 6 2 3" xfId="6359"/>
    <cellStyle name="Normal 7 2 6 2 3 2" xfId="11374"/>
    <cellStyle name="Normal 7 2 6 2 4" xfId="9433"/>
    <cellStyle name="Normal 7 2 6 2 5" xfId="12828"/>
    <cellStyle name="Normal 7 2 6 2 6" xfId="7910"/>
    <cellStyle name="Normal 7 2 6 2 7" xfId="4364"/>
    <cellStyle name="Normal 7 2 6 3" xfId="1207"/>
    <cellStyle name="Normal 7 2 6 3 2" xfId="2560"/>
    <cellStyle name="Normal 7 2 6 3 2 2" xfId="10416"/>
    <cellStyle name="Normal 7 2 6 3 2 3" xfId="5399"/>
    <cellStyle name="Normal 7 2 6 3 3" xfId="6707"/>
    <cellStyle name="Normal 7 2 6 3 3 2" xfId="11722"/>
    <cellStyle name="Normal 7 2 6 3 4" xfId="9496"/>
    <cellStyle name="Normal 7 2 6 3 5" xfId="13176"/>
    <cellStyle name="Normal 7 2 6 3 6" xfId="8010"/>
    <cellStyle name="Normal 7 2 6 3 7" xfId="4478"/>
    <cellStyle name="Normal 7 2 6 4" xfId="2761"/>
    <cellStyle name="Normal 7 2 6 4 2" xfId="6797"/>
    <cellStyle name="Normal 7 2 6 4 2 2" xfId="11812"/>
    <cellStyle name="Normal 7 2 6 4 3" xfId="13266"/>
    <cellStyle name="Normal 7 2 6 4 4" xfId="9707"/>
    <cellStyle name="Normal 7 2 6 4 5" xfId="4689"/>
    <cellStyle name="Normal 7 2 6 5" xfId="1606"/>
    <cellStyle name="Normal 7 2 6 5 2" xfId="10767"/>
    <cellStyle name="Normal 7 2 6 5 3" xfId="5751"/>
    <cellStyle name="Normal 7 2 6 6" xfId="8823"/>
    <cellStyle name="Normal 7 2 6 7" xfId="12223"/>
    <cellStyle name="Normal 7 2 6 8" xfId="7300"/>
    <cellStyle name="Normal 7 2 6 9" xfId="3754"/>
    <cellStyle name="Normal 7 2 6_Degree data" xfId="3186"/>
    <cellStyle name="Normal 7 2 7" xfId="757"/>
    <cellStyle name="Normal 7 2 7 2" xfId="2203"/>
    <cellStyle name="Normal 7 2 7 2 2" xfId="10308"/>
    <cellStyle name="Normal 7 2 7 2 3" xfId="5290"/>
    <cellStyle name="Normal 7 2 7 3" xfId="6350"/>
    <cellStyle name="Normal 7 2 7 3 2" xfId="11365"/>
    <cellStyle name="Normal 7 2 7 4" xfId="9424"/>
    <cellStyle name="Normal 7 2 7 5" xfId="12819"/>
    <cellStyle name="Normal 7 2 7 6" xfId="7901"/>
    <cellStyle name="Normal 7 2 7 7" xfId="4355"/>
    <cellStyle name="Normal 7 2 8" xfId="1161"/>
    <cellStyle name="Normal 7 2 8 2" xfId="2551"/>
    <cellStyle name="Normal 7 2 8 2 2" xfId="10371"/>
    <cellStyle name="Normal 7 2 8 2 3" xfId="5354"/>
    <cellStyle name="Normal 7 2 8 3" xfId="6698"/>
    <cellStyle name="Normal 7 2 8 3 2" xfId="11713"/>
    <cellStyle name="Normal 7 2 8 4" xfId="8630"/>
    <cellStyle name="Normal 7 2 8 5" xfId="13167"/>
    <cellStyle name="Normal 7 2 8 6" xfId="7965"/>
    <cellStyle name="Normal 7 2 8 7" xfId="3554"/>
    <cellStyle name="Normal 7 2 9" xfId="2710"/>
    <cellStyle name="Normal 7 2 9 2" xfId="6752"/>
    <cellStyle name="Normal 7 2 9 2 2" xfId="11767"/>
    <cellStyle name="Normal 7 2 9 3" xfId="13221"/>
    <cellStyle name="Normal 7 2 9 4" xfId="9516"/>
    <cellStyle name="Normal 7 2 9 5" xfId="4498"/>
    <cellStyle name="Normal 7 2_Degree data" xfId="3177"/>
    <cellStyle name="Normal 7 3" xfId="153"/>
    <cellStyle name="Normal 7 3 10" xfId="1569"/>
    <cellStyle name="Normal 7 3 10 2" xfId="12186"/>
    <cellStyle name="Normal 7 3 10 3" xfId="10730"/>
    <cellStyle name="Normal 7 3 10 4" xfId="5714"/>
    <cellStyle name="Normal 7 3 11" xfId="1539"/>
    <cellStyle name="Normal 7 3 11 2" xfId="8338"/>
    <cellStyle name="Normal 7 3 12" xfId="12156"/>
    <cellStyle name="Normal 7 3 13" xfId="7119"/>
    <cellStyle name="Normal 7 3 14" xfId="3260"/>
    <cellStyle name="Normal 7 3 2" xfId="213"/>
    <cellStyle name="Normal 7 3 2 10" xfId="12288"/>
    <cellStyle name="Normal 7 3 2 11" xfId="7148"/>
    <cellStyle name="Normal 7 3 2 12" xfId="3317"/>
    <cellStyle name="Normal 7 3 2 2" xfId="362"/>
    <cellStyle name="Normal 7 3 2 2 10" xfId="3521"/>
    <cellStyle name="Normal 7 3 2 2 2" xfId="717"/>
    <cellStyle name="Normal 7 3 2 2 2 2" xfId="2215"/>
    <cellStyle name="Normal 7 3 2 2 2 2 2" xfId="9976"/>
    <cellStyle name="Normal 7 3 2 2 2 2 3" xfId="4958"/>
    <cellStyle name="Normal 7 3 2 2 2 3" xfId="6362"/>
    <cellStyle name="Normal 7 3 2 2 2 3 2" xfId="11377"/>
    <cellStyle name="Normal 7 3 2 2 2 4" xfId="9092"/>
    <cellStyle name="Normal 7 3 2 2 2 5" xfId="12831"/>
    <cellStyle name="Normal 7 3 2 2 2 6" xfId="7569"/>
    <cellStyle name="Normal 7 3 2 2 2 7" xfId="4023"/>
    <cellStyle name="Normal 7 3 2 2 3" xfId="1126"/>
    <cellStyle name="Normal 7 3 2 2 3 2" xfId="2563"/>
    <cellStyle name="Normal 7 3 2 2 3 2 2" xfId="10320"/>
    <cellStyle name="Normal 7 3 2 2 3 2 3" xfId="5302"/>
    <cellStyle name="Normal 7 3 2 2 3 3" xfId="6710"/>
    <cellStyle name="Normal 7 3 2 2 3 3 2" xfId="11725"/>
    <cellStyle name="Normal 7 3 2 2 3 4" xfId="9436"/>
    <cellStyle name="Normal 7 3 2 2 3 5" xfId="13179"/>
    <cellStyle name="Normal 7 3 2 2 3 6" xfId="7913"/>
    <cellStyle name="Normal 7 3 2 2 3 7" xfId="4367"/>
    <cellStyle name="Normal 7 3 2 2 4" xfId="1484"/>
    <cellStyle name="Normal 7 3 2 2 4 2" xfId="3043"/>
    <cellStyle name="Normal 7 3 2 2 4 2 2" xfId="10685"/>
    <cellStyle name="Normal 7 3 2 2 4 2 3" xfId="5668"/>
    <cellStyle name="Normal 7 3 2 2 4 3" xfId="7066"/>
    <cellStyle name="Normal 7 3 2 2 4 3 2" xfId="12081"/>
    <cellStyle name="Normal 7 3 2 2 4 4" xfId="8773"/>
    <cellStyle name="Normal 7 3 2 2 4 5" xfId="13535"/>
    <cellStyle name="Normal 7 3 2 2 4 6" xfId="8279"/>
    <cellStyle name="Normal 7 3 2 2 4 7" xfId="3703"/>
    <cellStyle name="Normal 7 3 2 2 5" xfId="1875"/>
    <cellStyle name="Normal 7 3 2 2 5 2" xfId="9659"/>
    <cellStyle name="Normal 7 3 2 2 5 3" xfId="4641"/>
    <cellStyle name="Normal 7 3 2 2 6" xfId="6022"/>
    <cellStyle name="Normal 7 3 2 2 6 2" xfId="11038"/>
    <cellStyle name="Normal 7 3 2 2 7" xfId="8599"/>
    <cellStyle name="Normal 7 3 2 2 8" xfId="12492"/>
    <cellStyle name="Normal 7 3 2 2 9" xfId="7252"/>
    <cellStyle name="Normal 7 3 2 2_Degree data" xfId="3189"/>
    <cellStyle name="Normal 7 3 2 3" xfId="613"/>
    <cellStyle name="Normal 7 3 2 3 2" xfId="1022"/>
    <cellStyle name="Normal 7 3 2 3 2 2" xfId="2216"/>
    <cellStyle name="Normal 7 3 2 3 2 2 2" xfId="10321"/>
    <cellStyle name="Normal 7 3 2 3 2 2 3" xfId="5303"/>
    <cellStyle name="Normal 7 3 2 3 2 3" xfId="6363"/>
    <cellStyle name="Normal 7 3 2 3 2 3 2" xfId="11378"/>
    <cellStyle name="Normal 7 3 2 3 2 4" xfId="9437"/>
    <cellStyle name="Normal 7 3 2 3 2 5" xfId="12832"/>
    <cellStyle name="Normal 7 3 2 3 2 6" xfId="7914"/>
    <cellStyle name="Normal 7 3 2 3 2 7" xfId="4368"/>
    <cellStyle name="Normal 7 3 2 3 3" xfId="1378"/>
    <cellStyle name="Normal 7 3 2 3 3 2" xfId="2564"/>
    <cellStyle name="Normal 7 3 2 3 3 2 2" xfId="10581"/>
    <cellStyle name="Normal 7 3 2 3 3 2 3" xfId="5564"/>
    <cellStyle name="Normal 7 3 2 3 3 3" xfId="6711"/>
    <cellStyle name="Normal 7 3 2 3 3 3 2" xfId="11726"/>
    <cellStyle name="Normal 7 3 2 3 3 4" xfId="8988"/>
    <cellStyle name="Normal 7 3 2 3 3 5" xfId="13180"/>
    <cellStyle name="Normal 7 3 2 3 3 6" xfId="8175"/>
    <cellStyle name="Normal 7 3 2 3 3 7" xfId="3919"/>
    <cellStyle name="Normal 7 3 2 3 4" xfId="2936"/>
    <cellStyle name="Normal 7 3 2 3 4 2" xfId="6962"/>
    <cellStyle name="Normal 7 3 2 3 4 2 2" xfId="11977"/>
    <cellStyle name="Normal 7 3 2 3 4 3" xfId="13431"/>
    <cellStyle name="Normal 7 3 2 3 4 4" xfId="9872"/>
    <cellStyle name="Normal 7 3 2 3 4 5" xfId="4854"/>
    <cellStyle name="Normal 7 3 2 3 5" xfId="1771"/>
    <cellStyle name="Normal 7 3 2 3 5 2" xfId="10934"/>
    <cellStyle name="Normal 7 3 2 3 5 3" xfId="5918"/>
    <cellStyle name="Normal 7 3 2 3 6" xfId="8495"/>
    <cellStyle name="Normal 7 3 2 3 7" xfId="12388"/>
    <cellStyle name="Normal 7 3 2 3 8" xfId="7465"/>
    <cellStyle name="Normal 7 3 2 3 9" xfId="3417"/>
    <cellStyle name="Normal 7 3 2 3_Degree data" xfId="3190"/>
    <cellStyle name="Normal 7 3 2 4" xfId="513"/>
    <cellStyle name="Normal 7 3 2 4 2" xfId="922"/>
    <cellStyle name="Normal 7 3 2 4 2 2" xfId="9772"/>
    <cellStyle name="Normal 7 3 2 4 2 3" xfId="4754"/>
    <cellStyle name="Normal 7 3 2 4 3" xfId="2214"/>
    <cellStyle name="Normal 7 3 2 4 3 2" xfId="11376"/>
    <cellStyle name="Normal 7 3 2 4 3 3" xfId="6361"/>
    <cellStyle name="Normal 7 3 2 4 4" xfId="8888"/>
    <cellStyle name="Normal 7 3 2 4 5" xfId="12830"/>
    <cellStyle name="Normal 7 3 2 4 6" xfId="7365"/>
    <cellStyle name="Normal 7 3 2 4 7" xfId="3819"/>
    <cellStyle name="Normal 7 3 2 5" xfId="819"/>
    <cellStyle name="Normal 7 3 2 5 2" xfId="2562"/>
    <cellStyle name="Normal 7 3 2 5 2 2" xfId="10319"/>
    <cellStyle name="Normal 7 3 2 5 2 3" xfId="5301"/>
    <cellStyle name="Normal 7 3 2 5 3" xfId="6709"/>
    <cellStyle name="Normal 7 3 2 5 3 2" xfId="11724"/>
    <cellStyle name="Normal 7 3 2 5 4" xfId="9435"/>
    <cellStyle name="Normal 7 3 2 5 5" xfId="13178"/>
    <cellStyle name="Normal 7 3 2 5 6" xfId="7912"/>
    <cellStyle name="Normal 7 3 2 5 7" xfId="4366"/>
    <cellStyle name="Normal 7 3 2 6" xfId="1277"/>
    <cellStyle name="Normal 7 3 2 6 2" xfId="2834"/>
    <cellStyle name="Normal 7 3 2 6 2 2" xfId="10481"/>
    <cellStyle name="Normal 7 3 2 6 2 3" xfId="5464"/>
    <cellStyle name="Normal 7 3 2 6 3" xfId="6862"/>
    <cellStyle name="Normal 7 3 2 6 3 2" xfId="11877"/>
    <cellStyle name="Normal 7 3 2 6 4" xfId="8669"/>
    <cellStyle name="Normal 7 3 2 6 5" xfId="13331"/>
    <cellStyle name="Normal 7 3 2 6 6" xfId="8075"/>
    <cellStyle name="Normal 7 3 2 6 7" xfId="3596"/>
    <cellStyle name="Normal 7 3 2 7" xfId="1671"/>
    <cellStyle name="Normal 7 3 2 7 2" xfId="9555"/>
    <cellStyle name="Normal 7 3 2 7 3" xfId="4537"/>
    <cellStyle name="Normal 7 3 2 8" xfId="5818"/>
    <cellStyle name="Normal 7 3 2 8 2" xfId="10834"/>
    <cellStyle name="Normal 7 3 2 9" xfId="8395"/>
    <cellStyle name="Normal 7 3 2_Degree data" xfId="3188"/>
    <cellStyle name="Normal 7 3 3" xfId="249"/>
    <cellStyle name="Normal 7 3 3 10" xfId="7191"/>
    <cellStyle name="Normal 7 3 3 11" xfId="3360"/>
    <cellStyle name="Normal 7 3 3 2" xfId="406"/>
    <cellStyle name="Normal 7 3 3 2 2" xfId="656"/>
    <cellStyle name="Normal 7 3 3 2 2 2" xfId="2218"/>
    <cellStyle name="Normal 7 3 3 2 2 2 2" xfId="10323"/>
    <cellStyle name="Normal 7 3 3 2 2 2 3" xfId="5305"/>
    <cellStyle name="Normal 7 3 3 2 2 3" xfId="6365"/>
    <cellStyle name="Normal 7 3 3 2 2 3 2" xfId="11380"/>
    <cellStyle name="Normal 7 3 3 2 2 4" xfId="9439"/>
    <cellStyle name="Normal 7 3 3 2 2 5" xfId="12834"/>
    <cellStyle name="Normal 7 3 3 2 2 6" xfId="7916"/>
    <cellStyle name="Normal 7 3 3 2 2 7" xfId="4370"/>
    <cellStyle name="Normal 7 3 3 2 3" xfId="1065"/>
    <cellStyle name="Normal 7 3 3 2 3 2" xfId="2566"/>
    <cellStyle name="Normal 7 3 3 2 3 2 2" xfId="10624"/>
    <cellStyle name="Normal 7 3 3 2 3 2 3" xfId="5607"/>
    <cellStyle name="Normal 7 3 3 2 3 3" xfId="6713"/>
    <cellStyle name="Normal 7 3 3 2 3 3 2" xfId="11728"/>
    <cellStyle name="Normal 7 3 3 2 3 4" xfId="9031"/>
    <cellStyle name="Normal 7 3 3 2 3 5" xfId="13182"/>
    <cellStyle name="Normal 7 3 3 2 3 6" xfId="8218"/>
    <cellStyle name="Normal 7 3 3 2 3 7" xfId="3962"/>
    <cellStyle name="Normal 7 3 3 2 4" xfId="1423"/>
    <cellStyle name="Normal 7 3 3 2 4 2" xfId="2981"/>
    <cellStyle name="Normal 7 3 3 2 4 2 2" xfId="12020"/>
    <cellStyle name="Normal 7 3 3 2 4 2 3" xfId="7005"/>
    <cellStyle name="Normal 7 3 3 2 4 3" xfId="13474"/>
    <cellStyle name="Normal 7 3 3 2 4 4" xfId="9915"/>
    <cellStyle name="Normal 7 3 3 2 4 5" xfId="4897"/>
    <cellStyle name="Normal 7 3 3 2 5" xfId="1814"/>
    <cellStyle name="Normal 7 3 3 2 5 2" xfId="10977"/>
    <cellStyle name="Normal 7 3 3 2 5 3" xfId="5961"/>
    <cellStyle name="Normal 7 3 3 2 6" xfId="8538"/>
    <cellStyle name="Normal 7 3 3 2 7" xfId="12431"/>
    <cellStyle name="Normal 7 3 3 2 8" xfId="7508"/>
    <cellStyle name="Normal 7 3 3 2 9" xfId="3460"/>
    <cellStyle name="Normal 7 3 3 2_Degree data" xfId="3192"/>
    <cellStyle name="Normal 7 3 3 3" xfId="556"/>
    <cellStyle name="Normal 7 3 3 3 2" xfId="2217"/>
    <cellStyle name="Normal 7 3 3 3 2 2" xfId="9815"/>
    <cellStyle name="Normal 7 3 3 3 2 3" xfId="4797"/>
    <cellStyle name="Normal 7 3 3 3 3" xfId="6364"/>
    <cellStyle name="Normal 7 3 3 3 3 2" xfId="11379"/>
    <cellStyle name="Normal 7 3 3 3 4" xfId="8931"/>
    <cellStyle name="Normal 7 3 3 3 5" xfId="12833"/>
    <cellStyle name="Normal 7 3 3 3 6" xfId="7408"/>
    <cellStyle name="Normal 7 3 3 3 7" xfId="3862"/>
    <cellStyle name="Normal 7 3 3 4" xfId="965"/>
    <cellStyle name="Normal 7 3 3 4 2" xfId="2565"/>
    <cellStyle name="Normal 7 3 3 4 2 2" xfId="10322"/>
    <cellStyle name="Normal 7 3 3 4 2 3" xfId="5304"/>
    <cellStyle name="Normal 7 3 3 4 3" xfId="6712"/>
    <cellStyle name="Normal 7 3 3 4 3 2" xfId="11727"/>
    <cellStyle name="Normal 7 3 3 4 4" xfId="9438"/>
    <cellStyle name="Normal 7 3 3 4 5" xfId="13181"/>
    <cellStyle name="Normal 7 3 3 4 6" xfId="7915"/>
    <cellStyle name="Normal 7 3 3 4 7" xfId="4369"/>
    <cellStyle name="Normal 7 3 3 5" xfId="1321"/>
    <cellStyle name="Normal 7 3 3 5 2" xfId="2879"/>
    <cellStyle name="Normal 7 3 3 5 2 2" xfId="10524"/>
    <cellStyle name="Normal 7 3 3 5 2 3" xfId="5507"/>
    <cellStyle name="Normal 7 3 3 5 3" xfId="6905"/>
    <cellStyle name="Normal 7 3 3 5 3 2" xfId="11920"/>
    <cellStyle name="Normal 7 3 3 5 4" xfId="8712"/>
    <cellStyle name="Normal 7 3 3 5 5" xfId="13374"/>
    <cellStyle name="Normal 7 3 3 5 6" xfId="8118"/>
    <cellStyle name="Normal 7 3 3 5 7" xfId="3642"/>
    <cellStyle name="Normal 7 3 3 6" xfId="1714"/>
    <cellStyle name="Normal 7 3 3 6 2" xfId="9598"/>
    <cellStyle name="Normal 7 3 3 6 3" xfId="4580"/>
    <cellStyle name="Normal 7 3 3 7" xfId="5861"/>
    <cellStyle name="Normal 7 3 3 7 2" xfId="10877"/>
    <cellStyle name="Normal 7 3 3 8" xfId="8438"/>
    <cellStyle name="Normal 7 3 3 9" xfId="12331"/>
    <cellStyle name="Normal 7 3 3_Degree data" xfId="3191"/>
    <cellStyle name="Normal 7 3 4" xfId="332"/>
    <cellStyle name="Normal 7 3 4 10" xfId="7224"/>
    <cellStyle name="Normal 7 3 4 11" xfId="3288"/>
    <cellStyle name="Normal 7 3 4 2" xfId="689"/>
    <cellStyle name="Normal 7 3 4 2 2" xfId="1098"/>
    <cellStyle name="Normal 7 3 4 2 2 2" xfId="2220"/>
    <cellStyle name="Normal 7 3 4 2 2 2 2" xfId="10325"/>
    <cellStyle name="Normal 7 3 4 2 2 2 3" xfId="5307"/>
    <cellStyle name="Normal 7 3 4 2 2 3" xfId="6367"/>
    <cellStyle name="Normal 7 3 4 2 2 3 2" xfId="11382"/>
    <cellStyle name="Normal 7 3 4 2 2 4" xfId="9441"/>
    <cellStyle name="Normal 7 3 4 2 2 5" xfId="12836"/>
    <cellStyle name="Normal 7 3 4 2 2 6" xfId="7918"/>
    <cellStyle name="Normal 7 3 4 2 2 7" xfId="4372"/>
    <cellStyle name="Normal 7 3 4 2 3" xfId="1456"/>
    <cellStyle name="Normal 7 3 4 2 3 2" xfId="2568"/>
    <cellStyle name="Normal 7 3 4 2 3 2 2" xfId="10657"/>
    <cellStyle name="Normal 7 3 4 2 3 2 3" xfId="5640"/>
    <cellStyle name="Normal 7 3 4 2 3 3" xfId="6715"/>
    <cellStyle name="Normal 7 3 4 2 3 3 2" xfId="11730"/>
    <cellStyle name="Normal 7 3 4 2 3 4" xfId="9064"/>
    <cellStyle name="Normal 7 3 4 2 3 5" xfId="13184"/>
    <cellStyle name="Normal 7 3 4 2 3 6" xfId="8251"/>
    <cellStyle name="Normal 7 3 4 2 3 7" xfId="3995"/>
    <cellStyle name="Normal 7 3 4 2 4" xfId="3015"/>
    <cellStyle name="Normal 7 3 4 2 4 2" xfId="7038"/>
    <cellStyle name="Normal 7 3 4 2 4 2 2" xfId="12053"/>
    <cellStyle name="Normal 7 3 4 2 4 3" xfId="13507"/>
    <cellStyle name="Normal 7 3 4 2 4 4" xfId="9948"/>
    <cellStyle name="Normal 7 3 4 2 4 5" xfId="4930"/>
    <cellStyle name="Normal 7 3 4 2 5" xfId="1847"/>
    <cellStyle name="Normal 7 3 4 2 5 2" xfId="11010"/>
    <cellStyle name="Normal 7 3 4 2 5 3" xfId="5994"/>
    <cellStyle name="Normal 7 3 4 2 6" xfId="8571"/>
    <cellStyle name="Normal 7 3 4 2 7" xfId="12464"/>
    <cellStyle name="Normal 7 3 4 2 8" xfId="7541"/>
    <cellStyle name="Normal 7 3 4 2 9" xfId="3493"/>
    <cellStyle name="Normal 7 3 4 2_Degree data" xfId="3194"/>
    <cellStyle name="Normal 7 3 4 3" xfId="484"/>
    <cellStyle name="Normal 7 3 4 3 2" xfId="2219"/>
    <cellStyle name="Normal 7 3 4 3 2 2" xfId="9743"/>
    <cellStyle name="Normal 7 3 4 3 2 3" xfId="4725"/>
    <cellStyle name="Normal 7 3 4 3 3" xfId="6366"/>
    <cellStyle name="Normal 7 3 4 3 3 2" xfId="11381"/>
    <cellStyle name="Normal 7 3 4 3 4" xfId="8859"/>
    <cellStyle name="Normal 7 3 4 3 5" xfId="12835"/>
    <cellStyle name="Normal 7 3 4 3 6" xfId="7336"/>
    <cellStyle name="Normal 7 3 4 3 7" xfId="3790"/>
    <cellStyle name="Normal 7 3 4 4" xfId="893"/>
    <cellStyle name="Normal 7 3 4 4 2" xfId="2567"/>
    <cellStyle name="Normal 7 3 4 4 2 2" xfId="10324"/>
    <cellStyle name="Normal 7 3 4 4 2 3" xfId="5306"/>
    <cellStyle name="Normal 7 3 4 4 3" xfId="6714"/>
    <cellStyle name="Normal 7 3 4 4 3 2" xfId="11729"/>
    <cellStyle name="Normal 7 3 4 4 4" xfId="9440"/>
    <cellStyle name="Normal 7 3 4 4 5" xfId="13183"/>
    <cellStyle name="Normal 7 3 4 4 6" xfId="7917"/>
    <cellStyle name="Normal 7 3 4 4 7" xfId="4371"/>
    <cellStyle name="Normal 7 3 4 5" xfId="1245"/>
    <cellStyle name="Normal 7 3 4 5 2" xfId="2801"/>
    <cellStyle name="Normal 7 3 4 5 2 2" xfId="10452"/>
    <cellStyle name="Normal 7 3 4 5 2 3" xfId="5435"/>
    <cellStyle name="Normal 7 3 4 5 3" xfId="6833"/>
    <cellStyle name="Normal 7 3 4 5 3 2" xfId="11848"/>
    <cellStyle name="Normal 7 3 4 5 4" xfId="8745"/>
    <cellStyle name="Normal 7 3 4 5 5" xfId="13302"/>
    <cellStyle name="Normal 7 3 4 5 6" xfId="8046"/>
    <cellStyle name="Normal 7 3 4 5 7" xfId="3675"/>
    <cellStyle name="Normal 7 3 4 6" xfId="1642"/>
    <cellStyle name="Normal 7 3 4 6 2" xfId="9631"/>
    <cellStyle name="Normal 7 3 4 6 3" xfId="4613"/>
    <cellStyle name="Normal 7 3 4 7" xfId="5789"/>
    <cellStyle name="Normal 7 3 4 7 2" xfId="10805"/>
    <cellStyle name="Normal 7 3 4 8" xfId="8366"/>
    <cellStyle name="Normal 7 3 4 9" xfId="12259"/>
    <cellStyle name="Normal 7 3 4_Degree data" xfId="3193"/>
    <cellStyle name="Normal 7 3 5" xfId="302"/>
    <cellStyle name="Normal 7 3 5 2" xfId="584"/>
    <cellStyle name="Normal 7 3 5 2 2" xfId="2221"/>
    <cellStyle name="Normal 7 3 5 2 2 2" xfId="10326"/>
    <cellStyle name="Normal 7 3 5 2 2 3" xfId="5308"/>
    <cellStyle name="Normal 7 3 5 2 3" xfId="6368"/>
    <cellStyle name="Normal 7 3 5 2 3 2" xfId="11383"/>
    <cellStyle name="Normal 7 3 5 2 4" xfId="9442"/>
    <cellStyle name="Normal 7 3 5 2 5" xfId="12837"/>
    <cellStyle name="Normal 7 3 5 2 6" xfId="7919"/>
    <cellStyle name="Normal 7 3 5 2 7" xfId="4373"/>
    <cellStyle name="Normal 7 3 5 3" xfId="993"/>
    <cellStyle name="Normal 7 3 5 3 2" xfId="2569"/>
    <cellStyle name="Normal 7 3 5 3 2 2" xfId="10552"/>
    <cellStyle name="Normal 7 3 5 3 2 3" xfId="5535"/>
    <cellStyle name="Normal 7 3 5 3 3" xfId="6716"/>
    <cellStyle name="Normal 7 3 5 3 3 2" xfId="11731"/>
    <cellStyle name="Normal 7 3 5 3 4" xfId="8959"/>
    <cellStyle name="Normal 7 3 5 3 5" xfId="13185"/>
    <cellStyle name="Normal 7 3 5 3 6" xfId="8146"/>
    <cellStyle name="Normal 7 3 5 3 7" xfId="3890"/>
    <cellStyle name="Normal 7 3 5 4" xfId="1349"/>
    <cellStyle name="Normal 7 3 5 4 2" xfId="2907"/>
    <cellStyle name="Normal 7 3 5 4 2 2" xfId="11948"/>
    <cellStyle name="Normal 7 3 5 4 2 3" xfId="6933"/>
    <cellStyle name="Normal 7 3 5 4 3" xfId="13402"/>
    <cellStyle name="Normal 7 3 5 4 4" xfId="9843"/>
    <cellStyle name="Normal 7 3 5 4 5" xfId="4825"/>
    <cellStyle name="Normal 7 3 5 5" xfId="1742"/>
    <cellStyle name="Normal 7 3 5 5 2" xfId="10905"/>
    <cellStyle name="Normal 7 3 5 5 3" xfId="5889"/>
    <cellStyle name="Normal 7 3 5 6" xfId="8466"/>
    <cellStyle name="Normal 7 3 5 7" xfId="12359"/>
    <cellStyle name="Normal 7 3 5 8" xfId="7436"/>
    <cellStyle name="Normal 7 3 5 9" xfId="3388"/>
    <cellStyle name="Normal 7 3 5_Degree data" xfId="3195"/>
    <cellStyle name="Normal 7 3 6" xfId="456"/>
    <cellStyle name="Normal 7 3 6 2" xfId="865"/>
    <cellStyle name="Normal 7 3 6 2 2" xfId="2222"/>
    <cellStyle name="Normal 7 3 6 2 2 2" xfId="10327"/>
    <cellStyle name="Normal 7 3 6 2 2 3" xfId="5309"/>
    <cellStyle name="Normal 7 3 6 2 3" xfId="6369"/>
    <cellStyle name="Normal 7 3 6 2 3 2" xfId="11384"/>
    <cellStyle name="Normal 7 3 6 2 4" xfId="9443"/>
    <cellStyle name="Normal 7 3 6 2 5" xfId="12838"/>
    <cellStyle name="Normal 7 3 6 2 6" xfId="7920"/>
    <cellStyle name="Normal 7 3 6 2 7" xfId="4374"/>
    <cellStyle name="Normal 7 3 6 3" xfId="1215"/>
    <cellStyle name="Normal 7 3 6 3 2" xfId="2570"/>
    <cellStyle name="Normal 7 3 6 3 2 2" xfId="10424"/>
    <cellStyle name="Normal 7 3 6 3 2 3" xfId="5407"/>
    <cellStyle name="Normal 7 3 6 3 3" xfId="6717"/>
    <cellStyle name="Normal 7 3 6 3 3 2" xfId="11732"/>
    <cellStyle name="Normal 7 3 6 3 4" xfId="9497"/>
    <cellStyle name="Normal 7 3 6 3 5" xfId="13186"/>
    <cellStyle name="Normal 7 3 6 3 6" xfId="8018"/>
    <cellStyle name="Normal 7 3 6 3 7" xfId="4479"/>
    <cellStyle name="Normal 7 3 6 4" xfId="2769"/>
    <cellStyle name="Normal 7 3 6 4 2" xfId="6805"/>
    <cellStyle name="Normal 7 3 6 4 2 2" xfId="11820"/>
    <cellStyle name="Normal 7 3 6 4 3" xfId="13274"/>
    <cellStyle name="Normal 7 3 6 4 4" xfId="9715"/>
    <cellStyle name="Normal 7 3 6 4 5" xfId="4697"/>
    <cellStyle name="Normal 7 3 6 5" xfId="1614"/>
    <cellStyle name="Normal 7 3 6 5 2" xfId="10775"/>
    <cellStyle name="Normal 7 3 6 5 3" xfId="5759"/>
    <cellStyle name="Normal 7 3 6 6" xfId="8831"/>
    <cellStyle name="Normal 7 3 6 7" xfId="12231"/>
    <cellStyle name="Normal 7 3 6 8" xfId="7308"/>
    <cellStyle name="Normal 7 3 6 9" xfId="3762"/>
    <cellStyle name="Normal 7 3 6_Degree data" xfId="3196"/>
    <cellStyle name="Normal 7 3 7" xfId="789"/>
    <cellStyle name="Normal 7 3 7 2" xfId="2213"/>
    <cellStyle name="Normal 7 3 7 2 2" xfId="10318"/>
    <cellStyle name="Normal 7 3 7 2 3" xfId="5300"/>
    <cellStyle name="Normal 7 3 7 3" xfId="6360"/>
    <cellStyle name="Normal 7 3 7 3 2" xfId="11375"/>
    <cellStyle name="Normal 7 3 7 4" xfId="9434"/>
    <cellStyle name="Normal 7 3 7 5" xfId="12829"/>
    <cellStyle name="Normal 7 3 7 6" xfId="7911"/>
    <cellStyle name="Normal 7 3 7 7" xfId="4365"/>
    <cellStyle name="Normal 7 3 8" xfId="1169"/>
    <cellStyle name="Normal 7 3 8 2" xfId="2561"/>
    <cellStyle name="Normal 7 3 8 2 2" xfId="10379"/>
    <cellStyle name="Normal 7 3 8 2 3" xfId="5362"/>
    <cellStyle name="Normal 7 3 8 3" xfId="6708"/>
    <cellStyle name="Normal 7 3 8 3 2" xfId="11723"/>
    <cellStyle name="Normal 7 3 8 4" xfId="8639"/>
    <cellStyle name="Normal 7 3 8 5" xfId="13177"/>
    <cellStyle name="Normal 7 3 8 6" xfId="7973"/>
    <cellStyle name="Normal 7 3 8 7" xfId="3563"/>
    <cellStyle name="Normal 7 3 9" xfId="2720"/>
    <cellStyle name="Normal 7 3 9 2" xfId="6760"/>
    <cellStyle name="Normal 7 3 9 2 2" xfId="11775"/>
    <cellStyle name="Normal 7 3 9 3" xfId="13229"/>
    <cellStyle name="Normal 7 3 9 4" xfId="9526"/>
    <cellStyle name="Normal 7 3 9 5" xfId="4508"/>
    <cellStyle name="Normal 7 3_Degree data" xfId="3187"/>
    <cellStyle name="Normal 7 4" xfId="161"/>
    <cellStyle name="Normal 7 4 10" xfId="8316"/>
    <cellStyle name="Normal 7 4 11" xfId="12136"/>
    <cellStyle name="Normal 7 4 12" xfId="7128"/>
    <cellStyle name="Normal 7 4 13" xfId="3237"/>
    <cellStyle name="Normal 7 4 2" xfId="385"/>
    <cellStyle name="Normal 7 4 2 10" xfId="7171"/>
    <cellStyle name="Normal 7 4 2 11" xfId="3340"/>
    <cellStyle name="Normal 7 4 2 2" xfId="636"/>
    <cellStyle name="Normal 7 4 2 2 2" xfId="1045"/>
    <cellStyle name="Normal 7 4 2 2 2 2" xfId="2225"/>
    <cellStyle name="Normal 7 4 2 2 2 2 2" xfId="10330"/>
    <cellStyle name="Normal 7 4 2 2 2 2 3" xfId="5312"/>
    <cellStyle name="Normal 7 4 2 2 2 3" xfId="6372"/>
    <cellStyle name="Normal 7 4 2 2 2 3 2" xfId="11387"/>
    <cellStyle name="Normal 7 4 2 2 2 4" xfId="9446"/>
    <cellStyle name="Normal 7 4 2 2 2 5" xfId="12841"/>
    <cellStyle name="Normal 7 4 2 2 2 6" xfId="7923"/>
    <cellStyle name="Normal 7 4 2 2 2 7" xfId="4377"/>
    <cellStyle name="Normal 7 4 2 2 3" xfId="1402"/>
    <cellStyle name="Normal 7 4 2 2 3 2" xfId="2573"/>
    <cellStyle name="Normal 7 4 2 2 3 2 2" xfId="10604"/>
    <cellStyle name="Normal 7 4 2 2 3 2 3" xfId="5587"/>
    <cellStyle name="Normal 7 4 2 2 3 3" xfId="6720"/>
    <cellStyle name="Normal 7 4 2 2 3 3 2" xfId="11735"/>
    <cellStyle name="Normal 7 4 2 2 3 4" xfId="9011"/>
    <cellStyle name="Normal 7 4 2 2 3 5" xfId="13189"/>
    <cellStyle name="Normal 7 4 2 2 3 6" xfId="8198"/>
    <cellStyle name="Normal 7 4 2 2 3 7" xfId="3942"/>
    <cellStyle name="Normal 7 4 2 2 4" xfId="2960"/>
    <cellStyle name="Normal 7 4 2 2 4 2" xfId="6985"/>
    <cellStyle name="Normal 7 4 2 2 4 2 2" xfId="12000"/>
    <cellStyle name="Normal 7 4 2 2 4 3" xfId="13454"/>
    <cellStyle name="Normal 7 4 2 2 4 4" xfId="9895"/>
    <cellStyle name="Normal 7 4 2 2 4 5" xfId="4877"/>
    <cellStyle name="Normal 7 4 2 2 5" xfId="1794"/>
    <cellStyle name="Normal 7 4 2 2 5 2" xfId="10957"/>
    <cellStyle name="Normal 7 4 2 2 5 3" xfId="5941"/>
    <cellStyle name="Normal 7 4 2 2 6" xfId="8518"/>
    <cellStyle name="Normal 7 4 2 2 7" xfId="12411"/>
    <cellStyle name="Normal 7 4 2 2 8" xfId="7488"/>
    <cellStyle name="Normal 7 4 2 2 9" xfId="3440"/>
    <cellStyle name="Normal 7 4 2 2_Degree data" xfId="3199"/>
    <cellStyle name="Normal 7 4 2 3" xfId="536"/>
    <cellStyle name="Normal 7 4 2 3 2" xfId="2224"/>
    <cellStyle name="Normal 7 4 2 3 2 2" xfId="9795"/>
    <cellStyle name="Normal 7 4 2 3 2 3" xfId="4777"/>
    <cellStyle name="Normal 7 4 2 3 3" xfId="6371"/>
    <cellStyle name="Normal 7 4 2 3 3 2" xfId="11386"/>
    <cellStyle name="Normal 7 4 2 3 4" xfId="8911"/>
    <cellStyle name="Normal 7 4 2 3 5" xfId="12840"/>
    <cellStyle name="Normal 7 4 2 3 6" xfId="7388"/>
    <cellStyle name="Normal 7 4 2 3 7" xfId="3842"/>
    <cellStyle name="Normal 7 4 2 4" xfId="945"/>
    <cellStyle name="Normal 7 4 2 4 2" xfId="2572"/>
    <cellStyle name="Normal 7 4 2 4 2 2" xfId="10329"/>
    <cellStyle name="Normal 7 4 2 4 2 3" xfId="5311"/>
    <cellStyle name="Normal 7 4 2 4 3" xfId="6719"/>
    <cellStyle name="Normal 7 4 2 4 3 2" xfId="11734"/>
    <cellStyle name="Normal 7 4 2 4 4" xfId="9445"/>
    <cellStyle name="Normal 7 4 2 4 5" xfId="13188"/>
    <cellStyle name="Normal 7 4 2 4 6" xfId="7922"/>
    <cellStyle name="Normal 7 4 2 4 7" xfId="4376"/>
    <cellStyle name="Normal 7 4 2 5" xfId="1301"/>
    <cellStyle name="Normal 7 4 2 5 2" xfId="2858"/>
    <cellStyle name="Normal 7 4 2 5 2 2" xfId="10504"/>
    <cellStyle name="Normal 7 4 2 5 2 3" xfId="5487"/>
    <cellStyle name="Normal 7 4 2 5 3" xfId="6885"/>
    <cellStyle name="Normal 7 4 2 5 3 2" xfId="11900"/>
    <cellStyle name="Normal 7 4 2 5 4" xfId="8692"/>
    <cellStyle name="Normal 7 4 2 5 5" xfId="13354"/>
    <cellStyle name="Normal 7 4 2 5 6" xfId="8098"/>
    <cellStyle name="Normal 7 4 2 5 7" xfId="3621"/>
    <cellStyle name="Normal 7 4 2 6" xfId="1694"/>
    <cellStyle name="Normal 7 4 2 6 2" xfId="9578"/>
    <cellStyle name="Normal 7 4 2 6 3" xfId="4560"/>
    <cellStyle name="Normal 7 4 2 7" xfId="5841"/>
    <cellStyle name="Normal 7 4 2 7 2" xfId="10857"/>
    <cellStyle name="Normal 7 4 2 8" xfId="8418"/>
    <cellStyle name="Normal 7 4 2 9" xfId="12311"/>
    <cellStyle name="Normal 7 4 2_Degree data" xfId="3198"/>
    <cellStyle name="Normal 7 4 3" xfId="341"/>
    <cellStyle name="Normal 7 4 3 10" xfId="7233"/>
    <cellStyle name="Normal 7 4 3 11" xfId="3297"/>
    <cellStyle name="Normal 7 4 3 2" xfId="698"/>
    <cellStyle name="Normal 7 4 3 2 2" xfId="1107"/>
    <cellStyle name="Normal 7 4 3 2 2 2" xfId="2227"/>
    <cellStyle name="Normal 7 4 3 2 2 2 2" xfId="10332"/>
    <cellStyle name="Normal 7 4 3 2 2 2 3" xfId="5314"/>
    <cellStyle name="Normal 7 4 3 2 2 3" xfId="6374"/>
    <cellStyle name="Normal 7 4 3 2 2 3 2" xfId="11389"/>
    <cellStyle name="Normal 7 4 3 2 2 4" xfId="9448"/>
    <cellStyle name="Normal 7 4 3 2 2 5" xfId="12843"/>
    <cellStyle name="Normal 7 4 3 2 2 6" xfId="7925"/>
    <cellStyle name="Normal 7 4 3 2 2 7" xfId="4379"/>
    <cellStyle name="Normal 7 4 3 2 3" xfId="1465"/>
    <cellStyle name="Normal 7 4 3 2 3 2" xfId="2575"/>
    <cellStyle name="Normal 7 4 3 2 3 2 2" xfId="10666"/>
    <cellStyle name="Normal 7 4 3 2 3 2 3" xfId="5649"/>
    <cellStyle name="Normal 7 4 3 2 3 3" xfId="6722"/>
    <cellStyle name="Normal 7 4 3 2 3 3 2" xfId="11737"/>
    <cellStyle name="Normal 7 4 3 2 3 4" xfId="9073"/>
    <cellStyle name="Normal 7 4 3 2 3 5" xfId="13191"/>
    <cellStyle name="Normal 7 4 3 2 3 6" xfId="8260"/>
    <cellStyle name="Normal 7 4 3 2 3 7" xfId="4004"/>
    <cellStyle name="Normal 7 4 3 2 4" xfId="3024"/>
    <cellStyle name="Normal 7 4 3 2 4 2" xfId="7047"/>
    <cellStyle name="Normal 7 4 3 2 4 2 2" xfId="12062"/>
    <cellStyle name="Normal 7 4 3 2 4 3" xfId="13516"/>
    <cellStyle name="Normal 7 4 3 2 4 4" xfId="9957"/>
    <cellStyle name="Normal 7 4 3 2 4 5" xfId="4939"/>
    <cellStyle name="Normal 7 4 3 2 5" xfId="1856"/>
    <cellStyle name="Normal 7 4 3 2 5 2" xfId="11019"/>
    <cellStyle name="Normal 7 4 3 2 5 3" xfId="6003"/>
    <cellStyle name="Normal 7 4 3 2 6" xfId="8580"/>
    <cellStyle name="Normal 7 4 3 2 7" xfId="12473"/>
    <cellStyle name="Normal 7 4 3 2 8" xfId="7550"/>
    <cellStyle name="Normal 7 4 3 2 9" xfId="3502"/>
    <cellStyle name="Normal 7 4 3 2_Degree data" xfId="3201"/>
    <cellStyle name="Normal 7 4 3 3" xfId="493"/>
    <cellStyle name="Normal 7 4 3 3 2" xfId="2226"/>
    <cellStyle name="Normal 7 4 3 3 2 2" xfId="9752"/>
    <cellStyle name="Normal 7 4 3 3 2 3" xfId="4734"/>
    <cellStyle name="Normal 7 4 3 3 3" xfId="6373"/>
    <cellStyle name="Normal 7 4 3 3 3 2" xfId="11388"/>
    <cellStyle name="Normal 7 4 3 3 4" xfId="8868"/>
    <cellStyle name="Normal 7 4 3 3 5" xfId="12842"/>
    <cellStyle name="Normal 7 4 3 3 6" xfId="7345"/>
    <cellStyle name="Normal 7 4 3 3 7" xfId="3799"/>
    <cellStyle name="Normal 7 4 3 4" xfId="902"/>
    <cellStyle name="Normal 7 4 3 4 2" xfId="2574"/>
    <cellStyle name="Normal 7 4 3 4 2 2" xfId="10331"/>
    <cellStyle name="Normal 7 4 3 4 2 3" xfId="5313"/>
    <cellStyle name="Normal 7 4 3 4 3" xfId="6721"/>
    <cellStyle name="Normal 7 4 3 4 3 2" xfId="11736"/>
    <cellStyle name="Normal 7 4 3 4 4" xfId="9447"/>
    <cellStyle name="Normal 7 4 3 4 5" xfId="13190"/>
    <cellStyle name="Normal 7 4 3 4 6" xfId="7924"/>
    <cellStyle name="Normal 7 4 3 4 7" xfId="4378"/>
    <cellStyle name="Normal 7 4 3 5" xfId="1257"/>
    <cellStyle name="Normal 7 4 3 5 2" xfId="2813"/>
    <cellStyle name="Normal 7 4 3 5 2 2" xfId="10461"/>
    <cellStyle name="Normal 7 4 3 5 2 3" xfId="5444"/>
    <cellStyle name="Normal 7 4 3 5 3" xfId="6842"/>
    <cellStyle name="Normal 7 4 3 5 3 2" xfId="11857"/>
    <cellStyle name="Normal 7 4 3 5 4" xfId="8754"/>
    <cellStyle name="Normal 7 4 3 5 5" xfId="13311"/>
    <cellStyle name="Normal 7 4 3 5 6" xfId="8055"/>
    <cellStyle name="Normal 7 4 3 5 7" xfId="3684"/>
    <cellStyle name="Normal 7 4 3 6" xfId="1651"/>
    <cellStyle name="Normal 7 4 3 6 2" xfId="9640"/>
    <cellStyle name="Normal 7 4 3 6 3" xfId="4622"/>
    <cellStyle name="Normal 7 4 3 7" xfId="5798"/>
    <cellStyle name="Normal 7 4 3 7 2" xfId="10814"/>
    <cellStyle name="Normal 7 4 3 8" xfId="8375"/>
    <cellStyle name="Normal 7 4 3 9" xfId="12268"/>
    <cellStyle name="Normal 7 4 3_Degree data" xfId="3200"/>
    <cellStyle name="Normal 7 4 4" xfId="278"/>
    <cellStyle name="Normal 7 4 4 2" xfId="593"/>
    <cellStyle name="Normal 7 4 4 2 2" xfId="2228"/>
    <cellStyle name="Normal 7 4 4 2 2 2" xfId="10333"/>
    <cellStyle name="Normal 7 4 4 2 2 3" xfId="5315"/>
    <cellStyle name="Normal 7 4 4 2 3" xfId="6375"/>
    <cellStyle name="Normal 7 4 4 2 3 2" xfId="11390"/>
    <cellStyle name="Normal 7 4 4 2 4" xfId="9449"/>
    <cellStyle name="Normal 7 4 4 2 5" xfId="12844"/>
    <cellStyle name="Normal 7 4 4 2 6" xfId="7926"/>
    <cellStyle name="Normal 7 4 4 2 7" xfId="4380"/>
    <cellStyle name="Normal 7 4 4 3" xfId="1002"/>
    <cellStyle name="Normal 7 4 4 3 2" xfId="2576"/>
    <cellStyle name="Normal 7 4 4 3 2 2" xfId="10561"/>
    <cellStyle name="Normal 7 4 4 3 2 3" xfId="5544"/>
    <cellStyle name="Normal 7 4 4 3 3" xfId="6723"/>
    <cellStyle name="Normal 7 4 4 3 3 2" xfId="11738"/>
    <cellStyle name="Normal 7 4 4 3 4" xfId="8968"/>
    <cellStyle name="Normal 7 4 4 3 5" xfId="13192"/>
    <cellStyle name="Normal 7 4 4 3 6" xfId="8155"/>
    <cellStyle name="Normal 7 4 4 3 7" xfId="3899"/>
    <cellStyle name="Normal 7 4 4 4" xfId="1358"/>
    <cellStyle name="Normal 7 4 4 4 2" xfId="2916"/>
    <cellStyle name="Normal 7 4 4 4 2 2" xfId="11957"/>
    <cellStyle name="Normal 7 4 4 4 2 3" xfId="6942"/>
    <cellStyle name="Normal 7 4 4 4 3" xfId="13411"/>
    <cellStyle name="Normal 7 4 4 4 4" xfId="9852"/>
    <cellStyle name="Normal 7 4 4 4 5" xfId="4834"/>
    <cellStyle name="Normal 7 4 4 5" xfId="1751"/>
    <cellStyle name="Normal 7 4 4 5 2" xfId="10914"/>
    <cellStyle name="Normal 7 4 4 5 3" xfId="5898"/>
    <cellStyle name="Normal 7 4 4 6" xfId="8475"/>
    <cellStyle name="Normal 7 4 4 7" xfId="12368"/>
    <cellStyle name="Normal 7 4 4 8" xfId="7445"/>
    <cellStyle name="Normal 7 4 4 9" xfId="3397"/>
    <cellStyle name="Normal 7 4 4_Degree data" xfId="3202"/>
    <cellStyle name="Normal 7 4 5" xfId="434"/>
    <cellStyle name="Normal 7 4 5 2" xfId="842"/>
    <cellStyle name="Normal 7 4 5 2 2" xfId="9693"/>
    <cellStyle name="Normal 7 4 5 2 3" xfId="4675"/>
    <cellStyle name="Normal 7 4 5 3" xfId="2223"/>
    <cellStyle name="Normal 7 4 5 3 2" xfId="11385"/>
    <cellStyle name="Normal 7 4 5 3 3" xfId="6370"/>
    <cellStyle name="Normal 7 4 5 4" xfId="8809"/>
    <cellStyle name="Normal 7 4 5 5" xfId="12839"/>
    <cellStyle name="Normal 7 4 5 6" xfId="7286"/>
    <cellStyle name="Normal 7 4 5 7" xfId="3740"/>
    <cellStyle name="Normal 7 4 6" xfId="769"/>
    <cellStyle name="Normal 7 4 6 2" xfId="2571"/>
    <cellStyle name="Normal 7 4 6 2 2" xfId="10328"/>
    <cellStyle name="Normal 7 4 6 2 3" xfId="5310"/>
    <cellStyle name="Normal 7 4 6 3" xfId="6718"/>
    <cellStyle name="Normal 7 4 6 3 2" xfId="11733"/>
    <cellStyle name="Normal 7 4 6 4" xfId="9444"/>
    <cellStyle name="Normal 7 4 6 5" xfId="13187"/>
    <cellStyle name="Normal 7 4 6 6" xfId="7921"/>
    <cellStyle name="Normal 7 4 6 7" xfId="4375"/>
    <cellStyle name="Normal 7 4 7" xfId="1193"/>
    <cellStyle name="Normal 7 4 7 2" xfId="2745"/>
    <cellStyle name="Normal 7 4 7 2 2" xfId="10402"/>
    <cellStyle name="Normal 7 4 7 2 3" xfId="5385"/>
    <cellStyle name="Normal 7 4 7 3" xfId="6783"/>
    <cellStyle name="Normal 7 4 7 3 2" xfId="11798"/>
    <cellStyle name="Normal 7 4 7 4" xfId="8648"/>
    <cellStyle name="Normal 7 4 7 5" xfId="13252"/>
    <cellStyle name="Normal 7 4 7 6" xfId="7996"/>
    <cellStyle name="Normal 7 4 7 7" xfId="3575"/>
    <cellStyle name="Normal 7 4 8" xfId="1592"/>
    <cellStyle name="Normal 7 4 8 2" xfId="12209"/>
    <cellStyle name="Normal 7 4 8 3" xfId="9535"/>
    <cellStyle name="Normal 7 4 8 4" xfId="4517"/>
    <cellStyle name="Normal 7 4 9" xfId="1519"/>
    <cellStyle name="Normal 7 4 9 2" xfId="10753"/>
    <cellStyle name="Normal 7 4 9 3" xfId="5737"/>
    <cellStyle name="Normal 7 4_Degree data" xfId="3197"/>
    <cellStyle name="Normal 7 5" xfId="193"/>
    <cellStyle name="Normal 7 5 10" xfId="7154"/>
    <cellStyle name="Normal 7 5 11" xfId="3323"/>
    <cellStyle name="Normal 7 5 2" xfId="368"/>
    <cellStyle name="Normal 7 5 2 2" xfId="619"/>
    <cellStyle name="Normal 7 5 2 2 2" xfId="2230"/>
    <cellStyle name="Normal 7 5 2 2 2 2" xfId="10335"/>
    <cellStyle name="Normal 7 5 2 2 2 3" xfId="5317"/>
    <cellStyle name="Normal 7 5 2 2 3" xfId="6377"/>
    <cellStyle name="Normal 7 5 2 2 3 2" xfId="11392"/>
    <cellStyle name="Normal 7 5 2 2 4" xfId="9451"/>
    <cellStyle name="Normal 7 5 2 2 5" xfId="12846"/>
    <cellStyle name="Normal 7 5 2 2 6" xfId="7928"/>
    <cellStyle name="Normal 7 5 2 2 7" xfId="4382"/>
    <cellStyle name="Normal 7 5 2 3" xfId="1028"/>
    <cellStyle name="Normal 7 5 2 3 2" xfId="2578"/>
    <cellStyle name="Normal 7 5 2 3 2 2" xfId="10587"/>
    <cellStyle name="Normal 7 5 2 3 2 3" xfId="5570"/>
    <cellStyle name="Normal 7 5 2 3 3" xfId="6725"/>
    <cellStyle name="Normal 7 5 2 3 3 2" xfId="11740"/>
    <cellStyle name="Normal 7 5 2 3 4" xfId="8994"/>
    <cellStyle name="Normal 7 5 2 3 5" xfId="13194"/>
    <cellStyle name="Normal 7 5 2 3 6" xfId="8181"/>
    <cellStyle name="Normal 7 5 2 3 7" xfId="3925"/>
    <cellStyle name="Normal 7 5 2 4" xfId="1385"/>
    <cellStyle name="Normal 7 5 2 4 2" xfId="2943"/>
    <cellStyle name="Normal 7 5 2 4 2 2" xfId="11983"/>
    <cellStyle name="Normal 7 5 2 4 2 3" xfId="6968"/>
    <cellStyle name="Normal 7 5 2 4 3" xfId="13437"/>
    <cellStyle name="Normal 7 5 2 4 4" xfId="9878"/>
    <cellStyle name="Normal 7 5 2 4 5" xfId="4860"/>
    <cellStyle name="Normal 7 5 2 5" xfId="1777"/>
    <cellStyle name="Normal 7 5 2 5 2" xfId="10940"/>
    <cellStyle name="Normal 7 5 2 5 3" xfId="5924"/>
    <cellStyle name="Normal 7 5 2 6" xfId="8501"/>
    <cellStyle name="Normal 7 5 2 7" xfId="12394"/>
    <cellStyle name="Normal 7 5 2 8" xfId="7471"/>
    <cellStyle name="Normal 7 5 2 9" xfId="3423"/>
    <cellStyle name="Normal 7 5 2_Degree data" xfId="3204"/>
    <cellStyle name="Normal 7 5 3" xfId="519"/>
    <cellStyle name="Normal 7 5 3 2" xfId="928"/>
    <cellStyle name="Normal 7 5 3 2 2" xfId="9778"/>
    <cellStyle name="Normal 7 5 3 2 3" xfId="4760"/>
    <cellStyle name="Normal 7 5 3 3" xfId="2229"/>
    <cellStyle name="Normal 7 5 3 3 2" xfId="11391"/>
    <cellStyle name="Normal 7 5 3 3 3" xfId="6376"/>
    <cellStyle name="Normal 7 5 3 4" xfId="8894"/>
    <cellStyle name="Normal 7 5 3 5" xfId="12845"/>
    <cellStyle name="Normal 7 5 3 6" xfId="7371"/>
    <cellStyle name="Normal 7 5 3 7" xfId="3825"/>
    <cellStyle name="Normal 7 5 4" xfId="799"/>
    <cellStyle name="Normal 7 5 4 2" xfId="2577"/>
    <cellStyle name="Normal 7 5 4 2 2" xfId="10334"/>
    <cellStyle name="Normal 7 5 4 2 3" xfId="5316"/>
    <cellStyle name="Normal 7 5 4 3" xfId="6724"/>
    <cellStyle name="Normal 7 5 4 3 2" xfId="11739"/>
    <cellStyle name="Normal 7 5 4 4" xfId="9450"/>
    <cellStyle name="Normal 7 5 4 5" xfId="13193"/>
    <cellStyle name="Normal 7 5 4 6" xfId="7927"/>
    <cellStyle name="Normal 7 5 4 7" xfId="4381"/>
    <cellStyle name="Normal 7 5 5" xfId="1284"/>
    <cellStyle name="Normal 7 5 5 2" xfId="2841"/>
    <cellStyle name="Normal 7 5 5 2 2" xfId="10487"/>
    <cellStyle name="Normal 7 5 5 2 3" xfId="5470"/>
    <cellStyle name="Normal 7 5 5 3" xfId="6868"/>
    <cellStyle name="Normal 7 5 5 3 2" xfId="11883"/>
    <cellStyle name="Normal 7 5 5 4" xfId="8675"/>
    <cellStyle name="Normal 7 5 5 5" xfId="13337"/>
    <cellStyle name="Normal 7 5 5 6" xfId="8081"/>
    <cellStyle name="Normal 7 5 5 7" xfId="3604"/>
    <cellStyle name="Normal 7 5 6" xfId="1677"/>
    <cellStyle name="Normal 7 5 6 2" xfId="9561"/>
    <cellStyle name="Normal 7 5 6 3" xfId="4543"/>
    <cellStyle name="Normal 7 5 7" xfId="5824"/>
    <cellStyle name="Normal 7 5 7 2" xfId="10840"/>
    <cellStyle name="Normal 7 5 8" xfId="8401"/>
    <cellStyle name="Normal 7 5 9" xfId="12294"/>
    <cellStyle name="Normal 7 5_Degree data" xfId="3203"/>
    <cellStyle name="Normal 7 6" xfId="229"/>
    <cellStyle name="Normal 7 6 10" xfId="7202"/>
    <cellStyle name="Normal 7 6 11" xfId="3266"/>
    <cellStyle name="Normal 7 6 2" xfId="310"/>
    <cellStyle name="Normal 7 6 2 2" xfId="667"/>
    <cellStyle name="Normal 7 6 2 2 2" xfId="2232"/>
    <cellStyle name="Normal 7 6 2 2 2 2" xfId="10337"/>
    <cellStyle name="Normal 7 6 2 2 2 3" xfId="5319"/>
    <cellStyle name="Normal 7 6 2 2 3" xfId="6379"/>
    <cellStyle name="Normal 7 6 2 2 3 2" xfId="11394"/>
    <cellStyle name="Normal 7 6 2 2 4" xfId="9453"/>
    <cellStyle name="Normal 7 6 2 2 5" xfId="12848"/>
    <cellStyle name="Normal 7 6 2 2 6" xfId="7930"/>
    <cellStyle name="Normal 7 6 2 2 7" xfId="4384"/>
    <cellStyle name="Normal 7 6 2 3" xfId="1076"/>
    <cellStyle name="Normal 7 6 2 3 2" xfId="2580"/>
    <cellStyle name="Normal 7 6 2 3 2 2" xfId="10635"/>
    <cellStyle name="Normal 7 6 2 3 2 3" xfId="5618"/>
    <cellStyle name="Normal 7 6 2 3 3" xfId="6727"/>
    <cellStyle name="Normal 7 6 2 3 3 2" xfId="11742"/>
    <cellStyle name="Normal 7 6 2 3 4" xfId="9042"/>
    <cellStyle name="Normal 7 6 2 3 5" xfId="13196"/>
    <cellStyle name="Normal 7 6 2 3 6" xfId="8229"/>
    <cellStyle name="Normal 7 6 2 3 7" xfId="3973"/>
    <cellStyle name="Normal 7 6 2 4" xfId="1434"/>
    <cellStyle name="Normal 7 6 2 4 2" xfId="2993"/>
    <cellStyle name="Normal 7 6 2 4 2 2" xfId="12031"/>
    <cellStyle name="Normal 7 6 2 4 2 3" xfId="7016"/>
    <cellStyle name="Normal 7 6 2 4 3" xfId="13485"/>
    <cellStyle name="Normal 7 6 2 4 4" xfId="9926"/>
    <cellStyle name="Normal 7 6 2 4 5" xfId="4908"/>
    <cellStyle name="Normal 7 6 2 5" xfId="1825"/>
    <cellStyle name="Normal 7 6 2 5 2" xfId="10988"/>
    <cellStyle name="Normal 7 6 2 5 3" xfId="5972"/>
    <cellStyle name="Normal 7 6 2 6" xfId="8549"/>
    <cellStyle name="Normal 7 6 2 7" xfId="12442"/>
    <cellStyle name="Normal 7 6 2 8" xfId="7519"/>
    <cellStyle name="Normal 7 6 2 9" xfId="3471"/>
    <cellStyle name="Normal 7 6 2_Degree data" xfId="3206"/>
    <cellStyle name="Normal 7 6 3" xfId="462"/>
    <cellStyle name="Normal 7 6 3 2" xfId="2231"/>
    <cellStyle name="Normal 7 6 3 2 2" xfId="9721"/>
    <cellStyle name="Normal 7 6 3 2 3" xfId="4703"/>
    <cellStyle name="Normal 7 6 3 3" xfId="6378"/>
    <cellStyle name="Normal 7 6 3 3 2" xfId="11393"/>
    <cellStyle name="Normal 7 6 3 4" xfId="8837"/>
    <cellStyle name="Normal 7 6 3 5" xfId="12847"/>
    <cellStyle name="Normal 7 6 3 6" xfId="7314"/>
    <cellStyle name="Normal 7 6 3 7" xfId="3768"/>
    <cellStyle name="Normal 7 6 4" xfId="871"/>
    <cellStyle name="Normal 7 6 4 2" xfId="2579"/>
    <cellStyle name="Normal 7 6 4 2 2" xfId="10336"/>
    <cellStyle name="Normal 7 6 4 2 3" xfId="5318"/>
    <cellStyle name="Normal 7 6 4 3" xfId="6726"/>
    <cellStyle name="Normal 7 6 4 3 2" xfId="11741"/>
    <cellStyle name="Normal 7 6 4 4" xfId="9452"/>
    <cellStyle name="Normal 7 6 4 5" xfId="13195"/>
    <cellStyle name="Normal 7 6 4 6" xfId="7929"/>
    <cellStyle name="Normal 7 6 4 7" xfId="4383"/>
    <cellStyle name="Normal 7 6 5" xfId="1223"/>
    <cellStyle name="Normal 7 6 5 2" xfId="2779"/>
    <cellStyle name="Normal 7 6 5 2 2" xfId="10430"/>
    <cellStyle name="Normal 7 6 5 2 3" xfId="5413"/>
    <cellStyle name="Normal 7 6 5 3" xfId="6811"/>
    <cellStyle name="Normal 7 6 5 3 2" xfId="11826"/>
    <cellStyle name="Normal 7 6 5 4" xfId="8723"/>
    <cellStyle name="Normal 7 6 5 5" xfId="13280"/>
    <cellStyle name="Normal 7 6 5 6" xfId="8024"/>
    <cellStyle name="Normal 7 6 5 7" xfId="3653"/>
    <cellStyle name="Normal 7 6 6" xfId="1620"/>
    <cellStyle name="Normal 7 6 6 2" xfId="9609"/>
    <cellStyle name="Normal 7 6 6 3" xfId="4591"/>
    <cellStyle name="Normal 7 6 7" xfId="5767"/>
    <cellStyle name="Normal 7 6 7 2" xfId="10783"/>
    <cellStyle name="Normal 7 6 8" xfId="8344"/>
    <cellStyle name="Normal 7 6 9" xfId="12237"/>
    <cellStyle name="Normal 7 6_Degree data" xfId="3205"/>
    <cellStyle name="Normal 7 7" xfId="256"/>
    <cellStyle name="Normal 7 7 10" xfId="3527"/>
    <cellStyle name="Normal 7 7 2" xfId="723"/>
    <cellStyle name="Normal 7 7 2 2" xfId="2233"/>
    <cellStyle name="Normal 7 7 2 2 2" xfId="9982"/>
    <cellStyle name="Normal 7 7 2 2 3" xfId="4964"/>
    <cellStyle name="Normal 7 7 2 3" xfId="6380"/>
    <cellStyle name="Normal 7 7 2 3 2" xfId="11395"/>
    <cellStyle name="Normal 7 7 2 4" xfId="9098"/>
    <cellStyle name="Normal 7 7 2 5" xfId="12849"/>
    <cellStyle name="Normal 7 7 2 6" xfId="7575"/>
    <cellStyle name="Normal 7 7 2 7" xfId="4029"/>
    <cellStyle name="Normal 7 7 3" xfId="1132"/>
    <cellStyle name="Normal 7 7 3 2" xfId="2581"/>
    <cellStyle name="Normal 7 7 3 2 2" xfId="10338"/>
    <cellStyle name="Normal 7 7 3 2 3" xfId="5320"/>
    <cellStyle name="Normal 7 7 3 3" xfId="6728"/>
    <cellStyle name="Normal 7 7 3 3 2" xfId="11743"/>
    <cellStyle name="Normal 7 7 3 4" xfId="9454"/>
    <cellStyle name="Normal 7 7 3 5" xfId="13197"/>
    <cellStyle name="Normal 7 7 3 6" xfId="7931"/>
    <cellStyle name="Normal 7 7 3 7" xfId="4385"/>
    <cellStyle name="Normal 7 7 4" xfId="1490"/>
    <cellStyle name="Normal 7 7 4 2" xfId="3049"/>
    <cellStyle name="Normal 7 7 4 2 2" xfId="10691"/>
    <cellStyle name="Normal 7 7 4 2 3" xfId="5674"/>
    <cellStyle name="Normal 7 7 4 3" xfId="7072"/>
    <cellStyle name="Normal 7 7 4 3 2" xfId="12087"/>
    <cellStyle name="Normal 7 7 4 4" xfId="8779"/>
    <cellStyle name="Normal 7 7 4 5" xfId="13541"/>
    <cellStyle name="Normal 7 7 4 6" xfId="8285"/>
    <cellStyle name="Normal 7 7 4 7" xfId="3709"/>
    <cellStyle name="Normal 7 7 5" xfId="1881"/>
    <cellStyle name="Normal 7 7 5 2" xfId="9665"/>
    <cellStyle name="Normal 7 7 5 3" xfId="4647"/>
    <cellStyle name="Normal 7 7 6" xfId="6028"/>
    <cellStyle name="Normal 7 7 6 2" xfId="11044"/>
    <cellStyle name="Normal 7 7 7" xfId="8605"/>
    <cellStyle name="Normal 7 7 8" xfId="12498"/>
    <cellStyle name="Normal 7 7 9" xfId="7258"/>
    <cellStyle name="Normal 7 7_Degree data" xfId="3207"/>
    <cellStyle name="Normal 7 8" xfId="562"/>
    <cellStyle name="Normal 7 8 2" xfId="971"/>
    <cellStyle name="Normal 7 8 2 2" xfId="2234"/>
    <cellStyle name="Normal 7 8 2 2 2" xfId="10339"/>
    <cellStyle name="Normal 7 8 2 2 3" xfId="5321"/>
    <cellStyle name="Normal 7 8 2 3" xfId="6381"/>
    <cellStyle name="Normal 7 8 2 3 2" xfId="11396"/>
    <cellStyle name="Normal 7 8 2 4" xfId="9455"/>
    <cellStyle name="Normal 7 8 2 5" xfId="12850"/>
    <cellStyle name="Normal 7 8 2 6" xfId="7932"/>
    <cellStyle name="Normal 7 8 2 7" xfId="4386"/>
    <cellStyle name="Normal 7 8 3" xfId="1327"/>
    <cellStyle name="Normal 7 8 3 2" xfId="2582"/>
    <cellStyle name="Normal 7 8 3 2 2" xfId="10530"/>
    <cellStyle name="Normal 7 8 3 2 3" xfId="5513"/>
    <cellStyle name="Normal 7 8 3 3" xfId="6729"/>
    <cellStyle name="Normal 7 8 3 3 2" xfId="11744"/>
    <cellStyle name="Normal 7 8 3 4" xfId="8937"/>
    <cellStyle name="Normal 7 8 3 5" xfId="13198"/>
    <cellStyle name="Normal 7 8 3 6" xfId="8124"/>
    <cellStyle name="Normal 7 8 3 7" xfId="3868"/>
    <cellStyle name="Normal 7 8 4" xfId="2885"/>
    <cellStyle name="Normal 7 8 4 2" xfId="6911"/>
    <cellStyle name="Normal 7 8 4 2 2" xfId="11926"/>
    <cellStyle name="Normal 7 8 4 3" xfId="13380"/>
    <cellStyle name="Normal 7 8 4 4" xfId="9821"/>
    <cellStyle name="Normal 7 8 4 5" xfId="4803"/>
    <cellStyle name="Normal 7 8 5" xfId="1720"/>
    <cellStyle name="Normal 7 8 5 2" xfId="10883"/>
    <cellStyle name="Normal 7 8 5 3" xfId="5867"/>
    <cellStyle name="Normal 7 8 6" xfId="8444"/>
    <cellStyle name="Normal 7 8 7" xfId="12337"/>
    <cellStyle name="Normal 7 8 8" xfId="7414"/>
    <cellStyle name="Normal 7 8 9" xfId="3366"/>
    <cellStyle name="Normal 7 8_Degree data" xfId="3208"/>
    <cellStyle name="Normal 7 9" xfId="423"/>
    <cellStyle name="Normal 7 9 2" xfId="831"/>
    <cellStyle name="Normal 7 9 2 2" xfId="2235"/>
    <cellStyle name="Normal 7 9 2 2 2" xfId="10340"/>
    <cellStyle name="Normal 7 9 2 2 3" xfId="5322"/>
    <cellStyle name="Normal 7 9 2 3" xfId="6382"/>
    <cellStyle name="Normal 7 9 2 3 2" xfId="11397"/>
    <cellStyle name="Normal 7 9 2 4" xfId="9456"/>
    <cellStyle name="Normal 7 9 2 5" xfId="12851"/>
    <cellStyle name="Normal 7 9 2 6" xfId="7933"/>
    <cellStyle name="Normal 7 9 2 7" xfId="4387"/>
    <cellStyle name="Normal 7 9 3" xfId="1181"/>
    <cellStyle name="Normal 7 9 3 2" xfId="2583"/>
    <cellStyle name="Normal 7 9 3 2 2" xfId="10391"/>
    <cellStyle name="Normal 7 9 3 2 3" xfId="5374"/>
    <cellStyle name="Normal 7 9 3 3" xfId="6730"/>
    <cellStyle name="Normal 7 9 3 3 2" xfId="11745"/>
    <cellStyle name="Normal 7 9 3 4" xfId="9498"/>
    <cellStyle name="Normal 7 9 3 5" xfId="13199"/>
    <cellStyle name="Normal 7 9 3 6" xfId="7985"/>
    <cellStyle name="Normal 7 9 3 7" xfId="4480"/>
    <cellStyle name="Normal 7 9 4" xfId="2732"/>
    <cellStyle name="Normal 7 9 4 2" xfId="6772"/>
    <cellStyle name="Normal 7 9 4 2 2" xfId="11787"/>
    <cellStyle name="Normal 7 9 4 3" xfId="13241"/>
    <cellStyle name="Normal 7 9 4 4" xfId="9682"/>
    <cellStyle name="Normal 7 9 4 5" xfId="4664"/>
    <cellStyle name="Normal 7 9 5" xfId="1581"/>
    <cellStyle name="Normal 7 9 5 2" xfId="10742"/>
    <cellStyle name="Normal 7 9 5 3" xfId="5726"/>
    <cellStyle name="Normal 7 9 6" xfId="8798"/>
    <cellStyle name="Normal 7 9 7" xfId="12198"/>
    <cellStyle name="Normal 7 9 8" xfId="7275"/>
    <cellStyle name="Normal 7 9 9" xfId="3729"/>
    <cellStyle name="Normal 7 9_Degree data" xfId="3209"/>
    <cellStyle name="Normal 7_Degree data" xfId="3176"/>
    <cellStyle name="Normal 70" xfId="146"/>
    <cellStyle name="Normal 70 2" xfId="4388"/>
    <cellStyle name="Normal 70 2 2" xfId="5323"/>
    <cellStyle name="Normal 70 2 2 2" xfId="10341"/>
    <cellStyle name="Normal 70 2 3" xfId="7088"/>
    <cellStyle name="Normal 70 2 3 2" xfId="12102"/>
    <cellStyle name="Normal 70 2 4" xfId="9457"/>
    <cellStyle name="Normal 70 2 5" xfId="7934"/>
    <cellStyle name="Normal 70 3" xfId="8786"/>
    <cellStyle name="Normal 70 4" xfId="3717"/>
    <cellStyle name="Normal 71" xfId="96"/>
    <cellStyle name="Normal 72" xfId="97"/>
    <cellStyle name="Normal 73" xfId="62"/>
    <cellStyle name="Normal 73 2" xfId="4389"/>
    <cellStyle name="Normal 73 2 2" xfId="5324"/>
    <cellStyle name="Normal 73 2 2 2" xfId="10342"/>
    <cellStyle name="Normal 73 2 3" xfId="7086"/>
    <cellStyle name="Normal 73 2 3 2" xfId="12100"/>
    <cellStyle name="Normal 73 2 4" xfId="9458"/>
    <cellStyle name="Normal 73 2 5" xfId="7935"/>
    <cellStyle name="Normal 73 3" xfId="8787"/>
    <cellStyle name="Normal 73 4" xfId="3718"/>
    <cellStyle name="Normal 74" xfId="156"/>
    <cellStyle name="Normal 74 2" xfId="5325"/>
    <cellStyle name="Normal 74 2 2" xfId="10343"/>
    <cellStyle name="Normal 74 3" xfId="7084"/>
    <cellStyle name="Normal 74 3 2" xfId="12099"/>
    <cellStyle name="Normal 74 4" xfId="9459"/>
    <cellStyle name="Normal 74 5" xfId="7936"/>
    <cellStyle name="Normal 74 6" xfId="4390"/>
    <cellStyle name="Normal 75" xfId="164"/>
    <cellStyle name="Normal 75 2" xfId="5326"/>
    <cellStyle name="Normal 75 2 2" xfId="10344"/>
    <cellStyle name="Normal 75 3" xfId="7081"/>
    <cellStyle name="Normal 75 3 2" xfId="12096"/>
    <cellStyle name="Normal 75 4" xfId="9460"/>
    <cellStyle name="Normal 75 5" xfId="7937"/>
    <cellStyle name="Normal 75 6" xfId="4391"/>
    <cellStyle name="Normal 76" xfId="162"/>
    <cellStyle name="Normal 76 2" xfId="5327"/>
    <cellStyle name="Normal 76 2 2" xfId="10345"/>
    <cellStyle name="Normal 76 3" xfId="7080"/>
    <cellStyle name="Normal 76 3 2" xfId="12095"/>
    <cellStyle name="Normal 76 4" xfId="9461"/>
    <cellStyle name="Normal 76 5" xfId="7938"/>
    <cellStyle name="Normal 76 6" xfId="4392"/>
    <cellStyle name="Normal 77" xfId="157"/>
    <cellStyle name="Normal 77 2" xfId="4972"/>
    <cellStyle name="Normal 77 2 2" xfId="9990"/>
    <cellStyle name="Normal 77 3" xfId="7089"/>
    <cellStyle name="Normal 77 3 2" xfId="12103"/>
    <cellStyle name="Normal 77 4" xfId="9106"/>
    <cellStyle name="Normal 77 5" xfId="7583"/>
    <cellStyle name="Normal 77 6" xfId="4037"/>
    <cellStyle name="Normal 78" xfId="183"/>
    <cellStyle name="Normal 78 2" xfId="5328"/>
    <cellStyle name="Normal 78 2 2" xfId="10346"/>
    <cellStyle name="Normal 78 3" xfId="5762"/>
    <cellStyle name="Normal 78 3 2" xfId="10778"/>
    <cellStyle name="Normal 78 4" xfId="9462"/>
    <cellStyle name="Normal 78 5" xfId="7939"/>
    <cellStyle name="Normal 78 6" xfId="4393"/>
    <cellStyle name="Normal 79" xfId="184"/>
    <cellStyle name="Normal 79 2" xfId="4973"/>
    <cellStyle name="Normal 79 2 2" xfId="9991"/>
    <cellStyle name="Normal 79 3" xfId="7087"/>
    <cellStyle name="Normal 79 3 2" xfId="12101"/>
    <cellStyle name="Normal 79 4" xfId="9107"/>
    <cellStyle name="Normal 79 5" xfId="7584"/>
    <cellStyle name="Normal 79 6" xfId="4038"/>
    <cellStyle name="Normal 8" xfId="78"/>
    <cellStyle name="Normal 8 2" xfId="131"/>
    <cellStyle name="Normal 8 3" xfId="122"/>
    <cellStyle name="Normal 80" xfId="215"/>
    <cellStyle name="Normal 80 2" xfId="4974"/>
    <cellStyle name="Normal 80 2 2" xfId="9992"/>
    <cellStyle name="Normal 80 3" xfId="7083"/>
    <cellStyle name="Normal 80 3 2" xfId="12098"/>
    <cellStyle name="Normal 80 4" xfId="9108"/>
    <cellStyle name="Normal 80 5" xfId="7585"/>
    <cellStyle name="Normal 80 6" xfId="4039"/>
    <cellStyle name="Normal 81" xfId="217"/>
    <cellStyle name="Normal 81 2" xfId="5329"/>
    <cellStyle name="Normal 81 2 2" xfId="10347"/>
    <cellStyle name="Normal 81 3" xfId="5690"/>
    <cellStyle name="Normal 81 3 2" xfId="10706"/>
    <cellStyle name="Normal 81 4" xfId="9463"/>
    <cellStyle name="Normal 81 5" xfId="7940"/>
    <cellStyle name="Normal 81 6" xfId="4394"/>
    <cellStyle name="Normal 82" xfId="216"/>
    <cellStyle name="Normal 82 2" xfId="5330"/>
    <cellStyle name="Normal 82 2 2" xfId="10348"/>
    <cellStyle name="Normal 82 3" xfId="7090"/>
    <cellStyle name="Normal 82 3 2" xfId="12104"/>
    <cellStyle name="Normal 82 4" xfId="9464"/>
    <cellStyle name="Normal 82 5" xfId="7941"/>
    <cellStyle name="Normal 82 6" xfId="4395"/>
    <cellStyle name="Normal 83" xfId="98"/>
    <cellStyle name="Normal 84" xfId="99"/>
    <cellStyle name="Normal 85" xfId="218"/>
    <cellStyle name="Normal 85 2" xfId="4975"/>
    <cellStyle name="Normal 85 2 2" xfId="9993"/>
    <cellStyle name="Normal 85 3" xfId="7082"/>
    <cellStyle name="Normal 85 3 2" xfId="12097"/>
    <cellStyle name="Normal 85 4" xfId="9109"/>
    <cellStyle name="Normal 85 5" xfId="7586"/>
    <cellStyle name="Normal 85 6" xfId="4040"/>
    <cellStyle name="Normal 86" xfId="100"/>
    <cellStyle name="Normal 87" xfId="220"/>
    <cellStyle name="Normal 87 2" xfId="4971"/>
    <cellStyle name="Normal 87 2 2" xfId="9989"/>
    <cellStyle name="Normal 87 3" xfId="7091"/>
    <cellStyle name="Normal 87 3 2" xfId="12105"/>
    <cellStyle name="Normal 87 4" xfId="9105"/>
    <cellStyle name="Normal 87 5" xfId="7582"/>
    <cellStyle name="Normal 87 6" xfId="4036"/>
    <cellStyle name="Normal 88" xfId="221"/>
    <cellStyle name="Normal 88 2" xfId="5333"/>
    <cellStyle name="Normal 89" xfId="252"/>
    <cellStyle name="Normal 89 2" xfId="5684"/>
    <cellStyle name="Normal 9" xfId="123"/>
    <cellStyle name="Normal 9 2" xfId="729"/>
    <cellStyle name="Normal 9 2 10" xfId="3531"/>
    <cellStyle name="Normal 9 2 2" xfId="1137"/>
    <cellStyle name="Normal 9 2 2 2" xfId="2236"/>
    <cellStyle name="Normal 9 2 2 2 2" xfId="9986"/>
    <cellStyle name="Normal 9 2 2 2 3" xfId="4968"/>
    <cellStyle name="Normal 9 2 2 3" xfId="6383"/>
    <cellStyle name="Normal 9 2 2 3 2" xfId="11398"/>
    <cellStyle name="Normal 9 2 2 4" xfId="9102"/>
    <cellStyle name="Normal 9 2 2 5" xfId="12852"/>
    <cellStyle name="Normal 9 2 2 6" xfId="7579"/>
    <cellStyle name="Normal 9 2 2 7" xfId="4033"/>
    <cellStyle name="Normal 9 2 3" xfId="1494"/>
    <cellStyle name="Normal 9 2 3 2" xfId="2584"/>
    <cellStyle name="Normal 9 2 3 2 2" xfId="10349"/>
    <cellStyle name="Normal 9 2 3 2 3" xfId="5331"/>
    <cellStyle name="Normal 9 2 3 3" xfId="6731"/>
    <cellStyle name="Normal 9 2 3 3 2" xfId="11746"/>
    <cellStyle name="Normal 9 2 3 4" xfId="9465"/>
    <cellStyle name="Normal 9 2 3 5" xfId="13200"/>
    <cellStyle name="Normal 9 2 3 6" xfId="7942"/>
    <cellStyle name="Normal 9 2 3 7" xfId="4396"/>
    <cellStyle name="Normal 9 2 4" xfId="3055"/>
    <cellStyle name="Normal 9 2 4 2" xfId="5678"/>
    <cellStyle name="Normal 9 2 4 2 2" xfId="10695"/>
    <cellStyle name="Normal 9 2 4 3" xfId="7076"/>
    <cellStyle name="Normal 9 2 4 3 2" xfId="12091"/>
    <cellStyle name="Normal 9 2 4 4" xfId="8783"/>
    <cellStyle name="Normal 9 2 4 5" xfId="13545"/>
    <cellStyle name="Normal 9 2 4 6" xfId="8289"/>
    <cellStyle name="Normal 9 2 4 7" xfId="3714"/>
    <cellStyle name="Normal 9 2 5" xfId="1885"/>
    <cellStyle name="Normal 9 2 5 2" xfId="9669"/>
    <cellStyle name="Normal 9 2 5 3" xfId="4651"/>
    <cellStyle name="Normal 9 2 6" xfId="6032"/>
    <cellStyle name="Normal 9 2 6 2" xfId="11048"/>
    <cellStyle name="Normal 9 2 7" xfId="8609"/>
    <cellStyle name="Normal 9 2 8" xfId="12502"/>
    <cellStyle name="Normal 9 2 9" xfId="7262"/>
    <cellStyle name="Normal 9 2_Degree data" xfId="3210"/>
    <cellStyle name="Normal 90" xfId="257"/>
    <cellStyle name="Normal 90 2" xfId="6348"/>
    <cellStyle name="Normal 91" xfId="261"/>
    <cellStyle name="Normal 91 2" xfId="7085"/>
    <cellStyle name="Normal 92" xfId="408"/>
    <cellStyle name="Normal 92 2" xfId="8293"/>
    <cellStyle name="Normal 93" xfId="267"/>
    <cellStyle name="Normal 93 2" xfId="9467"/>
    <cellStyle name="Normal 94" xfId="410"/>
    <cellStyle name="Normal 94 2" xfId="12107"/>
    <cellStyle name="Normal 95" xfId="409"/>
    <cellStyle name="Normal 95 2" xfId="12106"/>
    <cellStyle name="Normal 96" xfId="265"/>
    <cellStyle name="Normal 96 2" xfId="12111"/>
    <cellStyle name="Normal 97" xfId="411"/>
    <cellStyle name="Normal 97 2" xfId="12112"/>
    <cellStyle name="Normal 98" xfId="101"/>
    <cellStyle name="Normal 99" xfId="412"/>
    <cellStyle name="Normal 99 2" xfId="12114"/>
    <cellStyle name="Normal_03SCH&amp;FTE05" xfId="13570"/>
    <cellStyle name="Normal_03TTA09mastersurvey" xfId="19"/>
    <cellStyle name="Normal_05Funding05" xfId="13560"/>
    <cellStyle name="Normal_06Funding09mastersurvey" xfId="2"/>
    <cellStyle name="Normal_Benefits02 Form" xfId="13564"/>
    <cellStyle name="Normal_Degree02 Form 2" xfId="13556"/>
    <cellStyle name="Normal_Degree02 Form 3" xfId="13557"/>
    <cellStyle name="Normal_Degrees02 Form" xfId="13565"/>
    <cellStyle name="Normal_Degrees02 Form 2" xfId="13561"/>
    <cellStyle name="Normal_Degrees02 Form 3" xfId="13569"/>
    <cellStyle name="Normal_Funding02 Form" xfId="3"/>
    <cellStyle name="Normal_Funding03 Form" xfId="13559"/>
    <cellStyle name="Normal_Funding04 Form" xfId="4"/>
    <cellStyle name="Normal_Funding07" xfId="13567"/>
    <cellStyle name="Normal_Salaries02 Form" xfId="13568"/>
    <cellStyle name="Normal_SCH&amp;FTE02 Form" xfId="13563"/>
    <cellStyle name="Normal_SFA Data for Highlights" xfId="9"/>
    <cellStyle name="Normal_StProg01B" xfId="13562"/>
    <cellStyle name="Normal_StProg02 Form" xfId="13558"/>
    <cellStyle name="Normal_StProg02 Form 2" xfId="13566"/>
    <cellStyle name="Note" xfId="5" builtinId="10" customBuiltin="1"/>
    <cellStyle name="Note 2" xfId="4397"/>
    <cellStyle name="Note 2 2" xfId="4437"/>
    <cellStyle name="Note 2 3" xfId="4444"/>
    <cellStyle name="Note 2 4" xfId="5332"/>
    <cellStyle name="Note 2 4 2" xfId="10350"/>
    <cellStyle name="Note 2 5" xfId="5761"/>
    <cellStyle name="Note 2 5 2" xfId="10777"/>
    <cellStyle name="Note 2 6" xfId="9466"/>
    <cellStyle name="Note 2 7" xfId="7943"/>
    <cellStyle name="Note 3" xfId="4436"/>
    <cellStyle name="Note 4" xfId="4445"/>
    <cellStyle name="Output 2" xfId="4438"/>
    <cellStyle name="Output 3" xfId="4448"/>
    <cellStyle name="Percent" xfId="6" builtinId="5"/>
    <cellStyle name="Percent 2" xfId="13"/>
    <cellStyle name="Percent 2 2" xfId="128"/>
    <cellStyle name="Percent 2 2 2" xfId="304"/>
    <cellStyle name="Percent 2 2 3" xfId="290"/>
    <cellStyle name="Percent 2 3" xfId="4440"/>
    <cellStyle name="Percent 3" xfId="63"/>
    <cellStyle name="Percent 4" xfId="76"/>
    <cellStyle name="Percent 5" xfId="73"/>
    <cellStyle name="Percent 6" xfId="4439"/>
    <cellStyle name="questionable" xfId="22"/>
    <cellStyle name="questionable 2" xfId="113"/>
    <cellStyle name="review" xfId="23"/>
    <cellStyle name="Title 2" xfId="4441"/>
    <cellStyle name="Total 2" xfId="4442"/>
    <cellStyle name="Total 3" xfId="4449"/>
    <cellStyle name="Warning Text 2" xfId="4443"/>
  </cellStyles>
  <dxfs count="3013">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val="0"/>
      </font>
    </dxf>
    <dxf>
      <border>
        <bottom/>
      </border>
    </dxf>
    <dxf>
      <font>
        <b/>
      </font>
    </dxf>
    <dxf>
      <font>
        <b/>
      </font>
    </dxf>
    <dxf>
      <fill>
        <patternFill patternType="solid">
          <bgColor rgb="FFFFFF00"/>
        </patternFill>
      </fill>
    </dxf>
    <dxf>
      <numFmt numFmtId="3" formatCode="#,##0"/>
    </dxf>
    <dxf>
      <font>
        <name val="Arial"/>
        <scheme val="none"/>
      </font>
    </dxf>
    <dxf>
      <alignment wrapText="1" readingOrder="0"/>
    </dxf>
    <dxf>
      <fill>
        <patternFill patternType="none">
          <bgColor auto="1"/>
        </patternFill>
      </fill>
    </dxf>
    <dxf>
      <font>
        <color auto="1"/>
      </font>
    </dxf>
    <dxf>
      <fill>
        <patternFill patternType="solid">
          <bgColor theme="6" tint="0.79998168889431442"/>
        </patternFill>
      </fill>
    </dxf>
    <dxf>
      <fill>
        <patternFill>
          <bgColor theme="6" tint="0.79998168889431442"/>
        </patternFill>
      </fill>
    </dxf>
    <dxf>
      <fill>
        <patternFill patternType="solid">
          <bgColor theme="6" tint="0.79998168889431442"/>
        </patternFill>
      </fill>
    </dxf>
    <dxf>
      <font>
        <b/>
      </font>
    </dxf>
    <dxf>
      <font>
        <b/>
      </font>
    </dxf>
    <dxf>
      <font>
        <b/>
      </font>
    </dxf>
    <dxf>
      <font>
        <b/>
      </font>
    </dxf>
    <dxf>
      <font>
        <b/>
      </font>
    </dxf>
    <dxf>
      <font>
        <b/>
      </font>
    </dxf>
    <dxf>
      <font>
        <b/>
      </font>
    </dxf>
    <dxf>
      <font>
        <b/>
      </font>
    </dxf>
    <dxf>
      <font>
        <b/>
      </font>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font>
        <b/>
      </font>
    </dxf>
    <dxf>
      <font>
        <b/>
      </font>
    </dxf>
    <dxf>
      <font>
        <b/>
      </font>
    </dxf>
    <dxf>
      <font>
        <b/>
      </font>
    </dxf>
    <dxf>
      <font>
        <b/>
      </font>
    </dxf>
    <dxf>
      <font>
        <b/>
      </font>
    </dxf>
    <dxf>
      <font>
        <b/>
      </font>
    </dxf>
    <dxf>
      <border>
        <right style="thin">
          <color indexed="64"/>
        </right>
      </border>
    </dxf>
    <dxf>
      <border>
        <right style="thin">
          <color indexed="64"/>
        </right>
      </border>
    </dxf>
    <dxf>
      <fill>
        <patternFill patternType="none"/>
      </fill>
    </dxf>
    <dxf>
      <border>
        <bottom style="thin">
          <color indexed="64"/>
        </bottom>
      </border>
    </dxf>
    <dxf>
      <fill>
        <patternFill patternType="solid">
          <bgColor indexed="46"/>
        </patternFill>
      </fill>
    </dxf>
    <dxf>
      <fill>
        <patternFill patternType="solid">
          <bgColor indexed="41"/>
        </patternFill>
      </fill>
    </dxf>
    <dxf>
      <fill>
        <patternFill patternType="solid">
          <bgColor indexed="42"/>
        </patternFill>
      </fill>
    </dxf>
    <dxf>
      <fill>
        <patternFill patternType="solid">
          <bgColor indexed="43"/>
        </patternFill>
      </fill>
    </dxf>
    <dxf>
      <fill>
        <patternFill patternType="solid">
          <bgColor indexed="47"/>
        </patternFill>
      </fill>
    </dxf>
    <dxf>
      <fill>
        <patternFill patternType="solid">
          <bgColor indexed="45"/>
        </patternFill>
      </fill>
    </dxf>
    <dxf>
      <fill>
        <patternFill patternType="solid">
          <bgColor indexed="14"/>
        </patternFill>
      </fill>
    </dxf>
    <dxf>
      <fill>
        <patternFill patternType="solid">
          <bgColor indexed="14"/>
        </patternFill>
      </fill>
    </dxf>
    <dxf>
      <fill>
        <patternFill patternType="solid">
          <bgColor indexed="14"/>
        </patternFill>
      </fill>
    </dxf>
    <dxf>
      <border>
        <right style="thin">
          <color indexed="64"/>
        </right>
      </border>
    </dxf>
    <dxf>
      <font>
        <name val="Arial"/>
        <scheme val="none"/>
      </font>
    </dxf>
    <dxf>
      <numFmt numFmtId="3" formatCode="#,##0"/>
    </dxf>
    <dxf>
      <border>
        <bottom style="thin">
          <color indexed="64"/>
        </bottom>
      </border>
    </dxf>
    <dxf>
      <border>
        <top style="thin">
          <color indexed="64"/>
        </top>
      </border>
    </dxf>
    <dxf>
      <border>
        <top/>
        <bottom/>
      </border>
    </dxf>
    <dxf>
      <border>
        <left/>
        <right/>
      </border>
    </dxf>
    <dxf>
      <border>
        <left/>
        <right/>
      </border>
    </dxf>
    <dxf>
      <font>
        <name val="Arial"/>
        <scheme val="none"/>
      </font>
    </dxf>
    <dxf>
      <border>
        <left style="thin">
          <color indexed="8"/>
        </left>
        <right style="thin">
          <color indexed="8"/>
        </right>
        <vertical style="thin">
          <color indexed="8"/>
        </vertical>
      </border>
    </dxf>
    <dxf>
      <border>
        <left style="thin">
          <color indexed="8"/>
        </left>
        <right style="thin">
          <color indexed="8"/>
        </right>
        <vertical style="thin">
          <color indexed="8"/>
        </vertical>
      </border>
    </dxf>
    <dxf>
      <fill>
        <patternFill patternType="none">
          <bgColor auto="1"/>
        </patternFill>
      </fill>
    </dxf>
    <dxf>
      <border>
        <horizontal/>
      </border>
    </dxf>
    <dxf>
      <border>
        <horizontal/>
      </border>
    </dxf>
    <dxf>
      <font>
        <u/>
      </font>
    </dxf>
    <dxf>
      <font>
        <u/>
      </font>
    </dxf>
    <dxf>
      <alignment vertical="center" readingOrder="0"/>
    </dxf>
    <dxf>
      <alignment vertical="center" readingOrder="0"/>
    </dxf>
    <dxf>
      <border>
        <top style="thin">
          <color indexed="64"/>
        </top>
        <bottom style="thin">
          <color indexed="64"/>
        </bottom>
      </border>
    </dxf>
    <dxf>
      <fill>
        <patternFill patternType="none">
          <bgColor auto="1"/>
        </patternFill>
      </fill>
    </dxf>
    <dxf>
      <font>
        <b val="0"/>
      </font>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name val="Arial"/>
        <scheme val="none"/>
      </font>
      <alignment vertical="center" readingOrder="0"/>
    </dxf>
    <dxf>
      <font>
        <name val="Arial"/>
        <scheme val="none"/>
      </font>
      <alignment vertical="center" readingOrder="0"/>
    </dxf>
    <dxf>
      <border>
        <right style="thin">
          <color indexed="64"/>
        </right>
      </border>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font>
        <name val="Arial"/>
        <scheme val="none"/>
      </font>
      <alignment vertical="center" readingOrder="0"/>
    </dxf>
    <dxf>
      <border>
        <right style="thin">
          <color indexed="64"/>
        </right>
      </border>
    </dxf>
    <dxf>
      <border>
        <right style="thin">
          <color indexed="64"/>
        </right>
      </border>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font>
        <b/>
        <name val="Arial"/>
        <scheme val="none"/>
      </font>
      <alignment vertical="top" readingOrder="0"/>
    </dxf>
    <dxf>
      <alignment vertical="center" readingOrder="0"/>
    </dxf>
    <dxf>
      <alignment vertical="center" readingOrder="0"/>
    </dxf>
    <dxf>
      <alignment vertical="distributed" readingOrder="0"/>
    </dxf>
    <dxf>
      <font>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font>
        <b/>
        <name val="Arial"/>
        <scheme val="none"/>
      </font>
    </dxf>
    <dxf>
      <border>
        <left style="medium">
          <color indexed="64"/>
        </left>
        <right style="medium">
          <color indexed="64"/>
        </right>
        <top style="medium">
          <color indexed="64"/>
        </top>
        <bottom style="medium">
          <color indexed="64"/>
        </bottom>
      </border>
    </dxf>
    <dxf>
      <border>
        <bottom/>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0"/>
      </font>
    </dxf>
    <dxf>
      <font>
        <b val="0"/>
      </font>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name val="Arial"/>
        <scheme val="none"/>
      </font>
    </dxf>
    <dxf>
      <fill>
        <patternFill patternType="none"/>
      </fill>
    </dxf>
    <dxf>
      <fill>
        <patternFill patternType="none"/>
      </fill>
    </dxf>
    <dxf>
      <fill>
        <patternFill patternType="solid">
          <bgColor indexed="43"/>
        </patternFill>
      </fill>
    </dxf>
    <dxf>
      <fill>
        <patternFill patternType="solid">
          <bgColor indexed="13"/>
        </patternFill>
      </fill>
    </dxf>
    <dxf>
      <alignment horizontal="right" readingOrder="0"/>
    </dxf>
    <dxf>
      <alignment horizontal="right" readingOrder="0"/>
    </dxf>
    <dxf>
      <fill>
        <patternFill patternType="solid">
          <bgColor indexed="42"/>
        </patternFill>
      </fill>
    </dxf>
    <dxf>
      <fill>
        <patternFill>
          <bgColor indexed="42"/>
        </patternFill>
      </fill>
    </dxf>
    <dxf>
      <fill>
        <patternFill patternType="solid">
          <bgColor indexed="42"/>
        </patternFill>
      </fill>
    </dxf>
    <dxf>
      <font>
        <b/>
      </font>
    </dxf>
    <dxf>
      <alignment wrapText="1" readingOrder="0"/>
    </dxf>
    <dxf>
      <fill>
        <patternFill patternType="none">
          <bgColor auto="1"/>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none">
          <bgColor auto="1"/>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solid">
          <bgColor rgb="FFFCD5B4"/>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border>
    </dxf>
    <dxf>
      <border>
        <bottom/>
      </border>
    </dxf>
    <dxf>
      <border>
        <left style="thin">
          <color indexed="64"/>
        </left>
      </border>
    </dxf>
    <dxf>
      <font>
        <b/>
      </font>
    </dxf>
    <dxf>
      <fill>
        <patternFill patternType="solid">
          <fgColor indexed="64"/>
          <bgColor theme="0" tint="-0.249977111117893"/>
        </patternFill>
      </fill>
    </dxf>
    <dxf>
      <fill>
        <patternFill patternType="none">
          <bgColor auto="1"/>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0" tint="-0.249977111117893"/>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0"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none">
          <bgColor auto="1"/>
        </patternFill>
      </fill>
    </dxf>
    <dxf>
      <fill>
        <patternFill patternType="none">
          <bgColor auto="1"/>
        </patternFill>
      </fill>
    </dxf>
    <dxf>
      <fill>
        <patternFill patternType="solid">
          <bgColor theme="5" tint="0.59999389629810485"/>
        </patternFill>
      </fill>
    </dxf>
    <dxf>
      <border>
        <top style="thick">
          <color indexed="8"/>
        </top>
      </border>
    </dxf>
    <dxf>
      <fill>
        <patternFill patternType="none">
          <bgColor auto="1"/>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0" tint="-0.249977111117893"/>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fgColor indexed="64"/>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none">
          <bgColor auto="1"/>
        </patternFill>
      </fill>
    </dxf>
    <dxf>
      <font>
        <color auto="1"/>
      </font>
    </dxf>
    <dxf>
      <font>
        <color auto="1"/>
      </font>
    </dxf>
    <dxf>
      <fill>
        <patternFill>
          <bgColor theme="6" tint="0.79998168889431442"/>
        </patternFill>
      </fill>
    </dxf>
    <dxf>
      <fill>
        <patternFill>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horizontal style="thin">
          <color indexed="8"/>
        </horizontal>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ont>
        <name val="Arial"/>
        <scheme val="none"/>
      </font>
      <numFmt numFmtId="3" formatCode="#,##0"/>
    </dxf>
    <dxf>
      <border>
        <right style="thin">
          <color indexed="64"/>
        </right>
      </border>
    </dxf>
    <dxf>
      <border>
        <right style="thin">
          <color indexed="64"/>
        </right>
      </border>
    </dxf>
    <dxf>
      <font>
        <b/>
      </font>
    </dxf>
    <dxf>
      <font>
        <b/>
      </font>
    </dxf>
    <dxf>
      <font>
        <b/>
      </font>
    </dxf>
    <dxf>
      <font>
        <b/>
      </font>
    </dxf>
    <dxf>
      <font>
        <b/>
      </font>
    </dxf>
    <dxf>
      <font>
        <b/>
      </font>
    </dxf>
    <dxf>
      <font>
        <b/>
      </font>
    </dxf>
    <dxf>
      <font>
        <b/>
      </font>
    </dxf>
    <dxf>
      <font>
        <b/>
      </font>
    </dxf>
    <dxf>
      <font>
        <b/>
      </font>
    </dxf>
    <dxf>
      <font>
        <b/>
      </font>
    </dxf>
    <dxf>
      <font>
        <b/>
      </font>
    </dxf>
    <dxf>
      <font>
        <b/>
      </font>
    </dxf>
    <dxf>
      <border>
        <right style="thin">
          <color indexed="64"/>
        </right>
      </border>
    </dxf>
    <dxf>
      <border>
        <right style="thin">
          <color indexed="64"/>
        </righ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fill>
        <patternFill patternType="none"/>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numFmt numFmtId="3" formatCode="#,##0"/>
      <fill>
        <patternFill patternType="solid">
          <fgColor indexed="13"/>
          <bgColor indexed="64"/>
        </patternFill>
      </fill>
    </dxf>
    <dxf>
      <font>
        <name val="Arial"/>
        <scheme val="none"/>
      </font>
    </dxf>
    <dxf>
      <border>
        <bottom style="thin">
          <color indexed="64"/>
        </bottom>
      </border>
    </dxf>
    <dxf>
      <border>
        <left style="medium">
          <color indexed="64"/>
        </left>
        <right style="medium">
          <color indexed="64"/>
        </right>
        <top style="medium">
          <color indexed="64"/>
        </top>
        <bottom style="medium">
          <color indexed="64"/>
        </bottom>
      </border>
    </dxf>
    <dxf>
      <font>
        <name val="ARIAL"/>
        <scheme val="none"/>
      </font>
      <numFmt numFmtId="3"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name val="ARIAL"/>
        <scheme val="none"/>
      </font>
      <numFmt numFmtId="3" formatCode="#,##0"/>
    </dxf>
    <dxf>
      <border>
        <left style="medium">
          <color indexed="64"/>
        </left>
        <right style="medium">
          <color indexed="64"/>
        </right>
        <bottom style="medium">
          <color indexed="64"/>
        </bottom>
      </border>
    </dxf>
    <dxf>
      <font>
        <name val="ARIAL"/>
        <scheme val="none"/>
      </font>
      <numFmt numFmtId="3" formatCode="#,##0"/>
    </dxf>
    <dxf>
      <font>
        <name val="ARIAL"/>
        <scheme val="none"/>
      </font>
      <numFmt numFmtId="3" formatCode="#,##0"/>
    </dxf>
    <dxf>
      <font>
        <name val="ARIAL"/>
        <scheme val="none"/>
      </font>
      <numFmt numFmtId="3" formatCode="#,##0"/>
    </dxf>
    <dxf>
      <fill>
        <patternFill patternType="solid">
          <bgColor indexed="46"/>
        </patternFill>
      </fill>
    </dxf>
    <dxf>
      <fill>
        <patternFill patternType="solid">
          <bgColor indexed="46"/>
        </patternFill>
      </fill>
    </dxf>
    <dxf>
      <fill>
        <patternFill patternType="solid">
          <bgColor indexed="46"/>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2"/>
        </patternFill>
      </fill>
    </dxf>
    <dxf>
      <fill>
        <patternFill patternType="solid">
          <bgColor indexed="42"/>
        </patternFill>
      </fill>
    </dxf>
    <dxf>
      <fill>
        <patternFill patternType="solid">
          <bgColor indexed="42"/>
        </patternFill>
      </fill>
    </dxf>
    <dxf>
      <fill>
        <patternFill patternType="solid">
          <bgColor indexed="42"/>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7"/>
        </patternFill>
      </fill>
    </dxf>
    <dxf>
      <fill>
        <patternFill patternType="solid">
          <bgColor indexed="47"/>
        </patternFill>
      </fill>
    </dxf>
    <dxf>
      <fill>
        <patternFill patternType="solid">
          <bgColor indexed="47"/>
        </patternFill>
      </fill>
    </dxf>
    <dxf>
      <fill>
        <patternFill patternType="solid">
          <bgColor indexed="47"/>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ont>
        <name val="Arial"/>
        <scheme val="none"/>
      </font>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s>
  <tableStyles count="0" defaultTableStyle="TableStyleMedium9" defaultPivotStyle="PivotStyleLight16"/>
  <colors>
    <mruColors>
      <color rgb="FF0000FF"/>
      <color rgb="FFFCD5B4"/>
      <color rgb="FFFF99CC"/>
      <color rgb="FF12F63D"/>
      <color rgb="FF00FF00"/>
      <color rgb="FFFFFF99"/>
      <color rgb="FF008000"/>
      <color rgb="FFCC00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629771</xdr:colOff>
      <xdr:row>967</xdr:row>
      <xdr:rowOff>0</xdr:rowOff>
    </xdr:from>
    <xdr:ext cx="166258" cy="264560"/>
    <xdr:sp macro="" textlink="">
      <xdr:nvSpPr>
        <xdr:cNvPr id="2" name="TextBox 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3" name="TextBox 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 name="TextBox 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 name="TextBox 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 name="TextBox 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7" name="TextBox 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8" name="TextBox 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66258" cy="311039"/>
    <xdr:sp macro="" textlink="">
      <xdr:nvSpPr>
        <xdr:cNvPr id="9" name="TextBox 8"/>
        <xdr:cNvSpPr txBox="1"/>
      </xdr:nvSpPr>
      <xdr:spPr>
        <a:xfrm>
          <a:off x="6239996"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10" name="TextBox 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11" name="TextBox 1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12" name="TextBox 1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47785" cy="264560"/>
    <xdr:sp macro="" textlink="">
      <xdr:nvSpPr>
        <xdr:cNvPr id="13" name="TextBox 12"/>
        <xdr:cNvSpPr txBox="1"/>
      </xdr:nvSpPr>
      <xdr:spPr>
        <a:xfrm>
          <a:off x="6182846"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14" name="TextBox 1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15" name="TextBox 1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66258" cy="264560"/>
    <xdr:sp macro="" textlink="">
      <xdr:nvSpPr>
        <xdr:cNvPr id="16" name="TextBox 15"/>
        <xdr:cNvSpPr txBox="1"/>
      </xdr:nvSpPr>
      <xdr:spPr>
        <a:xfrm>
          <a:off x="61828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17" name="TextBox 1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18" name="TextBox 1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19" name="TextBox 1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20" name="TextBox 1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21" name="TextBox 2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22" name="TextBox 2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23" name="TextBox 2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24" name="TextBox 23"/>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25" name="TextBox 24"/>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26" name="TextBox 25"/>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27" name="TextBox 26"/>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28" name="TextBox 27"/>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29" name="TextBox 28"/>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30" name="TextBox 29"/>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610721</xdr:colOff>
      <xdr:row>967</xdr:row>
      <xdr:rowOff>0</xdr:rowOff>
    </xdr:from>
    <xdr:ext cx="166258" cy="311039"/>
    <xdr:sp macro="" textlink="">
      <xdr:nvSpPr>
        <xdr:cNvPr id="31" name="TextBox 30"/>
        <xdr:cNvSpPr txBox="1"/>
      </xdr:nvSpPr>
      <xdr:spPr>
        <a:xfrm>
          <a:off x="2411842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32" name="TextBox 31"/>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33" name="TextBox 32"/>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34" name="TextBox 33"/>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553571</xdr:colOff>
      <xdr:row>967</xdr:row>
      <xdr:rowOff>0</xdr:rowOff>
    </xdr:from>
    <xdr:ext cx="147785" cy="264560"/>
    <xdr:sp macro="" textlink="">
      <xdr:nvSpPr>
        <xdr:cNvPr id="35" name="TextBox 34"/>
        <xdr:cNvSpPr txBox="1"/>
      </xdr:nvSpPr>
      <xdr:spPr>
        <a:xfrm>
          <a:off x="2406127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36" name="TextBox 35"/>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37" name="TextBox 36"/>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553571</xdr:colOff>
      <xdr:row>967</xdr:row>
      <xdr:rowOff>0</xdr:rowOff>
    </xdr:from>
    <xdr:ext cx="166258" cy="264560"/>
    <xdr:sp macro="" textlink="">
      <xdr:nvSpPr>
        <xdr:cNvPr id="38" name="TextBox 37"/>
        <xdr:cNvSpPr txBox="1"/>
      </xdr:nvSpPr>
      <xdr:spPr>
        <a:xfrm>
          <a:off x="240612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39" name="TextBox 38"/>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40" name="TextBox 39"/>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41" name="TextBox 40"/>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42" name="TextBox 41"/>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43" name="TextBox 42"/>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44" name="TextBox 43"/>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45" name="TextBox 44"/>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46" name="TextBox 45"/>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47" name="TextBox 46"/>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48" name="TextBox 47"/>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49" name="TextBox 48"/>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50" name="TextBox 49"/>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51" name="TextBox 50"/>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52" name="TextBox 51"/>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610721</xdr:colOff>
      <xdr:row>967</xdr:row>
      <xdr:rowOff>0</xdr:rowOff>
    </xdr:from>
    <xdr:ext cx="166258" cy="311039"/>
    <xdr:sp macro="" textlink="">
      <xdr:nvSpPr>
        <xdr:cNvPr id="53" name="TextBox 52"/>
        <xdr:cNvSpPr txBox="1"/>
      </xdr:nvSpPr>
      <xdr:spPr>
        <a:xfrm>
          <a:off x="2411842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54" name="TextBox 53"/>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55" name="TextBox 54"/>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56" name="TextBox 55"/>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553571</xdr:colOff>
      <xdr:row>967</xdr:row>
      <xdr:rowOff>0</xdr:rowOff>
    </xdr:from>
    <xdr:ext cx="147785" cy="264560"/>
    <xdr:sp macro="" textlink="">
      <xdr:nvSpPr>
        <xdr:cNvPr id="57" name="TextBox 56"/>
        <xdr:cNvSpPr txBox="1"/>
      </xdr:nvSpPr>
      <xdr:spPr>
        <a:xfrm>
          <a:off x="2406127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58" name="TextBox 57"/>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59" name="TextBox 58"/>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553571</xdr:colOff>
      <xdr:row>967</xdr:row>
      <xdr:rowOff>0</xdr:rowOff>
    </xdr:from>
    <xdr:ext cx="166258" cy="264560"/>
    <xdr:sp macro="" textlink="">
      <xdr:nvSpPr>
        <xdr:cNvPr id="60" name="TextBox 59"/>
        <xdr:cNvSpPr txBox="1"/>
      </xdr:nvSpPr>
      <xdr:spPr>
        <a:xfrm>
          <a:off x="240612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61" name="TextBox 60"/>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62" name="TextBox 61"/>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63" name="TextBox 62"/>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64" name="TextBox 63"/>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65" name="TextBox 64"/>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66" name="TextBox 65"/>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67" name="TextBox 66"/>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68" name="TextBox 67"/>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69" name="TextBox 68"/>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70" name="TextBox 69"/>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71" name="TextBox 70"/>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72" name="TextBox 71"/>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73" name="TextBox 72"/>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74" name="TextBox 73"/>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610721</xdr:colOff>
      <xdr:row>967</xdr:row>
      <xdr:rowOff>0</xdr:rowOff>
    </xdr:from>
    <xdr:ext cx="166258" cy="311039"/>
    <xdr:sp macro="" textlink="">
      <xdr:nvSpPr>
        <xdr:cNvPr id="75" name="TextBox 74"/>
        <xdr:cNvSpPr txBox="1"/>
      </xdr:nvSpPr>
      <xdr:spPr>
        <a:xfrm>
          <a:off x="2493757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76" name="TextBox 75"/>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77" name="TextBox 76"/>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78" name="TextBox 77"/>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967</xdr:row>
      <xdr:rowOff>0</xdr:rowOff>
    </xdr:from>
    <xdr:ext cx="147785" cy="264560"/>
    <xdr:sp macro="" textlink="">
      <xdr:nvSpPr>
        <xdr:cNvPr id="79" name="TextBox 78"/>
        <xdr:cNvSpPr txBox="1"/>
      </xdr:nvSpPr>
      <xdr:spPr>
        <a:xfrm>
          <a:off x="2488042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80" name="TextBox 79"/>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81" name="TextBox 80"/>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967</xdr:row>
      <xdr:rowOff>0</xdr:rowOff>
    </xdr:from>
    <xdr:ext cx="166258" cy="264560"/>
    <xdr:sp macro="" textlink="">
      <xdr:nvSpPr>
        <xdr:cNvPr id="82" name="TextBox 81"/>
        <xdr:cNvSpPr txBox="1"/>
      </xdr:nvSpPr>
      <xdr:spPr>
        <a:xfrm>
          <a:off x="248804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83" name="TextBox 82"/>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84" name="TextBox 83"/>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85" name="TextBox 84"/>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86" name="TextBox 85"/>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87" name="TextBox 86"/>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88" name="TextBox 87"/>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89" name="TextBox 88"/>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90" name="TextBox 89"/>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91" name="TextBox 90"/>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92" name="TextBox 91"/>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93" name="TextBox 92"/>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94" name="TextBox 93"/>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95" name="TextBox 94"/>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96" name="TextBox 95"/>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610721</xdr:colOff>
      <xdr:row>967</xdr:row>
      <xdr:rowOff>0</xdr:rowOff>
    </xdr:from>
    <xdr:ext cx="166258" cy="311039"/>
    <xdr:sp macro="" textlink="">
      <xdr:nvSpPr>
        <xdr:cNvPr id="97" name="TextBox 96"/>
        <xdr:cNvSpPr txBox="1"/>
      </xdr:nvSpPr>
      <xdr:spPr>
        <a:xfrm>
          <a:off x="2493757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98" name="TextBox 97"/>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99" name="TextBox 98"/>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100" name="TextBox 99"/>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967</xdr:row>
      <xdr:rowOff>0</xdr:rowOff>
    </xdr:from>
    <xdr:ext cx="147785" cy="264560"/>
    <xdr:sp macro="" textlink="">
      <xdr:nvSpPr>
        <xdr:cNvPr id="101" name="TextBox 100"/>
        <xdr:cNvSpPr txBox="1"/>
      </xdr:nvSpPr>
      <xdr:spPr>
        <a:xfrm>
          <a:off x="2488042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102" name="TextBox 101"/>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103" name="TextBox 102"/>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967</xdr:row>
      <xdr:rowOff>0</xdr:rowOff>
    </xdr:from>
    <xdr:ext cx="166258" cy="264560"/>
    <xdr:sp macro="" textlink="">
      <xdr:nvSpPr>
        <xdr:cNvPr id="104" name="TextBox 103"/>
        <xdr:cNvSpPr txBox="1"/>
      </xdr:nvSpPr>
      <xdr:spPr>
        <a:xfrm>
          <a:off x="248804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105" name="TextBox 104"/>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106" name="TextBox 105"/>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107" name="TextBox 106"/>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108" name="TextBox 107"/>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109" name="TextBox 108"/>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110" name="TextBox 109"/>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111" name="TextBox 110"/>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12" name="TextBox 111"/>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13" name="TextBox 112"/>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14" name="TextBox 113"/>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15" name="TextBox 114"/>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16" name="TextBox 115"/>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17" name="TextBox 116"/>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18" name="TextBox 117"/>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610721</xdr:colOff>
      <xdr:row>967</xdr:row>
      <xdr:rowOff>0</xdr:rowOff>
    </xdr:from>
    <xdr:ext cx="166258" cy="311039"/>
    <xdr:sp macro="" textlink="">
      <xdr:nvSpPr>
        <xdr:cNvPr id="119" name="TextBox 118"/>
        <xdr:cNvSpPr txBox="1"/>
      </xdr:nvSpPr>
      <xdr:spPr>
        <a:xfrm>
          <a:off x="2575672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20" name="TextBox 119"/>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21" name="TextBox 120"/>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22" name="TextBox 121"/>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967</xdr:row>
      <xdr:rowOff>0</xdr:rowOff>
    </xdr:from>
    <xdr:ext cx="147785" cy="264560"/>
    <xdr:sp macro="" textlink="">
      <xdr:nvSpPr>
        <xdr:cNvPr id="123" name="TextBox 122"/>
        <xdr:cNvSpPr txBox="1"/>
      </xdr:nvSpPr>
      <xdr:spPr>
        <a:xfrm>
          <a:off x="2569957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24" name="TextBox 123"/>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25" name="TextBox 124"/>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967</xdr:row>
      <xdr:rowOff>0</xdr:rowOff>
    </xdr:from>
    <xdr:ext cx="166258" cy="264560"/>
    <xdr:sp macro="" textlink="">
      <xdr:nvSpPr>
        <xdr:cNvPr id="126" name="TextBox 125"/>
        <xdr:cNvSpPr txBox="1"/>
      </xdr:nvSpPr>
      <xdr:spPr>
        <a:xfrm>
          <a:off x="25699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27" name="TextBox 126"/>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28" name="TextBox 127"/>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29" name="TextBox 128"/>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30" name="TextBox 129"/>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31" name="TextBox 130"/>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32" name="TextBox 131"/>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33" name="TextBox 132"/>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34" name="TextBox 133"/>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35" name="TextBox 134"/>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36" name="TextBox 135"/>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37" name="TextBox 136"/>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38" name="TextBox 137"/>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39" name="TextBox 138"/>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40" name="TextBox 139"/>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610721</xdr:colOff>
      <xdr:row>967</xdr:row>
      <xdr:rowOff>0</xdr:rowOff>
    </xdr:from>
    <xdr:ext cx="166258" cy="311039"/>
    <xdr:sp macro="" textlink="">
      <xdr:nvSpPr>
        <xdr:cNvPr id="141" name="TextBox 140"/>
        <xdr:cNvSpPr txBox="1"/>
      </xdr:nvSpPr>
      <xdr:spPr>
        <a:xfrm>
          <a:off x="2575672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42" name="TextBox 141"/>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43" name="TextBox 142"/>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44" name="TextBox 143"/>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967</xdr:row>
      <xdr:rowOff>0</xdr:rowOff>
    </xdr:from>
    <xdr:ext cx="147785" cy="264560"/>
    <xdr:sp macro="" textlink="">
      <xdr:nvSpPr>
        <xdr:cNvPr id="145" name="TextBox 144"/>
        <xdr:cNvSpPr txBox="1"/>
      </xdr:nvSpPr>
      <xdr:spPr>
        <a:xfrm>
          <a:off x="2569957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46" name="TextBox 145"/>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47" name="TextBox 146"/>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967</xdr:row>
      <xdr:rowOff>0</xdr:rowOff>
    </xdr:from>
    <xdr:ext cx="166258" cy="264560"/>
    <xdr:sp macro="" textlink="">
      <xdr:nvSpPr>
        <xdr:cNvPr id="148" name="TextBox 147"/>
        <xdr:cNvSpPr txBox="1"/>
      </xdr:nvSpPr>
      <xdr:spPr>
        <a:xfrm>
          <a:off x="25699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49" name="TextBox 148"/>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50" name="TextBox 149"/>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51" name="TextBox 150"/>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52" name="TextBox 151"/>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53" name="TextBox 152"/>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54" name="TextBox 153"/>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155" name="TextBox 154"/>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56" name="TextBox 155"/>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57" name="TextBox 156"/>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58" name="TextBox 157"/>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59" name="TextBox 158"/>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60" name="TextBox 159"/>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61" name="TextBox 160"/>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62" name="TextBox 161"/>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610721</xdr:colOff>
      <xdr:row>967</xdr:row>
      <xdr:rowOff>0</xdr:rowOff>
    </xdr:from>
    <xdr:ext cx="166258" cy="311039"/>
    <xdr:sp macro="" textlink="">
      <xdr:nvSpPr>
        <xdr:cNvPr id="163" name="TextBox 162"/>
        <xdr:cNvSpPr txBox="1"/>
      </xdr:nvSpPr>
      <xdr:spPr>
        <a:xfrm>
          <a:off x="2821417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64" name="TextBox 163"/>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65" name="TextBox 164"/>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66" name="TextBox 165"/>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553571</xdr:colOff>
      <xdr:row>967</xdr:row>
      <xdr:rowOff>0</xdr:rowOff>
    </xdr:from>
    <xdr:ext cx="147785" cy="264560"/>
    <xdr:sp macro="" textlink="">
      <xdr:nvSpPr>
        <xdr:cNvPr id="167" name="TextBox 166"/>
        <xdr:cNvSpPr txBox="1"/>
      </xdr:nvSpPr>
      <xdr:spPr>
        <a:xfrm>
          <a:off x="2815702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68" name="TextBox 167"/>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69" name="TextBox 168"/>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553571</xdr:colOff>
      <xdr:row>967</xdr:row>
      <xdr:rowOff>0</xdr:rowOff>
    </xdr:from>
    <xdr:ext cx="166258" cy="264560"/>
    <xdr:sp macro="" textlink="">
      <xdr:nvSpPr>
        <xdr:cNvPr id="170" name="TextBox 169"/>
        <xdr:cNvSpPr txBox="1"/>
      </xdr:nvSpPr>
      <xdr:spPr>
        <a:xfrm>
          <a:off x="281570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71" name="TextBox 170"/>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72" name="TextBox 171"/>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73" name="TextBox 172"/>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74" name="TextBox 173"/>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75" name="TextBox 174"/>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76" name="TextBox 175"/>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77" name="TextBox 176"/>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78" name="TextBox 177"/>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79" name="TextBox 178"/>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80" name="TextBox 179"/>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81" name="TextBox 180"/>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82" name="TextBox 181"/>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83" name="TextBox 182"/>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84" name="TextBox 183"/>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610721</xdr:colOff>
      <xdr:row>967</xdr:row>
      <xdr:rowOff>0</xdr:rowOff>
    </xdr:from>
    <xdr:ext cx="166258" cy="311039"/>
    <xdr:sp macro="" textlink="">
      <xdr:nvSpPr>
        <xdr:cNvPr id="185" name="TextBox 184"/>
        <xdr:cNvSpPr txBox="1"/>
      </xdr:nvSpPr>
      <xdr:spPr>
        <a:xfrm>
          <a:off x="2821417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86" name="TextBox 185"/>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87" name="TextBox 186"/>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88" name="TextBox 187"/>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553571</xdr:colOff>
      <xdr:row>967</xdr:row>
      <xdr:rowOff>0</xdr:rowOff>
    </xdr:from>
    <xdr:ext cx="147785" cy="264560"/>
    <xdr:sp macro="" textlink="">
      <xdr:nvSpPr>
        <xdr:cNvPr id="189" name="TextBox 188"/>
        <xdr:cNvSpPr txBox="1"/>
      </xdr:nvSpPr>
      <xdr:spPr>
        <a:xfrm>
          <a:off x="2815702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90" name="TextBox 189"/>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91" name="TextBox 190"/>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553571</xdr:colOff>
      <xdr:row>967</xdr:row>
      <xdr:rowOff>0</xdr:rowOff>
    </xdr:from>
    <xdr:ext cx="166258" cy="264560"/>
    <xdr:sp macro="" textlink="">
      <xdr:nvSpPr>
        <xdr:cNvPr id="192" name="TextBox 191"/>
        <xdr:cNvSpPr txBox="1"/>
      </xdr:nvSpPr>
      <xdr:spPr>
        <a:xfrm>
          <a:off x="281570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93" name="TextBox 192"/>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94" name="TextBox 193"/>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95" name="TextBox 194"/>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96" name="TextBox 195"/>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97" name="TextBox 196"/>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98" name="TextBox 197"/>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199" name="TextBox 198"/>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00" name="TextBox 199"/>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01" name="TextBox 200"/>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02" name="TextBox 201"/>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03" name="TextBox 202"/>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04" name="TextBox 203"/>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05" name="TextBox 204"/>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06" name="TextBox 205"/>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610721</xdr:colOff>
      <xdr:row>967</xdr:row>
      <xdr:rowOff>0</xdr:rowOff>
    </xdr:from>
    <xdr:ext cx="166258" cy="311039"/>
    <xdr:sp macro="" textlink="">
      <xdr:nvSpPr>
        <xdr:cNvPr id="207" name="TextBox 206"/>
        <xdr:cNvSpPr txBox="1"/>
      </xdr:nvSpPr>
      <xdr:spPr>
        <a:xfrm>
          <a:off x="2903332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08" name="TextBox 207"/>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09" name="TextBox 208"/>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10" name="TextBox 209"/>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967</xdr:row>
      <xdr:rowOff>0</xdr:rowOff>
    </xdr:from>
    <xdr:ext cx="147785" cy="264560"/>
    <xdr:sp macro="" textlink="">
      <xdr:nvSpPr>
        <xdr:cNvPr id="211" name="TextBox 210"/>
        <xdr:cNvSpPr txBox="1"/>
      </xdr:nvSpPr>
      <xdr:spPr>
        <a:xfrm>
          <a:off x="2897617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12" name="TextBox 211"/>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13" name="TextBox 212"/>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967</xdr:row>
      <xdr:rowOff>0</xdr:rowOff>
    </xdr:from>
    <xdr:ext cx="166258" cy="264560"/>
    <xdr:sp macro="" textlink="">
      <xdr:nvSpPr>
        <xdr:cNvPr id="214" name="TextBox 213"/>
        <xdr:cNvSpPr txBox="1"/>
      </xdr:nvSpPr>
      <xdr:spPr>
        <a:xfrm>
          <a:off x="289761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15" name="TextBox 214"/>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16" name="TextBox 215"/>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17" name="TextBox 216"/>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18" name="TextBox 217"/>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19" name="TextBox 218"/>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20" name="TextBox 219"/>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21" name="TextBox 220"/>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22" name="TextBox 221"/>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23" name="TextBox 222"/>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24" name="TextBox 223"/>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25" name="TextBox 224"/>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26" name="TextBox 225"/>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27" name="TextBox 226"/>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28" name="TextBox 227"/>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610721</xdr:colOff>
      <xdr:row>967</xdr:row>
      <xdr:rowOff>0</xdr:rowOff>
    </xdr:from>
    <xdr:ext cx="166258" cy="311039"/>
    <xdr:sp macro="" textlink="">
      <xdr:nvSpPr>
        <xdr:cNvPr id="229" name="TextBox 228"/>
        <xdr:cNvSpPr txBox="1"/>
      </xdr:nvSpPr>
      <xdr:spPr>
        <a:xfrm>
          <a:off x="2903332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30" name="TextBox 229"/>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31" name="TextBox 230"/>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32" name="TextBox 231"/>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967</xdr:row>
      <xdr:rowOff>0</xdr:rowOff>
    </xdr:from>
    <xdr:ext cx="147785" cy="264560"/>
    <xdr:sp macro="" textlink="">
      <xdr:nvSpPr>
        <xdr:cNvPr id="233" name="TextBox 232"/>
        <xdr:cNvSpPr txBox="1"/>
      </xdr:nvSpPr>
      <xdr:spPr>
        <a:xfrm>
          <a:off x="2897617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34" name="TextBox 233"/>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35" name="TextBox 234"/>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553571</xdr:colOff>
      <xdr:row>967</xdr:row>
      <xdr:rowOff>0</xdr:rowOff>
    </xdr:from>
    <xdr:ext cx="166258" cy="264560"/>
    <xdr:sp macro="" textlink="">
      <xdr:nvSpPr>
        <xdr:cNvPr id="236" name="TextBox 235"/>
        <xdr:cNvSpPr txBox="1"/>
      </xdr:nvSpPr>
      <xdr:spPr>
        <a:xfrm>
          <a:off x="289761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37" name="TextBox 236"/>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38" name="TextBox 237"/>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39" name="TextBox 238"/>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40" name="TextBox 239"/>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41" name="TextBox 240"/>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42" name="TextBox 241"/>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243" name="TextBox 242"/>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44" name="TextBox 243"/>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45" name="TextBox 244"/>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46" name="TextBox 245"/>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47" name="TextBox 246"/>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48" name="TextBox 247"/>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49" name="TextBox 248"/>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50" name="TextBox 249"/>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610721</xdr:colOff>
      <xdr:row>967</xdr:row>
      <xdr:rowOff>0</xdr:rowOff>
    </xdr:from>
    <xdr:ext cx="166258" cy="311039"/>
    <xdr:sp macro="" textlink="">
      <xdr:nvSpPr>
        <xdr:cNvPr id="251" name="TextBox 250"/>
        <xdr:cNvSpPr txBox="1"/>
      </xdr:nvSpPr>
      <xdr:spPr>
        <a:xfrm>
          <a:off x="2985247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52" name="TextBox 251"/>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53" name="TextBox 252"/>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54" name="TextBox 253"/>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967</xdr:row>
      <xdr:rowOff>0</xdr:rowOff>
    </xdr:from>
    <xdr:ext cx="147785" cy="264560"/>
    <xdr:sp macro="" textlink="">
      <xdr:nvSpPr>
        <xdr:cNvPr id="255" name="TextBox 254"/>
        <xdr:cNvSpPr txBox="1"/>
      </xdr:nvSpPr>
      <xdr:spPr>
        <a:xfrm>
          <a:off x="2979532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56" name="TextBox 255"/>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57" name="TextBox 256"/>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967</xdr:row>
      <xdr:rowOff>0</xdr:rowOff>
    </xdr:from>
    <xdr:ext cx="166258" cy="264560"/>
    <xdr:sp macro="" textlink="">
      <xdr:nvSpPr>
        <xdr:cNvPr id="258" name="TextBox 257"/>
        <xdr:cNvSpPr txBox="1"/>
      </xdr:nvSpPr>
      <xdr:spPr>
        <a:xfrm>
          <a:off x="297953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59" name="TextBox 258"/>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60" name="TextBox 259"/>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61" name="TextBox 260"/>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62" name="TextBox 261"/>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63" name="TextBox 262"/>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64" name="TextBox 263"/>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65" name="TextBox 264"/>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66" name="TextBox 265"/>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67" name="TextBox 266"/>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68" name="TextBox 267"/>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69" name="TextBox 268"/>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70" name="TextBox 269"/>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71" name="TextBox 270"/>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72" name="TextBox 271"/>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610721</xdr:colOff>
      <xdr:row>967</xdr:row>
      <xdr:rowOff>0</xdr:rowOff>
    </xdr:from>
    <xdr:ext cx="166258" cy="311039"/>
    <xdr:sp macro="" textlink="">
      <xdr:nvSpPr>
        <xdr:cNvPr id="273" name="TextBox 272"/>
        <xdr:cNvSpPr txBox="1"/>
      </xdr:nvSpPr>
      <xdr:spPr>
        <a:xfrm>
          <a:off x="2985247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74" name="TextBox 273"/>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75" name="TextBox 274"/>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76" name="TextBox 275"/>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967</xdr:row>
      <xdr:rowOff>0</xdr:rowOff>
    </xdr:from>
    <xdr:ext cx="147785" cy="264560"/>
    <xdr:sp macro="" textlink="">
      <xdr:nvSpPr>
        <xdr:cNvPr id="277" name="TextBox 276"/>
        <xdr:cNvSpPr txBox="1"/>
      </xdr:nvSpPr>
      <xdr:spPr>
        <a:xfrm>
          <a:off x="2979532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78" name="TextBox 277"/>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79" name="TextBox 278"/>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553571</xdr:colOff>
      <xdr:row>967</xdr:row>
      <xdr:rowOff>0</xdr:rowOff>
    </xdr:from>
    <xdr:ext cx="166258" cy="264560"/>
    <xdr:sp macro="" textlink="">
      <xdr:nvSpPr>
        <xdr:cNvPr id="280" name="TextBox 279"/>
        <xdr:cNvSpPr txBox="1"/>
      </xdr:nvSpPr>
      <xdr:spPr>
        <a:xfrm>
          <a:off x="297953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81" name="TextBox 280"/>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82" name="TextBox 281"/>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83" name="TextBox 282"/>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84" name="TextBox 283"/>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85" name="TextBox 284"/>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86" name="TextBox 285"/>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287" name="TextBox 286"/>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288" name="TextBox 287"/>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289" name="TextBox 288"/>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290" name="TextBox 289"/>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291" name="TextBox 290"/>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292" name="TextBox 291"/>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293" name="TextBox 292"/>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294" name="TextBox 293"/>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610721</xdr:colOff>
      <xdr:row>967</xdr:row>
      <xdr:rowOff>0</xdr:rowOff>
    </xdr:from>
    <xdr:ext cx="166258" cy="311039"/>
    <xdr:sp macro="" textlink="">
      <xdr:nvSpPr>
        <xdr:cNvPr id="295" name="TextBox 294"/>
        <xdr:cNvSpPr txBox="1"/>
      </xdr:nvSpPr>
      <xdr:spPr>
        <a:xfrm>
          <a:off x="3067162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296" name="TextBox 295"/>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297" name="TextBox 296"/>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298" name="TextBox 297"/>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553571</xdr:colOff>
      <xdr:row>967</xdr:row>
      <xdr:rowOff>0</xdr:rowOff>
    </xdr:from>
    <xdr:ext cx="147785" cy="264560"/>
    <xdr:sp macro="" textlink="">
      <xdr:nvSpPr>
        <xdr:cNvPr id="299" name="TextBox 298"/>
        <xdr:cNvSpPr txBox="1"/>
      </xdr:nvSpPr>
      <xdr:spPr>
        <a:xfrm>
          <a:off x="3061447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00" name="TextBox 299"/>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01" name="TextBox 300"/>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553571</xdr:colOff>
      <xdr:row>967</xdr:row>
      <xdr:rowOff>0</xdr:rowOff>
    </xdr:from>
    <xdr:ext cx="166258" cy="264560"/>
    <xdr:sp macro="" textlink="">
      <xdr:nvSpPr>
        <xdr:cNvPr id="302" name="TextBox 301"/>
        <xdr:cNvSpPr txBox="1"/>
      </xdr:nvSpPr>
      <xdr:spPr>
        <a:xfrm>
          <a:off x="30614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03" name="TextBox 302"/>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04" name="TextBox 303"/>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05" name="TextBox 304"/>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06" name="TextBox 305"/>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07" name="TextBox 306"/>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08" name="TextBox 307"/>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09" name="TextBox 308"/>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10" name="TextBox 309"/>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11" name="TextBox 310"/>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12" name="TextBox 311"/>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13" name="TextBox 312"/>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14" name="TextBox 313"/>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15" name="TextBox 314"/>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16" name="TextBox 315"/>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610721</xdr:colOff>
      <xdr:row>967</xdr:row>
      <xdr:rowOff>0</xdr:rowOff>
    </xdr:from>
    <xdr:ext cx="166258" cy="311039"/>
    <xdr:sp macro="" textlink="">
      <xdr:nvSpPr>
        <xdr:cNvPr id="317" name="TextBox 316"/>
        <xdr:cNvSpPr txBox="1"/>
      </xdr:nvSpPr>
      <xdr:spPr>
        <a:xfrm>
          <a:off x="3067162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18" name="TextBox 317"/>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19" name="TextBox 318"/>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20" name="TextBox 319"/>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553571</xdr:colOff>
      <xdr:row>967</xdr:row>
      <xdr:rowOff>0</xdr:rowOff>
    </xdr:from>
    <xdr:ext cx="147785" cy="264560"/>
    <xdr:sp macro="" textlink="">
      <xdr:nvSpPr>
        <xdr:cNvPr id="321" name="TextBox 320"/>
        <xdr:cNvSpPr txBox="1"/>
      </xdr:nvSpPr>
      <xdr:spPr>
        <a:xfrm>
          <a:off x="3061447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22" name="TextBox 321"/>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23" name="TextBox 322"/>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553571</xdr:colOff>
      <xdr:row>967</xdr:row>
      <xdr:rowOff>0</xdr:rowOff>
    </xdr:from>
    <xdr:ext cx="166258" cy="264560"/>
    <xdr:sp macro="" textlink="">
      <xdr:nvSpPr>
        <xdr:cNvPr id="324" name="TextBox 323"/>
        <xdr:cNvSpPr txBox="1"/>
      </xdr:nvSpPr>
      <xdr:spPr>
        <a:xfrm>
          <a:off x="30614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25" name="TextBox 324"/>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26" name="TextBox 325"/>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27" name="TextBox 326"/>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28" name="TextBox 327"/>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29" name="TextBox 328"/>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30" name="TextBox 329"/>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331" name="TextBox 330"/>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32" name="TextBox 331"/>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33" name="TextBox 332"/>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34" name="TextBox 333"/>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35" name="TextBox 334"/>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36" name="TextBox 335"/>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37" name="TextBox 336"/>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38" name="TextBox 337"/>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610721</xdr:colOff>
      <xdr:row>967</xdr:row>
      <xdr:rowOff>0</xdr:rowOff>
    </xdr:from>
    <xdr:ext cx="166258" cy="311039"/>
    <xdr:sp macro="" textlink="">
      <xdr:nvSpPr>
        <xdr:cNvPr id="339" name="TextBox 338"/>
        <xdr:cNvSpPr txBox="1"/>
      </xdr:nvSpPr>
      <xdr:spPr>
        <a:xfrm>
          <a:off x="2493757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40" name="TextBox 339"/>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41" name="TextBox 340"/>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42" name="TextBox 341"/>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967</xdr:row>
      <xdr:rowOff>0</xdr:rowOff>
    </xdr:from>
    <xdr:ext cx="147785" cy="264560"/>
    <xdr:sp macro="" textlink="">
      <xdr:nvSpPr>
        <xdr:cNvPr id="343" name="TextBox 342"/>
        <xdr:cNvSpPr txBox="1"/>
      </xdr:nvSpPr>
      <xdr:spPr>
        <a:xfrm>
          <a:off x="2488042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44" name="TextBox 343"/>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45" name="TextBox 344"/>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967</xdr:row>
      <xdr:rowOff>0</xdr:rowOff>
    </xdr:from>
    <xdr:ext cx="166258" cy="264560"/>
    <xdr:sp macro="" textlink="">
      <xdr:nvSpPr>
        <xdr:cNvPr id="346" name="TextBox 345"/>
        <xdr:cNvSpPr txBox="1"/>
      </xdr:nvSpPr>
      <xdr:spPr>
        <a:xfrm>
          <a:off x="248804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47" name="TextBox 346"/>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48" name="TextBox 347"/>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49" name="TextBox 348"/>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50" name="TextBox 349"/>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51" name="TextBox 350"/>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52" name="TextBox 351"/>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53" name="TextBox 352"/>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54" name="TextBox 353"/>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55" name="TextBox 354"/>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56" name="TextBox 355"/>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57" name="TextBox 356"/>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58" name="TextBox 357"/>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59" name="TextBox 358"/>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60" name="TextBox 359"/>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610721</xdr:colOff>
      <xdr:row>967</xdr:row>
      <xdr:rowOff>0</xdr:rowOff>
    </xdr:from>
    <xdr:ext cx="166258" cy="311039"/>
    <xdr:sp macro="" textlink="">
      <xdr:nvSpPr>
        <xdr:cNvPr id="361" name="TextBox 360"/>
        <xdr:cNvSpPr txBox="1"/>
      </xdr:nvSpPr>
      <xdr:spPr>
        <a:xfrm>
          <a:off x="2493757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62" name="TextBox 361"/>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63" name="TextBox 362"/>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64" name="TextBox 363"/>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967</xdr:row>
      <xdr:rowOff>0</xdr:rowOff>
    </xdr:from>
    <xdr:ext cx="147785" cy="264560"/>
    <xdr:sp macro="" textlink="">
      <xdr:nvSpPr>
        <xdr:cNvPr id="365" name="TextBox 364"/>
        <xdr:cNvSpPr txBox="1"/>
      </xdr:nvSpPr>
      <xdr:spPr>
        <a:xfrm>
          <a:off x="2488042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66" name="TextBox 365"/>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67" name="TextBox 366"/>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553571</xdr:colOff>
      <xdr:row>967</xdr:row>
      <xdr:rowOff>0</xdr:rowOff>
    </xdr:from>
    <xdr:ext cx="166258" cy="264560"/>
    <xdr:sp macro="" textlink="">
      <xdr:nvSpPr>
        <xdr:cNvPr id="368" name="TextBox 367"/>
        <xdr:cNvSpPr txBox="1"/>
      </xdr:nvSpPr>
      <xdr:spPr>
        <a:xfrm>
          <a:off x="248804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69" name="TextBox 368"/>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70" name="TextBox 369"/>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71" name="TextBox 370"/>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72" name="TextBox 371"/>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73" name="TextBox 372"/>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74" name="TextBox 373"/>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375" name="TextBox 374"/>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76" name="TextBox 375"/>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77" name="TextBox 376"/>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78" name="TextBox 377"/>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79" name="TextBox 378"/>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80" name="TextBox 379"/>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81" name="TextBox 380"/>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82" name="TextBox 381"/>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610721</xdr:colOff>
      <xdr:row>967</xdr:row>
      <xdr:rowOff>0</xdr:rowOff>
    </xdr:from>
    <xdr:ext cx="166258" cy="311039"/>
    <xdr:sp macro="" textlink="">
      <xdr:nvSpPr>
        <xdr:cNvPr id="383" name="TextBox 382"/>
        <xdr:cNvSpPr txBox="1"/>
      </xdr:nvSpPr>
      <xdr:spPr>
        <a:xfrm>
          <a:off x="2575672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84" name="TextBox 383"/>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85" name="TextBox 384"/>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86" name="TextBox 385"/>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967</xdr:row>
      <xdr:rowOff>0</xdr:rowOff>
    </xdr:from>
    <xdr:ext cx="147785" cy="264560"/>
    <xdr:sp macro="" textlink="">
      <xdr:nvSpPr>
        <xdr:cNvPr id="387" name="TextBox 386"/>
        <xdr:cNvSpPr txBox="1"/>
      </xdr:nvSpPr>
      <xdr:spPr>
        <a:xfrm>
          <a:off x="2569957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88" name="TextBox 387"/>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89" name="TextBox 388"/>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967</xdr:row>
      <xdr:rowOff>0</xdr:rowOff>
    </xdr:from>
    <xdr:ext cx="166258" cy="264560"/>
    <xdr:sp macro="" textlink="">
      <xdr:nvSpPr>
        <xdr:cNvPr id="390" name="TextBox 389"/>
        <xdr:cNvSpPr txBox="1"/>
      </xdr:nvSpPr>
      <xdr:spPr>
        <a:xfrm>
          <a:off x="25699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91" name="TextBox 390"/>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92" name="TextBox 391"/>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93" name="TextBox 392"/>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94" name="TextBox 393"/>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95" name="TextBox 394"/>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96" name="TextBox 395"/>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97" name="TextBox 396"/>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98" name="TextBox 397"/>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399" name="TextBox 398"/>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00" name="TextBox 399"/>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01" name="TextBox 400"/>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02" name="TextBox 401"/>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03" name="TextBox 402"/>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04" name="TextBox 403"/>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610721</xdr:colOff>
      <xdr:row>967</xdr:row>
      <xdr:rowOff>0</xdr:rowOff>
    </xdr:from>
    <xdr:ext cx="166258" cy="311039"/>
    <xdr:sp macro="" textlink="">
      <xdr:nvSpPr>
        <xdr:cNvPr id="405" name="TextBox 404"/>
        <xdr:cNvSpPr txBox="1"/>
      </xdr:nvSpPr>
      <xdr:spPr>
        <a:xfrm>
          <a:off x="25756721"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06" name="TextBox 405"/>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07" name="TextBox 406"/>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08" name="TextBox 407"/>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967</xdr:row>
      <xdr:rowOff>0</xdr:rowOff>
    </xdr:from>
    <xdr:ext cx="147785" cy="264560"/>
    <xdr:sp macro="" textlink="">
      <xdr:nvSpPr>
        <xdr:cNvPr id="409" name="TextBox 408"/>
        <xdr:cNvSpPr txBox="1"/>
      </xdr:nvSpPr>
      <xdr:spPr>
        <a:xfrm>
          <a:off x="25699571"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10" name="TextBox 409"/>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11" name="TextBox 410"/>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553571</xdr:colOff>
      <xdr:row>967</xdr:row>
      <xdr:rowOff>0</xdr:rowOff>
    </xdr:from>
    <xdr:ext cx="166258" cy="264560"/>
    <xdr:sp macro="" textlink="">
      <xdr:nvSpPr>
        <xdr:cNvPr id="412" name="TextBox 411"/>
        <xdr:cNvSpPr txBox="1"/>
      </xdr:nvSpPr>
      <xdr:spPr>
        <a:xfrm>
          <a:off x="25699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13" name="TextBox 412"/>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14" name="TextBox 413"/>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15" name="TextBox 414"/>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16" name="TextBox 415"/>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17" name="TextBox 416"/>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18" name="TextBox 417"/>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419" name="TextBox 418"/>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20" name="TextBox 41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21" name="TextBox 42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22" name="TextBox 42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23" name="TextBox 42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24" name="TextBox 42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25" name="TextBox 42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26" name="TextBox 42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27" name="TextBox 42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28" name="TextBox 42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29" name="TextBox 42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30" name="TextBox 42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31" name="TextBox 43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32" name="TextBox 43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33" name="TextBox 43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34" name="TextBox 43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35" name="TextBox 43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36" name="TextBox 43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37" name="TextBox 43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38" name="TextBox 43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39" name="TextBox 43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40" name="TextBox 43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41" name="TextBox 44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42" name="TextBox 44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43" name="TextBox 44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44" name="TextBox 44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45" name="TextBox 44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46" name="TextBox 44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47" name="TextBox 44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48" name="TextBox 44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49" name="TextBox 44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50" name="TextBox 44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51" name="TextBox 45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52" name="TextBox 45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53" name="TextBox 45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54" name="TextBox 45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55" name="TextBox 45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66258" cy="311039"/>
    <xdr:sp macro="" textlink="">
      <xdr:nvSpPr>
        <xdr:cNvPr id="456" name="TextBox 455"/>
        <xdr:cNvSpPr txBox="1"/>
      </xdr:nvSpPr>
      <xdr:spPr>
        <a:xfrm>
          <a:off x="6239996"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57" name="TextBox 45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58" name="TextBox 45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59" name="TextBox 45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60" name="TextBox 45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61" name="TextBox 46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62" name="TextBox 46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63" name="TextBox 46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64" name="TextBox 46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65" name="TextBox 46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66" name="TextBox 46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67" name="TextBox 46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68" name="TextBox 46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66258" cy="311039"/>
    <xdr:sp macro="" textlink="">
      <xdr:nvSpPr>
        <xdr:cNvPr id="469" name="TextBox 468"/>
        <xdr:cNvSpPr txBox="1"/>
      </xdr:nvSpPr>
      <xdr:spPr>
        <a:xfrm>
          <a:off x="6239996"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70" name="TextBox 46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71" name="TextBox 47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72" name="TextBox 47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73" name="TextBox 47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74" name="TextBox 47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75" name="TextBox 47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76" name="TextBox 47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77" name="TextBox 47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78" name="TextBox 47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79" name="TextBox 47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80" name="TextBox 47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81" name="TextBox 48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82" name="TextBox 48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66258" cy="311039"/>
    <xdr:sp macro="" textlink="">
      <xdr:nvSpPr>
        <xdr:cNvPr id="483" name="TextBox 482"/>
        <xdr:cNvSpPr txBox="1"/>
      </xdr:nvSpPr>
      <xdr:spPr>
        <a:xfrm>
          <a:off x="6239996"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84" name="TextBox 48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85" name="TextBox 48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86" name="TextBox 48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47785" cy="264560"/>
    <xdr:sp macro="" textlink="">
      <xdr:nvSpPr>
        <xdr:cNvPr id="487" name="TextBox 486"/>
        <xdr:cNvSpPr txBox="1"/>
      </xdr:nvSpPr>
      <xdr:spPr>
        <a:xfrm>
          <a:off x="6182846"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88" name="TextBox 48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89" name="TextBox 48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90" name="TextBox 48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91" name="TextBox 49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92" name="TextBox 49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93" name="TextBox 49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94" name="TextBox 49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95" name="TextBox 49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96" name="TextBox 49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97" name="TextBox 49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498" name="TextBox 49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66258" cy="311039"/>
    <xdr:sp macro="" textlink="">
      <xdr:nvSpPr>
        <xdr:cNvPr id="499" name="TextBox 498"/>
        <xdr:cNvSpPr txBox="1"/>
      </xdr:nvSpPr>
      <xdr:spPr>
        <a:xfrm>
          <a:off x="6239996"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00" name="TextBox 49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01" name="TextBox 50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02" name="TextBox 50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47785" cy="264560"/>
    <xdr:sp macro="" textlink="">
      <xdr:nvSpPr>
        <xdr:cNvPr id="503" name="TextBox 502"/>
        <xdr:cNvSpPr txBox="1"/>
      </xdr:nvSpPr>
      <xdr:spPr>
        <a:xfrm>
          <a:off x="6182846"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04" name="TextBox 50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05" name="TextBox 50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06" name="TextBox 50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07" name="TextBox 50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08" name="TextBox 50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09" name="TextBox 50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10" name="TextBox 50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11" name="TextBox 51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12" name="TextBox 51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13" name="TextBox 51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14" name="TextBox 51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66258" cy="311039"/>
    <xdr:sp macro="" textlink="">
      <xdr:nvSpPr>
        <xdr:cNvPr id="515" name="TextBox 514"/>
        <xdr:cNvSpPr txBox="1"/>
      </xdr:nvSpPr>
      <xdr:spPr>
        <a:xfrm>
          <a:off x="6239996"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16" name="TextBox 51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17" name="TextBox 51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18" name="TextBox 51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47785" cy="264560"/>
    <xdr:sp macro="" textlink="">
      <xdr:nvSpPr>
        <xdr:cNvPr id="519" name="TextBox 518"/>
        <xdr:cNvSpPr txBox="1"/>
      </xdr:nvSpPr>
      <xdr:spPr>
        <a:xfrm>
          <a:off x="6182846"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20" name="TextBox 51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21" name="TextBox 52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66258" cy="264560"/>
    <xdr:sp macro="" textlink="">
      <xdr:nvSpPr>
        <xdr:cNvPr id="522" name="TextBox 521"/>
        <xdr:cNvSpPr txBox="1"/>
      </xdr:nvSpPr>
      <xdr:spPr>
        <a:xfrm>
          <a:off x="61828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23" name="TextBox 52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24" name="TextBox 52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25" name="TextBox 52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26" name="TextBox 52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27" name="TextBox 52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28" name="TextBox 52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29" name="TextBox 52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30" name="TextBox 52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31" name="TextBox 53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32" name="TextBox 53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33" name="TextBox 53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66258" cy="311039"/>
    <xdr:sp macro="" textlink="">
      <xdr:nvSpPr>
        <xdr:cNvPr id="534" name="TextBox 533"/>
        <xdr:cNvSpPr txBox="1"/>
      </xdr:nvSpPr>
      <xdr:spPr>
        <a:xfrm>
          <a:off x="6239996"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35" name="TextBox 53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36" name="TextBox 53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37" name="TextBox 53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47785" cy="264560"/>
    <xdr:sp macro="" textlink="">
      <xdr:nvSpPr>
        <xdr:cNvPr id="538" name="TextBox 537"/>
        <xdr:cNvSpPr txBox="1"/>
      </xdr:nvSpPr>
      <xdr:spPr>
        <a:xfrm>
          <a:off x="6182846"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39" name="TextBox 53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40" name="TextBox 53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66258" cy="264560"/>
    <xdr:sp macro="" textlink="">
      <xdr:nvSpPr>
        <xdr:cNvPr id="541" name="TextBox 540"/>
        <xdr:cNvSpPr txBox="1"/>
      </xdr:nvSpPr>
      <xdr:spPr>
        <a:xfrm>
          <a:off x="61828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42" name="TextBox 54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43" name="TextBox 54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44" name="TextBox 54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45" name="TextBox 54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46" name="TextBox 54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47" name="TextBox 54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48" name="TextBox 54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49" name="TextBox 54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50" name="TextBox 54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51" name="TextBox 55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52" name="TextBox 55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53" name="TextBox 55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66258" cy="311039"/>
    <xdr:sp macro="" textlink="">
      <xdr:nvSpPr>
        <xdr:cNvPr id="554" name="TextBox 553"/>
        <xdr:cNvSpPr txBox="1"/>
      </xdr:nvSpPr>
      <xdr:spPr>
        <a:xfrm>
          <a:off x="6239996"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55" name="TextBox 55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56" name="TextBox 55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57" name="TextBox 55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47785" cy="264560"/>
    <xdr:sp macro="" textlink="">
      <xdr:nvSpPr>
        <xdr:cNvPr id="558" name="TextBox 557"/>
        <xdr:cNvSpPr txBox="1"/>
      </xdr:nvSpPr>
      <xdr:spPr>
        <a:xfrm>
          <a:off x="6182846"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59" name="TextBox 55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60" name="TextBox 55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66258" cy="264560"/>
    <xdr:sp macro="" textlink="">
      <xdr:nvSpPr>
        <xdr:cNvPr id="561" name="TextBox 560"/>
        <xdr:cNvSpPr txBox="1"/>
      </xdr:nvSpPr>
      <xdr:spPr>
        <a:xfrm>
          <a:off x="61828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62" name="TextBox 56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63" name="TextBox 56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64" name="TextBox 56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65" name="TextBox 56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66" name="TextBox 56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67" name="TextBox 56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68" name="TextBox 56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69" name="TextBox 56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70" name="TextBox 56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71" name="TextBox 57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72" name="TextBox 57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73" name="TextBox 57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74" name="TextBox 57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66258" cy="311039"/>
    <xdr:sp macro="" textlink="">
      <xdr:nvSpPr>
        <xdr:cNvPr id="575" name="TextBox 574"/>
        <xdr:cNvSpPr txBox="1"/>
      </xdr:nvSpPr>
      <xdr:spPr>
        <a:xfrm>
          <a:off x="6239996"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76" name="TextBox 57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77" name="TextBox 57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78" name="TextBox 57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47785" cy="264560"/>
    <xdr:sp macro="" textlink="">
      <xdr:nvSpPr>
        <xdr:cNvPr id="579" name="TextBox 578"/>
        <xdr:cNvSpPr txBox="1"/>
      </xdr:nvSpPr>
      <xdr:spPr>
        <a:xfrm>
          <a:off x="6182846"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80" name="TextBox 57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81" name="TextBox 58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66258" cy="264560"/>
    <xdr:sp macro="" textlink="">
      <xdr:nvSpPr>
        <xdr:cNvPr id="582" name="TextBox 581"/>
        <xdr:cNvSpPr txBox="1"/>
      </xdr:nvSpPr>
      <xdr:spPr>
        <a:xfrm>
          <a:off x="61828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83" name="TextBox 58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84" name="TextBox 58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85" name="TextBox 58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86" name="TextBox 58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87" name="TextBox 58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88" name="TextBox 58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89" name="TextBox 58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90" name="TextBox 58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91" name="TextBox 59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92" name="TextBox 59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593" name="TextBox 59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594" name="TextBox 593"/>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595" name="TextBox 594"/>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596" name="TextBox 595"/>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597" name="TextBox 596"/>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598" name="TextBox 597"/>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599" name="TextBox 598"/>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600" name="TextBox 599"/>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591671</xdr:colOff>
      <xdr:row>967</xdr:row>
      <xdr:rowOff>0</xdr:rowOff>
    </xdr:from>
    <xdr:ext cx="184731" cy="264560"/>
    <xdr:sp macro="" textlink="">
      <xdr:nvSpPr>
        <xdr:cNvPr id="601" name="TextBox 600"/>
        <xdr:cNvSpPr txBox="1"/>
      </xdr:nvSpPr>
      <xdr:spPr>
        <a:xfrm>
          <a:off x="62209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602" name="TextBox 601"/>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603" name="TextBox 602"/>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604" name="TextBox 603"/>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605" name="TextBox 604"/>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06" name="TextBox 60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07" name="TextBox 606"/>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08" name="TextBox 60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09" name="TextBox 60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10" name="TextBox 609"/>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11" name="TextBox 61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12" name="TextBox 61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66258" cy="311039"/>
    <xdr:sp macro="" textlink="">
      <xdr:nvSpPr>
        <xdr:cNvPr id="613" name="TextBox 612"/>
        <xdr:cNvSpPr txBox="1"/>
      </xdr:nvSpPr>
      <xdr:spPr>
        <a:xfrm>
          <a:off x="6239996" y="94221300"/>
          <a:ext cx="166258" cy="31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14" name="TextBox 61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15" name="TextBox 614"/>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16" name="TextBox 615"/>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47785" cy="264560"/>
    <xdr:sp macro="" textlink="">
      <xdr:nvSpPr>
        <xdr:cNvPr id="617" name="TextBox 616"/>
        <xdr:cNvSpPr txBox="1"/>
      </xdr:nvSpPr>
      <xdr:spPr>
        <a:xfrm>
          <a:off x="6182846" y="94221300"/>
          <a:ext cx="14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18" name="TextBox 617"/>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19" name="TextBox 618"/>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553571</xdr:colOff>
      <xdr:row>967</xdr:row>
      <xdr:rowOff>0</xdr:rowOff>
    </xdr:from>
    <xdr:ext cx="166258" cy="264560"/>
    <xdr:sp macro="" textlink="">
      <xdr:nvSpPr>
        <xdr:cNvPr id="620" name="TextBox 619"/>
        <xdr:cNvSpPr txBox="1"/>
      </xdr:nvSpPr>
      <xdr:spPr>
        <a:xfrm>
          <a:off x="61828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21" name="TextBox 620"/>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22" name="TextBox 621"/>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23" name="TextBox 622"/>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66258" cy="264560"/>
    <xdr:sp macro="" textlink="">
      <xdr:nvSpPr>
        <xdr:cNvPr id="624" name="TextBox 623"/>
        <xdr:cNvSpPr txBox="1"/>
      </xdr:nvSpPr>
      <xdr:spPr>
        <a:xfrm>
          <a:off x="625904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84731" cy="264560"/>
    <xdr:sp macro="" textlink="">
      <xdr:nvSpPr>
        <xdr:cNvPr id="625" name="TextBox 624"/>
        <xdr:cNvSpPr txBox="1"/>
      </xdr:nvSpPr>
      <xdr:spPr>
        <a:xfrm>
          <a:off x="62590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84731" cy="264560"/>
    <xdr:sp macro="" textlink="">
      <xdr:nvSpPr>
        <xdr:cNvPr id="626" name="TextBox 625"/>
        <xdr:cNvSpPr txBox="1"/>
      </xdr:nvSpPr>
      <xdr:spPr>
        <a:xfrm>
          <a:off x="62590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84731" cy="264560"/>
    <xdr:sp macro="" textlink="">
      <xdr:nvSpPr>
        <xdr:cNvPr id="627" name="TextBox 626"/>
        <xdr:cNvSpPr txBox="1"/>
      </xdr:nvSpPr>
      <xdr:spPr>
        <a:xfrm>
          <a:off x="62590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84731" cy="264560"/>
    <xdr:sp macro="" textlink="">
      <xdr:nvSpPr>
        <xdr:cNvPr id="628" name="TextBox 627"/>
        <xdr:cNvSpPr txBox="1"/>
      </xdr:nvSpPr>
      <xdr:spPr>
        <a:xfrm>
          <a:off x="62590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84731" cy="264560"/>
    <xdr:sp macro="" textlink="">
      <xdr:nvSpPr>
        <xdr:cNvPr id="629" name="TextBox 628"/>
        <xdr:cNvSpPr txBox="1"/>
      </xdr:nvSpPr>
      <xdr:spPr>
        <a:xfrm>
          <a:off x="62590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84731" cy="264560"/>
    <xdr:sp macro="" textlink="">
      <xdr:nvSpPr>
        <xdr:cNvPr id="630" name="TextBox 629"/>
        <xdr:cNvSpPr txBox="1"/>
      </xdr:nvSpPr>
      <xdr:spPr>
        <a:xfrm>
          <a:off x="62590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84731" cy="264560"/>
    <xdr:sp macro="" textlink="">
      <xdr:nvSpPr>
        <xdr:cNvPr id="631" name="TextBox 630"/>
        <xdr:cNvSpPr txBox="1"/>
      </xdr:nvSpPr>
      <xdr:spPr>
        <a:xfrm>
          <a:off x="62590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610721</xdr:colOff>
      <xdr:row>967</xdr:row>
      <xdr:rowOff>0</xdr:rowOff>
    </xdr:from>
    <xdr:ext cx="184731" cy="264560"/>
    <xdr:sp macro="" textlink="">
      <xdr:nvSpPr>
        <xdr:cNvPr id="632" name="TextBox 631"/>
        <xdr:cNvSpPr txBox="1"/>
      </xdr:nvSpPr>
      <xdr:spPr>
        <a:xfrm>
          <a:off x="623999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84731" cy="264560"/>
    <xdr:sp macro="" textlink="">
      <xdr:nvSpPr>
        <xdr:cNvPr id="633" name="TextBox 632"/>
        <xdr:cNvSpPr txBox="1"/>
      </xdr:nvSpPr>
      <xdr:spPr>
        <a:xfrm>
          <a:off x="62590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84731" cy="264560"/>
    <xdr:sp macro="" textlink="">
      <xdr:nvSpPr>
        <xdr:cNvPr id="634" name="TextBox 633"/>
        <xdr:cNvSpPr txBox="1"/>
      </xdr:nvSpPr>
      <xdr:spPr>
        <a:xfrm>
          <a:off x="62590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84731" cy="264560"/>
    <xdr:sp macro="" textlink="">
      <xdr:nvSpPr>
        <xdr:cNvPr id="635" name="TextBox 634"/>
        <xdr:cNvSpPr txBox="1"/>
      </xdr:nvSpPr>
      <xdr:spPr>
        <a:xfrm>
          <a:off x="62590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629771</xdr:colOff>
      <xdr:row>967</xdr:row>
      <xdr:rowOff>0</xdr:rowOff>
    </xdr:from>
    <xdr:ext cx="184731" cy="264560"/>
    <xdr:sp macro="" textlink="">
      <xdr:nvSpPr>
        <xdr:cNvPr id="636" name="TextBox 635"/>
        <xdr:cNvSpPr txBox="1"/>
      </xdr:nvSpPr>
      <xdr:spPr>
        <a:xfrm>
          <a:off x="6259046" y="942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8</xdr:col>
      <xdr:colOff>629771</xdr:colOff>
      <xdr:row>967</xdr:row>
      <xdr:rowOff>0</xdr:rowOff>
    </xdr:from>
    <xdr:ext cx="166258" cy="264560"/>
    <xdr:sp macro="" textlink="">
      <xdr:nvSpPr>
        <xdr:cNvPr id="637" name="TextBox 636"/>
        <xdr:cNvSpPr txBox="1"/>
      </xdr:nvSpPr>
      <xdr:spPr>
        <a:xfrm>
          <a:off x="8173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8</xdr:col>
      <xdr:colOff>629771</xdr:colOff>
      <xdr:row>967</xdr:row>
      <xdr:rowOff>0</xdr:rowOff>
    </xdr:from>
    <xdr:ext cx="166258" cy="264560"/>
    <xdr:sp macro="" textlink="">
      <xdr:nvSpPr>
        <xdr:cNvPr id="638" name="TextBox 637"/>
        <xdr:cNvSpPr txBox="1"/>
      </xdr:nvSpPr>
      <xdr:spPr>
        <a:xfrm>
          <a:off x="8173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629771</xdr:colOff>
      <xdr:row>967</xdr:row>
      <xdr:rowOff>0</xdr:rowOff>
    </xdr:from>
    <xdr:ext cx="166258" cy="264560"/>
    <xdr:sp macro="" textlink="">
      <xdr:nvSpPr>
        <xdr:cNvPr id="639" name="TextBox 638"/>
        <xdr:cNvSpPr txBox="1"/>
      </xdr:nvSpPr>
      <xdr:spPr>
        <a:xfrm>
          <a:off x="91260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629771</xdr:colOff>
      <xdr:row>967</xdr:row>
      <xdr:rowOff>0</xdr:rowOff>
    </xdr:from>
    <xdr:ext cx="166258" cy="264560"/>
    <xdr:sp macro="" textlink="">
      <xdr:nvSpPr>
        <xdr:cNvPr id="640" name="TextBox 639"/>
        <xdr:cNvSpPr txBox="1"/>
      </xdr:nvSpPr>
      <xdr:spPr>
        <a:xfrm>
          <a:off x="91260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629771</xdr:colOff>
      <xdr:row>967</xdr:row>
      <xdr:rowOff>0</xdr:rowOff>
    </xdr:from>
    <xdr:ext cx="166258" cy="264560"/>
    <xdr:sp macro="" textlink="">
      <xdr:nvSpPr>
        <xdr:cNvPr id="641" name="TextBox 640"/>
        <xdr:cNvSpPr txBox="1"/>
      </xdr:nvSpPr>
      <xdr:spPr>
        <a:xfrm>
          <a:off x="10078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629771</xdr:colOff>
      <xdr:row>967</xdr:row>
      <xdr:rowOff>0</xdr:rowOff>
    </xdr:from>
    <xdr:ext cx="166258" cy="264560"/>
    <xdr:sp macro="" textlink="">
      <xdr:nvSpPr>
        <xdr:cNvPr id="642" name="TextBox 641"/>
        <xdr:cNvSpPr txBox="1"/>
      </xdr:nvSpPr>
      <xdr:spPr>
        <a:xfrm>
          <a:off x="10078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629771</xdr:colOff>
      <xdr:row>967</xdr:row>
      <xdr:rowOff>0</xdr:rowOff>
    </xdr:from>
    <xdr:ext cx="166258" cy="264560"/>
    <xdr:sp macro="" textlink="">
      <xdr:nvSpPr>
        <xdr:cNvPr id="643" name="TextBox 642"/>
        <xdr:cNvSpPr txBox="1"/>
      </xdr:nvSpPr>
      <xdr:spPr>
        <a:xfrm>
          <a:off x="110310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629771</xdr:colOff>
      <xdr:row>967</xdr:row>
      <xdr:rowOff>0</xdr:rowOff>
    </xdr:from>
    <xdr:ext cx="166258" cy="264560"/>
    <xdr:sp macro="" textlink="">
      <xdr:nvSpPr>
        <xdr:cNvPr id="644" name="TextBox 643"/>
        <xdr:cNvSpPr txBox="1"/>
      </xdr:nvSpPr>
      <xdr:spPr>
        <a:xfrm>
          <a:off x="110310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629771</xdr:colOff>
      <xdr:row>967</xdr:row>
      <xdr:rowOff>0</xdr:rowOff>
    </xdr:from>
    <xdr:ext cx="166258" cy="264560"/>
    <xdr:sp macro="" textlink="">
      <xdr:nvSpPr>
        <xdr:cNvPr id="645" name="TextBox 644"/>
        <xdr:cNvSpPr txBox="1"/>
      </xdr:nvSpPr>
      <xdr:spPr>
        <a:xfrm>
          <a:off x="11983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629771</xdr:colOff>
      <xdr:row>967</xdr:row>
      <xdr:rowOff>0</xdr:rowOff>
    </xdr:from>
    <xdr:ext cx="166258" cy="264560"/>
    <xdr:sp macro="" textlink="">
      <xdr:nvSpPr>
        <xdr:cNvPr id="646" name="TextBox 645"/>
        <xdr:cNvSpPr txBox="1"/>
      </xdr:nvSpPr>
      <xdr:spPr>
        <a:xfrm>
          <a:off x="11983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629771</xdr:colOff>
      <xdr:row>967</xdr:row>
      <xdr:rowOff>0</xdr:rowOff>
    </xdr:from>
    <xdr:ext cx="166258" cy="264560"/>
    <xdr:sp macro="" textlink="">
      <xdr:nvSpPr>
        <xdr:cNvPr id="647" name="TextBox 646"/>
        <xdr:cNvSpPr txBox="1"/>
      </xdr:nvSpPr>
      <xdr:spPr>
        <a:xfrm>
          <a:off x="129360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629771</xdr:colOff>
      <xdr:row>967</xdr:row>
      <xdr:rowOff>0</xdr:rowOff>
    </xdr:from>
    <xdr:ext cx="166258" cy="264560"/>
    <xdr:sp macro="" textlink="">
      <xdr:nvSpPr>
        <xdr:cNvPr id="648" name="TextBox 647"/>
        <xdr:cNvSpPr txBox="1"/>
      </xdr:nvSpPr>
      <xdr:spPr>
        <a:xfrm>
          <a:off x="129360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629771</xdr:colOff>
      <xdr:row>967</xdr:row>
      <xdr:rowOff>0</xdr:rowOff>
    </xdr:from>
    <xdr:ext cx="166258" cy="264560"/>
    <xdr:sp macro="" textlink="">
      <xdr:nvSpPr>
        <xdr:cNvPr id="649" name="TextBox 648"/>
        <xdr:cNvSpPr txBox="1"/>
      </xdr:nvSpPr>
      <xdr:spPr>
        <a:xfrm>
          <a:off x="13888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629771</xdr:colOff>
      <xdr:row>967</xdr:row>
      <xdr:rowOff>0</xdr:rowOff>
    </xdr:from>
    <xdr:ext cx="166258" cy="264560"/>
    <xdr:sp macro="" textlink="">
      <xdr:nvSpPr>
        <xdr:cNvPr id="650" name="TextBox 649"/>
        <xdr:cNvSpPr txBox="1"/>
      </xdr:nvSpPr>
      <xdr:spPr>
        <a:xfrm>
          <a:off x="13888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629771</xdr:colOff>
      <xdr:row>967</xdr:row>
      <xdr:rowOff>0</xdr:rowOff>
    </xdr:from>
    <xdr:ext cx="166258" cy="264560"/>
    <xdr:sp macro="" textlink="">
      <xdr:nvSpPr>
        <xdr:cNvPr id="651" name="TextBox 650"/>
        <xdr:cNvSpPr txBox="1"/>
      </xdr:nvSpPr>
      <xdr:spPr>
        <a:xfrm>
          <a:off x="148410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629771</xdr:colOff>
      <xdr:row>967</xdr:row>
      <xdr:rowOff>0</xdr:rowOff>
    </xdr:from>
    <xdr:ext cx="166258" cy="264560"/>
    <xdr:sp macro="" textlink="">
      <xdr:nvSpPr>
        <xdr:cNvPr id="652" name="TextBox 651"/>
        <xdr:cNvSpPr txBox="1"/>
      </xdr:nvSpPr>
      <xdr:spPr>
        <a:xfrm>
          <a:off x="148410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16</xdr:col>
      <xdr:colOff>629771</xdr:colOff>
      <xdr:row>967</xdr:row>
      <xdr:rowOff>0</xdr:rowOff>
    </xdr:from>
    <xdr:ext cx="166258" cy="264560"/>
    <xdr:sp macro="" textlink="">
      <xdr:nvSpPr>
        <xdr:cNvPr id="653" name="TextBox 652"/>
        <xdr:cNvSpPr txBox="1"/>
      </xdr:nvSpPr>
      <xdr:spPr>
        <a:xfrm>
          <a:off x="1599359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16</xdr:col>
      <xdr:colOff>629771</xdr:colOff>
      <xdr:row>967</xdr:row>
      <xdr:rowOff>0</xdr:rowOff>
    </xdr:from>
    <xdr:ext cx="166258" cy="264560"/>
    <xdr:sp macro="" textlink="">
      <xdr:nvSpPr>
        <xdr:cNvPr id="654" name="TextBox 653"/>
        <xdr:cNvSpPr txBox="1"/>
      </xdr:nvSpPr>
      <xdr:spPr>
        <a:xfrm>
          <a:off x="1599359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629771</xdr:colOff>
      <xdr:row>967</xdr:row>
      <xdr:rowOff>0</xdr:rowOff>
    </xdr:from>
    <xdr:ext cx="166258" cy="264560"/>
    <xdr:sp macro="" textlink="">
      <xdr:nvSpPr>
        <xdr:cNvPr id="655" name="TextBox 654"/>
        <xdr:cNvSpPr txBox="1"/>
      </xdr:nvSpPr>
      <xdr:spPr>
        <a:xfrm>
          <a:off x="1694609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629771</xdr:colOff>
      <xdr:row>967</xdr:row>
      <xdr:rowOff>0</xdr:rowOff>
    </xdr:from>
    <xdr:ext cx="166258" cy="264560"/>
    <xdr:sp macro="" textlink="">
      <xdr:nvSpPr>
        <xdr:cNvPr id="656" name="TextBox 655"/>
        <xdr:cNvSpPr txBox="1"/>
      </xdr:nvSpPr>
      <xdr:spPr>
        <a:xfrm>
          <a:off x="1694609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629771</xdr:colOff>
      <xdr:row>967</xdr:row>
      <xdr:rowOff>0</xdr:rowOff>
    </xdr:from>
    <xdr:ext cx="166258" cy="264560"/>
    <xdr:sp macro="" textlink="">
      <xdr:nvSpPr>
        <xdr:cNvPr id="657" name="TextBox 656"/>
        <xdr:cNvSpPr txBox="1"/>
      </xdr:nvSpPr>
      <xdr:spPr>
        <a:xfrm>
          <a:off x="179652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629771</xdr:colOff>
      <xdr:row>967</xdr:row>
      <xdr:rowOff>0</xdr:rowOff>
    </xdr:from>
    <xdr:ext cx="166258" cy="264560"/>
    <xdr:sp macro="" textlink="">
      <xdr:nvSpPr>
        <xdr:cNvPr id="658" name="TextBox 657"/>
        <xdr:cNvSpPr txBox="1"/>
      </xdr:nvSpPr>
      <xdr:spPr>
        <a:xfrm>
          <a:off x="179652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629771</xdr:colOff>
      <xdr:row>967</xdr:row>
      <xdr:rowOff>0</xdr:rowOff>
    </xdr:from>
    <xdr:ext cx="166258" cy="264560"/>
    <xdr:sp macro="" textlink="">
      <xdr:nvSpPr>
        <xdr:cNvPr id="659" name="TextBox 658"/>
        <xdr:cNvSpPr txBox="1"/>
      </xdr:nvSpPr>
      <xdr:spPr>
        <a:xfrm>
          <a:off x="18917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629771</xdr:colOff>
      <xdr:row>967</xdr:row>
      <xdr:rowOff>0</xdr:rowOff>
    </xdr:from>
    <xdr:ext cx="166258" cy="264560"/>
    <xdr:sp macro="" textlink="">
      <xdr:nvSpPr>
        <xdr:cNvPr id="660" name="TextBox 659"/>
        <xdr:cNvSpPr txBox="1"/>
      </xdr:nvSpPr>
      <xdr:spPr>
        <a:xfrm>
          <a:off x="18917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629771</xdr:colOff>
      <xdr:row>967</xdr:row>
      <xdr:rowOff>0</xdr:rowOff>
    </xdr:from>
    <xdr:ext cx="166258" cy="264560"/>
    <xdr:sp macro="" textlink="">
      <xdr:nvSpPr>
        <xdr:cNvPr id="661" name="TextBox 660"/>
        <xdr:cNvSpPr txBox="1"/>
      </xdr:nvSpPr>
      <xdr:spPr>
        <a:xfrm>
          <a:off x="198702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629771</xdr:colOff>
      <xdr:row>967</xdr:row>
      <xdr:rowOff>0</xdr:rowOff>
    </xdr:from>
    <xdr:ext cx="166258" cy="264560"/>
    <xdr:sp macro="" textlink="">
      <xdr:nvSpPr>
        <xdr:cNvPr id="662" name="TextBox 661"/>
        <xdr:cNvSpPr txBox="1"/>
      </xdr:nvSpPr>
      <xdr:spPr>
        <a:xfrm>
          <a:off x="198702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629771</xdr:colOff>
      <xdr:row>967</xdr:row>
      <xdr:rowOff>0</xdr:rowOff>
    </xdr:from>
    <xdr:ext cx="166258" cy="264560"/>
    <xdr:sp macro="" textlink="">
      <xdr:nvSpPr>
        <xdr:cNvPr id="663" name="TextBox 662"/>
        <xdr:cNvSpPr txBox="1"/>
      </xdr:nvSpPr>
      <xdr:spPr>
        <a:xfrm>
          <a:off x="208608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629771</xdr:colOff>
      <xdr:row>967</xdr:row>
      <xdr:rowOff>0</xdr:rowOff>
    </xdr:from>
    <xdr:ext cx="166258" cy="264560"/>
    <xdr:sp macro="" textlink="">
      <xdr:nvSpPr>
        <xdr:cNvPr id="664" name="TextBox 663"/>
        <xdr:cNvSpPr txBox="1"/>
      </xdr:nvSpPr>
      <xdr:spPr>
        <a:xfrm>
          <a:off x="208608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629771</xdr:colOff>
      <xdr:row>967</xdr:row>
      <xdr:rowOff>0</xdr:rowOff>
    </xdr:from>
    <xdr:ext cx="166258" cy="264560"/>
    <xdr:sp macro="" textlink="">
      <xdr:nvSpPr>
        <xdr:cNvPr id="665" name="TextBox 664"/>
        <xdr:cNvSpPr txBox="1"/>
      </xdr:nvSpPr>
      <xdr:spPr>
        <a:xfrm>
          <a:off x="216800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629771</xdr:colOff>
      <xdr:row>967</xdr:row>
      <xdr:rowOff>0</xdr:rowOff>
    </xdr:from>
    <xdr:ext cx="166258" cy="264560"/>
    <xdr:sp macro="" textlink="">
      <xdr:nvSpPr>
        <xdr:cNvPr id="666" name="TextBox 665"/>
        <xdr:cNvSpPr txBox="1"/>
      </xdr:nvSpPr>
      <xdr:spPr>
        <a:xfrm>
          <a:off x="216800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629771</xdr:colOff>
      <xdr:row>967</xdr:row>
      <xdr:rowOff>0</xdr:rowOff>
    </xdr:from>
    <xdr:ext cx="166258" cy="264560"/>
    <xdr:sp macro="" textlink="">
      <xdr:nvSpPr>
        <xdr:cNvPr id="667" name="TextBox 666"/>
        <xdr:cNvSpPr txBox="1"/>
      </xdr:nvSpPr>
      <xdr:spPr>
        <a:xfrm>
          <a:off x="224991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629771</xdr:colOff>
      <xdr:row>967</xdr:row>
      <xdr:rowOff>0</xdr:rowOff>
    </xdr:from>
    <xdr:ext cx="166258" cy="264560"/>
    <xdr:sp macro="" textlink="">
      <xdr:nvSpPr>
        <xdr:cNvPr id="668" name="TextBox 667"/>
        <xdr:cNvSpPr txBox="1"/>
      </xdr:nvSpPr>
      <xdr:spPr>
        <a:xfrm>
          <a:off x="224991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669" name="TextBox 668"/>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629771</xdr:colOff>
      <xdr:row>967</xdr:row>
      <xdr:rowOff>0</xdr:rowOff>
    </xdr:from>
    <xdr:ext cx="166258" cy="264560"/>
    <xdr:sp macro="" textlink="">
      <xdr:nvSpPr>
        <xdr:cNvPr id="670" name="TextBox 669"/>
        <xdr:cNvSpPr txBox="1"/>
      </xdr:nvSpPr>
      <xdr:spPr>
        <a:xfrm>
          <a:off x="241374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671" name="TextBox 670"/>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629771</xdr:colOff>
      <xdr:row>967</xdr:row>
      <xdr:rowOff>0</xdr:rowOff>
    </xdr:from>
    <xdr:ext cx="166258" cy="264560"/>
    <xdr:sp macro="" textlink="">
      <xdr:nvSpPr>
        <xdr:cNvPr id="672" name="TextBox 671"/>
        <xdr:cNvSpPr txBox="1"/>
      </xdr:nvSpPr>
      <xdr:spPr>
        <a:xfrm>
          <a:off x="249566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673" name="TextBox 672"/>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629771</xdr:colOff>
      <xdr:row>967</xdr:row>
      <xdr:rowOff>0</xdr:rowOff>
    </xdr:from>
    <xdr:ext cx="166258" cy="264560"/>
    <xdr:sp macro="" textlink="">
      <xdr:nvSpPr>
        <xdr:cNvPr id="674" name="TextBox 673"/>
        <xdr:cNvSpPr txBox="1"/>
      </xdr:nvSpPr>
      <xdr:spPr>
        <a:xfrm>
          <a:off x="25775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629771</xdr:colOff>
      <xdr:row>967</xdr:row>
      <xdr:rowOff>0</xdr:rowOff>
    </xdr:from>
    <xdr:ext cx="166258" cy="264560"/>
    <xdr:sp macro="" textlink="">
      <xdr:nvSpPr>
        <xdr:cNvPr id="675" name="TextBox 674"/>
        <xdr:cNvSpPr txBox="1"/>
      </xdr:nvSpPr>
      <xdr:spPr>
        <a:xfrm>
          <a:off x="265949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629771</xdr:colOff>
      <xdr:row>967</xdr:row>
      <xdr:rowOff>0</xdr:rowOff>
    </xdr:from>
    <xdr:ext cx="166258" cy="264560"/>
    <xdr:sp macro="" textlink="">
      <xdr:nvSpPr>
        <xdr:cNvPr id="676" name="TextBox 675"/>
        <xdr:cNvSpPr txBox="1"/>
      </xdr:nvSpPr>
      <xdr:spPr>
        <a:xfrm>
          <a:off x="265949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629771</xdr:colOff>
      <xdr:row>967</xdr:row>
      <xdr:rowOff>0</xdr:rowOff>
    </xdr:from>
    <xdr:ext cx="166258" cy="264560"/>
    <xdr:sp macro="" textlink="">
      <xdr:nvSpPr>
        <xdr:cNvPr id="677" name="TextBox 676"/>
        <xdr:cNvSpPr txBox="1"/>
      </xdr:nvSpPr>
      <xdr:spPr>
        <a:xfrm>
          <a:off x="274140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629771</xdr:colOff>
      <xdr:row>967</xdr:row>
      <xdr:rowOff>0</xdr:rowOff>
    </xdr:from>
    <xdr:ext cx="166258" cy="264560"/>
    <xdr:sp macro="" textlink="">
      <xdr:nvSpPr>
        <xdr:cNvPr id="678" name="TextBox 677"/>
        <xdr:cNvSpPr txBox="1"/>
      </xdr:nvSpPr>
      <xdr:spPr>
        <a:xfrm>
          <a:off x="274140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679" name="TextBox 678"/>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629771</xdr:colOff>
      <xdr:row>967</xdr:row>
      <xdr:rowOff>0</xdr:rowOff>
    </xdr:from>
    <xdr:ext cx="166258" cy="264560"/>
    <xdr:sp macro="" textlink="">
      <xdr:nvSpPr>
        <xdr:cNvPr id="680" name="TextBox 679"/>
        <xdr:cNvSpPr txBox="1"/>
      </xdr:nvSpPr>
      <xdr:spPr>
        <a:xfrm>
          <a:off x="282332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681" name="TextBox 680"/>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629771</xdr:colOff>
      <xdr:row>967</xdr:row>
      <xdr:rowOff>0</xdr:rowOff>
    </xdr:from>
    <xdr:ext cx="166258" cy="264560"/>
    <xdr:sp macro="" textlink="">
      <xdr:nvSpPr>
        <xdr:cNvPr id="682" name="TextBox 681"/>
        <xdr:cNvSpPr txBox="1"/>
      </xdr:nvSpPr>
      <xdr:spPr>
        <a:xfrm>
          <a:off x="290523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683" name="TextBox 682"/>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629771</xdr:colOff>
      <xdr:row>967</xdr:row>
      <xdr:rowOff>0</xdr:rowOff>
    </xdr:from>
    <xdr:ext cx="166258" cy="264560"/>
    <xdr:sp macro="" textlink="">
      <xdr:nvSpPr>
        <xdr:cNvPr id="684" name="TextBox 683"/>
        <xdr:cNvSpPr txBox="1"/>
      </xdr:nvSpPr>
      <xdr:spPr>
        <a:xfrm>
          <a:off x="298715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685" name="TextBox 684"/>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629771</xdr:colOff>
      <xdr:row>967</xdr:row>
      <xdr:rowOff>0</xdr:rowOff>
    </xdr:from>
    <xdr:ext cx="166258" cy="264560"/>
    <xdr:sp macro="" textlink="">
      <xdr:nvSpPr>
        <xdr:cNvPr id="686" name="TextBox 685"/>
        <xdr:cNvSpPr txBox="1"/>
      </xdr:nvSpPr>
      <xdr:spPr>
        <a:xfrm>
          <a:off x="306906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629771</xdr:colOff>
      <xdr:row>967</xdr:row>
      <xdr:rowOff>0</xdr:rowOff>
    </xdr:from>
    <xdr:ext cx="166258" cy="264560"/>
    <xdr:sp macro="" textlink="">
      <xdr:nvSpPr>
        <xdr:cNvPr id="687" name="TextBox 686"/>
        <xdr:cNvSpPr txBox="1"/>
      </xdr:nvSpPr>
      <xdr:spPr>
        <a:xfrm>
          <a:off x="315098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629771</xdr:colOff>
      <xdr:row>967</xdr:row>
      <xdr:rowOff>0</xdr:rowOff>
    </xdr:from>
    <xdr:ext cx="166258" cy="264560"/>
    <xdr:sp macro="" textlink="">
      <xdr:nvSpPr>
        <xdr:cNvPr id="688" name="TextBox 687"/>
        <xdr:cNvSpPr txBox="1"/>
      </xdr:nvSpPr>
      <xdr:spPr>
        <a:xfrm>
          <a:off x="315098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629771</xdr:colOff>
      <xdr:row>967</xdr:row>
      <xdr:rowOff>0</xdr:rowOff>
    </xdr:from>
    <xdr:ext cx="113179" cy="264560"/>
    <xdr:sp macro="" textlink="">
      <xdr:nvSpPr>
        <xdr:cNvPr id="689" name="TextBox 688"/>
        <xdr:cNvSpPr txBox="1"/>
      </xdr:nvSpPr>
      <xdr:spPr>
        <a:xfrm>
          <a:off x="32462321" y="94221300"/>
          <a:ext cx="11317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n-US"/>
        </a:p>
      </xdr:txBody>
    </xdr:sp>
    <xdr:clientData/>
  </xdr:oneCellAnchor>
  <xdr:oneCellAnchor>
    <xdr:from>
      <xdr:col>6</xdr:col>
      <xdr:colOff>620246</xdr:colOff>
      <xdr:row>967</xdr:row>
      <xdr:rowOff>0</xdr:rowOff>
    </xdr:from>
    <xdr:ext cx="184731" cy="255111"/>
    <xdr:sp macro="" textlink="">
      <xdr:nvSpPr>
        <xdr:cNvPr id="690" name="TextBox 689"/>
        <xdr:cNvSpPr txBox="1"/>
      </xdr:nvSpPr>
      <xdr:spPr>
        <a:xfrm>
          <a:off x="62495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620246</xdr:colOff>
      <xdr:row>967</xdr:row>
      <xdr:rowOff>0</xdr:rowOff>
    </xdr:from>
    <xdr:ext cx="184731" cy="255111"/>
    <xdr:sp macro="" textlink="">
      <xdr:nvSpPr>
        <xdr:cNvPr id="691" name="TextBox 690"/>
        <xdr:cNvSpPr txBox="1"/>
      </xdr:nvSpPr>
      <xdr:spPr>
        <a:xfrm>
          <a:off x="62495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620246</xdr:colOff>
      <xdr:row>967</xdr:row>
      <xdr:rowOff>0</xdr:rowOff>
    </xdr:from>
    <xdr:ext cx="184731" cy="255111"/>
    <xdr:sp macro="" textlink="">
      <xdr:nvSpPr>
        <xdr:cNvPr id="692" name="TextBox 691"/>
        <xdr:cNvSpPr txBox="1"/>
      </xdr:nvSpPr>
      <xdr:spPr>
        <a:xfrm>
          <a:off x="62495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534521</xdr:colOff>
      <xdr:row>967</xdr:row>
      <xdr:rowOff>0</xdr:rowOff>
    </xdr:from>
    <xdr:ext cx="184731" cy="255111"/>
    <xdr:sp macro="" textlink="">
      <xdr:nvSpPr>
        <xdr:cNvPr id="693" name="TextBox 692"/>
        <xdr:cNvSpPr txBox="1"/>
      </xdr:nvSpPr>
      <xdr:spPr>
        <a:xfrm>
          <a:off x="6163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620246</xdr:colOff>
      <xdr:row>967</xdr:row>
      <xdr:rowOff>0</xdr:rowOff>
    </xdr:from>
    <xdr:ext cx="184731" cy="255111"/>
    <xdr:sp macro="" textlink="">
      <xdr:nvSpPr>
        <xdr:cNvPr id="694" name="TextBox 693"/>
        <xdr:cNvSpPr txBox="1"/>
      </xdr:nvSpPr>
      <xdr:spPr>
        <a:xfrm>
          <a:off x="62495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620246</xdr:colOff>
      <xdr:row>967</xdr:row>
      <xdr:rowOff>0</xdr:rowOff>
    </xdr:from>
    <xdr:ext cx="184731" cy="255111"/>
    <xdr:sp macro="" textlink="">
      <xdr:nvSpPr>
        <xdr:cNvPr id="695" name="TextBox 694"/>
        <xdr:cNvSpPr txBox="1"/>
      </xdr:nvSpPr>
      <xdr:spPr>
        <a:xfrm>
          <a:off x="62495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544046</xdr:colOff>
      <xdr:row>967</xdr:row>
      <xdr:rowOff>0</xdr:rowOff>
    </xdr:from>
    <xdr:ext cx="184731" cy="255111"/>
    <xdr:sp macro="" textlink="">
      <xdr:nvSpPr>
        <xdr:cNvPr id="696" name="TextBox 695"/>
        <xdr:cNvSpPr txBox="1"/>
      </xdr:nvSpPr>
      <xdr:spPr>
        <a:xfrm>
          <a:off x="61733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620246</xdr:colOff>
      <xdr:row>967</xdr:row>
      <xdr:rowOff>0</xdr:rowOff>
    </xdr:from>
    <xdr:ext cx="184731" cy="255111"/>
    <xdr:sp macro="" textlink="">
      <xdr:nvSpPr>
        <xdr:cNvPr id="697" name="TextBox 696"/>
        <xdr:cNvSpPr txBox="1"/>
      </xdr:nvSpPr>
      <xdr:spPr>
        <a:xfrm>
          <a:off x="62495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620246</xdr:colOff>
      <xdr:row>967</xdr:row>
      <xdr:rowOff>0</xdr:rowOff>
    </xdr:from>
    <xdr:ext cx="184731" cy="255111"/>
    <xdr:sp macro="" textlink="">
      <xdr:nvSpPr>
        <xdr:cNvPr id="698" name="TextBox 697"/>
        <xdr:cNvSpPr txBox="1"/>
      </xdr:nvSpPr>
      <xdr:spPr>
        <a:xfrm>
          <a:off x="62495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620246</xdr:colOff>
      <xdr:row>967</xdr:row>
      <xdr:rowOff>0</xdr:rowOff>
    </xdr:from>
    <xdr:ext cx="184731" cy="255111"/>
    <xdr:sp macro="" textlink="">
      <xdr:nvSpPr>
        <xdr:cNvPr id="699" name="TextBox 698"/>
        <xdr:cNvSpPr txBox="1"/>
      </xdr:nvSpPr>
      <xdr:spPr>
        <a:xfrm>
          <a:off x="62495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620246</xdr:colOff>
      <xdr:row>967</xdr:row>
      <xdr:rowOff>0</xdr:rowOff>
    </xdr:from>
    <xdr:ext cx="184731" cy="255111"/>
    <xdr:sp macro="" textlink="">
      <xdr:nvSpPr>
        <xdr:cNvPr id="700" name="TextBox 699"/>
        <xdr:cNvSpPr txBox="1"/>
      </xdr:nvSpPr>
      <xdr:spPr>
        <a:xfrm>
          <a:off x="1006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620246</xdr:colOff>
      <xdr:row>967</xdr:row>
      <xdr:rowOff>0</xdr:rowOff>
    </xdr:from>
    <xdr:ext cx="184731" cy="255111"/>
    <xdr:sp macro="" textlink="">
      <xdr:nvSpPr>
        <xdr:cNvPr id="701" name="TextBox 700"/>
        <xdr:cNvSpPr txBox="1"/>
      </xdr:nvSpPr>
      <xdr:spPr>
        <a:xfrm>
          <a:off x="1006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620246</xdr:colOff>
      <xdr:row>967</xdr:row>
      <xdr:rowOff>0</xdr:rowOff>
    </xdr:from>
    <xdr:ext cx="184731" cy="255111"/>
    <xdr:sp macro="" textlink="">
      <xdr:nvSpPr>
        <xdr:cNvPr id="702" name="TextBox 701"/>
        <xdr:cNvSpPr txBox="1"/>
      </xdr:nvSpPr>
      <xdr:spPr>
        <a:xfrm>
          <a:off x="1006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534521</xdr:colOff>
      <xdr:row>967</xdr:row>
      <xdr:rowOff>0</xdr:rowOff>
    </xdr:from>
    <xdr:ext cx="184731" cy="255111"/>
    <xdr:sp macro="" textlink="">
      <xdr:nvSpPr>
        <xdr:cNvPr id="703" name="TextBox 702"/>
        <xdr:cNvSpPr txBox="1"/>
      </xdr:nvSpPr>
      <xdr:spPr>
        <a:xfrm>
          <a:off x="99833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620246</xdr:colOff>
      <xdr:row>967</xdr:row>
      <xdr:rowOff>0</xdr:rowOff>
    </xdr:from>
    <xdr:ext cx="184731" cy="255111"/>
    <xdr:sp macro="" textlink="">
      <xdr:nvSpPr>
        <xdr:cNvPr id="704" name="TextBox 703"/>
        <xdr:cNvSpPr txBox="1"/>
      </xdr:nvSpPr>
      <xdr:spPr>
        <a:xfrm>
          <a:off x="1006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620246</xdr:colOff>
      <xdr:row>967</xdr:row>
      <xdr:rowOff>0</xdr:rowOff>
    </xdr:from>
    <xdr:ext cx="184731" cy="255111"/>
    <xdr:sp macro="" textlink="">
      <xdr:nvSpPr>
        <xdr:cNvPr id="705" name="TextBox 704"/>
        <xdr:cNvSpPr txBox="1"/>
      </xdr:nvSpPr>
      <xdr:spPr>
        <a:xfrm>
          <a:off x="1006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544046</xdr:colOff>
      <xdr:row>967</xdr:row>
      <xdr:rowOff>0</xdr:rowOff>
    </xdr:from>
    <xdr:ext cx="184731" cy="255111"/>
    <xdr:sp macro="" textlink="">
      <xdr:nvSpPr>
        <xdr:cNvPr id="706" name="TextBox 705"/>
        <xdr:cNvSpPr txBox="1"/>
      </xdr:nvSpPr>
      <xdr:spPr>
        <a:xfrm>
          <a:off x="9992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620246</xdr:colOff>
      <xdr:row>967</xdr:row>
      <xdr:rowOff>0</xdr:rowOff>
    </xdr:from>
    <xdr:ext cx="184731" cy="255111"/>
    <xdr:sp macro="" textlink="">
      <xdr:nvSpPr>
        <xdr:cNvPr id="707" name="TextBox 706"/>
        <xdr:cNvSpPr txBox="1"/>
      </xdr:nvSpPr>
      <xdr:spPr>
        <a:xfrm>
          <a:off x="1006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620246</xdr:colOff>
      <xdr:row>967</xdr:row>
      <xdr:rowOff>0</xdr:rowOff>
    </xdr:from>
    <xdr:ext cx="184731" cy="255111"/>
    <xdr:sp macro="" textlink="">
      <xdr:nvSpPr>
        <xdr:cNvPr id="708" name="TextBox 707"/>
        <xdr:cNvSpPr txBox="1"/>
      </xdr:nvSpPr>
      <xdr:spPr>
        <a:xfrm>
          <a:off x="1006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620246</xdr:colOff>
      <xdr:row>967</xdr:row>
      <xdr:rowOff>0</xdr:rowOff>
    </xdr:from>
    <xdr:ext cx="184731" cy="255111"/>
    <xdr:sp macro="" textlink="">
      <xdr:nvSpPr>
        <xdr:cNvPr id="709" name="TextBox 708"/>
        <xdr:cNvSpPr txBox="1"/>
      </xdr:nvSpPr>
      <xdr:spPr>
        <a:xfrm>
          <a:off x="1006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620246</xdr:colOff>
      <xdr:row>967</xdr:row>
      <xdr:rowOff>0</xdr:rowOff>
    </xdr:from>
    <xdr:ext cx="184731" cy="255111"/>
    <xdr:sp macro="" textlink="">
      <xdr:nvSpPr>
        <xdr:cNvPr id="710" name="TextBox 709"/>
        <xdr:cNvSpPr txBox="1"/>
      </xdr:nvSpPr>
      <xdr:spPr>
        <a:xfrm>
          <a:off x="1102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620246</xdr:colOff>
      <xdr:row>967</xdr:row>
      <xdr:rowOff>0</xdr:rowOff>
    </xdr:from>
    <xdr:ext cx="184731" cy="255111"/>
    <xdr:sp macro="" textlink="">
      <xdr:nvSpPr>
        <xdr:cNvPr id="711" name="TextBox 710"/>
        <xdr:cNvSpPr txBox="1"/>
      </xdr:nvSpPr>
      <xdr:spPr>
        <a:xfrm>
          <a:off x="1102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620246</xdr:colOff>
      <xdr:row>967</xdr:row>
      <xdr:rowOff>0</xdr:rowOff>
    </xdr:from>
    <xdr:ext cx="184731" cy="255111"/>
    <xdr:sp macro="" textlink="">
      <xdr:nvSpPr>
        <xdr:cNvPr id="712" name="TextBox 711"/>
        <xdr:cNvSpPr txBox="1"/>
      </xdr:nvSpPr>
      <xdr:spPr>
        <a:xfrm>
          <a:off x="1102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534521</xdr:colOff>
      <xdr:row>967</xdr:row>
      <xdr:rowOff>0</xdr:rowOff>
    </xdr:from>
    <xdr:ext cx="184731" cy="255111"/>
    <xdr:sp macro="" textlink="">
      <xdr:nvSpPr>
        <xdr:cNvPr id="713" name="TextBox 712"/>
        <xdr:cNvSpPr txBox="1"/>
      </xdr:nvSpPr>
      <xdr:spPr>
        <a:xfrm>
          <a:off x="109358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620246</xdr:colOff>
      <xdr:row>967</xdr:row>
      <xdr:rowOff>0</xdr:rowOff>
    </xdr:from>
    <xdr:ext cx="184731" cy="255111"/>
    <xdr:sp macro="" textlink="">
      <xdr:nvSpPr>
        <xdr:cNvPr id="714" name="TextBox 713"/>
        <xdr:cNvSpPr txBox="1"/>
      </xdr:nvSpPr>
      <xdr:spPr>
        <a:xfrm>
          <a:off x="1102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620246</xdr:colOff>
      <xdr:row>967</xdr:row>
      <xdr:rowOff>0</xdr:rowOff>
    </xdr:from>
    <xdr:ext cx="184731" cy="255111"/>
    <xdr:sp macro="" textlink="">
      <xdr:nvSpPr>
        <xdr:cNvPr id="715" name="TextBox 714"/>
        <xdr:cNvSpPr txBox="1"/>
      </xdr:nvSpPr>
      <xdr:spPr>
        <a:xfrm>
          <a:off x="1102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544046</xdr:colOff>
      <xdr:row>967</xdr:row>
      <xdr:rowOff>0</xdr:rowOff>
    </xdr:from>
    <xdr:ext cx="184731" cy="255111"/>
    <xdr:sp macro="" textlink="">
      <xdr:nvSpPr>
        <xdr:cNvPr id="716" name="TextBox 715"/>
        <xdr:cNvSpPr txBox="1"/>
      </xdr:nvSpPr>
      <xdr:spPr>
        <a:xfrm>
          <a:off x="10945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620246</xdr:colOff>
      <xdr:row>967</xdr:row>
      <xdr:rowOff>0</xdr:rowOff>
    </xdr:from>
    <xdr:ext cx="184731" cy="255111"/>
    <xdr:sp macro="" textlink="">
      <xdr:nvSpPr>
        <xdr:cNvPr id="717" name="TextBox 716"/>
        <xdr:cNvSpPr txBox="1"/>
      </xdr:nvSpPr>
      <xdr:spPr>
        <a:xfrm>
          <a:off x="1102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620246</xdr:colOff>
      <xdr:row>967</xdr:row>
      <xdr:rowOff>0</xdr:rowOff>
    </xdr:from>
    <xdr:ext cx="184731" cy="255111"/>
    <xdr:sp macro="" textlink="">
      <xdr:nvSpPr>
        <xdr:cNvPr id="718" name="TextBox 717"/>
        <xdr:cNvSpPr txBox="1"/>
      </xdr:nvSpPr>
      <xdr:spPr>
        <a:xfrm>
          <a:off x="1102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620246</xdr:colOff>
      <xdr:row>967</xdr:row>
      <xdr:rowOff>0</xdr:rowOff>
    </xdr:from>
    <xdr:ext cx="184731" cy="255111"/>
    <xdr:sp macro="" textlink="">
      <xdr:nvSpPr>
        <xdr:cNvPr id="719" name="TextBox 718"/>
        <xdr:cNvSpPr txBox="1"/>
      </xdr:nvSpPr>
      <xdr:spPr>
        <a:xfrm>
          <a:off x="1102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620246</xdr:colOff>
      <xdr:row>967</xdr:row>
      <xdr:rowOff>0</xdr:rowOff>
    </xdr:from>
    <xdr:ext cx="184731" cy="255111"/>
    <xdr:sp macro="" textlink="">
      <xdr:nvSpPr>
        <xdr:cNvPr id="720" name="TextBox 719"/>
        <xdr:cNvSpPr txBox="1"/>
      </xdr:nvSpPr>
      <xdr:spPr>
        <a:xfrm>
          <a:off x="11974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620246</xdr:colOff>
      <xdr:row>967</xdr:row>
      <xdr:rowOff>0</xdr:rowOff>
    </xdr:from>
    <xdr:ext cx="184731" cy="255111"/>
    <xdr:sp macro="" textlink="">
      <xdr:nvSpPr>
        <xdr:cNvPr id="721" name="TextBox 720"/>
        <xdr:cNvSpPr txBox="1"/>
      </xdr:nvSpPr>
      <xdr:spPr>
        <a:xfrm>
          <a:off x="11974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620246</xdr:colOff>
      <xdr:row>967</xdr:row>
      <xdr:rowOff>0</xdr:rowOff>
    </xdr:from>
    <xdr:ext cx="184731" cy="255111"/>
    <xdr:sp macro="" textlink="">
      <xdr:nvSpPr>
        <xdr:cNvPr id="722" name="TextBox 721"/>
        <xdr:cNvSpPr txBox="1"/>
      </xdr:nvSpPr>
      <xdr:spPr>
        <a:xfrm>
          <a:off x="11974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534521</xdr:colOff>
      <xdr:row>967</xdr:row>
      <xdr:rowOff>0</xdr:rowOff>
    </xdr:from>
    <xdr:ext cx="184731" cy="255111"/>
    <xdr:sp macro="" textlink="">
      <xdr:nvSpPr>
        <xdr:cNvPr id="723" name="TextBox 722"/>
        <xdr:cNvSpPr txBox="1"/>
      </xdr:nvSpPr>
      <xdr:spPr>
        <a:xfrm>
          <a:off x="118883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620246</xdr:colOff>
      <xdr:row>967</xdr:row>
      <xdr:rowOff>0</xdr:rowOff>
    </xdr:from>
    <xdr:ext cx="184731" cy="255111"/>
    <xdr:sp macro="" textlink="">
      <xdr:nvSpPr>
        <xdr:cNvPr id="724" name="TextBox 723"/>
        <xdr:cNvSpPr txBox="1"/>
      </xdr:nvSpPr>
      <xdr:spPr>
        <a:xfrm>
          <a:off x="11974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620246</xdr:colOff>
      <xdr:row>967</xdr:row>
      <xdr:rowOff>0</xdr:rowOff>
    </xdr:from>
    <xdr:ext cx="184731" cy="255111"/>
    <xdr:sp macro="" textlink="">
      <xdr:nvSpPr>
        <xdr:cNvPr id="725" name="TextBox 724"/>
        <xdr:cNvSpPr txBox="1"/>
      </xdr:nvSpPr>
      <xdr:spPr>
        <a:xfrm>
          <a:off x="11974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544046</xdr:colOff>
      <xdr:row>967</xdr:row>
      <xdr:rowOff>0</xdr:rowOff>
    </xdr:from>
    <xdr:ext cx="184731" cy="255111"/>
    <xdr:sp macro="" textlink="">
      <xdr:nvSpPr>
        <xdr:cNvPr id="726" name="TextBox 725"/>
        <xdr:cNvSpPr txBox="1"/>
      </xdr:nvSpPr>
      <xdr:spPr>
        <a:xfrm>
          <a:off x="11897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620246</xdr:colOff>
      <xdr:row>967</xdr:row>
      <xdr:rowOff>0</xdr:rowOff>
    </xdr:from>
    <xdr:ext cx="184731" cy="255111"/>
    <xdr:sp macro="" textlink="">
      <xdr:nvSpPr>
        <xdr:cNvPr id="727" name="TextBox 726"/>
        <xdr:cNvSpPr txBox="1"/>
      </xdr:nvSpPr>
      <xdr:spPr>
        <a:xfrm>
          <a:off x="11974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620246</xdr:colOff>
      <xdr:row>967</xdr:row>
      <xdr:rowOff>0</xdr:rowOff>
    </xdr:from>
    <xdr:ext cx="184731" cy="255111"/>
    <xdr:sp macro="" textlink="">
      <xdr:nvSpPr>
        <xdr:cNvPr id="728" name="TextBox 727"/>
        <xdr:cNvSpPr txBox="1"/>
      </xdr:nvSpPr>
      <xdr:spPr>
        <a:xfrm>
          <a:off x="11974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620246</xdr:colOff>
      <xdr:row>967</xdr:row>
      <xdr:rowOff>0</xdr:rowOff>
    </xdr:from>
    <xdr:ext cx="184731" cy="255111"/>
    <xdr:sp macro="" textlink="">
      <xdr:nvSpPr>
        <xdr:cNvPr id="729" name="TextBox 728"/>
        <xdr:cNvSpPr txBox="1"/>
      </xdr:nvSpPr>
      <xdr:spPr>
        <a:xfrm>
          <a:off x="11974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620246</xdr:colOff>
      <xdr:row>967</xdr:row>
      <xdr:rowOff>0</xdr:rowOff>
    </xdr:from>
    <xdr:ext cx="184731" cy="255111"/>
    <xdr:sp macro="" textlink="">
      <xdr:nvSpPr>
        <xdr:cNvPr id="730" name="TextBox 729"/>
        <xdr:cNvSpPr txBox="1"/>
      </xdr:nvSpPr>
      <xdr:spPr>
        <a:xfrm>
          <a:off x="12926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620246</xdr:colOff>
      <xdr:row>967</xdr:row>
      <xdr:rowOff>0</xdr:rowOff>
    </xdr:from>
    <xdr:ext cx="184731" cy="255111"/>
    <xdr:sp macro="" textlink="">
      <xdr:nvSpPr>
        <xdr:cNvPr id="731" name="TextBox 730"/>
        <xdr:cNvSpPr txBox="1"/>
      </xdr:nvSpPr>
      <xdr:spPr>
        <a:xfrm>
          <a:off x="12926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620246</xdr:colOff>
      <xdr:row>967</xdr:row>
      <xdr:rowOff>0</xdr:rowOff>
    </xdr:from>
    <xdr:ext cx="184731" cy="255111"/>
    <xdr:sp macro="" textlink="">
      <xdr:nvSpPr>
        <xdr:cNvPr id="732" name="TextBox 731"/>
        <xdr:cNvSpPr txBox="1"/>
      </xdr:nvSpPr>
      <xdr:spPr>
        <a:xfrm>
          <a:off x="12926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534521</xdr:colOff>
      <xdr:row>967</xdr:row>
      <xdr:rowOff>0</xdr:rowOff>
    </xdr:from>
    <xdr:ext cx="184731" cy="255111"/>
    <xdr:sp macro="" textlink="">
      <xdr:nvSpPr>
        <xdr:cNvPr id="733" name="TextBox 732"/>
        <xdr:cNvSpPr txBox="1"/>
      </xdr:nvSpPr>
      <xdr:spPr>
        <a:xfrm>
          <a:off x="128408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620246</xdr:colOff>
      <xdr:row>967</xdr:row>
      <xdr:rowOff>0</xdr:rowOff>
    </xdr:from>
    <xdr:ext cx="184731" cy="255111"/>
    <xdr:sp macro="" textlink="">
      <xdr:nvSpPr>
        <xdr:cNvPr id="734" name="TextBox 733"/>
        <xdr:cNvSpPr txBox="1"/>
      </xdr:nvSpPr>
      <xdr:spPr>
        <a:xfrm>
          <a:off x="12926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620246</xdr:colOff>
      <xdr:row>967</xdr:row>
      <xdr:rowOff>0</xdr:rowOff>
    </xdr:from>
    <xdr:ext cx="184731" cy="255111"/>
    <xdr:sp macro="" textlink="">
      <xdr:nvSpPr>
        <xdr:cNvPr id="735" name="TextBox 734"/>
        <xdr:cNvSpPr txBox="1"/>
      </xdr:nvSpPr>
      <xdr:spPr>
        <a:xfrm>
          <a:off x="12926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544046</xdr:colOff>
      <xdr:row>967</xdr:row>
      <xdr:rowOff>0</xdr:rowOff>
    </xdr:from>
    <xdr:ext cx="184731" cy="255111"/>
    <xdr:sp macro="" textlink="">
      <xdr:nvSpPr>
        <xdr:cNvPr id="736" name="TextBox 735"/>
        <xdr:cNvSpPr txBox="1"/>
      </xdr:nvSpPr>
      <xdr:spPr>
        <a:xfrm>
          <a:off x="12850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620246</xdr:colOff>
      <xdr:row>967</xdr:row>
      <xdr:rowOff>0</xdr:rowOff>
    </xdr:from>
    <xdr:ext cx="184731" cy="255111"/>
    <xdr:sp macro="" textlink="">
      <xdr:nvSpPr>
        <xdr:cNvPr id="737" name="TextBox 736"/>
        <xdr:cNvSpPr txBox="1"/>
      </xdr:nvSpPr>
      <xdr:spPr>
        <a:xfrm>
          <a:off x="12926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620246</xdr:colOff>
      <xdr:row>967</xdr:row>
      <xdr:rowOff>0</xdr:rowOff>
    </xdr:from>
    <xdr:ext cx="184731" cy="255111"/>
    <xdr:sp macro="" textlink="">
      <xdr:nvSpPr>
        <xdr:cNvPr id="738" name="TextBox 737"/>
        <xdr:cNvSpPr txBox="1"/>
      </xdr:nvSpPr>
      <xdr:spPr>
        <a:xfrm>
          <a:off x="12926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620246</xdr:colOff>
      <xdr:row>967</xdr:row>
      <xdr:rowOff>0</xdr:rowOff>
    </xdr:from>
    <xdr:ext cx="184731" cy="255111"/>
    <xdr:sp macro="" textlink="">
      <xdr:nvSpPr>
        <xdr:cNvPr id="739" name="TextBox 738"/>
        <xdr:cNvSpPr txBox="1"/>
      </xdr:nvSpPr>
      <xdr:spPr>
        <a:xfrm>
          <a:off x="12926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620246</xdr:colOff>
      <xdr:row>967</xdr:row>
      <xdr:rowOff>0</xdr:rowOff>
    </xdr:from>
    <xdr:ext cx="184731" cy="255111"/>
    <xdr:sp macro="" textlink="">
      <xdr:nvSpPr>
        <xdr:cNvPr id="740" name="TextBox 739"/>
        <xdr:cNvSpPr txBox="1"/>
      </xdr:nvSpPr>
      <xdr:spPr>
        <a:xfrm>
          <a:off x="1387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620246</xdr:colOff>
      <xdr:row>967</xdr:row>
      <xdr:rowOff>0</xdr:rowOff>
    </xdr:from>
    <xdr:ext cx="184731" cy="255111"/>
    <xdr:sp macro="" textlink="">
      <xdr:nvSpPr>
        <xdr:cNvPr id="741" name="TextBox 740"/>
        <xdr:cNvSpPr txBox="1"/>
      </xdr:nvSpPr>
      <xdr:spPr>
        <a:xfrm>
          <a:off x="1387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620246</xdr:colOff>
      <xdr:row>967</xdr:row>
      <xdr:rowOff>0</xdr:rowOff>
    </xdr:from>
    <xdr:ext cx="184731" cy="255111"/>
    <xdr:sp macro="" textlink="">
      <xdr:nvSpPr>
        <xdr:cNvPr id="742" name="TextBox 741"/>
        <xdr:cNvSpPr txBox="1"/>
      </xdr:nvSpPr>
      <xdr:spPr>
        <a:xfrm>
          <a:off x="1387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534521</xdr:colOff>
      <xdr:row>967</xdr:row>
      <xdr:rowOff>0</xdr:rowOff>
    </xdr:from>
    <xdr:ext cx="184731" cy="255111"/>
    <xdr:sp macro="" textlink="">
      <xdr:nvSpPr>
        <xdr:cNvPr id="743" name="TextBox 742"/>
        <xdr:cNvSpPr txBox="1"/>
      </xdr:nvSpPr>
      <xdr:spPr>
        <a:xfrm>
          <a:off x="137933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620246</xdr:colOff>
      <xdr:row>967</xdr:row>
      <xdr:rowOff>0</xdr:rowOff>
    </xdr:from>
    <xdr:ext cx="184731" cy="255111"/>
    <xdr:sp macro="" textlink="">
      <xdr:nvSpPr>
        <xdr:cNvPr id="744" name="TextBox 743"/>
        <xdr:cNvSpPr txBox="1"/>
      </xdr:nvSpPr>
      <xdr:spPr>
        <a:xfrm>
          <a:off x="1387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620246</xdr:colOff>
      <xdr:row>967</xdr:row>
      <xdr:rowOff>0</xdr:rowOff>
    </xdr:from>
    <xdr:ext cx="184731" cy="255111"/>
    <xdr:sp macro="" textlink="">
      <xdr:nvSpPr>
        <xdr:cNvPr id="745" name="TextBox 744"/>
        <xdr:cNvSpPr txBox="1"/>
      </xdr:nvSpPr>
      <xdr:spPr>
        <a:xfrm>
          <a:off x="1387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544046</xdr:colOff>
      <xdr:row>967</xdr:row>
      <xdr:rowOff>0</xdr:rowOff>
    </xdr:from>
    <xdr:ext cx="184731" cy="255111"/>
    <xdr:sp macro="" textlink="">
      <xdr:nvSpPr>
        <xdr:cNvPr id="746" name="TextBox 745"/>
        <xdr:cNvSpPr txBox="1"/>
      </xdr:nvSpPr>
      <xdr:spPr>
        <a:xfrm>
          <a:off x="13802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620246</xdr:colOff>
      <xdr:row>967</xdr:row>
      <xdr:rowOff>0</xdr:rowOff>
    </xdr:from>
    <xdr:ext cx="184731" cy="255111"/>
    <xdr:sp macro="" textlink="">
      <xdr:nvSpPr>
        <xdr:cNvPr id="747" name="TextBox 746"/>
        <xdr:cNvSpPr txBox="1"/>
      </xdr:nvSpPr>
      <xdr:spPr>
        <a:xfrm>
          <a:off x="1387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620246</xdr:colOff>
      <xdr:row>967</xdr:row>
      <xdr:rowOff>0</xdr:rowOff>
    </xdr:from>
    <xdr:ext cx="184731" cy="255111"/>
    <xdr:sp macro="" textlink="">
      <xdr:nvSpPr>
        <xdr:cNvPr id="748" name="TextBox 747"/>
        <xdr:cNvSpPr txBox="1"/>
      </xdr:nvSpPr>
      <xdr:spPr>
        <a:xfrm>
          <a:off x="1387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620246</xdr:colOff>
      <xdr:row>967</xdr:row>
      <xdr:rowOff>0</xdr:rowOff>
    </xdr:from>
    <xdr:ext cx="184731" cy="255111"/>
    <xdr:sp macro="" textlink="">
      <xdr:nvSpPr>
        <xdr:cNvPr id="749" name="TextBox 748"/>
        <xdr:cNvSpPr txBox="1"/>
      </xdr:nvSpPr>
      <xdr:spPr>
        <a:xfrm>
          <a:off x="13879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620246</xdr:colOff>
      <xdr:row>967</xdr:row>
      <xdr:rowOff>0</xdr:rowOff>
    </xdr:from>
    <xdr:ext cx="184731" cy="255111"/>
    <xdr:sp macro="" textlink="">
      <xdr:nvSpPr>
        <xdr:cNvPr id="750" name="TextBox 749"/>
        <xdr:cNvSpPr txBox="1"/>
      </xdr:nvSpPr>
      <xdr:spPr>
        <a:xfrm>
          <a:off x="1483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620246</xdr:colOff>
      <xdr:row>967</xdr:row>
      <xdr:rowOff>0</xdr:rowOff>
    </xdr:from>
    <xdr:ext cx="184731" cy="255111"/>
    <xdr:sp macro="" textlink="">
      <xdr:nvSpPr>
        <xdr:cNvPr id="751" name="TextBox 750"/>
        <xdr:cNvSpPr txBox="1"/>
      </xdr:nvSpPr>
      <xdr:spPr>
        <a:xfrm>
          <a:off x="1483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620246</xdr:colOff>
      <xdr:row>967</xdr:row>
      <xdr:rowOff>0</xdr:rowOff>
    </xdr:from>
    <xdr:ext cx="184731" cy="255111"/>
    <xdr:sp macro="" textlink="">
      <xdr:nvSpPr>
        <xdr:cNvPr id="752" name="TextBox 751"/>
        <xdr:cNvSpPr txBox="1"/>
      </xdr:nvSpPr>
      <xdr:spPr>
        <a:xfrm>
          <a:off x="1483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534521</xdr:colOff>
      <xdr:row>967</xdr:row>
      <xdr:rowOff>0</xdr:rowOff>
    </xdr:from>
    <xdr:ext cx="184731" cy="255111"/>
    <xdr:sp macro="" textlink="">
      <xdr:nvSpPr>
        <xdr:cNvPr id="753" name="TextBox 752"/>
        <xdr:cNvSpPr txBox="1"/>
      </xdr:nvSpPr>
      <xdr:spPr>
        <a:xfrm>
          <a:off x="147458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620246</xdr:colOff>
      <xdr:row>967</xdr:row>
      <xdr:rowOff>0</xdr:rowOff>
    </xdr:from>
    <xdr:ext cx="184731" cy="255111"/>
    <xdr:sp macro="" textlink="">
      <xdr:nvSpPr>
        <xdr:cNvPr id="754" name="TextBox 753"/>
        <xdr:cNvSpPr txBox="1"/>
      </xdr:nvSpPr>
      <xdr:spPr>
        <a:xfrm>
          <a:off x="1483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620246</xdr:colOff>
      <xdr:row>967</xdr:row>
      <xdr:rowOff>0</xdr:rowOff>
    </xdr:from>
    <xdr:ext cx="184731" cy="255111"/>
    <xdr:sp macro="" textlink="">
      <xdr:nvSpPr>
        <xdr:cNvPr id="755" name="TextBox 754"/>
        <xdr:cNvSpPr txBox="1"/>
      </xdr:nvSpPr>
      <xdr:spPr>
        <a:xfrm>
          <a:off x="1483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544046</xdr:colOff>
      <xdr:row>967</xdr:row>
      <xdr:rowOff>0</xdr:rowOff>
    </xdr:from>
    <xdr:ext cx="184731" cy="255111"/>
    <xdr:sp macro="" textlink="">
      <xdr:nvSpPr>
        <xdr:cNvPr id="756" name="TextBox 755"/>
        <xdr:cNvSpPr txBox="1"/>
      </xdr:nvSpPr>
      <xdr:spPr>
        <a:xfrm>
          <a:off x="14755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620246</xdr:colOff>
      <xdr:row>967</xdr:row>
      <xdr:rowOff>0</xdr:rowOff>
    </xdr:from>
    <xdr:ext cx="184731" cy="255111"/>
    <xdr:sp macro="" textlink="">
      <xdr:nvSpPr>
        <xdr:cNvPr id="757" name="TextBox 756"/>
        <xdr:cNvSpPr txBox="1"/>
      </xdr:nvSpPr>
      <xdr:spPr>
        <a:xfrm>
          <a:off x="1483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620246</xdr:colOff>
      <xdr:row>967</xdr:row>
      <xdr:rowOff>0</xdr:rowOff>
    </xdr:from>
    <xdr:ext cx="184731" cy="255111"/>
    <xdr:sp macro="" textlink="">
      <xdr:nvSpPr>
        <xdr:cNvPr id="758" name="TextBox 757"/>
        <xdr:cNvSpPr txBox="1"/>
      </xdr:nvSpPr>
      <xdr:spPr>
        <a:xfrm>
          <a:off x="1483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620246</xdr:colOff>
      <xdr:row>967</xdr:row>
      <xdr:rowOff>0</xdr:rowOff>
    </xdr:from>
    <xdr:ext cx="184731" cy="255111"/>
    <xdr:sp macro="" textlink="">
      <xdr:nvSpPr>
        <xdr:cNvPr id="759" name="TextBox 758"/>
        <xdr:cNvSpPr txBox="1"/>
      </xdr:nvSpPr>
      <xdr:spPr>
        <a:xfrm>
          <a:off x="14831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620246</xdr:colOff>
      <xdr:row>967</xdr:row>
      <xdr:rowOff>0</xdr:rowOff>
    </xdr:from>
    <xdr:ext cx="184731" cy="255111"/>
    <xdr:sp macro="" textlink="">
      <xdr:nvSpPr>
        <xdr:cNvPr id="760" name="TextBox 759"/>
        <xdr:cNvSpPr txBox="1"/>
      </xdr:nvSpPr>
      <xdr:spPr>
        <a:xfrm>
          <a:off x="169365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620246</xdr:colOff>
      <xdr:row>967</xdr:row>
      <xdr:rowOff>0</xdr:rowOff>
    </xdr:from>
    <xdr:ext cx="184731" cy="255111"/>
    <xdr:sp macro="" textlink="">
      <xdr:nvSpPr>
        <xdr:cNvPr id="761" name="TextBox 760"/>
        <xdr:cNvSpPr txBox="1"/>
      </xdr:nvSpPr>
      <xdr:spPr>
        <a:xfrm>
          <a:off x="169365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620246</xdr:colOff>
      <xdr:row>967</xdr:row>
      <xdr:rowOff>0</xdr:rowOff>
    </xdr:from>
    <xdr:ext cx="184731" cy="255111"/>
    <xdr:sp macro="" textlink="">
      <xdr:nvSpPr>
        <xdr:cNvPr id="762" name="TextBox 761"/>
        <xdr:cNvSpPr txBox="1"/>
      </xdr:nvSpPr>
      <xdr:spPr>
        <a:xfrm>
          <a:off x="169365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534521</xdr:colOff>
      <xdr:row>967</xdr:row>
      <xdr:rowOff>0</xdr:rowOff>
    </xdr:from>
    <xdr:ext cx="184731" cy="255111"/>
    <xdr:sp macro="" textlink="">
      <xdr:nvSpPr>
        <xdr:cNvPr id="763" name="TextBox 762"/>
        <xdr:cNvSpPr txBox="1"/>
      </xdr:nvSpPr>
      <xdr:spPr>
        <a:xfrm>
          <a:off x="16850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620246</xdr:colOff>
      <xdr:row>967</xdr:row>
      <xdr:rowOff>0</xdr:rowOff>
    </xdr:from>
    <xdr:ext cx="184731" cy="255111"/>
    <xdr:sp macro="" textlink="">
      <xdr:nvSpPr>
        <xdr:cNvPr id="764" name="TextBox 763"/>
        <xdr:cNvSpPr txBox="1"/>
      </xdr:nvSpPr>
      <xdr:spPr>
        <a:xfrm>
          <a:off x="169365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620246</xdr:colOff>
      <xdr:row>967</xdr:row>
      <xdr:rowOff>0</xdr:rowOff>
    </xdr:from>
    <xdr:ext cx="184731" cy="255111"/>
    <xdr:sp macro="" textlink="">
      <xdr:nvSpPr>
        <xdr:cNvPr id="765" name="TextBox 764"/>
        <xdr:cNvSpPr txBox="1"/>
      </xdr:nvSpPr>
      <xdr:spPr>
        <a:xfrm>
          <a:off x="169365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544046</xdr:colOff>
      <xdr:row>967</xdr:row>
      <xdr:rowOff>0</xdr:rowOff>
    </xdr:from>
    <xdr:ext cx="184731" cy="255111"/>
    <xdr:sp macro="" textlink="">
      <xdr:nvSpPr>
        <xdr:cNvPr id="766" name="TextBox 765"/>
        <xdr:cNvSpPr txBox="1"/>
      </xdr:nvSpPr>
      <xdr:spPr>
        <a:xfrm>
          <a:off x="168603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620246</xdr:colOff>
      <xdr:row>967</xdr:row>
      <xdr:rowOff>0</xdr:rowOff>
    </xdr:from>
    <xdr:ext cx="184731" cy="255111"/>
    <xdr:sp macro="" textlink="">
      <xdr:nvSpPr>
        <xdr:cNvPr id="767" name="TextBox 766"/>
        <xdr:cNvSpPr txBox="1"/>
      </xdr:nvSpPr>
      <xdr:spPr>
        <a:xfrm>
          <a:off x="169365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620246</xdr:colOff>
      <xdr:row>967</xdr:row>
      <xdr:rowOff>0</xdr:rowOff>
    </xdr:from>
    <xdr:ext cx="184731" cy="255111"/>
    <xdr:sp macro="" textlink="">
      <xdr:nvSpPr>
        <xdr:cNvPr id="768" name="TextBox 767"/>
        <xdr:cNvSpPr txBox="1"/>
      </xdr:nvSpPr>
      <xdr:spPr>
        <a:xfrm>
          <a:off x="169365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620246</xdr:colOff>
      <xdr:row>967</xdr:row>
      <xdr:rowOff>0</xdr:rowOff>
    </xdr:from>
    <xdr:ext cx="184731" cy="255111"/>
    <xdr:sp macro="" textlink="">
      <xdr:nvSpPr>
        <xdr:cNvPr id="769" name="TextBox 768"/>
        <xdr:cNvSpPr txBox="1"/>
      </xdr:nvSpPr>
      <xdr:spPr>
        <a:xfrm>
          <a:off x="169365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620246</xdr:colOff>
      <xdr:row>967</xdr:row>
      <xdr:rowOff>0</xdr:rowOff>
    </xdr:from>
    <xdr:ext cx="184731" cy="255111"/>
    <xdr:sp macro="" textlink="">
      <xdr:nvSpPr>
        <xdr:cNvPr id="770" name="TextBox 769"/>
        <xdr:cNvSpPr txBox="1"/>
      </xdr:nvSpPr>
      <xdr:spPr>
        <a:xfrm>
          <a:off x="17955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620246</xdr:colOff>
      <xdr:row>967</xdr:row>
      <xdr:rowOff>0</xdr:rowOff>
    </xdr:from>
    <xdr:ext cx="184731" cy="255111"/>
    <xdr:sp macro="" textlink="">
      <xdr:nvSpPr>
        <xdr:cNvPr id="771" name="TextBox 770"/>
        <xdr:cNvSpPr txBox="1"/>
      </xdr:nvSpPr>
      <xdr:spPr>
        <a:xfrm>
          <a:off x="17955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620246</xdr:colOff>
      <xdr:row>967</xdr:row>
      <xdr:rowOff>0</xdr:rowOff>
    </xdr:from>
    <xdr:ext cx="184731" cy="255111"/>
    <xdr:sp macro="" textlink="">
      <xdr:nvSpPr>
        <xdr:cNvPr id="772" name="TextBox 771"/>
        <xdr:cNvSpPr txBox="1"/>
      </xdr:nvSpPr>
      <xdr:spPr>
        <a:xfrm>
          <a:off x="17955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620246</xdr:colOff>
      <xdr:row>967</xdr:row>
      <xdr:rowOff>0</xdr:rowOff>
    </xdr:from>
    <xdr:ext cx="184731" cy="255111"/>
    <xdr:sp macro="" textlink="">
      <xdr:nvSpPr>
        <xdr:cNvPr id="773" name="TextBox 772"/>
        <xdr:cNvSpPr txBox="1"/>
      </xdr:nvSpPr>
      <xdr:spPr>
        <a:xfrm>
          <a:off x="17955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620246</xdr:colOff>
      <xdr:row>967</xdr:row>
      <xdr:rowOff>0</xdr:rowOff>
    </xdr:from>
    <xdr:ext cx="184731" cy="255111"/>
    <xdr:sp macro="" textlink="">
      <xdr:nvSpPr>
        <xdr:cNvPr id="774" name="TextBox 773"/>
        <xdr:cNvSpPr txBox="1"/>
      </xdr:nvSpPr>
      <xdr:spPr>
        <a:xfrm>
          <a:off x="17955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544046</xdr:colOff>
      <xdr:row>967</xdr:row>
      <xdr:rowOff>0</xdr:rowOff>
    </xdr:from>
    <xdr:ext cx="184731" cy="255111"/>
    <xdr:sp macro="" textlink="">
      <xdr:nvSpPr>
        <xdr:cNvPr id="775" name="TextBox 774"/>
        <xdr:cNvSpPr txBox="1"/>
      </xdr:nvSpPr>
      <xdr:spPr>
        <a:xfrm>
          <a:off x="17879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620246</xdr:colOff>
      <xdr:row>967</xdr:row>
      <xdr:rowOff>0</xdr:rowOff>
    </xdr:from>
    <xdr:ext cx="184731" cy="255111"/>
    <xdr:sp macro="" textlink="">
      <xdr:nvSpPr>
        <xdr:cNvPr id="776" name="TextBox 775"/>
        <xdr:cNvSpPr txBox="1"/>
      </xdr:nvSpPr>
      <xdr:spPr>
        <a:xfrm>
          <a:off x="17955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620246</xdr:colOff>
      <xdr:row>967</xdr:row>
      <xdr:rowOff>0</xdr:rowOff>
    </xdr:from>
    <xdr:ext cx="184731" cy="255111"/>
    <xdr:sp macro="" textlink="">
      <xdr:nvSpPr>
        <xdr:cNvPr id="777" name="TextBox 776"/>
        <xdr:cNvSpPr txBox="1"/>
      </xdr:nvSpPr>
      <xdr:spPr>
        <a:xfrm>
          <a:off x="17955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620246</xdr:colOff>
      <xdr:row>967</xdr:row>
      <xdr:rowOff>0</xdr:rowOff>
    </xdr:from>
    <xdr:ext cx="184731" cy="255111"/>
    <xdr:sp macro="" textlink="">
      <xdr:nvSpPr>
        <xdr:cNvPr id="778" name="TextBox 777"/>
        <xdr:cNvSpPr txBox="1"/>
      </xdr:nvSpPr>
      <xdr:spPr>
        <a:xfrm>
          <a:off x="18908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620246</xdr:colOff>
      <xdr:row>967</xdr:row>
      <xdr:rowOff>0</xdr:rowOff>
    </xdr:from>
    <xdr:ext cx="184731" cy="255111"/>
    <xdr:sp macro="" textlink="">
      <xdr:nvSpPr>
        <xdr:cNvPr id="779" name="TextBox 778"/>
        <xdr:cNvSpPr txBox="1"/>
      </xdr:nvSpPr>
      <xdr:spPr>
        <a:xfrm>
          <a:off x="18908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620246</xdr:colOff>
      <xdr:row>967</xdr:row>
      <xdr:rowOff>0</xdr:rowOff>
    </xdr:from>
    <xdr:ext cx="184731" cy="255111"/>
    <xdr:sp macro="" textlink="">
      <xdr:nvSpPr>
        <xdr:cNvPr id="780" name="TextBox 779"/>
        <xdr:cNvSpPr txBox="1"/>
      </xdr:nvSpPr>
      <xdr:spPr>
        <a:xfrm>
          <a:off x="18908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534521</xdr:colOff>
      <xdr:row>967</xdr:row>
      <xdr:rowOff>0</xdr:rowOff>
    </xdr:from>
    <xdr:ext cx="184731" cy="255111"/>
    <xdr:sp macro="" textlink="">
      <xdr:nvSpPr>
        <xdr:cNvPr id="781" name="TextBox 780"/>
        <xdr:cNvSpPr txBox="1"/>
      </xdr:nvSpPr>
      <xdr:spPr>
        <a:xfrm>
          <a:off x="188225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620246</xdr:colOff>
      <xdr:row>967</xdr:row>
      <xdr:rowOff>0</xdr:rowOff>
    </xdr:from>
    <xdr:ext cx="184731" cy="255111"/>
    <xdr:sp macro="" textlink="">
      <xdr:nvSpPr>
        <xdr:cNvPr id="782" name="TextBox 781"/>
        <xdr:cNvSpPr txBox="1"/>
      </xdr:nvSpPr>
      <xdr:spPr>
        <a:xfrm>
          <a:off x="18908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620246</xdr:colOff>
      <xdr:row>967</xdr:row>
      <xdr:rowOff>0</xdr:rowOff>
    </xdr:from>
    <xdr:ext cx="184731" cy="255111"/>
    <xdr:sp macro="" textlink="">
      <xdr:nvSpPr>
        <xdr:cNvPr id="783" name="TextBox 782"/>
        <xdr:cNvSpPr txBox="1"/>
      </xdr:nvSpPr>
      <xdr:spPr>
        <a:xfrm>
          <a:off x="18908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544046</xdr:colOff>
      <xdr:row>967</xdr:row>
      <xdr:rowOff>0</xdr:rowOff>
    </xdr:from>
    <xdr:ext cx="184731" cy="255111"/>
    <xdr:sp macro="" textlink="">
      <xdr:nvSpPr>
        <xdr:cNvPr id="784" name="TextBox 783"/>
        <xdr:cNvSpPr txBox="1"/>
      </xdr:nvSpPr>
      <xdr:spPr>
        <a:xfrm>
          <a:off x="18832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620246</xdr:colOff>
      <xdr:row>967</xdr:row>
      <xdr:rowOff>0</xdr:rowOff>
    </xdr:from>
    <xdr:ext cx="184731" cy="255111"/>
    <xdr:sp macro="" textlink="">
      <xdr:nvSpPr>
        <xdr:cNvPr id="785" name="TextBox 784"/>
        <xdr:cNvSpPr txBox="1"/>
      </xdr:nvSpPr>
      <xdr:spPr>
        <a:xfrm>
          <a:off x="18908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620246</xdr:colOff>
      <xdr:row>967</xdr:row>
      <xdr:rowOff>0</xdr:rowOff>
    </xdr:from>
    <xdr:ext cx="184731" cy="255111"/>
    <xdr:sp macro="" textlink="">
      <xdr:nvSpPr>
        <xdr:cNvPr id="786" name="TextBox 785"/>
        <xdr:cNvSpPr txBox="1"/>
      </xdr:nvSpPr>
      <xdr:spPr>
        <a:xfrm>
          <a:off x="18908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620246</xdr:colOff>
      <xdr:row>967</xdr:row>
      <xdr:rowOff>0</xdr:rowOff>
    </xdr:from>
    <xdr:ext cx="184731" cy="255111"/>
    <xdr:sp macro="" textlink="">
      <xdr:nvSpPr>
        <xdr:cNvPr id="787" name="TextBox 786"/>
        <xdr:cNvSpPr txBox="1"/>
      </xdr:nvSpPr>
      <xdr:spPr>
        <a:xfrm>
          <a:off x="18908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620246</xdr:colOff>
      <xdr:row>967</xdr:row>
      <xdr:rowOff>0</xdr:rowOff>
    </xdr:from>
    <xdr:ext cx="184731" cy="255111"/>
    <xdr:sp macro="" textlink="">
      <xdr:nvSpPr>
        <xdr:cNvPr id="788" name="TextBox 787"/>
        <xdr:cNvSpPr txBox="1"/>
      </xdr:nvSpPr>
      <xdr:spPr>
        <a:xfrm>
          <a:off x="19860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620246</xdr:colOff>
      <xdr:row>967</xdr:row>
      <xdr:rowOff>0</xdr:rowOff>
    </xdr:from>
    <xdr:ext cx="184731" cy="255111"/>
    <xdr:sp macro="" textlink="">
      <xdr:nvSpPr>
        <xdr:cNvPr id="789" name="TextBox 788"/>
        <xdr:cNvSpPr txBox="1"/>
      </xdr:nvSpPr>
      <xdr:spPr>
        <a:xfrm>
          <a:off x="19860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620246</xdr:colOff>
      <xdr:row>967</xdr:row>
      <xdr:rowOff>0</xdr:rowOff>
    </xdr:from>
    <xdr:ext cx="184731" cy="255111"/>
    <xdr:sp macro="" textlink="">
      <xdr:nvSpPr>
        <xdr:cNvPr id="790" name="TextBox 789"/>
        <xdr:cNvSpPr txBox="1"/>
      </xdr:nvSpPr>
      <xdr:spPr>
        <a:xfrm>
          <a:off x="19860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534521</xdr:colOff>
      <xdr:row>967</xdr:row>
      <xdr:rowOff>0</xdr:rowOff>
    </xdr:from>
    <xdr:ext cx="184731" cy="255111"/>
    <xdr:sp macro="" textlink="">
      <xdr:nvSpPr>
        <xdr:cNvPr id="791" name="TextBox 790"/>
        <xdr:cNvSpPr txBox="1"/>
      </xdr:nvSpPr>
      <xdr:spPr>
        <a:xfrm>
          <a:off x="197750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620246</xdr:colOff>
      <xdr:row>967</xdr:row>
      <xdr:rowOff>0</xdr:rowOff>
    </xdr:from>
    <xdr:ext cx="184731" cy="255111"/>
    <xdr:sp macro="" textlink="">
      <xdr:nvSpPr>
        <xdr:cNvPr id="792" name="TextBox 791"/>
        <xdr:cNvSpPr txBox="1"/>
      </xdr:nvSpPr>
      <xdr:spPr>
        <a:xfrm>
          <a:off x="19860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620246</xdr:colOff>
      <xdr:row>967</xdr:row>
      <xdr:rowOff>0</xdr:rowOff>
    </xdr:from>
    <xdr:ext cx="184731" cy="255111"/>
    <xdr:sp macro="" textlink="">
      <xdr:nvSpPr>
        <xdr:cNvPr id="793" name="TextBox 792"/>
        <xdr:cNvSpPr txBox="1"/>
      </xdr:nvSpPr>
      <xdr:spPr>
        <a:xfrm>
          <a:off x="19860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544046</xdr:colOff>
      <xdr:row>967</xdr:row>
      <xdr:rowOff>0</xdr:rowOff>
    </xdr:from>
    <xdr:ext cx="184731" cy="255111"/>
    <xdr:sp macro="" textlink="">
      <xdr:nvSpPr>
        <xdr:cNvPr id="794" name="TextBox 793"/>
        <xdr:cNvSpPr txBox="1"/>
      </xdr:nvSpPr>
      <xdr:spPr>
        <a:xfrm>
          <a:off x="19784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620246</xdr:colOff>
      <xdr:row>967</xdr:row>
      <xdr:rowOff>0</xdr:rowOff>
    </xdr:from>
    <xdr:ext cx="184731" cy="255111"/>
    <xdr:sp macro="" textlink="">
      <xdr:nvSpPr>
        <xdr:cNvPr id="795" name="TextBox 794"/>
        <xdr:cNvSpPr txBox="1"/>
      </xdr:nvSpPr>
      <xdr:spPr>
        <a:xfrm>
          <a:off x="19860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620246</xdr:colOff>
      <xdr:row>967</xdr:row>
      <xdr:rowOff>0</xdr:rowOff>
    </xdr:from>
    <xdr:ext cx="184731" cy="255111"/>
    <xdr:sp macro="" textlink="">
      <xdr:nvSpPr>
        <xdr:cNvPr id="796" name="TextBox 795"/>
        <xdr:cNvSpPr txBox="1"/>
      </xdr:nvSpPr>
      <xdr:spPr>
        <a:xfrm>
          <a:off x="19860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20</xdr:col>
      <xdr:colOff>620246</xdr:colOff>
      <xdr:row>967</xdr:row>
      <xdr:rowOff>0</xdr:rowOff>
    </xdr:from>
    <xdr:ext cx="184731" cy="255111"/>
    <xdr:sp macro="" textlink="">
      <xdr:nvSpPr>
        <xdr:cNvPr id="797" name="TextBox 796"/>
        <xdr:cNvSpPr txBox="1"/>
      </xdr:nvSpPr>
      <xdr:spPr>
        <a:xfrm>
          <a:off x="19860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620246</xdr:colOff>
      <xdr:row>967</xdr:row>
      <xdr:rowOff>0</xdr:rowOff>
    </xdr:from>
    <xdr:ext cx="184731" cy="255111"/>
    <xdr:sp macro="" textlink="">
      <xdr:nvSpPr>
        <xdr:cNvPr id="798" name="TextBox 797"/>
        <xdr:cNvSpPr txBox="1"/>
      </xdr:nvSpPr>
      <xdr:spPr>
        <a:xfrm>
          <a:off x="20851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620246</xdr:colOff>
      <xdr:row>967</xdr:row>
      <xdr:rowOff>0</xdr:rowOff>
    </xdr:from>
    <xdr:ext cx="184731" cy="255111"/>
    <xdr:sp macro="" textlink="">
      <xdr:nvSpPr>
        <xdr:cNvPr id="799" name="TextBox 798"/>
        <xdr:cNvSpPr txBox="1"/>
      </xdr:nvSpPr>
      <xdr:spPr>
        <a:xfrm>
          <a:off x="20851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620246</xdr:colOff>
      <xdr:row>967</xdr:row>
      <xdr:rowOff>0</xdr:rowOff>
    </xdr:from>
    <xdr:ext cx="184731" cy="255111"/>
    <xdr:sp macro="" textlink="">
      <xdr:nvSpPr>
        <xdr:cNvPr id="800" name="TextBox 799"/>
        <xdr:cNvSpPr txBox="1"/>
      </xdr:nvSpPr>
      <xdr:spPr>
        <a:xfrm>
          <a:off x="20851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534521</xdr:colOff>
      <xdr:row>967</xdr:row>
      <xdr:rowOff>0</xdr:rowOff>
    </xdr:from>
    <xdr:ext cx="184731" cy="255111"/>
    <xdr:sp macro="" textlink="">
      <xdr:nvSpPr>
        <xdr:cNvPr id="801" name="TextBox 800"/>
        <xdr:cNvSpPr txBox="1"/>
      </xdr:nvSpPr>
      <xdr:spPr>
        <a:xfrm>
          <a:off x="207656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620246</xdr:colOff>
      <xdr:row>967</xdr:row>
      <xdr:rowOff>0</xdr:rowOff>
    </xdr:from>
    <xdr:ext cx="184731" cy="255111"/>
    <xdr:sp macro="" textlink="">
      <xdr:nvSpPr>
        <xdr:cNvPr id="802" name="TextBox 801"/>
        <xdr:cNvSpPr txBox="1"/>
      </xdr:nvSpPr>
      <xdr:spPr>
        <a:xfrm>
          <a:off x="20851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620246</xdr:colOff>
      <xdr:row>967</xdr:row>
      <xdr:rowOff>0</xdr:rowOff>
    </xdr:from>
    <xdr:ext cx="184731" cy="255111"/>
    <xdr:sp macro="" textlink="">
      <xdr:nvSpPr>
        <xdr:cNvPr id="803" name="TextBox 802"/>
        <xdr:cNvSpPr txBox="1"/>
      </xdr:nvSpPr>
      <xdr:spPr>
        <a:xfrm>
          <a:off x="20851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544046</xdr:colOff>
      <xdr:row>967</xdr:row>
      <xdr:rowOff>0</xdr:rowOff>
    </xdr:from>
    <xdr:ext cx="184731" cy="255111"/>
    <xdr:sp macro="" textlink="">
      <xdr:nvSpPr>
        <xdr:cNvPr id="804" name="TextBox 803"/>
        <xdr:cNvSpPr txBox="1"/>
      </xdr:nvSpPr>
      <xdr:spPr>
        <a:xfrm>
          <a:off x="207751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620246</xdr:colOff>
      <xdr:row>967</xdr:row>
      <xdr:rowOff>0</xdr:rowOff>
    </xdr:from>
    <xdr:ext cx="184731" cy="255111"/>
    <xdr:sp macro="" textlink="">
      <xdr:nvSpPr>
        <xdr:cNvPr id="805" name="TextBox 804"/>
        <xdr:cNvSpPr txBox="1"/>
      </xdr:nvSpPr>
      <xdr:spPr>
        <a:xfrm>
          <a:off x="20851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620246</xdr:colOff>
      <xdr:row>967</xdr:row>
      <xdr:rowOff>0</xdr:rowOff>
    </xdr:from>
    <xdr:ext cx="184731" cy="255111"/>
    <xdr:sp macro="" textlink="">
      <xdr:nvSpPr>
        <xdr:cNvPr id="806" name="TextBox 805"/>
        <xdr:cNvSpPr txBox="1"/>
      </xdr:nvSpPr>
      <xdr:spPr>
        <a:xfrm>
          <a:off x="20851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620246</xdr:colOff>
      <xdr:row>967</xdr:row>
      <xdr:rowOff>0</xdr:rowOff>
    </xdr:from>
    <xdr:ext cx="184731" cy="255111"/>
    <xdr:sp macro="" textlink="">
      <xdr:nvSpPr>
        <xdr:cNvPr id="807" name="TextBox 806"/>
        <xdr:cNvSpPr txBox="1"/>
      </xdr:nvSpPr>
      <xdr:spPr>
        <a:xfrm>
          <a:off x="20851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620246</xdr:colOff>
      <xdr:row>967</xdr:row>
      <xdr:rowOff>0</xdr:rowOff>
    </xdr:from>
    <xdr:ext cx="184731" cy="255111"/>
    <xdr:sp macro="" textlink="">
      <xdr:nvSpPr>
        <xdr:cNvPr id="808" name="TextBox 807"/>
        <xdr:cNvSpPr txBox="1"/>
      </xdr:nvSpPr>
      <xdr:spPr>
        <a:xfrm>
          <a:off x="216704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620246</xdr:colOff>
      <xdr:row>967</xdr:row>
      <xdr:rowOff>0</xdr:rowOff>
    </xdr:from>
    <xdr:ext cx="184731" cy="255111"/>
    <xdr:sp macro="" textlink="">
      <xdr:nvSpPr>
        <xdr:cNvPr id="809" name="TextBox 808"/>
        <xdr:cNvSpPr txBox="1"/>
      </xdr:nvSpPr>
      <xdr:spPr>
        <a:xfrm>
          <a:off x="216704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620246</xdr:colOff>
      <xdr:row>967</xdr:row>
      <xdr:rowOff>0</xdr:rowOff>
    </xdr:from>
    <xdr:ext cx="184731" cy="255111"/>
    <xdr:sp macro="" textlink="">
      <xdr:nvSpPr>
        <xdr:cNvPr id="810" name="TextBox 809"/>
        <xdr:cNvSpPr txBox="1"/>
      </xdr:nvSpPr>
      <xdr:spPr>
        <a:xfrm>
          <a:off x="216704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534521</xdr:colOff>
      <xdr:row>967</xdr:row>
      <xdr:rowOff>0</xdr:rowOff>
    </xdr:from>
    <xdr:ext cx="184731" cy="255111"/>
    <xdr:sp macro="" textlink="">
      <xdr:nvSpPr>
        <xdr:cNvPr id="811" name="TextBox 810"/>
        <xdr:cNvSpPr txBox="1"/>
      </xdr:nvSpPr>
      <xdr:spPr>
        <a:xfrm>
          <a:off x="215847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620246</xdr:colOff>
      <xdr:row>967</xdr:row>
      <xdr:rowOff>0</xdr:rowOff>
    </xdr:from>
    <xdr:ext cx="184731" cy="255111"/>
    <xdr:sp macro="" textlink="">
      <xdr:nvSpPr>
        <xdr:cNvPr id="812" name="TextBox 811"/>
        <xdr:cNvSpPr txBox="1"/>
      </xdr:nvSpPr>
      <xdr:spPr>
        <a:xfrm>
          <a:off x="216704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620246</xdr:colOff>
      <xdr:row>967</xdr:row>
      <xdr:rowOff>0</xdr:rowOff>
    </xdr:from>
    <xdr:ext cx="184731" cy="255111"/>
    <xdr:sp macro="" textlink="">
      <xdr:nvSpPr>
        <xdr:cNvPr id="813" name="TextBox 812"/>
        <xdr:cNvSpPr txBox="1"/>
      </xdr:nvSpPr>
      <xdr:spPr>
        <a:xfrm>
          <a:off x="216704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544046</xdr:colOff>
      <xdr:row>967</xdr:row>
      <xdr:rowOff>0</xdr:rowOff>
    </xdr:from>
    <xdr:ext cx="184731" cy="255111"/>
    <xdr:sp macro="" textlink="">
      <xdr:nvSpPr>
        <xdr:cNvPr id="814" name="TextBox 813"/>
        <xdr:cNvSpPr txBox="1"/>
      </xdr:nvSpPr>
      <xdr:spPr>
        <a:xfrm>
          <a:off x="215942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620246</xdr:colOff>
      <xdr:row>967</xdr:row>
      <xdr:rowOff>0</xdr:rowOff>
    </xdr:from>
    <xdr:ext cx="184731" cy="255111"/>
    <xdr:sp macro="" textlink="">
      <xdr:nvSpPr>
        <xdr:cNvPr id="815" name="TextBox 814"/>
        <xdr:cNvSpPr txBox="1"/>
      </xdr:nvSpPr>
      <xdr:spPr>
        <a:xfrm>
          <a:off x="216704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620246</xdr:colOff>
      <xdr:row>967</xdr:row>
      <xdr:rowOff>0</xdr:rowOff>
    </xdr:from>
    <xdr:ext cx="184731" cy="255111"/>
    <xdr:sp macro="" textlink="">
      <xdr:nvSpPr>
        <xdr:cNvPr id="816" name="TextBox 815"/>
        <xdr:cNvSpPr txBox="1"/>
      </xdr:nvSpPr>
      <xdr:spPr>
        <a:xfrm>
          <a:off x="216704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22</xdr:col>
      <xdr:colOff>620246</xdr:colOff>
      <xdr:row>967</xdr:row>
      <xdr:rowOff>0</xdr:rowOff>
    </xdr:from>
    <xdr:ext cx="184731" cy="255111"/>
    <xdr:sp macro="" textlink="">
      <xdr:nvSpPr>
        <xdr:cNvPr id="817" name="TextBox 816"/>
        <xdr:cNvSpPr txBox="1"/>
      </xdr:nvSpPr>
      <xdr:spPr>
        <a:xfrm>
          <a:off x="216704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620246</xdr:colOff>
      <xdr:row>967</xdr:row>
      <xdr:rowOff>0</xdr:rowOff>
    </xdr:from>
    <xdr:ext cx="184731" cy="255111"/>
    <xdr:sp macro="" textlink="">
      <xdr:nvSpPr>
        <xdr:cNvPr id="818" name="TextBox 817"/>
        <xdr:cNvSpPr txBox="1"/>
      </xdr:nvSpPr>
      <xdr:spPr>
        <a:xfrm>
          <a:off x="224896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620246</xdr:colOff>
      <xdr:row>967</xdr:row>
      <xdr:rowOff>0</xdr:rowOff>
    </xdr:from>
    <xdr:ext cx="184731" cy="255111"/>
    <xdr:sp macro="" textlink="">
      <xdr:nvSpPr>
        <xdr:cNvPr id="819" name="TextBox 818"/>
        <xdr:cNvSpPr txBox="1"/>
      </xdr:nvSpPr>
      <xdr:spPr>
        <a:xfrm>
          <a:off x="224896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620246</xdr:colOff>
      <xdr:row>967</xdr:row>
      <xdr:rowOff>0</xdr:rowOff>
    </xdr:from>
    <xdr:ext cx="184731" cy="255111"/>
    <xdr:sp macro="" textlink="">
      <xdr:nvSpPr>
        <xdr:cNvPr id="820" name="TextBox 819"/>
        <xdr:cNvSpPr txBox="1"/>
      </xdr:nvSpPr>
      <xdr:spPr>
        <a:xfrm>
          <a:off x="224896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534521</xdr:colOff>
      <xdr:row>967</xdr:row>
      <xdr:rowOff>0</xdr:rowOff>
    </xdr:from>
    <xdr:ext cx="184731" cy="255111"/>
    <xdr:sp macro="" textlink="">
      <xdr:nvSpPr>
        <xdr:cNvPr id="821" name="TextBox 820"/>
        <xdr:cNvSpPr txBox="1"/>
      </xdr:nvSpPr>
      <xdr:spPr>
        <a:xfrm>
          <a:off x="224039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620246</xdr:colOff>
      <xdr:row>967</xdr:row>
      <xdr:rowOff>0</xdr:rowOff>
    </xdr:from>
    <xdr:ext cx="184731" cy="255111"/>
    <xdr:sp macro="" textlink="">
      <xdr:nvSpPr>
        <xdr:cNvPr id="822" name="TextBox 821"/>
        <xdr:cNvSpPr txBox="1"/>
      </xdr:nvSpPr>
      <xdr:spPr>
        <a:xfrm>
          <a:off x="224896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620246</xdr:colOff>
      <xdr:row>967</xdr:row>
      <xdr:rowOff>0</xdr:rowOff>
    </xdr:from>
    <xdr:ext cx="184731" cy="255111"/>
    <xdr:sp macro="" textlink="">
      <xdr:nvSpPr>
        <xdr:cNvPr id="823" name="TextBox 822"/>
        <xdr:cNvSpPr txBox="1"/>
      </xdr:nvSpPr>
      <xdr:spPr>
        <a:xfrm>
          <a:off x="224896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544046</xdr:colOff>
      <xdr:row>967</xdr:row>
      <xdr:rowOff>0</xdr:rowOff>
    </xdr:from>
    <xdr:ext cx="184731" cy="255111"/>
    <xdr:sp macro="" textlink="">
      <xdr:nvSpPr>
        <xdr:cNvPr id="824" name="TextBox 823"/>
        <xdr:cNvSpPr txBox="1"/>
      </xdr:nvSpPr>
      <xdr:spPr>
        <a:xfrm>
          <a:off x="224134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620246</xdr:colOff>
      <xdr:row>967</xdr:row>
      <xdr:rowOff>0</xdr:rowOff>
    </xdr:from>
    <xdr:ext cx="184731" cy="255111"/>
    <xdr:sp macro="" textlink="">
      <xdr:nvSpPr>
        <xdr:cNvPr id="825" name="TextBox 824"/>
        <xdr:cNvSpPr txBox="1"/>
      </xdr:nvSpPr>
      <xdr:spPr>
        <a:xfrm>
          <a:off x="224896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620246</xdr:colOff>
      <xdr:row>967</xdr:row>
      <xdr:rowOff>0</xdr:rowOff>
    </xdr:from>
    <xdr:ext cx="184731" cy="255111"/>
    <xdr:sp macro="" textlink="">
      <xdr:nvSpPr>
        <xdr:cNvPr id="826" name="TextBox 825"/>
        <xdr:cNvSpPr txBox="1"/>
      </xdr:nvSpPr>
      <xdr:spPr>
        <a:xfrm>
          <a:off x="224896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23</xdr:col>
      <xdr:colOff>620246</xdr:colOff>
      <xdr:row>967</xdr:row>
      <xdr:rowOff>0</xdr:rowOff>
    </xdr:from>
    <xdr:ext cx="184731" cy="255111"/>
    <xdr:sp macro="" textlink="">
      <xdr:nvSpPr>
        <xdr:cNvPr id="827" name="TextBox 826"/>
        <xdr:cNvSpPr txBox="1"/>
      </xdr:nvSpPr>
      <xdr:spPr>
        <a:xfrm>
          <a:off x="224896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24</xdr:col>
      <xdr:colOff>620246</xdr:colOff>
      <xdr:row>967</xdr:row>
      <xdr:rowOff>0</xdr:rowOff>
    </xdr:from>
    <xdr:ext cx="184731" cy="255111"/>
    <xdr:sp macro="" textlink="">
      <xdr:nvSpPr>
        <xdr:cNvPr id="828" name="TextBox 827"/>
        <xdr:cNvSpPr txBox="1"/>
      </xdr:nvSpPr>
      <xdr:spPr>
        <a:xfrm>
          <a:off x="23308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24</xdr:col>
      <xdr:colOff>620246</xdr:colOff>
      <xdr:row>967</xdr:row>
      <xdr:rowOff>0</xdr:rowOff>
    </xdr:from>
    <xdr:ext cx="184731" cy="255111"/>
    <xdr:sp macro="" textlink="">
      <xdr:nvSpPr>
        <xdr:cNvPr id="829" name="TextBox 828"/>
        <xdr:cNvSpPr txBox="1"/>
      </xdr:nvSpPr>
      <xdr:spPr>
        <a:xfrm>
          <a:off x="23308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24</xdr:col>
      <xdr:colOff>620246</xdr:colOff>
      <xdr:row>967</xdr:row>
      <xdr:rowOff>0</xdr:rowOff>
    </xdr:from>
    <xdr:ext cx="184731" cy="255111"/>
    <xdr:sp macro="" textlink="">
      <xdr:nvSpPr>
        <xdr:cNvPr id="830" name="TextBox 829"/>
        <xdr:cNvSpPr txBox="1"/>
      </xdr:nvSpPr>
      <xdr:spPr>
        <a:xfrm>
          <a:off x="23308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24</xdr:col>
      <xdr:colOff>534521</xdr:colOff>
      <xdr:row>967</xdr:row>
      <xdr:rowOff>0</xdr:rowOff>
    </xdr:from>
    <xdr:ext cx="184731" cy="255111"/>
    <xdr:sp macro="" textlink="">
      <xdr:nvSpPr>
        <xdr:cNvPr id="831" name="TextBox 830"/>
        <xdr:cNvSpPr txBox="1"/>
      </xdr:nvSpPr>
      <xdr:spPr>
        <a:xfrm>
          <a:off x="232230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24</xdr:col>
      <xdr:colOff>620246</xdr:colOff>
      <xdr:row>967</xdr:row>
      <xdr:rowOff>0</xdr:rowOff>
    </xdr:from>
    <xdr:ext cx="184731" cy="255111"/>
    <xdr:sp macro="" textlink="">
      <xdr:nvSpPr>
        <xdr:cNvPr id="832" name="TextBox 831"/>
        <xdr:cNvSpPr txBox="1"/>
      </xdr:nvSpPr>
      <xdr:spPr>
        <a:xfrm>
          <a:off x="23308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24</xdr:col>
      <xdr:colOff>620246</xdr:colOff>
      <xdr:row>967</xdr:row>
      <xdr:rowOff>0</xdr:rowOff>
    </xdr:from>
    <xdr:ext cx="184731" cy="255111"/>
    <xdr:sp macro="" textlink="">
      <xdr:nvSpPr>
        <xdr:cNvPr id="833" name="TextBox 832"/>
        <xdr:cNvSpPr txBox="1"/>
      </xdr:nvSpPr>
      <xdr:spPr>
        <a:xfrm>
          <a:off x="23308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24</xdr:col>
      <xdr:colOff>544046</xdr:colOff>
      <xdr:row>967</xdr:row>
      <xdr:rowOff>0</xdr:rowOff>
    </xdr:from>
    <xdr:ext cx="184731" cy="255111"/>
    <xdr:sp macro="" textlink="">
      <xdr:nvSpPr>
        <xdr:cNvPr id="834" name="TextBox 833"/>
        <xdr:cNvSpPr txBox="1"/>
      </xdr:nvSpPr>
      <xdr:spPr>
        <a:xfrm>
          <a:off x="232325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24</xdr:col>
      <xdr:colOff>620246</xdr:colOff>
      <xdr:row>967</xdr:row>
      <xdr:rowOff>0</xdr:rowOff>
    </xdr:from>
    <xdr:ext cx="184731" cy="255111"/>
    <xdr:sp macro="" textlink="">
      <xdr:nvSpPr>
        <xdr:cNvPr id="835" name="TextBox 834"/>
        <xdr:cNvSpPr txBox="1"/>
      </xdr:nvSpPr>
      <xdr:spPr>
        <a:xfrm>
          <a:off x="23308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24</xdr:col>
      <xdr:colOff>620246</xdr:colOff>
      <xdr:row>967</xdr:row>
      <xdr:rowOff>0</xdr:rowOff>
    </xdr:from>
    <xdr:ext cx="45719" cy="45719"/>
    <xdr:sp macro="" textlink="">
      <xdr:nvSpPr>
        <xdr:cNvPr id="836" name="TextBox 835"/>
        <xdr:cNvSpPr txBox="1"/>
      </xdr:nvSpPr>
      <xdr:spPr>
        <a:xfrm flipV="1">
          <a:off x="23308796" y="9422130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n-US"/>
        </a:p>
      </xdr:txBody>
    </xdr:sp>
    <xdr:clientData/>
  </xdr:oneCellAnchor>
  <xdr:oneCellAnchor>
    <xdr:from>
      <xdr:col>25</xdr:col>
      <xdr:colOff>620246</xdr:colOff>
      <xdr:row>967</xdr:row>
      <xdr:rowOff>0</xdr:rowOff>
    </xdr:from>
    <xdr:ext cx="184731" cy="255111"/>
    <xdr:sp macro="" textlink="">
      <xdr:nvSpPr>
        <xdr:cNvPr id="837" name="TextBox 836"/>
        <xdr:cNvSpPr txBox="1"/>
      </xdr:nvSpPr>
      <xdr:spPr>
        <a:xfrm>
          <a:off x="241279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620246</xdr:colOff>
      <xdr:row>967</xdr:row>
      <xdr:rowOff>0</xdr:rowOff>
    </xdr:from>
    <xdr:ext cx="184731" cy="255111"/>
    <xdr:sp macro="" textlink="">
      <xdr:nvSpPr>
        <xdr:cNvPr id="838" name="TextBox 837"/>
        <xdr:cNvSpPr txBox="1"/>
      </xdr:nvSpPr>
      <xdr:spPr>
        <a:xfrm>
          <a:off x="241279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620246</xdr:colOff>
      <xdr:row>967</xdr:row>
      <xdr:rowOff>0</xdr:rowOff>
    </xdr:from>
    <xdr:ext cx="184731" cy="255111"/>
    <xdr:sp macro="" textlink="">
      <xdr:nvSpPr>
        <xdr:cNvPr id="839" name="TextBox 838"/>
        <xdr:cNvSpPr txBox="1"/>
      </xdr:nvSpPr>
      <xdr:spPr>
        <a:xfrm>
          <a:off x="241279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534521</xdr:colOff>
      <xdr:row>967</xdr:row>
      <xdr:rowOff>0</xdr:rowOff>
    </xdr:from>
    <xdr:ext cx="184731" cy="255111"/>
    <xdr:sp macro="" textlink="">
      <xdr:nvSpPr>
        <xdr:cNvPr id="840" name="TextBox 839"/>
        <xdr:cNvSpPr txBox="1"/>
      </xdr:nvSpPr>
      <xdr:spPr>
        <a:xfrm>
          <a:off x="240422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620246</xdr:colOff>
      <xdr:row>967</xdr:row>
      <xdr:rowOff>0</xdr:rowOff>
    </xdr:from>
    <xdr:ext cx="184731" cy="255111"/>
    <xdr:sp macro="" textlink="">
      <xdr:nvSpPr>
        <xdr:cNvPr id="841" name="TextBox 840"/>
        <xdr:cNvSpPr txBox="1"/>
      </xdr:nvSpPr>
      <xdr:spPr>
        <a:xfrm>
          <a:off x="241279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620246</xdr:colOff>
      <xdr:row>967</xdr:row>
      <xdr:rowOff>0</xdr:rowOff>
    </xdr:from>
    <xdr:ext cx="184731" cy="255111"/>
    <xdr:sp macro="" textlink="">
      <xdr:nvSpPr>
        <xdr:cNvPr id="842" name="TextBox 841"/>
        <xdr:cNvSpPr txBox="1"/>
      </xdr:nvSpPr>
      <xdr:spPr>
        <a:xfrm>
          <a:off x="241279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544046</xdr:colOff>
      <xdr:row>967</xdr:row>
      <xdr:rowOff>0</xdr:rowOff>
    </xdr:from>
    <xdr:ext cx="184731" cy="255111"/>
    <xdr:sp macro="" textlink="">
      <xdr:nvSpPr>
        <xdr:cNvPr id="843" name="TextBox 842"/>
        <xdr:cNvSpPr txBox="1"/>
      </xdr:nvSpPr>
      <xdr:spPr>
        <a:xfrm>
          <a:off x="240517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620246</xdr:colOff>
      <xdr:row>967</xdr:row>
      <xdr:rowOff>0</xdr:rowOff>
    </xdr:from>
    <xdr:ext cx="184731" cy="255111"/>
    <xdr:sp macro="" textlink="">
      <xdr:nvSpPr>
        <xdr:cNvPr id="844" name="TextBox 843"/>
        <xdr:cNvSpPr txBox="1"/>
      </xdr:nvSpPr>
      <xdr:spPr>
        <a:xfrm>
          <a:off x="241279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620246</xdr:colOff>
      <xdr:row>967</xdr:row>
      <xdr:rowOff>0</xdr:rowOff>
    </xdr:from>
    <xdr:ext cx="184731" cy="255111"/>
    <xdr:sp macro="" textlink="">
      <xdr:nvSpPr>
        <xdr:cNvPr id="845" name="TextBox 844"/>
        <xdr:cNvSpPr txBox="1"/>
      </xdr:nvSpPr>
      <xdr:spPr>
        <a:xfrm>
          <a:off x="241279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25</xdr:col>
      <xdr:colOff>620246</xdr:colOff>
      <xdr:row>967</xdr:row>
      <xdr:rowOff>0</xdr:rowOff>
    </xdr:from>
    <xdr:ext cx="184731" cy="255111"/>
    <xdr:sp macro="" textlink="">
      <xdr:nvSpPr>
        <xdr:cNvPr id="846" name="TextBox 845"/>
        <xdr:cNvSpPr txBox="1"/>
      </xdr:nvSpPr>
      <xdr:spPr>
        <a:xfrm>
          <a:off x="241279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620246</xdr:colOff>
      <xdr:row>967</xdr:row>
      <xdr:rowOff>0</xdr:rowOff>
    </xdr:from>
    <xdr:ext cx="184731" cy="255111"/>
    <xdr:sp macro="" textlink="">
      <xdr:nvSpPr>
        <xdr:cNvPr id="847" name="TextBox 846"/>
        <xdr:cNvSpPr txBox="1"/>
      </xdr:nvSpPr>
      <xdr:spPr>
        <a:xfrm>
          <a:off x="249470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620246</xdr:colOff>
      <xdr:row>967</xdr:row>
      <xdr:rowOff>0</xdr:rowOff>
    </xdr:from>
    <xdr:ext cx="184731" cy="255111"/>
    <xdr:sp macro="" textlink="">
      <xdr:nvSpPr>
        <xdr:cNvPr id="848" name="TextBox 847"/>
        <xdr:cNvSpPr txBox="1"/>
      </xdr:nvSpPr>
      <xdr:spPr>
        <a:xfrm>
          <a:off x="249470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620246</xdr:colOff>
      <xdr:row>967</xdr:row>
      <xdr:rowOff>0</xdr:rowOff>
    </xdr:from>
    <xdr:ext cx="184731" cy="255111"/>
    <xdr:sp macro="" textlink="">
      <xdr:nvSpPr>
        <xdr:cNvPr id="849" name="TextBox 848"/>
        <xdr:cNvSpPr txBox="1"/>
      </xdr:nvSpPr>
      <xdr:spPr>
        <a:xfrm>
          <a:off x="249470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534521</xdr:colOff>
      <xdr:row>967</xdr:row>
      <xdr:rowOff>0</xdr:rowOff>
    </xdr:from>
    <xdr:ext cx="184731" cy="255111"/>
    <xdr:sp macro="" textlink="">
      <xdr:nvSpPr>
        <xdr:cNvPr id="850" name="TextBox 849"/>
        <xdr:cNvSpPr txBox="1"/>
      </xdr:nvSpPr>
      <xdr:spPr>
        <a:xfrm>
          <a:off x="248613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620246</xdr:colOff>
      <xdr:row>967</xdr:row>
      <xdr:rowOff>0</xdr:rowOff>
    </xdr:from>
    <xdr:ext cx="184731" cy="255111"/>
    <xdr:sp macro="" textlink="">
      <xdr:nvSpPr>
        <xdr:cNvPr id="851" name="TextBox 850"/>
        <xdr:cNvSpPr txBox="1"/>
      </xdr:nvSpPr>
      <xdr:spPr>
        <a:xfrm>
          <a:off x="249470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620246</xdr:colOff>
      <xdr:row>967</xdr:row>
      <xdr:rowOff>0</xdr:rowOff>
    </xdr:from>
    <xdr:ext cx="184731" cy="255111"/>
    <xdr:sp macro="" textlink="">
      <xdr:nvSpPr>
        <xdr:cNvPr id="852" name="TextBox 851"/>
        <xdr:cNvSpPr txBox="1"/>
      </xdr:nvSpPr>
      <xdr:spPr>
        <a:xfrm>
          <a:off x="249470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544046</xdr:colOff>
      <xdr:row>967</xdr:row>
      <xdr:rowOff>0</xdr:rowOff>
    </xdr:from>
    <xdr:ext cx="184731" cy="255111"/>
    <xdr:sp macro="" textlink="">
      <xdr:nvSpPr>
        <xdr:cNvPr id="853" name="TextBox 852"/>
        <xdr:cNvSpPr txBox="1"/>
      </xdr:nvSpPr>
      <xdr:spPr>
        <a:xfrm>
          <a:off x="248708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620246</xdr:colOff>
      <xdr:row>967</xdr:row>
      <xdr:rowOff>0</xdr:rowOff>
    </xdr:from>
    <xdr:ext cx="184731" cy="255111"/>
    <xdr:sp macro="" textlink="">
      <xdr:nvSpPr>
        <xdr:cNvPr id="854" name="TextBox 853"/>
        <xdr:cNvSpPr txBox="1"/>
      </xdr:nvSpPr>
      <xdr:spPr>
        <a:xfrm>
          <a:off x="249470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620246</xdr:colOff>
      <xdr:row>967</xdr:row>
      <xdr:rowOff>0</xdr:rowOff>
    </xdr:from>
    <xdr:ext cx="184731" cy="255111"/>
    <xdr:sp macro="" textlink="">
      <xdr:nvSpPr>
        <xdr:cNvPr id="855" name="TextBox 854"/>
        <xdr:cNvSpPr txBox="1"/>
      </xdr:nvSpPr>
      <xdr:spPr>
        <a:xfrm>
          <a:off x="249470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26</xdr:col>
      <xdr:colOff>620246</xdr:colOff>
      <xdr:row>967</xdr:row>
      <xdr:rowOff>0</xdr:rowOff>
    </xdr:from>
    <xdr:ext cx="184731" cy="255111"/>
    <xdr:sp macro="" textlink="">
      <xdr:nvSpPr>
        <xdr:cNvPr id="856" name="TextBox 855"/>
        <xdr:cNvSpPr txBox="1"/>
      </xdr:nvSpPr>
      <xdr:spPr>
        <a:xfrm>
          <a:off x="249470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620246</xdr:colOff>
      <xdr:row>967</xdr:row>
      <xdr:rowOff>0</xdr:rowOff>
    </xdr:from>
    <xdr:ext cx="184731" cy="255111"/>
    <xdr:sp macro="" textlink="">
      <xdr:nvSpPr>
        <xdr:cNvPr id="857" name="TextBox 856"/>
        <xdr:cNvSpPr txBox="1"/>
      </xdr:nvSpPr>
      <xdr:spPr>
        <a:xfrm>
          <a:off x="25766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620246</xdr:colOff>
      <xdr:row>967</xdr:row>
      <xdr:rowOff>0</xdr:rowOff>
    </xdr:from>
    <xdr:ext cx="184731" cy="255111"/>
    <xdr:sp macro="" textlink="">
      <xdr:nvSpPr>
        <xdr:cNvPr id="858" name="TextBox 857"/>
        <xdr:cNvSpPr txBox="1"/>
      </xdr:nvSpPr>
      <xdr:spPr>
        <a:xfrm>
          <a:off x="25766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620246</xdr:colOff>
      <xdr:row>967</xdr:row>
      <xdr:rowOff>0</xdr:rowOff>
    </xdr:from>
    <xdr:ext cx="184731" cy="255111"/>
    <xdr:sp macro="" textlink="">
      <xdr:nvSpPr>
        <xdr:cNvPr id="859" name="TextBox 858"/>
        <xdr:cNvSpPr txBox="1"/>
      </xdr:nvSpPr>
      <xdr:spPr>
        <a:xfrm>
          <a:off x="25766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534521</xdr:colOff>
      <xdr:row>967</xdr:row>
      <xdr:rowOff>0</xdr:rowOff>
    </xdr:from>
    <xdr:ext cx="184731" cy="255111"/>
    <xdr:sp macro="" textlink="">
      <xdr:nvSpPr>
        <xdr:cNvPr id="860" name="TextBox 859"/>
        <xdr:cNvSpPr txBox="1"/>
      </xdr:nvSpPr>
      <xdr:spPr>
        <a:xfrm>
          <a:off x="256805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620246</xdr:colOff>
      <xdr:row>967</xdr:row>
      <xdr:rowOff>0</xdr:rowOff>
    </xdr:from>
    <xdr:ext cx="184731" cy="255111"/>
    <xdr:sp macro="" textlink="">
      <xdr:nvSpPr>
        <xdr:cNvPr id="861" name="TextBox 860"/>
        <xdr:cNvSpPr txBox="1"/>
      </xdr:nvSpPr>
      <xdr:spPr>
        <a:xfrm>
          <a:off x="25766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620246</xdr:colOff>
      <xdr:row>967</xdr:row>
      <xdr:rowOff>0</xdr:rowOff>
    </xdr:from>
    <xdr:ext cx="184731" cy="255111"/>
    <xdr:sp macro="" textlink="">
      <xdr:nvSpPr>
        <xdr:cNvPr id="862" name="TextBox 861"/>
        <xdr:cNvSpPr txBox="1"/>
      </xdr:nvSpPr>
      <xdr:spPr>
        <a:xfrm>
          <a:off x="25766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544046</xdr:colOff>
      <xdr:row>967</xdr:row>
      <xdr:rowOff>0</xdr:rowOff>
    </xdr:from>
    <xdr:ext cx="184731" cy="255111"/>
    <xdr:sp macro="" textlink="">
      <xdr:nvSpPr>
        <xdr:cNvPr id="863" name="TextBox 862"/>
        <xdr:cNvSpPr txBox="1"/>
      </xdr:nvSpPr>
      <xdr:spPr>
        <a:xfrm>
          <a:off x="256900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620246</xdr:colOff>
      <xdr:row>967</xdr:row>
      <xdr:rowOff>0</xdr:rowOff>
    </xdr:from>
    <xdr:ext cx="184731" cy="255111"/>
    <xdr:sp macro="" textlink="">
      <xdr:nvSpPr>
        <xdr:cNvPr id="864" name="TextBox 863"/>
        <xdr:cNvSpPr txBox="1"/>
      </xdr:nvSpPr>
      <xdr:spPr>
        <a:xfrm>
          <a:off x="25766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620246</xdr:colOff>
      <xdr:row>967</xdr:row>
      <xdr:rowOff>0</xdr:rowOff>
    </xdr:from>
    <xdr:ext cx="184731" cy="255111"/>
    <xdr:sp macro="" textlink="">
      <xdr:nvSpPr>
        <xdr:cNvPr id="865" name="TextBox 864"/>
        <xdr:cNvSpPr txBox="1"/>
      </xdr:nvSpPr>
      <xdr:spPr>
        <a:xfrm>
          <a:off x="25766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27</xdr:col>
      <xdr:colOff>620246</xdr:colOff>
      <xdr:row>967</xdr:row>
      <xdr:rowOff>0</xdr:rowOff>
    </xdr:from>
    <xdr:ext cx="184731" cy="255111"/>
    <xdr:sp macro="" textlink="">
      <xdr:nvSpPr>
        <xdr:cNvPr id="866" name="TextBox 865"/>
        <xdr:cNvSpPr txBox="1"/>
      </xdr:nvSpPr>
      <xdr:spPr>
        <a:xfrm>
          <a:off x="257662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620246</xdr:colOff>
      <xdr:row>967</xdr:row>
      <xdr:rowOff>0</xdr:rowOff>
    </xdr:from>
    <xdr:ext cx="184731" cy="255111"/>
    <xdr:sp macro="" textlink="">
      <xdr:nvSpPr>
        <xdr:cNvPr id="867" name="TextBox 866"/>
        <xdr:cNvSpPr txBox="1"/>
      </xdr:nvSpPr>
      <xdr:spPr>
        <a:xfrm>
          <a:off x="265853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620246</xdr:colOff>
      <xdr:row>967</xdr:row>
      <xdr:rowOff>0</xdr:rowOff>
    </xdr:from>
    <xdr:ext cx="184731" cy="255111"/>
    <xdr:sp macro="" textlink="">
      <xdr:nvSpPr>
        <xdr:cNvPr id="868" name="TextBox 867"/>
        <xdr:cNvSpPr txBox="1"/>
      </xdr:nvSpPr>
      <xdr:spPr>
        <a:xfrm>
          <a:off x="265853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620246</xdr:colOff>
      <xdr:row>967</xdr:row>
      <xdr:rowOff>0</xdr:rowOff>
    </xdr:from>
    <xdr:ext cx="184731" cy="255111"/>
    <xdr:sp macro="" textlink="">
      <xdr:nvSpPr>
        <xdr:cNvPr id="869" name="TextBox 868"/>
        <xdr:cNvSpPr txBox="1"/>
      </xdr:nvSpPr>
      <xdr:spPr>
        <a:xfrm>
          <a:off x="265853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534521</xdr:colOff>
      <xdr:row>967</xdr:row>
      <xdr:rowOff>0</xdr:rowOff>
    </xdr:from>
    <xdr:ext cx="184731" cy="255111"/>
    <xdr:sp macro="" textlink="">
      <xdr:nvSpPr>
        <xdr:cNvPr id="870" name="TextBox 869"/>
        <xdr:cNvSpPr txBox="1"/>
      </xdr:nvSpPr>
      <xdr:spPr>
        <a:xfrm>
          <a:off x="264996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620246</xdr:colOff>
      <xdr:row>967</xdr:row>
      <xdr:rowOff>0</xdr:rowOff>
    </xdr:from>
    <xdr:ext cx="184731" cy="255111"/>
    <xdr:sp macro="" textlink="">
      <xdr:nvSpPr>
        <xdr:cNvPr id="871" name="TextBox 870"/>
        <xdr:cNvSpPr txBox="1"/>
      </xdr:nvSpPr>
      <xdr:spPr>
        <a:xfrm>
          <a:off x="265853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620246</xdr:colOff>
      <xdr:row>967</xdr:row>
      <xdr:rowOff>0</xdr:rowOff>
    </xdr:from>
    <xdr:ext cx="184731" cy="255111"/>
    <xdr:sp macro="" textlink="">
      <xdr:nvSpPr>
        <xdr:cNvPr id="872" name="TextBox 871"/>
        <xdr:cNvSpPr txBox="1"/>
      </xdr:nvSpPr>
      <xdr:spPr>
        <a:xfrm>
          <a:off x="265853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544046</xdr:colOff>
      <xdr:row>967</xdr:row>
      <xdr:rowOff>0</xdr:rowOff>
    </xdr:from>
    <xdr:ext cx="184731" cy="255111"/>
    <xdr:sp macro="" textlink="">
      <xdr:nvSpPr>
        <xdr:cNvPr id="873" name="TextBox 872"/>
        <xdr:cNvSpPr txBox="1"/>
      </xdr:nvSpPr>
      <xdr:spPr>
        <a:xfrm>
          <a:off x="265091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620246</xdr:colOff>
      <xdr:row>967</xdr:row>
      <xdr:rowOff>0</xdr:rowOff>
    </xdr:from>
    <xdr:ext cx="184731" cy="255111"/>
    <xdr:sp macro="" textlink="">
      <xdr:nvSpPr>
        <xdr:cNvPr id="874" name="TextBox 873"/>
        <xdr:cNvSpPr txBox="1"/>
      </xdr:nvSpPr>
      <xdr:spPr>
        <a:xfrm>
          <a:off x="265853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620246</xdr:colOff>
      <xdr:row>967</xdr:row>
      <xdr:rowOff>0</xdr:rowOff>
    </xdr:from>
    <xdr:ext cx="184731" cy="255111"/>
    <xdr:sp macro="" textlink="">
      <xdr:nvSpPr>
        <xdr:cNvPr id="875" name="TextBox 874"/>
        <xdr:cNvSpPr txBox="1"/>
      </xdr:nvSpPr>
      <xdr:spPr>
        <a:xfrm>
          <a:off x="265853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28</xdr:col>
      <xdr:colOff>620246</xdr:colOff>
      <xdr:row>967</xdr:row>
      <xdr:rowOff>0</xdr:rowOff>
    </xdr:from>
    <xdr:ext cx="184731" cy="255111"/>
    <xdr:sp macro="" textlink="">
      <xdr:nvSpPr>
        <xdr:cNvPr id="876" name="TextBox 875"/>
        <xdr:cNvSpPr txBox="1"/>
      </xdr:nvSpPr>
      <xdr:spPr>
        <a:xfrm>
          <a:off x="265853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620246</xdr:colOff>
      <xdr:row>967</xdr:row>
      <xdr:rowOff>0</xdr:rowOff>
    </xdr:from>
    <xdr:ext cx="184731" cy="255111"/>
    <xdr:sp macro="" textlink="">
      <xdr:nvSpPr>
        <xdr:cNvPr id="877" name="TextBox 876"/>
        <xdr:cNvSpPr txBox="1"/>
      </xdr:nvSpPr>
      <xdr:spPr>
        <a:xfrm>
          <a:off x="27404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620246</xdr:colOff>
      <xdr:row>967</xdr:row>
      <xdr:rowOff>0</xdr:rowOff>
    </xdr:from>
    <xdr:ext cx="184731" cy="255111"/>
    <xdr:sp macro="" textlink="">
      <xdr:nvSpPr>
        <xdr:cNvPr id="878" name="TextBox 877"/>
        <xdr:cNvSpPr txBox="1"/>
      </xdr:nvSpPr>
      <xdr:spPr>
        <a:xfrm>
          <a:off x="27404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620246</xdr:colOff>
      <xdr:row>967</xdr:row>
      <xdr:rowOff>0</xdr:rowOff>
    </xdr:from>
    <xdr:ext cx="184731" cy="255111"/>
    <xdr:sp macro="" textlink="">
      <xdr:nvSpPr>
        <xdr:cNvPr id="879" name="TextBox 878"/>
        <xdr:cNvSpPr txBox="1"/>
      </xdr:nvSpPr>
      <xdr:spPr>
        <a:xfrm>
          <a:off x="27404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534521</xdr:colOff>
      <xdr:row>967</xdr:row>
      <xdr:rowOff>0</xdr:rowOff>
    </xdr:from>
    <xdr:ext cx="184731" cy="255111"/>
    <xdr:sp macro="" textlink="">
      <xdr:nvSpPr>
        <xdr:cNvPr id="880" name="TextBox 879"/>
        <xdr:cNvSpPr txBox="1"/>
      </xdr:nvSpPr>
      <xdr:spPr>
        <a:xfrm>
          <a:off x="273188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620246</xdr:colOff>
      <xdr:row>967</xdr:row>
      <xdr:rowOff>0</xdr:rowOff>
    </xdr:from>
    <xdr:ext cx="184731" cy="255111"/>
    <xdr:sp macro="" textlink="">
      <xdr:nvSpPr>
        <xdr:cNvPr id="881" name="TextBox 880"/>
        <xdr:cNvSpPr txBox="1"/>
      </xdr:nvSpPr>
      <xdr:spPr>
        <a:xfrm>
          <a:off x="27404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620246</xdr:colOff>
      <xdr:row>967</xdr:row>
      <xdr:rowOff>0</xdr:rowOff>
    </xdr:from>
    <xdr:ext cx="184731" cy="255111"/>
    <xdr:sp macro="" textlink="">
      <xdr:nvSpPr>
        <xdr:cNvPr id="882" name="TextBox 881"/>
        <xdr:cNvSpPr txBox="1"/>
      </xdr:nvSpPr>
      <xdr:spPr>
        <a:xfrm>
          <a:off x="27404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544046</xdr:colOff>
      <xdr:row>967</xdr:row>
      <xdr:rowOff>0</xdr:rowOff>
    </xdr:from>
    <xdr:ext cx="184731" cy="255111"/>
    <xdr:sp macro="" textlink="">
      <xdr:nvSpPr>
        <xdr:cNvPr id="883" name="TextBox 882"/>
        <xdr:cNvSpPr txBox="1"/>
      </xdr:nvSpPr>
      <xdr:spPr>
        <a:xfrm>
          <a:off x="273283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620246</xdr:colOff>
      <xdr:row>967</xdr:row>
      <xdr:rowOff>0</xdr:rowOff>
    </xdr:from>
    <xdr:ext cx="184731" cy="255111"/>
    <xdr:sp macro="" textlink="">
      <xdr:nvSpPr>
        <xdr:cNvPr id="884" name="TextBox 883"/>
        <xdr:cNvSpPr txBox="1"/>
      </xdr:nvSpPr>
      <xdr:spPr>
        <a:xfrm>
          <a:off x="27404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620246</xdr:colOff>
      <xdr:row>967</xdr:row>
      <xdr:rowOff>0</xdr:rowOff>
    </xdr:from>
    <xdr:ext cx="184731" cy="255111"/>
    <xdr:sp macro="" textlink="">
      <xdr:nvSpPr>
        <xdr:cNvPr id="885" name="TextBox 884"/>
        <xdr:cNvSpPr txBox="1"/>
      </xdr:nvSpPr>
      <xdr:spPr>
        <a:xfrm>
          <a:off x="27404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29</xdr:col>
      <xdr:colOff>620246</xdr:colOff>
      <xdr:row>967</xdr:row>
      <xdr:rowOff>0</xdr:rowOff>
    </xdr:from>
    <xdr:ext cx="184731" cy="255111"/>
    <xdr:sp macro="" textlink="">
      <xdr:nvSpPr>
        <xdr:cNvPr id="886" name="TextBox 885"/>
        <xdr:cNvSpPr txBox="1"/>
      </xdr:nvSpPr>
      <xdr:spPr>
        <a:xfrm>
          <a:off x="274045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620246</xdr:colOff>
      <xdr:row>967</xdr:row>
      <xdr:rowOff>0</xdr:rowOff>
    </xdr:from>
    <xdr:ext cx="184731" cy="255111"/>
    <xdr:sp macro="" textlink="">
      <xdr:nvSpPr>
        <xdr:cNvPr id="887" name="TextBox 886"/>
        <xdr:cNvSpPr txBox="1"/>
      </xdr:nvSpPr>
      <xdr:spPr>
        <a:xfrm>
          <a:off x="282236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620246</xdr:colOff>
      <xdr:row>967</xdr:row>
      <xdr:rowOff>0</xdr:rowOff>
    </xdr:from>
    <xdr:ext cx="184731" cy="255111"/>
    <xdr:sp macro="" textlink="">
      <xdr:nvSpPr>
        <xdr:cNvPr id="888" name="TextBox 887"/>
        <xdr:cNvSpPr txBox="1"/>
      </xdr:nvSpPr>
      <xdr:spPr>
        <a:xfrm>
          <a:off x="282236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620246</xdr:colOff>
      <xdr:row>967</xdr:row>
      <xdr:rowOff>0</xdr:rowOff>
    </xdr:from>
    <xdr:ext cx="184731" cy="255111"/>
    <xdr:sp macro="" textlink="">
      <xdr:nvSpPr>
        <xdr:cNvPr id="889" name="TextBox 888"/>
        <xdr:cNvSpPr txBox="1"/>
      </xdr:nvSpPr>
      <xdr:spPr>
        <a:xfrm>
          <a:off x="282236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534521</xdr:colOff>
      <xdr:row>967</xdr:row>
      <xdr:rowOff>0</xdr:rowOff>
    </xdr:from>
    <xdr:ext cx="184731" cy="255111"/>
    <xdr:sp macro="" textlink="">
      <xdr:nvSpPr>
        <xdr:cNvPr id="890" name="TextBox 889"/>
        <xdr:cNvSpPr txBox="1"/>
      </xdr:nvSpPr>
      <xdr:spPr>
        <a:xfrm>
          <a:off x="281379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620246</xdr:colOff>
      <xdr:row>967</xdr:row>
      <xdr:rowOff>0</xdr:rowOff>
    </xdr:from>
    <xdr:ext cx="184731" cy="255111"/>
    <xdr:sp macro="" textlink="">
      <xdr:nvSpPr>
        <xdr:cNvPr id="891" name="TextBox 890"/>
        <xdr:cNvSpPr txBox="1"/>
      </xdr:nvSpPr>
      <xdr:spPr>
        <a:xfrm>
          <a:off x="282236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620246</xdr:colOff>
      <xdr:row>967</xdr:row>
      <xdr:rowOff>0</xdr:rowOff>
    </xdr:from>
    <xdr:ext cx="184731" cy="255111"/>
    <xdr:sp macro="" textlink="">
      <xdr:nvSpPr>
        <xdr:cNvPr id="892" name="TextBox 891"/>
        <xdr:cNvSpPr txBox="1"/>
      </xdr:nvSpPr>
      <xdr:spPr>
        <a:xfrm>
          <a:off x="282236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544046</xdr:colOff>
      <xdr:row>967</xdr:row>
      <xdr:rowOff>0</xdr:rowOff>
    </xdr:from>
    <xdr:ext cx="184731" cy="255111"/>
    <xdr:sp macro="" textlink="">
      <xdr:nvSpPr>
        <xdr:cNvPr id="893" name="TextBox 892"/>
        <xdr:cNvSpPr txBox="1"/>
      </xdr:nvSpPr>
      <xdr:spPr>
        <a:xfrm>
          <a:off x="281474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620246</xdr:colOff>
      <xdr:row>967</xdr:row>
      <xdr:rowOff>0</xdr:rowOff>
    </xdr:from>
    <xdr:ext cx="184731" cy="255111"/>
    <xdr:sp macro="" textlink="">
      <xdr:nvSpPr>
        <xdr:cNvPr id="894" name="TextBox 893"/>
        <xdr:cNvSpPr txBox="1"/>
      </xdr:nvSpPr>
      <xdr:spPr>
        <a:xfrm>
          <a:off x="282236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620246</xdr:colOff>
      <xdr:row>967</xdr:row>
      <xdr:rowOff>0</xdr:rowOff>
    </xdr:from>
    <xdr:ext cx="184731" cy="255111"/>
    <xdr:sp macro="" textlink="">
      <xdr:nvSpPr>
        <xdr:cNvPr id="895" name="TextBox 894"/>
        <xdr:cNvSpPr txBox="1"/>
      </xdr:nvSpPr>
      <xdr:spPr>
        <a:xfrm>
          <a:off x="282236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30</xdr:col>
      <xdr:colOff>620246</xdr:colOff>
      <xdr:row>967</xdr:row>
      <xdr:rowOff>0</xdr:rowOff>
    </xdr:from>
    <xdr:ext cx="184731" cy="255111"/>
    <xdr:sp macro="" textlink="">
      <xdr:nvSpPr>
        <xdr:cNvPr id="896" name="TextBox 895"/>
        <xdr:cNvSpPr txBox="1"/>
      </xdr:nvSpPr>
      <xdr:spPr>
        <a:xfrm>
          <a:off x="282236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967</xdr:row>
      <xdr:rowOff>0</xdr:rowOff>
    </xdr:from>
    <xdr:ext cx="184731" cy="255111"/>
    <xdr:sp macro="" textlink="">
      <xdr:nvSpPr>
        <xdr:cNvPr id="897" name="TextBox 896"/>
        <xdr:cNvSpPr txBox="1"/>
      </xdr:nvSpPr>
      <xdr:spPr>
        <a:xfrm>
          <a:off x="29042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967</xdr:row>
      <xdr:rowOff>0</xdr:rowOff>
    </xdr:from>
    <xdr:ext cx="184731" cy="255111"/>
    <xdr:sp macro="" textlink="">
      <xdr:nvSpPr>
        <xdr:cNvPr id="898" name="TextBox 897"/>
        <xdr:cNvSpPr txBox="1"/>
      </xdr:nvSpPr>
      <xdr:spPr>
        <a:xfrm>
          <a:off x="29042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967</xdr:row>
      <xdr:rowOff>0</xdr:rowOff>
    </xdr:from>
    <xdr:ext cx="184731" cy="255111"/>
    <xdr:sp macro="" textlink="">
      <xdr:nvSpPr>
        <xdr:cNvPr id="899" name="TextBox 898"/>
        <xdr:cNvSpPr txBox="1"/>
      </xdr:nvSpPr>
      <xdr:spPr>
        <a:xfrm>
          <a:off x="29042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534521</xdr:colOff>
      <xdr:row>967</xdr:row>
      <xdr:rowOff>0</xdr:rowOff>
    </xdr:from>
    <xdr:ext cx="184731" cy="255111"/>
    <xdr:sp macro="" textlink="">
      <xdr:nvSpPr>
        <xdr:cNvPr id="900" name="TextBox 899"/>
        <xdr:cNvSpPr txBox="1"/>
      </xdr:nvSpPr>
      <xdr:spPr>
        <a:xfrm>
          <a:off x="289571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967</xdr:row>
      <xdr:rowOff>0</xdr:rowOff>
    </xdr:from>
    <xdr:ext cx="184731" cy="255111"/>
    <xdr:sp macro="" textlink="">
      <xdr:nvSpPr>
        <xdr:cNvPr id="901" name="TextBox 900"/>
        <xdr:cNvSpPr txBox="1"/>
      </xdr:nvSpPr>
      <xdr:spPr>
        <a:xfrm>
          <a:off x="29042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967</xdr:row>
      <xdr:rowOff>0</xdr:rowOff>
    </xdr:from>
    <xdr:ext cx="184731" cy="255111"/>
    <xdr:sp macro="" textlink="">
      <xdr:nvSpPr>
        <xdr:cNvPr id="902" name="TextBox 901"/>
        <xdr:cNvSpPr txBox="1"/>
      </xdr:nvSpPr>
      <xdr:spPr>
        <a:xfrm>
          <a:off x="29042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544046</xdr:colOff>
      <xdr:row>967</xdr:row>
      <xdr:rowOff>0</xdr:rowOff>
    </xdr:from>
    <xdr:ext cx="184731" cy="255111"/>
    <xdr:sp macro="" textlink="">
      <xdr:nvSpPr>
        <xdr:cNvPr id="903" name="TextBox 902"/>
        <xdr:cNvSpPr txBox="1"/>
      </xdr:nvSpPr>
      <xdr:spPr>
        <a:xfrm>
          <a:off x="289666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967</xdr:row>
      <xdr:rowOff>0</xdr:rowOff>
    </xdr:from>
    <xdr:ext cx="184731" cy="255111"/>
    <xdr:sp macro="" textlink="">
      <xdr:nvSpPr>
        <xdr:cNvPr id="904" name="TextBox 903"/>
        <xdr:cNvSpPr txBox="1"/>
      </xdr:nvSpPr>
      <xdr:spPr>
        <a:xfrm>
          <a:off x="29042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967</xdr:row>
      <xdr:rowOff>0</xdr:rowOff>
    </xdr:from>
    <xdr:ext cx="184731" cy="255111"/>
    <xdr:sp macro="" textlink="">
      <xdr:nvSpPr>
        <xdr:cNvPr id="905" name="TextBox 904"/>
        <xdr:cNvSpPr txBox="1"/>
      </xdr:nvSpPr>
      <xdr:spPr>
        <a:xfrm>
          <a:off x="29042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31</xdr:col>
      <xdr:colOff>620246</xdr:colOff>
      <xdr:row>967</xdr:row>
      <xdr:rowOff>0</xdr:rowOff>
    </xdr:from>
    <xdr:ext cx="184731" cy="255111"/>
    <xdr:sp macro="" textlink="">
      <xdr:nvSpPr>
        <xdr:cNvPr id="906" name="TextBox 905"/>
        <xdr:cNvSpPr txBox="1"/>
      </xdr:nvSpPr>
      <xdr:spPr>
        <a:xfrm>
          <a:off x="290428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967</xdr:row>
      <xdr:rowOff>0</xdr:rowOff>
    </xdr:from>
    <xdr:ext cx="184731" cy="255111"/>
    <xdr:sp macro="" textlink="">
      <xdr:nvSpPr>
        <xdr:cNvPr id="907" name="TextBox 906"/>
        <xdr:cNvSpPr txBox="1"/>
      </xdr:nvSpPr>
      <xdr:spPr>
        <a:xfrm>
          <a:off x="298619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967</xdr:row>
      <xdr:rowOff>0</xdr:rowOff>
    </xdr:from>
    <xdr:ext cx="184731" cy="255111"/>
    <xdr:sp macro="" textlink="">
      <xdr:nvSpPr>
        <xdr:cNvPr id="908" name="TextBox 907"/>
        <xdr:cNvSpPr txBox="1"/>
      </xdr:nvSpPr>
      <xdr:spPr>
        <a:xfrm>
          <a:off x="298619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967</xdr:row>
      <xdr:rowOff>0</xdr:rowOff>
    </xdr:from>
    <xdr:ext cx="184731" cy="255111"/>
    <xdr:sp macro="" textlink="">
      <xdr:nvSpPr>
        <xdr:cNvPr id="909" name="TextBox 908"/>
        <xdr:cNvSpPr txBox="1"/>
      </xdr:nvSpPr>
      <xdr:spPr>
        <a:xfrm>
          <a:off x="298619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534521</xdr:colOff>
      <xdr:row>967</xdr:row>
      <xdr:rowOff>0</xdr:rowOff>
    </xdr:from>
    <xdr:ext cx="184731" cy="255111"/>
    <xdr:sp macro="" textlink="">
      <xdr:nvSpPr>
        <xdr:cNvPr id="910" name="TextBox 909"/>
        <xdr:cNvSpPr txBox="1"/>
      </xdr:nvSpPr>
      <xdr:spPr>
        <a:xfrm>
          <a:off x="297762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967</xdr:row>
      <xdr:rowOff>0</xdr:rowOff>
    </xdr:from>
    <xdr:ext cx="184731" cy="255111"/>
    <xdr:sp macro="" textlink="">
      <xdr:nvSpPr>
        <xdr:cNvPr id="911" name="TextBox 910"/>
        <xdr:cNvSpPr txBox="1"/>
      </xdr:nvSpPr>
      <xdr:spPr>
        <a:xfrm>
          <a:off x="298619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967</xdr:row>
      <xdr:rowOff>0</xdr:rowOff>
    </xdr:from>
    <xdr:ext cx="184731" cy="255111"/>
    <xdr:sp macro="" textlink="">
      <xdr:nvSpPr>
        <xdr:cNvPr id="912" name="TextBox 911"/>
        <xdr:cNvSpPr txBox="1"/>
      </xdr:nvSpPr>
      <xdr:spPr>
        <a:xfrm>
          <a:off x="298619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544046</xdr:colOff>
      <xdr:row>967</xdr:row>
      <xdr:rowOff>0</xdr:rowOff>
    </xdr:from>
    <xdr:ext cx="184731" cy="255111"/>
    <xdr:sp macro="" textlink="">
      <xdr:nvSpPr>
        <xdr:cNvPr id="913" name="TextBox 912"/>
        <xdr:cNvSpPr txBox="1"/>
      </xdr:nvSpPr>
      <xdr:spPr>
        <a:xfrm>
          <a:off x="29785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967</xdr:row>
      <xdr:rowOff>0</xdr:rowOff>
    </xdr:from>
    <xdr:ext cx="184731" cy="255111"/>
    <xdr:sp macro="" textlink="">
      <xdr:nvSpPr>
        <xdr:cNvPr id="914" name="TextBox 913"/>
        <xdr:cNvSpPr txBox="1"/>
      </xdr:nvSpPr>
      <xdr:spPr>
        <a:xfrm>
          <a:off x="298619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967</xdr:row>
      <xdr:rowOff>0</xdr:rowOff>
    </xdr:from>
    <xdr:ext cx="184731" cy="255111"/>
    <xdr:sp macro="" textlink="">
      <xdr:nvSpPr>
        <xdr:cNvPr id="915" name="TextBox 914"/>
        <xdr:cNvSpPr txBox="1"/>
      </xdr:nvSpPr>
      <xdr:spPr>
        <a:xfrm>
          <a:off x="298619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32</xdr:col>
      <xdr:colOff>620246</xdr:colOff>
      <xdr:row>967</xdr:row>
      <xdr:rowOff>0</xdr:rowOff>
    </xdr:from>
    <xdr:ext cx="184731" cy="255111"/>
    <xdr:sp macro="" textlink="">
      <xdr:nvSpPr>
        <xdr:cNvPr id="916" name="TextBox 915"/>
        <xdr:cNvSpPr txBox="1"/>
      </xdr:nvSpPr>
      <xdr:spPr>
        <a:xfrm>
          <a:off x="298619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620246</xdr:colOff>
      <xdr:row>967</xdr:row>
      <xdr:rowOff>0</xdr:rowOff>
    </xdr:from>
    <xdr:ext cx="184731" cy="255111"/>
    <xdr:sp macro="" textlink="">
      <xdr:nvSpPr>
        <xdr:cNvPr id="917" name="TextBox 916"/>
        <xdr:cNvSpPr txBox="1"/>
      </xdr:nvSpPr>
      <xdr:spPr>
        <a:xfrm>
          <a:off x="306811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620246</xdr:colOff>
      <xdr:row>967</xdr:row>
      <xdr:rowOff>0</xdr:rowOff>
    </xdr:from>
    <xdr:ext cx="184731" cy="255111"/>
    <xdr:sp macro="" textlink="">
      <xdr:nvSpPr>
        <xdr:cNvPr id="918" name="TextBox 917"/>
        <xdr:cNvSpPr txBox="1"/>
      </xdr:nvSpPr>
      <xdr:spPr>
        <a:xfrm>
          <a:off x="306811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620246</xdr:colOff>
      <xdr:row>967</xdr:row>
      <xdr:rowOff>0</xdr:rowOff>
    </xdr:from>
    <xdr:ext cx="184731" cy="255111"/>
    <xdr:sp macro="" textlink="">
      <xdr:nvSpPr>
        <xdr:cNvPr id="919" name="TextBox 918"/>
        <xdr:cNvSpPr txBox="1"/>
      </xdr:nvSpPr>
      <xdr:spPr>
        <a:xfrm>
          <a:off x="306811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534521</xdr:colOff>
      <xdr:row>967</xdr:row>
      <xdr:rowOff>0</xdr:rowOff>
    </xdr:from>
    <xdr:ext cx="184731" cy="255111"/>
    <xdr:sp macro="" textlink="">
      <xdr:nvSpPr>
        <xdr:cNvPr id="920" name="TextBox 919"/>
        <xdr:cNvSpPr txBox="1"/>
      </xdr:nvSpPr>
      <xdr:spPr>
        <a:xfrm>
          <a:off x="3059542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620246</xdr:colOff>
      <xdr:row>967</xdr:row>
      <xdr:rowOff>0</xdr:rowOff>
    </xdr:from>
    <xdr:ext cx="184731" cy="255111"/>
    <xdr:sp macro="" textlink="">
      <xdr:nvSpPr>
        <xdr:cNvPr id="921" name="TextBox 920"/>
        <xdr:cNvSpPr txBox="1"/>
      </xdr:nvSpPr>
      <xdr:spPr>
        <a:xfrm>
          <a:off x="306811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620246</xdr:colOff>
      <xdr:row>967</xdr:row>
      <xdr:rowOff>0</xdr:rowOff>
    </xdr:from>
    <xdr:ext cx="184731" cy="255111"/>
    <xdr:sp macro="" textlink="">
      <xdr:nvSpPr>
        <xdr:cNvPr id="922" name="TextBox 921"/>
        <xdr:cNvSpPr txBox="1"/>
      </xdr:nvSpPr>
      <xdr:spPr>
        <a:xfrm>
          <a:off x="306811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544046</xdr:colOff>
      <xdr:row>967</xdr:row>
      <xdr:rowOff>0</xdr:rowOff>
    </xdr:from>
    <xdr:ext cx="184731" cy="255111"/>
    <xdr:sp macro="" textlink="">
      <xdr:nvSpPr>
        <xdr:cNvPr id="923" name="TextBox 922"/>
        <xdr:cNvSpPr txBox="1"/>
      </xdr:nvSpPr>
      <xdr:spPr>
        <a:xfrm>
          <a:off x="306049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620246</xdr:colOff>
      <xdr:row>967</xdr:row>
      <xdr:rowOff>0</xdr:rowOff>
    </xdr:from>
    <xdr:ext cx="184731" cy="255111"/>
    <xdr:sp macro="" textlink="">
      <xdr:nvSpPr>
        <xdr:cNvPr id="924" name="TextBox 923"/>
        <xdr:cNvSpPr txBox="1"/>
      </xdr:nvSpPr>
      <xdr:spPr>
        <a:xfrm>
          <a:off x="306811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620246</xdr:colOff>
      <xdr:row>967</xdr:row>
      <xdr:rowOff>0</xdr:rowOff>
    </xdr:from>
    <xdr:ext cx="184731" cy="255111"/>
    <xdr:sp macro="" textlink="">
      <xdr:nvSpPr>
        <xdr:cNvPr id="925" name="TextBox 924"/>
        <xdr:cNvSpPr txBox="1"/>
      </xdr:nvSpPr>
      <xdr:spPr>
        <a:xfrm>
          <a:off x="306811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33</xdr:col>
      <xdr:colOff>620246</xdr:colOff>
      <xdr:row>967</xdr:row>
      <xdr:rowOff>0</xdr:rowOff>
    </xdr:from>
    <xdr:ext cx="184731" cy="255111"/>
    <xdr:sp macro="" textlink="">
      <xdr:nvSpPr>
        <xdr:cNvPr id="926" name="TextBox 925"/>
        <xdr:cNvSpPr txBox="1"/>
      </xdr:nvSpPr>
      <xdr:spPr>
        <a:xfrm>
          <a:off x="3068114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620246</xdr:colOff>
      <xdr:row>967</xdr:row>
      <xdr:rowOff>0</xdr:rowOff>
    </xdr:from>
    <xdr:ext cx="184731" cy="255111"/>
    <xdr:sp macro="" textlink="">
      <xdr:nvSpPr>
        <xdr:cNvPr id="927" name="TextBox 926"/>
        <xdr:cNvSpPr txBox="1"/>
      </xdr:nvSpPr>
      <xdr:spPr>
        <a:xfrm>
          <a:off x="315002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620246</xdr:colOff>
      <xdr:row>967</xdr:row>
      <xdr:rowOff>0</xdr:rowOff>
    </xdr:from>
    <xdr:ext cx="184731" cy="255111"/>
    <xdr:sp macro="" textlink="">
      <xdr:nvSpPr>
        <xdr:cNvPr id="928" name="TextBox 927"/>
        <xdr:cNvSpPr txBox="1"/>
      </xdr:nvSpPr>
      <xdr:spPr>
        <a:xfrm>
          <a:off x="315002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620246</xdr:colOff>
      <xdr:row>967</xdr:row>
      <xdr:rowOff>0</xdr:rowOff>
    </xdr:from>
    <xdr:ext cx="184731" cy="255111"/>
    <xdr:sp macro="" textlink="">
      <xdr:nvSpPr>
        <xdr:cNvPr id="929" name="TextBox 928"/>
        <xdr:cNvSpPr txBox="1"/>
      </xdr:nvSpPr>
      <xdr:spPr>
        <a:xfrm>
          <a:off x="315002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534521</xdr:colOff>
      <xdr:row>967</xdr:row>
      <xdr:rowOff>0</xdr:rowOff>
    </xdr:from>
    <xdr:ext cx="184731" cy="255111"/>
    <xdr:sp macro="" textlink="">
      <xdr:nvSpPr>
        <xdr:cNvPr id="930" name="TextBox 929"/>
        <xdr:cNvSpPr txBox="1"/>
      </xdr:nvSpPr>
      <xdr:spPr>
        <a:xfrm>
          <a:off x="314145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620246</xdr:colOff>
      <xdr:row>967</xdr:row>
      <xdr:rowOff>0</xdr:rowOff>
    </xdr:from>
    <xdr:ext cx="184731" cy="255111"/>
    <xdr:sp macro="" textlink="">
      <xdr:nvSpPr>
        <xdr:cNvPr id="931" name="TextBox 930"/>
        <xdr:cNvSpPr txBox="1"/>
      </xdr:nvSpPr>
      <xdr:spPr>
        <a:xfrm>
          <a:off x="315002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620246</xdr:colOff>
      <xdr:row>967</xdr:row>
      <xdr:rowOff>0</xdr:rowOff>
    </xdr:from>
    <xdr:ext cx="184731" cy="255111"/>
    <xdr:sp macro="" textlink="">
      <xdr:nvSpPr>
        <xdr:cNvPr id="932" name="TextBox 931"/>
        <xdr:cNvSpPr txBox="1"/>
      </xdr:nvSpPr>
      <xdr:spPr>
        <a:xfrm>
          <a:off x="315002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544046</xdr:colOff>
      <xdr:row>967</xdr:row>
      <xdr:rowOff>0</xdr:rowOff>
    </xdr:from>
    <xdr:ext cx="184731" cy="255111"/>
    <xdr:sp macro="" textlink="">
      <xdr:nvSpPr>
        <xdr:cNvPr id="933" name="TextBox 932"/>
        <xdr:cNvSpPr txBox="1"/>
      </xdr:nvSpPr>
      <xdr:spPr>
        <a:xfrm>
          <a:off x="314240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620246</xdr:colOff>
      <xdr:row>967</xdr:row>
      <xdr:rowOff>0</xdr:rowOff>
    </xdr:from>
    <xdr:ext cx="184731" cy="255111"/>
    <xdr:sp macro="" textlink="">
      <xdr:nvSpPr>
        <xdr:cNvPr id="934" name="TextBox 933"/>
        <xdr:cNvSpPr txBox="1"/>
      </xdr:nvSpPr>
      <xdr:spPr>
        <a:xfrm>
          <a:off x="315002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620246</xdr:colOff>
      <xdr:row>967</xdr:row>
      <xdr:rowOff>0</xdr:rowOff>
    </xdr:from>
    <xdr:ext cx="184731" cy="255111"/>
    <xdr:sp macro="" textlink="">
      <xdr:nvSpPr>
        <xdr:cNvPr id="935" name="TextBox 934"/>
        <xdr:cNvSpPr txBox="1"/>
      </xdr:nvSpPr>
      <xdr:spPr>
        <a:xfrm>
          <a:off x="315002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620246</xdr:colOff>
      <xdr:row>967</xdr:row>
      <xdr:rowOff>0</xdr:rowOff>
    </xdr:from>
    <xdr:ext cx="184731" cy="255111"/>
    <xdr:sp macro="" textlink="">
      <xdr:nvSpPr>
        <xdr:cNvPr id="936" name="TextBox 935"/>
        <xdr:cNvSpPr txBox="1"/>
      </xdr:nvSpPr>
      <xdr:spPr>
        <a:xfrm>
          <a:off x="315002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620246</xdr:colOff>
      <xdr:row>967</xdr:row>
      <xdr:rowOff>0</xdr:rowOff>
    </xdr:from>
    <xdr:ext cx="184731" cy="255111"/>
    <xdr:sp macro="" textlink="">
      <xdr:nvSpPr>
        <xdr:cNvPr id="937" name="TextBox 936"/>
        <xdr:cNvSpPr txBox="1"/>
      </xdr:nvSpPr>
      <xdr:spPr>
        <a:xfrm>
          <a:off x="32452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620246</xdr:colOff>
      <xdr:row>967</xdr:row>
      <xdr:rowOff>0</xdr:rowOff>
    </xdr:from>
    <xdr:ext cx="184731" cy="255111"/>
    <xdr:sp macro="" textlink="">
      <xdr:nvSpPr>
        <xdr:cNvPr id="938" name="TextBox 937"/>
        <xdr:cNvSpPr txBox="1"/>
      </xdr:nvSpPr>
      <xdr:spPr>
        <a:xfrm>
          <a:off x="32452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620246</xdr:colOff>
      <xdr:row>967</xdr:row>
      <xdr:rowOff>0</xdr:rowOff>
    </xdr:from>
    <xdr:ext cx="184731" cy="255111"/>
    <xdr:sp macro="" textlink="">
      <xdr:nvSpPr>
        <xdr:cNvPr id="939" name="TextBox 938"/>
        <xdr:cNvSpPr txBox="1"/>
      </xdr:nvSpPr>
      <xdr:spPr>
        <a:xfrm>
          <a:off x="32452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534521</xdr:colOff>
      <xdr:row>967</xdr:row>
      <xdr:rowOff>0</xdr:rowOff>
    </xdr:from>
    <xdr:ext cx="184731" cy="255111"/>
    <xdr:sp macro="" textlink="">
      <xdr:nvSpPr>
        <xdr:cNvPr id="940" name="TextBox 939"/>
        <xdr:cNvSpPr txBox="1"/>
      </xdr:nvSpPr>
      <xdr:spPr>
        <a:xfrm>
          <a:off x="32367071"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620246</xdr:colOff>
      <xdr:row>967</xdr:row>
      <xdr:rowOff>0</xdr:rowOff>
    </xdr:from>
    <xdr:ext cx="184731" cy="255111"/>
    <xdr:sp macro="" textlink="">
      <xdr:nvSpPr>
        <xdr:cNvPr id="941" name="TextBox 940"/>
        <xdr:cNvSpPr txBox="1"/>
      </xdr:nvSpPr>
      <xdr:spPr>
        <a:xfrm>
          <a:off x="32452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620246</xdr:colOff>
      <xdr:row>967</xdr:row>
      <xdr:rowOff>0</xdr:rowOff>
    </xdr:from>
    <xdr:ext cx="184731" cy="255111"/>
    <xdr:sp macro="" textlink="">
      <xdr:nvSpPr>
        <xdr:cNvPr id="942" name="TextBox 941"/>
        <xdr:cNvSpPr txBox="1"/>
      </xdr:nvSpPr>
      <xdr:spPr>
        <a:xfrm>
          <a:off x="32452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544046</xdr:colOff>
      <xdr:row>967</xdr:row>
      <xdr:rowOff>0</xdr:rowOff>
    </xdr:from>
    <xdr:ext cx="184731" cy="255111"/>
    <xdr:sp macro="" textlink="">
      <xdr:nvSpPr>
        <xdr:cNvPr id="943" name="TextBox 942"/>
        <xdr:cNvSpPr txBox="1"/>
      </xdr:nvSpPr>
      <xdr:spPr>
        <a:xfrm>
          <a:off x="323765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620246</xdr:colOff>
      <xdr:row>967</xdr:row>
      <xdr:rowOff>0</xdr:rowOff>
    </xdr:from>
    <xdr:ext cx="184731" cy="255111"/>
    <xdr:sp macro="" textlink="">
      <xdr:nvSpPr>
        <xdr:cNvPr id="944" name="TextBox 943"/>
        <xdr:cNvSpPr txBox="1"/>
      </xdr:nvSpPr>
      <xdr:spPr>
        <a:xfrm>
          <a:off x="32452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620246</xdr:colOff>
      <xdr:row>967</xdr:row>
      <xdr:rowOff>0</xdr:rowOff>
    </xdr:from>
    <xdr:ext cx="184731" cy="255111"/>
    <xdr:sp macro="" textlink="">
      <xdr:nvSpPr>
        <xdr:cNvPr id="945" name="TextBox 944"/>
        <xdr:cNvSpPr txBox="1"/>
      </xdr:nvSpPr>
      <xdr:spPr>
        <a:xfrm>
          <a:off x="32452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620246</xdr:colOff>
      <xdr:row>967</xdr:row>
      <xdr:rowOff>0</xdr:rowOff>
    </xdr:from>
    <xdr:ext cx="184731" cy="255111"/>
    <xdr:sp macro="" textlink="">
      <xdr:nvSpPr>
        <xdr:cNvPr id="946" name="TextBox 945"/>
        <xdr:cNvSpPr txBox="1"/>
      </xdr:nvSpPr>
      <xdr:spPr>
        <a:xfrm>
          <a:off x="32452796" y="942213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629771</xdr:colOff>
      <xdr:row>967</xdr:row>
      <xdr:rowOff>0</xdr:rowOff>
    </xdr:from>
    <xdr:ext cx="166258" cy="264560"/>
    <xdr:sp macro="" textlink="">
      <xdr:nvSpPr>
        <xdr:cNvPr id="947" name="TextBox 946"/>
        <xdr:cNvSpPr txBox="1"/>
      </xdr:nvSpPr>
      <xdr:spPr>
        <a:xfrm>
          <a:off x="13888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629771</xdr:colOff>
      <xdr:row>967</xdr:row>
      <xdr:rowOff>0</xdr:rowOff>
    </xdr:from>
    <xdr:ext cx="166258" cy="264560"/>
    <xdr:sp macro="" textlink="">
      <xdr:nvSpPr>
        <xdr:cNvPr id="948" name="TextBox 947"/>
        <xdr:cNvSpPr txBox="1"/>
      </xdr:nvSpPr>
      <xdr:spPr>
        <a:xfrm>
          <a:off x="138885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629771</xdr:colOff>
      <xdr:row>967</xdr:row>
      <xdr:rowOff>0</xdr:rowOff>
    </xdr:from>
    <xdr:ext cx="166258" cy="264560"/>
    <xdr:sp macro="" textlink="">
      <xdr:nvSpPr>
        <xdr:cNvPr id="949" name="TextBox 948"/>
        <xdr:cNvSpPr txBox="1"/>
      </xdr:nvSpPr>
      <xdr:spPr>
        <a:xfrm>
          <a:off x="13888571" y="943832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14</xdr:col>
      <xdr:colOff>629771</xdr:colOff>
      <xdr:row>967</xdr:row>
      <xdr:rowOff>0</xdr:rowOff>
    </xdr:from>
    <xdr:ext cx="166258" cy="264560"/>
    <xdr:sp macro="" textlink="">
      <xdr:nvSpPr>
        <xdr:cNvPr id="950" name="TextBox 949"/>
        <xdr:cNvSpPr txBox="1"/>
      </xdr:nvSpPr>
      <xdr:spPr>
        <a:xfrm>
          <a:off x="13888571" y="943832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629771</xdr:colOff>
      <xdr:row>967</xdr:row>
      <xdr:rowOff>0</xdr:rowOff>
    </xdr:from>
    <xdr:ext cx="166258" cy="264560"/>
    <xdr:sp macro="" textlink="">
      <xdr:nvSpPr>
        <xdr:cNvPr id="951" name="TextBox 950"/>
        <xdr:cNvSpPr txBox="1"/>
      </xdr:nvSpPr>
      <xdr:spPr>
        <a:xfrm>
          <a:off x="1694609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629771</xdr:colOff>
      <xdr:row>967</xdr:row>
      <xdr:rowOff>0</xdr:rowOff>
    </xdr:from>
    <xdr:ext cx="166258" cy="264560"/>
    <xdr:sp macro="" textlink="">
      <xdr:nvSpPr>
        <xdr:cNvPr id="952" name="TextBox 951"/>
        <xdr:cNvSpPr txBox="1"/>
      </xdr:nvSpPr>
      <xdr:spPr>
        <a:xfrm>
          <a:off x="16946096"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629771</xdr:colOff>
      <xdr:row>967</xdr:row>
      <xdr:rowOff>0</xdr:rowOff>
    </xdr:from>
    <xdr:ext cx="166258" cy="264560"/>
    <xdr:sp macro="" textlink="">
      <xdr:nvSpPr>
        <xdr:cNvPr id="953" name="TextBox 952"/>
        <xdr:cNvSpPr txBox="1"/>
      </xdr:nvSpPr>
      <xdr:spPr>
        <a:xfrm>
          <a:off x="179652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629771</xdr:colOff>
      <xdr:row>967</xdr:row>
      <xdr:rowOff>0</xdr:rowOff>
    </xdr:from>
    <xdr:ext cx="166258" cy="264560"/>
    <xdr:sp macro="" textlink="">
      <xdr:nvSpPr>
        <xdr:cNvPr id="954" name="TextBox 953"/>
        <xdr:cNvSpPr txBox="1"/>
      </xdr:nvSpPr>
      <xdr:spPr>
        <a:xfrm>
          <a:off x="179652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629771</xdr:colOff>
      <xdr:row>967</xdr:row>
      <xdr:rowOff>0</xdr:rowOff>
    </xdr:from>
    <xdr:ext cx="166258" cy="264560"/>
    <xdr:sp macro="" textlink="">
      <xdr:nvSpPr>
        <xdr:cNvPr id="955" name="TextBox 954"/>
        <xdr:cNvSpPr txBox="1"/>
      </xdr:nvSpPr>
      <xdr:spPr>
        <a:xfrm>
          <a:off x="18917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629771</xdr:colOff>
      <xdr:row>967</xdr:row>
      <xdr:rowOff>0</xdr:rowOff>
    </xdr:from>
    <xdr:ext cx="166258" cy="264560"/>
    <xdr:sp macro="" textlink="">
      <xdr:nvSpPr>
        <xdr:cNvPr id="956" name="TextBox 955"/>
        <xdr:cNvSpPr txBox="1"/>
      </xdr:nvSpPr>
      <xdr:spPr>
        <a:xfrm>
          <a:off x="1891777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629771</xdr:colOff>
      <xdr:row>967</xdr:row>
      <xdr:rowOff>0</xdr:rowOff>
    </xdr:from>
    <xdr:ext cx="166258" cy="264560"/>
    <xdr:sp macro="" textlink="">
      <xdr:nvSpPr>
        <xdr:cNvPr id="957" name="TextBox 956"/>
        <xdr:cNvSpPr txBox="1"/>
      </xdr:nvSpPr>
      <xdr:spPr>
        <a:xfrm>
          <a:off x="16946096" y="943832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629771</xdr:colOff>
      <xdr:row>967</xdr:row>
      <xdr:rowOff>0</xdr:rowOff>
    </xdr:from>
    <xdr:ext cx="166258" cy="264560"/>
    <xdr:sp macro="" textlink="">
      <xdr:nvSpPr>
        <xdr:cNvPr id="958" name="TextBox 957"/>
        <xdr:cNvSpPr txBox="1"/>
      </xdr:nvSpPr>
      <xdr:spPr>
        <a:xfrm>
          <a:off x="16946096" y="943832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629771</xdr:colOff>
      <xdr:row>967</xdr:row>
      <xdr:rowOff>0</xdr:rowOff>
    </xdr:from>
    <xdr:ext cx="166258" cy="264560"/>
    <xdr:sp macro="" textlink="">
      <xdr:nvSpPr>
        <xdr:cNvPr id="959" name="TextBox 958"/>
        <xdr:cNvSpPr txBox="1"/>
      </xdr:nvSpPr>
      <xdr:spPr>
        <a:xfrm>
          <a:off x="17965271" y="943832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18</xdr:col>
      <xdr:colOff>629771</xdr:colOff>
      <xdr:row>967</xdr:row>
      <xdr:rowOff>0</xdr:rowOff>
    </xdr:from>
    <xdr:ext cx="166258" cy="264560"/>
    <xdr:sp macro="" textlink="">
      <xdr:nvSpPr>
        <xdr:cNvPr id="960" name="TextBox 959"/>
        <xdr:cNvSpPr txBox="1"/>
      </xdr:nvSpPr>
      <xdr:spPr>
        <a:xfrm>
          <a:off x="17965271" y="943832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629771</xdr:colOff>
      <xdr:row>967</xdr:row>
      <xdr:rowOff>0</xdr:rowOff>
    </xdr:from>
    <xdr:ext cx="166258" cy="264560"/>
    <xdr:sp macro="" textlink="">
      <xdr:nvSpPr>
        <xdr:cNvPr id="961" name="TextBox 960"/>
        <xdr:cNvSpPr txBox="1"/>
      </xdr:nvSpPr>
      <xdr:spPr>
        <a:xfrm>
          <a:off x="18917771" y="943832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19</xdr:col>
      <xdr:colOff>629771</xdr:colOff>
      <xdr:row>967</xdr:row>
      <xdr:rowOff>0</xdr:rowOff>
    </xdr:from>
    <xdr:ext cx="166258" cy="264560"/>
    <xdr:sp macro="" textlink="">
      <xdr:nvSpPr>
        <xdr:cNvPr id="962" name="TextBox 961"/>
        <xdr:cNvSpPr txBox="1"/>
      </xdr:nvSpPr>
      <xdr:spPr>
        <a:xfrm>
          <a:off x="18917771" y="943832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629771</xdr:colOff>
      <xdr:row>967</xdr:row>
      <xdr:rowOff>0</xdr:rowOff>
    </xdr:from>
    <xdr:ext cx="166258" cy="264560"/>
    <xdr:sp macro="" textlink="">
      <xdr:nvSpPr>
        <xdr:cNvPr id="963" name="TextBox 962"/>
        <xdr:cNvSpPr txBox="1"/>
      </xdr:nvSpPr>
      <xdr:spPr>
        <a:xfrm>
          <a:off x="315098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629771</xdr:colOff>
      <xdr:row>967</xdr:row>
      <xdr:rowOff>0</xdr:rowOff>
    </xdr:from>
    <xdr:ext cx="166258" cy="264560"/>
    <xdr:sp macro="" textlink="">
      <xdr:nvSpPr>
        <xdr:cNvPr id="964" name="TextBox 963"/>
        <xdr:cNvSpPr txBox="1"/>
      </xdr:nvSpPr>
      <xdr:spPr>
        <a:xfrm>
          <a:off x="315098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629771</xdr:colOff>
      <xdr:row>967</xdr:row>
      <xdr:rowOff>0</xdr:rowOff>
    </xdr:from>
    <xdr:ext cx="166258" cy="264560"/>
    <xdr:sp macro="" textlink="">
      <xdr:nvSpPr>
        <xdr:cNvPr id="965" name="TextBox 964"/>
        <xdr:cNvSpPr txBox="1"/>
      </xdr:nvSpPr>
      <xdr:spPr>
        <a:xfrm>
          <a:off x="324623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629771</xdr:colOff>
      <xdr:row>967</xdr:row>
      <xdr:rowOff>0</xdr:rowOff>
    </xdr:from>
    <xdr:ext cx="166258" cy="264560"/>
    <xdr:sp macro="" textlink="">
      <xdr:nvSpPr>
        <xdr:cNvPr id="966" name="TextBox 965"/>
        <xdr:cNvSpPr txBox="1"/>
      </xdr:nvSpPr>
      <xdr:spPr>
        <a:xfrm>
          <a:off x="32462321" y="94221300"/>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629771</xdr:colOff>
      <xdr:row>967</xdr:row>
      <xdr:rowOff>0</xdr:rowOff>
    </xdr:from>
    <xdr:ext cx="166258" cy="264560"/>
    <xdr:sp macro="" textlink="">
      <xdr:nvSpPr>
        <xdr:cNvPr id="967" name="TextBox 966"/>
        <xdr:cNvSpPr txBox="1"/>
      </xdr:nvSpPr>
      <xdr:spPr>
        <a:xfrm>
          <a:off x="31509821" y="943832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34</xdr:col>
      <xdr:colOff>629771</xdr:colOff>
      <xdr:row>967</xdr:row>
      <xdr:rowOff>0</xdr:rowOff>
    </xdr:from>
    <xdr:ext cx="166258" cy="264560"/>
    <xdr:sp macro="" textlink="">
      <xdr:nvSpPr>
        <xdr:cNvPr id="968" name="TextBox 967"/>
        <xdr:cNvSpPr txBox="1"/>
      </xdr:nvSpPr>
      <xdr:spPr>
        <a:xfrm>
          <a:off x="31509821" y="943832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629771</xdr:colOff>
      <xdr:row>967</xdr:row>
      <xdr:rowOff>0</xdr:rowOff>
    </xdr:from>
    <xdr:ext cx="166258" cy="264560"/>
    <xdr:sp macro="" textlink="">
      <xdr:nvSpPr>
        <xdr:cNvPr id="969" name="TextBox 968"/>
        <xdr:cNvSpPr txBox="1"/>
      </xdr:nvSpPr>
      <xdr:spPr>
        <a:xfrm>
          <a:off x="32462321" y="94383225"/>
          <a:ext cx="1662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SCH-FTE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Tables 80-86"/>
      <sheetName val="OLD Tables"/>
      <sheetName val="FTE Pivot for regular counts"/>
      <sheetName val="Pivot-HS Student % of Undergrad"/>
      <sheetName val="SCH Data"/>
      <sheetName val="Format for FTE"/>
      <sheetName val="Format for HS%"/>
    </sheetNames>
    <sheetDataSet>
      <sheetData sheetId="0">
        <row r="70">
          <cell r="B70">
            <v>1145792.6541666666</v>
          </cell>
          <cell r="C70">
            <v>246282.47666666663</v>
          </cell>
          <cell r="D70">
            <v>670837.46250000002</v>
          </cell>
          <cell r="E70">
            <v>161983.21249999999</v>
          </cell>
          <cell r="F70">
            <v>100092.81666666667</v>
          </cell>
          <cell r="G70">
            <v>71702.341666666674</v>
          </cell>
          <cell r="H70">
            <v>2396690.9641666664</v>
          </cell>
          <cell r="Q70">
            <v>1139941.2875000001</v>
          </cell>
          <cell r="R70">
            <v>244953.0675</v>
          </cell>
          <cell r="S70">
            <v>670168.18750000023</v>
          </cell>
          <cell r="T70">
            <v>163517.12083333332</v>
          </cell>
          <cell r="U70">
            <v>102818.91666666667</v>
          </cell>
          <cell r="V70">
            <v>73118.895000000004</v>
          </cell>
          <cell r="W70">
            <v>2394517.4750000001</v>
          </cell>
        </row>
        <row r="72">
          <cell r="B72">
            <v>56205.141666666663</v>
          </cell>
          <cell r="C72">
            <v>16613.150000000001</v>
          </cell>
          <cell r="D72">
            <v>32079.299999999996</v>
          </cell>
          <cell r="E72">
            <v>15306.025</v>
          </cell>
          <cell r="F72">
            <v>5853.9833333333336</v>
          </cell>
          <cell r="G72">
            <v>2445.6999999999998</v>
          </cell>
          <cell r="H72">
            <v>128503.29999999999</v>
          </cell>
          <cell r="Q72">
            <v>54815.058333333334</v>
          </cell>
          <cell r="R72">
            <v>16731.375</v>
          </cell>
          <cell r="S72">
            <v>32325.758333333331</v>
          </cell>
          <cell r="T72">
            <v>15882.05</v>
          </cell>
          <cell r="U72">
            <v>6138.3333333333339</v>
          </cell>
          <cell r="V72">
            <v>2657.6333333333332</v>
          </cell>
          <cell r="W72">
            <v>128550.20833333333</v>
          </cell>
        </row>
        <row r="73">
          <cell r="B73">
            <v>24026.483333333334</v>
          </cell>
          <cell r="C73">
            <v>8977.875</v>
          </cell>
          <cell r="D73">
            <v>30872.958333333336</v>
          </cell>
          <cell r="E73">
            <v>6548.6416666666664</v>
          </cell>
          <cell r="F73">
            <v>2457.1583333333333</v>
          </cell>
          <cell r="G73">
            <v>8086.3333333333339</v>
          </cell>
          <cell r="H73">
            <v>80969.45</v>
          </cell>
          <cell r="Q73">
            <v>23254.5</v>
          </cell>
          <cell r="R73">
            <v>9609.7083333333321</v>
          </cell>
          <cell r="S73">
            <v>30657.183333333334</v>
          </cell>
          <cell r="T73">
            <v>6520.875</v>
          </cell>
          <cell r="U73">
            <v>2403.6</v>
          </cell>
          <cell r="V73">
            <v>8532.6416666666664</v>
          </cell>
          <cell r="W73">
            <v>80978.508333333331</v>
          </cell>
        </row>
        <row r="74">
          <cell r="B74">
            <v>20462.574999999997</v>
          </cell>
          <cell r="C74">
            <v>0</v>
          </cell>
          <cell r="D74">
            <v>4102.1750000000002</v>
          </cell>
          <cell r="E74">
            <v>0</v>
          </cell>
          <cell r="F74">
            <v>0</v>
          </cell>
          <cell r="G74">
            <v>0</v>
          </cell>
          <cell r="H74">
            <v>24564.75</v>
          </cell>
          <cell r="Q74">
            <v>20057.933333333331</v>
          </cell>
          <cell r="R74">
            <v>0</v>
          </cell>
          <cell r="S74">
            <v>4115.5666666666666</v>
          </cell>
          <cell r="T74">
            <v>0</v>
          </cell>
          <cell r="U74">
            <v>0</v>
          </cell>
          <cell r="V74">
            <v>0</v>
          </cell>
          <cell r="W74">
            <v>24173.499999999996</v>
          </cell>
        </row>
        <row r="75">
          <cell r="B75">
            <v>251243.80416666664</v>
          </cell>
          <cell r="C75">
            <v>0</v>
          </cell>
          <cell r="D75">
            <v>34045.291666666672</v>
          </cell>
          <cell r="E75">
            <v>12070.85</v>
          </cell>
          <cell r="F75">
            <v>0</v>
          </cell>
          <cell r="G75">
            <v>921.33333333333337</v>
          </cell>
          <cell r="H75">
            <v>298281.27916666667</v>
          </cell>
          <cell r="Q75">
            <v>244872.32500000001</v>
          </cell>
          <cell r="R75">
            <v>0</v>
          </cell>
          <cell r="S75">
            <v>35207.175000000003</v>
          </cell>
          <cell r="T75">
            <v>11543.941666666668</v>
          </cell>
          <cell r="U75">
            <v>0</v>
          </cell>
          <cell r="V75">
            <v>925.2</v>
          </cell>
          <cell r="W75">
            <v>292548.64166666666</v>
          </cell>
        </row>
        <row r="77">
          <cell r="B77">
            <v>67266.899999999994</v>
          </cell>
          <cell r="C77">
            <v>24409.449999999997</v>
          </cell>
          <cell r="D77">
            <v>61661.783333333333</v>
          </cell>
          <cell r="E77">
            <v>48430.9</v>
          </cell>
          <cell r="F77">
            <v>9415.0999999999985</v>
          </cell>
          <cell r="G77">
            <v>18904.800000000003</v>
          </cell>
          <cell r="H77">
            <v>230088.93333333335</v>
          </cell>
          <cell r="Q77">
            <v>66673.733333333337</v>
          </cell>
          <cell r="R77">
            <v>24045.241666666669</v>
          </cell>
          <cell r="S77">
            <v>61169.958333333336</v>
          </cell>
          <cell r="T77">
            <v>48329.316666666666</v>
          </cell>
          <cell r="U77">
            <v>9930.7000000000007</v>
          </cell>
          <cell r="V77">
            <v>18620.099999999999</v>
          </cell>
          <cell r="W77">
            <v>228769.05000000002</v>
          </cell>
        </row>
        <row r="78">
          <cell r="B78">
            <v>40396.724999999999</v>
          </cell>
          <cell r="C78">
            <v>0</v>
          </cell>
          <cell r="D78">
            <v>58750.233333333337</v>
          </cell>
          <cell r="E78">
            <v>1655.6416666666667</v>
          </cell>
          <cell r="F78">
            <v>0</v>
          </cell>
          <cell r="G78">
            <v>0</v>
          </cell>
          <cell r="H78">
            <v>100802.6</v>
          </cell>
          <cell r="Q78">
            <v>39760.475000000006</v>
          </cell>
          <cell r="R78">
            <v>0</v>
          </cell>
          <cell r="S78">
            <v>59272.5</v>
          </cell>
          <cell r="T78">
            <v>2104.75</v>
          </cell>
          <cell r="U78">
            <v>0</v>
          </cell>
          <cell r="V78">
            <v>0</v>
          </cell>
          <cell r="W78">
            <v>101137.72500000001</v>
          </cell>
        </row>
        <row r="79">
          <cell r="B79">
            <v>29667.033333333333</v>
          </cell>
          <cell r="C79">
            <v>30973.041666666664</v>
          </cell>
          <cell r="D79">
            <v>25598.716666666667</v>
          </cell>
          <cell r="E79">
            <v>27290.275000000001</v>
          </cell>
          <cell r="F79">
            <v>2254.7333333333331</v>
          </cell>
          <cell r="G79">
            <v>1845.5</v>
          </cell>
          <cell r="H79">
            <v>117629.29999999999</v>
          </cell>
          <cell r="Q79">
            <v>29261.599999999999</v>
          </cell>
          <cell r="R79">
            <v>30855.458333333336</v>
          </cell>
          <cell r="S79">
            <v>26465.924999999999</v>
          </cell>
          <cell r="T79">
            <v>28398.825000000004</v>
          </cell>
          <cell r="U79">
            <v>2432.9666666666667</v>
          </cell>
          <cell r="V79">
            <v>1640.1666666666667</v>
          </cell>
          <cell r="W79">
            <v>119054.94166666668</v>
          </cell>
        </row>
        <row r="80">
          <cell r="B80">
            <v>33185.449999999997</v>
          </cell>
          <cell r="C80">
            <v>18896.741666666665</v>
          </cell>
          <cell r="D80">
            <v>20084.579166666666</v>
          </cell>
          <cell r="E80">
            <v>27273.679166666669</v>
          </cell>
          <cell r="F80">
            <v>2649.6750000000002</v>
          </cell>
          <cell r="G80">
            <v>1862.2666666666667</v>
          </cell>
          <cell r="H80">
            <v>103952.39166666666</v>
          </cell>
          <cell r="Q80">
            <v>32800.050000000003</v>
          </cell>
          <cell r="R80">
            <v>18831.333333333332</v>
          </cell>
          <cell r="S80">
            <v>19992.995833333331</v>
          </cell>
          <cell r="T80">
            <v>26986.495833333334</v>
          </cell>
          <cell r="U80">
            <v>2950.5333333333333</v>
          </cell>
          <cell r="V80">
            <v>1924.7416666666666</v>
          </cell>
          <cell r="W80">
            <v>103486.15000000001</v>
          </cell>
        </row>
        <row r="82">
          <cell r="B82">
            <v>31312.6</v>
          </cell>
          <cell r="C82">
            <v>26636.325000000001</v>
          </cell>
          <cell r="D82">
            <v>0</v>
          </cell>
          <cell r="E82">
            <v>8638.8666666666668</v>
          </cell>
          <cell r="F82">
            <v>2481.8583333333331</v>
          </cell>
          <cell r="G82">
            <v>0</v>
          </cell>
          <cell r="H82">
            <v>69069.649999999994</v>
          </cell>
          <cell r="Q82">
            <v>31789.783333333333</v>
          </cell>
          <cell r="R82">
            <v>25333.766666666666</v>
          </cell>
          <cell r="S82">
            <v>0</v>
          </cell>
          <cell r="T82">
            <v>8901.875</v>
          </cell>
          <cell r="U82">
            <v>2443.9250000000002</v>
          </cell>
          <cell r="V82">
            <v>0</v>
          </cell>
          <cell r="W82">
            <v>68469.350000000006</v>
          </cell>
        </row>
        <row r="83">
          <cell r="B83">
            <v>93347.041666666672</v>
          </cell>
          <cell r="C83">
            <v>23278.275000000001</v>
          </cell>
          <cell r="D83">
            <v>58110.483333333337</v>
          </cell>
          <cell r="E83">
            <v>5436.875</v>
          </cell>
          <cell r="F83">
            <v>10547.958333333334</v>
          </cell>
          <cell r="G83">
            <v>5451.4333333333334</v>
          </cell>
          <cell r="H83">
            <v>196172.06666666665</v>
          </cell>
          <cell r="Q83">
            <v>93986.716666666674</v>
          </cell>
          <cell r="R83">
            <v>23003.541666666664</v>
          </cell>
          <cell r="S83">
            <v>57508.941666666666</v>
          </cell>
          <cell r="T83">
            <v>5490.6166666666668</v>
          </cell>
          <cell r="U83">
            <v>10893.483333333334</v>
          </cell>
          <cell r="V83">
            <v>5884.3250000000007</v>
          </cell>
          <cell r="W83">
            <v>196767.62500000003</v>
          </cell>
        </row>
        <row r="84">
          <cell r="B84">
            <v>44525.166666666664</v>
          </cell>
          <cell r="C84">
            <v>0</v>
          </cell>
          <cell r="D84">
            <v>20176.025000000001</v>
          </cell>
          <cell r="E84">
            <v>3217.25</v>
          </cell>
          <cell r="F84">
            <v>16411.283333333333</v>
          </cell>
          <cell r="G84">
            <v>5024.0249999999996</v>
          </cell>
          <cell r="H84">
            <v>89353.749999999985</v>
          </cell>
          <cell r="Q84">
            <v>56675.291666666664</v>
          </cell>
          <cell r="R84">
            <v>0</v>
          </cell>
          <cell r="S84">
            <v>21322.575000000001</v>
          </cell>
          <cell r="T84">
            <v>3231.6083333333331</v>
          </cell>
          <cell r="U84">
            <v>17353.658333333333</v>
          </cell>
          <cell r="V84">
            <v>5451.8333333333339</v>
          </cell>
          <cell r="W84">
            <v>104034.96666666666</v>
          </cell>
        </row>
        <row r="85">
          <cell r="B85">
            <v>50235.950000000004</v>
          </cell>
          <cell r="C85">
            <v>0</v>
          </cell>
          <cell r="D85">
            <v>20077.308333333334</v>
          </cell>
          <cell r="E85">
            <v>0</v>
          </cell>
          <cell r="F85">
            <v>15927.05</v>
          </cell>
          <cell r="G85">
            <v>12250.166666666668</v>
          </cell>
          <cell r="H85">
            <v>98490.475000000006</v>
          </cell>
          <cell r="Q85">
            <v>48597.14166666667</v>
          </cell>
          <cell r="R85">
            <v>0</v>
          </cell>
          <cell r="S85">
            <v>20227.416666666668</v>
          </cell>
          <cell r="T85">
            <v>0</v>
          </cell>
          <cell r="U85">
            <v>15833.174999999999</v>
          </cell>
          <cell r="V85">
            <v>12233.666666666668</v>
          </cell>
          <cell r="W85">
            <v>96891.400000000009</v>
          </cell>
        </row>
        <row r="87">
          <cell r="B87">
            <v>41612.016666666663</v>
          </cell>
          <cell r="C87">
            <v>7687.8583333333327</v>
          </cell>
          <cell r="D87">
            <v>61362.033333333333</v>
          </cell>
          <cell r="E87">
            <v>0</v>
          </cell>
          <cell r="F87">
            <v>6579.8166666666666</v>
          </cell>
          <cell r="G87">
            <v>0</v>
          </cell>
          <cell r="H87">
            <v>117241.72499999999</v>
          </cell>
          <cell r="Q87">
            <v>41939.116666666669</v>
          </cell>
          <cell r="R87">
            <v>7495.9833333333336</v>
          </cell>
          <cell r="S87">
            <v>62808.991666666669</v>
          </cell>
          <cell r="T87">
            <v>0</v>
          </cell>
          <cell r="U87">
            <v>6880.85</v>
          </cell>
          <cell r="V87">
            <v>0</v>
          </cell>
          <cell r="W87">
            <v>119124.94166666668</v>
          </cell>
        </row>
        <row r="88">
          <cell r="B88">
            <v>232636.82500000001</v>
          </cell>
          <cell r="C88">
            <v>52990.45</v>
          </cell>
          <cell r="D88">
            <v>182764.30833333332</v>
          </cell>
          <cell r="E88">
            <v>6114.208333333333</v>
          </cell>
          <cell r="F88">
            <v>13157.308333333332</v>
          </cell>
          <cell r="G88">
            <v>2104.25</v>
          </cell>
          <cell r="H88">
            <v>489767.35</v>
          </cell>
          <cell r="Q88">
            <v>226616.15833333335</v>
          </cell>
          <cell r="R88">
            <v>53346.625</v>
          </cell>
          <cell r="S88">
            <v>177674.29166666672</v>
          </cell>
          <cell r="T88">
            <v>6126.7666666666664</v>
          </cell>
          <cell r="U88">
            <v>12803.433333333334</v>
          </cell>
          <cell r="V88">
            <v>1937.5833333333333</v>
          </cell>
          <cell r="W88">
            <v>478504.8583333334</v>
          </cell>
        </row>
        <row r="89">
          <cell r="B89">
            <v>103090.06666666667</v>
          </cell>
          <cell r="C89">
            <v>35819.31</v>
          </cell>
          <cell r="D89">
            <v>49734.174999999996</v>
          </cell>
          <cell r="E89">
            <v>0</v>
          </cell>
          <cell r="F89">
            <v>5086.8833333333332</v>
          </cell>
          <cell r="G89">
            <v>1756.1666666666667</v>
          </cell>
          <cell r="H89">
            <v>195486.60166666668</v>
          </cell>
          <cell r="Q89">
            <v>102137.53750000001</v>
          </cell>
          <cell r="R89">
            <v>35700.034166666665</v>
          </cell>
          <cell r="S89">
            <v>50233.641666666677</v>
          </cell>
          <cell r="T89">
            <v>0</v>
          </cell>
          <cell r="U89">
            <v>5094.1499999999996</v>
          </cell>
          <cell r="V89">
            <v>1818.1333333333334</v>
          </cell>
          <cell r="W89">
            <v>194983.49666666664</v>
          </cell>
        </row>
        <row r="90">
          <cell r="B90">
            <v>26578.875</v>
          </cell>
          <cell r="C90">
            <v>0</v>
          </cell>
          <cell r="D90">
            <v>11418.091666666665</v>
          </cell>
          <cell r="E90">
            <v>0</v>
          </cell>
          <cell r="F90">
            <v>7270.0083333333323</v>
          </cell>
          <cell r="G90">
            <v>11050.366666666667</v>
          </cell>
          <cell r="H90">
            <v>56317.34166666666</v>
          </cell>
          <cell r="Q90">
            <v>26703.866666666669</v>
          </cell>
          <cell r="R90">
            <v>0</v>
          </cell>
          <cell r="S90">
            <v>11185.266666666666</v>
          </cell>
          <cell r="T90">
            <v>0</v>
          </cell>
          <cell r="U90">
            <v>7660.1083333333336</v>
          </cell>
          <cell r="V90">
            <v>11492.87</v>
          </cell>
          <cell r="W90">
            <v>57042.111666666671</v>
          </cell>
        </row>
        <row r="161">
          <cell r="AD161">
            <v>290294.21777777781</v>
          </cell>
          <cell r="AE161">
            <v>828993.08222222235</v>
          </cell>
          <cell r="AF161">
            <v>394722.89666666667</v>
          </cell>
          <cell r="AG161">
            <v>120897.37444444443</v>
          </cell>
          <cell r="AH161">
            <v>204729.16111111111</v>
          </cell>
          <cell r="AI161">
            <v>1720439.2655555557</v>
          </cell>
          <cell r="AK161">
            <v>298546.88888888893</v>
          </cell>
          <cell r="AL161">
            <v>767126.20111111109</v>
          </cell>
          <cell r="AM161">
            <v>374094.45333333337</v>
          </cell>
          <cell r="AN161">
            <v>128322.28666666667</v>
          </cell>
          <cell r="AO161">
            <v>210279.82888888888</v>
          </cell>
          <cell r="AP161">
            <v>1770696.7588888886</v>
          </cell>
        </row>
        <row r="163">
          <cell r="AD163">
            <v>0</v>
          </cell>
          <cell r="AE163">
            <v>17822.833333333332</v>
          </cell>
          <cell r="AF163">
            <v>34142.066666666673</v>
          </cell>
          <cell r="AG163">
            <v>9679</v>
          </cell>
          <cell r="AH163"/>
          <cell r="AI163">
            <v>61643.900000000009</v>
          </cell>
          <cell r="AK163">
            <v>0</v>
          </cell>
          <cell r="AL163">
            <v>18459.333333333332</v>
          </cell>
          <cell r="AM163">
            <v>35234.933333333334</v>
          </cell>
          <cell r="AN163">
            <v>9843.7333333333336</v>
          </cell>
          <cell r="AO163"/>
          <cell r="AP163">
            <v>63538</v>
          </cell>
        </row>
        <row r="164">
          <cell r="AD164">
            <v>0</v>
          </cell>
          <cell r="AE164">
            <v>12110.966666666667</v>
          </cell>
          <cell r="AF164">
            <v>5105.6333333333332</v>
          </cell>
          <cell r="AG164">
            <v>20364.599999999995</v>
          </cell>
          <cell r="AH164"/>
          <cell r="AI164">
            <v>37581.199999999997</v>
          </cell>
          <cell r="AK164">
            <v>0</v>
          </cell>
          <cell r="AL164">
            <v>13442.133333333333</v>
          </cell>
          <cell r="AM164">
            <v>5431.4</v>
          </cell>
          <cell r="AN164">
            <v>21940.73333333333</v>
          </cell>
          <cell r="AO164"/>
          <cell r="AP164">
            <v>40814.266666666663</v>
          </cell>
        </row>
        <row r="165">
          <cell r="AD165">
            <v>0</v>
          </cell>
          <cell r="AE165">
            <v>4675.9333333333334</v>
          </cell>
          <cell r="AF165">
            <v>5237.666666666667</v>
          </cell>
          <cell r="AG165">
            <v>0</v>
          </cell>
          <cell r="AH165"/>
          <cell r="AI165">
            <v>9913.6</v>
          </cell>
          <cell r="AK165">
            <v>0</v>
          </cell>
          <cell r="AL165">
            <v>4970.666666666667</v>
          </cell>
          <cell r="AM165">
            <v>5424.5666666666675</v>
          </cell>
          <cell r="AN165">
            <v>0</v>
          </cell>
          <cell r="AO165"/>
          <cell r="AP165">
            <v>10395.233333333334</v>
          </cell>
        </row>
        <row r="166">
          <cell r="AD166">
            <v>244598.93777777781</v>
          </cell>
          <cell r="AE166">
            <v>84736.387777777767</v>
          </cell>
          <cell r="AF166">
            <v>7046.0888888888894</v>
          </cell>
          <cell r="AG166">
            <v>1525.392222222222</v>
          </cell>
          <cell r="AH166"/>
          <cell r="AI166">
            <v>337906.8066666667</v>
          </cell>
          <cell r="AK166">
            <v>251484.13444444447</v>
          </cell>
          <cell r="AL166">
            <v>85130.873333333322</v>
          </cell>
          <cell r="AM166">
            <v>7199.2944444444438</v>
          </cell>
          <cell r="AN166">
            <v>1644.6388888888889</v>
          </cell>
          <cell r="AO166"/>
          <cell r="AP166">
            <v>345458.94111111108</v>
          </cell>
        </row>
        <row r="168">
          <cell r="AD168">
            <v>8365.9000000000015</v>
          </cell>
          <cell r="AE168">
            <v>15378.033333333333</v>
          </cell>
          <cell r="AF168">
            <v>17123.050000000003</v>
          </cell>
          <cell r="AG168">
            <v>0</v>
          </cell>
          <cell r="AH168"/>
          <cell r="AI168">
            <v>40866.983333333337</v>
          </cell>
          <cell r="AK168">
            <v>8326.9666666666672</v>
          </cell>
          <cell r="AL168">
            <v>15720.066666666668</v>
          </cell>
          <cell r="AM168">
            <v>18111.633333333335</v>
          </cell>
          <cell r="AN168">
            <v>0</v>
          </cell>
          <cell r="AO168"/>
          <cell r="AP168">
            <v>42158.666666666672</v>
          </cell>
        </row>
        <row r="169">
          <cell r="AD169">
            <v>0</v>
          </cell>
          <cell r="AE169">
            <v>14732.5</v>
          </cell>
          <cell r="AF169">
            <v>30483.166666666668</v>
          </cell>
          <cell r="AG169">
            <v>1128.7666666666667</v>
          </cell>
          <cell r="AH169"/>
          <cell r="AI169">
            <v>46344.433333333342</v>
          </cell>
          <cell r="AK169">
            <v>0</v>
          </cell>
          <cell r="AL169">
            <v>15588.466666666667</v>
          </cell>
          <cell r="AM169">
            <v>31886.366666666665</v>
          </cell>
          <cell r="AN169">
            <v>1303.7666666666667</v>
          </cell>
          <cell r="AO169"/>
          <cell r="AP169">
            <v>48778.6</v>
          </cell>
        </row>
        <row r="170">
          <cell r="AD170">
            <v>0</v>
          </cell>
          <cell r="AE170">
            <v>24773.98333333333</v>
          </cell>
          <cell r="AF170">
            <v>11039.433333333334</v>
          </cell>
          <cell r="AG170">
            <v>2780.833333333333</v>
          </cell>
          <cell r="AH170"/>
          <cell r="AI170">
            <v>38594.25</v>
          </cell>
          <cell r="AK170">
            <v>0</v>
          </cell>
          <cell r="AL170">
            <v>25187.666666666664</v>
          </cell>
          <cell r="AM170">
            <v>11739.333333333332</v>
          </cell>
          <cell r="AN170">
            <v>3108.2333333333331</v>
          </cell>
          <cell r="AO170"/>
          <cell r="AP170">
            <v>40035.23333333333</v>
          </cell>
        </row>
        <row r="171">
          <cell r="AD171">
            <v>0</v>
          </cell>
          <cell r="AE171">
            <v>71035.849999999991</v>
          </cell>
          <cell r="AF171">
            <v>20908.283333333333</v>
          </cell>
          <cell r="AG171">
            <v>3669.2</v>
          </cell>
          <cell r="AH171"/>
          <cell r="AI171">
            <v>95613.333333333328</v>
          </cell>
          <cell r="AK171">
            <v>0</v>
          </cell>
          <cell r="AL171">
            <v>67256.116666666669</v>
          </cell>
          <cell r="AM171">
            <v>22083.983333333334</v>
          </cell>
          <cell r="AN171">
            <v>3801.0166666666664</v>
          </cell>
          <cell r="AO171"/>
          <cell r="AP171">
            <v>93141.116666666669</v>
          </cell>
        </row>
        <row r="173">
          <cell r="AD173">
            <v>0</v>
          </cell>
          <cell r="AE173">
            <v>29415.666666666664</v>
          </cell>
          <cell r="AF173">
            <v>30040.866666666661</v>
          </cell>
          <cell r="AG173">
            <v>3456.3666666666668</v>
          </cell>
          <cell r="AH173"/>
          <cell r="AI173">
            <v>62912.899999999994</v>
          </cell>
          <cell r="AK173">
            <v>0</v>
          </cell>
          <cell r="AL173">
            <v>29363.466666666667</v>
          </cell>
          <cell r="AM173">
            <v>30095.266666666666</v>
          </cell>
          <cell r="AN173">
            <v>3458.4666666666667</v>
          </cell>
          <cell r="AO173"/>
          <cell r="AP173">
            <v>62917.200000000004</v>
          </cell>
        </row>
        <row r="174">
          <cell r="AD174">
            <v>0</v>
          </cell>
          <cell r="AE174">
            <v>88630.526666666658</v>
          </cell>
          <cell r="AF174">
            <v>74668.334444444466</v>
          </cell>
          <cell r="AG174">
            <v>31735.732222222221</v>
          </cell>
          <cell r="AH174"/>
          <cell r="AI174">
            <v>195034.59333333335</v>
          </cell>
          <cell r="AK174">
            <v>0</v>
          </cell>
          <cell r="AL174">
            <v>91761.814444444433</v>
          </cell>
          <cell r="AM174">
            <v>79433.103333333333</v>
          </cell>
          <cell r="AN174">
            <v>34754.797777777778</v>
          </cell>
          <cell r="AO174"/>
          <cell r="AP174">
            <v>205949.71555555554</v>
          </cell>
        </row>
        <row r="175">
          <cell r="AD175">
            <v>7472.3666666666668</v>
          </cell>
          <cell r="AE175">
            <v>24080.6</v>
          </cell>
          <cell r="AF175">
            <v>4915.0666666666666</v>
          </cell>
          <cell r="AG175">
            <v>10108.866666666667</v>
          </cell>
          <cell r="AH175"/>
          <cell r="AI175">
            <v>46576.9</v>
          </cell>
          <cell r="AK175">
            <v>8309.2000000000007</v>
          </cell>
          <cell r="AL175">
            <v>25175.566666666666</v>
          </cell>
          <cell r="AM175">
            <v>5287.7</v>
          </cell>
          <cell r="AN175">
            <v>10790.266666666665</v>
          </cell>
          <cell r="AO175"/>
          <cell r="AP175">
            <v>49562.733333333323</v>
          </cell>
        </row>
        <row r="176">
          <cell r="AD176">
            <v>0</v>
          </cell>
          <cell r="AE176">
            <v>52973.4</v>
          </cell>
          <cell r="AF176">
            <v>15147.366666666667</v>
          </cell>
          <cell r="AG176">
            <v>8085.833333333333</v>
          </cell>
          <cell r="AH176"/>
          <cell r="AI176">
            <v>76206.599999999991</v>
          </cell>
          <cell r="AK176">
            <v>0</v>
          </cell>
          <cell r="AL176">
            <v>54844.26666666667</v>
          </cell>
          <cell r="AM176">
            <v>15909.833333333334</v>
          </cell>
          <cell r="AN176">
            <v>8241.6666666666679</v>
          </cell>
          <cell r="AO176"/>
          <cell r="AP176">
            <v>78995.766666666677</v>
          </cell>
        </row>
        <row r="178">
          <cell r="AD178">
            <v>0</v>
          </cell>
          <cell r="AE178">
            <v>31617.699999999997</v>
          </cell>
          <cell r="AF178">
            <v>25256.799999999996</v>
          </cell>
          <cell r="AG178">
            <v>0</v>
          </cell>
          <cell r="AH178"/>
          <cell r="AI178">
            <v>56874.499999999993</v>
          </cell>
          <cell r="AK178">
            <v>0</v>
          </cell>
          <cell r="AL178">
            <v>33433.866666666669</v>
          </cell>
          <cell r="AM178">
            <v>26602</v>
          </cell>
          <cell r="AN178">
            <v>0</v>
          </cell>
          <cell r="AO178"/>
          <cell r="AP178">
            <v>60035.866666666669</v>
          </cell>
        </row>
        <row r="179">
          <cell r="AD179">
            <v>26223.91333333333</v>
          </cell>
          <cell r="AE179">
            <v>281927.0011111112</v>
          </cell>
          <cell r="AF179">
            <v>73293.573333333319</v>
          </cell>
          <cell r="AG179">
            <v>11481.919999999998</v>
          </cell>
          <cell r="AH179">
            <v>85531.694444444438</v>
          </cell>
          <cell r="AI179">
            <v>478458.10222222214</v>
          </cell>
          <cell r="AK179">
            <v>26252.887777777778</v>
          </cell>
          <cell r="AL179">
            <v>286791.89666666673</v>
          </cell>
          <cell r="AM179">
            <v>75470.105555555536</v>
          </cell>
          <cell r="AN179">
            <v>11609.253333333334</v>
          </cell>
          <cell r="AO179">
            <v>87642.162222222221</v>
          </cell>
          <cell r="AP179">
            <v>487766.30555555562</v>
          </cell>
        </row>
        <row r="180">
          <cell r="AD180"/>
          <cell r="AE180">
            <v>75081.7</v>
          </cell>
          <cell r="AF180">
            <v>36813.699999999997</v>
          </cell>
          <cell r="AG180">
            <v>8367.9333333333325</v>
          </cell>
          <cell r="AH180">
            <v>119197.46666666666</v>
          </cell>
          <cell r="AI180">
            <v>120263.33333333333</v>
          </cell>
          <cell r="AK180"/>
          <cell r="AL180"/>
          <cell r="AM180"/>
          <cell r="AN180">
            <v>8723</v>
          </cell>
          <cell r="AO180">
            <v>122637.66666666667</v>
          </cell>
          <cell r="AP180">
            <v>123687.76666666666</v>
          </cell>
        </row>
        <row r="181">
          <cell r="AD181">
            <v>3633.1</v>
          </cell>
          <cell r="AE181">
            <v>0</v>
          </cell>
          <cell r="AF181">
            <v>3501.8</v>
          </cell>
          <cell r="AG181">
            <v>8512.93</v>
          </cell>
          <cell r="AH181"/>
          <cell r="AI181">
            <v>15647.83</v>
          </cell>
          <cell r="AK181">
            <v>4173.7</v>
          </cell>
          <cell r="AL181">
            <v>0</v>
          </cell>
          <cell r="AM181">
            <v>4184.9333333333334</v>
          </cell>
          <cell r="AN181">
            <v>9102.7133333333331</v>
          </cell>
          <cell r="AO181"/>
          <cell r="AP181">
            <v>17461.346666666665</v>
          </cell>
        </row>
        <row r="191">
          <cell r="AD191">
            <v>93087.014455555574</v>
          </cell>
          <cell r="AE191">
            <v>28031.926122222219</v>
          </cell>
          <cell r="AF191">
            <v>121118.94057777779</v>
          </cell>
          <cell r="AJ191">
            <v>101936.57671111111</v>
          </cell>
          <cell r="AK191">
            <v>28281.007488888885</v>
          </cell>
          <cell r="AL191">
            <v>130217.58420000001</v>
          </cell>
        </row>
        <row r="193">
          <cell r="AD193">
            <v>1159.8</v>
          </cell>
          <cell r="AE193">
            <v>1908.1999999999998</v>
          </cell>
          <cell r="AF193">
            <v>3068</v>
          </cell>
          <cell r="AJ193">
            <v>1233.1666666666667</v>
          </cell>
          <cell r="AK193">
            <v>1988.8666666666668</v>
          </cell>
          <cell r="AL193">
            <v>3222.0333333333338</v>
          </cell>
        </row>
        <row r="194">
          <cell r="AD194">
            <v>0</v>
          </cell>
          <cell r="AE194">
            <v>0</v>
          </cell>
          <cell r="AF194">
            <v>0</v>
          </cell>
          <cell r="AJ194">
            <v>0</v>
          </cell>
          <cell r="AK194">
            <v>0</v>
          </cell>
          <cell r="AL194">
            <v>0</v>
          </cell>
        </row>
        <row r="195">
          <cell r="AD195">
            <v>0</v>
          </cell>
          <cell r="AE195">
            <v>0</v>
          </cell>
          <cell r="AF195">
            <v>0</v>
          </cell>
          <cell r="AJ195">
            <v>0</v>
          </cell>
          <cell r="AK195">
            <v>0</v>
          </cell>
          <cell r="AL195">
            <v>0</v>
          </cell>
        </row>
        <row r="196">
          <cell r="AD196">
            <v>0</v>
          </cell>
          <cell r="AE196">
            <v>0</v>
          </cell>
          <cell r="AF196">
            <v>0</v>
          </cell>
          <cell r="AJ196">
            <v>0</v>
          </cell>
          <cell r="AK196">
            <v>0</v>
          </cell>
          <cell r="AL196">
            <v>0</v>
          </cell>
        </row>
        <row r="198">
          <cell r="AD198">
            <v>71686.516666666677</v>
          </cell>
          <cell r="AE198">
            <v>0</v>
          </cell>
          <cell r="AF198">
            <v>71686.516666666677</v>
          </cell>
          <cell r="AJ198">
            <v>76720.666666666672</v>
          </cell>
          <cell r="AK198">
            <v>0</v>
          </cell>
          <cell r="AL198">
            <v>76720.666666666672</v>
          </cell>
        </row>
        <row r="199">
          <cell r="AD199">
            <v>5098.7333333333336</v>
          </cell>
          <cell r="AE199">
            <v>0</v>
          </cell>
          <cell r="AF199">
            <v>5098.7333333333336</v>
          </cell>
          <cell r="AJ199">
            <v>5377.2</v>
          </cell>
          <cell r="AK199">
            <v>0</v>
          </cell>
          <cell r="AL199">
            <v>5377.2</v>
          </cell>
        </row>
        <row r="200">
          <cell r="AD200">
            <v>10366.871666666666</v>
          </cell>
          <cell r="AE200">
            <v>0</v>
          </cell>
          <cell r="AF200">
            <v>10366.871666666666</v>
          </cell>
          <cell r="AJ200">
            <v>13654.404444444446</v>
          </cell>
          <cell r="AK200">
            <v>0</v>
          </cell>
          <cell r="AL200">
            <v>13654.404444444446</v>
          </cell>
        </row>
        <row r="201">
          <cell r="AD201">
            <v>0</v>
          </cell>
          <cell r="AE201">
            <v>0</v>
          </cell>
          <cell r="AF201">
            <v>0</v>
          </cell>
          <cell r="AJ201">
            <v>0</v>
          </cell>
          <cell r="AK201">
            <v>0</v>
          </cell>
          <cell r="AL201">
            <v>0</v>
          </cell>
        </row>
        <row r="203">
          <cell r="AD203">
            <v>0</v>
          </cell>
          <cell r="AE203">
            <v>0</v>
          </cell>
          <cell r="AF203">
            <v>0</v>
          </cell>
          <cell r="AJ203">
            <v>0</v>
          </cell>
          <cell r="AK203">
            <v>0</v>
          </cell>
          <cell r="AL203">
            <v>0</v>
          </cell>
        </row>
        <row r="204">
          <cell r="AD204">
            <v>0</v>
          </cell>
          <cell r="AE204">
            <v>0</v>
          </cell>
          <cell r="AF204">
            <v>0</v>
          </cell>
          <cell r="AJ204">
            <v>0</v>
          </cell>
          <cell r="AK204">
            <v>0</v>
          </cell>
          <cell r="AL204">
            <v>0</v>
          </cell>
        </row>
        <row r="205">
          <cell r="AD205">
            <v>3754.1350111111115</v>
          </cell>
          <cell r="AE205">
            <v>15945.219455555554</v>
          </cell>
          <cell r="AF205">
            <v>19699.354466666664</v>
          </cell>
          <cell r="AJ205">
            <v>3864.6067111111106</v>
          </cell>
          <cell r="AK205">
            <v>16054.077488888888</v>
          </cell>
          <cell r="AL205">
            <v>19918.6842</v>
          </cell>
        </row>
        <row r="206">
          <cell r="AD206">
            <v>0</v>
          </cell>
          <cell r="AE206">
            <v>0</v>
          </cell>
          <cell r="AF206">
            <v>0</v>
          </cell>
          <cell r="AJ206">
            <v>0</v>
          </cell>
          <cell r="AK206">
            <v>0</v>
          </cell>
          <cell r="AL206">
            <v>0</v>
          </cell>
        </row>
        <row r="208">
          <cell r="AD208">
            <v>1020.9577777777778</v>
          </cell>
          <cell r="AE208">
            <v>10178.506666666666</v>
          </cell>
          <cell r="AF208">
            <v>11199.464444444444</v>
          </cell>
          <cell r="AJ208">
            <v>1086.5322222222221</v>
          </cell>
          <cell r="AK208">
            <v>10238.063333333332</v>
          </cell>
          <cell r="AL208">
            <v>11324.595555555554</v>
          </cell>
        </row>
        <row r="209">
          <cell r="AD209">
            <v>0</v>
          </cell>
          <cell r="AE209">
            <v>0</v>
          </cell>
          <cell r="AF209">
            <v>0</v>
          </cell>
          <cell r="AJ209">
            <v>0</v>
          </cell>
          <cell r="AK209">
            <v>0</v>
          </cell>
          <cell r="AL209">
            <v>0</v>
          </cell>
        </row>
        <row r="210">
          <cell r="AD210">
            <v>0</v>
          </cell>
          <cell r="AE210">
            <v>0</v>
          </cell>
          <cell r="AF210">
            <v>0</v>
          </cell>
          <cell r="AJ210">
            <v>0</v>
          </cell>
          <cell r="AK210">
            <v>0</v>
          </cell>
          <cell r="AL210">
            <v>0</v>
          </cell>
        </row>
        <row r="211">
          <cell r="AD211">
            <v>0</v>
          </cell>
          <cell r="AE211">
            <v>0</v>
          </cell>
          <cell r="AF211">
            <v>0</v>
          </cell>
          <cell r="AJ211">
            <v>0</v>
          </cell>
          <cell r="AK211">
            <v>0</v>
          </cell>
          <cell r="AL211">
            <v>0</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isa Cowan" refreshedDate="41712.433605208331" createdVersion="4" refreshedVersion="4" minRefreshableVersion="3" recordCount="3051">
  <cacheSource type="worksheet">
    <worksheetSource ref="A9:AJ9" sheet="Funding Data"/>
  </cacheSource>
  <cacheFields count="51">
    <cacheField name="state" numFmtId="0">
      <sharedItems count="16">
        <s v="AL"/>
        <s v="AR"/>
        <s v="DE"/>
        <s v="FL"/>
        <s v="GA"/>
        <s v="KY"/>
        <s v="LA"/>
        <s v="MD"/>
        <s v="MS"/>
        <s v="NC"/>
        <s v="OK"/>
        <s v="SC"/>
        <s v="TN"/>
        <s v="TX"/>
        <s v="VA"/>
        <s v="WV"/>
      </sharedItems>
    </cacheField>
    <cacheField name="group" numFmtId="0">
      <sharedItems count="46">
        <s v="1A"/>
        <s v="1D"/>
        <s v="1B"/>
        <s v="1B1"/>
        <s v="1B2"/>
        <s v="1B3"/>
        <s v="1B4"/>
        <s v="1B6"/>
        <s v="1B7"/>
        <s v="1F"/>
        <s v="1C"/>
        <s v="1C6"/>
        <s v="1C7"/>
        <s v="1G"/>
        <s v="2A"/>
        <s v="2A1"/>
        <s v="2A2"/>
        <s v="2A3"/>
        <s v="2A4"/>
        <s v="2B"/>
        <s v="2C"/>
        <s v="2C1"/>
        <s v="2C2"/>
        <s v="2C3"/>
        <s v="2D"/>
        <s v="2D1"/>
        <s v="2D1a"/>
        <s v="2D1b"/>
        <s v="2D1c"/>
        <s v="2D1c1"/>
        <s v="2D1c2"/>
        <s v="2D1d"/>
        <s v="2D1d1"/>
        <s v="2D1d2"/>
        <s v="2D2"/>
        <s v="2D2a"/>
        <s v="2D2b"/>
        <s v="2D3"/>
        <s v="2D3a"/>
        <s v="2D3b"/>
        <s v="1C3"/>
        <s v="1E"/>
        <s v="1C1"/>
        <s v="1B5"/>
        <s v="1C2"/>
        <s v="1C5"/>
      </sharedItems>
    </cacheField>
    <cacheField name="item" numFmtId="0">
      <sharedItems/>
    </cacheField>
    <cacheField name="Classificatin Notes" numFmtId="0">
      <sharedItems containsBlank="1"/>
    </cacheField>
    <cacheField name="ID #" numFmtId="0">
      <sharedItems containsBlank="1" containsMixedTypes="1" containsNumber="1" containsInteger="1" minValue="100654" maxValue="870501"/>
    </cacheField>
    <cacheField name="category" numFmtId="0">
      <sharedItems containsString="0" containsBlank="1" containsNumber="1" minValue="1" maxValue="99" count="18">
        <n v="1"/>
        <n v="2"/>
        <n v="3"/>
        <n v="4"/>
        <n v="5"/>
        <n v="6"/>
        <n v="8"/>
        <n v="9"/>
        <n v="10"/>
        <n v="12"/>
        <n v="13"/>
        <n v="15"/>
        <m/>
        <n v="99"/>
        <n v="7"/>
        <n v="11"/>
        <n v="14" u="1"/>
        <n v="13.3928571428571" u="1"/>
      </sharedItems>
      <fieldGroup par="45"/>
    </cacheField>
    <cacheField name="State Gen Purp-Old" numFmtId="3">
      <sharedItems containsString="0" containsBlank="1" containsNumber="1" minValue="0" maxValue="479841652"/>
    </cacheField>
    <cacheField name="State Gen Purp-New" numFmtId="0">
      <sharedItems containsString="0" containsBlank="1" containsNumber="1" minValue="0" maxValue="479983244"/>
    </cacheField>
    <cacheField name="State Ed Spec Purp-Old" numFmtId="3">
      <sharedItems containsBlank="1" containsMixedTypes="1" containsNumber="1" minValue="0" maxValue="143885981"/>
    </cacheField>
    <cacheField name="State Ed Spec Purp-New" numFmtId="0">
      <sharedItems containsString="0" containsBlank="1" containsNumber="1" minValue="0" maxValue="123458686"/>
    </cacheField>
    <cacheField name="Local-Old" numFmtId="3">
      <sharedItems containsString="0" containsBlank="1" containsNumber="1" minValue="0" maxValue="163339387"/>
    </cacheField>
    <cacheField name="Local-New" numFmtId="0">
      <sharedItems containsString="0" containsBlank="1" containsNumber="1" containsInteger="1" minValue="5500" maxValue="180009933"/>
    </cacheField>
    <cacheField name="Tuition Ops-Old" numFmtId="0">
      <sharedItems containsBlank="1" containsMixedTypes="1" containsNumber="1" minValue="0" maxValue="545139599"/>
    </cacheField>
    <cacheField name="Tuition Debt-Old" numFmtId="3">
      <sharedItems containsBlank="1" containsMixedTypes="1" containsNumber="1" minValue="0" maxValue="26212700"/>
    </cacheField>
    <cacheField name="Tuition Tot-Old" numFmtId="3">
      <sharedItems containsSemiMixedTypes="0" containsString="0" containsNumber="1" minValue="0" maxValue="545139599"/>
    </cacheField>
    <cacheField name="Tuition Ops-New" numFmtId="0">
      <sharedItems containsBlank="1" containsMixedTypes="1" containsNumber="1" minValue="0" maxValue="555019935"/>
    </cacheField>
    <cacheField name="Tuition Debt-New" numFmtId="0">
      <sharedItems containsBlank="1" containsMixedTypes="1" containsNumber="1" minValue="0" maxValue="27121536"/>
    </cacheField>
    <cacheField name="Tuition Tot-New" numFmtId="3">
      <sharedItems containsSemiMixedTypes="0" containsString="0" containsNumber="1" minValue="0" maxValue="555019935"/>
    </cacheField>
    <cacheField name="Total E&amp;G-Old" numFmtId="3">
      <sharedItems containsSemiMixedTypes="0" containsString="0" containsNumber="1" minValue="0" maxValue="1024981251"/>
    </cacheField>
    <cacheField name="Total E&amp;G-New" numFmtId="3">
      <sharedItems containsSemiMixedTypes="0" containsString="0" containsNumber="1" minValue="0" maxValue="1035003179"/>
    </cacheField>
    <cacheField name="Other Spec Purp State-Old" numFmtId="0">
      <sharedItems containsString="0" containsBlank="1" containsNumber="1" minValue="0" maxValue="446451527"/>
    </cacheField>
    <cacheField name="Other Spec Purp State-New" numFmtId="0">
      <sharedItems containsBlank="1" containsMixedTypes="1" containsNumber="1" minValue="0" maxValue="401800599"/>
    </cacheField>
    <cacheField name="Tuition SP Ops-Old" numFmtId="3">
      <sharedItems containsString="0" containsBlank="1" containsNumber="1" containsInteger="1" minValue="0" maxValue="337706516"/>
    </cacheField>
    <cacheField name="Tuition SP Debt-Old" numFmtId="3">
      <sharedItems containsString="0" containsBlank="1" containsNumber="1" containsInteger="1" minValue="141498" maxValue="311400"/>
    </cacheField>
    <cacheField name="Tuition SP Tot-Old" numFmtId="3">
      <sharedItems containsSemiMixedTypes="0" containsString="0" containsNumber="1" containsInteger="1" minValue="0" maxValue="337706516"/>
    </cacheField>
    <cacheField name="Tuition SP Ops-New" numFmtId="3">
      <sharedItems containsString="0" containsBlank="1" containsNumber="1" containsInteger="1" minValue="1766048" maxValue="350389432"/>
    </cacheField>
    <cacheField name="Tuition SP Debt-New" numFmtId="3">
      <sharedItems containsString="0" containsBlank="1" containsNumber="1" containsInteger="1" minValue="177000" maxValue="347490"/>
    </cacheField>
    <cacheField name="Tuition SP Tot-New" numFmtId="3">
      <sharedItems containsSemiMixedTypes="0" containsString="0" containsNumber="1" containsInteger="1" minValue="0" maxValue="350389432"/>
    </cacheField>
    <cacheField name="Health State-Old" numFmtId="3">
      <sharedItems containsString="0" containsBlank="1" containsNumber="1" minValue="0" maxValue="342767552"/>
    </cacheField>
    <cacheField name="Health State-New" numFmtId="0">
      <sharedItems containsString="0" containsBlank="1" containsNumber="1" minValue="0" maxValue="324663239"/>
    </cacheField>
    <cacheField name="Health Tuition-Old" numFmtId="3">
      <sharedItems containsString="0" containsBlank="1" containsNumber="1" minValue="1097748" maxValue="112339806"/>
    </cacheField>
    <cacheField name="Health Tuition Debt - Old" numFmtId="3">
      <sharedItems containsString="0" containsBlank="1" containsNumber="1" minValue="0" maxValue="55116039"/>
    </cacheField>
    <cacheField name="Health Tuition-New" numFmtId="3">
      <sharedItems containsString="0" containsBlank="1" containsNumber="1" minValue="1294519" maxValue="116228036"/>
    </cacheField>
    <cacheField name="Health Tuition Debt - New" numFmtId="3">
      <sharedItems containsString="0" containsBlank="1" containsNumber="1" minValue="0" maxValue="10656001"/>
    </cacheField>
    <cacheField name="Total Funds-Old" numFmtId="3">
      <sharedItems containsSemiMixedTypes="0" containsString="0" containsNumber="1" minValue="0" maxValue="1024981251"/>
    </cacheField>
    <cacheField name="Total Funds-New" numFmtId="3">
      <sharedItems containsSemiMixedTypes="0" containsString="0" containsNumber="1" minValue="0" maxValue="1035003179"/>
    </cacheField>
    <cacheField name="% change in health tuition" numFmtId="0" formula=" IF('Health Tuition-Old'&gt;0,('Health Tuition-New'-'Health Tuition-Old')/'Health Tuition-Old',)*100" databaseField="0"/>
    <cacheField name="% change in total public funds" numFmtId="0" formula="IF('Total E&amp;G-Old'&gt;0,('Total E&amp;G-New'-'Total E&amp;G-Old')/'Total E&amp;G-Old')*100" databaseField="0"/>
    <cacheField name="% change in tuition ops" numFmtId="0" formula=" IF('Tuition Ops-Old'&gt;0,('Tuition Ops-New'-'Tuition Ops-Old')/'Tuition Ops-Old',)*100" databaseField="0"/>
    <cacheField name="% change in local" numFmtId="0" formula="IF('Local-Old'&gt;0, ('Local-New'-'Local-Old')/'Local-Old',)*100" databaseField="0"/>
    <cacheField name="% change in state ed spec purp" numFmtId="0" formula="IF('State Ed Spec Purp-Old'&gt;0,('State Ed Spec Purp-New'-'State Ed Spec Purp-Old')/'State Ed Spec Purp-Old',)*100" databaseField="0"/>
    <cacheField name="% change in state gen purp" numFmtId="0" formula=" IF('State Gen Purp-Old'&gt;0,('State Gen Purp-New'-'State Gen Purp-Old')/'State Gen Purp-Old',)*100" databaseField="0"/>
    <cacheField name="% change in other spec purp state" numFmtId="0" formula="IF('Other Spec Purp State-Old'&gt;0, ('Other Spec Purp State-New'-'Other Spec Purp State-Old')/'Other Spec Purp State-Old',)*100" databaseField="0"/>
    <cacheField name="% change in tuition total" numFmtId="0" formula=" IF('Tuition Tot-Old'&gt;0,('Tuition Tot-New'-'Tuition Tot-Old')/'Tuition Tot-Old',)*100" databaseField="0"/>
    <cacheField name="% change in tuition debt" numFmtId="0" formula=" IF('Tuition Debt-Old'&gt;0,('Tuition Debt-New'-'Tuition Debt-Old')/'Tuition Debt-Old',)*100" databaseField="0"/>
    <cacheField name="category2" numFmtId="0" databaseField="0">
      <fieldGroup base="5">
        <discretePr count="18">
          <x v="3"/>
          <x v="3"/>
          <x v="3"/>
          <x v="3"/>
          <x v="3"/>
          <x v="3"/>
          <x v="4"/>
          <x v="4"/>
          <x v="4"/>
          <x v="6"/>
          <x v="6"/>
          <x v="1"/>
          <x v="0"/>
          <x v="5"/>
          <x v="4"/>
          <x v="4"/>
          <x v="6"/>
          <x v="2"/>
        </discretePr>
        <groupItems count="7">
          <m/>
          <n v="15"/>
          <n v="13.3928571428571"/>
          <s v="Group1"/>
          <s v="Group2"/>
          <n v="99"/>
          <s v="Group3"/>
        </groupItems>
      </fieldGroup>
    </cacheField>
    <cacheField name="% change in health state" numFmtId="0" formula=" IF('Health State-Old'&gt;0,('Health State-New'-'Health State-Old')/'Health State-Old',)*100" databaseField="0"/>
    <cacheField name="% change in tuition sp total" numFmtId="0" formula=" IF('Tuition SP Tot-Old'&gt;0,('Tuition SP Tot-New'-'Tuition SP Tot-Old')/'Tuition SP Tot-Old',)*100" databaseField="0"/>
    <cacheField name="% change in tuition sp debt" numFmtId="0" formula=" IF('Tuition SP Debt-Old'&gt;0,('Tuition SP Debt-New'-'Tuition SP Debt-Old')/'Tuition SP Debt-Old',)*100" databaseField="0"/>
    <cacheField name="% change in tuition sp ops" numFmtId="0" formula=" IF('Tuition SP Ops-Old'&gt;0,('Tuition SP Ops-New'-'Tuition SP Ops-Old')/'Tuition SP Ops-Old',)*100" databaseField="0"/>
    <cacheField name="% change in total E&amp;G funds" numFmtId="0" formula="IF('Total E&amp;G-Old'&gt;0,('Total E&amp;G-New'-'Total E&amp;G-Old')/'Total E&amp;G-Old')*100"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sa Cowan" refreshedDate="42438.373335995369" createdVersion="6" refreshedVersion="6" minRefreshableVersion="3" recordCount="3274">
  <cacheSource type="worksheet">
    <worksheetSource ref="A9:AJ3283" sheet="Funding Data"/>
  </cacheSource>
  <cacheFields count="51">
    <cacheField name="state" numFmtId="0">
      <sharedItems containsBlank="1" count="17">
        <s v="AL"/>
        <s v="AR"/>
        <s v="DE"/>
        <s v="FL"/>
        <s v="GA"/>
        <s v="KY"/>
        <s v="LA"/>
        <s v="MD"/>
        <s v="MS"/>
        <s v="NC"/>
        <s v="OK"/>
        <s v="SC"/>
        <s v="TN"/>
        <s v="TX"/>
        <s v="VA"/>
        <s v="WV"/>
        <m u="1"/>
      </sharedItems>
    </cacheField>
    <cacheField name="group" numFmtId="0">
      <sharedItems containsBlank="1" count="47">
        <s v="1A"/>
        <s v="1D"/>
        <s v="1B"/>
        <s v="1B1"/>
        <s v="1B2"/>
        <s v="1B3"/>
        <s v="1B4"/>
        <s v="1B6"/>
        <s v="1B7"/>
        <s v="1F"/>
        <s v="1C"/>
        <s v="1C6"/>
        <s v="1C7"/>
        <s v="1G"/>
        <s v="2A"/>
        <s v="2A1"/>
        <s v="2A2"/>
        <s v="2A3"/>
        <s v="2A4"/>
        <s v="2B"/>
        <s v="2C"/>
        <s v="2C1"/>
        <s v="2C2"/>
        <s v="2C3"/>
        <s v="2D"/>
        <s v="2D1"/>
        <s v="2D1a"/>
        <s v="2D1b"/>
        <s v="2D1c"/>
        <s v="2D1c1"/>
        <s v="2D1c2"/>
        <s v="2D1d"/>
        <s v="2D1d1"/>
        <s v="2D1d2"/>
        <s v="2D2"/>
        <s v="2D2a"/>
        <s v="2D2b"/>
        <s v="2D3"/>
        <s v="2D3a"/>
        <s v="2D3b"/>
        <s v="1C3"/>
        <s v="1E"/>
        <s v="1C1"/>
        <s v="1B5"/>
        <s v="1C2"/>
        <s v="1C5"/>
        <m u="1"/>
      </sharedItems>
    </cacheField>
    <cacheField name="item" numFmtId="0">
      <sharedItems/>
    </cacheField>
    <cacheField name="Classificatin Notes" numFmtId="0">
      <sharedItems containsBlank="1"/>
    </cacheField>
    <cacheField name="ID #" numFmtId="0">
      <sharedItems containsBlank="1" containsMixedTypes="1" containsNumber="1" containsInteger="1" minValue="100654" maxValue="870501"/>
    </cacheField>
    <cacheField name="category" numFmtId="0">
      <sharedItems containsString="0" containsBlank="1" containsNumber="1" minValue="1" maxValue="99" count="18">
        <n v="1"/>
        <n v="2"/>
        <n v="3"/>
        <n v="4"/>
        <n v="5"/>
        <n v="6"/>
        <n v="8"/>
        <n v="9"/>
        <n v="10"/>
        <n v="12"/>
        <n v="13"/>
        <n v="15"/>
        <m/>
        <n v="99"/>
        <n v="7"/>
        <n v="11"/>
        <n v="14"/>
        <n v="13.3928571428571" u="1"/>
      </sharedItems>
      <fieldGroup par="45"/>
    </cacheField>
    <cacheField name="State Gen Purp-Old" numFmtId="0">
      <sharedItems containsBlank="1" containsMixedTypes="1" containsNumber="1" minValue="0" maxValue="554214079"/>
    </cacheField>
    <cacheField name="State Gen Purp-New" numFmtId="0">
      <sharedItems containsString="0" containsBlank="1" containsNumber="1" minValue="0" maxValue="554589226"/>
    </cacheField>
    <cacheField name="State Ed Spec Purp-Old" numFmtId="0">
      <sharedItems containsBlank="1" containsMixedTypes="1" containsNumber="1" minValue="0" maxValue="143135893"/>
    </cacheField>
    <cacheField name="State Ed Spec Purp-New" numFmtId="0">
      <sharedItems containsBlank="1" containsMixedTypes="1" containsNumber="1" minValue="0" maxValue="151250141"/>
    </cacheField>
    <cacheField name="Local-Old" numFmtId="0">
      <sharedItems containsString="0" containsBlank="1" containsNumber="1" containsInteger="1" minValue="0" maxValue="196000124"/>
    </cacheField>
    <cacheField name="Local-New" numFmtId="0">
      <sharedItems containsString="0" containsBlank="1" containsNumber="1" containsInteger="1" minValue="0" maxValue="209828369"/>
    </cacheField>
    <cacheField name="Tuition Ops-Old" numFmtId="0">
      <sharedItems containsString="0" containsBlank="1" containsNumber="1" minValue="0" maxValue="567384459"/>
    </cacheField>
    <cacheField name="Tuition Debt-Old" numFmtId="0">
      <sharedItems containsBlank="1" containsMixedTypes="1" containsNumber="1" minValue="0" maxValue="27557495"/>
    </cacheField>
    <cacheField name="Tuition Tot-Old" numFmtId="3">
      <sharedItems containsSemiMixedTypes="0" containsString="0" containsNumber="1" minValue="0" maxValue="570413598"/>
    </cacheField>
    <cacheField name="Tuition Ops-New" numFmtId="0">
      <sharedItems containsBlank="1" containsMixedTypes="1" containsNumber="1" minValue="0" maxValue="547131020"/>
    </cacheField>
    <cacheField name="Tuition Debt-New" numFmtId="0">
      <sharedItems containsBlank="1" containsMixedTypes="1" containsNumber="1" minValue="0" maxValue="29578944"/>
    </cacheField>
    <cacheField name="Tuition Tot-New" numFmtId="3">
      <sharedItems containsSemiMixedTypes="0" containsString="0" containsNumber="1" minValue="0" maxValue="560685186"/>
    </cacheField>
    <cacheField name="Total E&amp;G-Old" numFmtId="3">
      <sharedItems containsSemiMixedTypes="0" containsString="0" containsNumber="1" minValue="0" maxValue="1012916201"/>
    </cacheField>
    <cacheField name="Total E&amp;G-New" numFmtId="3">
      <sharedItems containsSemiMixedTypes="0" containsString="0" containsNumber="1" minValue="0" maxValue="998907169"/>
    </cacheField>
    <cacheField name="Other Spec Purp State-Old" numFmtId="0">
      <sharedItems containsBlank="1" containsMixedTypes="1" containsNumber="1" minValue="0" maxValue="525861525"/>
    </cacheField>
    <cacheField name="Other Spec Purp State-New" numFmtId="0">
      <sharedItems containsBlank="1" containsMixedTypes="1" containsNumber="1" minValue="0" maxValue="446598286"/>
    </cacheField>
    <cacheField name="Tuition SP Ops-Old" numFmtId="0">
      <sharedItems containsString="0" containsBlank="1" containsNumber="1" containsInteger="1" minValue="0" maxValue="295554884"/>
    </cacheField>
    <cacheField name="Tuition SP Debt-Old" numFmtId="0">
      <sharedItems containsString="0" containsBlank="1" containsNumber="1" containsInteger="1" minValue="0" maxValue="296208"/>
    </cacheField>
    <cacheField name="Tuition SP Tot-Old" numFmtId="3">
      <sharedItems containsSemiMixedTypes="0" containsString="0" containsNumber="1" containsInteger="1" minValue="0" maxValue="295554884"/>
    </cacheField>
    <cacheField name="Tuition SP Ops-New" numFmtId="0">
      <sharedItems containsString="0" containsBlank="1" containsNumber="1" containsInteger="1" minValue="0" maxValue="293418178"/>
    </cacheField>
    <cacheField name="Tuition SP Debt-New" numFmtId="0">
      <sharedItems containsString="0" containsBlank="1" containsNumber="1" containsInteger="1" minValue="0" maxValue="370260"/>
    </cacheField>
    <cacheField name="Tuition SP Tot-New" numFmtId="3">
      <sharedItems containsSemiMixedTypes="0" containsString="0" containsNumber="1" containsInteger="1" minValue="0" maxValue="293418178"/>
    </cacheField>
    <cacheField name="Health State-Old" numFmtId="0">
      <sharedItems containsString="0" containsBlank="1" containsNumber="1" minValue="5000" maxValue="340259418"/>
    </cacheField>
    <cacheField name="Health State-New" numFmtId="0">
      <sharedItems containsString="0" containsBlank="1" containsNumber="1" minValue="0" maxValue="344053902"/>
    </cacheField>
    <cacheField name="Health Tuition-Old" numFmtId="0">
      <sharedItems containsString="0" containsBlank="1" containsNumber="1" minValue="0" maxValue="116721059"/>
    </cacheField>
    <cacheField name="Health Tuition Debt - Old" numFmtId="0">
      <sharedItems containsString="0" containsBlank="1" containsNumber="1" containsInteger="1" minValue="0" maxValue="1248459"/>
    </cacheField>
    <cacheField name="Health Tuition-New" numFmtId="0">
      <sharedItems containsString="0" containsBlank="1" containsNumber="1" minValue="0" maxValue="119524902"/>
    </cacheField>
    <cacheField name="Health Tuition Debt - New" numFmtId="0">
      <sharedItems containsString="0" containsBlank="1" containsNumber="1" containsInteger="1" minValue="0" maxValue="158182"/>
    </cacheField>
    <cacheField name="Total Funds-Old" numFmtId="3">
      <sharedItems containsSemiMixedTypes="0" containsString="0" containsNumber="1" minValue="0" maxValue="1012916201"/>
    </cacheField>
    <cacheField name="Total Funds-New" numFmtId="3">
      <sharedItems containsSemiMixedTypes="0" containsString="0" containsNumber="1" minValue="0" maxValue="998907169"/>
    </cacheField>
    <cacheField name="% change in health tuition" numFmtId="0" formula=" IF('Health Tuition-Old'&gt;0,('Health Tuition-New'-'Health Tuition-Old')/'Health Tuition-Old',)*100" databaseField="0"/>
    <cacheField name="% change in total public funds" numFmtId="0" formula="IF('Total E&amp;G-Old'&gt;0,('Total E&amp;G-New'-'Total E&amp;G-Old')/'Total E&amp;G-Old')*100" databaseField="0"/>
    <cacheField name="% change in tuition ops" numFmtId="0" formula=" IF('Tuition Ops-Old'&gt;0,('Tuition Ops-New'-'Tuition Ops-Old')/'Tuition Ops-Old',)*100" databaseField="0"/>
    <cacheField name="% change in local" numFmtId="0" formula="IF('Local-Old'&gt;0, ('Local-New'-'Local-Old')/'Local-Old',)*100" databaseField="0"/>
    <cacheField name="% change in state ed spec purp" numFmtId="0" formula="IF('State Ed Spec Purp-Old'&gt;0,('State Ed Spec Purp-New'-'State Ed Spec Purp-Old')/'State Ed Spec Purp-Old',)*100" databaseField="0"/>
    <cacheField name="% change in state gen purp" numFmtId="0" formula=" IF('State Gen Purp-Old'&gt;0,('State Gen Purp-New'-'State Gen Purp-Old')/'State Gen Purp-Old',)*100" databaseField="0"/>
    <cacheField name="% change in other spec purp state" numFmtId="0" formula="IF('Other Spec Purp State-Old'&gt;0, ('Other Spec Purp State-New'-'Other Spec Purp State-Old')/'Other Spec Purp State-Old',)*100" databaseField="0"/>
    <cacheField name="% change in tuition total" numFmtId="0" formula=" IF('Tuition Tot-Old'&gt;0,('Tuition Tot-New'-'Tuition Tot-Old')/'Tuition Tot-Old',)*100" databaseField="0"/>
    <cacheField name="% change in tuition debt" numFmtId="0" formula=" IF('Tuition Debt-Old'&gt;0,('Tuition Debt-New'-'Tuition Debt-Old')/'Tuition Debt-Old',)*100" databaseField="0"/>
    <cacheField name="category2" numFmtId="0" databaseField="0">
      <fieldGroup base="5">
        <discretePr count="18">
          <x v="3"/>
          <x v="3"/>
          <x v="3"/>
          <x v="3"/>
          <x v="3"/>
          <x v="3"/>
          <x v="4"/>
          <x v="4"/>
          <x v="4"/>
          <x v="6"/>
          <x v="6"/>
          <x v="1"/>
          <x v="0"/>
          <x v="5"/>
          <x v="4"/>
          <x v="4"/>
          <x v="6"/>
          <x v="2"/>
        </discretePr>
        <groupItems count="7">
          <m/>
          <n v="15"/>
          <n v="13.3928571428571"/>
          <s v="Group1"/>
          <s v="Group2"/>
          <n v="99"/>
          <s v="Group3"/>
        </groupItems>
      </fieldGroup>
    </cacheField>
    <cacheField name="% change in health state" numFmtId="0" formula=" IF('Health State-Old'&gt;0,('Health State-New'-'Health State-Old')/'Health State-Old',)*100" databaseField="0"/>
    <cacheField name="% change in tuition sp total" numFmtId="0" formula=" IF('Tuition SP Tot-Old'&gt;0,('Tuition SP Tot-New'-'Tuition SP Tot-Old')/'Tuition SP Tot-Old',)*100" databaseField="0"/>
    <cacheField name="% change in tuition sp debt" numFmtId="0" formula=" IF('Tuition SP Debt-Old'&gt;0,('Tuition SP Debt-New'-'Tuition SP Debt-Old')/'Tuition SP Debt-Old',)*100" databaseField="0"/>
    <cacheField name="% change in tuition sp ops" numFmtId="0" formula=" IF('Tuition SP Ops-Old'&gt;0,('Tuition SP Ops-New'-'Tuition SP Ops-Old')/'Tuition SP Ops-Old',)*100" databaseField="0"/>
    <cacheField name="% change in total E&amp;G funds" numFmtId="0" formula="IF('Total E&amp;G-Old'&gt;0,('Total E&amp;G-New'-'Total E&amp;G-Old')/'Total E&amp;G-Old')*1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51">
  <r>
    <x v="0"/>
    <x v="0"/>
    <s v="Auburn University  "/>
    <m/>
    <n v="100858"/>
    <x v="0"/>
    <n v="142221075"/>
    <n v="137938695"/>
    <m/>
    <m/>
    <m/>
    <m/>
    <n v="325515945"/>
    <n v="26212700"/>
    <n v="351728645"/>
    <n v="295362755"/>
    <n v="27121536"/>
    <n v="322484291"/>
    <n v="467737020"/>
    <n v="433301450"/>
    <m/>
    <m/>
    <m/>
    <m/>
    <n v="0"/>
    <m/>
    <m/>
    <n v="0"/>
    <m/>
    <m/>
    <m/>
    <m/>
    <m/>
    <m/>
    <n v="467737020"/>
    <n v="433301450"/>
  </r>
  <r>
    <x v="0"/>
    <x v="1"/>
    <s v="Health Professions Education"/>
    <m/>
    <n v="100858"/>
    <x v="0"/>
    <m/>
    <m/>
    <m/>
    <m/>
    <m/>
    <m/>
    <m/>
    <m/>
    <n v="0"/>
    <m/>
    <m/>
    <n v="0"/>
    <n v="0"/>
    <n v="0"/>
    <m/>
    <m/>
    <m/>
    <m/>
    <n v="0"/>
    <m/>
    <m/>
    <n v="0"/>
    <m/>
    <m/>
    <m/>
    <m/>
    <m/>
    <m/>
    <n v="0"/>
    <n v="0"/>
  </r>
  <r>
    <x v="0"/>
    <x v="1"/>
    <s v="Veterinary School"/>
    <m/>
    <n v="100858"/>
    <x v="0"/>
    <m/>
    <m/>
    <m/>
    <m/>
    <m/>
    <m/>
    <m/>
    <m/>
    <n v="0"/>
    <m/>
    <m/>
    <n v="0"/>
    <n v="0"/>
    <n v="0"/>
    <m/>
    <m/>
    <m/>
    <m/>
    <n v="0"/>
    <m/>
    <m/>
    <n v="0"/>
    <n v="18838618"/>
    <n v="17318610"/>
    <n v="18564328"/>
    <m/>
    <n v="19000000"/>
    <m/>
    <n v="37402946"/>
    <n v="36318610"/>
  </r>
  <r>
    <x v="0"/>
    <x v="2"/>
    <s v="Educational Special-Purpose funds to public campuses"/>
    <m/>
    <n v="100858"/>
    <x v="0"/>
    <m/>
    <m/>
    <m/>
    <m/>
    <m/>
    <m/>
    <m/>
    <m/>
    <n v="0"/>
    <m/>
    <m/>
    <n v="0"/>
    <n v="0"/>
    <n v="0"/>
    <m/>
    <m/>
    <m/>
    <m/>
    <n v="0"/>
    <m/>
    <m/>
    <n v="0"/>
    <m/>
    <m/>
    <m/>
    <m/>
    <m/>
    <m/>
    <n v="0"/>
    <n v="0"/>
  </r>
  <r>
    <x v="0"/>
    <x v="3"/>
    <s v="Community or public service units"/>
    <m/>
    <n v="100858"/>
    <x v="0"/>
    <m/>
    <m/>
    <m/>
    <m/>
    <m/>
    <m/>
    <m/>
    <m/>
    <n v="0"/>
    <m/>
    <m/>
    <n v="0"/>
    <n v="0"/>
    <n v="0"/>
    <m/>
    <m/>
    <m/>
    <m/>
    <n v="0"/>
    <m/>
    <m/>
    <n v="0"/>
    <m/>
    <m/>
    <m/>
    <m/>
    <m/>
    <m/>
    <n v="0"/>
    <n v="0"/>
  </r>
  <r>
    <x v="0"/>
    <x v="3"/>
    <s v="Econ Res Services to St Dept of Finance"/>
    <m/>
    <n v="100858"/>
    <x v="0"/>
    <m/>
    <m/>
    <m/>
    <m/>
    <m/>
    <m/>
    <m/>
    <m/>
    <n v="0"/>
    <m/>
    <m/>
    <n v="0"/>
    <n v="0"/>
    <n v="0"/>
    <m/>
    <m/>
    <m/>
    <m/>
    <n v="0"/>
    <m/>
    <m/>
    <n v="0"/>
    <m/>
    <m/>
    <m/>
    <m/>
    <m/>
    <m/>
    <n v="0"/>
    <n v="0"/>
  </r>
  <r>
    <x v="0"/>
    <x v="3"/>
    <s v="Jules Collins Smith Art Museum"/>
    <m/>
    <n v="100858"/>
    <x v="0"/>
    <m/>
    <m/>
    <m/>
    <m/>
    <m/>
    <m/>
    <m/>
    <m/>
    <n v="0"/>
    <m/>
    <m/>
    <n v="0"/>
    <n v="0"/>
    <n v="0"/>
    <m/>
    <m/>
    <m/>
    <m/>
    <n v="0"/>
    <m/>
    <m/>
    <n v="0"/>
    <m/>
    <m/>
    <m/>
    <m/>
    <m/>
    <m/>
    <n v="0"/>
    <n v="0"/>
  </r>
  <r>
    <x v="0"/>
    <x v="3"/>
    <s v="Training for ASIMS"/>
    <m/>
    <n v="100858"/>
    <x v="0"/>
    <m/>
    <m/>
    <m/>
    <m/>
    <m/>
    <m/>
    <m/>
    <m/>
    <n v="0"/>
    <m/>
    <m/>
    <n v="0"/>
    <n v="0"/>
    <n v="0"/>
    <m/>
    <m/>
    <m/>
    <m/>
    <n v="0"/>
    <m/>
    <m/>
    <n v="0"/>
    <m/>
    <m/>
    <m/>
    <m/>
    <m/>
    <m/>
    <n v="0"/>
    <n v="0"/>
  </r>
  <r>
    <x v="0"/>
    <x v="3"/>
    <s v="Special Outreach PGM"/>
    <m/>
    <n v="100858"/>
    <x v="0"/>
    <m/>
    <m/>
    <m/>
    <m/>
    <m/>
    <m/>
    <m/>
    <m/>
    <n v="0"/>
    <m/>
    <m/>
    <n v="0"/>
    <n v="0"/>
    <n v="0"/>
    <m/>
    <m/>
    <m/>
    <m/>
    <n v="0"/>
    <m/>
    <m/>
    <n v="0"/>
    <m/>
    <m/>
    <m/>
    <m/>
    <m/>
    <m/>
    <n v="0"/>
    <n v="0"/>
  </r>
  <r>
    <x v="0"/>
    <x v="4"/>
    <s v="Non-credit continuing education"/>
    <m/>
    <n v="100858"/>
    <x v="0"/>
    <m/>
    <m/>
    <m/>
    <m/>
    <m/>
    <m/>
    <m/>
    <m/>
    <n v="0"/>
    <m/>
    <m/>
    <n v="0"/>
    <n v="0"/>
    <n v="0"/>
    <m/>
    <m/>
    <m/>
    <m/>
    <n v="0"/>
    <m/>
    <m/>
    <n v="0"/>
    <m/>
    <m/>
    <m/>
    <m/>
    <m/>
    <m/>
    <n v="0"/>
    <n v="0"/>
  </r>
  <r>
    <x v="0"/>
    <x v="4"/>
    <s v="Teacher In-service Center"/>
    <m/>
    <n v="100858"/>
    <x v="0"/>
    <m/>
    <m/>
    <n v="232683"/>
    <n v="223264"/>
    <m/>
    <m/>
    <m/>
    <m/>
    <n v="0"/>
    <m/>
    <m/>
    <n v="0"/>
    <n v="232683"/>
    <n v="223264"/>
    <m/>
    <m/>
    <m/>
    <m/>
    <n v="0"/>
    <m/>
    <m/>
    <n v="0"/>
    <m/>
    <m/>
    <m/>
    <m/>
    <m/>
    <m/>
    <n v="232683"/>
    <n v="223264"/>
  </r>
  <r>
    <x v="0"/>
    <x v="5"/>
    <s v="Agricultural cooperative extension"/>
    <m/>
    <n v="100858"/>
    <x v="0"/>
    <m/>
    <m/>
    <n v="32476409"/>
    <n v="31177353"/>
    <m/>
    <m/>
    <m/>
    <m/>
    <n v="0"/>
    <m/>
    <m/>
    <n v="0"/>
    <n v="32476409"/>
    <n v="31177353"/>
    <m/>
    <m/>
    <m/>
    <m/>
    <n v="0"/>
    <m/>
    <m/>
    <n v="0"/>
    <m/>
    <m/>
    <m/>
    <m/>
    <m/>
    <m/>
    <n v="32476409"/>
    <n v="31177353"/>
  </r>
  <r>
    <x v="0"/>
    <x v="6"/>
    <s v="Agricultural experiment stations"/>
    <m/>
    <n v="100858"/>
    <x v="0"/>
    <m/>
    <m/>
    <n v="31183951"/>
    <n v="29995593"/>
    <m/>
    <m/>
    <m/>
    <m/>
    <n v="0"/>
    <m/>
    <m/>
    <n v="0"/>
    <n v="31183951"/>
    <n v="29995593"/>
    <m/>
    <m/>
    <m/>
    <m/>
    <n v="0"/>
    <m/>
    <m/>
    <n v="0"/>
    <m/>
    <m/>
    <m/>
    <m/>
    <m/>
    <m/>
    <n v="31183951"/>
    <n v="29995593"/>
  </r>
  <r>
    <x v="0"/>
    <x v="7"/>
    <s v="Research centers/institutes"/>
    <m/>
    <n v="100858"/>
    <x v="0"/>
    <m/>
    <m/>
    <m/>
    <m/>
    <m/>
    <m/>
    <m/>
    <m/>
    <n v="0"/>
    <m/>
    <m/>
    <n v="0"/>
    <n v="0"/>
    <n v="0"/>
    <m/>
    <m/>
    <m/>
    <m/>
    <n v="0"/>
    <m/>
    <m/>
    <n v="0"/>
    <m/>
    <m/>
    <m/>
    <m/>
    <m/>
    <m/>
    <n v="0"/>
    <n v="0"/>
  </r>
  <r>
    <x v="0"/>
    <x v="0"/>
    <s v="University of Alabama "/>
    <m/>
    <n v="100751"/>
    <x v="0"/>
    <n v="135691896"/>
    <n v="130069985"/>
    <m/>
    <m/>
    <m/>
    <m/>
    <n v="449603374"/>
    <n v="3029139"/>
    <n v="452632513"/>
    <n v="417530947"/>
    <n v="3029139"/>
    <n v="420560086"/>
    <n v="585295270"/>
    <n v="547600932"/>
    <m/>
    <m/>
    <m/>
    <m/>
    <n v="0"/>
    <m/>
    <m/>
    <n v="0"/>
    <m/>
    <m/>
    <m/>
    <m/>
    <m/>
    <m/>
    <n v="585295270"/>
    <n v="547600932"/>
  </r>
  <r>
    <x v="0"/>
    <x v="1"/>
    <s v="Health Center"/>
    <m/>
    <n v="100751"/>
    <x v="0"/>
    <m/>
    <m/>
    <m/>
    <m/>
    <m/>
    <m/>
    <m/>
    <m/>
    <n v="0"/>
    <m/>
    <m/>
    <n v="0"/>
    <n v="0"/>
    <n v="0"/>
    <m/>
    <m/>
    <m/>
    <m/>
    <n v="0"/>
    <m/>
    <m/>
    <n v="0"/>
    <n v="9431343"/>
    <n v="9343325"/>
    <n v="1555082"/>
    <m/>
    <n v="1475021"/>
    <m/>
    <n v="10986425"/>
    <n v="10818346"/>
  </r>
  <r>
    <x v="0"/>
    <x v="3"/>
    <s v="Community or public service units"/>
    <m/>
    <n v="100751"/>
    <x v="0"/>
    <m/>
    <m/>
    <m/>
    <m/>
    <m/>
    <m/>
    <m/>
    <m/>
    <n v="0"/>
    <m/>
    <m/>
    <n v="0"/>
    <n v="0"/>
    <n v="0"/>
    <m/>
    <m/>
    <m/>
    <m/>
    <n v="0"/>
    <m/>
    <m/>
    <n v="0"/>
    <m/>
    <m/>
    <m/>
    <m/>
    <m/>
    <m/>
    <n v="0"/>
    <n v="0"/>
  </r>
  <r>
    <x v="0"/>
    <x v="3"/>
    <s v="AL Center for Civic Life"/>
    <m/>
    <n v="100751"/>
    <x v="0"/>
    <m/>
    <m/>
    <n v="100000"/>
    <n v="95000"/>
    <m/>
    <m/>
    <m/>
    <m/>
    <n v="0"/>
    <m/>
    <m/>
    <n v="0"/>
    <n v="100000"/>
    <n v="95000"/>
    <m/>
    <m/>
    <m/>
    <m/>
    <n v="0"/>
    <m/>
    <m/>
    <n v="0"/>
    <m/>
    <m/>
    <m/>
    <m/>
    <m/>
    <m/>
    <n v="100000"/>
    <n v="95000"/>
  </r>
  <r>
    <x v="0"/>
    <x v="3"/>
    <s v="Small Business Institute of Commerce"/>
    <m/>
    <n v="100751"/>
    <x v="0"/>
    <m/>
    <m/>
    <n v="628000"/>
    <n v="596600"/>
    <m/>
    <m/>
    <m/>
    <m/>
    <n v="0"/>
    <m/>
    <m/>
    <n v="0"/>
    <n v="628000"/>
    <n v="596600"/>
    <m/>
    <m/>
    <m/>
    <m/>
    <n v="0"/>
    <m/>
    <m/>
    <n v="0"/>
    <m/>
    <m/>
    <m/>
    <m/>
    <m/>
    <m/>
    <n v="628000"/>
    <n v="596600"/>
  </r>
  <r>
    <x v="0"/>
    <x v="3"/>
    <s v="Special Outreach PGM"/>
    <m/>
    <n v="100751"/>
    <x v="0"/>
    <m/>
    <m/>
    <n v="100000"/>
    <n v="95000"/>
    <m/>
    <m/>
    <m/>
    <m/>
    <n v="0"/>
    <m/>
    <m/>
    <n v="0"/>
    <n v="100000"/>
    <n v="95000"/>
    <m/>
    <m/>
    <m/>
    <m/>
    <n v="0"/>
    <m/>
    <m/>
    <n v="0"/>
    <m/>
    <m/>
    <m/>
    <m/>
    <m/>
    <m/>
    <n v="100000"/>
    <n v="95000"/>
  </r>
  <r>
    <x v="0"/>
    <x v="3"/>
    <s v="Institute for Automotive Eng"/>
    <m/>
    <n v="100751"/>
    <x v="0"/>
    <m/>
    <m/>
    <m/>
    <n v="500000"/>
    <m/>
    <m/>
    <m/>
    <m/>
    <n v="0"/>
    <m/>
    <m/>
    <n v="0"/>
    <n v="0"/>
    <n v="500000"/>
    <m/>
    <m/>
    <m/>
    <m/>
    <n v="0"/>
    <m/>
    <m/>
    <n v="0"/>
    <m/>
    <m/>
    <m/>
    <m/>
    <m/>
    <m/>
    <n v="0"/>
    <n v="500000"/>
  </r>
  <r>
    <x v="0"/>
    <x v="4"/>
    <s v="Non-credit continuing education"/>
    <m/>
    <n v="100751"/>
    <x v="0"/>
    <m/>
    <m/>
    <m/>
    <m/>
    <m/>
    <m/>
    <m/>
    <m/>
    <n v="0"/>
    <m/>
    <m/>
    <n v="0"/>
    <n v="0"/>
    <n v="0"/>
    <m/>
    <m/>
    <m/>
    <m/>
    <n v="0"/>
    <m/>
    <m/>
    <n v="0"/>
    <m/>
    <m/>
    <m/>
    <m/>
    <m/>
    <m/>
    <n v="0"/>
    <n v="0"/>
  </r>
  <r>
    <x v="0"/>
    <x v="4"/>
    <s v="Teacher In-service Center"/>
    <m/>
    <n v="100751"/>
    <x v="0"/>
    <m/>
    <m/>
    <n v="212117"/>
    <n v="203625"/>
    <m/>
    <m/>
    <m/>
    <m/>
    <n v="0"/>
    <m/>
    <m/>
    <n v="0"/>
    <n v="212117"/>
    <n v="203625"/>
    <m/>
    <m/>
    <m/>
    <m/>
    <n v="0"/>
    <m/>
    <m/>
    <n v="0"/>
    <m/>
    <m/>
    <m/>
    <m/>
    <m/>
    <m/>
    <n v="212117"/>
    <n v="203625"/>
  </r>
  <r>
    <x v="0"/>
    <x v="0"/>
    <s v="University of Alabama at Birmingham"/>
    <s v="Reclassified: met the criteria for Four-Year 2 in 2010-11, 2011-12, and 2012-13."/>
    <n v="100663"/>
    <x v="1"/>
    <n v="42554811"/>
    <n v="40806599"/>
    <m/>
    <m/>
    <m/>
    <m/>
    <n v="95869785"/>
    <m/>
    <n v="95869785"/>
    <n v="104706983"/>
    <m/>
    <n v="104706983"/>
    <n v="138424596"/>
    <n v="145513582"/>
    <m/>
    <m/>
    <m/>
    <m/>
    <n v="0"/>
    <m/>
    <m/>
    <n v="0"/>
    <m/>
    <m/>
    <m/>
    <m/>
    <m/>
    <m/>
    <n v="138424596"/>
    <n v="145513582"/>
  </r>
  <r>
    <x v="0"/>
    <x v="1"/>
    <s v="Health Professions Education"/>
    <m/>
    <n v="100663"/>
    <x v="1"/>
    <m/>
    <m/>
    <m/>
    <m/>
    <m/>
    <m/>
    <m/>
    <m/>
    <n v="0"/>
    <m/>
    <m/>
    <n v="0"/>
    <n v="0"/>
    <n v="0"/>
    <m/>
    <m/>
    <m/>
    <m/>
    <n v="0"/>
    <m/>
    <m/>
    <n v="0"/>
    <m/>
    <m/>
    <m/>
    <m/>
    <m/>
    <m/>
    <n v="0"/>
    <n v="0"/>
  </r>
  <r>
    <x v="0"/>
    <x v="1"/>
    <s v="Medical Center"/>
    <m/>
    <n v="100663"/>
    <x v="1"/>
    <m/>
    <m/>
    <m/>
    <m/>
    <m/>
    <m/>
    <m/>
    <m/>
    <n v="0"/>
    <m/>
    <m/>
    <n v="0"/>
    <n v="0"/>
    <n v="0"/>
    <m/>
    <m/>
    <m/>
    <m/>
    <n v="0"/>
    <m/>
    <m/>
    <n v="0"/>
    <n v="222208183"/>
    <n v="213966590"/>
    <n v="65849803"/>
    <m/>
    <n v="70477128"/>
    <m/>
    <n v="288057986"/>
    <n v="284443718"/>
  </r>
  <r>
    <x v="0"/>
    <x v="1"/>
    <s v="Chauncey-Sparks Mental Health Center"/>
    <m/>
    <n v="100663"/>
    <x v="1"/>
    <m/>
    <m/>
    <m/>
    <m/>
    <m/>
    <m/>
    <m/>
    <m/>
    <n v="0"/>
    <m/>
    <m/>
    <n v="0"/>
    <n v="0"/>
    <n v="0"/>
    <m/>
    <m/>
    <m/>
    <m/>
    <n v="0"/>
    <m/>
    <m/>
    <n v="0"/>
    <n v="3406977"/>
    <n v="3236628"/>
    <m/>
    <m/>
    <m/>
    <m/>
    <n v="3406977"/>
    <n v="3236628"/>
  </r>
  <r>
    <x v="0"/>
    <x v="1"/>
    <s v="James Cystic Fibrosis Ctr"/>
    <m/>
    <n v="100663"/>
    <x v="1"/>
    <m/>
    <m/>
    <m/>
    <m/>
    <m/>
    <m/>
    <m/>
    <m/>
    <n v="0"/>
    <m/>
    <m/>
    <n v="0"/>
    <n v="0"/>
    <n v="0"/>
    <m/>
    <m/>
    <m/>
    <m/>
    <n v="0"/>
    <m/>
    <m/>
    <n v="0"/>
    <m/>
    <m/>
    <m/>
    <m/>
    <m/>
    <m/>
    <n v="0"/>
    <n v="0"/>
  </r>
  <r>
    <x v="0"/>
    <x v="1"/>
    <s v="Diabetes Res Ctr"/>
    <m/>
    <n v="100663"/>
    <x v="1"/>
    <m/>
    <m/>
    <m/>
    <m/>
    <m/>
    <m/>
    <m/>
    <m/>
    <n v="0"/>
    <m/>
    <m/>
    <n v="0"/>
    <n v="0"/>
    <n v="0"/>
    <m/>
    <m/>
    <m/>
    <m/>
    <n v="0"/>
    <m/>
    <m/>
    <n v="0"/>
    <m/>
    <m/>
    <m/>
    <m/>
    <m/>
    <m/>
    <n v="0"/>
    <n v="0"/>
  </r>
  <r>
    <x v="0"/>
    <x v="3"/>
    <s v="Community or public service units"/>
    <m/>
    <n v="100663"/>
    <x v="1"/>
    <m/>
    <m/>
    <m/>
    <m/>
    <m/>
    <m/>
    <m/>
    <m/>
    <n v="0"/>
    <m/>
    <m/>
    <n v="0"/>
    <n v="0"/>
    <n v="0"/>
    <m/>
    <m/>
    <m/>
    <m/>
    <n v="0"/>
    <m/>
    <m/>
    <n v="0"/>
    <m/>
    <m/>
    <m/>
    <m/>
    <m/>
    <m/>
    <n v="0"/>
    <n v="0"/>
  </r>
  <r>
    <x v="0"/>
    <x v="3"/>
    <s v="Minority Bus Training Econ Dev Pgm"/>
    <m/>
    <n v="100663"/>
    <x v="1"/>
    <m/>
    <m/>
    <n v="396287"/>
    <n v="376473"/>
    <m/>
    <m/>
    <m/>
    <m/>
    <n v="0"/>
    <m/>
    <m/>
    <n v="0"/>
    <n v="396287"/>
    <n v="376473"/>
    <m/>
    <m/>
    <m/>
    <m/>
    <n v="0"/>
    <m/>
    <m/>
    <n v="0"/>
    <m/>
    <m/>
    <m/>
    <m/>
    <m/>
    <m/>
    <n v="396287"/>
    <n v="376473"/>
  </r>
  <r>
    <x v="0"/>
    <x v="3"/>
    <s v="High School Athletic Training Pgm"/>
    <m/>
    <n v="100663"/>
    <x v="1"/>
    <m/>
    <m/>
    <m/>
    <m/>
    <m/>
    <m/>
    <m/>
    <m/>
    <n v="0"/>
    <m/>
    <m/>
    <n v="0"/>
    <n v="0"/>
    <n v="0"/>
    <m/>
    <m/>
    <m/>
    <m/>
    <n v="0"/>
    <m/>
    <m/>
    <n v="0"/>
    <m/>
    <m/>
    <m/>
    <m/>
    <m/>
    <m/>
    <n v="0"/>
    <n v="0"/>
  </r>
  <r>
    <x v="0"/>
    <x v="4"/>
    <s v="Non-credit continuing education"/>
    <m/>
    <n v="100663"/>
    <x v="1"/>
    <m/>
    <m/>
    <m/>
    <m/>
    <m/>
    <m/>
    <m/>
    <m/>
    <n v="0"/>
    <m/>
    <m/>
    <n v="0"/>
    <n v="0"/>
    <n v="0"/>
    <m/>
    <m/>
    <m/>
    <m/>
    <n v="0"/>
    <m/>
    <m/>
    <n v="0"/>
    <m/>
    <m/>
    <m/>
    <m/>
    <m/>
    <m/>
    <n v="0"/>
    <n v="0"/>
  </r>
  <r>
    <x v="0"/>
    <x v="4"/>
    <s v="Teacher In-service Center"/>
    <m/>
    <n v="100663"/>
    <x v="1"/>
    <m/>
    <m/>
    <n v="293609"/>
    <n v="281923"/>
    <m/>
    <m/>
    <m/>
    <m/>
    <n v="0"/>
    <m/>
    <m/>
    <n v="0"/>
    <n v="293609"/>
    <n v="281923"/>
    <m/>
    <m/>
    <m/>
    <m/>
    <n v="0"/>
    <m/>
    <m/>
    <n v="0"/>
    <m/>
    <m/>
    <m/>
    <m/>
    <m/>
    <m/>
    <n v="293609"/>
    <n v="281923"/>
  </r>
  <r>
    <x v="0"/>
    <x v="0"/>
    <s v="University of Alabama in Huntsville"/>
    <m/>
    <n v="100706"/>
    <x v="1"/>
    <n v="43240587"/>
    <n v="42710964"/>
    <m/>
    <m/>
    <m/>
    <m/>
    <n v="67858529"/>
    <n v="360000"/>
    <n v="68218529"/>
    <n v="67105645"/>
    <n v="1080000"/>
    <n v="68185645"/>
    <n v="111099116"/>
    <n v="109816609"/>
    <m/>
    <m/>
    <m/>
    <m/>
    <n v="0"/>
    <m/>
    <m/>
    <n v="0"/>
    <m/>
    <m/>
    <m/>
    <m/>
    <m/>
    <m/>
    <n v="111099116"/>
    <n v="109816609"/>
  </r>
  <r>
    <x v="0"/>
    <x v="3"/>
    <s v="Community or public service units"/>
    <m/>
    <n v="100706"/>
    <x v="1"/>
    <m/>
    <m/>
    <m/>
    <m/>
    <m/>
    <m/>
    <m/>
    <m/>
    <n v="0"/>
    <m/>
    <m/>
    <n v="0"/>
    <n v="0"/>
    <n v="0"/>
    <m/>
    <m/>
    <m/>
    <m/>
    <n v="0"/>
    <m/>
    <m/>
    <n v="0"/>
    <m/>
    <m/>
    <m/>
    <m/>
    <m/>
    <m/>
    <n v="0"/>
    <n v="0"/>
  </r>
  <r>
    <x v="0"/>
    <x v="3"/>
    <s v="Climatology Prg"/>
    <m/>
    <n v="100706"/>
    <x v="1"/>
    <m/>
    <m/>
    <m/>
    <m/>
    <m/>
    <m/>
    <m/>
    <m/>
    <n v="0"/>
    <m/>
    <m/>
    <n v="0"/>
    <n v="0"/>
    <n v="0"/>
    <m/>
    <m/>
    <m/>
    <m/>
    <n v="0"/>
    <m/>
    <m/>
    <n v="0"/>
    <m/>
    <m/>
    <m/>
    <m/>
    <m/>
    <m/>
    <n v="0"/>
    <n v="0"/>
  </r>
  <r>
    <x v="0"/>
    <x v="0"/>
    <s v="Alabama Agricultural &amp; Mechanical University"/>
    <m/>
    <n v="100654"/>
    <x v="2"/>
    <n v="32367945"/>
    <n v="31573227"/>
    <m/>
    <m/>
    <m/>
    <m/>
    <n v="44596338"/>
    <n v="2516675"/>
    <n v="47113013"/>
    <n v="47400355"/>
    <n v="2516675"/>
    <n v="49917030"/>
    <n v="76964283"/>
    <n v="78973582"/>
    <m/>
    <m/>
    <m/>
    <m/>
    <n v="0"/>
    <m/>
    <m/>
    <n v="0"/>
    <m/>
    <m/>
    <m/>
    <m/>
    <m/>
    <m/>
    <n v="76964283"/>
    <n v="78973582"/>
  </r>
  <r>
    <x v="0"/>
    <x v="3"/>
    <s v="Community or public service units"/>
    <m/>
    <n v="100654"/>
    <x v="2"/>
    <m/>
    <m/>
    <m/>
    <m/>
    <m/>
    <m/>
    <m/>
    <m/>
    <n v="0"/>
    <m/>
    <m/>
    <n v="0"/>
    <n v="0"/>
    <n v="0"/>
    <m/>
    <m/>
    <m/>
    <m/>
    <n v="0"/>
    <m/>
    <m/>
    <n v="0"/>
    <m/>
    <m/>
    <m/>
    <m/>
    <m/>
    <m/>
    <n v="0"/>
    <n v="0"/>
  </r>
  <r>
    <x v="0"/>
    <x v="3"/>
    <s v="Black Archives Museum"/>
    <m/>
    <n v="100654"/>
    <x v="2"/>
    <m/>
    <m/>
    <m/>
    <m/>
    <m/>
    <m/>
    <m/>
    <m/>
    <n v="0"/>
    <m/>
    <m/>
    <n v="0"/>
    <n v="0"/>
    <n v="0"/>
    <m/>
    <m/>
    <m/>
    <m/>
    <n v="0"/>
    <m/>
    <m/>
    <n v="0"/>
    <m/>
    <m/>
    <m/>
    <m/>
    <m/>
    <m/>
    <n v="0"/>
    <n v="0"/>
  </r>
  <r>
    <x v="0"/>
    <x v="4"/>
    <s v="Non-credit continuing education"/>
    <m/>
    <n v="100654"/>
    <x v="2"/>
    <m/>
    <m/>
    <m/>
    <m/>
    <m/>
    <m/>
    <m/>
    <m/>
    <n v="0"/>
    <m/>
    <m/>
    <n v="0"/>
    <n v="0"/>
    <n v="0"/>
    <m/>
    <m/>
    <m/>
    <m/>
    <n v="0"/>
    <m/>
    <m/>
    <n v="0"/>
    <m/>
    <m/>
    <m/>
    <m/>
    <m/>
    <m/>
    <n v="0"/>
    <n v="0"/>
  </r>
  <r>
    <x v="0"/>
    <x v="4"/>
    <s v="Teacher In-service Center"/>
    <m/>
    <n v="100654"/>
    <x v="2"/>
    <m/>
    <m/>
    <n v="267596"/>
    <n v="256858"/>
    <m/>
    <m/>
    <m/>
    <m/>
    <n v="0"/>
    <m/>
    <m/>
    <n v="0"/>
    <n v="267596"/>
    <n v="256858"/>
    <m/>
    <m/>
    <m/>
    <m/>
    <n v="0"/>
    <m/>
    <m/>
    <n v="0"/>
    <m/>
    <m/>
    <m/>
    <m/>
    <m/>
    <m/>
    <n v="267596"/>
    <n v="256858"/>
  </r>
  <r>
    <x v="0"/>
    <x v="5"/>
    <s v="Agricultural"/>
    <m/>
    <n v="100654"/>
    <x v="2"/>
    <m/>
    <m/>
    <n v="5427434"/>
    <n v="5215567"/>
    <m/>
    <m/>
    <m/>
    <m/>
    <n v="0"/>
    <m/>
    <m/>
    <n v="0"/>
    <n v="5427434"/>
    <n v="5215567"/>
    <m/>
    <m/>
    <m/>
    <m/>
    <n v="0"/>
    <m/>
    <m/>
    <n v="0"/>
    <m/>
    <m/>
    <m/>
    <m/>
    <m/>
    <m/>
    <n v="5427434"/>
    <n v="5215567"/>
  </r>
  <r>
    <x v="0"/>
    <x v="5"/>
    <s v="AL Agricultural LG Alliance"/>
    <m/>
    <n v="100654"/>
    <x v="2"/>
    <m/>
    <m/>
    <n v="2205658"/>
    <n v="2153416"/>
    <m/>
    <m/>
    <m/>
    <m/>
    <n v="0"/>
    <m/>
    <m/>
    <n v="0"/>
    <n v="2205658"/>
    <n v="2153416"/>
    <m/>
    <m/>
    <m/>
    <m/>
    <n v="0"/>
    <m/>
    <m/>
    <n v="0"/>
    <m/>
    <m/>
    <m/>
    <m/>
    <m/>
    <m/>
    <n v="2205658"/>
    <n v="2153416"/>
  </r>
  <r>
    <x v="0"/>
    <x v="0"/>
    <s v="Jacksonville State University "/>
    <m/>
    <n v="101480"/>
    <x v="2"/>
    <n v="36043099"/>
    <n v="34601375"/>
    <m/>
    <m/>
    <m/>
    <m/>
    <n v="56136566"/>
    <n v="5615957"/>
    <n v="61752523"/>
    <n v="57666467"/>
    <n v="6134961"/>
    <n v="63801428"/>
    <n v="92179665"/>
    <n v="92267842"/>
    <m/>
    <m/>
    <m/>
    <m/>
    <n v="0"/>
    <m/>
    <m/>
    <n v="0"/>
    <m/>
    <m/>
    <m/>
    <m/>
    <m/>
    <m/>
    <n v="92179665"/>
    <n v="92267842"/>
  </r>
  <r>
    <x v="0"/>
    <x v="3"/>
    <s v="Community or public service units"/>
    <m/>
    <n v="101480"/>
    <x v="2"/>
    <m/>
    <m/>
    <m/>
    <m/>
    <m/>
    <m/>
    <m/>
    <m/>
    <n v="0"/>
    <m/>
    <m/>
    <n v="0"/>
    <n v="0"/>
    <n v="0"/>
    <m/>
    <m/>
    <m/>
    <m/>
    <n v="0"/>
    <m/>
    <m/>
    <n v="0"/>
    <m/>
    <m/>
    <m/>
    <m/>
    <m/>
    <m/>
    <n v="0"/>
    <n v="0"/>
  </r>
  <r>
    <x v="0"/>
    <x v="3"/>
    <s v="AL Small Business Institute of Commerce"/>
    <m/>
    <n v="101480"/>
    <x v="2"/>
    <m/>
    <m/>
    <m/>
    <m/>
    <m/>
    <m/>
    <m/>
    <m/>
    <n v="0"/>
    <m/>
    <m/>
    <n v="0"/>
    <n v="0"/>
    <n v="0"/>
    <m/>
    <m/>
    <m/>
    <m/>
    <n v="0"/>
    <m/>
    <m/>
    <n v="0"/>
    <m/>
    <m/>
    <m/>
    <m/>
    <m/>
    <m/>
    <n v="0"/>
    <n v="0"/>
  </r>
  <r>
    <x v="0"/>
    <x v="3"/>
    <s v="Wellness Initiative"/>
    <m/>
    <n v="101480"/>
    <x v="2"/>
    <m/>
    <m/>
    <m/>
    <m/>
    <m/>
    <m/>
    <m/>
    <m/>
    <n v="0"/>
    <m/>
    <m/>
    <n v="0"/>
    <n v="0"/>
    <n v="0"/>
    <m/>
    <m/>
    <m/>
    <m/>
    <n v="0"/>
    <m/>
    <m/>
    <n v="0"/>
    <m/>
    <m/>
    <m/>
    <m/>
    <m/>
    <m/>
    <n v="0"/>
    <n v="0"/>
  </r>
  <r>
    <x v="0"/>
    <x v="3"/>
    <s v="Little River Canyon Field School"/>
    <m/>
    <n v="101480"/>
    <x v="2"/>
    <m/>
    <m/>
    <n v="198140"/>
    <n v="188233"/>
    <m/>
    <m/>
    <m/>
    <m/>
    <n v="0"/>
    <m/>
    <m/>
    <n v="0"/>
    <n v="198140"/>
    <n v="188233"/>
    <m/>
    <m/>
    <m/>
    <m/>
    <n v="0"/>
    <m/>
    <m/>
    <n v="0"/>
    <m/>
    <m/>
    <m/>
    <m/>
    <m/>
    <m/>
    <n v="198140"/>
    <n v="188233"/>
  </r>
  <r>
    <x v="0"/>
    <x v="3"/>
    <s v="AL Film Initiative"/>
    <m/>
    <n v="101480"/>
    <x v="2"/>
    <m/>
    <m/>
    <n v="448625"/>
    <n v="426194"/>
    <m/>
    <m/>
    <m/>
    <m/>
    <n v="0"/>
    <m/>
    <m/>
    <n v="0"/>
    <n v="448625"/>
    <n v="426194"/>
    <m/>
    <m/>
    <m/>
    <m/>
    <n v="0"/>
    <m/>
    <m/>
    <n v="0"/>
    <m/>
    <m/>
    <m/>
    <m/>
    <m/>
    <m/>
    <n v="448625"/>
    <n v="426194"/>
  </r>
  <r>
    <x v="0"/>
    <x v="3"/>
    <s v="AL Scenic River Trail"/>
    <m/>
    <n v="101480"/>
    <x v="2"/>
    <m/>
    <m/>
    <m/>
    <n v="100000"/>
    <m/>
    <m/>
    <m/>
    <m/>
    <n v="0"/>
    <m/>
    <m/>
    <n v="0"/>
    <n v="0"/>
    <n v="100000"/>
    <m/>
    <m/>
    <m/>
    <m/>
    <n v="0"/>
    <m/>
    <m/>
    <n v="0"/>
    <m/>
    <m/>
    <m/>
    <m/>
    <m/>
    <m/>
    <n v="0"/>
    <n v="100000"/>
  </r>
  <r>
    <x v="0"/>
    <x v="4"/>
    <s v="Non-credit continuing education"/>
    <m/>
    <n v="101480"/>
    <x v="2"/>
    <m/>
    <m/>
    <m/>
    <m/>
    <m/>
    <m/>
    <m/>
    <m/>
    <n v="0"/>
    <m/>
    <m/>
    <n v="0"/>
    <n v="0"/>
    <n v="0"/>
    <m/>
    <m/>
    <m/>
    <m/>
    <n v="0"/>
    <m/>
    <m/>
    <n v="0"/>
    <m/>
    <m/>
    <m/>
    <m/>
    <m/>
    <m/>
    <n v="0"/>
    <n v="0"/>
  </r>
  <r>
    <x v="0"/>
    <x v="4"/>
    <s v="Teacher In-service Center"/>
    <m/>
    <n v="101480"/>
    <x v="2"/>
    <m/>
    <m/>
    <n v="227860"/>
    <n v="218872"/>
    <m/>
    <m/>
    <m/>
    <m/>
    <n v="0"/>
    <m/>
    <m/>
    <n v="0"/>
    <n v="227860"/>
    <n v="218872"/>
    <m/>
    <m/>
    <m/>
    <m/>
    <n v="0"/>
    <m/>
    <m/>
    <n v="0"/>
    <m/>
    <m/>
    <m/>
    <m/>
    <m/>
    <m/>
    <n v="227860"/>
    <n v="218872"/>
  </r>
  <r>
    <x v="0"/>
    <x v="0"/>
    <s v="Troy University"/>
    <m/>
    <n v="102368"/>
    <x v="2"/>
    <n v="46236179"/>
    <n v="44635439"/>
    <m/>
    <m/>
    <m/>
    <m/>
    <n v="68000788"/>
    <n v="9907146"/>
    <n v="77907934"/>
    <n v="77243827"/>
    <n v="9894362"/>
    <n v="87138189"/>
    <n v="114236967"/>
    <n v="121879266"/>
    <m/>
    <m/>
    <m/>
    <m/>
    <n v="0"/>
    <m/>
    <m/>
    <n v="0"/>
    <m/>
    <m/>
    <m/>
    <m/>
    <m/>
    <m/>
    <n v="114236967"/>
    <n v="121879266"/>
  </r>
  <r>
    <x v="0"/>
    <x v="3"/>
    <s v="Community or public service units"/>
    <m/>
    <n v="102368"/>
    <x v="2"/>
    <m/>
    <m/>
    <m/>
    <m/>
    <m/>
    <m/>
    <m/>
    <m/>
    <n v="0"/>
    <m/>
    <m/>
    <n v="0"/>
    <n v="0"/>
    <n v="0"/>
    <m/>
    <m/>
    <m/>
    <m/>
    <n v="0"/>
    <m/>
    <m/>
    <n v="0"/>
    <m/>
    <m/>
    <m/>
    <m/>
    <m/>
    <m/>
    <n v="0"/>
    <n v="0"/>
  </r>
  <r>
    <x v="0"/>
    <x v="3"/>
    <s v="Ctr for International Bus &amp; Econ Development"/>
    <m/>
    <n v="102368"/>
    <x v="2"/>
    <m/>
    <m/>
    <n v="39628"/>
    <n v="37647"/>
    <m/>
    <m/>
    <m/>
    <m/>
    <n v="0"/>
    <m/>
    <m/>
    <n v="0"/>
    <n v="39628"/>
    <n v="37647"/>
    <m/>
    <m/>
    <m/>
    <m/>
    <n v="0"/>
    <m/>
    <m/>
    <n v="0"/>
    <m/>
    <m/>
    <m/>
    <m/>
    <m/>
    <m/>
    <n v="39628"/>
    <n v="37647"/>
  </r>
  <r>
    <x v="0"/>
    <x v="3"/>
    <s v="Transfer Ag Center Board"/>
    <m/>
    <n v="102368"/>
    <x v="2"/>
    <m/>
    <m/>
    <m/>
    <n v="250000"/>
    <m/>
    <m/>
    <m/>
    <m/>
    <n v="0"/>
    <m/>
    <m/>
    <n v="0"/>
    <n v="0"/>
    <n v="250000"/>
    <m/>
    <m/>
    <m/>
    <m/>
    <n v="0"/>
    <m/>
    <m/>
    <n v="0"/>
    <m/>
    <m/>
    <m/>
    <m/>
    <m/>
    <m/>
    <n v="0"/>
    <n v="250000"/>
  </r>
  <r>
    <x v="0"/>
    <x v="4"/>
    <s v="Non-credit continuing education"/>
    <m/>
    <n v="102368"/>
    <x v="2"/>
    <m/>
    <m/>
    <m/>
    <m/>
    <m/>
    <m/>
    <m/>
    <m/>
    <n v="0"/>
    <m/>
    <m/>
    <n v="0"/>
    <n v="0"/>
    <n v="0"/>
    <m/>
    <m/>
    <m/>
    <m/>
    <n v="0"/>
    <m/>
    <m/>
    <n v="0"/>
    <m/>
    <m/>
    <m/>
    <m/>
    <m/>
    <m/>
    <n v="0"/>
    <n v="0"/>
  </r>
  <r>
    <x v="0"/>
    <x v="4"/>
    <s v="Teacher In-service Center"/>
    <m/>
    <n v="102368"/>
    <x v="2"/>
    <m/>
    <m/>
    <n v="242043"/>
    <n v="232309"/>
    <m/>
    <m/>
    <m/>
    <m/>
    <n v="0"/>
    <m/>
    <m/>
    <n v="0"/>
    <n v="242043"/>
    <n v="232309"/>
    <m/>
    <m/>
    <m/>
    <m/>
    <n v="0"/>
    <m/>
    <m/>
    <n v="0"/>
    <m/>
    <m/>
    <m/>
    <m/>
    <m/>
    <m/>
    <n v="242043"/>
    <n v="232309"/>
  </r>
  <r>
    <x v="0"/>
    <x v="0"/>
    <s v="University of South Alabama"/>
    <m/>
    <n v="102094"/>
    <x v="2"/>
    <n v="30596650"/>
    <n v="29161818"/>
    <m/>
    <m/>
    <m/>
    <m/>
    <n v="57036781"/>
    <n v="13718456"/>
    <n v="70755237"/>
    <n v="58299724"/>
    <n v="14022219"/>
    <n v="72321943"/>
    <n v="87633431"/>
    <n v="87461542"/>
    <m/>
    <m/>
    <m/>
    <m/>
    <n v="0"/>
    <m/>
    <m/>
    <n v="0"/>
    <m/>
    <m/>
    <m/>
    <m/>
    <m/>
    <m/>
    <n v="87633431"/>
    <n v="87461542"/>
  </r>
  <r>
    <x v="0"/>
    <x v="1"/>
    <s v="Health Professions Education"/>
    <m/>
    <n v="102094"/>
    <x v="2"/>
    <m/>
    <m/>
    <m/>
    <m/>
    <m/>
    <m/>
    <m/>
    <m/>
    <n v="0"/>
    <m/>
    <m/>
    <n v="0"/>
    <n v="0"/>
    <n v="0"/>
    <m/>
    <m/>
    <m/>
    <m/>
    <n v="0"/>
    <m/>
    <m/>
    <n v="0"/>
    <m/>
    <m/>
    <m/>
    <m/>
    <m/>
    <m/>
    <n v="0"/>
    <n v="0"/>
  </r>
  <r>
    <x v="0"/>
    <x v="1"/>
    <s v="Medical Center"/>
    <m/>
    <n v="102094"/>
    <x v="2"/>
    <m/>
    <m/>
    <m/>
    <m/>
    <m/>
    <m/>
    <m/>
    <m/>
    <n v="0"/>
    <m/>
    <m/>
    <n v="0"/>
    <n v="0"/>
    <n v="0"/>
    <m/>
    <m/>
    <m/>
    <m/>
    <n v="0"/>
    <m/>
    <m/>
    <n v="0"/>
    <n v="74794021"/>
    <n v="72133226"/>
    <n v="39556684"/>
    <m/>
    <n v="40432573"/>
    <m/>
    <n v="114350705"/>
    <n v="112565799"/>
  </r>
  <r>
    <x v="0"/>
    <x v="4"/>
    <s v="Non-credit continuing education"/>
    <m/>
    <n v="102094"/>
    <x v="2"/>
    <m/>
    <m/>
    <m/>
    <m/>
    <m/>
    <m/>
    <m/>
    <m/>
    <n v="0"/>
    <m/>
    <m/>
    <n v="0"/>
    <n v="0"/>
    <n v="0"/>
    <m/>
    <m/>
    <m/>
    <m/>
    <n v="0"/>
    <m/>
    <m/>
    <n v="0"/>
    <m/>
    <m/>
    <m/>
    <m/>
    <m/>
    <m/>
    <n v="0"/>
    <n v="0"/>
  </r>
  <r>
    <x v="0"/>
    <x v="4"/>
    <s v="Teacher In-service Center"/>
    <m/>
    <n v="102094"/>
    <x v="2"/>
    <m/>
    <m/>
    <n v="314887"/>
    <n v="302337"/>
    <m/>
    <m/>
    <m/>
    <m/>
    <n v="0"/>
    <m/>
    <m/>
    <n v="0"/>
    <n v="314887"/>
    <n v="302337"/>
    <m/>
    <m/>
    <m/>
    <m/>
    <n v="0"/>
    <m/>
    <m/>
    <n v="0"/>
    <m/>
    <m/>
    <m/>
    <m/>
    <m/>
    <m/>
    <n v="314887"/>
    <n v="302337"/>
  </r>
  <r>
    <x v="0"/>
    <x v="0"/>
    <s v="Alabama State University "/>
    <m/>
    <n v="100724"/>
    <x v="3"/>
    <n v="42611872"/>
    <n v="40907397"/>
    <m/>
    <m/>
    <m/>
    <m/>
    <n v="40234483"/>
    <n v="12341540"/>
    <n v="52576023"/>
    <n v="42111543"/>
    <n v="16141000"/>
    <n v="58252543"/>
    <n v="82846355"/>
    <n v="83018940"/>
    <m/>
    <m/>
    <m/>
    <m/>
    <n v="0"/>
    <m/>
    <m/>
    <n v="0"/>
    <m/>
    <m/>
    <m/>
    <m/>
    <m/>
    <m/>
    <n v="82846355"/>
    <n v="83018940"/>
  </r>
  <r>
    <x v="0"/>
    <x v="3"/>
    <s v="Community or public service units"/>
    <m/>
    <n v="100724"/>
    <x v="3"/>
    <m/>
    <m/>
    <m/>
    <m/>
    <m/>
    <m/>
    <m/>
    <m/>
    <n v="0"/>
    <m/>
    <m/>
    <n v="0"/>
    <n v="0"/>
    <n v="0"/>
    <m/>
    <m/>
    <m/>
    <m/>
    <n v="0"/>
    <m/>
    <m/>
    <n v="0"/>
    <m/>
    <m/>
    <m/>
    <m/>
    <m/>
    <m/>
    <n v="0"/>
    <n v="0"/>
  </r>
  <r>
    <x v="0"/>
    <x v="3"/>
    <s v="Cooperative Efforts to Enhance Community Ed Institute"/>
    <m/>
    <n v="100724"/>
    <x v="3"/>
    <m/>
    <m/>
    <m/>
    <m/>
    <m/>
    <m/>
    <m/>
    <m/>
    <n v="0"/>
    <m/>
    <m/>
    <n v="0"/>
    <n v="0"/>
    <n v="0"/>
    <m/>
    <m/>
    <m/>
    <m/>
    <n v="0"/>
    <m/>
    <m/>
    <n v="0"/>
    <m/>
    <m/>
    <m/>
    <m/>
    <m/>
    <m/>
    <n v="0"/>
    <n v="0"/>
  </r>
  <r>
    <x v="0"/>
    <x v="3"/>
    <s v="Minority Technology Network"/>
    <m/>
    <n v="100724"/>
    <x v="3"/>
    <m/>
    <m/>
    <m/>
    <m/>
    <m/>
    <m/>
    <m/>
    <m/>
    <n v="0"/>
    <m/>
    <m/>
    <n v="0"/>
    <n v="0"/>
    <n v="0"/>
    <m/>
    <m/>
    <m/>
    <m/>
    <n v="0"/>
    <m/>
    <m/>
    <n v="0"/>
    <m/>
    <m/>
    <m/>
    <m/>
    <m/>
    <m/>
    <n v="0"/>
    <n v="0"/>
  </r>
  <r>
    <x v="0"/>
    <x v="4"/>
    <s v="Non-credit continuing education"/>
    <m/>
    <n v="100724"/>
    <x v="3"/>
    <m/>
    <m/>
    <m/>
    <m/>
    <m/>
    <m/>
    <m/>
    <m/>
    <n v="0"/>
    <m/>
    <m/>
    <n v="0"/>
    <n v="0"/>
    <n v="0"/>
    <m/>
    <m/>
    <m/>
    <m/>
    <n v="0"/>
    <m/>
    <m/>
    <n v="0"/>
    <m/>
    <m/>
    <m/>
    <m/>
    <m/>
    <m/>
    <n v="0"/>
    <n v="0"/>
  </r>
  <r>
    <x v="0"/>
    <x v="4"/>
    <s v="Teacher In-service Center"/>
    <m/>
    <n v="100724"/>
    <x v="3"/>
    <m/>
    <m/>
    <n v="230610"/>
    <n v="221456"/>
    <m/>
    <m/>
    <m/>
    <m/>
    <n v="0"/>
    <m/>
    <m/>
    <n v="0"/>
    <n v="230610"/>
    <n v="221456"/>
    <m/>
    <m/>
    <m/>
    <m/>
    <n v="0"/>
    <m/>
    <m/>
    <n v="0"/>
    <m/>
    <m/>
    <m/>
    <m/>
    <m/>
    <m/>
    <n v="230610"/>
    <n v="221456"/>
  </r>
  <r>
    <x v="0"/>
    <x v="0"/>
    <s v="Auburn University at Montgomery"/>
    <m/>
    <n v="100830"/>
    <x v="3"/>
    <n v="22742448"/>
    <n v="21832750"/>
    <m/>
    <m/>
    <m/>
    <m/>
    <n v="31986856"/>
    <n v="4446297"/>
    <n v="36433153"/>
    <n v="31501935"/>
    <n v="5018699"/>
    <n v="36520634"/>
    <n v="54729304"/>
    <n v="53334685"/>
    <m/>
    <m/>
    <m/>
    <m/>
    <n v="0"/>
    <m/>
    <m/>
    <n v="0"/>
    <m/>
    <m/>
    <m/>
    <m/>
    <m/>
    <m/>
    <n v="54729304"/>
    <n v="53334685"/>
  </r>
  <r>
    <x v="0"/>
    <x v="3"/>
    <s v="Community or public service units"/>
    <m/>
    <n v="100830"/>
    <x v="3"/>
    <m/>
    <m/>
    <m/>
    <m/>
    <m/>
    <m/>
    <m/>
    <m/>
    <n v="0"/>
    <m/>
    <m/>
    <n v="0"/>
    <n v="0"/>
    <n v="0"/>
    <m/>
    <m/>
    <m/>
    <m/>
    <n v="0"/>
    <m/>
    <m/>
    <n v="0"/>
    <m/>
    <m/>
    <m/>
    <m/>
    <m/>
    <m/>
    <n v="0"/>
    <n v="0"/>
  </r>
  <r>
    <x v="0"/>
    <x v="3"/>
    <s v="S.E.R.I.E.S. Pgm"/>
    <m/>
    <n v="100830"/>
    <x v="3"/>
    <m/>
    <m/>
    <m/>
    <m/>
    <m/>
    <m/>
    <m/>
    <m/>
    <n v="0"/>
    <m/>
    <m/>
    <n v="0"/>
    <n v="0"/>
    <n v="0"/>
    <m/>
    <m/>
    <m/>
    <m/>
    <n v="0"/>
    <m/>
    <m/>
    <n v="0"/>
    <m/>
    <m/>
    <m/>
    <m/>
    <m/>
    <m/>
    <n v="0"/>
    <n v="0"/>
  </r>
  <r>
    <x v="0"/>
    <x v="3"/>
    <s v="Implementation of SMART Budgeting"/>
    <m/>
    <n v="100830"/>
    <x v="3"/>
    <m/>
    <m/>
    <m/>
    <m/>
    <m/>
    <m/>
    <m/>
    <m/>
    <n v="0"/>
    <m/>
    <m/>
    <n v="0"/>
    <n v="0"/>
    <n v="0"/>
    <m/>
    <m/>
    <m/>
    <m/>
    <n v="0"/>
    <m/>
    <m/>
    <n v="0"/>
    <m/>
    <m/>
    <m/>
    <m/>
    <m/>
    <m/>
    <n v="0"/>
    <n v="0"/>
  </r>
  <r>
    <x v="0"/>
    <x v="3"/>
    <s v="GAAT/CPM Prm"/>
    <m/>
    <n v="100830"/>
    <x v="3"/>
    <m/>
    <m/>
    <m/>
    <m/>
    <m/>
    <m/>
    <m/>
    <m/>
    <n v="0"/>
    <m/>
    <m/>
    <n v="0"/>
    <n v="0"/>
    <n v="0"/>
    <m/>
    <m/>
    <m/>
    <m/>
    <n v="0"/>
    <m/>
    <m/>
    <n v="0"/>
    <m/>
    <m/>
    <m/>
    <m/>
    <m/>
    <m/>
    <n v="0"/>
    <n v="0"/>
  </r>
  <r>
    <x v="0"/>
    <x v="3"/>
    <s v="Senior Resource Center"/>
    <m/>
    <n v="100830"/>
    <x v="3"/>
    <m/>
    <m/>
    <n v="120964"/>
    <n v="114915"/>
    <m/>
    <m/>
    <m/>
    <m/>
    <n v="0"/>
    <m/>
    <m/>
    <n v="0"/>
    <n v="120964"/>
    <n v="114915"/>
    <m/>
    <m/>
    <m/>
    <m/>
    <n v="0"/>
    <m/>
    <m/>
    <n v="0"/>
    <m/>
    <m/>
    <m/>
    <m/>
    <m/>
    <m/>
    <n v="120964"/>
    <n v="114915"/>
  </r>
  <r>
    <x v="0"/>
    <x v="3"/>
    <s v="Judicial College"/>
    <m/>
    <n v="100830"/>
    <x v="3"/>
    <m/>
    <m/>
    <m/>
    <m/>
    <m/>
    <m/>
    <m/>
    <m/>
    <n v="0"/>
    <m/>
    <m/>
    <n v="0"/>
    <n v="0"/>
    <n v="0"/>
    <m/>
    <m/>
    <m/>
    <m/>
    <n v="0"/>
    <m/>
    <m/>
    <n v="0"/>
    <m/>
    <m/>
    <m/>
    <m/>
    <m/>
    <m/>
    <n v="0"/>
    <n v="0"/>
  </r>
  <r>
    <x v="0"/>
    <x v="0"/>
    <s v="University of North Alabama"/>
    <m/>
    <n v="101879"/>
    <x v="3"/>
    <n v="25796342"/>
    <n v="24764488"/>
    <m/>
    <m/>
    <m/>
    <m/>
    <n v="42208202"/>
    <n v="1957541"/>
    <n v="44165743"/>
    <n v="44391408"/>
    <n v="1957541"/>
    <n v="46348949"/>
    <n v="68004544"/>
    <n v="69155896"/>
    <m/>
    <m/>
    <m/>
    <m/>
    <n v="0"/>
    <m/>
    <m/>
    <n v="0"/>
    <m/>
    <m/>
    <m/>
    <m/>
    <m/>
    <m/>
    <n v="68004544"/>
    <n v="69155896"/>
  </r>
  <r>
    <x v="0"/>
    <x v="4"/>
    <s v="Non-credit continuing education"/>
    <m/>
    <n v="101879"/>
    <x v="3"/>
    <m/>
    <m/>
    <m/>
    <m/>
    <m/>
    <m/>
    <m/>
    <m/>
    <n v="0"/>
    <m/>
    <m/>
    <n v="0"/>
    <n v="0"/>
    <n v="0"/>
    <m/>
    <m/>
    <m/>
    <m/>
    <n v="0"/>
    <m/>
    <m/>
    <n v="0"/>
    <m/>
    <m/>
    <m/>
    <m/>
    <m/>
    <m/>
    <n v="0"/>
    <n v="0"/>
  </r>
  <r>
    <x v="0"/>
    <x v="4"/>
    <s v="Teacher In-service Center"/>
    <m/>
    <n v="101879"/>
    <x v="3"/>
    <m/>
    <m/>
    <n v="207330"/>
    <n v="198974"/>
    <m/>
    <m/>
    <m/>
    <m/>
    <n v="0"/>
    <m/>
    <m/>
    <n v="0"/>
    <n v="207330"/>
    <n v="198974"/>
    <m/>
    <m/>
    <m/>
    <m/>
    <n v="0"/>
    <m/>
    <m/>
    <n v="0"/>
    <m/>
    <m/>
    <m/>
    <m/>
    <m/>
    <m/>
    <n v="207330"/>
    <n v="198974"/>
  </r>
  <r>
    <x v="0"/>
    <x v="0"/>
    <s v="University of Montevallo"/>
    <m/>
    <n v="101709"/>
    <x v="4"/>
    <n v="18282759"/>
    <n v="17551449"/>
    <m/>
    <m/>
    <m/>
    <m/>
    <n v="25321616"/>
    <m/>
    <n v="25321616"/>
    <n v="27257483"/>
    <m/>
    <n v="27257483"/>
    <n v="43604375"/>
    <n v="44808932"/>
    <m/>
    <m/>
    <m/>
    <m/>
    <n v="0"/>
    <m/>
    <m/>
    <n v="0"/>
    <m/>
    <m/>
    <m/>
    <m/>
    <m/>
    <m/>
    <n v="43604375"/>
    <n v="44808932"/>
  </r>
  <r>
    <x v="0"/>
    <x v="4"/>
    <s v="Non-credit continuing education"/>
    <m/>
    <n v="101709"/>
    <x v="4"/>
    <m/>
    <m/>
    <m/>
    <m/>
    <m/>
    <m/>
    <m/>
    <m/>
    <n v="0"/>
    <m/>
    <m/>
    <n v="0"/>
    <n v="0"/>
    <n v="0"/>
    <m/>
    <m/>
    <m/>
    <m/>
    <n v="0"/>
    <m/>
    <m/>
    <n v="0"/>
    <m/>
    <m/>
    <m/>
    <m/>
    <m/>
    <m/>
    <n v="0"/>
    <n v="0"/>
  </r>
  <r>
    <x v="0"/>
    <x v="4"/>
    <s v="Teacher In-service Center"/>
    <m/>
    <n v="101709"/>
    <x v="4"/>
    <m/>
    <m/>
    <n v="239469"/>
    <n v="229983"/>
    <m/>
    <m/>
    <m/>
    <m/>
    <n v="0"/>
    <m/>
    <m/>
    <n v="0"/>
    <n v="239469"/>
    <n v="229983"/>
    <m/>
    <m/>
    <m/>
    <m/>
    <n v="0"/>
    <m/>
    <m/>
    <n v="0"/>
    <m/>
    <m/>
    <m/>
    <m/>
    <m/>
    <m/>
    <n v="239469"/>
    <n v="229983"/>
  </r>
  <r>
    <x v="0"/>
    <x v="0"/>
    <s v="University of West Alabama"/>
    <m/>
    <n v="101587"/>
    <x v="4"/>
    <n v="12629858"/>
    <n v="12224664"/>
    <m/>
    <m/>
    <m/>
    <m/>
    <n v="10940142"/>
    <m/>
    <n v="10940142"/>
    <n v="12500691"/>
    <m/>
    <n v="12500691"/>
    <n v="23570000"/>
    <n v="24725355"/>
    <m/>
    <m/>
    <m/>
    <m/>
    <n v="0"/>
    <m/>
    <m/>
    <n v="0"/>
    <m/>
    <m/>
    <m/>
    <m/>
    <m/>
    <m/>
    <n v="23570000"/>
    <n v="24725355"/>
  </r>
  <r>
    <x v="0"/>
    <x v="3"/>
    <s v="Community or public service units"/>
    <m/>
    <n v="101587"/>
    <x v="4"/>
    <m/>
    <m/>
    <m/>
    <m/>
    <m/>
    <m/>
    <m/>
    <m/>
    <n v="0"/>
    <m/>
    <m/>
    <n v="0"/>
    <n v="0"/>
    <n v="0"/>
    <m/>
    <m/>
    <m/>
    <m/>
    <n v="0"/>
    <m/>
    <m/>
    <n v="0"/>
    <m/>
    <m/>
    <m/>
    <m/>
    <m/>
    <m/>
    <n v="0"/>
    <n v="0"/>
  </r>
  <r>
    <x v="0"/>
    <x v="3"/>
    <s v="AL Medical Ed Consortium"/>
    <m/>
    <n v="101587"/>
    <x v="4"/>
    <m/>
    <m/>
    <n v="690652"/>
    <n v="690652"/>
    <m/>
    <m/>
    <m/>
    <m/>
    <n v="0"/>
    <m/>
    <m/>
    <n v="0"/>
    <n v="690652"/>
    <n v="690652"/>
    <m/>
    <m/>
    <m/>
    <m/>
    <n v="0"/>
    <m/>
    <m/>
    <n v="0"/>
    <m/>
    <m/>
    <m/>
    <m/>
    <m/>
    <m/>
    <n v="690652"/>
    <n v="690652"/>
  </r>
  <r>
    <x v="0"/>
    <x v="3"/>
    <s v="Econ &amp; Small Bus Devel Prm"/>
    <m/>
    <n v="101587"/>
    <x v="4"/>
    <m/>
    <m/>
    <n v="198143"/>
    <n v="188236"/>
    <m/>
    <m/>
    <m/>
    <m/>
    <n v="0"/>
    <m/>
    <m/>
    <n v="0"/>
    <n v="198143"/>
    <n v="188236"/>
    <m/>
    <m/>
    <m/>
    <m/>
    <n v="0"/>
    <m/>
    <m/>
    <n v="0"/>
    <m/>
    <m/>
    <m/>
    <m/>
    <m/>
    <m/>
    <n v="198143"/>
    <n v="188236"/>
  </r>
  <r>
    <x v="0"/>
    <x v="3"/>
    <s v="Regional Wellness &amp; Fitness Center"/>
    <m/>
    <n v="101587"/>
    <x v="4"/>
    <m/>
    <m/>
    <m/>
    <m/>
    <m/>
    <m/>
    <m/>
    <m/>
    <n v="0"/>
    <m/>
    <m/>
    <n v="0"/>
    <n v="0"/>
    <n v="0"/>
    <m/>
    <m/>
    <m/>
    <m/>
    <n v="0"/>
    <m/>
    <m/>
    <n v="0"/>
    <m/>
    <m/>
    <m/>
    <m/>
    <m/>
    <m/>
    <n v="0"/>
    <n v="0"/>
  </r>
  <r>
    <x v="0"/>
    <x v="3"/>
    <s v="Black Belt Treasures Initiative"/>
    <m/>
    <n v="101587"/>
    <x v="4"/>
    <m/>
    <m/>
    <m/>
    <m/>
    <m/>
    <m/>
    <m/>
    <m/>
    <n v="0"/>
    <m/>
    <m/>
    <n v="0"/>
    <n v="0"/>
    <n v="0"/>
    <m/>
    <m/>
    <m/>
    <m/>
    <n v="0"/>
    <m/>
    <m/>
    <n v="0"/>
    <m/>
    <m/>
    <m/>
    <m/>
    <m/>
    <m/>
    <n v="0"/>
    <n v="0"/>
  </r>
  <r>
    <x v="0"/>
    <x v="3"/>
    <s v="National Young Farmers Ed Assoc"/>
    <m/>
    <n v="101587"/>
    <x v="4"/>
    <m/>
    <m/>
    <m/>
    <m/>
    <m/>
    <m/>
    <m/>
    <m/>
    <n v="0"/>
    <m/>
    <m/>
    <n v="0"/>
    <n v="0"/>
    <n v="0"/>
    <m/>
    <m/>
    <m/>
    <m/>
    <n v="0"/>
    <m/>
    <m/>
    <n v="0"/>
    <m/>
    <m/>
    <m/>
    <m/>
    <m/>
    <m/>
    <n v="0"/>
    <n v="0"/>
  </r>
  <r>
    <x v="0"/>
    <x v="3"/>
    <s v="Office of International Pgms"/>
    <m/>
    <n v="101587"/>
    <x v="4"/>
    <m/>
    <m/>
    <m/>
    <m/>
    <m/>
    <m/>
    <m/>
    <m/>
    <n v="0"/>
    <m/>
    <m/>
    <n v="0"/>
    <n v="0"/>
    <n v="0"/>
    <m/>
    <m/>
    <m/>
    <m/>
    <n v="0"/>
    <m/>
    <m/>
    <n v="0"/>
    <m/>
    <m/>
    <m/>
    <m/>
    <m/>
    <m/>
    <n v="0"/>
    <n v="0"/>
  </r>
  <r>
    <x v="0"/>
    <x v="0"/>
    <s v="Athens State University"/>
    <m/>
    <n v="100812"/>
    <x v="5"/>
    <n v="11523918"/>
    <n v="11178201"/>
    <m/>
    <m/>
    <m/>
    <m/>
    <n v="15345962"/>
    <n v="1300296"/>
    <n v="16646258"/>
    <n v="15917570"/>
    <n v="1300000"/>
    <n v="17217570"/>
    <n v="26869880"/>
    <n v="27095771"/>
    <m/>
    <m/>
    <m/>
    <m/>
    <n v="0"/>
    <m/>
    <m/>
    <n v="0"/>
    <m/>
    <m/>
    <m/>
    <m/>
    <m/>
    <m/>
    <n v="26869880"/>
    <n v="27095771"/>
  </r>
  <r>
    <x v="0"/>
    <x v="4"/>
    <s v="Non-credit continuing education"/>
    <m/>
    <n v="100812"/>
    <x v="5"/>
    <m/>
    <m/>
    <m/>
    <m/>
    <m/>
    <m/>
    <m/>
    <m/>
    <n v="0"/>
    <m/>
    <m/>
    <n v="0"/>
    <n v="0"/>
    <n v="0"/>
    <m/>
    <m/>
    <m/>
    <m/>
    <n v="0"/>
    <m/>
    <m/>
    <n v="0"/>
    <m/>
    <m/>
    <m/>
    <m/>
    <m/>
    <m/>
    <n v="0"/>
    <n v="0"/>
  </r>
  <r>
    <x v="0"/>
    <x v="4"/>
    <s v="Teacher In-service Center"/>
    <m/>
    <n v="100812"/>
    <x v="5"/>
    <m/>
    <m/>
    <n v="223546"/>
    <n v="214479"/>
    <m/>
    <m/>
    <m/>
    <m/>
    <n v="0"/>
    <m/>
    <m/>
    <n v="0"/>
    <n v="223546"/>
    <n v="214479"/>
    <m/>
    <m/>
    <m/>
    <m/>
    <n v="0"/>
    <m/>
    <m/>
    <n v="0"/>
    <m/>
    <m/>
    <m/>
    <m/>
    <m/>
    <m/>
    <n v="223546"/>
    <n v="214479"/>
  </r>
  <r>
    <x v="0"/>
    <x v="0"/>
    <s v="Gadsden State Community College"/>
    <m/>
    <n v="101240"/>
    <x v="6"/>
    <n v="23081333"/>
    <n v="22256374"/>
    <m/>
    <m/>
    <n v="0"/>
    <n v="700000"/>
    <n v="18087037.780000001"/>
    <n v="1772225.06"/>
    <n v="19859262.84"/>
    <n v="18289191"/>
    <n v="1063810"/>
    <n v="19353001"/>
    <n v="41168370.780000001"/>
    <n v="41245565"/>
    <m/>
    <m/>
    <m/>
    <m/>
    <n v="0"/>
    <m/>
    <m/>
    <n v="0"/>
    <m/>
    <m/>
    <m/>
    <m/>
    <m/>
    <m/>
    <n v="41168370.780000001"/>
    <n v="41245565"/>
  </r>
  <r>
    <x v="0"/>
    <x v="8"/>
    <s v="Special line items for education operations"/>
    <m/>
    <n v="101240"/>
    <x v="6"/>
    <m/>
    <m/>
    <m/>
    <m/>
    <m/>
    <m/>
    <m/>
    <m/>
    <n v="0"/>
    <m/>
    <m/>
    <n v="0"/>
    <n v="0"/>
    <n v="0"/>
    <m/>
    <m/>
    <m/>
    <m/>
    <n v="0"/>
    <m/>
    <m/>
    <n v="0"/>
    <m/>
    <m/>
    <m/>
    <m/>
    <m/>
    <m/>
    <n v="0"/>
    <n v="0"/>
  </r>
  <r>
    <x v="0"/>
    <x v="8"/>
    <s v="Special Population Training"/>
    <m/>
    <n v="101240"/>
    <x v="6"/>
    <m/>
    <m/>
    <m/>
    <n v="150"/>
    <m/>
    <m/>
    <m/>
    <m/>
    <n v="0"/>
    <m/>
    <m/>
    <n v="0"/>
    <n v="0"/>
    <n v="150"/>
    <m/>
    <m/>
    <m/>
    <m/>
    <n v="0"/>
    <m/>
    <m/>
    <n v="0"/>
    <m/>
    <m/>
    <m/>
    <m/>
    <m/>
    <m/>
    <n v="0"/>
    <n v="150"/>
  </r>
  <r>
    <x v="0"/>
    <x v="8"/>
    <s v="Adult Basic Education"/>
    <m/>
    <n v="101240"/>
    <x v="6"/>
    <m/>
    <m/>
    <n v="712169"/>
    <n v="715946"/>
    <m/>
    <m/>
    <m/>
    <m/>
    <n v="0"/>
    <m/>
    <m/>
    <n v="0"/>
    <n v="712169"/>
    <n v="715946"/>
    <m/>
    <m/>
    <m/>
    <m/>
    <n v="0"/>
    <m/>
    <m/>
    <n v="0"/>
    <m/>
    <m/>
    <m/>
    <m/>
    <m/>
    <m/>
    <n v="712169"/>
    <n v="715946"/>
  </r>
  <r>
    <x v="0"/>
    <x v="8"/>
    <s v="Workforce Development"/>
    <m/>
    <n v="101240"/>
    <x v="6"/>
    <m/>
    <m/>
    <n v="150615"/>
    <n v="309608"/>
    <m/>
    <m/>
    <m/>
    <m/>
    <n v="0"/>
    <m/>
    <m/>
    <n v="0"/>
    <n v="150615"/>
    <n v="309608"/>
    <m/>
    <m/>
    <m/>
    <m/>
    <n v="0"/>
    <m/>
    <m/>
    <n v="0"/>
    <m/>
    <m/>
    <m/>
    <m/>
    <m/>
    <m/>
    <n v="150615"/>
    <n v="309608"/>
  </r>
  <r>
    <x v="0"/>
    <x v="0"/>
    <s v="Jefferson State Community College"/>
    <m/>
    <n v="101505"/>
    <x v="6"/>
    <n v="19393724"/>
    <n v="18668724"/>
    <m/>
    <m/>
    <n v="0"/>
    <n v="18238"/>
    <n v="23574987.690000001"/>
    <n v="4752249.3"/>
    <n v="28327236.990000002"/>
    <n v="25034577"/>
    <n v="4621752"/>
    <n v="29656329"/>
    <n v="42968711.689999998"/>
    <n v="43721539"/>
    <m/>
    <m/>
    <m/>
    <m/>
    <n v="0"/>
    <m/>
    <m/>
    <n v="0"/>
    <m/>
    <m/>
    <m/>
    <m/>
    <m/>
    <m/>
    <n v="42968711.689999998"/>
    <n v="43721539"/>
  </r>
  <r>
    <x v="0"/>
    <x v="8"/>
    <s v="Special Population Training"/>
    <m/>
    <n v="101505"/>
    <x v="6"/>
    <m/>
    <m/>
    <m/>
    <n v="27250"/>
    <m/>
    <m/>
    <m/>
    <m/>
    <n v="0"/>
    <m/>
    <m/>
    <n v="0"/>
    <n v="0"/>
    <n v="27250"/>
    <m/>
    <m/>
    <m/>
    <m/>
    <n v="0"/>
    <m/>
    <m/>
    <n v="0"/>
    <m/>
    <m/>
    <m/>
    <m/>
    <m/>
    <m/>
    <n v="0"/>
    <n v="27250"/>
  </r>
  <r>
    <x v="0"/>
    <x v="8"/>
    <s v="Adult Basic Education"/>
    <m/>
    <n v="101505"/>
    <x v="6"/>
    <m/>
    <m/>
    <n v="659647"/>
    <n v="719745"/>
    <m/>
    <m/>
    <m/>
    <m/>
    <n v="0"/>
    <m/>
    <m/>
    <n v="0"/>
    <n v="659647"/>
    <n v="719745"/>
    <m/>
    <m/>
    <m/>
    <m/>
    <n v="0"/>
    <m/>
    <m/>
    <n v="0"/>
    <m/>
    <m/>
    <m/>
    <m/>
    <m/>
    <m/>
    <n v="659647"/>
    <n v="719745"/>
  </r>
  <r>
    <x v="0"/>
    <x v="8"/>
    <s v="Workforce Development"/>
    <m/>
    <n v="101505"/>
    <x v="6"/>
    <m/>
    <m/>
    <n v="261063"/>
    <n v="304587"/>
    <m/>
    <m/>
    <m/>
    <m/>
    <n v="0"/>
    <m/>
    <m/>
    <n v="0"/>
    <n v="261063"/>
    <n v="304587"/>
    <m/>
    <m/>
    <m/>
    <m/>
    <n v="0"/>
    <m/>
    <m/>
    <n v="0"/>
    <m/>
    <m/>
    <m/>
    <m/>
    <m/>
    <m/>
    <n v="261063"/>
    <n v="304587"/>
  </r>
  <r>
    <x v="0"/>
    <x v="3"/>
    <s v="Community or public service units"/>
    <m/>
    <n v="101505"/>
    <x v="6"/>
    <m/>
    <m/>
    <m/>
    <m/>
    <m/>
    <m/>
    <m/>
    <m/>
    <n v="0"/>
    <m/>
    <m/>
    <n v="0"/>
    <n v="0"/>
    <n v="0"/>
    <m/>
    <m/>
    <m/>
    <m/>
    <n v="0"/>
    <m/>
    <m/>
    <n v="0"/>
    <m/>
    <m/>
    <m/>
    <m/>
    <m/>
    <m/>
    <n v="0"/>
    <n v="0"/>
  </r>
  <r>
    <x v="0"/>
    <x v="3"/>
    <s v="Ctr for Labor Ed &amp; Res"/>
    <m/>
    <n v="101505"/>
    <x v="6"/>
    <m/>
    <m/>
    <m/>
    <m/>
    <m/>
    <m/>
    <m/>
    <m/>
    <n v="0"/>
    <m/>
    <m/>
    <n v="0"/>
    <n v="0"/>
    <n v="0"/>
    <m/>
    <m/>
    <m/>
    <m/>
    <n v="0"/>
    <m/>
    <m/>
    <n v="0"/>
    <m/>
    <m/>
    <m/>
    <m/>
    <m/>
    <m/>
    <n v="0"/>
    <n v="0"/>
  </r>
  <r>
    <x v="0"/>
    <x v="3"/>
    <s v="Predator Avoidance Prm"/>
    <m/>
    <n v="101505"/>
    <x v="6"/>
    <m/>
    <m/>
    <m/>
    <m/>
    <m/>
    <m/>
    <m/>
    <m/>
    <n v="0"/>
    <m/>
    <m/>
    <n v="0"/>
    <n v="0"/>
    <n v="0"/>
    <m/>
    <m/>
    <m/>
    <m/>
    <n v="0"/>
    <m/>
    <m/>
    <n v="0"/>
    <m/>
    <m/>
    <m/>
    <m/>
    <m/>
    <m/>
    <n v="0"/>
    <n v="0"/>
  </r>
  <r>
    <x v="0"/>
    <x v="0"/>
    <s v="John C. Calhoun State Community College "/>
    <m/>
    <n v="101514"/>
    <x v="6"/>
    <n v="20617533"/>
    <n v="21027062"/>
    <m/>
    <m/>
    <m/>
    <m/>
    <n v="31797248.140000001"/>
    <n v="2952377.5"/>
    <n v="34749625.640000001"/>
    <n v="30727885"/>
    <n v="2688590"/>
    <n v="33416475"/>
    <n v="52414781.140000001"/>
    <n v="51754947"/>
    <m/>
    <m/>
    <m/>
    <m/>
    <n v="0"/>
    <m/>
    <m/>
    <n v="0"/>
    <m/>
    <m/>
    <m/>
    <m/>
    <m/>
    <m/>
    <n v="52414781.140000001"/>
    <n v="51754947"/>
  </r>
  <r>
    <x v="0"/>
    <x v="8"/>
    <s v="Special line items for education operations"/>
    <m/>
    <n v="101514"/>
    <x v="6"/>
    <m/>
    <m/>
    <m/>
    <m/>
    <m/>
    <m/>
    <m/>
    <m/>
    <n v="0"/>
    <m/>
    <m/>
    <n v="0"/>
    <n v="0"/>
    <n v="0"/>
    <m/>
    <m/>
    <m/>
    <m/>
    <n v="0"/>
    <m/>
    <m/>
    <n v="0"/>
    <m/>
    <m/>
    <m/>
    <m/>
    <m/>
    <m/>
    <n v="0"/>
    <n v="0"/>
  </r>
  <r>
    <x v="0"/>
    <x v="8"/>
    <s v="Special Population Training"/>
    <m/>
    <n v="101514"/>
    <x v="6"/>
    <m/>
    <m/>
    <n v="158656"/>
    <n v="97900"/>
    <m/>
    <m/>
    <m/>
    <m/>
    <n v="0"/>
    <m/>
    <m/>
    <n v="0"/>
    <n v="158656"/>
    <n v="97900"/>
    <m/>
    <m/>
    <m/>
    <m/>
    <n v="0"/>
    <m/>
    <m/>
    <n v="0"/>
    <m/>
    <m/>
    <m/>
    <m/>
    <m/>
    <m/>
    <n v="158656"/>
    <n v="97900"/>
  </r>
  <r>
    <x v="0"/>
    <x v="8"/>
    <s v="Adult Basic Education"/>
    <m/>
    <n v="101514"/>
    <x v="6"/>
    <m/>
    <m/>
    <n v="840039"/>
    <n v="1258377"/>
    <m/>
    <m/>
    <m/>
    <m/>
    <n v="0"/>
    <m/>
    <m/>
    <n v="0"/>
    <n v="840039"/>
    <n v="1258377"/>
    <m/>
    <m/>
    <m/>
    <m/>
    <n v="0"/>
    <m/>
    <m/>
    <n v="0"/>
    <m/>
    <m/>
    <m/>
    <m/>
    <m/>
    <m/>
    <n v="840039"/>
    <n v="1258377"/>
  </r>
  <r>
    <x v="0"/>
    <x v="8"/>
    <s v="Workforce Development"/>
    <m/>
    <n v="101514"/>
    <x v="6"/>
    <m/>
    <m/>
    <n v="229180"/>
    <n v="250672"/>
    <m/>
    <m/>
    <m/>
    <m/>
    <n v="0"/>
    <m/>
    <m/>
    <n v="0"/>
    <n v="229180"/>
    <n v="250672"/>
    <m/>
    <m/>
    <m/>
    <m/>
    <n v="0"/>
    <m/>
    <m/>
    <n v="0"/>
    <m/>
    <m/>
    <m/>
    <m/>
    <m/>
    <m/>
    <n v="229180"/>
    <n v="250672"/>
  </r>
  <r>
    <x v="0"/>
    <x v="0"/>
    <s v="Wallace Community College - Hanceville"/>
    <s v="Met the criteria for Two-Year 2 in 2012-13."/>
    <n v="101295"/>
    <x v="6"/>
    <n v="15652701"/>
    <n v="15769713"/>
    <m/>
    <m/>
    <m/>
    <m/>
    <n v="18263090.559999999"/>
    <n v="2509130.79"/>
    <n v="20772221.349999998"/>
    <n v="16510344"/>
    <n v="3252158"/>
    <n v="19762502"/>
    <n v="33915791.560000002"/>
    <n v="32280057"/>
    <m/>
    <m/>
    <m/>
    <m/>
    <n v="0"/>
    <m/>
    <m/>
    <n v="0"/>
    <m/>
    <m/>
    <m/>
    <m/>
    <m/>
    <m/>
    <n v="33915791.560000002"/>
    <n v="32280057"/>
  </r>
  <r>
    <x v="0"/>
    <x v="8"/>
    <s v="Special line items for education operations"/>
    <m/>
    <n v="101295"/>
    <x v="6"/>
    <m/>
    <m/>
    <m/>
    <m/>
    <m/>
    <m/>
    <m/>
    <m/>
    <n v="0"/>
    <m/>
    <m/>
    <n v="0"/>
    <n v="0"/>
    <n v="0"/>
    <m/>
    <m/>
    <m/>
    <m/>
    <n v="0"/>
    <m/>
    <m/>
    <n v="0"/>
    <m/>
    <m/>
    <m/>
    <m/>
    <m/>
    <m/>
    <n v="0"/>
    <n v="0"/>
  </r>
  <r>
    <x v="0"/>
    <x v="8"/>
    <s v="Special Population Training"/>
    <m/>
    <n v="101295"/>
    <x v="6"/>
    <m/>
    <m/>
    <n v="87000"/>
    <n v="217757"/>
    <m/>
    <m/>
    <m/>
    <m/>
    <n v="0"/>
    <m/>
    <m/>
    <n v="0"/>
    <n v="87000"/>
    <n v="217757"/>
    <m/>
    <m/>
    <m/>
    <m/>
    <n v="0"/>
    <m/>
    <m/>
    <n v="0"/>
    <m/>
    <m/>
    <m/>
    <m/>
    <m/>
    <m/>
    <n v="87000"/>
    <n v="217757"/>
  </r>
  <r>
    <x v="0"/>
    <x v="8"/>
    <s v="Adult Basic Education"/>
    <m/>
    <n v="101295"/>
    <x v="6"/>
    <m/>
    <m/>
    <n v="370215"/>
    <n v="421444"/>
    <m/>
    <m/>
    <m/>
    <m/>
    <n v="0"/>
    <m/>
    <m/>
    <n v="0"/>
    <n v="370215"/>
    <n v="421444"/>
    <m/>
    <m/>
    <m/>
    <m/>
    <n v="0"/>
    <m/>
    <m/>
    <n v="0"/>
    <m/>
    <m/>
    <m/>
    <m/>
    <m/>
    <m/>
    <n v="370215"/>
    <n v="421444"/>
  </r>
  <r>
    <x v="0"/>
    <x v="8"/>
    <s v="Workforce Development"/>
    <m/>
    <n v="101295"/>
    <x v="6"/>
    <m/>
    <m/>
    <n v="426438"/>
    <n v="261847"/>
    <m/>
    <m/>
    <m/>
    <m/>
    <n v="0"/>
    <m/>
    <m/>
    <n v="0"/>
    <n v="426438"/>
    <n v="261847"/>
    <m/>
    <m/>
    <m/>
    <m/>
    <n v="0"/>
    <m/>
    <m/>
    <n v="0"/>
    <m/>
    <m/>
    <m/>
    <m/>
    <m/>
    <m/>
    <n v="426438"/>
    <n v="261847"/>
  </r>
  <r>
    <x v="0"/>
    <x v="0"/>
    <s v="Bevill State Community College"/>
    <m/>
    <n v="102429"/>
    <x v="7"/>
    <n v="16131988"/>
    <n v="15406988"/>
    <m/>
    <m/>
    <m/>
    <m/>
    <n v="11154141.390000001"/>
    <n v="1849236.5"/>
    <n v="13003377.890000001"/>
    <n v="11869968"/>
    <n v="1630315"/>
    <n v="13500283"/>
    <n v="27286129.390000001"/>
    <n v="27276956"/>
    <m/>
    <m/>
    <m/>
    <m/>
    <n v="0"/>
    <m/>
    <m/>
    <n v="0"/>
    <m/>
    <m/>
    <m/>
    <m/>
    <m/>
    <m/>
    <n v="27286129.390000001"/>
    <n v="27276956"/>
  </r>
  <r>
    <x v="0"/>
    <x v="8"/>
    <s v="Special line items for education operations"/>
    <m/>
    <n v="102429"/>
    <x v="7"/>
    <m/>
    <m/>
    <m/>
    <m/>
    <m/>
    <m/>
    <m/>
    <m/>
    <n v="0"/>
    <m/>
    <m/>
    <n v="0"/>
    <n v="0"/>
    <n v="0"/>
    <m/>
    <m/>
    <m/>
    <m/>
    <n v="0"/>
    <m/>
    <m/>
    <n v="0"/>
    <m/>
    <m/>
    <m/>
    <m/>
    <m/>
    <m/>
    <n v="0"/>
    <n v="0"/>
  </r>
  <r>
    <x v="0"/>
    <x v="8"/>
    <s v="Special Population Training"/>
    <m/>
    <n v="102429"/>
    <x v="7"/>
    <m/>
    <m/>
    <n v="364552"/>
    <n v="391046"/>
    <m/>
    <m/>
    <m/>
    <m/>
    <n v="0"/>
    <m/>
    <m/>
    <n v="0"/>
    <n v="364552"/>
    <n v="391046"/>
    <m/>
    <m/>
    <m/>
    <m/>
    <n v="0"/>
    <m/>
    <m/>
    <n v="0"/>
    <m/>
    <m/>
    <m/>
    <m/>
    <m/>
    <m/>
    <n v="364552"/>
    <n v="391046"/>
  </r>
  <r>
    <x v="0"/>
    <x v="8"/>
    <s v="Adult Basic Education"/>
    <m/>
    <n v="102429"/>
    <x v="7"/>
    <m/>
    <m/>
    <n v="452860"/>
    <n v="520159"/>
    <m/>
    <m/>
    <m/>
    <m/>
    <n v="0"/>
    <m/>
    <m/>
    <n v="0"/>
    <n v="452860"/>
    <n v="520159"/>
    <m/>
    <m/>
    <m/>
    <m/>
    <n v="0"/>
    <m/>
    <m/>
    <n v="0"/>
    <m/>
    <m/>
    <m/>
    <m/>
    <m/>
    <m/>
    <n v="452860"/>
    <n v="520159"/>
  </r>
  <r>
    <x v="0"/>
    <x v="8"/>
    <s v="Workforce Development"/>
    <m/>
    <n v="102429"/>
    <x v="7"/>
    <m/>
    <m/>
    <n v="235564"/>
    <n v="128196"/>
    <m/>
    <m/>
    <m/>
    <m/>
    <n v="0"/>
    <m/>
    <m/>
    <n v="0"/>
    <n v="235564"/>
    <n v="128196"/>
    <m/>
    <m/>
    <m/>
    <m/>
    <n v="0"/>
    <m/>
    <m/>
    <n v="0"/>
    <m/>
    <m/>
    <m/>
    <m/>
    <m/>
    <m/>
    <n v="235564"/>
    <n v="128196"/>
  </r>
  <r>
    <x v="0"/>
    <x v="0"/>
    <s v="Bishop State Community College"/>
    <m/>
    <n v="102030"/>
    <x v="7"/>
    <n v="14552792"/>
    <n v="13787792"/>
    <m/>
    <m/>
    <n v="157164"/>
    <n v="40000"/>
    <n v="11016194.810000001"/>
    <n v="1262525.54"/>
    <n v="12278720.350000001"/>
    <n v="11314146"/>
    <n v="593973"/>
    <n v="11908119"/>
    <n v="25726150.810000002"/>
    <n v="25141938"/>
    <m/>
    <m/>
    <m/>
    <m/>
    <n v="0"/>
    <m/>
    <m/>
    <n v="0"/>
    <m/>
    <m/>
    <m/>
    <m/>
    <m/>
    <m/>
    <n v="25726150.810000002"/>
    <n v="25141938"/>
  </r>
  <r>
    <x v="0"/>
    <x v="8"/>
    <s v="Special line items for education operations"/>
    <m/>
    <n v="102030"/>
    <x v="7"/>
    <m/>
    <m/>
    <m/>
    <m/>
    <m/>
    <m/>
    <m/>
    <m/>
    <n v="0"/>
    <m/>
    <m/>
    <n v="0"/>
    <n v="0"/>
    <n v="0"/>
    <m/>
    <m/>
    <m/>
    <m/>
    <n v="0"/>
    <m/>
    <m/>
    <n v="0"/>
    <m/>
    <m/>
    <m/>
    <m/>
    <m/>
    <m/>
    <n v="0"/>
    <n v="0"/>
  </r>
  <r>
    <x v="0"/>
    <x v="8"/>
    <s v="Special Population Training"/>
    <m/>
    <n v="102030"/>
    <x v="7"/>
    <m/>
    <m/>
    <n v="158842"/>
    <n v="227693"/>
    <m/>
    <m/>
    <m/>
    <m/>
    <n v="0"/>
    <m/>
    <m/>
    <n v="0"/>
    <n v="158842"/>
    <n v="227693"/>
    <m/>
    <m/>
    <m/>
    <m/>
    <n v="0"/>
    <m/>
    <m/>
    <n v="0"/>
    <m/>
    <m/>
    <m/>
    <m/>
    <m/>
    <m/>
    <n v="158842"/>
    <n v="227693"/>
  </r>
  <r>
    <x v="0"/>
    <x v="8"/>
    <s v="Adult Basic Education"/>
    <m/>
    <n v="102030"/>
    <x v="7"/>
    <m/>
    <m/>
    <n v="440106"/>
    <n v="493423"/>
    <m/>
    <m/>
    <m/>
    <m/>
    <n v="0"/>
    <m/>
    <m/>
    <n v="0"/>
    <n v="440106"/>
    <n v="493423"/>
    <m/>
    <m/>
    <m/>
    <m/>
    <n v="0"/>
    <m/>
    <m/>
    <n v="0"/>
    <m/>
    <m/>
    <m/>
    <m/>
    <m/>
    <m/>
    <n v="440106"/>
    <n v="493423"/>
  </r>
  <r>
    <x v="0"/>
    <x v="8"/>
    <s v="Workforce Development"/>
    <m/>
    <n v="102030"/>
    <x v="7"/>
    <m/>
    <m/>
    <n v="59000"/>
    <m/>
    <m/>
    <m/>
    <m/>
    <m/>
    <n v="0"/>
    <m/>
    <m/>
    <n v="0"/>
    <n v="59000"/>
    <n v="0"/>
    <m/>
    <m/>
    <m/>
    <m/>
    <n v="0"/>
    <m/>
    <m/>
    <n v="0"/>
    <m/>
    <m/>
    <m/>
    <m/>
    <m/>
    <m/>
    <n v="59000"/>
    <n v="0"/>
  </r>
  <r>
    <x v="0"/>
    <x v="0"/>
    <s v="Central Alabama Community College"/>
    <s v="Met the criteria for Two-Year 3 in 2012-13."/>
    <n v="100760"/>
    <x v="7"/>
    <n v="8351820"/>
    <n v="7916684"/>
    <m/>
    <m/>
    <m/>
    <m/>
    <n v="6720806.9100000001"/>
    <n v="670326.89"/>
    <n v="7391133.7999999998"/>
    <n v="7189139"/>
    <n v="665920"/>
    <n v="7855059"/>
    <n v="15072626.91"/>
    <n v="15105823"/>
    <m/>
    <m/>
    <m/>
    <m/>
    <n v="0"/>
    <m/>
    <m/>
    <n v="0"/>
    <m/>
    <m/>
    <m/>
    <m/>
    <m/>
    <m/>
    <n v="15072626.91"/>
    <n v="15105823"/>
  </r>
  <r>
    <x v="0"/>
    <x v="8"/>
    <s v="Special line items for education operations"/>
    <m/>
    <n v="100760"/>
    <x v="7"/>
    <m/>
    <m/>
    <m/>
    <m/>
    <m/>
    <m/>
    <m/>
    <m/>
    <n v="0"/>
    <m/>
    <m/>
    <n v="0"/>
    <n v="0"/>
    <n v="0"/>
    <m/>
    <m/>
    <m/>
    <m/>
    <n v="0"/>
    <m/>
    <m/>
    <n v="0"/>
    <m/>
    <m/>
    <m/>
    <m/>
    <m/>
    <m/>
    <n v="0"/>
    <n v="0"/>
  </r>
  <r>
    <x v="0"/>
    <x v="8"/>
    <s v="Special Population Training"/>
    <m/>
    <n v="100760"/>
    <x v="7"/>
    <m/>
    <m/>
    <n v="95183"/>
    <n v="67244"/>
    <m/>
    <m/>
    <m/>
    <m/>
    <n v="0"/>
    <m/>
    <m/>
    <n v="0"/>
    <n v="95183"/>
    <n v="67244"/>
    <m/>
    <m/>
    <m/>
    <m/>
    <n v="0"/>
    <m/>
    <m/>
    <n v="0"/>
    <m/>
    <m/>
    <m/>
    <m/>
    <m/>
    <m/>
    <n v="95183"/>
    <n v="67244"/>
  </r>
  <r>
    <x v="0"/>
    <x v="8"/>
    <s v="Adult Basic Education"/>
    <m/>
    <n v="100760"/>
    <x v="7"/>
    <m/>
    <m/>
    <n v="499348"/>
    <n v="535850"/>
    <m/>
    <m/>
    <m/>
    <m/>
    <n v="0"/>
    <m/>
    <m/>
    <n v="0"/>
    <n v="499348"/>
    <n v="535850"/>
    <m/>
    <m/>
    <m/>
    <m/>
    <n v="0"/>
    <m/>
    <m/>
    <n v="0"/>
    <m/>
    <m/>
    <m/>
    <m/>
    <m/>
    <m/>
    <n v="499348"/>
    <n v="535850"/>
  </r>
  <r>
    <x v="0"/>
    <x v="8"/>
    <s v="Workforce Development"/>
    <m/>
    <n v="100760"/>
    <x v="7"/>
    <m/>
    <m/>
    <n v="71665"/>
    <n v="29716"/>
    <m/>
    <m/>
    <m/>
    <m/>
    <n v="0"/>
    <m/>
    <m/>
    <n v="0"/>
    <n v="71665"/>
    <n v="29716"/>
    <m/>
    <m/>
    <m/>
    <m/>
    <n v="0"/>
    <m/>
    <m/>
    <n v="0"/>
    <m/>
    <m/>
    <m/>
    <m/>
    <m/>
    <m/>
    <n v="71665"/>
    <n v="29716"/>
  </r>
  <r>
    <x v="0"/>
    <x v="0"/>
    <s v="Enterprise State Community College"/>
    <m/>
    <n v="101143"/>
    <x v="7"/>
    <n v="8537913"/>
    <n v="9232576"/>
    <m/>
    <m/>
    <m/>
    <m/>
    <n v="9961243.1799999997"/>
    <n v="653356.65"/>
    <n v="10614599.83"/>
    <n v="10434342"/>
    <n v="456508"/>
    <n v="10890850"/>
    <n v="18499156.18"/>
    <n v="19666918"/>
    <m/>
    <m/>
    <m/>
    <m/>
    <n v="0"/>
    <m/>
    <m/>
    <n v="0"/>
    <m/>
    <m/>
    <m/>
    <m/>
    <m/>
    <m/>
    <n v="18499156.18"/>
    <n v="19666918"/>
  </r>
  <r>
    <x v="0"/>
    <x v="8"/>
    <s v="Special line items for education operations"/>
    <m/>
    <n v="101143"/>
    <x v="7"/>
    <m/>
    <m/>
    <m/>
    <m/>
    <m/>
    <m/>
    <m/>
    <m/>
    <n v="0"/>
    <m/>
    <m/>
    <n v="0"/>
    <n v="0"/>
    <n v="0"/>
    <m/>
    <m/>
    <m/>
    <m/>
    <n v="0"/>
    <m/>
    <m/>
    <n v="0"/>
    <m/>
    <m/>
    <m/>
    <m/>
    <m/>
    <m/>
    <n v="0"/>
    <n v="0"/>
  </r>
  <r>
    <x v="0"/>
    <x v="8"/>
    <s v="Special Population Training"/>
    <m/>
    <n v="101143"/>
    <x v="7"/>
    <m/>
    <m/>
    <n v="729568"/>
    <n v="469340"/>
    <m/>
    <m/>
    <m/>
    <m/>
    <n v="0"/>
    <m/>
    <m/>
    <n v="0"/>
    <n v="729568"/>
    <n v="469340"/>
    <m/>
    <m/>
    <m/>
    <m/>
    <n v="0"/>
    <m/>
    <m/>
    <n v="0"/>
    <m/>
    <m/>
    <m/>
    <m/>
    <m/>
    <m/>
    <n v="729568"/>
    <n v="469340"/>
  </r>
  <r>
    <x v="0"/>
    <x v="8"/>
    <s v="Adult Basic Education"/>
    <m/>
    <n v="101143"/>
    <x v="7"/>
    <m/>
    <m/>
    <n v="389909"/>
    <n v="404732"/>
    <m/>
    <m/>
    <m/>
    <m/>
    <n v="0"/>
    <m/>
    <m/>
    <n v="0"/>
    <n v="389909"/>
    <n v="404732"/>
    <m/>
    <m/>
    <m/>
    <m/>
    <n v="0"/>
    <m/>
    <m/>
    <n v="0"/>
    <m/>
    <m/>
    <m/>
    <m/>
    <m/>
    <m/>
    <n v="389909"/>
    <n v="404732"/>
  </r>
  <r>
    <x v="0"/>
    <x v="8"/>
    <s v="Workforce Development"/>
    <m/>
    <n v="101143"/>
    <x v="7"/>
    <m/>
    <m/>
    <n v="64250"/>
    <n v="7300"/>
    <m/>
    <m/>
    <m/>
    <m/>
    <n v="0"/>
    <m/>
    <m/>
    <n v="0"/>
    <n v="64250"/>
    <n v="7300"/>
    <m/>
    <m/>
    <m/>
    <m/>
    <n v="0"/>
    <m/>
    <m/>
    <n v="0"/>
    <m/>
    <m/>
    <m/>
    <m/>
    <m/>
    <m/>
    <n v="64250"/>
    <n v="7300"/>
  </r>
  <r>
    <x v="0"/>
    <x v="0"/>
    <s v="George C. Wallace Community College - Dothan"/>
    <m/>
    <n v="101286"/>
    <x v="7"/>
    <n v="14995784"/>
    <n v="14339505"/>
    <m/>
    <m/>
    <m/>
    <m/>
    <n v="13953457.76"/>
    <n v="840957.51"/>
    <n v="14794415.27"/>
    <n v="12888025"/>
    <n v="833905"/>
    <n v="13721930"/>
    <n v="28949241.759999998"/>
    <n v="27227530"/>
    <m/>
    <m/>
    <m/>
    <m/>
    <n v="0"/>
    <m/>
    <m/>
    <n v="0"/>
    <m/>
    <m/>
    <m/>
    <m/>
    <m/>
    <m/>
    <n v="28949241.759999998"/>
    <n v="27227530"/>
  </r>
  <r>
    <x v="0"/>
    <x v="8"/>
    <s v="Special line items for education operations"/>
    <m/>
    <n v="101286"/>
    <x v="7"/>
    <m/>
    <m/>
    <m/>
    <m/>
    <m/>
    <m/>
    <m/>
    <m/>
    <n v="0"/>
    <m/>
    <m/>
    <n v="0"/>
    <n v="0"/>
    <n v="0"/>
    <m/>
    <m/>
    <m/>
    <m/>
    <n v="0"/>
    <m/>
    <m/>
    <n v="0"/>
    <m/>
    <m/>
    <m/>
    <m/>
    <m/>
    <m/>
    <n v="0"/>
    <n v="0"/>
  </r>
  <r>
    <x v="0"/>
    <x v="8"/>
    <s v="Special Population Training"/>
    <m/>
    <n v="101286"/>
    <x v="7"/>
    <m/>
    <m/>
    <n v="142842"/>
    <n v="169790"/>
    <m/>
    <m/>
    <m/>
    <m/>
    <n v="0"/>
    <m/>
    <m/>
    <n v="0"/>
    <n v="142842"/>
    <n v="169790"/>
    <m/>
    <m/>
    <m/>
    <m/>
    <n v="0"/>
    <m/>
    <m/>
    <n v="0"/>
    <m/>
    <m/>
    <m/>
    <m/>
    <m/>
    <m/>
    <n v="142842"/>
    <n v="169790"/>
  </r>
  <r>
    <x v="0"/>
    <x v="8"/>
    <s v="Adult Basic Education"/>
    <m/>
    <n v="101286"/>
    <x v="7"/>
    <m/>
    <m/>
    <n v="601781"/>
    <n v="570587"/>
    <m/>
    <m/>
    <m/>
    <m/>
    <n v="0"/>
    <m/>
    <m/>
    <n v="0"/>
    <n v="601781"/>
    <n v="570587"/>
    <m/>
    <m/>
    <m/>
    <m/>
    <n v="0"/>
    <m/>
    <m/>
    <n v="0"/>
    <m/>
    <m/>
    <m/>
    <m/>
    <m/>
    <m/>
    <n v="601781"/>
    <n v="570587"/>
  </r>
  <r>
    <x v="0"/>
    <x v="8"/>
    <s v="Workforce Development"/>
    <m/>
    <n v="101286"/>
    <x v="7"/>
    <m/>
    <m/>
    <n v="258907"/>
    <n v="61750"/>
    <m/>
    <m/>
    <m/>
    <m/>
    <n v="0"/>
    <m/>
    <m/>
    <n v="0"/>
    <n v="258907"/>
    <n v="61750"/>
    <m/>
    <m/>
    <m/>
    <m/>
    <n v="0"/>
    <m/>
    <m/>
    <n v="0"/>
    <m/>
    <m/>
    <m/>
    <m/>
    <m/>
    <m/>
    <n v="258907"/>
    <n v="61750"/>
  </r>
  <r>
    <x v="0"/>
    <x v="0"/>
    <s v="James H. Faulkner State Community College"/>
    <m/>
    <n v="101161"/>
    <x v="7"/>
    <n v="9939843"/>
    <n v="10387507"/>
    <m/>
    <m/>
    <n v="1277347"/>
    <n v="600000"/>
    <n v="14785607.25"/>
    <n v="2051836.01"/>
    <n v="16837443.260000002"/>
    <n v="12804614"/>
    <n v="2087962"/>
    <n v="14892576"/>
    <n v="26002797.25"/>
    <n v="23792121"/>
    <m/>
    <m/>
    <m/>
    <m/>
    <n v="0"/>
    <m/>
    <m/>
    <n v="0"/>
    <m/>
    <m/>
    <m/>
    <m/>
    <m/>
    <m/>
    <n v="26002797.25"/>
    <n v="23792121"/>
  </r>
  <r>
    <x v="0"/>
    <x v="8"/>
    <s v="Special line items for education operations"/>
    <m/>
    <n v="101161"/>
    <x v="7"/>
    <m/>
    <m/>
    <m/>
    <m/>
    <m/>
    <m/>
    <m/>
    <m/>
    <n v="0"/>
    <m/>
    <m/>
    <n v="0"/>
    <n v="0"/>
    <n v="0"/>
    <m/>
    <m/>
    <m/>
    <m/>
    <n v="0"/>
    <m/>
    <m/>
    <n v="0"/>
    <m/>
    <m/>
    <m/>
    <m/>
    <m/>
    <m/>
    <n v="0"/>
    <n v="0"/>
  </r>
  <r>
    <x v="0"/>
    <x v="8"/>
    <s v="Special Population Training"/>
    <m/>
    <n v="101161"/>
    <x v="7"/>
    <m/>
    <m/>
    <n v="36000"/>
    <n v="41980"/>
    <m/>
    <m/>
    <m/>
    <m/>
    <n v="0"/>
    <m/>
    <m/>
    <n v="0"/>
    <n v="36000"/>
    <n v="41980"/>
    <m/>
    <m/>
    <m/>
    <m/>
    <n v="0"/>
    <m/>
    <m/>
    <n v="0"/>
    <m/>
    <m/>
    <m/>
    <m/>
    <m/>
    <m/>
    <n v="36000"/>
    <n v="41980"/>
  </r>
  <r>
    <x v="0"/>
    <x v="8"/>
    <s v="Adult Basic Education"/>
    <m/>
    <n v="101161"/>
    <x v="7"/>
    <m/>
    <m/>
    <n v="351398"/>
    <n v="507531"/>
    <m/>
    <m/>
    <m/>
    <m/>
    <n v="0"/>
    <m/>
    <m/>
    <n v="0"/>
    <n v="351398"/>
    <n v="507531"/>
    <m/>
    <m/>
    <m/>
    <m/>
    <n v="0"/>
    <m/>
    <m/>
    <n v="0"/>
    <m/>
    <m/>
    <m/>
    <m/>
    <m/>
    <m/>
    <n v="351398"/>
    <n v="507531"/>
  </r>
  <r>
    <x v="0"/>
    <x v="8"/>
    <s v="Workforce Development"/>
    <m/>
    <n v="101161"/>
    <x v="7"/>
    <m/>
    <m/>
    <n v="208556"/>
    <n v="178369"/>
    <m/>
    <m/>
    <m/>
    <m/>
    <n v="0"/>
    <m/>
    <m/>
    <n v="0"/>
    <n v="208556"/>
    <n v="178369"/>
    <m/>
    <m/>
    <m/>
    <m/>
    <n v="0"/>
    <m/>
    <m/>
    <n v="0"/>
    <m/>
    <m/>
    <m/>
    <m/>
    <m/>
    <m/>
    <n v="208556"/>
    <n v="178369"/>
  </r>
  <r>
    <x v="0"/>
    <x v="0"/>
    <s v="Lawson State Community College "/>
    <m/>
    <n v="101569"/>
    <x v="7"/>
    <n v="14620741"/>
    <n v="13938149"/>
    <m/>
    <m/>
    <n v="10000"/>
    <n v="54000"/>
    <n v="14791770.01"/>
    <n v="1104265.07"/>
    <n v="15896035.08"/>
    <n v="12375219"/>
    <n v="1093669"/>
    <n v="13468888"/>
    <n v="29422511.009999998"/>
    <n v="26367368"/>
    <m/>
    <m/>
    <m/>
    <m/>
    <n v="0"/>
    <m/>
    <m/>
    <n v="0"/>
    <m/>
    <m/>
    <m/>
    <m/>
    <m/>
    <m/>
    <n v="29422511.009999998"/>
    <n v="26367368"/>
  </r>
  <r>
    <x v="0"/>
    <x v="8"/>
    <s v="Special line items for education operations"/>
    <m/>
    <n v="101569"/>
    <x v="7"/>
    <m/>
    <m/>
    <m/>
    <m/>
    <m/>
    <m/>
    <m/>
    <m/>
    <n v="0"/>
    <m/>
    <m/>
    <n v="0"/>
    <n v="0"/>
    <n v="0"/>
    <m/>
    <m/>
    <m/>
    <m/>
    <n v="0"/>
    <m/>
    <m/>
    <n v="0"/>
    <m/>
    <m/>
    <m/>
    <m/>
    <m/>
    <m/>
    <n v="0"/>
    <n v="0"/>
  </r>
  <r>
    <x v="0"/>
    <x v="8"/>
    <s v="Special Population Training"/>
    <m/>
    <n v="101569"/>
    <x v="7"/>
    <m/>
    <m/>
    <n v="194191"/>
    <n v="123000"/>
    <m/>
    <m/>
    <m/>
    <m/>
    <n v="0"/>
    <m/>
    <m/>
    <n v="0"/>
    <n v="194191"/>
    <n v="123000"/>
    <m/>
    <m/>
    <m/>
    <m/>
    <n v="0"/>
    <m/>
    <m/>
    <n v="0"/>
    <m/>
    <m/>
    <m/>
    <m/>
    <m/>
    <m/>
    <n v="194191"/>
    <n v="123000"/>
  </r>
  <r>
    <x v="0"/>
    <x v="8"/>
    <s v="Adult Basic Education"/>
    <m/>
    <n v="101569"/>
    <x v="7"/>
    <m/>
    <m/>
    <n v="468883"/>
    <n v="561986"/>
    <m/>
    <m/>
    <m/>
    <m/>
    <n v="0"/>
    <m/>
    <m/>
    <n v="0"/>
    <n v="468883"/>
    <n v="561986"/>
    <m/>
    <m/>
    <m/>
    <m/>
    <n v="0"/>
    <m/>
    <m/>
    <n v="0"/>
    <m/>
    <m/>
    <m/>
    <m/>
    <m/>
    <m/>
    <n v="468883"/>
    <n v="561986"/>
  </r>
  <r>
    <x v="0"/>
    <x v="8"/>
    <s v="Workforce Development"/>
    <m/>
    <n v="101569"/>
    <x v="7"/>
    <m/>
    <m/>
    <n v="78400"/>
    <n v="13230"/>
    <m/>
    <m/>
    <m/>
    <m/>
    <n v="0"/>
    <m/>
    <m/>
    <n v="0"/>
    <n v="78400"/>
    <n v="13230"/>
    <m/>
    <m/>
    <m/>
    <m/>
    <n v="0"/>
    <m/>
    <m/>
    <n v="0"/>
    <m/>
    <m/>
    <m/>
    <m/>
    <m/>
    <m/>
    <n v="78400"/>
    <n v="13230"/>
  </r>
  <r>
    <x v="0"/>
    <x v="0"/>
    <s v="Northeast Alabama State Community College "/>
    <m/>
    <n v="101897"/>
    <x v="7"/>
    <n v="6255160"/>
    <n v="6702824"/>
    <m/>
    <m/>
    <m/>
    <m/>
    <n v="9605612.4800000004"/>
    <n v="563592.76"/>
    <n v="10169205.24"/>
    <n v="10112498"/>
    <n v="785018"/>
    <n v="10897516"/>
    <n v="15860772.48"/>
    <n v="16815322"/>
    <m/>
    <m/>
    <m/>
    <m/>
    <n v="0"/>
    <m/>
    <m/>
    <n v="0"/>
    <m/>
    <m/>
    <m/>
    <m/>
    <m/>
    <m/>
    <n v="15860772.48"/>
    <n v="16815322"/>
  </r>
  <r>
    <x v="0"/>
    <x v="8"/>
    <s v="Special line items for education operations"/>
    <m/>
    <n v="101897"/>
    <x v="7"/>
    <m/>
    <m/>
    <m/>
    <m/>
    <m/>
    <m/>
    <m/>
    <m/>
    <n v="0"/>
    <m/>
    <m/>
    <n v="0"/>
    <n v="0"/>
    <n v="0"/>
    <m/>
    <m/>
    <m/>
    <m/>
    <n v="0"/>
    <m/>
    <m/>
    <n v="0"/>
    <m/>
    <m/>
    <m/>
    <m/>
    <m/>
    <m/>
    <n v="0"/>
    <n v="0"/>
  </r>
  <r>
    <x v="0"/>
    <x v="8"/>
    <s v="Special Population Training"/>
    <m/>
    <n v="101897"/>
    <x v="7"/>
    <m/>
    <m/>
    <n v="25000"/>
    <n v="168653"/>
    <m/>
    <m/>
    <m/>
    <m/>
    <n v="0"/>
    <m/>
    <m/>
    <n v="0"/>
    <n v="25000"/>
    <n v="168653"/>
    <m/>
    <m/>
    <m/>
    <m/>
    <n v="0"/>
    <m/>
    <m/>
    <n v="0"/>
    <m/>
    <m/>
    <m/>
    <m/>
    <m/>
    <m/>
    <n v="25000"/>
    <n v="168653"/>
  </r>
  <r>
    <x v="0"/>
    <x v="8"/>
    <s v="Adult Basic Education"/>
    <m/>
    <n v="101897"/>
    <x v="7"/>
    <m/>
    <m/>
    <n v="779704"/>
    <n v="1309960"/>
    <m/>
    <m/>
    <m/>
    <m/>
    <n v="0"/>
    <m/>
    <m/>
    <n v="0"/>
    <n v="779704"/>
    <n v="1309960"/>
    <m/>
    <m/>
    <m/>
    <m/>
    <n v="0"/>
    <m/>
    <m/>
    <n v="0"/>
    <m/>
    <m/>
    <m/>
    <m/>
    <m/>
    <m/>
    <n v="779704"/>
    <n v="1309960"/>
  </r>
  <r>
    <x v="0"/>
    <x v="8"/>
    <s v="Workforce Development"/>
    <m/>
    <n v="101897"/>
    <x v="7"/>
    <m/>
    <m/>
    <n v="332524"/>
    <n v="30938"/>
    <m/>
    <m/>
    <m/>
    <m/>
    <n v="0"/>
    <m/>
    <m/>
    <n v="0"/>
    <n v="332524"/>
    <n v="30938"/>
    <m/>
    <m/>
    <m/>
    <m/>
    <n v="0"/>
    <m/>
    <m/>
    <n v="0"/>
    <m/>
    <m/>
    <m/>
    <m/>
    <m/>
    <m/>
    <n v="332524"/>
    <n v="30938"/>
  </r>
  <r>
    <x v="0"/>
    <x v="0"/>
    <s v="Northwest-Shoals Community College "/>
    <m/>
    <n v="101736"/>
    <x v="7"/>
    <n v="11483948"/>
    <n v="10995547"/>
    <m/>
    <m/>
    <m/>
    <m/>
    <n v="11038906.859999999"/>
    <n v="513186"/>
    <n v="11552092.859999999"/>
    <n v="11066933"/>
    <n v="516795"/>
    <n v="11583728"/>
    <n v="22522854.859999999"/>
    <n v="22062480"/>
    <m/>
    <m/>
    <m/>
    <m/>
    <n v="0"/>
    <m/>
    <m/>
    <n v="0"/>
    <m/>
    <m/>
    <m/>
    <m/>
    <m/>
    <m/>
    <n v="22522854.859999999"/>
    <n v="22062480"/>
  </r>
  <r>
    <x v="0"/>
    <x v="8"/>
    <s v="Special line items for education operations"/>
    <m/>
    <n v="101736"/>
    <x v="7"/>
    <m/>
    <m/>
    <m/>
    <m/>
    <m/>
    <m/>
    <m/>
    <m/>
    <n v="0"/>
    <m/>
    <m/>
    <n v="0"/>
    <n v="0"/>
    <n v="0"/>
    <m/>
    <m/>
    <m/>
    <m/>
    <n v="0"/>
    <m/>
    <m/>
    <n v="0"/>
    <m/>
    <m/>
    <m/>
    <m/>
    <m/>
    <m/>
    <n v="0"/>
    <n v="0"/>
  </r>
  <r>
    <x v="0"/>
    <x v="8"/>
    <s v="Special Population Training"/>
    <m/>
    <n v="101736"/>
    <x v="7"/>
    <m/>
    <m/>
    <n v="536923"/>
    <n v="293520"/>
    <m/>
    <m/>
    <m/>
    <m/>
    <n v="0"/>
    <m/>
    <m/>
    <n v="0"/>
    <n v="536923"/>
    <n v="293520"/>
    <m/>
    <m/>
    <m/>
    <m/>
    <n v="0"/>
    <m/>
    <m/>
    <n v="0"/>
    <m/>
    <m/>
    <m/>
    <m/>
    <m/>
    <m/>
    <n v="536923"/>
    <n v="293520"/>
  </r>
  <r>
    <x v="0"/>
    <x v="8"/>
    <s v="Adult Basic Education"/>
    <m/>
    <n v="101736"/>
    <x v="7"/>
    <m/>
    <m/>
    <n v="516206"/>
    <n v="498523"/>
    <m/>
    <m/>
    <m/>
    <m/>
    <n v="0"/>
    <m/>
    <m/>
    <n v="0"/>
    <n v="516206"/>
    <n v="498523"/>
    <m/>
    <m/>
    <m/>
    <m/>
    <n v="0"/>
    <m/>
    <m/>
    <n v="0"/>
    <m/>
    <m/>
    <m/>
    <m/>
    <m/>
    <m/>
    <n v="516206"/>
    <n v="498523"/>
  </r>
  <r>
    <x v="0"/>
    <x v="8"/>
    <s v="Workforce Development"/>
    <m/>
    <n v="101736"/>
    <x v="7"/>
    <m/>
    <m/>
    <n v="85342"/>
    <n v="63500"/>
    <m/>
    <m/>
    <m/>
    <m/>
    <n v="0"/>
    <m/>
    <m/>
    <n v="0"/>
    <n v="85342"/>
    <n v="63500"/>
    <m/>
    <m/>
    <m/>
    <m/>
    <n v="0"/>
    <m/>
    <m/>
    <n v="0"/>
    <m/>
    <m/>
    <m/>
    <m/>
    <m/>
    <m/>
    <n v="85342"/>
    <n v="63500"/>
  </r>
  <r>
    <x v="0"/>
    <x v="0"/>
    <s v="Shelton State Community College"/>
    <m/>
    <n v="102067"/>
    <x v="7"/>
    <n v="17434896"/>
    <n v="18009332"/>
    <m/>
    <m/>
    <m/>
    <m/>
    <n v="8309910.7599999998"/>
    <n v="9482977.5999999996"/>
    <n v="17792888.359999999"/>
    <n v="18144076"/>
    <m/>
    <n v="18144076"/>
    <n v="25744806.759999998"/>
    <n v="36153408"/>
    <m/>
    <m/>
    <m/>
    <m/>
    <n v="0"/>
    <m/>
    <m/>
    <n v="0"/>
    <m/>
    <m/>
    <m/>
    <m/>
    <m/>
    <m/>
    <n v="25744806.759999998"/>
    <n v="36153408"/>
  </r>
  <r>
    <x v="0"/>
    <x v="3"/>
    <s v="Community or public service units"/>
    <m/>
    <n v="102067"/>
    <x v="7"/>
    <m/>
    <m/>
    <m/>
    <m/>
    <m/>
    <m/>
    <m/>
    <m/>
    <n v="0"/>
    <m/>
    <m/>
    <n v="0"/>
    <n v="0"/>
    <n v="0"/>
    <m/>
    <m/>
    <m/>
    <m/>
    <n v="0"/>
    <m/>
    <m/>
    <n v="0"/>
    <m/>
    <m/>
    <m/>
    <m/>
    <m/>
    <m/>
    <n v="0"/>
    <n v="0"/>
  </r>
  <r>
    <x v="0"/>
    <x v="3"/>
    <s v="Poison Control Center"/>
    <m/>
    <n v="102067"/>
    <x v="7"/>
    <m/>
    <m/>
    <n v="1030346"/>
    <m/>
    <m/>
    <m/>
    <m/>
    <m/>
    <n v="0"/>
    <m/>
    <m/>
    <n v="0"/>
    <n v="1030346"/>
    <n v="0"/>
    <m/>
    <m/>
    <m/>
    <m/>
    <n v="0"/>
    <m/>
    <m/>
    <n v="0"/>
    <m/>
    <m/>
    <m/>
    <m/>
    <m/>
    <m/>
    <n v="1030346"/>
    <n v="0"/>
  </r>
  <r>
    <x v="0"/>
    <x v="3"/>
    <s v="Partnership Preservation Of Labor Ed"/>
    <m/>
    <n v="102067"/>
    <x v="7"/>
    <m/>
    <m/>
    <m/>
    <m/>
    <m/>
    <m/>
    <m/>
    <m/>
    <n v="0"/>
    <m/>
    <m/>
    <n v="0"/>
    <n v="0"/>
    <n v="0"/>
    <m/>
    <m/>
    <m/>
    <m/>
    <n v="0"/>
    <m/>
    <m/>
    <n v="0"/>
    <m/>
    <m/>
    <m/>
    <m/>
    <m/>
    <m/>
    <n v="0"/>
    <n v="0"/>
  </r>
  <r>
    <x v="0"/>
    <x v="8"/>
    <s v="Special line items for education operations"/>
    <m/>
    <n v="102067"/>
    <x v="7"/>
    <m/>
    <m/>
    <m/>
    <m/>
    <m/>
    <m/>
    <m/>
    <m/>
    <n v="0"/>
    <m/>
    <m/>
    <n v="0"/>
    <n v="0"/>
    <n v="0"/>
    <m/>
    <m/>
    <m/>
    <m/>
    <n v="0"/>
    <m/>
    <m/>
    <n v="0"/>
    <m/>
    <m/>
    <m/>
    <m/>
    <m/>
    <m/>
    <n v="0"/>
    <n v="0"/>
  </r>
  <r>
    <x v="0"/>
    <x v="8"/>
    <s v="Special Population Training"/>
    <m/>
    <n v="102067"/>
    <x v="7"/>
    <m/>
    <m/>
    <n v="187136"/>
    <n v="132819"/>
    <m/>
    <m/>
    <m/>
    <m/>
    <n v="0"/>
    <m/>
    <m/>
    <n v="0"/>
    <n v="187136"/>
    <n v="132819"/>
    <m/>
    <m/>
    <m/>
    <m/>
    <n v="0"/>
    <m/>
    <m/>
    <n v="0"/>
    <m/>
    <m/>
    <m/>
    <m/>
    <m/>
    <m/>
    <n v="187136"/>
    <n v="132819"/>
  </r>
  <r>
    <x v="0"/>
    <x v="8"/>
    <s v="Adult Basic Education"/>
    <m/>
    <n v="102067"/>
    <x v="7"/>
    <m/>
    <m/>
    <n v="615434"/>
    <n v="551688"/>
    <m/>
    <m/>
    <m/>
    <m/>
    <n v="0"/>
    <m/>
    <m/>
    <n v="0"/>
    <n v="615434"/>
    <n v="551688"/>
    <m/>
    <m/>
    <m/>
    <m/>
    <n v="0"/>
    <m/>
    <m/>
    <n v="0"/>
    <m/>
    <m/>
    <m/>
    <m/>
    <m/>
    <m/>
    <n v="615434"/>
    <n v="551688"/>
  </r>
  <r>
    <x v="0"/>
    <x v="8"/>
    <s v="Workforce Development"/>
    <m/>
    <n v="102067"/>
    <x v="7"/>
    <m/>
    <m/>
    <n v="87488"/>
    <n v="84100"/>
    <m/>
    <m/>
    <m/>
    <m/>
    <n v="0"/>
    <m/>
    <m/>
    <n v="0"/>
    <n v="87488"/>
    <n v="84100"/>
    <m/>
    <m/>
    <m/>
    <m/>
    <n v="0"/>
    <m/>
    <m/>
    <n v="0"/>
    <m/>
    <m/>
    <m/>
    <m/>
    <m/>
    <m/>
    <n v="87488"/>
    <n v="84100"/>
  </r>
  <r>
    <x v="0"/>
    <x v="0"/>
    <s v="Southern Union State Community College"/>
    <m/>
    <n v="251260"/>
    <x v="7"/>
    <n v="13625005"/>
    <n v="13474260"/>
    <m/>
    <m/>
    <m/>
    <m/>
    <n v="14233053.42"/>
    <n v="2214256.2599999998"/>
    <n v="16447309.68"/>
    <n v="14294770"/>
    <n v="2218736"/>
    <n v="16513506"/>
    <n v="27858058.420000002"/>
    <n v="27769030"/>
    <m/>
    <m/>
    <m/>
    <m/>
    <n v="0"/>
    <m/>
    <m/>
    <n v="0"/>
    <m/>
    <m/>
    <m/>
    <m/>
    <m/>
    <m/>
    <n v="27858058.420000002"/>
    <n v="27769030"/>
  </r>
  <r>
    <x v="0"/>
    <x v="8"/>
    <s v="Special line items for education operations"/>
    <m/>
    <n v="251260"/>
    <x v="7"/>
    <m/>
    <m/>
    <m/>
    <m/>
    <m/>
    <m/>
    <m/>
    <m/>
    <n v="0"/>
    <m/>
    <m/>
    <n v="0"/>
    <n v="0"/>
    <n v="0"/>
    <m/>
    <m/>
    <m/>
    <m/>
    <n v="0"/>
    <m/>
    <m/>
    <n v="0"/>
    <m/>
    <m/>
    <m/>
    <m/>
    <m/>
    <m/>
    <n v="0"/>
    <n v="0"/>
  </r>
  <r>
    <x v="0"/>
    <x v="8"/>
    <s v="Special Population Training"/>
    <m/>
    <n v="251260"/>
    <x v="7"/>
    <m/>
    <m/>
    <n v="257812"/>
    <n v="29712"/>
    <m/>
    <m/>
    <m/>
    <m/>
    <n v="0"/>
    <m/>
    <m/>
    <n v="0"/>
    <n v="257812"/>
    <n v="29712"/>
    <m/>
    <m/>
    <m/>
    <m/>
    <n v="0"/>
    <m/>
    <m/>
    <n v="0"/>
    <m/>
    <m/>
    <m/>
    <m/>
    <m/>
    <m/>
    <n v="257812"/>
    <n v="29712"/>
  </r>
  <r>
    <x v="0"/>
    <x v="8"/>
    <s v="Adult Basic Education"/>
    <m/>
    <n v="251260"/>
    <x v="7"/>
    <m/>
    <m/>
    <n v="252015"/>
    <n v="635432"/>
    <m/>
    <m/>
    <m/>
    <m/>
    <n v="0"/>
    <m/>
    <m/>
    <n v="0"/>
    <n v="252015"/>
    <n v="635432"/>
    <m/>
    <m/>
    <m/>
    <m/>
    <n v="0"/>
    <m/>
    <m/>
    <n v="0"/>
    <m/>
    <m/>
    <m/>
    <m/>
    <m/>
    <m/>
    <n v="252015"/>
    <n v="635432"/>
  </r>
  <r>
    <x v="0"/>
    <x v="8"/>
    <s v="Workforce Development"/>
    <m/>
    <n v="251260"/>
    <x v="7"/>
    <m/>
    <m/>
    <n v="45906"/>
    <n v="11851"/>
    <m/>
    <m/>
    <m/>
    <m/>
    <n v="0"/>
    <m/>
    <m/>
    <n v="0"/>
    <n v="45906"/>
    <n v="11851"/>
    <m/>
    <m/>
    <m/>
    <m/>
    <n v="0"/>
    <m/>
    <m/>
    <n v="0"/>
    <m/>
    <m/>
    <m/>
    <m/>
    <m/>
    <m/>
    <n v="45906"/>
    <n v="11851"/>
  </r>
  <r>
    <x v="0"/>
    <x v="0"/>
    <s v="Alabama Southern Community College"/>
    <m/>
    <n v="101949"/>
    <x v="8"/>
    <n v="6573719"/>
    <n v="6062326"/>
    <m/>
    <m/>
    <n v="5000"/>
    <m/>
    <n v="4794516.5999999996"/>
    <n v="217585"/>
    <n v="5012101.5999999996"/>
    <n v="4793324"/>
    <n v="217993"/>
    <n v="5011317"/>
    <n v="11373235.6"/>
    <n v="10855650"/>
    <m/>
    <m/>
    <m/>
    <m/>
    <n v="0"/>
    <m/>
    <m/>
    <n v="0"/>
    <m/>
    <m/>
    <m/>
    <m/>
    <m/>
    <m/>
    <n v="11373235.6"/>
    <n v="10855650"/>
  </r>
  <r>
    <x v="0"/>
    <x v="8"/>
    <s v="Special line items for education operations"/>
    <m/>
    <n v="101949"/>
    <x v="8"/>
    <m/>
    <m/>
    <m/>
    <m/>
    <m/>
    <m/>
    <m/>
    <m/>
    <n v="0"/>
    <m/>
    <m/>
    <n v="0"/>
    <n v="0"/>
    <n v="0"/>
    <m/>
    <m/>
    <m/>
    <m/>
    <n v="0"/>
    <m/>
    <m/>
    <n v="0"/>
    <m/>
    <m/>
    <m/>
    <m/>
    <m/>
    <m/>
    <n v="0"/>
    <n v="0"/>
  </r>
  <r>
    <x v="0"/>
    <x v="8"/>
    <s v="Special Population Training"/>
    <m/>
    <n v="101949"/>
    <x v="8"/>
    <m/>
    <m/>
    <n v="812085"/>
    <n v="17669"/>
    <m/>
    <m/>
    <m/>
    <m/>
    <n v="0"/>
    <m/>
    <m/>
    <n v="0"/>
    <n v="812085"/>
    <n v="17669"/>
    <m/>
    <m/>
    <m/>
    <m/>
    <n v="0"/>
    <m/>
    <m/>
    <n v="0"/>
    <m/>
    <m/>
    <m/>
    <m/>
    <m/>
    <m/>
    <n v="812085"/>
    <n v="17669"/>
  </r>
  <r>
    <x v="0"/>
    <x v="8"/>
    <s v="Adult Basic Education"/>
    <m/>
    <n v="101949"/>
    <x v="8"/>
    <m/>
    <m/>
    <n v="366318"/>
    <n v="336009"/>
    <m/>
    <m/>
    <m/>
    <m/>
    <n v="0"/>
    <m/>
    <m/>
    <n v="0"/>
    <n v="366318"/>
    <n v="336009"/>
    <m/>
    <m/>
    <m/>
    <m/>
    <n v="0"/>
    <m/>
    <m/>
    <n v="0"/>
    <m/>
    <m/>
    <m/>
    <m/>
    <m/>
    <m/>
    <n v="366318"/>
    <n v="336009"/>
  </r>
  <r>
    <x v="0"/>
    <x v="8"/>
    <s v="Workforce Development"/>
    <m/>
    <n v="101949"/>
    <x v="8"/>
    <m/>
    <m/>
    <n v="178607"/>
    <n v="61183"/>
    <m/>
    <m/>
    <m/>
    <m/>
    <n v="0"/>
    <m/>
    <m/>
    <n v="0"/>
    <n v="178607"/>
    <n v="61183"/>
    <m/>
    <m/>
    <m/>
    <m/>
    <n v="0"/>
    <m/>
    <m/>
    <n v="0"/>
    <m/>
    <m/>
    <m/>
    <m/>
    <m/>
    <m/>
    <n v="178607"/>
    <n v="61183"/>
  </r>
  <r>
    <x v="0"/>
    <x v="0"/>
    <s v="Chattahoochee Valley State Community College "/>
    <m/>
    <n v="101028"/>
    <x v="8"/>
    <n v="5322990"/>
    <n v="5346548"/>
    <m/>
    <m/>
    <m/>
    <m/>
    <n v="5198158.57"/>
    <n v="614638"/>
    <n v="5812796.5700000003"/>
    <n v="5479102"/>
    <n v="614638"/>
    <n v="6093740"/>
    <n v="10521148.57"/>
    <n v="10825650"/>
    <m/>
    <m/>
    <m/>
    <m/>
    <n v="0"/>
    <m/>
    <m/>
    <n v="0"/>
    <m/>
    <m/>
    <m/>
    <m/>
    <m/>
    <m/>
    <n v="10521148.57"/>
    <n v="10825650"/>
  </r>
  <r>
    <x v="0"/>
    <x v="8"/>
    <s v="Special line items for education operations"/>
    <m/>
    <n v="101028"/>
    <x v="8"/>
    <m/>
    <m/>
    <m/>
    <m/>
    <m/>
    <m/>
    <m/>
    <m/>
    <n v="0"/>
    <m/>
    <m/>
    <n v="0"/>
    <n v="0"/>
    <n v="0"/>
    <m/>
    <m/>
    <m/>
    <m/>
    <n v="0"/>
    <m/>
    <m/>
    <n v="0"/>
    <m/>
    <m/>
    <m/>
    <m/>
    <m/>
    <m/>
    <n v="0"/>
    <n v="0"/>
  </r>
  <r>
    <x v="0"/>
    <x v="8"/>
    <s v="Special Population Training"/>
    <m/>
    <n v="101028"/>
    <x v="8"/>
    <m/>
    <m/>
    <n v="64761"/>
    <n v="152822"/>
    <m/>
    <m/>
    <m/>
    <m/>
    <n v="0"/>
    <m/>
    <m/>
    <n v="0"/>
    <n v="64761"/>
    <n v="152822"/>
    <m/>
    <m/>
    <m/>
    <m/>
    <n v="0"/>
    <m/>
    <m/>
    <n v="0"/>
    <m/>
    <m/>
    <m/>
    <m/>
    <m/>
    <m/>
    <n v="64761"/>
    <n v="152822"/>
  </r>
  <r>
    <x v="0"/>
    <x v="8"/>
    <s v="Adult Basic Education"/>
    <m/>
    <n v="101028"/>
    <x v="8"/>
    <m/>
    <m/>
    <n v="138526"/>
    <n v="183654"/>
    <m/>
    <m/>
    <m/>
    <m/>
    <n v="0"/>
    <m/>
    <m/>
    <n v="0"/>
    <n v="138526"/>
    <n v="183654"/>
    <m/>
    <m/>
    <m/>
    <m/>
    <n v="0"/>
    <m/>
    <m/>
    <n v="0"/>
    <m/>
    <m/>
    <m/>
    <m/>
    <m/>
    <m/>
    <n v="138526"/>
    <n v="183654"/>
  </r>
  <r>
    <x v="0"/>
    <x v="8"/>
    <s v="Workforce Development"/>
    <m/>
    <n v="101028"/>
    <x v="8"/>
    <m/>
    <m/>
    <n v="110911"/>
    <n v="30510"/>
    <m/>
    <m/>
    <m/>
    <m/>
    <n v="0"/>
    <m/>
    <m/>
    <n v="0"/>
    <n v="110911"/>
    <n v="30510"/>
    <m/>
    <m/>
    <m/>
    <m/>
    <n v="0"/>
    <m/>
    <m/>
    <n v="0"/>
    <m/>
    <m/>
    <m/>
    <m/>
    <m/>
    <m/>
    <n v="110911"/>
    <n v="30510"/>
  </r>
  <r>
    <x v="0"/>
    <x v="0"/>
    <s v="George Corley Wallace State Community College - Selma"/>
    <m/>
    <n v="101301"/>
    <x v="8"/>
    <n v="8400096"/>
    <n v="7675096"/>
    <m/>
    <m/>
    <m/>
    <m/>
    <n v="6481035.3300000001"/>
    <m/>
    <n v="6481035.3300000001"/>
    <n v="6863869"/>
    <m/>
    <n v="6863869"/>
    <n v="14881131.33"/>
    <n v="14538965"/>
    <m/>
    <m/>
    <m/>
    <m/>
    <n v="0"/>
    <m/>
    <m/>
    <n v="0"/>
    <m/>
    <m/>
    <m/>
    <m/>
    <m/>
    <m/>
    <n v="14881131.33"/>
    <n v="14538965"/>
  </r>
  <r>
    <x v="0"/>
    <x v="8"/>
    <s v="Special line items for education operations"/>
    <m/>
    <n v="101301"/>
    <x v="8"/>
    <m/>
    <m/>
    <m/>
    <m/>
    <m/>
    <m/>
    <m/>
    <m/>
    <n v="0"/>
    <m/>
    <m/>
    <n v="0"/>
    <n v="0"/>
    <n v="0"/>
    <m/>
    <m/>
    <m/>
    <m/>
    <n v="0"/>
    <m/>
    <m/>
    <n v="0"/>
    <m/>
    <m/>
    <m/>
    <m/>
    <m/>
    <m/>
    <n v="0"/>
    <n v="0"/>
  </r>
  <r>
    <x v="0"/>
    <x v="8"/>
    <s v="Special Population Training"/>
    <m/>
    <n v="101301"/>
    <x v="8"/>
    <m/>
    <m/>
    <n v="50000"/>
    <n v="152196"/>
    <m/>
    <m/>
    <m/>
    <m/>
    <n v="0"/>
    <m/>
    <m/>
    <n v="0"/>
    <n v="50000"/>
    <n v="152196"/>
    <m/>
    <m/>
    <m/>
    <m/>
    <n v="0"/>
    <m/>
    <m/>
    <n v="0"/>
    <m/>
    <m/>
    <m/>
    <m/>
    <m/>
    <m/>
    <n v="50000"/>
    <n v="152196"/>
  </r>
  <r>
    <x v="0"/>
    <x v="8"/>
    <s v="Adult Basic Education"/>
    <m/>
    <n v="101301"/>
    <x v="8"/>
    <m/>
    <m/>
    <n v="208831"/>
    <n v="216219"/>
    <m/>
    <m/>
    <m/>
    <m/>
    <n v="0"/>
    <m/>
    <m/>
    <n v="0"/>
    <n v="208831"/>
    <n v="216219"/>
    <m/>
    <m/>
    <m/>
    <m/>
    <n v="0"/>
    <m/>
    <m/>
    <n v="0"/>
    <m/>
    <m/>
    <m/>
    <m/>
    <m/>
    <m/>
    <n v="208831"/>
    <n v="216219"/>
  </r>
  <r>
    <x v="0"/>
    <x v="8"/>
    <s v="Workforce Development"/>
    <m/>
    <n v="101301"/>
    <x v="8"/>
    <m/>
    <m/>
    <n v="38484"/>
    <n v="10000"/>
    <m/>
    <m/>
    <m/>
    <m/>
    <n v="0"/>
    <m/>
    <m/>
    <n v="0"/>
    <n v="38484"/>
    <n v="10000"/>
    <m/>
    <m/>
    <m/>
    <m/>
    <n v="0"/>
    <m/>
    <m/>
    <n v="0"/>
    <m/>
    <m/>
    <m/>
    <m/>
    <m/>
    <m/>
    <n v="38484"/>
    <n v="10000"/>
  </r>
  <r>
    <x v="0"/>
    <x v="0"/>
    <s v="Jefferson Davis Community College"/>
    <m/>
    <n v="101499"/>
    <x v="8"/>
    <n v="5861094"/>
    <n v="5845241"/>
    <m/>
    <m/>
    <m/>
    <m/>
    <n v="3431106.77"/>
    <n v="176013.69"/>
    <n v="3607120.46"/>
    <n v="3605490"/>
    <n v="172755"/>
    <n v="3778245"/>
    <n v="9292200.7699999996"/>
    <n v="9450731"/>
    <m/>
    <m/>
    <m/>
    <m/>
    <n v="0"/>
    <m/>
    <m/>
    <n v="0"/>
    <m/>
    <m/>
    <m/>
    <m/>
    <m/>
    <m/>
    <n v="9292200.7699999996"/>
    <n v="9450731"/>
  </r>
  <r>
    <x v="0"/>
    <x v="8"/>
    <s v="Special line items for education operations"/>
    <m/>
    <n v="101499"/>
    <x v="8"/>
    <m/>
    <m/>
    <m/>
    <m/>
    <m/>
    <m/>
    <m/>
    <m/>
    <n v="0"/>
    <m/>
    <m/>
    <n v="0"/>
    <n v="0"/>
    <n v="0"/>
    <m/>
    <m/>
    <m/>
    <m/>
    <n v="0"/>
    <m/>
    <m/>
    <n v="0"/>
    <m/>
    <m/>
    <m/>
    <m/>
    <m/>
    <m/>
    <n v="0"/>
    <n v="0"/>
  </r>
  <r>
    <x v="0"/>
    <x v="8"/>
    <s v="Special Population Training"/>
    <m/>
    <n v="101499"/>
    <x v="8"/>
    <m/>
    <m/>
    <n v="253069"/>
    <n v="304677"/>
    <m/>
    <m/>
    <m/>
    <m/>
    <n v="0"/>
    <m/>
    <m/>
    <n v="0"/>
    <n v="253069"/>
    <n v="304677"/>
    <m/>
    <m/>
    <m/>
    <m/>
    <n v="0"/>
    <m/>
    <m/>
    <n v="0"/>
    <m/>
    <m/>
    <m/>
    <m/>
    <m/>
    <m/>
    <n v="253069"/>
    <n v="304677"/>
  </r>
  <r>
    <x v="0"/>
    <x v="8"/>
    <s v="Adult Basic Education"/>
    <m/>
    <n v="101499"/>
    <x v="8"/>
    <m/>
    <m/>
    <n v="240550"/>
    <n v="319529"/>
    <m/>
    <m/>
    <m/>
    <m/>
    <n v="0"/>
    <m/>
    <m/>
    <n v="0"/>
    <n v="240550"/>
    <n v="319529"/>
    <m/>
    <m/>
    <m/>
    <m/>
    <n v="0"/>
    <m/>
    <m/>
    <n v="0"/>
    <m/>
    <m/>
    <m/>
    <m/>
    <m/>
    <m/>
    <n v="240550"/>
    <n v="319529"/>
  </r>
  <r>
    <x v="0"/>
    <x v="8"/>
    <s v="Workforce Development"/>
    <m/>
    <n v="101499"/>
    <x v="8"/>
    <m/>
    <m/>
    <m/>
    <n v="79888"/>
    <m/>
    <m/>
    <m/>
    <m/>
    <n v="0"/>
    <m/>
    <m/>
    <n v="0"/>
    <n v="0"/>
    <n v="79888"/>
    <m/>
    <m/>
    <m/>
    <m/>
    <n v="0"/>
    <m/>
    <m/>
    <n v="0"/>
    <m/>
    <m/>
    <m/>
    <m/>
    <m/>
    <m/>
    <n v="0"/>
    <n v="79888"/>
  </r>
  <r>
    <x v="0"/>
    <x v="0"/>
    <s v="Lurleen B. Wallace Community College "/>
    <m/>
    <n v="101602"/>
    <x v="8"/>
    <n v="6956796"/>
    <n v="6681189"/>
    <m/>
    <m/>
    <m/>
    <n v="199000"/>
    <n v="5415890.7800000003"/>
    <n v="359337.5"/>
    <n v="5775228.2800000003"/>
    <n v="5299968"/>
    <n v="359098"/>
    <n v="5659066"/>
    <n v="12372686.780000001"/>
    <n v="12180157"/>
    <m/>
    <m/>
    <m/>
    <m/>
    <n v="0"/>
    <m/>
    <m/>
    <n v="0"/>
    <m/>
    <m/>
    <m/>
    <m/>
    <m/>
    <m/>
    <n v="12372686.780000001"/>
    <n v="12180157"/>
  </r>
  <r>
    <x v="0"/>
    <x v="8"/>
    <s v="Special line items for education operations"/>
    <m/>
    <n v="101602"/>
    <x v="8"/>
    <m/>
    <m/>
    <m/>
    <m/>
    <m/>
    <m/>
    <m/>
    <m/>
    <n v="0"/>
    <m/>
    <m/>
    <n v="0"/>
    <n v="0"/>
    <n v="0"/>
    <m/>
    <m/>
    <m/>
    <m/>
    <n v="0"/>
    <m/>
    <m/>
    <n v="0"/>
    <m/>
    <m/>
    <m/>
    <m/>
    <m/>
    <m/>
    <n v="0"/>
    <n v="0"/>
  </r>
  <r>
    <x v="0"/>
    <x v="8"/>
    <s v="Special Population Training"/>
    <m/>
    <n v="101602"/>
    <x v="8"/>
    <m/>
    <m/>
    <n v="269905"/>
    <n v="180717"/>
    <m/>
    <m/>
    <m/>
    <m/>
    <n v="0"/>
    <m/>
    <m/>
    <n v="0"/>
    <n v="269905"/>
    <n v="180717"/>
    <m/>
    <m/>
    <m/>
    <m/>
    <n v="0"/>
    <m/>
    <m/>
    <n v="0"/>
    <m/>
    <m/>
    <m/>
    <m/>
    <m/>
    <m/>
    <n v="269905"/>
    <n v="180717"/>
  </r>
  <r>
    <x v="0"/>
    <x v="8"/>
    <s v="Adult Basic Education"/>
    <m/>
    <n v="101602"/>
    <x v="8"/>
    <m/>
    <m/>
    <n v="175136"/>
    <n v="488303"/>
    <m/>
    <m/>
    <m/>
    <m/>
    <n v="0"/>
    <m/>
    <m/>
    <n v="0"/>
    <n v="175136"/>
    <n v="488303"/>
    <m/>
    <m/>
    <m/>
    <m/>
    <n v="0"/>
    <m/>
    <m/>
    <n v="0"/>
    <m/>
    <m/>
    <m/>
    <m/>
    <m/>
    <m/>
    <n v="175136"/>
    <n v="488303"/>
  </r>
  <r>
    <x v="0"/>
    <x v="8"/>
    <s v="Workforce Development"/>
    <m/>
    <n v="101602"/>
    <x v="8"/>
    <m/>
    <m/>
    <n v="45000"/>
    <n v="124316"/>
    <m/>
    <m/>
    <m/>
    <m/>
    <n v="0"/>
    <m/>
    <m/>
    <n v="0"/>
    <n v="45000"/>
    <n v="124316"/>
    <m/>
    <m/>
    <m/>
    <m/>
    <n v="0"/>
    <m/>
    <m/>
    <n v="0"/>
    <m/>
    <m/>
    <m/>
    <m/>
    <m/>
    <m/>
    <n v="45000"/>
    <n v="124316"/>
  </r>
  <r>
    <x v="0"/>
    <x v="0"/>
    <s v="Snead State Community College "/>
    <s v="Met the criteria for Two-Year 2 in 2012-13."/>
    <n v="102076"/>
    <x v="8"/>
    <n v="5861484"/>
    <n v="6205328"/>
    <m/>
    <m/>
    <m/>
    <m/>
    <n v="7600070.9000000004"/>
    <n v="949170.35"/>
    <n v="8549241.25"/>
    <n v="7331616"/>
    <n v="861844"/>
    <n v="8193460"/>
    <n v="13461554.9"/>
    <n v="13536944"/>
    <m/>
    <m/>
    <m/>
    <m/>
    <n v="0"/>
    <m/>
    <m/>
    <n v="0"/>
    <m/>
    <m/>
    <m/>
    <m/>
    <m/>
    <m/>
    <n v="13461554.9"/>
    <n v="13536944"/>
  </r>
  <r>
    <x v="0"/>
    <x v="8"/>
    <s v="Special line items for education operations"/>
    <m/>
    <n v="102076"/>
    <x v="8"/>
    <m/>
    <m/>
    <m/>
    <m/>
    <m/>
    <m/>
    <m/>
    <m/>
    <n v="0"/>
    <m/>
    <m/>
    <n v="0"/>
    <n v="0"/>
    <n v="0"/>
    <m/>
    <m/>
    <m/>
    <m/>
    <n v="0"/>
    <m/>
    <m/>
    <n v="0"/>
    <m/>
    <m/>
    <m/>
    <m/>
    <m/>
    <m/>
    <n v="0"/>
    <n v="0"/>
  </r>
  <r>
    <x v="0"/>
    <x v="8"/>
    <s v="Special Population Training"/>
    <m/>
    <n v="102076"/>
    <x v="8"/>
    <m/>
    <m/>
    <n v="175987"/>
    <n v="135030"/>
    <m/>
    <m/>
    <m/>
    <m/>
    <n v="0"/>
    <m/>
    <m/>
    <n v="0"/>
    <n v="175987"/>
    <n v="135030"/>
    <m/>
    <m/>
    <m/>
    <m/>
    <n v="0"/>
    <m/>
    <m/>
    <n v="0"/>
    <m/>
    <m/>
    <m/>
    <m/>
    <m/>
    <m/>
    <n v="175987"/>
    <n v="135030"/>
  </r>
  <r>
    <x v="0"/>
    <x v="8"/>
    <s v="Workforce Development"/>
    <m/>
    <n v="102076"/>
    <x v="8"/>
    <m/>
    <m/>
    <n v="150154"/>
    <n v="103375"/>
    <m/>
    <m/>
    <m/>
    <m/>
    <n v="0"/>
    <m/>
    <m/>
    <n v="0"/>
    <n v="150154"/>
    <n v="103375"/>
    <m/>
    <m/>
    <m/>
    <m/>
    <n v="0"/>
    <m/>
    <m/>
    <n v="0"/>
    <m/>
    <m/>
    <m/>
    <m/>
    <m/>
    <m/>
    <n v="150154"/>
    <n v="103375"/>
  </r>
  <r>
    <x v="0"/>
    <x v="0"/>
    <s v="Trenholm State Technical College"/>
    <m/>
    <n v="102313"/>
    <x v="9"/>
    <n v="9590348"/>
    <n v="9011348"/>
    <m/>
    <m/>
    <m/>
    <m/>
    <n v="4956514.9400000004"/>
    <n v="542314.04"/>
    <n v="5498828.9800000004"/>
    <n v="5138800"/>
    <n v="508430"/>
    <n v="5647230"/>
    <n v="14546862.940000001"/>
    <n v="14150148"/>
    <m/>
    <m/>
    <m/>
    <m/>
    <n v="0"/>
    <m/>
    <m/>
    <n v="0"/>
    <m/>
    <m/>
    <m/>
    <m/>
    <m/>
    <m/>
    <n v="14546862.940000001"/>
    <n v="14150148"/>
  </r>
  <r>
    <x v="0"/>
    <x v="8"/>
    <s v="Special line items for education operations"/>
    <m/>
    <n v="102313"/>
    <x v="9"/>
    <m/>
    <m/>
    <m/>
    <m/>
    <m/>
    <m/>
    <m/>
    <m/>
    <n v="0"/>
    <m/>
    <m/>
    <n v="0"/>
    <n v="0"/>
    <n v="0"/>
    <m/>
    <m/>
    <m/>
    <m/>
    <n v="0"/>
    <m/>
    <m/>
    <n v="0"/>
    <m/>
    <m/>
    <m/>
    <m/>
    <m/>
    <m/>
    <n v="0"/>
    <n v="0"/>
  </r>
  <r>
    <x v="0"/>
    <x v="8"/>
    <s v="Special Population Training"/>
    <m/>
    <n v="102313"/>
    <x v="9"/>
    <m/>
    <m/>
    <n v="206440"/>
    <n v="84007"/>
    <m/>
    <m/>
    <m/>
    <m/>
    <n v="0"/>
    <m/>
    <m/>
    <n v="0"/>
    <n v="206440"/>
    <n v="84007"/>
    <m/>
    <m/>
    <m/>
    <m/>
    <n v="0"/>
    <m/>
    <m/>
    <n v="0"/>
    <m/>
    <m/>
    <m/>
    <m/>
    <m/>
    <m/>
    <n v="206440"/>
    <n v="84007"/>
  </r>
  <r>
    <x v="0"/>
    <x v="8"/>
    <s v="Adult Basic Education"/>
    <m/>
    <n v="102313"/>
    <x v="9"/>
    <m/>
    <m/>
    <n v="580511"/>
    <n v="507971"/>
    <m/>
    <m/>
    <m/>
    <m/>
    <n v="0"/>
    <m/>
    <m/>
    <n v="0"/>
    <n v="580511"/>
    <n v="507971"/>
    <m/>
    <m/>
    <m/>
    <m/>
    <n v="0"/>
    <m/>
    <m/>
    <n v="0"/>
    <m/>
    <m/>
    <m/>
    <m/>
    <m/>
    <m/>
    <n v="580511"/>
    <n v="507971"/>
  </r>
  <r>
    <x v="0"/>
    <x v="8"/>
    <s v="Workforce Development"/>
    <m/>
    <n v="102313"/>
    <x v="9"/>
    <m/>
    <m/>
    <n v="136859"/>
    <n v="4875"/>
    <m/>
    <m/>
    <m/>
    <m/>
    <n v="0"/>
    <m/>
    <m/>
    <n v="0"/>
    <n v="136859"/>
    <n v="4875"/>
    <m/>
    <m/>
    <m/>
    <m/>
    <n v="0"/>
    <m/>
    <m/>
    <n v="0"/>
    <m/>
    <m/>
    <m/>
    <m/>
    <m/>
    <m/>
    <n v="136859"/>
    <n v="4875"/>
  </r>
  <r>
    <x v="0"/>
    <x v="0"/>
    <s v="J.F. Drake State Technical College "/>
    <m/>
    <n v="101462"/>
    <x v="10"/>
    <n v="4181591"/>
    <n v="4500394"/>
    <m/>
    <m/>
    <m/>
    <m/>
    <n v="3593067.17"/>
    <n v="180000"/>
    <n v="3773067.17"/>
    <n v="4586889"/>
    <n v="292687"/>
    <n v="4879576"/>
    <n v="7774658.1699999999"/>
    <n v="9087283"/>
    <m/>
    <m/>
    <m/>
    <m/>
    <n v="0"/>
    <m/>
    <m/>
    <n v="0"/>
    <m/>
    <m/>
    <m/>
    <m/>
    <m/>
    <m/>
    <n v="7774658.1699999999"/>
    <n v="9087283"/>
  </r>
  <r>
    <x v="0"/>
    <x v="8"/>
    <s v="Special line items for education operations"/>
    <m/>
    <n v="101462"/>
    <x v="10"/>
    <m/>
    <m/>
    <m/>
    <m/>
    <m/>
    <m/>
    <m/>
    <m/>
    <n v="0"/>
    <m/>
    <m/>
    <n v="0"/>
    <n v="0"/>
    <n v="0"/>
    <m/>
    <m/>
    <m/>
    <m/>
    <n v="0"/>
    <m/>
    <m/>
    <n v="0"/>
    <m/>
    <m/>
    <m/>
    <m/>
    <m/>
    <m/>
    <n v="0"/>
    <n v="0"/>
  </r>
  <r>
    <x v="0"/>
    <x v="8"/>
    <s v="Special Population Training"/>
    <m/>
    <n v="101462"/>
    <x v="10"/>
    <m/>
    <m/>
    <n v="166849"/>
    <n v="306787"/>
    <m/>
    <m/>
    <m/>
    <m/>
    <n v="0"/>
    <m/>
    <m/>
    <n v="0"/>
    <n v="166849"/>
    <n v="306787"/>
    <m/>
    <m/>
    <m/>
    <m/>
    <n v="0"/>
    <m/>
    <m/>
    <n v="0"/>
    <m/>
    <m/>
    <m/>
    <m/>
    <m/>
    <m/>
    <n v="166849"/>
    <n v="306787"/>
  </r>
  <r>
    <x v="0"/>
    <x v="8"/>
    <s v="Adult Basic Education"/>
    <m/>
    <n v="101462"/>
    <x v="10"/>
    <m/>
    <m/>
    <n v="144832"/>
    <n v="145654"/>
    <m/>
    <m/>
    <m/>
    <m/>
    <n v="0"/>
    <m/>
    <m/>
    <n v="0"/>
    <n v="144832"/>
    <n v="145654"/>
    <m/>
    <m/>
    <m/>
    <m/>
    <n v="0"/>
    <m/>
    <m/>
    <n v="0"/>
    <m/>
    <m/>
    <m/>
    <m/>
    <m/>
    <m/>
    <n v="144832"/>
    <n v="145654"/>
  </r>
  <r>
    <x v="0"/>
    <x v="8"/>
    <s v="Workforce Development"/>
    <m/>
    <n v="101462"/>
    <x v="10"/>
    <m/>
    <m/>
    <n v="65000"/>
    <m/>
    <m/>
    <m/>
    <m/>
    <m/>
    <n v="0"/>
    <m/>
    <m/>
    <n v="0"/>
    <n v="65000"/>
    <n v="0"/>
    <m/>
    <m/>
    <m/>
    <m/>
    <n v="0"/>
    <m/>
    <m/>
    <n v="0"/>
    <m/>
    <m/>
    <m/>
    <m/>
    <m/>
    <m/>
    <n v="65000"/>
    <n v="0"/>
  </r>
  <r>
    <x v="0"/>
    <x v="0"/>
    <s v="J.F. Ingram State Technical College "/>
    <m/>
    <n v="101471"/>
    <x v="10"/>
    <n v="6449850"/>
    <n v="6590537"/>
    <m/>
    <m/>
    <m/>
    <m/>
    <n v="2313827.21"/>
    <m/>
    <n v="2313827.21"/>
    <n v="2430720"/>
    <m/>
    <n v="2430720"/>
    <n v="8763677.2100000009"/>
    <n v="9021257"/>
    <m/>
    <m/>
    <m/>
    <m/>
    <n v="0"/>
    <m/>
    <m/>
    <n v="0"/>
    <m/>
    <m/>
    <m/>
    <m/>
    <m/>
    <m/>
    <n v="8763677.2100000009"/>
    <n v="9021257"/>
  </r>
  <r>
    <x v="0"/>
    <x v="8"/>
    <s v="Special line items for education operations"/>
    <m/>
    <n v="101471"/>
    <x v="10"/>
    <m/>
    <m/>
    <m/>
    <m/>
    <m/>
    <m/>
    <m/>
    <m/>
    <n v="0"/>
    <m/>
    <m/>
    <n v="0"/>
    <n v="0"/>
    <n v="0"/>
    <m/>
    <m/>
    <m/>
    <m/>
    <n v="0"/>
    <m/>
    <m/>
    <n v="0"/>
    <m/>
    <m/>
    <m/>
    <m/>
    <m/>
    <m/>
    <n v="0"/>
    <n v="0"/>
  </r>
  <r>
    <x v="0"/>
    <x v="8"/>
    <s v="Special Population Training"/>
    <m/>
    <n v="101471"/>
    <x v="10"/>
    <m/>
    <m/>
    <n v="21272"/>
    <n v="88500"/>
    <m/>
    <m/>
    <m/>
    <m/>
    <n v="0"/>
    <m/>
    <m/>
    <n v="0"/>
    <n v="21272"/>
    <n v="88500"/>
    <m/>
    <m/>
    <m/>
    <m/>
    <n v="0"/>
    <m/>
    <m/>
    <n v="0"/>
    <m/>
    <m/>
    <m/>
    <m/>
    <m/>
    <m/>
    <n v="21272"/>
    <n v="88500"/>
  </r>
  <r>
    <x v="0"/>
    <x v="8"/>
    <s v="Adult Basic Education"/>
    <m/>
    <n v="101471"/>
    <x v="10"/>
    <m/>
    <m/>
    <n v="564502"/>
    <n v="495637"/>
    <m/>
    <m/>
    <m/>
    <m/>
    <n v="0"/>
    <m/>
    <m/>
    <n v="0"/>
    <n v="564502"/>
    <n v="495637"/>
    <m/>
    <m/>
    <m/>
    <m/>
    <n v="0"/>
    <m/>
    <m/>
    <n v="0"/>
    <m/>
    <m/>
    <m/>
    <m/>
    <m/>
    <m/>
    <n v="564502"/>
    <n v="495637"/>
  </r>
  <r>
    <x v="0"/>
    <x v="8"/>
    <s v="Workforce Development"/>
    <m/>
    <n v="101471"/>
    <x v="10"/>
    <m/>
    <m/>
    <m/>
    <n v="7908"/>
    <m/>
    <m/>
    <m/>
    <m/>
    <n v="0"/>
    <m/>
    <m/>
    <n v="0"/>
    <n v="0"/>
    <n v="7908"/>
    <m/>
    <m/>
    <m/>
    <m/>
    <n v="0"/>
    <m/>
    <m/>
    <n v="0"/>
    <m/>
    <m/>
    <m/>
    <m/>
    <m/>
    <m/>
    <n v="0"/>
    <n v="7908"/>
  </r>
  <r>
    <x v="0"/>
    <x v="0"/>
    <s v="Reid State Technical College "/>
    <m/>
    <n v="101994"/>
    <x v="10"/>
    <n v="4141837"/>
    <n v="4201032"/>
    <m/>
    <m/>
    <m/>
    <m/>
    <n v="2222479.9700000002"/>
    <n v="249569.38"/>
    <n v="2472049.35"/>
    <n v="2148780"/>
    <n v="249668"/>
    <n v="2398448"/>
    <n v="6364316.9700000007"/>
    <n v="6349812"/>
    <m/>
    <m/>
    <m/>
    <m/>
    <n v="0"/>
    <m/>
    <m/>
    <n v="0"/>
    <m/>
    <m/>
    <m/>
    <m/>
    <m/>
    <m/>
    <n v="6364316.9700000007"/>
    <n v="6349812"/>
  </r>
  <r>
    <x v="0"/>
    <x v="8"/>
    <s v="Special line items for education operations"/>
    <m/>
    <n v="101994"/>
    <x v="10"/>
    <m/>
    <m/>
    <m/>
    <m/>
    <m/>
    <m/>
    <m/>
    <m/>
    <n v="0"/>
    <m/>
    <m/>
    <n v="0"/>
    <n v="0"/>
    <n v="0"/>
    <m/>
    <m/>
    <m/>
    <m/>
    <n v="0"/>
    <m/>
    <m/>
    <n v="0"/>
    <m/>
    <m/>
    <m/>
    <m/>
    <m/>
    <m/>
    <n v="0"/>
    <n v="0"/>
  </r>
  <r>
    <x v="0"/>
    <x v="8"/>
    <s v="Special Population Training"/>
    <m/>
    <n v="101994"/>
    <x v="10"/>
    <m/>
    <m/>
    <n v="113000"/>
    <n v="118029"/>
    <m/>
    <m/>
    <m/>
    <m/>
    <n v="0"/>
    <m/>
    <m/>
    <n v="0"/>
    <n v="113000"/>
    <n v="118029"/>
    <m/>
    <m/>
    <m/>
    <m/>
    <n v="0"/>
    <m/>
    <m/>
    <n v="0"/>
    <m/>
    <m/>
    <m/>
    <m/>
    <m/>
    <m/>
    <n v="113000"/>
    <n v="118029"/>
  </r>
  <r>
    <x v="0"/>
    <x v="8"/>
    <s v="Adult Basic Education"/>
    <m/>
    <n v="101994"/>
    <x v="10"/>
    <m/>
    <m/>
    <n v="158727"/>
    <n v="175699"/>
    <m/>
    <m/>
    <m/>
    <m/>
    <n v="0"/>
    <m/>
    <m/>
    <n v="0"/>
    <n v="158727"/>
    <n v="175699"/>
    <m/>
    <m/>
    <m/>
    <m/>
    <n v="0"/>
    <m/>
    <m/>
    <n v="0"/>
    <m/>
    <m/>
    <m/>
    <m/>
    <m/>
    <m/>
    <n v="158727"/>
    <n v="175699"/>
  </r>
  <r>
    <x v="0"/>
    <x v="8"/>
    <s v="Workforce Development"/>
    <m/>
    <n v="101994"/>
    <x v="10"/>
    <m/>
    <m/>
    <n v="153000"/>
    <m/>
    <m/>
    <m/>
    <m/>
    <m/>
    <n v="0"/>
    <m/>
    <m/>
    <n v="0"/>
    <n v="153000"/>
    <n v="0"/>
    <m/>
    <m/>
    <m/>
    <m/>
    <n v="0"/>
    <m/>
    <m/>
    <n v="0"/>
    <m/>
    <m/>
    <m/>
    <m/>
    <m/>
    <m/>
    <n v="153000"/>
    <n v="0"/>
  </r>
  <r>
    <x v="0"/>
    <x v="9"/>
    <s v="Marion Military Institute"/>
    <m/>
    <n v="101648"/>
    <x v="11"/>
    <m/>
    <m/>
    <m/>
    <m/>
    <m/>
    <m/>
    <m/>
    <m/>
    <n v="0"/>
    <m/>
    <m/>
    <n v="0"/>
    <n v="0"/>
    <n v="0"/>
    <n v="6052192"/>
    <n v="5875936"/>
    <n v="4009393"/>
    <n v="141498"/>
    <n v="4150891"/>
    <n v="3747000"/>
    <n v="177000"/>
    <n v="3924000"/>
    <m/>
    <m/>
    <m/>
    <m/>
    <m/>
    <m/>
    <n v="10061585"/>
    <n v="9622936"/>
  </r>
  <r>
    <x v="0"/>
    <x v="10"/>
    <s v="Educational special purpose funds - to statewide units"/>
    <m/>
    <m/>
    <x v="12"/>
    <m/>
    <m/>
    <m/>
    <m/>
    <m/>
    <m/>
    <m/>
    <m/>
    <n v="0"/>
    <m/>
    <m/>
    <n v="0"/>
    <n v="0"/>
    <n v="0"/>
    <m/>
    <m/>
    <m/>
    <m/>
    <n v="0"/>
    <m/>
    <m/>
    <n v="0"/>
    <m/>
    <m/>
    <m/>
    <m/>
    <m/>
    <m/>
    <n v="0"/>
    <n v="0"/>
  </r>
  <r>
    <x v="0"/>
    <x v="11"/>
    <s v="Research centers/institutes"/>
    <m/>
    <m/>
    <x v="12"/>
    <m/>
    <m/>
    <m/>
    <m/>
    <m/>
    <m/>
    <m/>
    <m/>
    <n v="0"/>
    <m/>
    <m/>
    <n v="0"/>
    <n v="0"/>
    <n v="0"/>
    <m/>
    <m/>
    <m/>
    <m/>
    <n v="0"/>
    <m/>
    <m/>
    <n v="0"/>
    <m/>
    <m/>
    <m/>
    <m/>
    <m/>
    <m/>
    <n v="0"/>
    <n v="0"/>
  </r>
  <r>
    <x v="0"/>
    <x v="11"/>
    <s v="Exprmntl Prog. for the Stimulation of Competitive Rsrch (EPSCOR) Consort."/>
    <m/>
    <m/>
    <x v="12"/>
    <m/>
    <m/>
    <n v="1201924"/>
    <n v="1143088"/>
    <m/>
    <m/>
    <m/>
    <m/>
    <n v="0"/>
    <m/>
    <m/>
    <n v="0"/>
    <n v="1201924"/>
    <n v="1143088"/>
    <m/>
    <m/>
    <m/>
    <m/>
    <n v="0"/>
    <m/>
    <m/>
    <n v="0"/>
    <m/>
    <m/>
    <m/>
    <m/>
    <m/>
    <m/>
    <n v="1201924"/>
    <n v="1143088"/>
  </r>
  <r>
    <x v="0"/>
    <x v="11"/>
    <s v="MESC/Dauphin Isl Sealab/Marine Environmental Sci Consort."/>
    <m/>
    <m/>
    <x v="12"/>
    <m/>
    <m/>
    <n v="3677464"/>
    <n v="3603915"/>
    <m/>
    <m/>
    <m/>
    <m/>
    <n v="0"/>
    <m/>
    <m/>
    <n v="0"/>
    <n v="3677464"/>
    <n v="3603915"/>
    <m/>
    <m/>
    <m/>
    <m/>
    <n v="0"/>
    <m/>
    <m/>
    <n v="0"/>
    <m/>
    <m/>
    <m/>
    <m/>
    <m/>
    <m/>
    <n v="3677464"/>
    <n v="3603915"/>
  </r>
  <r>
    <x v="0"/>
    <x v="12"/>
    <s v="Special line items for education operations"/>
    <m/>
    <m/>
    <x v="12"/>
    <m/>
    <m/>
    <m/>
    <m/>
    <m/>
    <m/>
    <m/>
    <m/>
    <n v="0"/>
    <m/>
    <m/>
    <n v="0"/>
    <n v="0"/>
    <n v="0"/>
    <m/>
    <m/>
    <m/>
    <m/>
    <n v="0"/>
    <m/>
    <m/>
    <n v="0"/>
    <m/>
    <m/>
    <m/>
    <m/>
    <m/>
    <m/>
    <n v="0"/>
    <n v="0"/>
  </r>
  <r>
    <x v="0"/>
    <x v="12"/>
    <s v="Network of Al Academic Libraries (NAAL)"/>
    <m/>
    <m/>
    <x v="12"/>
    <m/>
    <m/>
    <n v="412590"/>
    <n v="301248"/>
    <m/>
    <m/>
    <m/>
    <m/>
    <n v="0"/>
    <m/>
    <m/>
    <n v="0"/>
    <n v="412590"/>
    <n v="301248"/>
    <m/>
    <m/>
    <m/>
    <m/>
    <n v="0"/>
    <m/>
    <m/>
    <n v="0"/>
    <m/>
    <m/>
    <m/>
    <m/>
    <m/>
    <m/>
    <n v="412590"/>
    <n v="301248"/>
  </r>
  <r>
    <x v="0"/>
    <x v="12"/>
    <s v="AL Agricultural LG Alliance"/>
    <m/>
    <m/>
    <x v="12"/>
    <m/>
    <m/>
    <n v="839524"/>
    <n v="922451"/>
    <m/>
    <m/>
    <m/>
    <m/>
    <n v="0"/>
    <m/>
    <m/>
    <n v="0"/>
    <n v="839524"/>
    <n v="922451"/>
    <m/>
    <m/>
    <m/>
    <m/>
    <n v="0"/>
    <m/>
    <m/>
    <n v="0"/>
    <m/>
    <m/>
    <m/>
    <m/>
    <m/>
    <m/>
    <n v="839524"/>
    <n v="922451"/>
  </r>
  <r>
    <x v="0"/>
    <x v="12"/>
    <s v="AL Firefighters' Personnel Standards &amp; Ed Commission’s “Alabama Fire College”"/>
    <m/>
    <m/>
    <x v="12"/>
    <m/>
    <m/>
    <n v="3731064"/>
    <n v="2899521"/>
    <m/>
    <m/>
    <m/>
    <m/>
    <n v="0"/>
    <m/>
    <m/>
    <n v="0"/>
    <n v="3731064"/>
    <n v="2899521"/>
    <m/>
    <m/>
    <m/>
    <m/>
    <n v="0"/>
    <m/>
    <m/>
    <n v="0"/>
    <m/>
    <m/>
    <m/>
    <m/>
    <m/>
    <m/>
    <n v="3731064"/>
    <n v="2899521"/>
  </r>
  <r>
    <x v="0"/>
    <x v="12"/>
    <s v="Adult Basic Education"/>
    <m/>
    <m/>
    <x v="12"/>
    <m/>
    <m/>
    <n v="5187889"/>
    <n v="825132"/>
    <m/>
    <m/>
    <m/>
    <m/>
    <n v="0"/>
    <m/>
    <m/>
    <n v="0"/>
    <n v="5187889"/>
    <n v="825132"/>
    <m/>
    <m/>
    <m/>
    <m/>
    <n v="0"/>
    <m/>
    <m/>
    <n v="0"/>
    <m/>
    <m/>
    <m/>
    <m/>
    <m/>
    <m/>
    <n v="5187889"/>
    <n v="825132"/>
  </r>
  <r>
    <x v="0"/>
    <x v="12"/>
    <s v="Alabama Technology Network"/>
    <m/>
    <m/>
    <x v="12"/>
    <m/>
    <m/>
    <n v="4680370"/>
    <n v="4586762"/>
    <m/>
    <m/>
    <m/>
    <m/>
    <n v="0"/>
    <m/>
    <m/>
    <n v="0"/>
    <n v="4680370"/>
    <n v="4586762"/>
    <m/>
    <m/>
    <m/>
    <m/>
    <n v="0"/>
    <m/>
    <m/>
    <n v="0"/>
    <m/>
    <m/>
    <m/>
    <m/>
    <m/>
    <m/>
    <n v="4680370"/>
    <n v="4586762"/>
  </r>
  <r>
    <x v="0"/>
    <x v="12"/>
    <s v="Special Population Training"/>
    <m/>
    <m/>
    <x v="12"/>
    <m/>
    <m/>
    <n v="261075"/>
    <n v="951980"/>
    <m/>
    <m/>
    <m/>
    <m/>
    <n v="0"/>
    <m/>
    <m/>
    <n v="0"/>
    <n v="261075"/>
    <n v="951980"/>
    <m/>
    <m/>
    <m/>
    <m/>
    <n v="0"/>
    <m/>
    <m/>
    <n v="0"/>
    <m/>
    <m/>
    <m/>
    <m/>
    <m/>
    <m/>
    <n v="261075"/>
    <n v="951980"/>
  </r>
  <r>
    <x v="0"/>
    <x v="12"/>
    <s v="Prison Education - Therapeutic Training"/>
    <m/>
    <m/>
    <x v="12"/>
    <m/>
    <m/>
    <n v="1999898"/>
    <n v="1939901"/>
    <m/>
    <m/>
    <m/>
    <m/>
    <n v="0"/>
    <m/>
    <m/>
    <n v="0"/>
    <n v="1999898"/>
    <n v="1939901"/>
    <m/>
    <m/>
    <m/>
    <m/>
    <n v="0"/>
    <m/>
    <m/>
    <n v="0"/>
    <m/>
    <m/>
    <m/>
    <m/>
    <m/>
    <m/>
    <n v="1999898"/>
    <n v="1939901"/>
  </r>
  <r>
    <x v="0"/>
    <x v="12"/>
    <s v="LifeTech"/>
    <m/>
    <m/>
    <x v="12"/>
    <m/>
    <m/>
    <m/>
    <n v="2300000"/>
    <m/>
    <m/>
    <m/>
    <m/>
    <n v="0"/>
    <m/>
    <m/>
    <n v="0"/>
    <n v="0"/>
    <n v="2300000"/>
    <m/>
    <m/>
    <m/>
    <m/>
    <n v="0"/>
    <m/>
    <m/>
    <n v="0"/>
    <m/>
    <m/>
    <m/>
    <m/>
    <m/>
    <m/>
    <n v="0"/>
    <n v="2300000"/>
  </r>
  <r>
    <x v="0"/>
    <x v="12"/>
    <s v="Workforce Development"/>
    <m/>
    <m/>
    <x v="12"/>
    <m/>
    <m/>
    <n v="1448013"/>
    <n v="559689"/>
    <m/>
    <m/>
    <m/>
    <m/>
    <n v="0"/>
    <m/>
    <m/>
    <n v="0"/>
    <n v="1448013"/>
    <n v="559689"/>
    <m/>
    <m/>
    <m/>
    <m/>
    <n v="0"/>
    <m/>
    <m/>
    <n v="0"/>
    <m/>
    <m/>
    <m/>
    <m/>
    <m/>
    <m/>
    <n v="1448013"/>
    <n v="559689"/>
  </r>
  <r>
    <x v="0"/>
    <x v="12"/>
    <s v="Washington Ctr Internship Pgm"/>
    <m/>
    <m/>
    <x v="12"/>
    <m/>
    <m/>
    <n v="29799"/>
    <n v="23040"/>
    <m/>
    <m/>
    <m/>
    <m/>
    <n v="0"/>
    <m/>
    <m/>
    <n v="0"/>
    <n v="29799"/>
    <n v="23040"/>
    <m/>
    <m/>
    <m/>
    <m/>
    <n v="0"/>
    <m/>
    <m/>
    <n v="0"/>
    <m/>
    <m/>
    <m/>
    <m/>
    <m/>
    <m/>
    <n v="29799"/>
    <n v="23040"/>
  </r>
  <r>
    <x v="0"/>
    <x v="12"/>
    <s v="ESL Program"/>
    <m/>
    <m/>
    <x v="12"/>
    <m/>
    <m/>
    <n v="194000"/>
    <m/>
    <m/>
    <m/>
    <m/>
    <m/>
    <n v="0"/>
    <m/>
    <m/>
    <n v="0"/>
    <n v="194000"/>
    <n v="0"/>
    <m/>
    <m/>
    <m/>
    <m/>
    <n v="0"/>
    <m/>
    <m/>
    <n v="0"/>
    <m/>
    <m/>
    <m/>
    <m/>
    <m/>
    <m/>
    <n v="194000"/>
    <n v="0"/>
  </r>
  <r>
    <x v="0"/>
    <x v="12"/>
    <s v="Mine Safety Training Pgm"/>
    <m/>
    <m/>
    <x v="12"/>
    <m/>
    <m/>
    <n v="237768"/>
    <n v="320635"/>
    <m/>
    <m/>
    <m/>
    <m/>
    <n v="0"/>
    <m/>
    <m/>
    <n v="0"/>
    <n v="237768"/>
    <n v="320635"/>
    <m/>
    <m/>
    <m/>
    <m/>
    <n v="0"/>
    <m/>
    <m/>
    <n v="0"/>
    <m/>
    <m/>
    <m/>
    <m/>
    <m/>
    <m/>
    <n v="237768"/>
    <n v="320635"/>
  </r>
  <r>
    <x v="0"/>
    <x v="12"/>
    <s v="Department of Commerce"/>
    <m/>
    <m/>
    <x v="12"/>
    <m/>
    <m/>
    <n v="35746393"/>
    <m/>
    <m/>
    <m/>
    <m/>
    <m/>
    <n v="0"/>
    <m/>
    <m/>
    <n v="0"/>
    <n v="35746393"/>
    <n v="0"/>
    <m/>
    <m/>
    <m/>
    <m/>
    <n v="0"/>
    <m/>
    <m/>
    <n v="0"/>
    <m/>
    <m/>
    <m/>
    <m/>
    <m/>
    <m/>
    <n v="35746393"/>
    <n v="0"/>
  </r>
  <r>
    <x v="0"/>
    <x v="13"/>
    <s v="Educational special purpose funds - all other"/>
    <m/>
    <m/>
    <x v="12"/>
    <m/>
    <m/>
    <m/>
    <m/>
    <m/>
    <m/>
    <m/>
    <m/>
    <n v="0"/>
    <m/>
    <m/>
    <n v="0"/>
    <n v="0"/>
    <n v="0"/>
    <m/>
    <m/>
    <m/>
    <m/>
    <n v="0"/>
    <m/>
    <m/>
    <n v="0"/>
    <m/>
    <m/>
    <m/>
    <m/>
    <m/>
    <m/>
    <n v="0"/>
    <n v="0"/>
  </r>
  <r>
    <x v="0"/>
    <x v="13"/>
    <s v="Telephone Revolving Fund"/>
    <m/>
    <m/>
    <x v="12"/>
    <m/>
    <m/>
    <n v="109585"/>
    <m/>
    <m/>
    <m/>
    <m/>
    <m/>
    <n v="0"/>
    <m/>
    <m/>
    <n v="0"/>
    <n v="109585"/>
    <n v="0"/>
    <m/>
    <m/>
    <m/>
    <m/>
    <n v="0"/>
    <m/>
    <m/>
    <n v="0"/>
    <m/>
    <m/>
    <m/>
    <m/>
    <m/>
    <m/>
    <n v="109585"/>
    <n v="0"/>
  </r>
  <r>
    <x v="0"/>
    <x v="13"/>
    <s v="Articulation "/>
    <m/>
    <m/>
    <x v="12"/>
    <m/>
    <m/>
    <n v="395808"/>
    <n v="374867"/>
    <m/>
    <m/>
    <m/>
    <m/>
    <n v="0"/>
    <m/>
    <m/>
    <n v="0"/>
    <n v="395808"/>
    <n v="374867"/>
    <m/>
    <m/>
    <m/>
    <m/>
    <n v="0"/>
    <m/>
    <m/>
    <n v="0"/>
    <m/>
    <m/>
    <m/>
    <m/>
    <m/>
    <m/>
    <n v="395808"/>
    <n v="374867"/>
  </r>
  <r>
    <x v="0"/>
    <x v="13"/>
    <s v="Knight v Alabama"/>
    <m/>
    <m/>
    <x v="12"/>
    <m/>
    <m/>
    <n v="1682413"/>
    <n v="1750745"/>
    <m/>
    <m/>
    <m/>
    <m/>
    <n v="0"/>
    <m/>
    <m/>
    <n v="0"/>
    <n v="1682413"/>
    <n v="1750745"/>
    <m/>
    <m/>
    <m/>
    <m/>
    <n v="0"/>
    <m/>
    <m/>
    <n v="0"/>
    <m/>
    <m/>
    <m/>
    <m/>
    <m/>
    <m/>
    <n v="1682413"/>
    <n v="1750745"/>
  </r>
  <r>
    <x v="0"/>
    <x v="13"/>
    <s v="School &amp; University Partnership for Education Renewal "/>
    <m/>
    <m/>
    <x v="12"/>
    <m/>
    <m/>
    <n v="41954"/>
    <n v="40276"/>
    <m/>
    <m/>
    <m/>
    <m/>
    <n v="0"/>
    <m/>
    <m/>
    <n v="0"/>
    <n v="41954"/>
    <n v="40276"/>
    <m/>
    <m/>
    <m/>
    <m/>
    <n v="0"/>
    <m/>
    <m/>
    <n v="0"/>
    <m/>
    <m/>
    <m/>
    <m/>
    <m/>
    <m/>
    <n v="41954"/>
    <n v="40276"/>
  </r>
  <r>
    <x v="0"/>
    <x v="13"/>
    <s v="Soil &amp; Water Conservation"/>
    <m/>
    <m/>
    <x v="12"/>
    <m/>
    <m/>
    <n v="805600"/>
    <m/>
    <m/>
    <m/>
    <m/>
    <m/>
    <n v="0"/>
    <m/>
    <m/>
    <n v="0"/>
    <n v="805600"/>
    <n v="0"/>
    <m/>
    <m/>
    <m/>
    <m/>
    <n v="0"/>
    <m/>
    <m/>
    <n v="0"/>
    <m/>
    <m/>
    <m/>
    <m/>
    <m/>
    <m/>
    <n v="805600"/>
    <n v="0"/>
  </r>
  <r>
    <x v="0"/>
    <x v="13"/>
    <s v="AL Forestry Blackbelt Initiative"/>
    <m/>
    <m/>
    <x v="12"/>
    <m/>
    <m/>
    <n v="200000"/>
    <m/>
    <m/>
    <m/>
    <m/>
    <m/>
    <n v="0"/>
    <m/>
    <m/>
    <n v="0"/>
    <n v="200000"/>
    <n v="0"/>
    <m/>
    <m/>
    <m/>
    <m/>
    <n v="0"/>
    <m/>
    <m/>
    <n v="0"/>
    <m/>
    <m/>
    <m/>
    <m/>
    <m/>
    <m/>
    <n v="200000"/>
    <n v="0"/>
  </r>
  <r>
    <x v="0"/>
    <x v="13"/>
    <s v="Resource Conservation  &amp; Develop Prgm."/>
    <m/>
    <m/>
    <x v="12"/>
    <m/>
    <m/>
    <n v="716400"/>
    <m/>
    <m/>
    <m/>
    <m/>
    <m/>
    <n v="0"/>
    <m/>
    <m/>
    <n v="0"/>
    <n v="716400"/>
    <n v="0"/>
    <m/>
    <m/>
    <m/>
    <m/>
    <n v="0"/>
    <m/>
    <m/>
    <n v="0"/>
    <m/>
    <m/>
    <m/>
    <m/>
    <m/>
    <m/>
    <n v="716400"/>
    <n v="0"/>
  </r>
  <r>
    <x v="0"/>
    <x v="13"/>
    <s v="Alabama Innovation Fund"/>
    <m/>
    <m/>
    <x v="12"/>
    <m/>
    <m/>
    <s v=" "/>
    <m/>
    <m/>
    <m/>
    <m/>
    <m/>
    <n v="0"/>
    <m/>
    <m/>
    <n v="0"/>
    <n v="0"/>
    <n v="0"/>
    <m/>
    <m/>
    <m/>
    <m/>
    <n v="0"/>
    <m/>
    <m/>
    <n v="0"/>
    <m/>
    <m/>
    <m/>
    <m/>
    <m/>
    <m/>
    <n v="0"/>
    <n v="0"/>
  </r>
  <r>
    <x v="0"/>
    <x v="14"/>
    <s v="Statewide System Operations"/>
    <m/>
    <m/>
    <x v="12"/>
    <m/>
    <m/>
    <m/>
    <m/>
    <m/>
    <m/>
    <m/>
    <m/>
    <n v="0"/>
    <m/>
    <m/>
    <n v="0"/>
    <n v="0"/>
    <n v="0"/>
    <m/>
    <m/>
    <m/>
    <m/>
    <n v="0"/>
    <m/>
    <m/>
    <n v="0"/>
    <m/>
    <m/>
    <m/>
    <m/>
    <m/>
    <m/>
    <n v="0"/>
    <n v="0"/>
  </r>
  <r>
    <x v="0"/>
    <x v="15"/>
    <s v="Colleges and universities"/>
    <m/>
    <m/>
    <x v="12"/>
    <m/>
    <m/>
    <m/>
    <m/>
    <m/>
    <m/>
    <m/>
    <m/>
    <n v="0"/>
    <m/>
    <m/>
    <n v="0"/>
    <n v="0"/>
    <n v="0"/>
    <m/>
    <m/>
    <m/>
    <m/>
    <n v="0"/>
    <m/>
    <m/>
    <n v="0"/>
    <m/>
    <m/>
    <m/>
    <m/>
    <m/>
    <m/>
    <n v="0"/>
    <n v="0"/>
  </r>
  <r>
    <x v="0"/>
    <x v="15"/>
    <s v="Commission on Higher Education (CHE) Operations "/>
    <m/>
    <m/>
    <x v="12"/>
    <m/>
    <m/>
    <m/>
    <m/>
    <m/>
    <m/>
    <m/>
    <m/>
    <n v="0"/>
    <m/>
    <m/>
    <n v="0"/>
    <n v="0"/>
    <n v="0"/>
    <n v="3550359"/>
    <n v="2702892"/>
    <m/>
    <m/>
    <n v="0"/>
    <m/>
    <m/>
    <n v="0"/>
    <m/>
    <m/>
    <m/>
    <m/>
    <m/>
    <m/>
    <n v="3550359"/>
    <n v="2702892"/>
  </r>
  <r>
    <x v="0"/>
    <x v="16"/>
    <s v="Two-year system(s), if any"/>
    <m/>
    <m/>
    <x v="12"/>
    <m/>
    <m/>
    <m/>
    <m/>
    <m/>
    <m/>
    <m/>
    <m/>
    <n v="0"/>
    <m/>
    <m/>
    <n v="0"/>
    <n v="0"/>
    <n v="0"/>
    <m/>
    <m/>
    <m/>
    <m/>
    <n v="0"/>
    <m/>
    <m/>
    <n v="0"/>
    <m/>
    <m/>
    <m/>
    <m/>
    <m/>
    <m/>
    <n v="0"/>
    <n v="0"/>
  </r>
  <r>
    <x v="0"/>
    <x v="16"/>
    <s v="Department of Postsecondary Education Operations"/>
    <m/>
    <m/>
    <x v="12"/>
    <m/>
    <m/>
    <m/>
    <m/>
    <m/>
    <m/>
    <m/>
    <m/>
    <n v="0"/>
    <m/>
    <m/>
    <n v="0"/>
    <n v="0"/>
    <n v="0"/>
    <n v="6906612"/>
    <n v="5985567"/>
    <m/>
    <m/>
    <n v="0"/>
    <m/>
    <m/>
    <n v="0"/>
    <m/>
    <m/>
    <m/>
    <m/>
    <m/>
    <m/>
    <n v="6906612"/>
    <n v="5985567"/>
  </r>
  <r>
    <x v="0"/>
    <x v="17"/>
    <s v="National or regional associations, compacts or consortia"/>
    <m/>
    <m/>
    <x v="12"/>
    <m/>
    <m/>
    <m/>
    <m/>
    <m/>
    <m/>
    <m/>
    <m/>
    <n v="0"/>
    <m/>
    <m/>
    <n v="0"/>
    <n v="0"/>
    <n v="0"/>
    <m/>
    <m/>
    <m/>
    <m/>
    <n v="0"/>
    <m/>
    <m/>
    <n v="0"/>
    <m/>
    <m/>
    <m/>
    <m/>
    <m/>
    <m/>
    <n v="0"/>
    <n v="0"/>
  </r>
  <r>
    <x v="0"/>
    <x v="17"/>
    <s v="SREB Membership  *"/>
    <m/>
    <m/>
    <x v="12"/>
    <m/>
    <m/>
    <m/>
    <m/>
    <m/>
    <m/>
    <m/>
    <m/>
    <n v="0"/>
    <m/>
    <m/>
    <n v="0"/>
    <n v="0"/>
    <n v="0"/>
    <n v="201550"/>
    <n v="205000"/>
    <m/>
    <m/>
    <n v="0"/>
    <m/>
    <m/>
    <n v="0"/>
    <m/>
    <m/>
    <m/>
    <m/>
    <m/>
    <m/>
    <n v="201550"/>
    <n v="205000"/>
  </r>
  <r>
    <x v="0"/>
    <x v="17"/>
    <s v="SREB ACHE Administrative Costs"/>
    <m/>
    <m/>
    <x v="12"/>
    <m/>
    <m/>
    <m/>
    <m/>
    <m/>
    <m/>
    <m/>
    <m/>
    <n v="0"/>
    <m/>
    <m/>
    <n v="0"/>
    <n v="0"/>
    <n v="0"/>
    <n v="61287"/>
    <n v="69000"/>
    <m/>
    <m/>
    <n v="0"/>
    <m/>
    <m/>
    <n v="0"/>
    <m/>
    <m/>
    <m/>
    <m/>
    <m/>
    <m/>
    <n v="61287"/>
    <n v="69000"/>
  </r>
  <r>
    <x v="0"/>
    <x v="18"/>
    <s v="Adm. of Statewide Student Aid Progs. (including centralized guaranteed student loans)"/>
    <m/>
    <m/>
    <x v="12"/>
    <m/>
    <m/>
    <m/>
    <m/>
    <m/>
    <m/>
    <m/>
    <m/>
    <n v="0"/>
    <m/>
    <m/>
    <n v="0"/>
    <n v="0"/>
    <n v="0"/>
    <n v="139933"/>
    <n v="158715"/>
    <m/>
    <m/>
    <n v="0"/>
    <m/>
    <m/>
    <n v="0"/>
    <m/>
    <m/>
    <m/>
    <m/>
    <m/>
    <m/>
    <n v="139933"/>
    <n v="158715"/>
  </r>
  <r>
    <x v="0"/>
    <x v="19"/>
    <s v="State Support to Private Colleges Other Than Student Aid"/>
    <m/>
    <m/>
    <x v="12"/>
    <m/>
    <m/>
    <m/>
    <m/>
    <m/>
    <m/>
    <m/>
    <m/>
    <n v="0"/>
    <m/>
    <m/>
    <n v="0"/>
    <n v="0"/>
    <n v="0"/>
    <m/>
    <m/>
    <m/>
    <m/>
    <n v="0"/>
    <m/>
    <m/>
    <n v="0"/>
    <m/>
    <m/>
    <m/>
    <m/>
    <m/>
    <m/>
    <n v="0"/>
    <n v="0"/>
  </r>
  <r>
    <x v="0"/>
    <x v="19"/>
    <s v="AL A&amp;M-Miles College Consortium"/>
    <m/>
    <m/>
    <x v="12"/>
    <m/>
    <m/>
    <m/>
    <m/>
    <m/>
    <m/>
    <m/>
    <m/>
    <n v="0"/>
    <m/>
    <m/>
    <n v="0"/>
    <n v="0"/>
    <n v="0"/>
    <n v="269422"/>
    <n v="258645"/>
    <m/>
    <m/>
    <n v="0"/>
    <m/>
    <m/>
    <n v="0"/>
    <m/>
    <m/>
    <m/>
    <m/>
    <m/>
    <m/>
    <n v="269422"/>
    <n v="258645"/>
  </r>
  <r>
    <x v="0"/>
    <x v="19"/>
    <s v="Talladega College"/>
    <m/>
    <m/>
    <x v="12"/>
    <m/>
    <m/>
    <m/>
    <m/>
    <m/>
    <m/>
    <m/>
    <m/>
    <n v="0"/>
    <m/>
    <m/>
    <n v="0"/>
    <n v="0"/>
    <n v="0"/>
    <n v="622639"/>
    <n v="582997"/>
    <m/>
    <m/>
    <n v="0"/>
    <m/>
    <m/>
    <n v="0"/>
    <m/>
    <m/>
    <m/>
    <m/>
    <m/>
    <m/>
    <n v="622639"/>
    <n v="582997"/>
  </r>
  <r>
    <x v="0"/>
    <x v="19"/>
    <s v="Tuskegee University"/>
    <m/>
    <m/>
    <x v="12"/>
    <m/>
    <m/>
    <m/>
    <m/>
    <m/>
    <m/>
    <m/>
    <m/>
    <n v="0"/>
    <m/>
    <m/>
    <n v="0"/>
    <n v="0"/>
    <n v="0"/>
    <n v="9412870"/>
    <n v="8942227"/>
    <m/>
    <m/>
    <n v="0"/>
    <m/>
    <m/>
    <n v="0"/>
    <m/>
    <m/>
    <m/>
    <m/>
    <m/>
    <m/>
    <n v="9412870"/>
    <n v="8942227"/>
  </r>
  <r>
    <x v="0"/>
    <x v="19"/>
    <s v="AL Agricultural LG Alliance Tuskegee University"/>
    <m/>
    <m/>
    <x v="12"/>
    <m/>
    <m/>
    <m/>
    <m/>
    <m/>
    <m/>
    <m/>
    <m/>
    <n v="0"/>
    <m/>
    <m/>
    <n v="0"/>
    <n v="0"/>
    <n v="0"/>
    <n v="2205658"/>
    <n v="2153416"/>
    <m/>
    <m/>
    <n v="0"/>
    <m/>
    <m/>
    <n v="0"/>
    <m/>
    <m/>
    <m/>
    <m/>
    <m/>
    <m/>
    <n v="2205658"/>
    <n v="2153416"/>
  </r>
  <r>
    <x v="0"/>
    <x v="20"/>
    <s v="Contract Education Programs"/>
    <m/>
    <m/>
    <x v="12"/>
    <m/>
    <m/>
    <m/>
    <m/>
    <m/>
    <m/>
    <m/>
    <m/>
    <n v="0"/>
    <m/>
    <m/>
    <n v="0"/>
    <n v="0"/>
    <n v="0"/>
    <m/>
    <m/>
    <m/>
    <m/>
    <n v="0"/>
    <m/>
    <m/>
    <n v="0"/>
    <m/>
    <m/>
    <m/>
    <m/>
    <m/>
    <m/>
    <n v="0"/>
    <n v="0"/>
  </r>
  <r>
    <x v="0"/>
    <x v="21"/>
    <s v="SREB contract program with private colleges"/>
    <m/>
    <m/>
    <x v="12"/>
    <m/>
    <m/>
    <m/>
    <m/>
    <m/>
    <m/>
    <m/>
    <m/>
    <n v="0"/>
    <m/>
    <m/>
    <n v="0"/>
    <n v="0"/>
    <n v="0"/>
    <m/>
    <m/>
    <m/>
    <m/>
    <n v="0"/>
    <m/>
    <m/>
    <n v="0"/>
    <m/>
    <m/>
    <m/>
    <m/>
    <m/>
    <m/>
    <n v="0"/>
    <n v="0"/>
  </r>
  <r>
    <x v="0"/>
    <x v="21"/>
    <s v="Meharry Medical College (Dentistry &amp; Medicine)"/>
    <m/>
    <m/>
    <x v="12"/>
    <m/>
    <m/>
    <m/>
    <m/>
    <m/>
    <m/>
    <m/>
    <m/>
    <n v="0"/>
    <m/>
    <m/>
    <n v="0"/>
    <n v="0"/>
    <n v="0"/>
    <n v="0"/>
    <m/>
    <m/>
    <m/>
    <n v="0"/>
    <m/>
    <m/>
    <n v="0"/>
    <m/>
    <m/>
    <m/>
    <m/>
    <m/>
    <m/>
    <n v="0"/>
    <n v="0"/>
  </r>
  <r>
    <x v="0"/>
    <x v="22"/>
    <s v="SREB contract program with public colleges"/>
    <m/>
    <m/>
    <x v="12"/>
    <m/>
    <m/>
    <m/>
    <m/>
    <m/>
    <m/>
    <m/>
    <m/>
    <n v="0"/>
    <m/>
    <m/>
    <n v="0"/>
    <n v="0"/>
    <n v="0"/>
    <m/>
    <m/>
    <m/>
    <m/>
    <n v="0"/>
    <m/>
    <m/>
    <n v="0"/>
    <m/>
    <m/>
    <m/>
    <m/>
    <m/>
    <m/>
    <n v="0"/>
    <n v="0"/>
  </r>
  <r>
    <x v="0"/>
    <x v="23"/>
    <s v="Other contract education programs"/>
    <m/>
    <m/>
    <x v="12"/>
    <m/>
    <m/>
    <m/>
    <m/>
    <m/>
    <m/>
    <m/>
    <m/>
    <n v="0"/>
    <m/>
    <m/>
    <n v="0"/>
    <n v="0"/>
    <n v="0"/>
    <n v="0"/>
    <m/>
    <m/>
    <m/>
    <n v="0"/>
    <m/>
    <m/>
    <n v="0"/>
    <m/>
    <m/>
    <m/>
    <m/>
    <m/>
    <m/>
    <n v="0"/>
    <n v="0"/>
  </r>
  <r>
    <x v="0"/>
    <x v="24"/>
    <s v="Statewide Student Financial Aid Programs Administered Off Campus"/>
    <m/>
    <m/>
    <x v="12"/>
    <m/>
    <m/>
    <m/>
    <m/>
    <m/>
    <m/>
    <m/>
    <m/>
    <n v="0"/>
    <m/>
    <m/>
    <n v="0"/>
    <n v="0"/>
    <n v="0"/>
    <m/>
    <m/>
    <m/>
    <m/>
    <n v="0"/>
    <m/>
    <m/>
    <n v="0"/>
    <m/>
    <m/>
    <m/>
    <m/>
    <m/>
    <m/>
    <n v="0"/>
    <n v="0"/>
  </r>
  <r>
    <x v="0"/>
    <x v="25"/>
    <s v="Available to public &amp; private sector students"/>
    <m/>
    <m/>
    <x v="12"/>
    <m/>
    <m/>
    <m/>
    <m/>
    <m/>
    <m/>
    <m/>
    <m/>
    <n v="0"/>
    <m/>
    <m/>
    <n v="0"/>
    <n v="0"/>
    <n v="0"/>
    <m/>
    <m/>
    <m/>
    <m/>
    <n v="0"/>
    <m/>
    <m/>
    <n v="0"/>
    <m/>
    <m/>
    <m/>
    <m/>
    <m/>
    <m/>
    <n v="0"/>
    <n v="0"/>
  </r>
  <r>
    <x v="0"/>
    <x v="25"/>
    <s v="for medical students"/>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770848"/>
    <n v="740014"/>
    <m/>
    <m/>
    <n v="0"/>
    <m/>
    <m/>
    <n v="0"/>
    <m/>
    <m/>
    <m/>
    <m/>
    <m/>
    <m/>
    <n v="770848"/>
    <n v="740014"/>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for dental students"/>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199131"/>
    <n v="191166"/>
    <m/>
    <m/>
    <n v="0"/>
    <m/>
    <m/>
    <n v="0"/>
    <m/>
    <m/>
    <m/>
    <m/>
    <m/>
    <m/>
    <n v="199131"/>
    <n v="191166"/>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for optometry students"/>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111752"/>
    <n v="107282"/>
    <m/>
    <m/>
    <n v="0"/>
    <m/>
    <m/>
    <n v="0"/>
    <m/>
    <m/>
    <m/>
    <m/>
    <m/>
    <m/>
    <n v="111752"/>
    <n v="107282"/>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for chiropractic students"/>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n v="27515"/>
    <m/>
    <m/>
    <m/>
    <n v="0"/>
    <m/>
    <m/>
    <n v="0"/>
    <m/>
    <m/>
    <m/>
    <m/>
    <m/>
    <m/>
    <n v="27515"/>
    <n v="0"/>
  </r>
  <r>
    <x v="0"/>
    <x v="33"/>
    <s v="Non need-based"/>
    <m/>
    <m/>
    <x v="12"/>
    <m/>
    <m/>
    <m/>
    <m/>
    <m/>
    <m/>
    <m/>
    <m/>
    <n v="0"/>
    <m/>
    <m/>
    <n v="0"/>
    <n v="0"/>
    <n v="0"/>
    <m/>
    <m/>
    <m/>
    <m/>
    <n v="0"/>
    <m/>
    <m/>
    <n v="0"/>
    <m/>
    <m/>
    <m/>
    <m/>
    <m/>
    <m/>
    <n v="0"/>
    <n v="0"/>
  </r>
  <r>
    <x v="0"/>
    <x v="25"/>
    <s v="Board of Nursing program"/>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175265"/>
    <n v="166027"/>
    <m/>
    <m/>
    <n v="0"/>
    <m/>
    <m/>
    <n v="0"/>
    <m/>
    <m/>
    <m/>
    <m/>
    <m/>
    <m/>
    <n v="175265"/>
    <n v="166027"/>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SREB minority doctoral fellows"/>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436225"/>
    <n v="350950"/>
    <m/>
    <m/>
    <n v="0"/>
    <m/>
    <m/>
    <n v="0"/>
    <m/>
    <m/>
    <m/>
    <m/>
    <m/>
    <m/>
    <n v="436225"/>
    <n v="35095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Alabama Student Assistance Program"/>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n v="2393280"/>
    <n v="2235370"/>
    <m/>
    <m/>
    <n v="0"/>
    <m/>
    <m/>
    <n v="0"/>
    <m/>
    <m/>
    <m/>
    <m/>
    <m/>
    <m/>
    <n v="2393280"/>
    <n v="223537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n v="400290"/>
    <n v="395655"/>
    <m/>
    <m/>
    <n v="0"/>
    <m/>
    <m/>
    <n v="0"/>
    <m/>
    <m/>
    <m/>
    <m/>
    <m/>
    <m/>
    <n v="400290"/>
    <n v="395655"/>
  </r>
  <r>
    <x v="0"/>
    <x v="33"/>
    <s v="Non need-based"/>
    <m/>
    <m/>
    <x v="12"/>
    <m/>
    <m/>
    <m/>
    <m/>
    <m/>
    <m/>
    <m/>
    <m/>
    <n v="0"/>
    <m/>
    <m/>
    <n v="0"/>
    <n v="0"/>
    <n v="0"/>
    <m/>
    <m/>
    <m/>
    <m/>
    <n v="0"/>
    <m/>
    <m/>
    <n v="0"/>
    <m/>
    <m/>
    <m/>
    <m/>
    <m/>
    <m/>
    <n v="0"/>
    <n v="0"/>
  </r>
  <r>
    <x v="0"/>
    <x v="25"/>
    <s v="Dependents of blind parents program"/>
    <m/>
    <m/>
    <x v="12"/>
    <m/>
    <m/>
    <m/>
    <m/>
    <m/>
    <m/>
    <m/>
    <m/>
    <n v="0"/>
    <m/>
    <m/>
    <n v="0"/>
    <n v="0"/>
    <n v="0"/>
    <m/>
    <m/>
    <m/>
    <m/>
    <n v="0"/>
    <m/>
    <m/>
    <n v="0"/>
    <m/>
    <m/>
    <m/>
    <m/>
    <m/>
    <m/>
    <n v="0"/>
    <n v="0"/>
  </r>
  <r>
    <x v="0"/>
    <x v="26"/>
    <s v="Need-based"/>
    <m/>
    <m/>
    <x v="12"/>
    <m/>
    <m/>
    <m/>
    <m/>
    <m/>
    <m/>
    <m/>
    <m/>
    <n v="0"/>
    <m/>
    <m/>
    <n v="0"/>
    <n v="0"/>
    <n v="0"/>
    <n v="10832"/>
    <n v="10399"/>
    <m/>
    <m/>
    <n v="0"/>
    <m/>
    <m/>
    <n v="0"/>
    <m/>
    <m/>
    <m/>
    <m/>
    <m/>
    <m/>
    <n v="10832"/>
    <n v="10399"/>
  </r>
  <r>
    <x v="0"/>
    <x v="27"/>
    <s v="Non need-based"/>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Department of Veterans Affairs programs"/>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43520937"/>
    <n v="45762391"/>
    <m/>
    <m/>
    <n v="0"/>
    <m/>
    <m/>
    <n v="0"/>
    <m/>
    <m/>
    <m/>
    <m/>
    <m/>
    <m/>
    <n v="43520937"/>
    <n v="45762391"/>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Policeman's' scholarships"/>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292932"/>
    <n v="146358"/>
    <m/>
    <m/>
    <n v="0"/>
    <m/>
    <m/>
    <n v="0"/>
    <m/>
    <m/>
    <m/>
    <m/>
    <m/>
    <m/>
    <n v="292932"/>
    <n v="146358"/>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National Guard Ed Assistance"/>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841551"/>
    <n v="465752"/>
    <m/>
    <m/>
    <n v="0"/>
    <m/>
    <m/>
    <n v="0"/>
    <m/>
    <m/>
    <m/>
    <m/>
    <m/>
    <m/>
    <n v="841551"/>
    <n v="465752"/>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n v="83725"/>
    <n v="81710"/>
    <m/>
    <m/>
    <n v="0"/>
    <m/>
    <m/>
    <n v="0"/>
    <m/>
    <m/>
    <m/>
    <m/>
    <m/>
    <m/>
    <n v="83725"/>
    <n v="81710"/>
  </r>
  <r>
    <x v="0"/>
    <x v="34"/>
    <s v="Limited to public college students only"/>
    <m/>
    <m/>
    <x v="12"/>
    <m/>
    <m/>
    <m/>
    <m/>
    <m/>
    <m/>
    <m/>
    <m/>
    <n v="0"/>
    <m/>
    <m/>
    <n v="0"/>
    <n v="0"/>
    <n v="0"/>
    <m/>
    <m/>
    <m/>
    <m/>
    <n v="0"/>
    <m/>
    <m/>
    <n v="0"/>
    <m/>
    <m/>
    <m/>
    <m/>
    <m/>
    <m/>
    <n v="0"/>
    <n v="0"/>
  </r>
  <r>
    <x v="0"/>
    <x v="25"/>
    <s v="American Legion program"/>
    <m/>
    <m/>
    <x v="12"/>
    <m/>
    <m/>
    <m/>
    <m/>
    <m/>
    <m/>
    <m/>
    <m/>
    <n v="0"/>
    <m/>
    <m/>
    <n v="0"/>
    <n v="0"/>
    <n v="0"/>
    <m/>
    <m/>
    <m/>
    <m/>
    <n v="0"/>
    <m/>
    <m/>
    <n v="0"/>
    <m/>
    <m/>
    <m/>
    <m/>
    <m/>
    <m/>
    <n v="0"/>
    <n v="0"/>
  </r>
  <r>
    <x v="0"/>
    <x v="35"/>
    <s v="Need-based"/>
    <m/>
    <m/>
    <x v="12"/>
    <m/>
    <m/>
    <m/>
    <m/>
    <m/>
    <m/>
    <m/>
    <m/>
    <n v="0"/>
    <m/>
    <m/>
    <n v="0"/>
    <n v="0"/>
    <n v="0"/>
    <m/>
    <m/>
    <m/>
    <m/>
    <n v="0"/>
    <m/>
    <m/>
    <n v="0"/>
    <m/>
    <m/>
    <m/>
    <m/>
    <m/>
    <m/>
    <n v="0"/>
    <n v="0"/>
  </r>
  <r>
    <x v="0"/>
    <x v="36"/>
    <s v="Non need-based"/>
    <m/>
    <m/>
    <x v="12"/>
    <m/>
    <m/>
    <m/>
    <m/>
    <m/>
    <m/>
    <m/>
    <m/>
    <n v="0"/>
    <m/>
    <m/>
    <n v="0"/>
    <n v="0"/>
    <n v="0"/>
    <n v="112500"/>
    <n v="112500"/>
    <m/>
    <m/>
    <n v="0"/>
    <m/>
    <m/>
    <n v="0"/>
    <m/>
    <m/>
    <m/>
    <m/>
    <m/>
    <m/>
    <n v="112500"/>
    <n v="112500"/>
  </r>
  <r>
    <x v="0"/>
    <x v="36"/>
    <s v="Two-Year Transfer Scholarship Program"/>
    <m/>
    <m/>
    <x v="12"/>
    <m/>
    <m/>
    <m/>
    <m/>
    <m/>
    <m/>
    <m/>
    <m/>
    <n v="0"/>
    <m/>
    <m/>
    <n v="0"/>
    <n v="0"/>
    <n v="0"/>
    <m/>
    <m/>
    <m/>
    <m/>
    <n v="0"/>
    <m/>
    <m/>
    <n v="0"/>
    <m/>
    <m/>
    <m/>
    <m/>
    <m/>
    <m/>
    <n v="0"/>
    <n v="0"/>
  </r>
  <r>
    <x v="0"/>
    <x v="36"/>
    <s v="Non need-based"/>
    <m/>
    <m/>
    <x v="12"/>
    <m/>
    <m/>
    <m/>
    <m/>
    <m/>
    <m/>
    <m/>
    <m/>
    <n v="0"/>
    <m/>
    <m/>
    <n v="0"/>
    <n v="0"/>
    <n v="0"/>
    <n v="250544"/>
    <n v="250000"/>
    <m/>
    <m/>
    <n v="0"/>
    <m/>
    <m/>
    <n v="0"/>
    <m/>
    <m/>
    <m/>
    <m/>
    <m/>
    <m/>
    <n v="250544"/>
    <n v="250000"/>
  </r>
  <r>
    <x v="0"/>
    <x v="37"/>
    <s v="Limited to private college students only"/>
    <m/>
    <m/>
    <x v="12"/>
    <m/>
    <m/>
    <m/>
    <m/>
    <m/>
    <m/>
    <m/>
    <m/>
    <n v="0"/>
    <m/>
    <m/>
    <n v="0"/>
    <n v="0"/>
    <n v="0"/>
    <m/>
    <m/>
    <m/>
    <m/>
    <n v="0"/>
    <m/>
    <m/>
    <n v="0"/>
    <m/>
    <m/>
    <m/>
    <m/>
    <m/>
    <m/>
    <n v="0"/>
    <n v="0"/>
  </r>
  <r>
    <x v="0"/>
    <x v="37"/>
    <s v="Alabama Student Grant Program"/>
    <m/>
    <m/>
    <x v="12"/>
    <m/>
    <m/>
    <m/>
    <m/>
    <m/>
    <m/>
    <m/>
    <m/>
    <n v="0"/>
    <m/>
    <m/>
    <n v="0"/>
    <n v="0"/>
    <n v="0"/>
    <m/>
    <m/>
    <m/>
    <m/>
    <n v="0"/>
    <m/>
    <m/>
    <n v="0"/>
    <m/>
    <m/>
    <m/>
    <m/>
    <m/>
    <m/>
    <n v="0"/>
    <n v="0"/>
  </r>
  <r>
    <x v="0"/>
    <x v="38"/>
    <s v="Need-based"/>
    <m/>
    <m/>
    <x v="12"/>
    <m/>
    <m/>
    <m/>
    <m/>
    <m/>
    <m/>
    <m/>
    <m/>
    <n v="0"/>
    <m/>
    <m/>
    <n v="0"/>
    <n v="0"/>
    <n v="0"/>
    <m/>
    <m/>
    <m/>
    <m/>
    <n v="0"/>
    <m/>
    <m/>
    <n v="0"/>
    <m/>
    <m/>
    <m/>
    <m/>
    <m/>
    <m/>
    <n v="0"/>
    <n v="0"/>
  </r>
  <r>
    <x v="0"/>
    <x v="39"/>
    <s v="Non need-based"/>
    <m/>
    <m/>
    <x v="12"/>
    <m/>
    <m/>
    <m/>
    <m/>
    <m/>
    <m/>
    <m/>
    <m/>
    <n v="0"/>
    <m/>
    <m/>
    <n v="0"/>
    <n v="0"/>
    <n v="0"/>
    <n v="1656614"/>
    <n v="1566962"/>
    <m/>
    <m/>
    <n v="0"/>
    <m/>
    <m/>
    <n v="0"/>
    <m/>
    <m/>
    <m/>
    <n v="0"/>
    <m/>
    <m/>
    <n v="1656614"/>
    <n v="1566962"/>
  </r>
  <r>
    <x v="1"/>
    <x v="0"/>
    <s v="University of Arkansas, Fayetteville"/>
    <m/>
    <n v="106397"/>
    <x v="0"/>
    <n v="122747030.43859683"/>
    <n v="122375196"/>
    <m/>
    <m/>
    <m/>
    <m/>
    <n v="180261378"/>
    <m/>
    <n v="180261378"/>
    <n v="193794040"/>
    <m/>
    <n v="193794040"/>
    <n v="303008408.43859684"/>
    <n v="316169236"/>
    <m/>
    <m/>
    <m/>
    <m/>
    <n v="0"/>
    <m/>
    <m/>
    <n v="0"/>
    <m/>
    <m/>
    <m/>
    <m/>
    <m/>
    <m/>
    <n v="303008408.43859684"/>
    <n v="316169236"/>
  </r>
  <r>
    <x v="1"/>
    <x v="40"/>
    <s v="Agricultural cooperative extension"/>
    <m/>
    <n v="106397"/>
    <x v="0"/>
    <m/>
    <m/>
    <m/>
    <m/>
    <m/>
    <m/>
    <m/>
    <m/>
    <n v="0"/>
    <m/>
    <m/>
    <n v="0"/>
    <n v="0"/>
    <n v="0"/>
    <m/>
    <m/>
    <m/>
    <m/>
    <n v="0"/>
    <m/>
    <m/>
    <n v="0"/>
    <m/>
    <m/>
    <m/>
    <m/>
    <m/>
    <m/>
    <n v="0"/>
    <n v="0"/>
  </r>
  <r>
    <x v="1"/>
    <x v="40"/>
    <s v="Univ of Ark. System Divison of Agriculture"/>
    <m/>
    <n v="106397"/>
    <x v="0"/>
    <m/>
    <m/>
    <n v="68108224.360640556"/>
    <n v="68137894"/>
    <m/>
    <m/>
    <m/>
    <m/>
    <n v="0"/>
    <m/>
    <m/>
    <n v="0"/>
    <n v="68108224.360640556"/>
    <n v="68137894"/>
    <m/>
    <m/>
    <m/>
    <m/>
    <n v="0"/>
    <m/>
    <m/>
    <n v="0"/>
    <m/>
    <m/>
    <m/>
    <m/>
    <m/>
    <m/>
    <n v="68108224.360640556"/>
    <n v="68137894"/>
  </r>
  <r>
    <x v="1"/>
    <x v="11"/>
    <s v="Univ of Ark. System Archeological Survey"/>
    <m/>
    <n v="106397"/>
    <x v="0"/>
    <m/>
    <m/>
    <n v="2457816.2426411286"/>
    <n v="2455769"/>
    <m/>
    <m/>
    <m/>
    <m/>
    <n v="0"/>
    <m/>
    <m/>
    <n v="0"/>
    <n v="2457816.2426411286"/>
    <n v="2455769"/>
    <m/>
    <m/>
    <m/>
    <m/>
    <n v="0"/>
    <m/>
    <m/>
    <n v="0"/>
    <m/>
    <m/>
    <m/>
    <m/>
    <m/>
    <m/>
    <n v="2457816.2426411286"/>
    <n v="2455769"/>
  </r>
  <r>
    <x v="1"/>
    <x v="11"/>
    <s v="Univ of Ark. System Criminal Justice Institute"/>
    <m/>
    <n v="106397"/>
    <x v="0"/>
    <m/>
    <m/>
    <n v="1830383.2174755107"/>
    <n v="1825769"/>
    <m/>
    <m/>
    <m/>
    <m/>
    <n v="0"/>
    <m/>
    <m/>
    <n v="0"/>
    <n v="1830383.2174755107"/>
    <n v="1825769"/>
    <m/>
    <m/>
    <m/>
    <m/>
    <n v="0"/>
    <m/>
    <m/>
    <n v="0"/>
    <m/>
    <m/>
    <m/>
    <m/>
    <m/>
    <m/>
    <n v="1830383.2174755107"/>
    <n v="1825769"/>
  </r>
  <r>
    <x v="1"/>
    <x v="3"/>
    <s v="Community or public service units"/>
    <m/>
    <n v="106397"/>
    <x v="0"/>
    <m/>
    <m/>
    <m/>
    <m/>
    <m/>
    <m/>
    <m/>
    <m/>
    <n v="0"/>
    <m/>
    <m/>
    <n v="0"/>
    <n v="0"/>
    <n v="0"/>
    <m/>
    <m/>
    <m/>
    <m/>
    <n v="0"/>
    <m/>
    <m/>
    <n v="0"/>
    <m/>
    <m/>
    <m/>
    <m/>
    <m/>
    <m/>
    <n v="0"/>
    <n v="0"/>
  </r>
  <r>
    <x v="1"/>
    <x v="3"/>
    <s v="Univ. of Ark. System Arkansas School of Mathematics, Sciences and the Arts"/>
    <m/>
    <n v="106397"/>
    <x v="0"/>
    <m/>
    <m/>
    <n v="7987379.2503227545"/>
    <n v="8155438"/>
    <m/>
    <m/>
    <m/>
    <m/>
    <n v="0"/>
    <m/>
    <m/>
    <n v="0"/>
    <n v="7987379.2503227545"/>
    <n v="8155438"/>
    <m/>
    <m/>
    <m/>
    <m/>
    <n v="0"/>
    <m/>
    <m/>
    <n v="0"/>
    <m/>
    <m/>
    <m/>
    <m/>
    <m/>
    <m/>
    <n v="7987379.2503227545"/>
    <n v="8155438"/>
  </r>
  <r>
    <x v="1"/>
    <x v="0"/>
    <s v="Clinton School for Public Service"/>
    <m/>
    <n v="106397"/>
    <x v="0"/>
    <m/>
    <m/>
    <n v="2301202.340173116"/>
    <n v="2295575"/>
    <m/>
    <m/>
    <n v="455427"/>
    <m/>
    <n v="455427"/>
    <n v="595600"/>
    <m/>
    <n v="595600"/>
    <n v="2756629.340173116"/>
    <n v="2891175"/>
    <m/>
    <m/>
    <m/>
    <m/>
    <n v="0"/>
    <m/>
    <m/>
    <n v="0"/>
    <m/>
    <m/>
    <m/>
    <m/>
    <m/>
    <m/>
    <n v="2756629.340173116"/>
    <n v="2891175"/>
  </r>
  <r>
    <x v="1"/>
    <x v="0"/>
    <s v="Arkansas State University"/>
    <m/>
    <n v="106458"/>
    <x v="2"/>
    <n v="60148141.267634168"/>
    <n v="60141168"/>
    <m/>
    <m/>
    <m/>
    <m/>
    <n v="88566132"/>
    <m/>
    <n v="88566132"/>
    <n v="88772741"/>
    <m/>
    <n v="88772741"/>
    <n v="148714273.26763415"/>
    <n v="148913909"/>
    <m/>
    <m/>
    <m/>
    <m/>
    <n v="0"/>
    <m/>
    <m/>
    <n v="0"/>
    <m/>
    <m/>
    <m/>
    <m/>
    <m/>
    <m/>
    <n v="148714273.26763415"/>
    <n v="148913909"/>
  </r>
  <r>
    <x v="1"/>
    <x v="3"/>
    <s v="Community or public service units"/>
    <m/>
    <n v="106458"/>
    <x v="2"/>
    <m/>
    <m/>
    <m/>
    <m/>
    <m/>
    <m/>
    <m/>
    <m/>
    <n v="0"/>
    <m/>
    <m/>
    <n v="0"/>
    <n v="0"/>
    <n v="0"/>
    <m/>
    <m/>
    <m/>
    <m/>
    <n v="0"/>
    <m/>
    <m/>
    <n v="0"/>
    <m/>
    <m/>
    <m/>
    <m/>
    <m/>
    <m/>
    <n v="0"/>
    <n v="0"/>
  </r>
  <r>
    <x v="1"/>
    <x v="0"/>
    <s v="Arkansas Tech University"/>
    <s v="Reclassified: met the criteria for Four-Year 3 in 2010-11, 2011-12 and 2012-13."/>
    <n v="106467"/>
    <x v="2"/>
    <n v="31224929.920327354"/>
    <n v="31134133"/>
    <m/>
    <m/>
    <m/>
    <m/>
    <n v="47858735"/>
    <m/>
    <n v="47858735"/>
    <n v="50527536"/>
    <m/>
    <n v="50527536"/>
    <n v="79083664.92032735"/>
    <n v="81661669"/>
    <m/>
    <m/>
    <m/>
    <m/>
    <n v="0"/>
    <m/>
    <m/>
    <n v="0"/>
    <m/>
    <m/>
    <m/>
    <m/>
    <m/>
    <m/>
    <n v="79083664.92032735"/>
    <n v="81661669"/>
  </r>
  <r>
    <x v="1"/>
    <x v="3"/>
    <s v="Community or public service units"/>
    <m/>
    <n v="106467"/>
    <x v="2"/>
    <m/>
    <m/>
    <m/>
    <m/>
    <m/>
    <m/>
    <m/>
    <m/>
    <n v="0"/>
    <m/>
    <m/>
    <n v="0"/>
    <n v="0"/>
    <n v="0"/>
    <m/>
    <m/>
    <m/>
    <m/>
    <n v="0"/>
    <m/>
    <m/>
    <n v="0"/>
    <m/>
    <m/>
    <m/>
    <m/>
    <m/>
    <m/>
    <n v="0"/>
    <n v="0"/>
  </r>
  <r>
    <x v="1"/>
    <x v="3"/>
    <s v="Arkansas Tech University - Ozark"/>
    <m/>
    <n v="106467"/>
    <x v="2"/>
    <m/>
    <m/>
    <n v="3250602.4170904211"/>
    <n v="3191465"/>
    <m/>
    <m/>
    <n v="2526293"/>
    <m/>
    <n v="2526293"/>
    <n v="3100009"/>
    <m/>
    <n v="3100009"/>
    <n v="5776895.4170904215"/>
    <n v="6291474"/>
    <m/>
    <m/>
    <m/>
    <m/>
    <n v="0"/>
    <m/>
    <m/>
    <n v="0"/>
    <m/>
    <m/>
    <m/>
    <m/>
    <m/>
    <m/>
    <n v="5776895.4170904215"/>
    <n v="6291474"/>
  </r>
  <r>
    <x v="1"/>
    <x v="0"/>
    <s v="University of Arkansas at Little Rock"/>
    <s v="Met the criteria for Four-Year 2 in 2012-13."/>
    <n v="106245"/>
    <x v="2"/>
    <n v="61891892.775382079"/>
    <n v="61489929"/>
    <m/>
    <m/>
    <m/>
    <m/>
    <n v="73272098"/>
    <m/>
    <n v="73272098"/>
    <n v="75016539"/>
    <m/>
    <n v="75016539"/>
    <n v="135163990.77538207"/>
    <n v="136506468"/>
    <m/>
    <m/>
    <m/>
    <m/>
    <n v="0"/>
    <m/>
    <m/>
    <n v="0"/>
    <m/>
    <m/>
    <m/>
    <m/>
    <m/>
    <m/>
    <n v="135163990.77538207"/>
    <n v="136506468"/>
  </r>
  <r>
    <x v="1"/>
    <x v="3"/>
    <s v="Community or public service units"/>
    <m/>
    <n v="106245"/>
    <x v="2"/>
    <m/>
    <m/>
    <m/>
    <m/>
    <m/>
    <m/>
    <m/>
    <m/>
    <n v="0"/>
    <m/>
    <m/>
    <n v="0"/>
    <n v="0"/>
    <n v="0"/>
    <m/>
    <m/>
    <m/>
    <m/>
    <n v="0"/>
    <m/>
    <m/>
    <n v="0"/>
    <m/>
    <m/>
    <m/>
    <m/>
    <m/>
    <m/>
    <n v="0"/>
    <n v="0"/>
  </r>
  <r>
    <x v="1"/>
    <x v="3"/>
    <s v="Research and Public Service Unit"/>
    <m/>
    <n v="106245"/>
    <x v="2"/>
    <m/>
    <m/>
    <n v="3644061.816228203"/>
    <n v="3588916"/>
    <m/>
    <m/>
    <m/>
    <m/>
    <n v="0"/>
    <m/>
    <m/>
    <n v="0"/>
    <n v="3644061.816228203"/>
    <n v="3588916"/>
    <m/>
    <m/>
    <m/>
    <m/>
    <n v="0"/>
    <m/>
    <m/>
    <n v="0"/>
    <m/>
    <m/>
    <m/>
    <m/>
    <m/>
    <m/>
    <n v="3644061.816228203"/>
    <n v="3588916"/>
  </r>
  <r>
    <x v="1"/>
    <x v="0"/>
    <s v="University of Central Arkansas "/>
    <m/>
    <n v="106704"/>
    <x v="2"/>
    <n v="56983090.698775284"/>
    <n v="56822517"/>
    <m/>
    <m/>
    <m/>
    <m/>
    <n v="69777090"/>
    <m/>
    <n v="69777090"/>
    <n v="70905385"/>
    <m/>
    <n v="70905385"/>
    <n v="126760180.69877529"/>
    <n v="127727902"/>
    <m/>
    <m/>
    <m/>
    <m/>
    <n v="0"/>
    <m/>
    <m/>
    <n v="0"/>
    <m/>
    <m/>
    <m/>
    <m/>
    <m/>
    <m/>
    <n v="126760180.69877529"/>
    <n v="127727902"/>
  </r>
  <r>
    <x v="1"/>
    <x v="0"/>
    <s v="Henderson State University "/>
    <m/>
    <n v="107071"/>
    <x v="3"/>
    <n v="20542609.918562263"/>
    <n v="20565446"/>
    <m/>
    <m/>
    <m/>
    <m/>
    <n v="24859557"/>
    <m/>
    <n v="24859557"/>
    <n v="25137681"/>
    <m/>
    <n v="25137681"/>
    <n v="45402166.918562263"/>
    <n v="45703127"/>
    <m/>
    <m/>
    <m/>
    <m/>
    <n v="0"/>
    <m/>
    <m/>
    <n v="0"/>
    <m/>
    <m/>
    <m/>
    <m/>
    <m/>
    <m/>
    <n v="45402166.918562263"/>
    <n v="45703127"/>
  </r>
  <r>
    <x v="1"/>
    <x v="3"/>
    <s v="Community or public service units"/>
    <m/>
    <n v="107071"/>
    <x v="3"/>
    <m/>
    <m/>
    <m/>
    <m/>
    <m/>
    <m/>
    <m/>
    <m/>
    <n v="0"/>
    <m/>
    <m/>
    <n v="0"/>
    <n v="0"/>
    <n v="0"/>
    <m/>
    <m/>
    <m/>
    <m/>
    <n v="0"/>
    <m/>
    <m/>
    <n v="0"/>
    <m/>
    <m/>
    <m/>
    <m/>
    <m/>
    <m/>
    <n v="0"/>
    <n v="0"/>
  </r>
  <r>
    <x v="1"/>
    <x v="3"/>
    <s v="Henderson State Community Education Center "/>
    <s v="Formerly Southwest Arkansas Tech Learning Center."/>
    <n v="107071"/>
    <x v="3"/>
    <m/>
    <m/>
    <n v="210758.74749106026"/>
    <n v="210585"/>
    <m/>
    <m/>
    <m/>
    <m/>
    <n v="0"/>
    <m/>
    <m/>
    <n v="0"/>
    <n v="210758.74749106026"/>
    <n v="210585"/>
    <m/>
    <m/>
    <m/>
    <m/>
    <n v="0"/>
    <m/>
    <m/>
    <n v="0"/>
    <m/>
    <m/>
    <m/>
    <m/>
    <m/>
    <m/>
    <n v="210758.74749106026"/>
    <n v="210585"/>
  </r>
  <r>
    <x v="1"/>
    <x v="0"/>
    <s v="Southern Arkansas University"/>
    <m/>
    <n v="107983"/>
    <x v="3"/>
    <n v="16753830.830211464"/>
    <n v="16668783"/>
    <m/>
    <m/>
    <m/>
    <m/>
    <n v="21357293"/>
    <m/>
    <n v="21357293"/>
    <n v="21501956"/>
    <m/>
    <n v="21501956"/>
    <n v="38111123.830211461"/>
    <n v="38170739"/>
    <m/>
    <m/>
    <m/>
    <m/>
    <n v="0"/>
    <m/>
    <m/>
    <n v="0"/>
    <m/>
    <m/>
    <m/>
    <m/>
    <m/>
    <m/>
    <n v="38111123.830211461"/>
    <n v="38170739"/>
  </r>
  <r>
    <x v="1"/>
    <x v="0"/>
    <s v="University of Arkansas at Monticello"/>
    <m/>
    <n v="106485"/>
    <x v="4"/>
    <n v="14057968.344408568"/>
    <n v="14006506"/>
    <m/>
    <m/>
    <m/>
    <m/>
    <n v="13650730"/>
    <m/>
    <n v="13650730"/>
    <n v="14055761"/>
    <m/>
    <n v="14055761"/>
    <n v="27708698.344408568"/>
    <n v="28062267"/>
    <m/>
    <m/>
    <m/>
    <m/>
    <n v="0"/>
    <m/>
    <m/>
    <n v="0"/>
    <m/>
    <m/>
    <m/>
    <m/>
    <m/>
    <m/>
    <n v="27708698.344408568"/>
    <n v="28062267"/>
  </r>
  <r>
    <x v="1"/>
    <x v="3"/>
    <s v="Community or public service units"/>
    <m/>
    <n v="106485"/>
    <x v="4"/>
    <m/>
    <m/>
    <m/>
    <m/>
    <m/>
    <m/>
    <m/>
    <m/>
    <n v="0"/>
    <m/>
    <m/>
    <n v="0"/>
    <n v="0"/>
    <n v="0"/>
    <m/>
    <m/>
    <m/>
    <m/>
    <n v="0"/>
    <m/>
    <m/>
    <n v="0"/>
    <m/>
    <m/>
    <m/>
    <m/>
    <m/>
    <m/>
    <n v="0"/>
    <n v="0"/>
  </r>
  <r>
    <x v="1"/>
    <x v="3"/>
    <s v="UAM College of Technology-McGehee"/>
    <m/>
    <n v="106485"/>
    <x v="4"/>
    <m/>
    <m/>
    <n v="2396181.5790635324"/>
    <n v="2432423"/>
    <m/>
    <m/>
    <n v="1041889"/>
    <m/>
    <n v="1041889"/>
    <n v="1059541"/>
    <m/>
    <n v="1059541"/>
    <n v="3438070.5790635324"/>
    <n v="3491964"/>
    <m/>
    <m/>
    <m/>
    <m/>
    <n v="0"/>
    <m/>
    <m/>
    <n v="0"/>
    <m/>
    <m/>
    <m/>
    <m/>
    <m/>
    <m/>
    <n v="3438070.5790635324"/>
    <n v="3491964"/>
  </r>
  <r>
    <x v="1"/>
    <x v="3"/>
    <s v="UAM College of Technology-Crossett "/>
    <m/>
    <n v="106485"/>
    <x v="4"/>
    <m/>
    <m/>
    <n v="1784166.8687440697"/>
    <n v="1813008"/>
    <m/>
    <m/>
    <n v="812722"/>
    <m/>
    <n v="812722"/>
    <n v="930333"/>
    <m/>
    <n v="930333"/>
    <n v="2596888.8687440697"/>
    <n v="2743341"/>
    <m/>
    <m/>
    <m/>
    <m/>
    <n v="0"/>
    <m/>
    <m/>
    <n v="0"/>
    <m/>
    <m/>
    <m/>
    <m/>
    <m/>
    <m/>
    <n v="2596888.8687440697"/>
    <n v="2743341"/>
  </r>
  <r>
    <x v="1"/>
    <x v="0"/>
    <s v="University of Arkansas at Fort Smith"/>
    <m/>
    <n v="108092"/>
    <x v="5"/>
    <n v="23283420.960357379"/>
    <n v="23266845"/>
    <m/>
    <m/>
    <n v="5658795"/>
    <n v="5600000"/>
    <n v="30392284"/>
    <m/>
    <n v="30392284"/>
    <n v="30711408"/>
    <m/>
    <n v="30711408"/>
    <n v="59334499.960357383"/>
    <n v="59578253"/>
    <m/>
    <m/>
    <m/>
    <m/>
    <n v="0"/>
    <m/>
    <m/>
    <n v="0"/>
    <m/>
    <m/>
    <m/>
    <m/>
    <m/>
    <m/>
    <n v="59334499.960357383"/>
    <n v="59578253"/>
  </r>
  <r>
    <x v="1"/>
    <x v="0"/>
    <s v="University of Arkansas at Pine Bluff"/>
    <s v="Met the criteria for Four-Year 5 in 2012-13."/>
    <n v="106412"/>
    <x v="5"/>
    <n v="27105842"/>
    <n v="27056360"/>
    <m/>
    <m/>
    <m/>
    <m/>
    <n v="18913371"/>
    <m/>
    <n v="18913371"/>
    <n v="17410400"/>
    <m/>
    <n v="17410400"/>
    <n v="46019213"/>
    <n v="44466760"/>
    <m/>
    <m/>
    <m/>
    <m/>
    <n v="0"/>
    <m/>
    <m/>
    <n v="0"/>
    <m/>
    <m/>
    <m/>
    <m/>
    <m/>
    <m/>
    <n v="46019213"/>
    <n v="44466760"/>
  </r>
  <r>
    <x v="1"/>
    <x v="0"/>
    <s v="Northwest Arkansas Community College "/>
    <m/>
    <n v="367459"/>
    <x v="6"/>
    <n v="11035375.518250328"/>
    <n v="11066006"/>
    <m/>
    <m/>
    <n v="5546518"/>
    <n v="5500000"/>
    <n v="22024112.219999999"/>
    <m/>
    <n v="22024112.219999999"/>
    <n v="23422856"/>
    <m/>
    <n v="23422856"/>
    <n v="38606005.73825033"/>
    <n v="39988862"/>
    <m/>
    <m/>
    <m/>
    <m/>
    <n v="0"/>
    <m/>
    <m/>
    <n v="0"/>
    <m/>
    <m/>
    <m/>
    <m/>
    <m/>
    <m/>
    <n v="38606005.73825033"/>
    <n v="39988862"/>
  </r>
  <r>
    <x v="1"/>
    <x v="0"/>
    <s v="Pulaski Technical College"/>
    <m/>
    <n v="107664"/>
    <x v="6"/>
    <n v="16792755.035210952"/>
    <n v="16737684"/>
    <m/>
    <m/>
    <m/>
    <m/>
    <n v="28854453"/>
    <m/>
    <n v="28854453"/>
    <n v="29787525"/>
    <m/>
    <n v="29787525"/>
    <n v="45647208.035210952"/>
    <n v="46525209"/>
    <m/>
    <m/>
    <m/>
    <m/>
    <n v="0"/>
    <m/>
    <m/>
    <n v="0"/>
    <m/>
    <m/>
    <m/>
    <m/>
    <m/>
    <m/>
    <n v="45647208.035210952"/>
    <n v="46525209"/>
  </r>
  <r>
    <x v="1"/>
    <x v="0"/>
    <s v="Arkansas State University-Beebe"/>
    <m/>
    <n v="106449"/>
    <x v="7"/>
    <n v="14222973.968620261"/>
    <n v="14268131"/>
    <m/>
    <m/>
    <n v="1835847"/>
    <n v="1800000"/>
    <n v="10567525"/>
    <m/>
    <n v="10567525"/>
    <n v="10616228"/>
    <m/>
    <n v="10616228"/>
    <n v="26626345.968620263"/>
    <n v="26684359"/>
    <m/>
    <m/>
    <m/>
    <m/>
    <n v="0"/>
    <m/>
    <m/>
    <n v="0"/>
    <m/>
    <m/>
    <m/>
    <m/>
    <m/>
    <m/>
    <n v="26626345.968620263"/>
    <n v="26684359"/>
  </r>
  <r>
    <x v="1"/>
    <x v="0"/>
    <s v="National Park Community College"/>
    <m/>
    <n v="106980"/>
    <x v="7"/>
    <n v="10732211.704703866"/>
    <n v="10724382"/>
    <m/>
    <m/>
    <m/>
    <m/>
    <n v="7775995"/>
    <m/>
    <n v="7775995"/>
    <n v="7339026"/>
    <m/>
    <n v="7339026"/>
    <n v="18508206.704703867"/>
    <n v="18063408"/>
    <m/>
    <m/>
    <m/>
    <m/>
    <n v="0"/>
    <m/>
    <m/>
    <n v="0"/>
    <m/>
    <m/>
    <m/>
    <m/>
    <m/>
    <m/>
    <n v="18508206.704703867"/>
    <n v="18063408"/>
  </r>
  <r>
    <x v="1"/>
    <x v="0"/>
    <s v="Arkansas Northeastern College"/>
    <m/>
    <n v="107327"/>
    <x v="8"/>
    <n v="9954023.9330860935"/>
    <n v="10021476"/>
    <m/>
    <m/>
    <m/>
    <m/>
    <n v="2940564"/>
    <m/>
    <n v="2940564"/>
    <n v="2703220"/>
    <m/>
    <n v="2703220"/>
    <n v="12894587.933086094"/>
    <n v="12724696"/>
    <m/>
    <m/>
    <m/>
    <m/>
    <n v="0"/>
    <m/>
    <m/>
    <n v="0"/>
    <m/>
    <m/>
    <m/>
    <m/>
    <m/>
    <m/>
    <n v="12894587.933086094"/>
    <n v="12724696"/>
  </r>
  <r>
    <x v="1"/>
    <x v="0"/>
    <s v="Arkansas State University Mountain Home"/>
    <m/>
    <n v="420538"/>
    <x v="8"/>
    <n v="4397699.2563876342"/>
    <n v="4408624"/>
    <m/>
    <m/>
    <n v="1338678"/>
    <n v="1300000"/>
    <n v="4084776"/>
    <m/>
    <n v="4084776"/>
    <n v="4212013"/>
    <m/>
    <n v="4212013"/>
    <n v="9821153.2563876342"/>
    <n v="9920637"/>
    <m/>
    <m/>
    <m/>
    <m/>
    <n v="0"/>
    <m/>
    <m/>
    <n v="0"/>
    <m/>
    <m/>
    <m/>
    <m/>
    <m/>
    <m/>
    <n v="9821153.2563876342"/>
    <n v="9920637"/>
  </r>
  <r>
    <x v="1"/>
    <x v="0"/>
    <s v="Arkansas State University-Newport"/>
    <m/>
    <n v="440402"/>
    <x v="8"/>
    <n v="7364179.4453839445"/>
    <n v="7414175"/>
    <m/>
    <m/>
    <n v="962617"/>
    <n v="960000"/>
    <n v="4597038"/>
    <m/>
    <n v="4597038"/>
    <n v="4925264"/>
    <m/>
    <n v="4925264"/>
    <n v="12923834.445383944"/>
    <n v="13299439"/>
    <m/>
    <m/>
    <m/>
    <m/>
    <n v="0"/>
    <m/>
    <m/>
    <n v="0"/>
    <m/>
    <m/>
    <m/>
    <m/>
    <m/>
    <m/>
    <n v="12923834.445383944"/>
    <n v="13299439"/>
  </r>
  <r>
    <x v="1"/>
    <x v="0"/>
    <s v="Black River Technical College"/>
    <m/>
    <n v="106625"/>
    <x v="8"/>
    <n v="8184711.4608785613"/>
    <n v="8301351"/>
    <m/>
    <m/>
    <m/>
    <m/>
    <n v="5719392"/>
    <m/>
    <n v="5719392"/>
    <n v="6421256"/>
    <m/>
    <n v="6421256"/>
    <n v="13904103.460878562"/>
    <n v="14722607"/>
    <m/>
    <m/>
    <m/>
    <m/>
    <n v="0"/>
    <m/>
    <m/>
    <n v="0"/>
    <m/>
    <m/>
    <m/>
    <m/>
    <m/>
    <m/>
    <n v="13904103.460878562"/>
    <n v="14722607"/>
  </r>
  <r>
    <x v="1"/>
    <x v="0"/>
    <s v="College of the Ouachitas"/>
    <m/>
    <n v="107521"/>
    <x v="8"/>
    <n v="4636949.8659326211"/>
    <n v="4687118"/>
    <m/>
    <m/>
    <m/>
    <m/>
    <n v="2566739"/>
    <m/>
    <n v="2566739"/>
    <n v="2364539"/>
    <m/>
    <n v="2364539"/>
    <n v="7203688.8659326211"/>
    <n v="7051657"/>
    <m/>
    <m/>
    <m/>
    <m/>
    <n v="0"/>
    <m/>
    <m/>
    <n v="0"/>
    <m/>
    <m/>
    <m/>
    <m/>
    <m/>
    <m/>
    <n v="7203688.8659326211"/>
    <n v="7051657"/>
  </r>
  <r>
    <x v="1"/>
    <x v="0"/>
    <s v="Cossatot Community College of the University of Arkansas"/>
    <m/>
    <n v="106795"/>
    <x v="8"/>
    <n v="4647603.3796975557"/>
    <n v="4706016"/>
    <m/>
    <m/>
    <n v="1219654"/>
    <n v="1200000"/>
    <n v="2595916"/>
    <m/>
    <n v="2595916"/>
    <n v="2915387"/>
    <m/>
    <n v="2915387"/>
    <n v="8463173.3796975557"/>
    <n v="8821403"/>
    <m/>
    <m/>
    <m/>
    <m/>
    <n v="0"/>
    <m/>
    <m/>
    <n v="0"/>
    <m/>
    <m/>
    <m/>
    <m/>
    <m/>
    <m/>
    <n v="8463173.3796975557"/>
    <n v="8821403"/>
  </r>
  <r>
    <x v="1"/>
    <x v="0"/>
    <s v="East Arkansas Community College "/>
    <m/>
    <n v="106883"/>
    <x v="8"/>
    <n v="6511448"/>
    <n v="6530585"/>
    <m/>
    <m/>
    <m/>
    <m/>
    <n v="2682304"/>
    <m/>
    <n v="2682304"/>
    <n v="2952355"/>
    <m/>
    <n v="2952355"/>
    <n v="9193752"/>
    <n v="9482940"/>
    <m/>
    <m/>
    <m/>
    <m/>
    <n v="0"/>
    <m/>
    <m/>
    <n v="0"/>
    <m/>
    <m/>
    <m/>
    <m/>
    <m/>
    <m/>
    <n v="9193752"/>
    <n v="9482940"/>
  </r>
  <r>
    <x v="1"/>
    <x v="0"/>
    <s v="Mid-South Community College "/>
    <m/>
    <n v="107318"/>
    <x v="8"/>
    <n v="5918898.2188100666"/>
    <n v="6015606"/>
    <m/>
    <m/>
    <n v="82632"/>
    <n v="80000"/>
    <n v="4215332"/>
    <m/>
    <n v="4215332"/>
    <n v="4952909.1399999997"/>
    <m/>
    <n v="4952909.1399999997"/>
    <n v="10216862.218810067"/>
    <n v="11048515.140000001"/>
    <m/>
    <m/>
    <m/>
    <m/>
    <n v="0"/>
    <m/>
    <m/>
    <n v="0"/>
    <m/>
    <m/>
    <m/>
    <m/>
    <m/>
    <m/>
    <n v="10216862.218810067"/>
    <n v="11048515.140000001"/>
  </r>
  <r>
    <x v="1"/>
    <x v="0"/>
    <s v="North Arkansas College"/>
    <m/>
    <n v="107460"/>
    <x v="8"/>
    <n v="8986735.1856301613"/>
    <n v="8981519"/>
    <m/>
    <m/>
    <m/>
    <m/>
    <n v="4404155"/>
    <m/>
    <n v="4404155"/>
    <n v="4700911"/>
    <m/>
    <n v="4700911"/>
    <n v="13390890.185630161"/>
    <n v="13682430"/>
    <m/>
    <m/>
    <m/>
    <m/>
    <n v="0"/>
    <m/>
    <m/>
    <n v="0"/>
    <m/>
    <m/>
    <m/>
    <m/>
    <m/>
    <m/>
    <n v="13390890.185630161"/>
    <n v="13682430"/>
  </r>
  <r>
    <x v="1"/>
    <x v="0"/>
    <s v="Ozarka College "/>
    <m/>
    <n v="107549"/>
    <x v="8"/>
    <n v="4206530.0859962739"/>
    <n v="4264352"/>
    <m/>
    <m/>
    <m/>
    <m/>
    <n v="3892672"/>
    <m/>
    <n v="3892672"/>
    <n v="3855843"/>
    <m/>
    <n v="3855843"/>
    <n v="8099202.0859962739"/>
    <n v="8120195"/>
    <m/>
    <m/>
    <m/>
    <m/>
    <n v="0"/>
    <m/>
    <m/>
    <n v="0"/>
    <m/>
    <m/>
    <m/>
    <m/>
    <m/>
    <m/>
    <n v="8099202.0859962739"/>
    <n v="8120195"/>
  </r>
  <r>
    <x v="1"/>
    <x v="0"/>
    <s v="Phillips Community College of the Univ of Arkansas"/>
    <m/>
    <n v="107619"/>
    <x v="8"/>
    <n v="10263233"/>
    <n v="10317654"/>
    <m/>
    <m/>
    <n v="2023942"/>
    <n v="2000000"/>
    <n v="3825570"/>
    <m/>
    <n v="3825570"/>
    <n v="3096106"/>
    <m/>
    <n v="3096106"/>
    <n v="16112745"/>
    <n v="15413760"/>
    <m/>
    <m/>
    <m/>
    <m/>
    <n v="0"/>
    <m/>
    <m/>
    <n v="0"/>
    <m/>
    <m/>
    <m/>
    <m/>
    <m/>
    <m/>
    <n v="16112745"/>
    <n v="15413760"/>
  </r>
  <r>
    <x v="1"/>
    <x v="0"/>
    <s v="Rich Mountain Community College "/>
    <m/>
    <n v="107743"/>
    <x v="8"/>
    <n v="3419756.6864498239"/>
    <n v="3397250"/>
    <m/>
    <m/>
    <m/>
    <m/>
    <n v="1861211"/>
    <m/>
    <n v="1861211"/>
    <n v="1904418"/>
    <m/>
    <n v="1904418"/>
    <n v="5280967.6864498239"/>
    <n v="5301668"/>
    <m/>
    <m/>
    <m/>
    <m/>
    <n v="0"/>
    <m/>
    <m/>
    <n v="0"/>
    <m/>
    <m/>
    <m/>
    <m/>
    <m/>
    <m/>
    <n v="5280967.6864498239"/>
    <n v="5301668"/>
  </r>
  <r>
    <x v="1"/>
    <x v="0"/>
    <s v="South Arkansas Community College"/>
    <m/>
    <n v="107974"/>
    <x v="8"/>
    <n v="6969347.430759687"/>
    <n v="6964925"/>
    <m/>
    <m/>
    <m/>
    <m/>
    <n v="4595575"/>
    <m/>
    <n v="4595575"/>
    <n v="4449490"/>
    <m/>
    <n v="4449490"/>
    <n v="11564922.430759687"/>
    <n v="11414415"/>
    <m/>
    <m/>
    <m/>
    <m/>
    <n v="0"/>
    <m/>
    <m/>
    <n v="0"/>
    <m/>
    <m/>
    <m/>
    <m/>
    <m/>
    <m/>
    <n v="11564922.430759687"/>
    <n v="11414415"/>
  </r>
  <r>
    <x v="1"/>
    <x v="0"/>
    <s v="Southeast Arkansas College"/>
    <m/>
    <n v="107637"/>
    <x v="8"/>
    <n v="7526695.1957487287"/>
    <n v="7617924"/>
    <m/>
    <m/>
    <m/>
    <m/>
    <n v="4656006"/>
    <m/>
    <n v="4656006"/>
    <n v="4012649"/>
    <m/>
    <n v="4012649"/>
    <n v="12182701.195748728"/>
    <n v="11630573"/>
    <m/>
    <m/>
    <m/>
    <m/>
    <n v="0"/>
    <m/>
    <m/>
    <n v="0"/>
    <m/>
    <m/>
    <m/>
    <m/>
    <m/>
    <m/>
    <n v="12182701.195748728"/>
    <n v="11630573"/>
  </r>
  <r>
    <x v="1"/>
    <x v="0"/>
    <s v="Southern Arkansas University Tech"/>
    <m/>
    <n v="107992"/>
    <x v="8"/>
    <n v="5876733.445511017"/>
    <n v="5839365"/>
    <m/>
    <m/>
    <m/>
    <m/>
    <n v="4620703"/>
    <m/>
    <n v="4620703"/>
    <n v="4566899"/>
    <m/>
    <n v="4566899"/>
    <n v="10497436.445511017"/>
    <n v="10406264"/>
    <m/>
    <m/>
    <m/>
    <m/>
    <n v="0"/>
    <m/>
    <m/>
    <n v="0"/>
    <m/>
    <m/>
    <m/>
    <m/>
    <m/>
    <m/>
    <n v="10497436.445511017"/>
    <n v="10406264"/>
  </r>
  <r>
    <x v="1"/>
    <x v="3"/>
    <s v="Environmental Control Academy &amp; Fire Control Academy"/>
    <m/>
    <n v="107992"/>
    <x v="8"/>
    <m/>
    <m/>
    <n v="2143446"/>
    <n v="2137751"/>
    <m/>
    <m/>
    <n v="607532"/>
    <m/>
    <n v="607532"/>
    <n v="528342"/>
    <m/>
    <n v="528342"/>
    <n v="2750978"/>
    <n v="2666093"/>
    <m/>
    <m/>
    <m/>
    <m/>
    <n v="0"/>
    <m/>
    <m/>
    <n v="0"/>
    <m/>
    <m/>
    <m/>
    <m/>
    <m/>
    <m/>
    <n v="2750978"/>
    <n v="2666093"/>
  </r>
  <r>
    <x v="1"/>
    <x v="0"/>
    <s v="University of Arkansas Community College at Batesville"/>
    <m/>
    <n v="106999"/>
    <x v="8"/>
    <n v="4915421.71191689"/>
    <n v="4919947"/>
    <m/>
    <m/>
    <n v="1271172"/>
    <n v="1200000"/>
    <n v="4733197"/>
    <m/>
    <n v="4733197"/>
    <n v="3313275"/>
    <m/>
    <n v="3313275"/>
    <n v="10919790.71191689"/>
    <n v="9433222"/>
    <m/>
    <m/>
    <m/>
    <m/>
    <n v="0"/>
    <m/>
    <m/>
    <n v="0"/>
    <m/>
    <m/>
    <m/>
    <m/>
    <m/>
    <m/>
    <n v="10919790.71191689"/>
    <n v="9433222"/>
  </r>
  <r>
    <x v="1"/>
    <x v="0"/>
    <s v="University of Arkansas Community College at Hope"/>
    <m/>
    <n v="107725"/>
    <x v="8"/>
    <n v="6340227.5739074955"/>
    <n v="6456823"/>
    <m/>
    <m/>
    <n v="1147689"/>
    <n v="1100000"/>
    <n v="2294716"/>
    <m/>
    <n v="2294716"/>
    <n v="2571363"/>
    <m/>
    <n v="2571363"/>
    <n v="9782632.5739074945"/>
    <n v="10128186"/>
    <m/>
    <m/>
    <m/>
    <m/>
    <n v="0"/>
    <m/>
    <m/>
    <n v="0"/>
    <m/>
    <m/>
    <m/>
    <m/>
    <m/>
    <m/>
    <n v="9782632.5739074945"/>
    <n v="10128186"/>
  </r>
  <r>
    <x v="1"/>
    <x v="0"/>
    <s v="University of Arkansas Community College at Morrilton"/>
    <m/>
    <n v="107585"/>
    <x v="8"/>
    <n v="6068165.8460974721"/>
    <n v="6082071"/>
    <m/>
    <m/>
    <n v="873633.99"/>
    <n v="870000"/>
    <n v="6463759"/>
    <m/>
    <n v="6463759"/>
    <n v="5871745"/>
    <m/>
    <n v="5871745"/>
    <n v="13405558.836097471"/>
    <n v="12823816"/>
    <m/>
    <m/>
    <m/>
    <m/>
    <n v="0"/>
    <m/>
    <m/>
    <n v="0"/>
    <m/>
    <m/>
    <m/>
    <m/>
    <m/>
    <m/>
    <n v="13405558.836097471"/>
    <n v="12823816"/>
  </r>
  <r>
    <x v="1"/>
    <x v="41"/>
    <s v="University of Arkansas for Medical Sciences"/>
    <m/>
    <n v="106263"/>
    <x v="11"/>
    <m/>
    <m/>
    <m/>
    <m/>
    <m/>
    <m/>
    <m/>
    <m/>
    <n v="0"/>
    <m/>
    <m/>
    <n v="0"/>
    <n v="0"/>
    <n v="0"/>
    <m/>
    <m/>
    <m/>
    <m/>
    <n v="0"/>
    <m/>
    <m/>
    <n v="0"/>
    <n v="113389367"/>
    <n v="113645774"/>
    <n v="25726873"/>
    <m/>
    <n v="32489268"/>
    <m/>
    <n v="139116240"/>
    <n v="146135042"/>
  </r>
  <r>
    <x v="1"/>
    <x v="13"/>
    <s v="All Other State Operating Appropriations Related to Postsecondary Education"/>
    <m/>
    <m/>
    <x v="12"/>
    <m/>
    <m/>
    <m/>
    <m/>
    <m/>
    <m/>
    <m/>
    <m/>
    <n v="0"/>
    <m/>
    <m/>
    <n v="0"/>
    <n v="0"/>
    <n v="0"/>
    <m/>
    <m/>
    <m/>
    <m/>
    <n v="0"/>
    <m/>
    <m/>
    <n v="0"/>
    <m/>
    <m/>
    <m/>
    <m/>
    <m/>
    <m/>
    <n v="0"/>
    <n v="0"/>
  </r>
  <r>
    <x v="1"/>
    <x v="13"/>
    <s v="Y.O.U. Program for At-Risk Youth"/>
    <m/>
    <m/>
    <x v="12"/>
    <m/>
    <m/>
    <n v="0"/>
    <m/>
    <m/>
    <m/>
    <m/>
    <m/>
    <n v="0"/>
    <m/>
    <m/>
    <n v="0"/>
    <n v="0"/>
    <n v="0"/>
    <m/>
    <m/>
    <m/>
    <m/>
    <n v="0"/>
    <m/>
    <m/>
    <n v="0"/>
    <m/>
    <m/>
    <m/>
    <m/>
    <m/>
    <m/>
    <n v="0"/>
    <n v="0"/>
  </r>
  <r>
    <x v="1"/>
    <x v="13"/>
    <s v="Tuition Waiver Adjustments"/>
    <m/>
    <m/>
    <x v="12"/>
    <m/>
    <m/>
    <n v="350000"/>
    <n v="350000"/>
    <m/>
    <m/>
    <m/>
    <m/>
    <n v="0"/>
    <m/>
    <m/>
    <n v="0"/>
    <n v="350000"/>
    <n v="350000"/>
    <m/>
    <m/>
    <m/>
    <m/>
    <n v="0"/>
    <m/>
    <m/>
    <n v="0"/>
    <m/>
    <m/>
    <m/>
    <m/>
    <m/>
    <m/>
    <n v="350000"/>
    <n v="350000"/>
  </r>
  <r>
    <x v="1"/>
    <x v="14"/>
    <s v="Statewide System Operations"/>
    <m/>
    <m/>
    <x v="12"/>
    <m/>
    <m/>
    <m/>
    <m/>
    <m/>
    <m/>
    <m/>
    <m/>
    <n v="0"/>
    <m/>
    <m/>
    <n v="0"/>
    <n v="0"/>
    <n v="0"/>
    <m/>
    <m/>
    <m/>
    <m/>
    <n v="0"/>
    <m/>
    <m/>
    <n v="0"/>
    <m/>
    <m/>
    <m/>
    <m/>
    <m/>
    <m/>
    <n v="0"/>
    <n v="0"/>
  </r>
  <r>
    <x v="1"/>
    <x v="15"/>
    <s v="Colleges and universities"/>
    <m/>
    <m/>
    <x v="12"/>
    <m/>
    <m/>
    <m/>
    <m/>
    <m/>
    <m/>
    <m/>
    <m/>
    <n v="0"/>
    <m/>
    <m/>
    <n v="0"/>
    <n v="0"/>
    <n v="0"/>
    <m/>
    <m/>
    <m/>
    <m/>
    <n v="0"/>
    <m/>
    <m/>
    <n v="0"/>
    <m/>
    <m/>
    <m/>
    <m/>
    <m/>
    <m/>
    <n v="0"/>
    <n v="0"/>
  </r>
  <r>
    <x v="1"/>
    <x v="15"/>
    <s v="Higher Education Coordinating Board"/>
    <m/>
    <m/>
    <x v="12"/>
    <m/>
    <m/>
    <m/>
    <m/>
    <m/>
    <m/>
    <m/>
    <m/>
    <n v="0"/>
    <m/>
    <m/>
    <n v="0"/>
    <n v="0"/>
    <n v="0"/>
    <n v="4097411"/>
    <n v="3958998"/>
    <m/>
    <m/>
    <n v="0"/>
    <m/>
    <m/>
    <n v="0"/>
    <m/>
    <m/>
    <m/>
    <m/>
    <m/>
    <m/>
    <n v="4097411"/>
    <n v="3958998"/>
  </r>
  <r>
    <x v="1"/>
    <x v="15"/>
    <s v="Univ. of Ark System Office"/>
    <m/>
    <m/>
    <x v="12"/>
    <m/>
    <m/>
    <m/>
    <m/>
    <m/>
    <m/>
    <m/>
    <m/>
    <n v="0"/>
    <m/>
    <m/>
    <n v="0"/>
    <n v="0"/>
    <n v="0"/>
    <n v="3685410"/>
    <n v="3670984"/>
    <m/>
    <m/>
    <n v="0"/>
    <m/>
    <m/>
    <n v="0"/>
    <m/>
    <m/>
    <m/>
    <m/>
    <m/>
    <m/>
    <n v="3685410"/>
    <n v="3670984"/>
  </r>
  <r>
    <x v="1"/>
    <x v="15"/>
    <s v="Arkansas State University System Office"/>
    <m/>
    <m/>
    <x v="12"/>
    <m/>
    <m/>
    <m/>
    <m/>
    <m/>
    <m/>
    <m/>
    <m/>
    <n v="0"/>
    <m/>
    <m/>
    <n v="0"/>
    <n v="0"/>
    <n v="0"/>
    <n v="2391872"/>
    <n v="2362680"/>
    <m/>
    <m/>
    <n v="0"/>
    <m/>
    <m/>
    <n v="0"/>
    <m/>
    <m/>
    <m/>
    <m/>
    <m/>
    <m/>
    <n v="2391872"/>
    <n v="2362680"/>
  </r>
  <r>
    <x v="1"/>
    <x v="17"/>
    <s v="National or regional associations, compacts or consortia"/>
    <m/>
    <m/>
    <x v="12"/>
    <m/>
    <m/>
    <m/>
    <m/>
    <m/>
    <m/>
    <m/>
    <m/>
    <n v="0"/>
    <m/>
    <m/>
    <n v="0"/>
    <n v="0"/>
    <n v="0"/>
    <m/>
    <m/>
    <m/>
    <m/>
    <n v="0"/>
    <m/>
    <m/>
    <n v="0"/>
    <m/>
    <m/>
    <m/>
    <m/>
    <m/>
    <m/>
    <n v="0"/>
    <n v="0"/>
  </r>
  <r>
    <x v="1"/>
    <x v="17"/>
    <s v="SREB Membership"/>
    <m/>
    <m/>
    <x v="12"/>
    <m/>
    <m/>
    <m/>
    <m/>
    <m/>
    <m/>
    <m/>
    <m/>
    <n v="0"/>
    <m/>
    <m/>
    <n v="0"/>
    <n v="0"/>
    <n v="0"/>
    <m/>
    <m/>
    <m/>
    <m/>
    <n v="0"/>
    <m/>
    <m/>
    <n v="0"/>
    <m/>
    <m/>
    <m/>
    <m/>
    <m/>
    <m/>
    <n v="0"/>
    <n v="0"/>
  </r>
  <r>
    <x v="1"/>
    <x v="18"/>
    <s v="Adm. of Statewide Student Aid Progs. (incldng centralized guaranteed student loans)"/>
    <m/>
    <m/>
    <x v="12"/>
    <m/>
    <m/>
    <m/>
    <m/>
    <m/>
    <m/>
    <m/>
    <m/>
    <n v="0"/>
    <m/>
    <m/>
    <n v="0"/>
    <n v="0"/>
    <n v="0"/>
    <m/>
    <m/>
    <m/>
    <m/>
    <n v="0"/>
    <m/>
    <m/>
    <n v="0"/>
    <m/>
    <m/>
    <m/>
    <m/>
    <m/>
    <m/>
    <n v="0"/>
    <n v="0"/>
  </r>
  <r>
    <x v="1"/>
    <x v="19"/>
    <s v="State Support to Private Colleges Other Than Student Aid"/>
    <m/>
    <m/>
    <x v="12"/>
    <m/>
    <m/>
    <m/>
    <m/>
    <m/>
    <m/>
    <m/>
    <m/>
    <n v="0"/>
    <m/>
    <m/>
    <n v="0"/>
    <n v="0"/>
    <n v="0"/>
    <m/>
    <m/>
    <m/>
    <m/>
    <n v="0"/>
    <m/>
    <m/>
    <n v="0"/>
    <m/>
    <m/>
    <m/>
    <m/>
    <m/>
    <m/>
    <n v="0"/>
    <n v="0"/>
  </r>
  <r>
    <x v="1"/>
    <x v="20"/>
    <s v="Contract Education Programs"/>
    <m/>
    <m/>
    <x v="12"/>
    <m/>
    <m/>
    <m/>
    <m/>
    <m/>
    <m/>
    <m/>
    <m/>
    <n v="0"/>
    <m/>
    <m/>
    <n v="0"/>
    <n v="0"/>
    <n v="0"/>
    <m/>
    <m/>
    <m/>
    <m/>
    <n v="0"/>
    <m/>
    <m/>
    <n v="0"/>
    <m/>
    <m/>
    <m/>
    <m/>
    <m/>
    <m/>
    <n v="0"/>
    <n v="0"/>
  </r>
  <r>
    <x v="1"/>
    <x v="21"/>
    <s v="SREB contract program with private colleges"/>
    <m/>
    <m/>
    <x v="12"/>
    <m/>
    <m/>
    <m/>
    <m/>
    <m/>
    <m/>
    <m/>
    <m/>
    <n v="0"/>
    <m/>
    <m/>
    <n v="0"/>
    <n v="0"/>
    <n v="0"/>
    <m/>
    <m/>
    <m/>
    <m/>
    <n v="0"/>
    <m/>
    <m/>
    <n v="0"/>
    <m/>
    <m/>
    <m/>
    <m/>
    <m/>
    <m/>
    <n v="0"/>
    <n v="0"/>
  </r>
  <r>
    <x v="1"/>
    <x v="21"/>
    <s v="Ohio College of Podiatric Medicine"/>
    <m/>
    <m/>
    <x v="12"/>
    <m/>
    <m/>
    <m/>
    <m/>
    <m/>
    <m/>
    <m/>
    <m/>
    <n v="0"/>
    <m/>
    <m/>
    <n v="0"/>
    <n v="0"/>
    <n v="0"/>
    <n v="29400"/>
    <n v="40400"/>
    <m/>
    <m/>
    <n v="0"/>
    <m/>
    <m/>
    <n v="0"/>
    <m/>
    <m/>
    <m/>
    <m/>
    <m/>
    <m/>
    <n v="29400"/>
    <n v="40400"/>
  </r>
  <r>
    <x v="1"/>
    <x v="21"/>
    <s v="Meharry Medical College (Dentistry)"/>
    <m/>
    <m/>
    <x v="12"/>
    <m/>
    <m/>
    <m/>
    <m/>
    <m/>
    <m/>
    <m/>
    <m/>
    <n v="0"/>
    <m/>
    <m/>
    <n v="0"/>
    <n v="0"/>
    <n v="0"/>
    <n v="49200"/>
    <n v="67600"/>
    <m/>
    <m/>
    <n v="0"/>
    <m/>
    <m/>
    <n v="0"/>
    <m/>
    <m/>
    <m/>
    <m/>
    <m/>
    <m/>
    <n v="49200"/>
    <n v="67600"/>
  </r>
  <r>
    <x v="1"/>
    <x v="21"/>
    <s v="Rosalind Franklin University"/>
    <m/>
    <m/>
    <x v="12"/>
    <m/>
    <m/>
    <m/>
    <m/>
    <m/>
    <m/>
    <m/>
    <m/>
    <n v="0"/>
    <m/>
    <m/>
    <n v="0"/>
    <n v="0"/>
    <n v="0"/>
    <n v="0"/>
    <n v="10100"/>
    <m/>
    <m/>
    <n v="0"/>
    <m/>
    <m/>
    <n v="0"/>
    <m/>
    <m/>
    <m/>
    <m/>
    <m/>
    <m/>
    <n v="0"/>
    <n v="10100"/>
  </r>
  <r>
    <x v="1"/>
    <x v="21"/>
    <s v="Southern College of Optometry"/>
    <m/>
    <m/>
    <x v="12"/>
    <m/>
    <m/>
    <m/>
    <m/>
    <m/>
    <m/>
    <m/>
    <m/>
    <n v="0"/>
    <m/>
    <m/>
    <n v="0"/>
    <n v="0"/>
    <n v="0"/>
    <n v="286000"/>
    <n v="296000"/>
    <m/>
    <m/>
    <n v="0"/>
    <m/>
    <m/>
    <n v="0"/>
    <m/>
    <m/>
    <m/>
    <m/>
    <m/>
    <m/>
    <n v="286000"/>
    <n v="296000"/>
  </r>
  <r>
    <x v="1"/>
    <x v="21"/>
    <s v="Virginia College of Osteopathic Medicine"/>
    <m/>
    <m/>
    <x v="12"/>
    <m/>
    <m/>
    <m/>
    <m/>
    <m/>
    <m/>
    <m/>
    <m/>
    <n v="0"/>
    <m/>
    <m/>
    <n v="0"/>
    <n v="0"/>
    <n v="0"/>
    <n v="43600"/>
    <n v="14800"/>
    <m/>
    <m/>
    <n v="0"/>
    <m/>
    <m/>
    <n v="0"/>
    <m/>
    <m/>
    <m/>
    <m/>
    <m/>
    <m/>
    <n v="43600"/>
    <n v="14800"/>
  </r>
  <r>
    <x v="1"/>
    <x v="21"/>
    <s v="Southeastern University College of Osteopathic Medicine (NOVA)"/>
    <m/>
    <m/>
    <x v="12"/>
    <m/>
    <m/>
    <m/>
    <m/>
    <m/>
    <m/>
    <m/>
    <m/>
    <n v="0"/>
    <m/>
    <m/>
    <n v="0"/>
    <n v="0"/>
    <n v="0"/>
    <n v="0"/>
    <m/>
    <m/>
    <m/>
    <n v="0"/>
    <m/>
    <m/>
    <n v="0"/>
    <m/>
    <m/>
    <m/>
    <m/>
    <m/>
    <m/>
    <n v="0"/>
    <n v="0"/>
  </r>
  <r>
    <x v="1"/>
    <x v="22"/>
    <s v="SREB contract program with public colleges"/>
    <m/>
    <m/>
    <x v="12"/>
    <m/>
    <m/>
    <m/>
    <m/>
    <m/>
    <m/>
    <m/>
    <m/>
    <n v="0"/>
    <m/>
    <m/>
    <n v="0"/>
    <n v="0"/>
    <n v="0"/>
    <n v="0"/>
    <m/>
    <m/>
    <m/>
    <n v="0"/>
    <m/>
    <m/>
    <n v="0"/>
    <m/>
    <m/>
    <m/>
    <m/>
    <m/>
    <m/>
    <n v="0"/>
    <n v="0"/>
  </r>
  <r>
    <x v="1"/>
    <x v="22"/>
    <s v="Louisiana State Univ. Medical Center (Dentistry)"/>
    <m/>
    <m/>
    <x v="12"/>
    <m/>
    <m/>
    <m/>
    <m/>
    <m/>
    <m/>
    <m/>
    <m/>
    <n v="0"/>
    <m/>
    <m/>
    <n v="0"/>
    <n v="0"/>
    <n v="0"/>
    <n v="196800"/>
    <n v="185900"/>
    <m/>
    <m/>
    <n v="0"/>
    <m/>
    <m/>
    <n v="0"/>
    <m/>
    <m/>
    <m/>
    <m/>
    <m/>
    <m/>
    <n v="196800"/>
    <n v="185900"/>
  </r>
  <r>
    <x v="1"/>
    <x v="22"/>
    <s v="Mississippi State University (Veterinary Medicine)"/>
    <m/>
    <m/>
    <x v="12"/>
    <m/>
    <m/>
    <m/>
    <m/>
    <m/>
    <m/>
    <m/>
    <m/>
    <n v="0"/>
    <m/>
    <m/>
    <n v="0"/>
    <n v="0"/>
    <n v="0"/>
    <n v="25000"/>
    <n v="0"/>
    <m/>
    <m/>
    <n v="0"/>
    <m/>
    <m/>
    <n v="0"/>
    <m/>
    <m/>
    <m/>
    <m/>
    <m/>
    <m/>
    <n v="25000"/>
    <n v="0"/>
  </r>
  <r>
    <x v="1"/>
    <x v="22"/>
    <s v="Oklahoma State University (Osteopathic Medicine)"/>
    <m/>
    <m/>
    <x v="12"/>
    <m/>
    <m/>
    <m/>
    <m/>
    <m/>
    <m/>
    <m/>
    <m/>
    <n v="0"/>
    <m/>
    <m/>
    <n v="0"/>
    <n v="0"/>
    <n v="0"/>
    <n v="28600"/>
    <n v="29600"/>
    <m/>
    <m/>
    <n v="0"/>
    <m/>
    <m/>
    <n v="0"/>
    <m/>
    <m/>
    <m/>
    <m/>
    <m/>
    <m/>
    <n v="28600"/>
    <n v="29600"/>
  </r>
  <r>
    <x v="1"/>
    <x v="22"/>
    <s v="University of Tennessee (Dentistry)"/>
    <m/>
    <m/>
    <x v="12"/>
    <m/>
    <m/>
    <m/>
    <m/>
    <m/>
    <m/>
    <m/>
    <m/>
    <n v="0"/>
    <m/>
    <m/>
    <n v="0"/>
    <n v="0"/>
    <n v="0"/>
    <n v="1410400"/>
    <n v="1495650"/>
    <m/>
    <m/>
    <n v="0"/>
    <m/>
    <m/>
    <n v="0"/>
    <m/>
    <m/>
    <m/>
    <m/>
    <m/>
    <m/>
    <n v="1410400"/>
    <n v="1495650"/>
  </r>
  <r>
    <x v="1"/>
    <x v="22"/>
    <s v="University of Oklahoma (Dentistry)"/>
    <m/>
    <m/>
    <x v="12"/>
    <m/>
    <m/>
    <m/>
    <m/>
    <m/>
    <m/>
    <m/>
    <m/>
    <n v="0"/>
    <m/>
    <m/>
    <n v="0"/>
    <n v="0"/>
    <n v="0"/>
    <n v="49200"/>
    <n v="67600"/>
    <m/>
    <m/>
    <n v="0"/>
    <m/>
    <m/>
    <n v="0"/>
    <m/>
    <m/>
    <m/>
    <m/>
    <m/>
    <m/>
    <n v="49200"/>
    <n v="67600"/>
  </r>
  <r>
    <x v="1"/>
    <x v="22"/>
    <s v="Baylor College of Medicine-Texas A&amp;M (Dentistry)"/>
    <m/>
    <m/>
    <x v="12"/>
    <m/>
    <m/>
    <m/>
    <m/>
    <m/>
    <m/>
    <m/>
    <m/>
    <n v="0"/>
    <m/>
    <m/>
    <n v="0"/>
    <n v="0"/>
    <n v="0"/>
    <n v="65600"/>
    <n v="67600"/>
    <m/>
    <m/>
    <n v="0"/>
    <m/>
    <m/>
    <n v="0"/>
    <m/>
    <m/>
    <m/>
    <m/>
    <m/>
    <m/>
    <n v="65600"/>
    <n v="67600"/>
  </r>
  <r>
    <x v="1"/>
    <x v="22"/>
    <s v="Louisiana State University (Veterinary Medicine)"/>
    <m/>
    <m/>
    <x v="12"/>
    <m/>
    <m/>
    <m/>
    <m/>
    <m/>
    <m/>
    <m/>
    <m/>
    <n v="0"/>
    <m/>
    <m/>
    <n v="0"/>
    <n v="0"/>
    <n v="0"/>
    <n v="925000"/>
    <n v="890100"/>
    <m/>
    <m/>
    <n v="0"/>
    <m/>
    <m/>
    <n v="0"/>
    <m/>
    <m/>
    <m/>
    <m/>
    <m/>
    <m/>
    <n v="925000"/>
    <n v="890100"/>
  </r>
  <r>
    <x v="1"/>
    <x v="22"/>
    <s v="Northeastern University (Optometry)"/>
    <m/>
    <m/>
    <x v="12"/>
    <m/>
    <m/>
    <m/>
    <m/>
    <m/>
    <m/>
    <m/>
    <m/>
    <n v="0"/>
    <m/>
    <m/>
    <n v="0"/>
    <n v="0"/>
    <n v="0"/>
    <n v="85800"/>
    <n v="88800"/>
    <m/>
    <m/>
    <n v="0"/>
    <m/>
    <m/>
    <n v="0"/>
    <m/>
    <m/>
    <m/>
    <m/>
    <m/>
    <m/>
    <n v="85800"/>
    <n v="88800"/>
  </r>
  <r>
    <x v="1"/>
    <x v="22"/>
    <s v="University of Louisville (Dentistry)"/>
    <m/>
    <m/>
    <x v="12"/>
    <m/>
    <m/>
    <m/>
    <m/>
    <m/>
    <m/>
    <m/>
    <m/>
    <n v="0"/>
    <m/>
    <m/>
    <n v="0"/>
    <n v="0"/>
    <n v="0"/>
    <n v="65600"/>
    <n v="67600"/>
    <m/>
    <m/>
    <n v="0"/>
    <m/>
    <m/>
    <n v="0"/>
    <m/>
    <m/>
    <m/>
    <m/>
    <m/>
    <m/>
    <n v="65600"/>
    <n v="67600"/>
  </r>
  <r>
    <x v="1"/>
    <x v="23"/>
    <s v="Other contract education programs"/>
    <m/>
    <m/>
    <x v="12"/>
    <m/>
    <m/>
    <m/>
    <m/>
    <m/>
    <m/>
    <m/>
    <m/>
    <n v="0"/>
    <m/>
    <m/>
    <n v="0"/>
    <n v="0"/>
    <n v="0"/>
    <n v="0"/>
    <m/>
    <m/>
    <m/>
    <n v="0"/>
    <m/>
    <m/>
    <n v="0"/>
    <m/>
    <m/>
    <m/>
    <m/>
    <m/>
    <m/>
    <n v="0"/>
    <n v="0"/>
  </r>
  <r>
    <x v="1"/>
    <x v="24"/>
    <s v="Statewide Student Financial Aid Programs Administered Off Campus"/>
    <m/>
    <m/>
    <x v="12"/>
    <m/>
    <m/>
    <m/>
    <m/>
    <m/>
    <m/>
    <m/>
    <m/>
    <n v="0"/>
    <m/>
    <m/>
    <n v="0"/>
    <n v="0"/>
    <n v="0"/>
    <m/>
    <m/>
    <m/>
    <m/>
    <n v="0"/>
    <m/>
    <m/>
    <n v="0"/>
    <m/>
    <m/>
    <m/>
    <m/>
    <m/>
    <m/>
    <n v="0"/>
    <n v="0"/>
  </r>
  <r>
    <x v="1"/>
    <x v="25"/>
    <s v="Available to public &amp; private sector students"/>
    <m/>
    <m/>
    <x v="12"/>
    <m/>
    <m/>
    <m/>
    <m/>
    <m/>
    <m/>
    <m/>
    <m/>
    <n v="0"/>
    <m/>
    <m/>
    <n v="0"/>
    <n v="0"/>
    <n v="0"/>
    <m/>
    <m/>
    <m/>
    <m/>
    <n v="0"/>
    <m/>
    <m/>
    <n v="0"/>
    <m/>
    <m/>
    <m/>
    <m/>
    <m/>
    <m/>
    <n v="0"/>
    <n v="0"/>
  </r>
  <r>
    <x v="1"/>
    <x v="25"/>
    <s v="Governor's Scholars"/>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7885000"/>
    <n v="8220000"/>
    <m/>
    <m/>
    <n v="0"/>
    <m/>
    <m/>
    <n v="0"/>
    <m/>
    <m/>
    <m/>
    <m/>
    <m/>
    <m/>
    <n v="7885000"/>
    <n v="8220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3770000"/>
    <n v="3820000"/>
    <m/>
    <m/>
    <n v="0"/>
    <m/>
    <m/>
    <n v="0"/>
    <m/>
    <m/>
    <m/>
    <m/>
    <m/>
    <m/>
    <n v="3770000"/>
    <n v="3820000"/>
  </r>
  <r>
    <x v="1"/>
    <x v="25"/>
    <s v="Arkansas Academic Challenge Scholarship"/>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115000000"/>
    <n v="119500000"/>
    <m/>
    <m/>
    <n v="0"/>
    <m/>
    <m/>
    <n v="0"/>
    <m/>
    <m/>
    <m/>
    <m/>
    <m/>
    <m/>
    <n v="115000000"/>
    <n v="119500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14200000"/>
    <n v="14500000"/>
    <m/>
    <m/>
    <n v="0"/>
    <m/>
    <m/>
    <n v="0"/>
    <m/>
    <m/>
    <m/>
    <m/>
    <m/>
    <m/>
    <n v="14200000"/>
    <n v="14500000"/>
  </r>
  <r>
    <x v="1"/>
    <x v="25"/>
    <s v="Higher Education Opportunities Grant (GO! Opportunities Grant)"/>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n v="5100000"/>
    <n v="5600000"/>
    <m/>
    <m/>
    <n v="0"/>
    <m/>
    <m/>
    <n v="0"/>
    <m/>
    <m/>
    <m/>
    <m/>
    <m/>
    <m/>
    <n v="5100000"/>
    <n v="5600000"/>
  </r>
  <r>
    <x v="1"/>
    <x v="30"/>
    <s v="Non need-based"/>
    <m/>
    <m/>
    <x v="12"/>
    <m/>
    <m/>
    <m/>
    <m/>
    <m/>
    <m/>
    <m/>
    <m/>
    <n v="0"/>
    <m/>
    <m/>
    <n v="0"/>
    <n v="0"/>
    <n v="0"/>
    <m/>
    <m/>
    <m/>
    <m/>
    <n v="0"/>
    <m/>
    <m/>
    <n v="0"/>
    <m/>
    <m/>
    <m/>
    <m/>
    <m/>
    <m/>
    <n v="0"/>
    <n v="0"/>
  </r>
  <r>
    <x v="1"/>
    <x v="31"/>
    <s v="Amount to private sector students"/>
    <m/>
    <m/>
    <x v="12"/>
    <m/>
    <m/>
    <m/>
    <m/>
    <m/>
    <m/>
    <m/>
    <m/>
    <n v="0"/>
    <m/>
    <m/>
    <n v="0"/>
    <n v="0"/>
    <n v="0"/>
    <m/>
    <m/>
    <m/>
    <m/>
    <n v="0"/>
    <m/>
    <m/>
    <n v="0"/>
    <m/>
    <m/>
    <m/>
    <m/>
    <m/>
    <m/>
    <n v="0"/>
    <n v="0"/>
  </r>
  <r>
    <x v="1"/>
    <x v="32"/>
    <s v="Need-based"/>
    <m/>
    <m/>
    <x v="12"/>
    <m/>
    <m/>
    <m/>
    <m/>
    <m/>
    <m/>
    <m/>
    <m/>
    <n v="0"/>
    <m/>
    <m/>
    <n v="0"/>
    <n v="0"/>
    <n v="0"/>
    <n v="417000"/>
    <n v="407000"/>
    <m/>
    <m/>
    <n v="0"/>
    <m/>
    <m/>
    <n v="0"/>
    <m/>
    <m/>
    <m/>
    <m/>
    <m/>
    <m/>
    <n v="417000"/>
    <n v="407000"/>
  </r>
  <r>
    <x v="1"/>
    <x v="33"/>
    <s v="Non need-based"/>
    <m/>
    <m/>
    <x v="12"/>
    <m/>
    <m/>
    <m/>
    <m/>
    <m/>
    <m/>
    <m/>
    <m/>
    <n v="0"/>
    <m/>
    <m/>
    <n v="0"/>
    <n v="0"/>
    <n v="0"/>
    <m/>
    <m/>
    <m/>
    <m/>
    <n v="0"/>
    <m/>
    <m/>
    <n v="0"/>
    <m/>
    <m/>
    <m/>
    <m/>
    <m/>
    <m/>
    <n v="0"/>
    <n v="0"/>
  </r>
  <r>
    <x v="1"/>
    <x v="25"/>
    <s v="Teacher Opportunity Program"/>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20000"/>
    <n v="900000"/>
    <m/>
    <m/>
    <n v="0"/>
    <m/>
    <m/>
    <n v="0"/>
    <m/>
    <m/>
    <m/>
    <m/>
    <m/>
    <m/>
    <n v="20000"/>
    <n v="900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0"/>
    <n v="100000"/>
    <m/>
    <m/>
    <n v="0"/>
    <m/>
    <m/>
    <n v="0"/>
    <m/>
    <m/>
    <m/>
    <m/>
    <m/>
    <m/>
    <n v="0"/>
    <n v="100000"/>
  </r>
  <r>
    <x v="1"/>
    <x v="25"/>
    <s v="Second Effort Scholarships"/>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15000"/>
    <n v="11000"/>
    <m/>
    <m/>
    <n v="0"/>
    <m/>
    <m/>
    <n v="0"/>
    <m/>
    <m/>
    <m/>
    <m/>
    <m/>
    <m/>
    <n v="15000"/>
    <n v="11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MIA/KIA Dependents' Scholarship"/>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158378"/>
    <n v="208511"/>
    <m/>
    <m/>
    <n v="0"/>
    <m/>
    <m/>
    <n v="0"/>
    <m/>
    <m/>
    <m/>
    <m/>
    <m/>
    <m/>
    <n v="158378"/>
    <n v="208511"/>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National Guard Scholarships"/>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1216250"/>
    <n v="1393737"/>
    <m/>
    <m/>
    <n v="0"/>
    <m/>
    <m/>
    <n v="0"/>
    <m/>
    <m/>
    <m/>
    <m/>
    <m/>
    <m/>
    <n v="1216250"/>
    <n v="1393737"/>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52500"/>
    <n v="35000"/>
    <m/>
    <m/>
    <n v="0"/>
    <m/>
    <m/>
    <n v="0"/>
    <m/>
    <m/>
    <m/>
    <m/>
    <m/>
    <m/>
    <n v="52500"/>
    <n v="35000"/>
  </r>
  <r>
    <x v="1"/>
    <x v="25"/>
    <s v="Junior/Senior Minority Scholarships"/>
    <m/>
    <m/>
    <x v="12"/>
    <m/>
    <m/>
    <m/>
    <m/>
    <m/>
    <m/>
    <m/>
    <m/>
    <n v="0"/>
    <m/>
    <m/>
    <n v="0"/>
    <n v="0"/>
    <n v="0"/>
    <m/>
    <m/>
    <m/>
    <m/>
    <n v="0"/>
    <m/>
    <m/>
    <n v="0"/>
    <m/>
    <m/>
    <m/>
    <m/>
    <m/>
    <m/>
    <n v="0"/>
    <n v="0"/>
  </r>
  <r>
    <x v="1"/>
    <x v="28"/>
    <s v="Amount to public sector students"/>
    <m/>
    <m/>
    <x v="12"/>
    <m/>
    <m/>
    <m/>
    <m/>
    <m/>
    <m/>
    <m/>
    <m/>
    <n v="0"/>
    <m/>
    <m/>
    <n v="0"/>
    <n v="0"/>
    <n v="0"/>
    <m/>
    <n v="0"/>
    <m/>
    <m/>
    <n v="0"/>
    <m/>
    <m/>
    <n v="0"/>
    <m/>
    <m/>
    <m/>
    <m/>
    <m/>
    <m/>
    <n v="0"/>
    <n v="0"/>
  </r>
  <r>
    <x v="1"/>
    <x v="29"/>
    <s v="Need-based"/>
    <m/>
    <m/>
    <x v="12"/>
    <m/>
    <m/>
    <m/>
    <m/>
    <m/>
    <m/>
    <m/>
    <m/>
    <n v="0"/>
    <m/>
    <m/>
    <n v="0"/>
    <n v="0"/>
    <n v="0"/>
    <m/>
    <m/>
    <m/>
    <m/>
    <n v="0"/>
    <m/>
    <m/>
    <n v="0"/>
    <m/>
    <m/>
    <m/>
    <m/>
    <m/>
    <m/>
    <n v="0"/>
    <n v="0"/>
  </r>
  <r>
    <x v="1"/>
    <x v="30"/>
    <s v="Non need-based"/>
    <m/>
    <m/>
    <x v="12"/>
    <m/>
    <m/>
    <m/>
    <m/>
    <m/>
    <m/>
    <m/>
    <m/>
    <n v="0"/>
    <m/>
    <m/>
    <n v="0"/>
    <n v="0"/>
    <n v="0"/>
    <n v="0"/>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0"/>
    <m/>
    <m/>
    <m/>
    <n v="0"/>
    <m/>
    <m/>
    <n v="0"/>
    <m/>
    <m/>
    <m/>
    <m/>
    <m/>
    <m/>
    <n v="0"/>
    <n v="0"/>
  </r>
  <r>
    <x v="1"/>
    <x v="25"/>
    <s v="Minority Master's Fellows Program"/>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0"/>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0"/>
    <m/>
    <m/>
    <m/>
    <n v="0"/>
    <m/>
    <m/>
    <n v="0"/>
    <m/>
    <m/>
    <m/>
    <m/>
    <m/>
    <m/>
    <n v="0"/>
    <n v="0"/>
  </r>
  <r>
    <x v="1"/>
    <x v="25"/>
    <s v="SREB Doctoral Scholars Program"/>
    <m/>
    <m/>
    <x v="12"/>
    <m/>
    <m/>
    <m/>
    <m/>
    <m/>
    <m/>
    <m/>
    <m/>
    <n v="0"/>
    <m/>
    <m/>
    <n v="0"/>
    <n v="0"/>
    <n v="0"/>
    <m/>
    <m/>
    <m/>
    <m/>
    <n v="0"/>
    <m/>
    <m/>
    <n v="0"/>
    <m/>
    <m/>
    <m/>
    <m/>
    <m/>
    <m/>
    <n v="0"/>
    <n v="0"/>
  </r>
  <r>
    <x v="1"/>
    <x v="26"/>
    <s v="Need-based"/>
    <m/>
    <m/>
    <x v="12"/>
    <m/>
    <m/>
    <m/>
    <m/>
    <m/>
    <m/>
    <m/>
    <m/>
    <n v="0"/>
    <m/>
    <m/>
    <n v="0"/>
    <n v="0"/>
    <n v="0"/>
    <m/>
    <m/>
    <m/>
    <m/>
    <n v="0"/>
    <m/>
    <m/>
    <n v="0"/>
    <m/>
    <m/>
    <m/>
    <m/>
    <m/>
    <m/>
    <n v="0"/>
    <n v="0"/>
  </r>
  <r>
    <x v="1"/>
    <x v="27"/>
    <s v="Non need-based"/>
    <m/>
    <m/>
    <x v="12"/>
    <m/>
    <m/>
    <m/>
    <m/>
    <m/>
    <m/>
    <m/>
    <m/>
    <n v="0"/>
    <m/>
    <m/>
    <n v="0"/>
    <n v="0"/>
    <n v="0"/>
    <n v="200000"/>
    <n v="200000"/>
    <m/>
    <m/>
    <n v="0"/>
    <m/>
    <m/>
    <n v="0"/>
    <m/>
    <m/>
    <m/>
    <m/>
    <m/>
    <m/>
    <n v="200000"/>
    <n v="20000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m/>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Geographical Critical Needs Teacher Scholarship"/>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82000"/>
    <n v="40000"/>
    <m/>
    <m/>
    <n v="0"/>
    <m/>
    <m/>
    <n v="0"/>
    <m/>
    <m/>
    <m/>
    <m/>
    <m/>
    <m/>
    <n v="82000"/>
    <n v="40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4000"/>
    <n v="0"/>
    <m/>
    <m/>
    <n v="0"/>
    <m/>
    <m/>
    <n v="0"/>
    <m/>
    <m/>
    <m/>
    <m/>
    <m/>
    <m/>
    <n v="4000"/>
    <n v="0"/>
  </r>
  <r>
    <x v="1"/>
    <x v="25"/>
    <s v="Workforce Improvement Grant"/>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n v="3400000"/>
    <n v="3610000"/>
    <m/>
    <m/>
    <n v="0"/>
    <m/>
    <m/>
    <n v="0"/>
    <m/>
    <m/>
    <m/>
    <m/>
    <m/>
    <m/>
    <n v="3400000"/>
    <n v="3610000"/>
  </r>
  <r>
    <x v="1"/>
    <x v="30"/>
    <s v="Non need-based"/>
    <m/>
    <m/>
    <x v="12"/>
    <m/>
    <m/>
    <m/>
    <m/>
    <m/>
    <m/>
    <m/>
    <m/>
    <n v="0"/>
    <m/>
    <m/>
    <n v="0"/>
    <n v="0"/>
    <n v="0"/>
    <m/>
    <m/>
    <m/>
    <m/>
    <n v="0"/>
    <m/>
    <m/>
    <n v="0"/>
    <m/>
    <m/>
    <m/>
    <m/>
    <m/>
    <m/>
    <n v="0"/>
    <n v="0"/>
  </r>
  <r>
    <x v="1"/>
    <x v="31"/>
    <s v="Amount to private sector students"/>
    <m/>
    <s v=" "/>
    <x v="12"/>
    <m/>
    <m/>
    <m/>
    <m/>
    <m/>
    <m/>
    <m/>
    <m/>
    <n v="0"/>
    <m/>
    <m/>
    <n v="0"/>
    <n v="0"/>
    <n v="0"/>
    <m/>
    <m/>
    <m/>
    <m/>
    <n v="0"/>
    <m/>
    <m/>
    <n v="0"/>
    <m/>
    <m/>
    <m/>
    <m/>
    <m/>
    <m/>
    <n v="0"/>
    <n v="0"/>
  </r>
  <r>
    <x v="1"/>
    <x v="32"/>
    <s v="Need-based"/>
    <m/>
    <m/>
    <x v="12"/>
    <m/>
    <m/>
    <m/>
    <m/>
    <m/>
    <m/>
    <m/>
    <m/>
    <n v="0"/>
    <m/>
    <m/>
    <n v="0"/>
    <n v="0"/>
    <n v="0"/>
    <n v="90000"/>
    <n v="190000"/>
    <m/>
    <m/>
    <n v="0"/>
    <m/>
    <m/>
    <n v="0"/>
    <m/>
    <m/>
    <m/>
    <m/>
    <m/>
    <m/>
    <n v="90000"/>
    <n v="190000"/>
  </r>
  <r>
    <x v="1"/>
    <x v="33"/>
    <s v="Non need-based"/>
    <m/>
    <m/>
    <x v="12"/>
    <m/>
    <m/>
    <m/>
    <m/>
    <m/>
    <m/>
    <m/>
    <m/>
    <n v="0"/>
    <m/>
    <m/>
    <n v="0"/>
    <n v="0"/>
    <n v="0"/>
    <m/>
    <m/>
    <m/>
    <m/>
    <n v="0"/>
    <m/>
    <m/>
    <n v="0"/>
    <m/>
    <m/>
    <m/>
    <m/>
    <m/>
    <m/>
    <n v="0"/>
    <n v="0"/>
  </r>
  <r>
    <x v="1"/>
    <x v="25"/>
    <s v="State Teacher Assistance Resource"/>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0"/>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0"/>
    <m/>
    <m/>
    <m/>
    <n v="0"/>
    <m/>
    <m/>
    <n v="0"/>
    <m/>
    <m/>
    <m/>
    <m/>
    <m/>
    <m/>
    <n v="0"/>
    <n v="0"/>
  </r>
  <r>
    <x v="1"/>
    <x v="34"/>
    <s v="Limited to public college students only"/>
    <m/>
    <m/>
    <x v="12"/>
    <m/>
    <m/>
    <m/>
    <m/>
    <m/>
    <m/>
    <m/>
    <m/>
    <n v="0"/>
    <m/>
    <m/>
    <n v="0"/>
    <n v="0"/>
    <n v="0"/>
    <m/>
    <m/>
    <m/>
    <m/>
    <n v="0"/>
    <m/>
    <m/>
    <n v="0"/>
    <m/>
    <m/>
    <m/>
    <m/>
    <m/>
    <m/>
    <n v="0"/>
    <n v="0"/>
  </r>
  <r>
    <x v="1"/>
    <x v="34"/>
    <s v="Surviving Chidren of Law Enforcement Offs."/>
    <m/>
    <m/>
    <x v="12"/>
    <m/>
    <m/>
    <m/>
    <m/>
    <m/>
    <m/>
    <m/>
    <m/>
    <n v="0"/>
    <m/>
    <m/>
    <n v="0"/>
    <n v="0"/>
    <n v="0"/>
    <m/>
    <m/>
    <m/>
    <m/>
    <n v="0"/>
    <m/>
    <m/>
    <n v="0"/>
    <m/>
    <m/>
    <m/>
    <m/>
    <m/>
    <m/>
    <n v="0"/>
    <n v="0"/>
  </r>
  <r>
    <x v="1"/>
    <x v="35"/>
    <s v="Need-based"/>
    <m/>
    <m/>
    <x v="12"/>
    <m/>
    <m/>
    <m/>
    <m/>
    <m/>
    <m/>
    <m/>
    <m/>
    <n v="0"/>
    <m/>
    <m/>
    <n v="0"/>
    <n v="0"/>
    <n v="0"/>
    <m/>
    <m/>
    <m/>
    <m/>
    <n v="0"/>
    <m/>
    <m/>
    <n v="0"/>
    <m/>
    <m/>
    <m/>
    <m/>
    <m/>
    <m/>
    <n v="0"/>
    <n v="0"/>
  </r>
  <r>
    <x v="1"/>
    <x v="36"/>
    <s v="Non need-based"/>
    <m/>
    <m/>
    <x v="12"/>
    <m/>
    <m/>
    <m/>
    <m/>
    <m/>
    <m/>
    <m/>
    <m/>
    <n v="0"/>
    <m/>
    <m/>
    <n v="0"/>
    <n v="0"/>
    <n v="0"/>
    <n v="260165"/>
    <n v="276823"/>
    <m/>
    <m/>
    <n v="0"/>
    <m/>
    <m/>
    <n v="0"/>
    <m/>
    <m/>
    <m/>
    <m/>
    <m/>
    <m/>
    <n v="260165"/>
    <n v="276823"/>
  </r>
  <r>
    <x v="2"/>
    <x v="0"/>
    <s v="University of Delaware"/>
    <m/>
    <n v="130943"/>
    <x v="0"/>
    <n v="113279900"/>
    <n v="114274900"/>
    <m/>
    <m/>
    <m/>
    <m/>
    <n v="461765329"/>
    <m/>
    <n v="461765329"/>
    <n v="482645088"/>
    <n v="0"/>
    <n v="482645088"/>
    <n v="575045229"/>
    <n v="596919988"/>
    <m/>
    <m/>
    <m/>
    <m/>
    <n v="0"/>
    <m/>
    <m/>
    <n v="0"/>
    <m/>
    <m/>
    <m/>
    <m/>
    <m/>
    <m/>
    <n v="575045229"/>
    <n v="596919988"/>
  </r>
  <r>
    <x v="2"/>
    <x v="3"/>
    <s v="Community/Public Service"/>
    <m/>
    <n v="130943"/>
    <x v="0"/>
    <m/>
    <m/>
    <m/>
    <m/>
    <m/>
    <m/>
    <m/>
    <m/>
    <n v="0"/>
    <m/>
    <m/>
    <n v="0"/>
    <n v="0"/>
    <n v="0"/>
    <m/>
    <m/>
    <m/>
    <m/>
    <n v="0"/>
    <m/>
    <m/>
    <n v="0"/>
    <m/>
    <m/>
    <m/>
    <m/>
    <m/>
    <m/>
    <n v="0"/>
    <n v="0"/>
  </r>
  <r>
    <x v="2"/>
    <x v="3"/>
    <s v="The College School"/>
    <m/>
    <n v="130943"/>
    <x v="0"/>
    <m/>
    <m/>
    <n v="78000"/>
    <n v="95000"/>
    <m/>
    <m/>
    <m/>
    <m/>
    <n v="0"/>
    <m/>
    <m/>
    <n v="0"/>
    <n v="78000"/>
    <n v="95000"/>
    <m/>
    <m/>
    <m/>
    <m/>
    <n v="0"/>
    <m/>
    <m/>
    <n v="0"/>
    <m/>
    <m/>
    <m/>
    <m/>
    <m/>
    <m/>
    <n v="78000"/>
    <n v="95000"/>
  </r>
  <r>
    <x v="2"/>
    <x v="5"/>
    <s v="Agricultural cooperative extension"/>
    <m/>
    <n v="130943"/>
    <x v="0"/>
    <m/>
    <m/>
    <n v="1957710"/>
    <n v="2308076"/>
    <m/>
    <m/>
    <m/>
    <m/>
    <n v="0"/>
    <m/>
    <m/>
    <n v="0"/>
    <n v="1957710"/>
    <n v="2308076"/>
    <m/>
    <m/>
    <m/>
    <m/>
    <n v="0"/>
    <m/>
    <m/>
    <n v="0"/>
    <m/>
    <m/>
    <m/>
    <m/>
    <m/>
    <m/>
    <n v="1957710"/>
    <n v="2308076"/>
  </r>
  <r>
    <x v="2"/>
    <x v="6"/>
    <s v="Agricultural experiment stations"/>
    <m/>
    <n v="130943"/>
    <x v="0"/>
    <m/>
    <m/>
    <n v="2234390"/>
    <n v="2602724"/>
    <m/>
    <m/>
    <m/>
    <m/>
    <n v="0"/>
    <m/>
    <m/>
    <n v="0"/>
    <n v="2234390"/>
    <n v="2602724"/>
    <m/>
    <m/>
    <m/>
    <m/>
    <n v="0"/>
    <m/>
    <m/>
    <n v="0"/>
    <m/>
    <m/>
    <m/>
    <m/>
    <m/>
    <m/>
    <n v="2234390"/>
    <n v="2602724"/>
  </r>
  <r>
    <x v="2"/>
    <x v="7"/>
    <s v="Research centers/institutes"/>
    <m/>
    <n v="130943"/>
    <x v="0"/>
    <m/>
    <m/>
    <m/>
    <m/>
    <m/>
    <m/>
    <m/>
    <m/>
    <n v="0"/>
    <m/>
    <m/>
    <n v="0"/>
    <n v="0"/>
    <n v="0"/>
    <m/>
    <m/>
    <m/>
    <m/>
    <n v="0"/>
    <m/>
    <m/>
    <n v="0"/>
    <m/>
    <m/>
    <m/>
    <m/>
    <m/>
    <m/>
    <n v="0"/>
    <n v="0"/>
  </r>
  <r>
    <x v="2"/>
    <x v="7"/>
    <s v="Delaware Biotech Institute Operating Funds"/>
    <m/>
    <n v="130943"/>
    <x v="0"/>
    <m/>
    <m/>
    <n v="497100"/>
    <n v="502900"/>
    <m/>
    <m/>
    <m/>
    <m/>
    <n v="0"/>
    <m/>
    <m/>
    <n v="0"/>
    <n v="497100"/>
    <n v="502900"/>
    <m/>
    <m/>
    <m/>
    <m/>
    <n v="0"/>
    <m/>
    <m/>
    <n v="0"/>
    <m/>
    <m/>
    <m/>
    <m/>
    <m/>
    <m/>
    <n v="497100"/>
    <n v="502900"/>
  </r>
  <r>
    <x v="2"/>
    <x v="7"/>
    <s v="Sea Grant"/>
    <m/>
    <n v="130943"/>
    <x v="0"/>
    <m/>
    <m/>
    <n v="475100"/>
    <n v="617500"/>
    <m/>
    <m/>
    <m/>
    <m/>
    <n v="0"/>
    <m/>
    <m/>
    <n v="0"/>
    <n v="475100"/>
    <n v="617500"/>
    <m/>
    <m/>
    <m/>
    <m/>
    <n v="0"/>
    <m/>
    <m/>
    <n v="0"/>
    <m/>
    <m/>
    <m/>
    <m/>
    <m/>
    <m/>
    <n v="475100"/>
    <n v="617500"/>
  </r>
  <r>
    <x v="2"/>
    <x v="7"/>
    <s v="Urban Agent"/>
    <m/>
    <n v="130943"/>
    <x v="0"/>
    <m/>
    <m/>
    <n v="115300"/>
    <n v="115300"/>
    <m/>
    <m/>
    <m/>
    <m/>
    <n v="0"/>
    <m/>
    <m/>
    <n v="0"/>
    <n v="115300"/>
    <n v="115300"/>
    <m/>
    <m/>
    <m/>
    <m/>
    <n v="0"/>
    <m/>
    <m/>
    <n v="0"/>
    <m/>
    <m/>
    <m/>
    <m/>
    <m/>
    <m/>
    <n v="115300"/>
    <n v="115300"/>
  </r>
  <r>
    <x v="2"/>
    <x v="7"/>
    <s v="Public Service &amp; Applied Research Projects"/>
    <m/>
    <n v="130943"/>
    <x v="0"/>
    <m/>
    <m/>
    <n v="385000"/>
    <n v="256600"/>
    <m/>
    <m/>
    <m/>
    <m/>
    <n v="0"/>
    <m/>
    <m/>
    <n v="0"/>
    <n v="385000"/>
    <n v="256600"/>
    <m/>
    <m/>
    <m/>
    <m/>
    <n v="0"/>
    <m/>
    <m/>
    <n v="0"/>
    <m/>
    <m/>
    <m/>
    <m/>
    <m/>
    <m/>
    <n v="385000"/>
    <n v="256600"/>
  </r>
  <r>
    <x v="2"/>
    <x v="7"/>
    <s v="Local Government Research &amp; Assistance"/>
    <m/>
    <n v="130943"/>
    <x v="0"/>
    <m/>
    <m/>
    <n v="202900"/>
    <n v="202900"/>
    <m/>
    <m/>
    <m/>
    <m/>
    <n v="0"/>
    <m/>
    <m/>
    <n v="0"/>
    <n v="202900"/>
    <n v="202900"/>
    <m/>
    <m/>
    <m/>
    <m/>
    <n v="0"/>
    <m/>
    <m/>
    <n v="0"/>
    <m/>
    <m/>
    <m/>
    <m/>
    <m/>
    <m/>
    <n v="202900"/>
    <n v="202900"/>
  </r>
  <r>
    <x v="2"/>
    <x v="7"/>
    <s v="Research on School Finance"/>
    <m/>
    <n v="130943"/>
    <x v="0"/>
    <m/>
    <m/>
    <n v="76900"/>
    <n v="76900"/>
    <m/>
    <m/>
    <m/>
    <m/>
    <n v="0"/>
    <m/>
    <m/>
    <n v="0"/>
    <n v="76900"/>
    <n v="76900"/>
    <m/>
    <m/>
    <m/>
    <m/>
    <n v="0"/>
    <m/>
    <m/>
    <n v="0"/>
    <m/>
    <m/>
    <m/>
    <m/>
    <m/>
    <m/>
    <n v="76900"/>
    <n v="76900"/>
  </r>
  <r>
    <x v="2"/>
    <x v="7"/>
    <s v="Delaware Education Research &amp; Development Center"/>
    <m/>
    <n v="130943"/>
    <x v="0"/>
    <m/>
    <m/>
    <n v="199800"/>
    <n v="239700"/>
    <m/>
    <m/>
    <m/>
    <m/>
    <n v="0"/>
    <m/>
    <m/>
    <n v="0"/>
    <n v="199800"/>
    <n v="239700"/>
    <m/>
    <m/>
    <m/>
    <m/>
    <n v="0"/>
    <m/>
    <m/>
    <n v="0"/>
    <m/>
    <m/>
    <m/>
    <m/>
    <m/>
    <m/>
    <n v="199800"/>
    <n v="239700"/>
  </r>
  <r>
    <x v="2"/>
    <x v="7"/>
    <s v="Geological Survey"/>
    <m/>
    <n v="130943"/>
    <x v="0"/>
    <m/>
    <m/>
    <n v="1677800"/>
    <n v="1739500"/>
    <m/>
    <m/>
    <m/>
    <m/>
    <n v="0"/>
    <m/>
    <m/>
    <n v="0"/>
    <n v="1677800"/>
    <n v="1739500"/>
    <m/>
    <m/>
    <m/>
    <m/>
    <n v="0"/>
    <m/>
    <m/>
    <n v="0"/>
    <m/>
    <m/>
    <m/>
    <m/>
    <m/>
    <m/>
    <n v="1677800"/>
    <n v="1739500"/>
  </r>
  <r>
    <x v="2"/>
    <x v="0"/>
    <s v="Delaware State University"/>
    <s v="Reclassified: met the criteria for Four-Year 3 in 2010-11, 2011-12 and 2012-13."/>
    <n v="130934"/>
    <x v="2"/>
    <n v="32196000"/>
    <n v="32773400"/>
    <m/>
    <m/>
    <m/>
    <m/>
    <n v="44587874"/>
    <n v="3459473"/>
    <n v="48047347"/>
    <n v="43477739"/>
    <n v="1495622"/>
    <n v="44973361"/>
    <n v="76783874"/>
    <n v="76251139"/>
    <m/>
    <m/>
    <m/>
    <m/>
    <n v="0"/>
    <m/>
    <m/>
    <n v="0"/>
    <m/>
    <m/>
    <m/>
    <m/>
    <m/>
    <m/>
    <n v="76783874"/>
    <n v="76251139"/>
  </r>
  <r>
    <x v="2"/>
    <x v="0"/>
    <s v="Delaware Technical and Community College--Stanton-Wilmington"/>
    <m/>
    <n v="130916"/>
    <x v="6"/>
    <n v="29102300"/>
    <n v="29204100"/>
    <m/>
    <m/>
    <m/>
    <m/>
    <n v="20265900"/>
    <m/>
    <n v="20265900"/>
    <n v="22955100"/>
    <m/>
    <n v="22955100"/>
    <n v="49368200"/>
    <n v="52159200"/>
    <m/>
    <m/>
    <m/>
    <m/>
    <n v="0"/>
    <m/>
    <m/>
    <n v="0"/>
    <m/>
    <m/>
    <m/>
    <m/>
    <m/>
    <m/>
    <n v="49368200"/>
    <n v="52159200"/>
  </r>
  <r>
    <x v="2"/>
    <x v="0"/>
    <s v="Delaware Technical and Community College--Owens"/>
    <m/>
    <n v="130891"/>
    <x v="7"/>
    <n v="17203100"/>
    <n v="17254100"/>
    <m/>
    <m/>
    <m/>
    <m/>
    <n v="11949000"/>
    <m/>
    <n v="11949000"/>
    <n v="14560700"/>
    <m/>
    <n v="14560700"/>
    <n v="29152100"/>
    <n v="31814800"/>
    <m/>
    <m/>
    <m/>
    <m/>
    <n v="0"/>
    <m/>
    <m/>
    <n v="0"/>
    <m/>
    <m/>
    <m/>
    <m/>
    <m/>
    <m/>
    <n v="29152100"/>
    <n v="31814800"/>
  </r>
  <r>
    <x v="2"/>
    <x v="0"/>
    <s v="Delaware Technical and Community College--Terry"/>
    <m/>
    <n v="130907"/>
    <x v="8"/>
    <n v="11044900"/>
    <n v="11095800"/>
    <m/>
    <m/>
    <m/>
    <m/>
    <n v="8277600"/>
    <m/>
    <n v="8277600"/>
    <n v="9695700"/>
    <m/>
    <n v="9695700"/>
    <n v="19322500"/>
    <n v="20791500"/>
    <m/>
    <m/>
    <m/>
    <m/>
    <n v="0"/>
    <m/>
    <m/>
    <n v="0"/>
    <m/>
    <m/>
    <m/>
    <m/>
    <m/>
    <m/>
    <n v="19322500"/>
    <n v="20791500"/>
  </r>
  <r>
    <x v="2"/>
    <x v="13"/>
    <s v="Educational special-purpose funds-- all other"/>
    <m/>
    <m/>
    <x v="12"/>
    <m/>
    <m/>
    <m/>
    <m/>
    <m/>
    <m/>
    <m/>
    <m/>
    <n v="0"/>
    <m/>
    <m/>
    <n v="0"/>
    <n v="0"/>
    <n v="0"/>
    <m/>
    <m/>
    <m/>
    <m/>
    <n v="0"/>
    <m/>
    <m/>
    <n v="0"/>
    <m/>
    <m/>
    <m/>
    <m/>
    <m/>
    <m/>
    <n v="0"/>
    <n v="0"/>
  </r>
  <r>
    <x v="2"/>
    <x v="13"/>
    <s v="Matching Funds Minority Engineering Recruitment"/>
    <m/>
    <m/>
    <x v="12"/>
    <m/>
    <m/>
    <m/>
    <m/>
    <m/>
    <m/>
    <m/>
    <m/>
    <n v="0"/>
    <m/>
    <m/>
    <n v="0"/>
    <n v="0"/>
    <n v="0"/>
    <m/>
    <m/>
    <m/>
    <m/>
    <n v="0"/>
    <m/>
    <m/>
    <n v="0"/>
    <m/>
    <m/>
    <m/>
    <m/>
    <m/>
    <m/>
    <n v="0"/>
    <n v="0"/>
  </r>
  <r>
    <x v="2"/>
    <x v="13"/>
    <s v="Matching Funds; Advancement of Minorities in Engineering"/>
    <m/>
    <m/>
    <x v="12"/>
    <m/>
    <m/>
    <m/>
    <m/>
    <m/>
    <m/>
    <m/>
    <m/>
    <n v="0"/>
    <m/>
    <m/>
    <n v="0"/>
    <n v="0"/>
    <n v="0"/>
    <m/>
    <m/>
    <m/>
    <m/>
    <n v="0"/>
    <m/>
    <m/>
    <n v="0"/>
    <m/>
    <m/>
    <m/>
    <m/>
    <m/>
    <m/>
    <n v="0"/>
    <n v="0"/>
  </r>
  <r>
    <x v="2"/>
    <x v="13"/>
    <s v="Associate in Arts Program (joint Del. Tech - UD program administered by Del Tech)"/>
    <m/>
    <m/>
    <x v="12"/>
    <m/>
    <m/>
    <n v="1918000"/>
    <n v="1918000"/>
    <m/>
    <m/>
    <m/>
    <m/>
    <n v="0"/>
    <m/>
    <m/>
    <n v="0"/>
    <n v="1918000"/>
    <n v="1918000"/>
    <m/>
    <m/>
    <m/>
    <m/>
    <n v="0"/>
    <m/>
    <m/>
    <n v="0"/>
    <m/>
    <m/>
    <m/>
    <m/>
    <m/>
    <m/>
    <n v="1918000"/>
    <n v="1918000"/>
  </r>
  <r>
    <x v="2"/>
    <x v="14"/>
    <s v="Statewide system operations"/>
    <m/>
    <m/>
    <x v="12"/>
    <m/>
    <m/>
    <m/>
    <m/>
    <m/>
    <m/>
    <m/>
    <m/>
    <n v="0"/>
    <m/>
    <m/>
    <n v="0"/>
    <n v="0"/>
    <n v="0"/>
    <m/>
    <m/>
    <m/>
    <m/>
    <n v="0"/>
    <m/>
    <m/>
    <n v="0"/>
    <m/>
    <m/>
    <m/>
    <m/>
    <m/>
    <m/>
    <n v="0"/>
    <n v="0"/>
  </r>
  <r>
    <x v="2"/>
    <x v="15"/>
    <s v="Colleges and universities"/>
    <m/>
    <m/>
    <x v="12"/>
    <m/>
    <m/>
    <m/>
    <m/>
    <m/>
    <m/>
    <m/>
    <m/>
    <n v="0"/>
    <m/>
    <m/>
    <n v="0"/>
    <n v="0"/>
    <n v="0"/>
    <m/>
    <m/>
    <m/>
    <m/>
    <n v="0"/>
    <m/>
    <m/>
    <n v="0"/>
    <m/>
    <m/>
    <m/>
    <m/>
    <m/>
    <m/>
    <n v="0"/>
    <n v="0"/>
  </r>
  <r>
    <x v="2"/>
    <x v="15"/>
    <s v="DE Higher Education Commission"/>
    <m/>
    <m/>
    <x v="12"/>
    <m/>
    <m/>
    <m/>
    <m/>
    <m/>
    <m/>
    <m/>
    <m/>
    <n v="0"/>
    <m/>
    <m/>
    <n v="0"/>
    <n v="0"/>
    <n v="0"/>
    <n v="881500"/>
    <n v="887800"/>
    <m/>
    <m/>
    <n v="0"/>
    <m/>
    <m/>
    <n v="0"/>
    <m/>
    <m/>
    <m/>
    <m/>
    <m/>
    <m/>
    <n v="881500"/>
    <n v="887800"/>
  </r>
  <r>
    <x v="2"/>
    <x v="16"/>
    <s v="Two-year system(s), if any"/>
    <m/>
    <m/>
    <x v="12"/>
    <m/>
    <m/>
    <m/>
    <m/>
    <m/>
    <m/>
    <m/>
    <m/>
    <n v="0"/>
    <m/>
    <m/>
    <n v="0"/>
    <n v="0"/>
    <n v="0"/>
    <m/>
    <m/>
    <m/>
    <m/>
    <n v="0"/>
    <m/>
    <m/>
    <n v="0"/>
    <m/>
    <m/>
    <m/>
    <m/>
    <m/>
    <m/>
    <n v="0"/>
    <n v="0"/>
  </r>
  <r>
    <x v="2"/>
    <x v="16"/>
    <s v="Delaware Tech College System Office"/>
    <m/>
    <m/>
    <x v="12"/>
    <m/>
    <m/>
    <m/>
    <m/>
    <m/>
    <m/>
    <m/>
    <m/>
    <n v="0"/>
    <m/>
    <m/>
    <n v="0"/>
    <n v="0"/>
    <n v="0"/>
    <n v="10067500"/>
    <n v="11580800"/>
    <m/>
    <m/>
    <n v="0"/>
    <m/>
    <m/>
    <n v="0"/>
    <m/>
    <m/>
    <m/>
    <m/>
    <m/>
    <m/>
    <n v="10067500"/>
    <n v="11580800"/>
  </r>
  <r>
    <x v="2"/>
    <x v="17"/>
    <s v="National or regional associations, compacts or consortia"/>
    <m/>
    <m/>
    <x v="12"/>
    <m/>
    <m/>
    <m/>
    <m/>
    <m/>
    <m/>
    <m/>
    <m/>
    <n v="0"/>
    <m/>
    <m/>
    <n v="0"/>
    <n v="0"/>
    <n v="0"/>
    <m/>
    <m/>
    <m/>
    <m/>
    <n v="0"/>
    <m/>
    <m/>
    <n v="0"/>
    <m/>
    <m/>
    <m/>
    <m/>
    <m/>
    <m/>
    <n v="0"/>
    <n v="0"/>
  </r>
  <r>
    <x v="2"/>
    <x v="17"/>
    <s v="SREB"/>
    <m/>
    <m/>
    <x v="12"/>
    <m/>
    <m/>
    <m/>
    <m/>
    <m/>
    <m/>
    <m/>
    <m/>
    <n v="0"/>
    <m/>
    <m/>
    <n v="0"/>
    <n v="0"/>
    <n v="0"/>
    <n v="193550"/>
    <n v="193550"/>
    <m/>
    <m/>
    <n v="0"/>
    <m/>
    <m/>
    <n v="0"/>
    <m/>
    <m/>
    <m/>
    <m/>
    <m/>
    <m/>
    <n v="193550"/>
    <n v="193550"/>
  </r>
  <r>
    <x v="2"/>
    <x v="18"/>
    <s v="Adm. of Statewide Student Aid Programs (including centralized guaranteed student loans)"/>
    <m/>
    <m/>
    <x v="12"/>
    <m/>
    <m/>
    <m/>
    <m/>
    <m/>
    <m/>
    <m/>
    <m/>
    <n v="0"/>
    <m/>
    <m/>
    <n v="0"/>
    <n v="0"/>
    <n v="0"/>
    <m/>
    <m/>
    <m/>
    <m/>
    <n v="0"/>
    <m/>
    <m/>
    <n v="0"/>
    <m/>
    <m/>
    <m/>
    <m/>
    <m/>
    <m/>
    <n v="0"/>
    <n v="0"/>
  </r>
  <r>
    <x v="2"/>
    <x v="19"/>
    <s v="Support to private colleges other than student financial aid"/>
    <m/>
    <m/>
    <x v="12"/>
    <m/>
    <m/>
    <m/>
    <m/>
    <m/>
    <m/>
    <m/>
    <m/>
    <n v="0"/>
    <m/>
    <m/>
    <n v="0"/>
    <n v="0"/>
    <n v="0"/>
    <m/>
    <m/>
    <m/>
    <m/>
    <n v="0"/>
    <m/>
    <m/>
    <n v="0"/>
    <m/>
    <m/>
    <m/>
    <m/>
    <m/>
    <m/>
    <n v="0"/>
    <n v="0"/>
  </r>
  <r>
    <x v="2"/>
    <x v="20"/>
    <s v="Contract education programs"/>
    <m/>
    <m/>
    <x v="12"/>
    <m/>
    <m/>
    <m/>
    <m/>
    <m/>
    <m/>
    <m/>
    <m/>
    <n v="0"/>
    <m/>
    <m/>
    <n v="0"/>
    <n v="0"/>
    <n v="0"/>
    <m/>
    <m/>
    <m/>
    <m/>
    <n v="0"/>
    <m/>
    <m/>
    <n v="0"/>
    <m/>
    <m/>
    <m/>
    <m/>
    <m/>
    <m/>
    <n v="0"/>
    <n v="0"/>
  </r>
  <r>
    <x v="2"/>
    <x v="21"/>
    <s v="SREB contract program with private colleges"/>
    <m/>
    <m/>
    <x v="12"/>
    <m/>
    <m/>
    <m/>
    <m/>
    <m/>
    <m/>
    <m/>
    <m/>
    <n v="0"/>
    <m/>
    <m/>
    <n v="0"/>
    <n v="0"/>
    <n v="0"/>
    <m/>
    <m/>
    <m/>
    <m/>
    <n v="0"/>
    <m/>
    <m/>
    <n v="0"/>
    <m/>
    <m/>
    <m/>
    <m/>
    <m/>
    <m/>
    <n v="0"/>
    <n v="0"/>
  </r>
  <r>
    <x v="2"/>
    <x v="21"/>
    <s v="Del Institute for Medical Ed &amp; Rsch (DIMER)"/>
    <m/>
    <m/>
    <x v="12"/>
    <m/>
    <m/>
    <m/>
    <m/>
    <m/>
    <m/>
    <m/>
    <m/>
    <n v="0"/>
    <m/>
    <m/>
    <n v="0"/>
    <n v="0"/>
    <n v="0"/>
    <n v="1650000"/>
    <n v="2130000"/>
    <m/>
    <m/>
    <n v="0"/>
    <m/>
    <m/>
    <n v="0"/>
    <m/>
    <m/>
    <m/>
    <m/>
    <m/>
    <m/>
    <n v="1650000"/>
    <n v="2130000"/>
  </r>
  <r>
    <x v="2"/>
    <x v="22"/>
    <s v="SREB contract program with public colleges"/>
    <m/>
    <m/>
    <x v="12"/>
    <m/>
    <m/>
    <m/>
    <m/>
    <m/>
    <m/>
    <m/>
    <m/>
    <n v="0"/>
    <m/>
    <m/>
    <n v="0"/>
    <n v="0"/>
    <n v="0"/>
    <m/>
    <m/>
    <m/>
    <m/>
    <n v="0"/>
    <m/>
    <m/>
    <n v="0"/>
    <m/>
    <m/>
    <m/>
    <m/>
    <m/>
    <m/>
    <n v="0"/>
    <n v="0"/>
  </r>
  <r>
    <x v="2"/>
    <x v="22"/>
    <s v="Del Institute for Vet Medical Education (DIVME)"/>
    <m/>
    <m/>
    <x v="12"/>
    <m/>
    <m/>
    <m/>
    <m/>
    <m/>
    <m/>
    <m/>
    <m/>
    <n v="0"/>
    <m/>
    <m/>
    <n v="0"/>
    <n v="0"/>
    <n v="0"/>
    <n v="300000"/>
    <n v="309600"/>
    <m/>
    <m/>
    <n v="0"/>
    <m/>
    <m/>
    <n v="0"/>
    <m/>
    <m/>
    <m/>
    <m/>
    <m/>
    <m/>
    <n v="300000"/>
    <n v="309600"/>
  </r>
  <r>
    <x v="2"/>
    <x v="22"/>
    <s v="Del Institute for Dental Ed &amp; Rsch (DIDER)"/>
    <m/>
    <m/>
    <x v="12"/>
    <m/>
    <m/>
    <m/>
    <m/>
    <m/>
    <m/>
    <m/>
    <m/>
    <n v="0"/>
    <m/>
    <m/>
    <n v="0"/>
    <n v="0"/>
    <n v="0"/>
    <n v="500500"/>
    <n v="488000"/>
    <m/>
    <m/>
    <n v="0"/>
    <m/>
    <m/>
    <n v="0"/>
    <m/>
    <m/>
    <m/>
    <m/>
    <m/>
    <m/>
    <n v="500500"/>
    <n v="488000"/>
  </r>
  <r>
    <x v="2"/>
    <x v="23"/>
    <s v="Other contract education programs"/>
    <m/>
    <m/>
    <x v="12"/>
    <m/>
    <m/>
    <m/>
    <m/>
    <m/>
    <m/>
    <m/>
    <m/>
    <n v="0"/>
    <m/>
    <m/>
    <n v="0"/>
    <n v="0"/>
    <n v="0"/>
    <m/>
    <m/>
    <m/>
    <m/>
    <n v="0"/>
    <m/>
    <m/>
    <n v="0"/>
    <m/>
    <m/>
    <m/>
    <m/>
    <m/>
    <m/>
    <n v="0"/>
    <n v="0"/>
  </r>
  <r>
    <x v="2"/>
    <x v="24"/>
    <s v="Statewide student financial aid programs administered off campus"/>
    <m/>
    <m/>
    <x v="12"/>
    <m/>
    <m/>
    <m/>
    <m/>
    <m/>
    <m/>
    <m/>
    <m/>
    <n v="0"/>
    <m/>
    <m/>
    <n v="0"/>
    <n v="0"/>
    <n v="0"/>
    <m/>
    <m/>
    <m/>
    <m/>
    <n v="0"/>
    <m/>
    <m/>
    <n v="0"/>
    <m/>
    <m/>
    <m/>
    <m/>
    <m/>
    <m/>
    <n v="0"/>
    <n v="0"/>
  </r>
  <r>
    <x v="2"/>
    <x v="25"/>
    <s v="Available to public &amp; private sector students"/>
    <m/>
    <m/>
    <x v="12"/>
    <m/>
    <m/>
    <m/>
    <m/>
    <m/>
    <m/>
    <m/>
    <m/>
    <n v="0"/>
    <m/>
    <m/>
    <n v="0"/>
    <n v="0"/>
    <n v="0"/>
    <m/>
    <m/>
    <m/>
    <m/>
    <n v="0"/>
    <m/>
    <m/>
    <n v="0"/>
    <m/>
    <m/>
    <m/>
    <m/>
    <m/>
    <m/>
    <n v="0"/>
    <n v="0"/>
  </r>
  <r>
    <x v="2"/>
    <x v="25"/>
    <s v="Scholarship Incentive Program"/>
    <m/>
    <m/>
    <x v="12"/>
    <m/>
    <m/>
    <m/>
    <m/>
    <m/>
    <m/>
    <m/>
    <m/>
    <n v="0"/>
    <m/>
    <m/>
    <n v="0"/>
    <n v="0"/>
    <n v="0"/>
    <n v="1208383"/>
    <n v="1275277"/>
    <m/>
    <m/>
    <n v="0"/>
    <m/>
    <m/>
    <n v="0"/>
    <m/>
    <m/>
    <m/>
    <m/>
    <m/>
    <m/>
    <n v="1208383"/>
    <n v="1275277"/>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Diamond State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38124"/>
    <n v="151874"/>
    <m/>
    <m/>
    <n v="0"/>
    <m/>
    <m/>
    <n v="0"/>
    <m/>
    <m/>
    <m/>
    <m/>
    <m/>
    <m/>
    <n v="138124"/>
    <n v="151874"/>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86867"/>
    <n v="90618"/>
    <m/>
    <m/>
    <n v="0"/>
    <m/>
    <m/>
    <n v="0"/>
    <m/>
    <m/>
    <m/>
    <m/>
    <m/>
    <m/>
    <n v="86867"/>
    <n v="90618"/>
  </r>
  <r>
    <x v="2"/>
    <x v="25"/>
    <s v="Ed Benefits for Children of Deceased Vets &amp; Others"/>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57710"/>
    <n v="40690"/>
    <m/>
    <m/>
    <n v="0"/>
    <m/>
    <m/>
    <n v="0"/>
    <m/>
    <m/>
    <m/>
    <m/>
    <m/>
    <m/>
    <n v="57710"/>
    <n v="4069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7948"/>
    <n v="0"/>
    <m/>
    <m/>
    <n v="0"/>
    <m/>
    <m/>
    <n v="0"/>
    <m/>
    <m/>
    <m/>
    <m/>
    <m/>
    <m/>
    <n v="7948"/>
    <n v="0"/>
  </r>
  <r>
    <x v="2"/>
    <x v="25"/>
    <s v="Christa McAuliffe Teacher Scholarship Loan"/>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87500"/>
    <n v="90000"/>
    <m/>
    <m/>
    <n v="0"/>
    <m/>
    <m/>
    <n v="0"/>
    <m/>
    <m/>
    <m/>
    <m/>
    <m/>
    <m/>
    <n v="87500"/>
    <n v="9000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35000"/>
    <n v="30000"/>
    <m/>
    <m/>
    <n v="0"/>
    <m/>
    <m/>
    <n v="0"/>
    <m/>
    <m/>
    <m/>
    <m/>
    <m/>
    <m/>
    <n v="35000"/>
    <n v="30000"/>
  </r>
  <r>
    <x v="2"/>
    <x v="25"/>
    <s v="Librarian and Archivist Incentive Program"/>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63159"/>
    <n v="24250"/>
    <m/>
    <m/>
    <n v="0"/>
    <m/>
    <m/>
    <n v="0"/>
    <m/>
    <m/>
    <m/>
    <m/>
    <m/>
    <m/>
    <n v="63159"/>
    <n v="2425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102588"/>
    <n v="93394"/>
    <m/>
    <m/>
    <n v="0"/>
    <m/>
    <m/>
    <n v="0"/>
    <m/>
    <m/>
    <m/>
    <m/>
    <m/>
    <m/>
    <n v="102588"/>
    <n v="93394"/>
  </r>
  <r>
    <x v="2"/>
    <x v="25"/>
    <s v="Delaware Nursing Incentive Program"/>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57903"/>
    <n v="63750"/>
    <m/>
    <m/>
    <n v="0"/>
    <m/>
    <m/>
    <n v="0"/>
    <m/>
    <m/>
    <m/>
    <m/>
    <m/>
    <m/>
    <n v="57903"/>
    <n v="6375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19129"/>
    <n v="42123"/>
    <m/>
    <m/>
    <n v="0"/>
    <m/>
    <m/>
    <n v="0"/>
    <m/>
    <m/>
    <m/>
    <m/>
    <m/>
    <m/>
    <n v="19129"/>
    <n v="42123"/>
  </r>
  <r>
    <x v="2"/>
    <x v="25"/>
    <s v="B. Bradford Barnes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95723"/>
    <n v="95630"/>
    <m/>
    <m/>
    <n v="0"/>
    <m/>
    <m/>
    <n v="0"/>
    <m/>
    <m/>
    <m/>
    <m/>
    <m/>
    <m/>
    <n v="95723"/>
    <n v="9563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Speech/Language Pathologist Incentive Program"/>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5000"/>
    <n v="17500"/>
    <m/>
    <m/>
    <n v="0"/>
    <m/>
    <m/>
    <n v="0"/>
    <m/>
    <m/>
    <m/>
    <m/>
    <m/>
    <m/>
    <n v="15000"/>
    <n v="1750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10000"/>
    <n v="15000"/>
    <m/>
    <m/>
    <n v="0"/>
    <m/>
    <m/>
    <n v="0"/>
    <m/>
    <m/>
    <m/>
    <m/>
    <m/>
    <m/>
    <n v="10000"/>
    <n v="15000"/>
  </r>
  <r>
    <x v="2"/>
    <x v="25"/>
    <s v="Herman M. Holloway, Sr.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75876"/>
    <n v="51176"/>
    <m/>
    <m/>
    <n v="0"/>
    <m/>
    <m/>
    <n v="0"/>
    <m/>
    <m/>
    <m/>
    <m/>
    <m/>
    <m/>
    <n v="75876"/>
    <n v="51176"/>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Legislative Essay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0"/>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0"/>
    <m/>
    <m/>
    <m/>
    <n v="0"/>
    <m/>
    <m/>
    <n v="0"/>
    <m/>
    <m/>
    <m/>
    <m/>
    <m/>
    <m/>
    <n v="0"/>
    <n v="0"/>
  </r>
  <r>
    <x v="2"/>
    <x v="25"/>
    <s v="Charles L. Hebner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38326"/>
    <n v="131247"/>
    <m/>
    <m/>
    <n v="0"/>
    <m/>
    <m/>
    <n v="0"/>
    <m/>
    <m/>
    <m/>
    <m/>
    <m/>
    <m/>
    <n v="138326"/>
    <n v="131247"/>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Gov's Ed Grants for Working  Adults"/>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n v="55306"/>
    <n v="83105"/>
    <m/>
    <m/>
    <n v="0"/>
    <m/>
    <m/>
    <n v="0"/>
    <m/>
    <m/>
    <m/>
    <m/>
    <m/>
    <m/>
    <n v="55306"/>
    <n v="83105"/>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1784"/>
    <n v="1241"/>
    <m/>
    <m/>
    <n v="0"/>
    <m/>
    <m/>
    <n v="0"/>
    <m/>
    <m/>
    <m/>
    <m/>
    <m/>
    <m/>
    <n v="1784"/>
    <n v="1241"/>
  </r>
  <r>
    <x v="2"/>
    <x v="33"/>
    <s v="Non need-based"/>
    <m/>
    <m/>
    <x v="12"/>
    <m/>
    <m/>
    <m/>
    <m/>
    <m/>
    <m/>
    <m/>
    <m/>
    <n v="0"/>
    <m/>
    <m/>
    <n v="0"/>
    <n v="0"/>
    <n v="0"/>
    <m/>
    <m/>
    <m/>
    <m/>
    <n v="0"/>
    <m/>
    <m/>
    <n v="0"/>
    <m/>
    <m/>
    <m/>
    <m/>
    <m/>
    <m/>
    <n v="0"/>
    <n v="0"/>
  </r>
  <r>
    <x v="2"/>
    <x v="25"/>
    <s v="Governor's Education Grants for Unemployed Adults"/>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n v="88551"/>
    <n v="82937"/>
    <m/>
    <m/>
    <n v="0"/>
    <m/>
    <m/>
    <n v="0"/>
    <m/>
    <m/>
    <m/>
    <m/>
    <m/>
    <m/>
    <n v="88551"/>
    <n v="82937"/>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1501"/>
    <n v="0"/>
    <m/>
    <m/>
    <n v="0"/>
    <m/>
    <m/>
    <n v="0"/>
    <m/>
    <m/>
    <m/>
    <m/>
    <m/>
    <m/>
    <n v="1501"/>
    <n v="0"/>
  </r>
  <r>
    <x v="2"/>
    <x v="33"/>
    <s v="Non need-based"/>
    <m/>
    <m/>
    <x v="12"/>
    <m/>
    <m/>
    <m/>
    <m/>
    <m/>
    <m/>
    <m/>
    <m/>
    <n v="0"/>
    <m/>
    <m/>
    <n v="0"/>
    <n v="0"/>
    <n v="0"/>
    <m/>
    <m/>
    <m/>
    <m/>
    <n v="0"/>
    <m/>
    <m/>
    <n v="0"/>
    <m/>
    <m/>
    <m/>
    <m/>
    <m/>
    <m/>
    <n v="0"/>
    <n v="0"/>
  </r>
  <r>
    <x v="2"/>
    <x v="25"/>
    <s v="Del. Institute for Med. Ed. &amp; Research"/>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366000"/>
    <n v="366000"/>
    <m/>
    <m/>
    <n v="0"/>
    <m/>
    <m/>
    <n v="0"/>
    <m/>
    <m/>
    <m/>
    <m/>
    <m/>
    <m/>
    <n v="366000"/>
    <n v="366000"/>
  </r>
  <r>
    <x v="2"/>
    <x v="33"/>
    <s v="Non need-based"/>
    <m/>
    <m/>
    <x v="12"/>
    <m/>
    <m/>
    <m/>
    <m/>
    <m/>
    <m/>
    <m/>
    <m/>
    <n v="0"/>
    <m/>
    <m/>
    <n v="0"/>
    <n v="0"/>
    <n v="0"/>
    <n v="114000"/>
    <n v="114000"/>
    <m/>
    <m/>
    <n v="0"/>
    <m/>
    <m/>
    <n v="0"/>
    <m/>
    <m/>
    <m/>
    <m/>
    <m/>
    <m/>
    <n v="114000"/>
    <n v="114000"/>
  </r>
  <r>
    <x v="2"/>
    <x v="25"/>
    <s v="Ivy D.F. Davis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n v="80000"/>
    <n v="80000"/>
    <m/>
    <m/>
    <n v="0"/>
    <m/>
    <m/>
    <n v="0"/>
    <m/>
    <m/>
    <m/>
    <m/>
    <m/>
    <m/>
    <n v="80000"/>
    <n v="8000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20000"/>
    <n v="20000"/>
    <m/>
    <m/>
    <n v="0"/>
    <m/>
    <m/>
    <n v="0"/>
    <m/>
    <m/>
    <m/>
    <m/>
    <m/>
    <m/>
    <n v="20000"/>
    <n v="20000"/>
  </r>
  <r>
    <x v="2"/>
    <x v="33"/>
    <s v="Non need-based"/>
    <m/>
    <m/>
    <x v="12"/>
    <m/>
    <m/>
    <m/>
    <m/>
    <m/>
    <m/>
    <m/>
    <m/>
    <n v="0"/>
    <m/>
    <m/>
    <n v="0"/>
    <n v="0"/>
    <n v="0"/>
    <m/>
    <m/>
    <m/>
    <m/>
    <n v="0"/>
    <m/>
    <m/>
    <n v="0"/>
    <m/>
    <m/>
    <m/>
    <m/>
    <m/>
    <m/>
    <n v="0"/>
    <n v="0"/>
  </r>
  <r>
    <x v="2"/>
    <x v="25"/>
    <s v="Michael C. Ferguson Achievement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224500"/>
    <n v="176650"/>
    <m/>
    <m/>
    <n v="0"/>
    <m/>
    <m/>
    <n v="0"/>
    <m/>
    <m/>
    <m/>
    <m/>
    <m/>
    <m/>
    <n v="224500"/>
    <n v="17665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136500"/>
    <n v="158500"/>
    <m/>
    <m/>
    <n v="0"/>
    <m/>
    <m/>
    <n v="0"/>
    <m/>
    <m/>
    <m/>
    <m/>
    <m/>
    <m/>
    <n v="136500"/>
    <n v="158500"/>
  </r>
  <r>
    <x v="2"/>
    <x v="25"/>
    <s v="Delaware Optometric Institutional Aid"/>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20000"/>
    <n v="16000"/>
    <m/>
    <m/>
    <n v="0"/>
    <m/>
    <m/>
    <n v="0"/>
    <m/>
    <m/>
    <m/>
    <m/>
    <m/>
    <m/>
    <n v="20000"/>
    <n v="16000"/>
  </r>
  <r>
    <x v="2"/>
    <x v="25"/>
    <s v="Critical Need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39850"/>
    <n v="137028"/>
    <m/>
    <m/>
    <n v="0"/>
    <m/>
    <m/>
    <n v="0"/>
    <m/>
    <m/>
    <m/>
    <m/>
    <m/>
    <m/>
    <n v="139850"/>
    <n v="137028"/>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40689"/>
    <n v="32308"/>
    <m/>
    <m/>
    <n v="0"/>
    <m/>
    <m/>
    <n v="0"/>
    <m/>
    <m/>
    <m/>
    <m/>
    <m/>
    <m/>
    <n v="40689"/>
    <n v="32308"/>
  </r>
  <r>
    <x v="2"/>
    <x v="25"/>
    <s v="DE State Loan Repayment Program/Physicians &amp; Dentists"/>
    <m/>
    <m/>
    <x v="12"/>
    <m/>
    <m/>
    <m/>
    <m/>
    <m/>
    <m/>
    <m/>
    <m/>
    <n v="0"/>
    <m/>
    <m/>
    <n v="0"/>
    <n v="0"/>
    <n v="0"/>
    <n v="252772"/>
    <n v="251919"/>
    <m/>
    <m/>
    <n v="0"/>
    <m/>
    <m/>
    <n v="0"/>
    <m/>
    <m/>
    <m/>
    <m/>
    <m/>
    <m/>
    <n v="252772"/>
    <n v="251919"/>
  </r>
  <r>
    <x v="2"/>
    <x v="26"/>
    <s v="Need-based"/>
    <m/>
    <m/>
    <x v="12"/>
    <m/>
    <m/>
    <m/>
    <m/>
    <m/>
    <m/>
    <m/>
    <m/>
    <n v="0"/>
    <m/>
    <m/>
    <n v="0"/>
    <n v="0"/>
    <n v="0"/>
    <m/>
    <m/>
    <m/>
    <m/>
    <n v="0"/>
    <m/>
    <m/>
    <n v="0"/>
    <m/>
    <m/>
    <m/>
    <m/>
    <m/>
    <m/>
    <n v="0"/>
    <n v="0"/>
  </r>
  <r>
    <x v="2"/>
    <x v="27"/>
    <s v="Non need-based"/>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DE Institute for Dental Education &amp; Research Scholarships"/>
    <m/>
    <m/>
    <x v="12"/>
    <m/>
    <m/>
    <m/>
    <m/>
    <m/>
    <m/>
    <m/>
    <m/>
    <n v="0"/>
    <m/>
    <m/>
    <n v="0"/>
    <n v="0"/>
    <n v="0"/>
    <m/>
    <m/>
    <m/>
    <m/>
    <n v="0"/>
    <m/>
    <m/>
    <n v="0"/>
    <m/>
    <m/>
    <m/>
    <m/>
    <m/>
    <m/>
    <n v="0"/>
    <n v="0"/>
  </r>
  <r>
    <x v="2"/>
    <x v="26"/>
    <s v="Need-based"/>
    <m/>
    <m/>
    <x v="12"/>
    <m/>
    <m/>
    <m/>
    <m/>
    <m/>
    <m/>
    <m/>
    <m/>
    <n v="0"/>
    <m/>
    <m/>
    <n v="0"/>
    <n v="0"/>
    <n v="0"/>
    <n v="7500"/>
    <n v="7500"/>
    <m/>
    <m/>
    <n v="0"/>
    <m/>
    <m/>
    <n v="0"/>
    <m/>
    <m/>
    <m/>
    <m/>
    <m/>
    <m/>
    <n v="7500"/>
    <n v="7500"/>
  </r>
  <r>
    <x v="2"/>
    <x v="27"/>
    <s v="Non need-based"/>
    <m/>
    <m/>
    <x v="12"/>
    <m/>
    <m/>
    <m/>
    <m/>
    <m/>
    <m/>
    <m/>
    <m/>
    <n v="0"/>
    <m/>
    <m/>
    <n v="0"/>
    <n v="0"/>
    <n v="0"/>
    <n v="20000"/>
    <n v="20000"/>
    <m/>
    <m/>
    <n v="0"/>
    <m/>
    <m/>
    <n v="0"/>
    <m/>
    <m/>
    <m/>
    <m/>
    <m/>
    <m/>
    <n v="20000"/>
    <n v="2000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Inspire Scholarship"/>
    <m/>
    <m/>
    <x v="12"/>
    <m/>
    <m/>
    <m/>
    <m/>
    <m/>
    <m/>
    <m/>
    <m/>
    <n v="0"/>
    <m/>
    <m/>
    <n v="0"/>
    <n v="0"/>
    <n v="0"/>
    <m/>
    <m/>
    <m/>
    <m/>
    <n v="0"/>
    <m/>
    <m/>
    <n v="0"/>
    <m/>
    <m/>
    <m/>
    <m/>
    <m/>
    <m/>
    <n v="0"/>
    <n v="0"/>
  </r>
  <r>
    <x v="2"/>
    <x v="26"/>
    <s v="Need-based"/>
    <m/>
    <m/>
    <x v="12"/>
    <m/>
    <m/>
    <m/>
    <m/>
    <m/>
    <m/>
    <m/>
    <m/>
    <n v="0"/>
    <m/>
    <m/>
    <n v="0"/>
    <n v="0"/>
    <n v="0"/>
    <m/>
    <m/>
    <m/>
    <m/>
    <n v="0"/>
    <m/>
    <m/>
    <n v="0"/>
    <m/>
    <m/>
    <m/>
    <m/>
    <m/>
    <m/>
    <n v="0"/>
    <n v="0"/>
  </r>
  <r>
    <x v="2"/>
    <x v="27"/>
    <s v="Non need-based"/>
    <m/>
    <m/>
    <x v="12"/>
    <m/>
    <m/>
    <m/>
    <m/>
    <m/>
    <m/>
    <m/>
    <m/>
    <n v="0"/>
    <m/>
    <m/>
    <n v="0"/>
    <n v="0"/>
    <n v="0"/>
    <n v="920656"/>
    <n v="1311924"/>
    <m/>
    <m/>
    <n v="0"/>
    <m/>
    <m/>
    <n v="0"/>
    <m/>
    <m/>
    <m/>
    <m/>
    <m/>
    <m/>
    <n v="920656"/>
    <n v="1311924"/>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34"/>
    <s v="Limited to public college students"/>
    <m/>
    <m/>
    <x v="12"/>
    <m/>
    <m/>
    <m/>
    <m/>
    <m/>
    <m/>
    <m/>
    <m/>
    <n v="0"/>
    <m/>
    <m/>
    <n v="0"/>
    <n v="0"/>
    <n v="0"/>
    <m/>
    <m/>
    <m/>
    <m/>
    <n v="0"/>
    <m/>
    <m/>
    <n v="0"/>
    <m/>
    <m/>
    <m/>
    <m/>
    <m/>
    <m/>
    <n v="0"/>
    <n v="0"/>
  </r>
  <r>
    <x v="2"/>
    <x v="35"/>
    <s v="Need-based"/>
    <m/>
    <m/>
    <x v="12"/>
    <m/>
    <m/>
    <m/>
    <m/>
    <m/>
    <m/>
    <m/>
    <m/>
    <n v="0"/>
    <m/>
    <m/>
    <n v="0"/>
    <n v="0"/>
    <n v="0"/>
    <m/>
    <m/>
    <m/>
    <m/>
    <n v="0"/>
    <m/>
    <m/>
    <n v="0"/>
    <m/>
    <m/>
    <m/>
    <m/>
    <m/>
    <m/>
    <n v="0"/>
    <n v="0"/>
  </r>
  <r>
    <x v="2"/>
    <x v="36"/>
    <s v="Non need-based"/>
    <m/>
    <m/>
    <x v="12"/>
    <m/>
    <m/>
    <m/>
    <m/>
    <m/>
    <m/>
    <m/>
    <m/>
    <n v="0"/>
    <m/>
    <m/>
    <n v="0"/>
    <n v="0"/>
    <n v="0"/>
    <m/>
    <m/>
    <m/>
    <m/>
    <n v="0"/>
    <m/>
    <m/>
    <n v="0"/>
    <m/>
    <m/>
    <m/>
    <m/>
    <m/>
    <m/>
    <n v="0"/>
    <n v="0"/>
  </r>
  <r>
    <x v="2"/>
    <x v="37"/>
    <s v="Limited to private college students"/>
    <m/>
    <m/>
    <x v="12"/>
    <m/>
    <m/>
    <m/>
    <m/>
    <m/>
    <m/>
    <m/>
    <m/>
    <n v="0"/>
    <m/>
    <m/>
    <n v="0"/>
    <n v="0"/>
    <n v="0"/>
    <m/>
    <m/>
    <m/>
    <m/>
    <n v="0"/>
    <m/>
    <m/>
    <n v="0"/>
    <m/>
    <m/>
    <m/>
    <m/>
    <m/>
    <m/>
    <n v="0"/>
    <n v="0"/>
  </r>
  <r>
    <x v="2"/>
    <x v="38"/>
    <s v="Need-based"/>
    <m/>
    <m/>
    <x v="12"/>
    <m/>
    <m/>
    <m/>
    <m/>
    <m/>
    <m/>
    <m/>
    <m/>
    <n v="0"/>
    <m/>
    <m/>
    <n v="0"/>
    <n v="0"/>
    <n v="0"/>
    <m/>
    <m/>
    <m/>
    <m/>
    <n v="0"/>
    <m/>
    <m/>
    <n v="0"/>
    <m/>
    <m/>
    <m/>
    <m/>
    <m/>
    <m/>
    <n v="0"/>
    <n v="0"/>
  </r>
  <r>
    <x v="2"/>
    <x v="39"/>
    <s v="Non need-based"/>
    <m/>
    <m/>
    <x v="12"/>
    <m/>
    <m/>
    <m/>
    <m/>
    <m/>
    <m/>
    <m/>
    <m/>
    <n v="0"/>
    <m/>
    <m/>
    <n v="0"/>
    <n v="0"/>
    <n v="0"/>
    <m/>
    <m/>
    <m/>
    <m/>
    <n v="0"/>
    <m/>
    <m/>
    <n v="0"/>
    <m/>
    <m/>
    <m/>
    <m/>
    <m/>
    <m/>
    <n v="0"/>
    <n v="0"/>
  </r>
  <r>
    <x v="3"/>
    <x v="0"/>
    <s v="Florida International University"/>
    <m/>
    <n v="133951"/>
    <x v="0"/>
    <n v="166174391"/>
    <n v="139540019"/>
    <m/>
    <m/>
    <m/>
    <m/>
    <n v="177941467"/>
    <n v="3439080"/>
    <n v="181380547"/>
    <n v="261154535.21599999"/>
    <n v="3285281.784"/>
    <n v="264439817"/>
    <n v="344115858"/>
    <n v="400694554.21599996"/>
    <m/>
    <m/>
    <m/>
    <m/>
    <n v="0"/>
    <m/>
    <m/>
    <n v="0"/>
    <m/>
    <m/>
    <m/>
    <m/>
    <m/>
    <m/>
    <n v="344115858"/>
    <n v="400694554.21599996"/>
  </r>
  <r>
    <x v="3"/>
    <x v="0"/>
    <s v="Student Financial Aid"/>
    <m/>
    <n v="133951"/>
    <x v="0"/>
    <m/>
    <m/>
    <n v="540666"/>
    <n v="540666"/>
    <m/>
    <m/>
    <m/>
    <m/>
    <n v="0"/>
    <m/>
    <m/>
    <n v="0"/>
    <n v="540666"/>
    <n v="540666"/>
    <m/>
    <m/>
    <m/>
    <m/>
    <n v="0"/>
    <m/>
    <m/>
    <n v="0"/>
    <m/>
    <m/>
    <m/>
    <m/>
    <m/>
    <m/>
    <n v="540666"/>
    <n v="540666"/>
  </r>
  <r>
    <x v="3"/>
    <x v="0"/>
    <s v="Risk Management/Casualty Insurance"/>
    <m/>
    <n v="133951"/>
    <x v="0"/>
    <m/>
    <m/>
    <n v="2068882"/>
    <n v="2341466"/>
    <m/>
    <m/>
    <m/>
    <m/>
    <n v="0"/>
    <m/>
    <m/>
    <n v="0"/>
    <n v="2068882"/>
    <n v="2341466"/>
    <m/>
    <m/>
    <m/>
    <m/>
    <n v="0"/>
    <m/>
    <m/>
    <n v="0"/>
    <n v="20867"/>
    <n v="25447"/>
    <m/>
    <m/>
    <m/>
    <m/>
    <n v="2089749"/>
    <n v="2366913"/>
  </r>
  <r>
    <x v="3"/>
    <x v="1"/>
    <s v="Medical School"/>
    <m/>
    <n v="133951"/>
    <x v="0"/>
    <m/>
    <m/>
    <m/>
    <m/>
    <m/>
    <m/>
    <m/>
    <m/>
    <n v="0"/>
    <m/>
    <m/>
    <n v="0"/>
    <n v="0"/>
    <n v="0"/>
    <m/>
    <m/>
    <m/>
    <m/>
    <n v="0"/>
    <m/>
    <m/>
    <n v="0"/>
    <n v="26293035"/>
    <n v="26902957"/>
    <n v="4711544"/>
    <m/>
    <n v="9497901"/>
    <m/>
    <n v="31004579"/>
    <n v="36400858"/>
  </r>
  <r>
    <x v="3"/>
    <x v="7"/>
    <s v="Research centers/institutes"/>
    <m/>
    <n v="137351"/>
    <x v="0"/>
    <m/>
    <m/>
    <m/>
    <m/>
    <m/>
    <m/>
    <m/>
    <m/>
    <n v="0"/>
    <m/>
    <m/>
    <n v="0"/>
    <n v="0"/>
    <n v="0"/>
    <m/>
    <m/>
    <m/>
    <m/>
    <n v="0"/>
    <m/>
    <m/>
    <n v="0"/>
    <m/>
    <m/>
    <m/>
    <m/>
    <m/>
    <m/>
    <n v="0"/>
    <n v="0"/>
  </r>
  <r>
    <x v="3"/>
    <x v="0"/>
    <s v="Florida State University "/>
    <m/>
    <n v="134097"/>
    <x v="0"/>
    <n v="246734565"/>
    <n v="185286972"/>
    <m/>
    <m/>
    <m/>
    <m/>
    <n v="182826677"/>
    <n v="3665556"/>
    <n v="186492233"/>
    <n v="211436025.39120001"/>
    <n v="3501629.6088"/>
    <n v="214937655"/>
    <n v="429561242"/>
    <n v="396722997.39120001"/>
    <m/>
    <m/>
    <m/>
    <m/>
    <n v="0"/>
    <m/>
    <m/>
    <n v="0"/>
    <m/>
    <m/>
    <m/>
    <m/>
    <m/>
    <m/>
    <n v="429561242"/>
    <n v="396722997.39120001"/>
  </r>
  <r>
    <x v="3"/>
    <x v="0"/>
    <s v="Student Financial Aid"/>
    <m/>
    <n v="134097"/>
    <x v="0"/>
    <m/>
    <m/>
    <n v="1467667"/>
    <n v="1467667"/>
    <m/>
    <m/>
    <m/>
    <m/>
    <n v="0"/>
    <m/>
    <m/>
    <n v="0"/>
    <n v="1467667"/>
    <n v="1467667"/>
    <m/>
    <m/>
    <m/>
    <m/>
    <n v="0"/>
    <m/>
    <m/>
    <n v="0"/>
    <m/>
    <m/>
    <m/>
    <m/>
    <m/>
    <m/>
    <n v="1467667"/>
    <n v="1467667"/>
  </r>
  <r>
    <x v="3"/>
    <x v="0"/>
    <s v="Risk Management/Casualty Insurance"/>
    <m/>
    <n v="134097"/>
    <x v="0"/>
    <m/>
    <m/>
    <n v="2386285"/>
    <n v="1866409"/>
    <m/>
    <m/>
    <m/>
    <m/>
    <n v="0"/>
    <m/>
    <m/>
    <n v="0"/>
    <n v="2386285"/>
    <n v="1866409"/>
    <m/>
    <m/>
    <m/>
    <m/>
    <n v="0"/>
    <m/>
    <m/>
    <n v="0"/>
    <n v="57093"/>
    <n v="60964"/>
    <m/>
    <m/>
    <m/>
    <m/>
    <n v="2443378"/>
    <n v="1927373"/>
  </r>
  <r>
    <x v="3"/>
    <x v="1"/>
    <s v="Medical School"/>
    <m/>
    <n v="134097"/>
    <x v="0"/>
    <m/>
    <m/>
    <m/>
    <m/>
    <m/>
    <m/>
    <m/>
    <m/>
    <n v="0"/>
    <m/>
    <m/>
    <n v="0"/>
    <n v="0"/>
    <n v="0"/>
    <m/>
    <m/>
    <m/>
    <m/>
    <n v="0"/>
    <m/>
    <m/>
    <n v="0"/>
    <n v="34605108"/>
    <n v="33235065"/>
    <n v="10863626"/>
    <m/>
    <n v="11572716"/>
    <m/>
    <n v="45468734"/>
    <n v="44807781"/>
  </r>
  <r>
    <x v="3"/>
    <x v="1"/>
    <s v="College of Medicine Autism Program"/>
    <m/>
    <n v="134097"/>
    <x v="0"/>
    <m/>
    <m/>
    <m/>
    <m/>
    <m/>
    <m/>
    <m/>
    <m/>
    <n v="0"/>
    <m/>
    <m/>
    <n v="0"/>
    <n v="0"/>
    <n v="0"/>
    <m/>
    <m/>
    <m/>
    <m/>
    <n v="0"/>
    <m/>
    <m/>
    <n v="0"/>
    <n v="700693"/>
    <n v="770762"/>
    <m/>
    <m/>
    <m/>
    <m/>
    <n v="700693"/>
    <n v="770762"/>
  </r>
  <r>
    <x v="3"/>
    <x v="3"/>
    <s v="Community or public service units"/>
    <m/>
    <n v="134097"/>
    <x v="0"/>
    <m/>
    <m/>
    <n v="396525"/>
    <n v="396525"/>
    <m/>
    <m/>
    <m/>
    <m/>
    <n v="0"/>
    <m/>
    <m/>
    <n v="0"/>
    <n v="396525"/>
    <n v="396525"/>
    <m/>
    <m/>
    <m/>
    <m/>
    <n v="0"/>
    <m/>
    <m/>
    <n v="0"/>
    <m/>
    <m/>
    <m/>
    <m/>
    <m/>
    <m/>
    <n v="396525"/>
    <n v="396525"/>
  </r>
  <r>
    <x v="3"/>
    <x v="3"/>
    <s v="Off-Campus Volunteers"/>
    <m/>
    <n v="134097"/>
    <x v="0"/>
    <m/>
    <m/>
    <m/>
    <m/>
    <m/>
    <m/>
    <m/>
    <m/>
    <n v="0"/>
    <m/>
    <m/>
    <n v="0"/>
    <n v="0"/>
    <n v="0"/>
    <m/>
    <m/>
    <m/>
    <m/>
    <n v="0"/>
    <m/>
    <m/>
    <n v="0"/>
    <m/>
    <m/>
    <m/>
    <m/>
    <m/>
    <m/>
    <n v="0"/>
    <n v="0"/>
  </r>
  <r>
    <x v="3"/>
    <x v="3"/>
    <s v="Developmental Research School"/>
    <m/>
    <n v="134097"/>
    <x v="0"/>
    <m/>
    <m/>
    <n v="14284200"/>
    <n v="14622183"/>
    <m/>
    <m/>
    <m/>
    <m/>
    <n v="0"/>
    <m/>
    <m/>
    <n v="0"/>
    <n v="14284200"/>
    <n v="14622183"/>
    <m/>
    <m/>
    <m/>
    <m/>
    <n v="0"/>
    <m/>
    <m/>
    <n v="0"/>
    <m/>
    <m/>
    <m/>
    <m/>
    <m/>
    <m/>
    <n v="14284200"/>
    <n v="14622183"/>
  </r>
  <r>
    <x v="3"/>
    <x v="7"/>
    <s v="Research centers/institutes"/>
    <m/>
    <n v="134097"/>
    <x v="0"/>
    <m/>
    <m/>
    <m/>
    <m/>
    <m/>
    <m/>
    <m/>
    <m/>
    <n v="0"/>
    <m/>
    <m/>
    <n v="0"/>
    <n v="0"/>
    <n v="0"/>
    <m/>
    <m/>
    <m/>
    <m/>
    <n v="0"/>
    <m/>
    <m/>
    <n v="0"/>
    <m/>
    <m/>
    <m/>
    <m/>
    <m/>
    <m/>
    <n v="0"/>
    <n v="0"/>
  </r>
  <r>
    <x v="3"/>
    <x v="0"/>
    <s v="University of Central Florida "/>
    <m/>
    <n v="132903"/>
    <x v="0"/>
    <n v="220318452"/>
    <n v="166366286"/>
    <m/>
    <m/>
    <m/>
    <m/>
    <n v="219467112"/>
    <n v="5147436"/>
    <n v="224614548"/>
    <n v="259522578.1672"/>
    <n v="4917238.8328"/>
    <n v="264439817"/>
    <n v="439785564"/>
    <n v="425888864.16719997"/>
    <m/>
    <m/>
    <m/>
    <m/>
    <n v="0"/>
    <m/>
    <m/>
    <n v="0"/>
    <m/>
    <m/>
    <m/>
    <m/>
    <m/>
    <m/>
    <n v="439785564"/>
    <n v="425888864.16719997"/>
  </r>
  <r>
    <x v="3"/>
    <x v="0"/>
    <s v="Student Financial Aid"/>
    <m/>
    <n v="132903"/>
    <x v="0"/>
    <m/>
    <m/>
    <n v="858405"/>
    <n v="858405"/>
    <m/>
    <m/>
    <m/>
    <m/>
    <n v="0"/>
    <m/>
    <m/>
    <n v="0"/>
    <n v="858405"/>
    <n v="858405"/>
    <m/>
    <m/>
    <m/>
    <m/>
    <n v="0"/>
    <m/>
    <m/>
    <n v="0"/>
    <m/>
    <m/>
    <m/>
    <m/>
    <m/>
    <m/>
    <n v="858405"/>
    <n v="858405"/>
  </r>
  <r>
    <x v="3"/>
    <x v="0"/>
    <s v="Risk Management/Casualty Insurance"/>
    <m/>
    <n v="132903"/>
    <x v="0"/>
    <m/>
    <m/>
    <n v="1998087"/>
    <n v="2002312"/>
    <m/>
    <m/>
    <m/>
    <m/>
    <n v="0"/>
    <m/>
    <m/>
    <n v="0"/>
    <n v="1998087"/>
    <n v="2002312"/>
    <m/>
    <m/>
    <m/>
    <m/>
    <n v="0"/>
    <m/>
    <m/>
    <n v="0"/>
    <m/>
    <m/>
    <m/>
    <m/>
    <m/>
    <m/>
    <n v="1998087"/>
    <n v="2002312"/>
  </r>
  <r>
    <x v="3"/>
    <x v="1"/>
    <s v="Medical School"/>
    <m/>
    <n v="132903"/>
    <x v="0"/>
    <m/>
    <m/>
    <m/>
    <m/>
    <m/>
    <m/>
    <m/>
    <m/>
    <n v="0"/>
    <m/>
    <m/>
    <n v="0"/>
    <n v="0"/>
    <n v="0"/>
    <m/>
    <m/>
    <m/>
    <m/>
    <n v="0"/>
    <m/>
    <m/>
    <n v="0"/>
    <n v="22184003"/>
    <n v="22963376"/>
    <n v="4729709"/>
    <m/>
    <n v="8180191"/>
    <m/>
    <n v="26913712"/>
    <n v="31143567"/>
  </r>
  <r>
    <x v="3"/>
    <x v="3"/>
    <s v="Community or public service units"/>
    <m/>
    <n v="132903"/>
    <x v="0"/>
    <m/>
    <m/>
    <m/>
    <m/>
    <m/>
    <m/>
    <m/>
    <m/>
    <n v="0"/>
    <m/>
    <m/>
    <n v="0"/>
    <n v="0"/>
    <n v="0"/>
    <m/>
    <m/>
    <m/>
    <m/>
    <n v="0"/>
    <m/>
    <m/>
    <n v="0"/>
    <m/>
    <m/>
    <m/>
    <m/>
    <m/>
    <m/>
    <n v="0"/>
    <n v="0"/>
  </r>
  <r>
    <x v="3"/>
    <x v="3"/>
    <s v="Autism Program"/>
    <m/>
    <n v="132903"/>
    <x v="0"/>
    <m/>
    <m/>
    <n v="747284"/>
    <n v="822012"/>
    <m/>
    <m/>
    <m/>
    <m/>
    <n v="0"/>
    <m/>
    <m/>
    <n v="0"/>
    <n v="747284"/>
    <n v="822012"/>
    <m/>
    <m/>
    <m/>
    <m/>
    <n v="0"/>
    <m/>
    <m/>
    <n v="0"/>
    <m/>
    <m/>
    <m/>
    <m/>
    <m/>
    <m/>
    <n v="747284"/>
    <n v="822012"/>
  </r>
  <r>
    <x v="3"/>
    <x v="7"/>
    <s v="Research centers/institutes"/>
    <m/>
    <n v="132903"/>
    <x v="0"/>
    <m/>
    <m/>
    <m/>
    <m/>
    <m/>
    <m/>
    <m/>
    <m/>
    <n v="0"/>
    <m/>
    <m/>
    <n v="0"/>
    <n v="0"/>
    <n v="0"/>
    <m/>
    <m/>
    <m/>
    <m/>
    <n v="0"/>
    <m/>
    <m/>
    <n v="0"/>
    <m/>
    <m/>
    <m/>
    <m/>
    <m/>
    <m/>
    <n v="0"/>
    <n v="0"/>
  </r>
  <r>
    <x v="3"/>
    <x v="0"/>
    <s v="University of Florida"/>
    <m/>
    <n v="134130"/>
    <x v="0"/>
    <n v="280368799"/>
    <n v="173830194"/>
    <m/>
    <m/>
    <m/>
    <m/>
    <n v="287908329"/>
    <n v="4185612"/>
    <n v="292093941"/>
    <n v="318801731.68239999"/>
    <n v="3998428.3176000002"/>
    <n v="322800160"/>
    <n v="568277128"/>
    <n v="492631925.68239999"/>
    <m/>
    <m/>
    <m/>
    <m/>
    <n v="0"/>
    <m/>
    <m/>
    <n v="0"/>
    <m/>
    <m/>
    <m/>
    <m/>
    <m/>
    <m/>
    <n v="568277128"/>
    <n v="492631925.68239999"/>
  </r>
  <r>
    <x v="3"/>
    <x v="0"/>
    <s v="Student Financial Aid"/>
    <m/>
    <n v="134130"/>
    <x v="0"/>
    <m/>
    <m/>
    <n v="1737381"/>
    <n v="1737381"/>
    <m/>
    <m/>
    <m/>
    <m/>
    <n v="0"/>
    <m/>
    <m/>
    <n v="0"/>
    <n v="1737381"/>
    <n v="1737381"/>
    <m/>
    <m/>
    <m/>
    <m/>
    <n v="0"/>
    <m/>
    <m/>
    <n v="0"/>
    <m/>
    <m/>
    <m/>
    <m/>
    <m/>
    <m/>
    <n v="1737381"/>
    <n v="1737381"/>
  </r>
  <r>
    <x v="3"/>
    <x v="0"/>
    <s v="Risk Management/Casualty Insurance"/>
    <m/>
    <n v="134130"/>
    <x v="0"/>
    <m/>
    <m/>
    <n v="3699724"/>
    <n v="4180872"/>
    <m/>
    <m/>
    <m/>
    <m/>
    <n v="0"/>
    <m/>
    <m/>
    <n v="0"/>
    <n v="3699724"/>
    <n v="4180872"/>
    <m/>
    <m/>
    <m/>
    <m/>
    <n v="0"/>
    <m/>
    <m/>
    <n v="0"/>
    <n v="1366903"/>
    <n v="1245416"/>
    <m/>
    <m/>
    <m/>
    <m/>
    <n v="5066627"/>
    <n v="5426288"/>
  </r>
  <r>
    <x v="3"/>
    <x v="1"/>
    <s v="Medical School"/>
    <m/>
    <n v="134130"/>
    <x v="0"/>
    <m/>
    <m/>
    <m/>
    <m/>
    <m/>
    <m/>
    <m/>
    <m/>
    <n v="0"/>
    <m/>
    <m/>
    <n v="0"/>
    <n v="0"/>
    <n v="0"/>
    <m/>
    <m/>
    <m/>
    <m/>
    <n v="0"/>
    <m/>
    <m/>
    <n v="0"/>
    <n v="100278182"/>
    <n v="137456457"/>
    <n v="34618985"/>
    <m/>
    <n v="38463434"/>
    <m/>
    <n v="134897167"/>
    <n v="175919891"/>
  </r>
  <r>
    <x v="3"/>
    <x v="1"/>
    <s v="College of Medicine Autism Program"/>
    <m/>
    <n v="134130"/>
    <x v="0"/>
    <m/>
    <m/>
    <m/>
    <m/>
    <m/>
    <m/>
    <m/>
    <m/>
    <n v="0"/>
    <m/>
    <m/>
    <n v="0"/>
    <n v="0"/>
    <n v="0"/>
    <m/>
    <m/>
    <m/>
    <m/>
    <n v="0"/>
    <m/>
    <m/>
    <n v="0"/>
    <n v="605129"/>
    <n v="665642"/>
    <m/>
    <m/>
    <m/>
    <m/>
    <n v="605129"/>
    <n v="665642"/>
  </r>
  <r>
    <x v="3"/>
    <x v="1"/>
    <s v="Jacksonville Autism Program"/>
    <m/>
    <n v="134130"/>
    <x v="0"/>
    <m/>
    <m/>
    <m/>
    <m/>
    <m/>
    <m/>
    <m/>
    <m/>
    <n v="0"/>
    <m/>
    <m/>
    <n v="0"/>
    <n v="0"/>
    <n v="0"/>
    <m/>
    <m/>
    <m/>
    <m/>
    <n v="0"/>
    <m/>
    <m/>
    <n v="0"/>
    <n v="630609"/>
    <n v="693670"/>
    <m/>
    <m/>
    <m/>
    <m/>
    <n v="630609"/>
    <n v="693670"/>
  </r>
  <r>
    <x v="3"/>
    <x v="3"/>
    <s v="Community or public service units"/>
    <m/>
    <n v="134130"/>
    <x v="0"/>
    <m/>
    <m/>
    <n v="396525"/>
    <n v="396525"/>
    <m/>
    <m/>
    <m/>
    <m/>
    <n v="0"/>
    <m/>
    <m/>
    <n v="0"/>
    <n v="396525"/>
    <n v="396525"/>
    <m/>
    <m/>
    <m/>
    <m/>
    <n v="0"/>
    <m/>
    <m/>
    <n v="0"/>
    <n v="396526"/>
    <n v="396526"/>
    <m/>
    <m/>
    <m/>
    <m/>
    <n v="793051"/>
    <n v="793051"/>
  </r>
  <r>
    <x v="3"/>
    <x v="3"/>
    <s v="Developmental Research School"/>
    <m/>
    <n v="134130"/>
    <x v="0"/>
    <m/>
    <m/>
    <n v="7213479"/>
    <n v="7317553"/>
    <m/>
    <m/>
    <m/>
    <m/>
    <n v="0"/>
    <m/>
    <m/>
    <n v="0"/>
    <n v="7213479"/>
    <n v="7317553"/>
    <m/>
    <m/>
    <m/>
    <m/>
    <n v="0"/>
    <m/>
    <m/>
    <n v="0"/>
    <m/>
    <m/>
    <m/>
    <m/>
    <m/>
    <m/>
    <n v="7213479"/>
    <n v="7317553"/>
  </r>
  <r>
    <x v="3"/>
    <x v="5"/>
    <s v="Agricultural cooperative extension"/>
    <m/>
    <n v="134130"/>
    <x v="0"/>
    <m/>
    <m/>
    <n v="118952794"/>
    <n v="123458686"/>
    <m/>
    <m/>
    <m/>
    <m/>
    <n v="0"/>
    <m/>
    <m/>
    <n v="0"/>
    <n v="118952794"/>
    <n v="123458686"/>
    <m/>
    <m/>
    <m/>
    <m/>
    <n v="0"/>
    <m/>
    <m/>
    <n v="0"/>
    <m/>
    <m/>
    <m/>
    <m/>
    <m/>
    <m/>
    <n v="118952794"/>
    <n v="123458686"/>
  </r>
  <r>
    <x v="3"/>
    <x v="7"/>
    <s v="Research centers/institutes"/>
    <m/>
    <n v="134130"/>
    <x v="0"/>
    <m/>
    <m/>
    <m/>
    <m/>
    <m/>
    <m/>
    <m/>
    <m/>
    <n v="0"/>
    <m/>
    <m/>
    <n v="0"/>
    <n v="0"/>
    <n v="0"/>
    <m/>
    <m/>
    <m/>
    <m/>
    <n v="0"/>
    <m/>
    <m/>
    <n v="0"/>
    <m/>
    <m/>
    <m/>
    <m/>
    <m/>
    <m/>
    <n v="0"/>
    <n v="0"/>
  </r>
  <r>
    <x v="3"/>
    <x v="0"/>
    <s v="University of South Florida "/>
    <m/>
    <n v="137351"/>
    <x v="0"/>
    <n v="238610750"/>
    <n v="178339485"/>
    <m/>
    <m/>
    <m/>
    <m/>
    <n v="140759487"/>
    <n v="4409292"/>
    <n v="145168779"/>
    <n v="184647930.8184"/>
    <n v="4212105.1815999998"/>
    <n v="188860036"/>
    <n v="379370237"/>
    <n v="362987415.81840003"/>
    <m/>
    <m/>
    <m/>
    <m/>
    <n v="0"/>
    <m/>
    <m/>
    <n v="0"/>
    <m/>
    <m/>
    <m/>
    <m/>
    <m/>
    <m/>
    <n v="379370237"/>
    <n v="362987415.81840003"/>
  </r>
  <r>
    <x v="3"/>
    <x v="0"/>
    <s v="Student Financial Aid"/>
    <m/>
    <n v="137351"/>
    <x v="0"/>
    <m/>
    <m/>
    <n v="851368"/>
    <n v="801368"/>
    <m/>
    <m/>
    <m/>
    <m/>
    <n v="0"/>
    <m/>
    <m/>
    <n v="0"/>
    <n v="851368"/>
    <n v="801368"/>
    <m/>
    <m/>
    <m/>
    <m/>
    <n v="0"/>
    <m/>
    <m/>
    <n v="0"/>
    <m/>
    <m/>
    <m/>
    <m/>
    <m/>
    <m/>
    <n v="851368"/>
    <n v="801368"/>
  </r>
  <r>
    <x v="3"/>
    <x v="0"/>
    <s v="Risk Management/Casualty Insurance"/>
    <m/>
    <n v="137351"/>
    <x v="0"/>
    <m/>
    <m/>
    <n v="2692747"/>
    <n v="2833975"/>
    <m/>
    <m/>
    <m/>
    <m/>
    <n v="0"/>
    <m/>
    <m/>
    <n v="0"/>
    <n v="2692747"/>
    <n v="2833975"/>
    <m/>
    <m/>
    <m/>
    <m/>
    <n v="0"/>
    <m/>
    <m/>
    <n v="0"/>
    <n v="330538"/>
    <n v="435115"/>
    <m/>
    <m/>
    <m/>
    <m/>
    <n v="3023285"/>
    <n v="3269090"/>
  </r>
  <r>
    <x v="3"/>
    <x v="1"/>
    <s v="Medical School"/>
    <m/>
    <n v="137351"/>
    <x v="0"/>
    <m/>
    <m/>
    <m/>
    <m/>
    <m/>
    <m/>
    <m/>
    <m/>
    <n v="0"/>
    <m/>
    <m/>
    <n v="0"/>
    <n v="0"/>
    <n v="0"/>
    <m/>
    <m/>
    <m/>
    <m/>
    <n v="0"/>
    <m/>
    <m/>
    <n v="0"/>
    <n v="63047433"/>
    <n v="59594991"/>
    <n v="46431688"/>
    <m/>
    <n v="49914781"/>
    <m/>
    <n v="109479121"/>
    <n v="109509772"/>
  </r>
  <r>
    <x v="3"/>
    <x v="7"/>
    <s v="Research centers/institutes"/>
    <m/>
    <n v="137351"/>
    <x v="0"/>
    <m/>
    <m/>
    <n v="396525"/>
    <n v="396525"/>
    <m/>
    <m/>
    <m/>
    <m/>
    <n v="0"/>
    <m/>
    <m/>
    <n v="0"/>
    <n v="396525"/>
    <n v="396525"/>
    <m/>
    <m/>
    <m/>
    <m/>
    <n v="0"/>
    <m/>
    <m/>
    <n v="0"/>
    <m/>
    <m/>
    <m/>
    <m/>
    <m/>
    <m/>
    <n v="396525"/>
    <n v="396525"/>
  </r>
  <r>
    <x v="3"/>
    <x v="7"/>
    <s v="Phosphate research"/>
    <m/>
    <n v="137351"/>
    <x v="0"/>
    <m/>
    <m/>
    <n v="7316106"/>
    <n v="0"/>
    <m/>
    <m/>
    <m/>
    <m/>
    <n v="0"/>
    <m/>
    <m/>
    <n v="0"/>
    <n v="7316106"/>
    <n v="0"/>
    <m/>
    <m/>
    <m/>
    <m/>
    <n v="0"/>
    <m/>
    <m/>
    <n v="0"/>
    <m/>
    <m/>
    <m/>
    <m/>
    <m/>
    <m/>
    <n v="7316106"/>
    <n v="0"/>
  </r>
  <r>
    <x v="3"/>
    <x v="8"/>
    <s v="Special line items for education operations"/>
    <m/>
    <n v="137351"/>
    <x v="0"/>
    <m/>
    <m/>
    <m/>
    <m/>
    <m/>
    <m/>
    <m/>
    <m/>
    <n v="0"/>
    <m/>
    <m/>
    <n v="0"/>
    <n v="0"/>
    <n v="0"/>
    <m/>
    <m/>
    <m/>
    <m/>
    <n v="0"/>
    <m/>
    <m/>
    <n v="0"/>
    <m/>
    <m/>
    <m/>
    <m/>
    <m/>
    <m/>
    <n v="0"/>
    <n v="0"/>
  </r>
  <r>
    <x v="3"/>
    <x v="8"/>
    <s v="Mental Health Institute Autism Program"/>
    <m/>
    <n v="137351"/>
    <x v="0"/>
    <m/>
    <m/>
    <m/>
    <m/>
    <m/>
    <m/>
    <m/>
    <m/>
    <n v="0"/>
    <m/>
    <m/>
    <n v="0"/>
    <n v="0"/>
    <n v="0"/>
    <m/>
    <m/>
    <m/>
    <m/>
    <n v="0"/>
    <m/>
    <m/>
    <n v="0"/>
    <n v="872630"/>
    <n v="959893"/>
    <m/>
    <m/>
    <m/>
    <m/>
    <n v="872630"/>
    <n v="959893"/>
  </r>
  <r>
    <x v="3"/>
    <x v="0"/>
    <s v="Florida Atlantic University "/>
    <s v="Met the criteria for Four-Year 1 in 2012-13."/>
    <n v="133669"/>
    <x v="1"/>
    <n v="142349358"/>
    <n v="103852331"/>
    <m/>
    <m/>
    <m/>
    <m/>
    <n v="94603484"/>
    <n v="2264760"/>
    <n v="96868244"/>
    <n v="114182180.752"/>
    <n v="2163478.2480000001"/>
    <n v="116345659"/>
    <n v="236952842"/>
    <n v="218034511.752"/>
    <m/>
    <m/>
    <m/>
    <m/>
    <n v="0"/>
    <m/>
    <m/>
    <n v="0"/>
    <m/>
    <m/>
    <m/>
    <m/>
    <m/>
    <m/>
    <n v="236952842"/>
    <n v="218034511.752"/>
  </r>
  <r>
    <x v="3"/>
    <x v="8"/>
    <s v="Student Financial Aid"/>
    <m/>
    <n v="133669"/>
    <x v="1"/>
    <m/>
    <m/>
    <n v="399658"/>
    <n v="399658"/>
    <m/>
    <m/>
    <m/>
    <m/>
    <n v="0"/>
    <m/>
    <m/>
    <n v="0"/>
    <n v="399658"/>
    <n v="399658"/>
    <m/>
    <m/>
    <m/>
    <m/>
    <n v="0"/>
    <m/>
    <m/>
    <n v="0"/>
    <m/>
    <m/>
    <m/>
    <m/>
    <m/>
    <m/>
    <n v="399658"/>
    <n v="399658"/>
  </r>
  <r>
    <x v="3"/>
    <x v="8"/>
    <s v="Risk Management/Casualty Insurance"/>
    <m/>
    <n v="133669"/>
    <x v="1"/>
    <m/>
    <m/>
    <n v="1915023"/>
    <n v="1555218"/>
    <m/>
    <m/>
    <m/>
    <m/>
    <n v="0"/>
    <m/>
    <m/>
    <n v="0"/>
    <n v="1915023"/>
    <n v="1555218"/>
    <m/>
    <m/>
    <m/>
    <m/>
    <n v="0"/>
    <m/>
    <m/>
    <n v="0"/>
    <m/>
    <m/>
    <m/>
    <m/>
    <m/>
    <m/>
    <n v="1915023"/>
    <n v="1555218"/>
  </r>
  <r>
    <x v="3"/>
    <x v="1"/>
    <s v="Medical School"/>
    <m/>
    <n v="133669"/>
    <x v="1"/>
    <m/>
    <m/>
    <m/>
    <m/>
    <m/>
    <m/>
    <m/>
    <m/>
    <n v="0"/>
    <m/>
    <m/>
    <n v="0"/>
    <n v="0"/>
    <n v="0"/>
    <m/>
    <m/>
    <m/>
    <m/>
    <n v="0"/>
    <m/>
    <m/>
    <n v="0"/>
    <m/>
    <n v="12778503"/>
    <m/>
    <m/>
    <n v="4196880"/>
    <m/>
    <n v="0"/>
    <n v="16975383"/>
  </r>
  <r>
    <x v="3"/>
    <x v="8"/>
    <s v="Special line items for education operations"/>
    <m/>
    <n v="133669"/>
    <x v="1"/>
    <m/>
    <m/>
    <m/>
    <m/>
    <m/>
    <m/>
    <m/>
    <m/>
    <n v="0"/>
    <m/>
    <m/>
    <n v="0"/>
    <n v="0"/>
    <n v="0"/>
    <m/>
    <m/>
    <m/>
    <m/>
    <n v="0"/>
    <m/>
    <m/>
    <n v="0"/>
    <m/>
    <m/>
    <m/>
    <m/>
    <m/>
    <m/>
    <n v="0"/>
    <n v="0"/>
  </r>
  <r>
    <x v="3"/>
    <x v="8"/>
    <s v="Autism Program"/>
    <m/>
    <n v="133669"/>
    <x v="1"/>
    <m/>
    <m/>
    <n v="473254"/>
    <n v="520579"/>
    <m/>
    <m/>
    <m/>
    <m/>
    <n v="0"/>
    <m/>
    <m/>
    <n v="0"/>
    <n v="473254"/>
    <n v="520579"/>
    <m/>
    <m/>
    <m/>
    <m/>
    <n v="0"/>
    <m/>
    <m/>
    <n v="0"/>
    <m/>
    <m/>
    <m/>
    <m/>
    <m/>
    <m/>
    <n v="473254"/>
    <n v="520579"/>
  </r>
  <r>
    <x v="3"/>
    <x v="3"/>
    <s v="Community or public service units"/>
    <m/>
    <n v="133669"/>
    <x v="1"/>
    <m/>
    <m/>
    <m/>
    <m/>
    <m/>
    <m/>
    <m/>
    <m/>
    <n v="0"/>
    <m/>
    <m/>
    <n v="0"/>
    <n v="0"/>
    <n v="0"/>
    <m/>
    <m/>
    <m/>
    <m/>
    <n v="0"/>
    <m/>
    <m/>
    <n v="0"/>
    <m/>
    <m/>
    <m/>
    <m/>
    <m/>
    <m/>
    <n v="0"/>
    <n v="0"/>
  </r>
  <r>
    <x v="3"/>
    <x v="3"/>
    <s v="Developmental Research School"/>
    <m/>
    <n v="133669"/>
    <x v="1"/>
    <m/>
    <m/>
    <n v="12791786"/>
    <n v="13920039"/>
    <m/>
    <m/>
    <m/>
    <m/>
    <n v="0"/>
    <m/>
    <m/>
    <n v="0"/>
    <n v="12791786"/>
    <n v="13920039"/>
    <m/>
    <m/>
    <m/>
    <m/>
    <n v="0"/>
    <m/>
    <m/>
    <n v="0"/>
    <m/>
    <m/>
    <m/>
    <m/>
    <m/>
    <m/>
    <n v="12791786"/>
    <n v="13920039"/>
  </r>
  <r>
    <x v="3"/>
    <x v="7"/>
    <s v="Research centers/institutes"/>
    <m/>
    <n v="133669"/>
    <x v="1"/>
    <m/>
    <m/>
    <m/>
    <m/>
    <m/>
    <m/>
    <m/>
    <m/>
    <n v="0"/>
    <m/>
    <m/>
    <n v="0"/>
    <n v="0"/>
    <n v="0"/>
    <m/>
    <m/>
    <m/>
    <m/>
    <n v="0"/>
    <m/>
    <m/>
    <n v="0"/>
    <m/>
    <m/>
    <m/>
    <m/>
    <m/>
    <m/>
    <n v="0"/>
    <n v="0"/>
  </r>
  <r>
    <x v="3"/>
    <x v="0"/>
    <s v="Florida Agricultural &amp; Mechanical University "/>
    <s v="Met the criteria for Four-Year 2 in 2011-12 and 2012-13."/>
    <n v="133650"/>
    <x v="2"/>
    <n v="95914909"/>
    <n v="76237712"/>
    <m/>
    <m/>
    <m/>
    <m/>
    <n v="62741167"/>
    <n v="1350468"/>
    <n v="64091635"/>
    <n v="70716476.933599994"/>
    <n v="1290074.0664000001"/>
    <n v="72006551"/>
    <n v="158656076"/>
    <n v="146954188.93360001"/>
    <m/>
    <m/>
    <m/>
    <m/>
    <n v="0"/>
    <m/>
    <m/>
    <n v="0"/>
    <m/>
    <m/>
    <m/>
    <m/>
    <m/>
    <m/>
    <n v="158656076"/>
    <n v="146954188.93360001"/>
  </r>
  <r>
    <x v="3"/>
    <x v="0"/>
    <s v="Student Financial Aid"/>
    <m/>
    <n v="133650"/>
    <x v="2"/>
    <m/>
    <m/>
    <n v="624417"/>
    <n v="624417"/>
    <m/>
    <m/>
    <m/>
    <m/>
    <n v="0"/>
    <m/>
    <m/>
    <n v="0"/>
    <n v="624417"/>
    <n v="624417"/>
    <m/>
    <m/>
    <m/>
    <m/>
    <n v="0"/>
    <m/>
    <m/>
    <n v="0"/>
    <m/>
    <m/>
    <m/>
    <m/>
    <m/>
    <m/>
    <n v="624417"/>
    <n v="624417"/>
  </r>
  <r>
    <x v="3"/>
    <x v="0"/>
    <s v="Risk Management/Casualty Insurance"/>
    <m/>
    <n v="133650"/>
    <x v="2"/>
    <m/>
    <m/>
    <n v="1282968"/>
    <n v="1172091"/>
    <m/>
    <m/>
    <m/>
    <m/>
    <n v="0"/>
    <m/>
    <m/>
    <n v="0"/>
    <n v="1282968"/>
    <n v="1172091"/>
    <m/>
    <m/>
    <m/>
    <m/>
    <n v="0"/>
    <m/>
    <m/>
    <n v="0"/>
    <m/>
    <m/>
    <m/>
    <m/>
    <m/>
    <m/>
    <n v="1282968"/>
    <n v="1172091"/>
  </r>
  <r>
    <x v="3"/>
    <x v="3"/>
    <s v="Community or public service units"/>
    <m/>
    <n v="133650"/>
    <x v="2"/>
    <m/>
    <m/>
    <m/>
    <m/>
    <m/>
    <m/>
    <m/>
    <m/>
    <n v="0"/>
    <m/>
    <m/>
    <n v="0"/>
    <n v="0"/>
    <n v="0"/>
    <m/>
    <m/>
    <m/>
    <m/>
    <n v="0"/>
    <m/>
    <m/>
    <n v="0"/>
    <m/>
    <m/>
    <m/>
    <m/>
    <m/>
    <m/>
    <n v="0"/>
    <n v="0"/>
  </r>
  <r>
    <x v="3"/>
    <x v="3"/>
    <s v="Developmental Research School"/>
    <m/>
    <n v="133650"/>
    <x v="2"/>
    <m/>
    <m/>
    <n v="3408002"/>
    <n v="3277272"/>
    <m/>
    <m/>
    <m/>
    <m/>
    <n v="0"/>
    <m/>
    <m/>
    <n v="0"/>
    <n v="3408002"/>
    <n v="3277272"/>
    <m/>
    <m/>
    <m/>
    <m/>
    <n v="0"/>
    <m/>
    <m/>
    <n v="0"/>
    <m/>
    <m/>
    <m/>
    <m/>
    <m/>
    <m/>
    <n v="3408002"/>
    <n v="3277272"/>
  </r>
  <r>
    <x v="3"/>
    <x v="0"/>
    <s v="University of North Florida"/>
    <m/>
    <n v="136172"/>
    <x v="2"/>
    <n v="70279845"/>
    <n v="65063094"/>
    <m/>
    <m/>
    <m/>
    <m/>
    <n v="62046514"/>
    <n v="1392408"/>
    <n v="63438922"/>
    <n v="66996490.521600001"/>
    <n v="1330138.4783999999"/>
    <n v="68326629"/>
    <n v="132326359"/>
    <n v="132059584.52160001"/>
    <m/>
    <m/>
    <m/>
    <m/>
    <n v="0"/>
    <m/>
    <m/>
    <n v="0"/>
    <m/>
    <m/>
    <m/>
    <m/>
    <m/>
    <m/>
    <n v="132326359"/>
    <n v="132059584.52160001"/>
  </r>
  <r>
    <x v="3"/>
    <x v="0"/>
    <s v="Student Financial Aid"/>
    <m/>
    <n v="136172"/>
    <x v="2"/>
    <m/>
    <m/>
    <n v="200570"/>
    <n v="200570"/>
    <m/>
    <m/>
    <m/>
    <m/>
    <n v="0"/>
    <m/>
    <m/>
    <n v="0"/>
    <n v="200570"/>
    <n v="200570"/>
    <m/>
    <m/>
    <m/>
    <m/>
    <n v="0"/>
    <m/>
    <m/>
    <n v="0"/>
    <m/>
    <m/>
    <m/>
    <m/>
    <m/>
    <m/>
    <n v="200570"/>
    <n v="200570"/>
  </r>
  <r>
    <x v="3"/>
    <x v="0"/>
    <s v="Risk Management/Casualty Insurance"/>
    <m/>
    <n v="136172"/>
    <x v="2"/>
    <m/>
    <m/>
    <n v="679431"/>
    <n v="904133"/>
    <m/>
    <m/>
    <m/>
    <m/>
    <n v="0"/>
    <m/>
    <m/>
    <n v="0"/>
    <n v="679431"/>
    <n v="904133"/>
    <m/>
    <m/>
    <m/>
    <m/>
    <n v="0"/>
    <m/>
    <m/>
    <n v="0"/>
    <m/>
    <m/>
    <m/>
    <m/>
    <m/>
    <m/>
    <n v="679431"/>
    <n v="904133"/>
  </r>
  <r>
    <x v="3"/>
    <x v="0"/>
    <s v="University of West Florida"/>
    <m/>
    <n v="138354"/>
    <x v="2"/>
    <n v="52126120"/>
    <n v="40727501"/>
    <m/>
    <m/>
    <m/>
    <m/>
    <n v="39588691"/>
    <n v="975804"/>
    <n v="40564495"/>
    <n v="51104257.680799998"/>
    <n v="932165.31920000003"/>
    <n v="52036423"/>
    <n v="91714811"/>
    <n v="91831758.680799991"/>
    <m/>
    <m/>
    <m/>
    <m/>
    <n v="0"/>
    <m/>
    <m/>
    <n v="0"/>
    <m/>
    <m/>
    <m/>
    <m/>
    <m/>
    <m/>
    <n v="91714811"/>
    <n v="91831758.680799991"/>
  </r>
  <r>
    <x v="3"/>
    <x v="0"/>
    <s v="Student Financial Aid"/>
    <m/>
    <n v="138354"/>
    <x v="2"/>
    <m/>
    <m/>
    <n v="157766"/>
    <n v="157766"/>
    <m/>
    <m/>
    <m/>
    <m/>
    <n v="0"/>
    <m/>
    <m/>
    <n v="0"/>
    <n v="157766"/>
    <n v="157766"/>
    <m/>
    <m/>
    <m/>
    <m/>
    <n v="0"/>
    <m/>
    <m/>
    <n v="0"/>
    <m/>
    <m/>
    <m/>
    <m/>
    <m/>
    <m/>
    <n v="157766"/>
    <n v="157766"/>
  </r>
  <r>
    <x v="3"/>
    <x v="0"/>
    <s v="Risk Management/Casualty Insurance"/>
    <m/>
    <n v="138354"/>
    <x v="2"/>
    <m/>
    <m/>
    <n v="633644"/>
    <n v="706795"/>
    <m/>
    <m/>
    <m/>
    <m/>
    <n v="0"/>
    <m/>
    <m/>
    <n v="0"/>
    <n v="633644"/>
    <n v="706795"/>
    <m/>
    <m/>
    <m/>
    <m/>
    <n v="0"/>
    <m/>
    <m/>
    <n v="0"/>
    <m/>
    <m/>
    <m/>
    <m/>
    <m/>
    <m/>
    <n v="633644"/>
    <n v="706795"/>
  </r>
  <r>
    <x v="3"/>
    <x v="0"/>
    <s v="Florida Gulf Coast University"/>
    <m/>
    <n v="433660"/>
    <x v="3"/>
    <n v="45029405"/>
    <n v="41540677"/>
    <m/>
    <m/>
    <m/>
    <m/>
    <n v="49755202"/>
    <n v="1023336"/>
    <n v="50778538"/>
    <n v="59772181.347199999"/>
    <n v="977571.65280000004"/>
    <n v="60749753"/>
    <n v="94784607"/>
    <n v="101312858.34720001"/>
    <m/>
    <m/>
    <m/>
    <m/>
    <n v="0"/>
    <m/>
    <m/>
    <n v="0"/>
    <m/>
    <m/>
    <m/>
    <m/>
    <m/>
    <m/>
    <n v="94784607"/>
    <n v="101312858.34720001"/>
  </r>
  <r>
    <x v="3"/>
    <x v="0"/>
    <s v="Student Financial Aid"/>
    <m/>
    <n v="433660"/>
    <x v="3"/>
    <m/>
    <m/>
    <n v="98073"/>
    <n v="98073"/>
    <m/>
    <m/>
    <m/>
    <m/>
    <n v="0"/>
    <m/>
    <m/>
    <n v="0"/>
    <n v="98073"/>
    <n v="98073"/>
    <m/>
    <m/>
    <m/>
    <m/>
    <n v="0"/>
    <m/>
    <m/>
    <n v="0"/>
    <m/>
    <m/>
    <m/>
    <m/>
    <m/>
    <m/>
    <n v="98073"/>
    <n v="98073"/>
  </r>
  <r>
    <x v="3"/>
    <x v="0"/>
    <s v="Risk Management/Casualty Insurance"/>
    <m/>
    <n v="433660"/>
    <x v="3"/>
    <m/>
    <m/>
    <n v="704425"/>
    <n v="600862"/>
    <m/>
    <m/>
    <m/>
    <m/>
    <n v="0"/>
    <m/>
    <m/>
    <n v="0"/>
    <n v="704425"/>
    <n v="600862"/>
    <m/>
    <m/>
    <m/>
    <m/>
    <n v="0"/>
    <m/>
    <m/>
    <n v="0"/>
    <m/>
    <m/>
    <m/>
    <m/>
    <m/>
    <m/>
    <n v="704425"/>
    <n v="600862"/>
  </r>
  <r>
    <x v="3"/>
    <x v="0"/>
    <s v="New College of Florida"/>
    <m/>
    <n v="262129"/>
    <x v="5"/>
    <n v="14466412"/>
    <n v="13839920"/>
    <m/>
    <m/>
    <m/>
    <m/>
    <n v="5429802"/>
    <n v="106248"/>
    <n v="5536050"/>
    <n v="6100592.4896"/>
    <n v="101496.5104"/>
    <n v="6202089"/>
    <n v="19896214"/>
    <n v="19940512.489599999"/>
    <m/>
    <m/>
    <m/>
    <m/>
    <n v="0"/>
    <m/>
    <m/>
    <n v="0"/>
    <m/>
    <m/>
    <m/>
    <m/>
    <m/>
    <m/>
    <n v="19896214"/>
    <n v="19940512.489599999"/>
  </r>
  <r>
    <x v="3"/>
    <x v="0"/>
    <s v="Student Financial Aid"/>
    <m/>
    <n v="262129"/>
    <x v="5"/>
    <m/>
    <m/>
    <n v="200570"/>
    <n v="204407"/>
    <m/>
    <m/>
    <m/>
    <m/>
    <n v="0"/>
    <m/>
    <m/>
    <n v="0"/>
    <n v="200570"/>
    <n v="204407"/>
    <m/>
    <m/>
    <m/>
    <m/>
    <n v="0"/>
    <m/>
    <m/>
    <n v="0"/>
    <m/>
    <m/>
    <m/>
    <m/>
    <m/>
    <m/>
    <n v="200570"/>
    <n v="204407"/>
  </r>
  <r>
    <x v="3"/>
    <x v="0"/>
    <s v="Risk Management/Casualty Insurance"/>
    <m/>
    <n v="262129"/>
    <x v="5"/>
    <m/>
    <m/>
    <n v="357806"/>
    <n v="285717"/>
    <m/>
    <m/>
    <m/>
    <m/>
    <n v="0"/>
    <m/>
    <m/>
    <n v="0"/>
    <n v="357806"/>
    <n v="285717"/>
    <m/>
    <m/>
    <m/>
    <m/>
    <n v="0"/>
    <m/>
    <m/>
    <n v="0"/>
    <m/>
    <m/>
    <m/>
    <m/>
    <m/>
    <m/>
    <n v="357806"/>
    <n v="285717"/>
  </r>
  <r>
    <x v="3"/>
    <x v="0"/>
    <s v="Florida Polytech University"/>
    <m/>
    <s v="????"/>
    <x v="13"/>
    <n v="0"/>
    <n v="22411504"/>
    <m/>
    <m/>
    <m/>
    <m/>
    <m/>
    <m/>
    <n v="0"/>
    <n v="6028073"/>
    <n v="0"/>
    <n v="6028073"/>
    <n v="0"/>
    <n v="28439577"/>
    <m/>
    <m/>
    <m/>
    <m/>
    <n v="0"/>
    <m/>
    <m/>
    <n v="0"/>
    <m/>
    <m/>
    <m/>
    <m/>
    <m/>
    <m/>
    <n v="0"/>
    <n v="28439577"/>
  </r>
  <r>
    <x v="3"/>
    <x v="8"/>
    <s v="Student Financial Aid"/>
    <m/>
    <s v="????"/>
    <x v="13"/>
    <m/>
    <m/>
    <m/>
    <n v="50000"/>
    <m/>
    <m/>
    <m/>
    <m/>
    <n v="0"/>
    <m/>
    <m/>
    <n v="0"/>
    <n v="0"/>
    <n v="50000"/>
    <m/>
    <m/>
    <m/>
    <m/>
    <n v="0"/>
    <m/>
    <m/>
    <n v="0"/>
    <m/>
    <m/>
    <m/>
    <m/>
    <m/>
    <m/>
    <n v="0"/>
    <n v="50000"/>
  </r>
  <r>
    <x v="3"/>
    <x v="8"/>
    <s v="Risk Management/Casualty Insurance"/>
    <m/>
    <s v="????"/>
    <x v="13"/>
    <m/>
    <m/>
    <m/>
    <m/>
    <m/>
    <m/>
    <m/>
    <m/>
    <n v="0"/>
    <m/>
    <m/>
    <n v="0"/>
    <n v="0"/>
    <n v="0"/>
    <m/>
    <m/>
    <m/>
    <m/>
    <n v="0"/>
    <m/>
    <m/>
    <n v="0"/>
    <m/>
    <m/>
    <m/>
    <m/>
    <m/>
    <m/>
    <n v="0"/>
    <n v="0"/>
  </r>
  <r>
    <x v="3"/>
    <x v="7"/>
    <s v="Phosphate research"/>
    <m/>
    <s v="????"/>
    <x v="13"/>
    <m/>
    <m/>
    <m/>
    <n v="5037035"/>
    <m/>
    <m/>
    <m/>
    <m/>
    <n v="0"/>
    <m/>
    <m/>
    <n v="0"/>
    <n v="0"/>
    <n v="5037035"/>
    <m/>
    <m/>
    <m/>
    <m/>
    <n v="0"/>
    <m/>
    <m/>
    <n v="0"/>
    <m/>
    <m/>
    <m/>
    <m/>
    <m/>
    <m/>
    <n v="0"/>
    <n v="5037035"/>
  </r>
  <r>
    <x v="3"/>
    <x v="13"/>
    <s v="Education special purpose funds -all other"/>
    <m/>
    <m/>
    <x v="12"/>
    <m/>
    <m/>
    <m/>
    <m/>
    <m/>
    <m/>
    <m/>
    <m/>
    <n v="0"/>
    <m/>
    <m/>
    <n v="0"/>
    <n v="0"/>
    <n v="0"/>
    <m/>
    <m/>
    <m/>
    <m/>
    <n v="0"/>
    <m/>
    <m/>
    <n v="0"/>
    <m/>
    <m/>
    <m/>
    <m/>
    <m/>
    <m/>
    <n v="0"/>
    <n v="0"/>
  </r>
  <r>
    <x v="3"/>
    <x v="42"/>
    <s v="Community or public service units"/>
    <m/>
    <m/>
    <x v="12"/>
    <m/>
    <m/>
    <m/>
    <m/>
    <m/>
    <m/>
    <m/>
    <m/>
    <n v="0"/>
    <m/>
    <m/>
    <n v="0"/>
    <n v="0"/>
    <n v="0"/>
    <m/>
    <m/>
    <m/>
    <m/>
    <n v="0"/>
    <m/>
    <m/>
    <n v="0"/>
    <m/>
    <m/>
    <m/>
    <m/>
    <m/>
    <m/>
    <n v="0"/>
    <n v="0"/>
  </r>
  <r>
    <x v="3"/>
    <x v="11"/>
    <s v="Research centers/institutes"/>
    <m/>
    <m/>
    <x v="12"/>
    <m/>
    <m/>
    <m/>
    <m/>
    <m/>
    <m/>
    <m/>
    <m/>
    <n v="0"/>
    <m/>
    <m/>
    <n v="0"/>
    <n v="0"/>
    <n v="0"/>
    <m/>
    <m/>
    <m/>
    <m/>
    <n v="0"/>
    <m/>
    <m/>
    <n v="0"/>
    <m/>
    <m/>
    <m/>
    <m/>
    <m/>
    <m/>
    <n v="0"/>
    <n v="0"/>
  </r>
  <r>
    <x v="3"/>
    <x v="11"/>
    <s v="Moffitt Cancer Center"/>
    <m/>
    <m/>
    <x v="12"/>
    <m/>
    <m/>
    <n v="9583007"/>
    <n v="10576930"/>
    <m/>
    <m/>
    <m/>
    <m/>
    <n v="0"/>
    <m/>
    <m/>
    <n v="0"/>
    <n v="9583007"/>
    <n v="10576930"/>
    <m/>
    <m/>
    <m/>
    <m/>
    <n v="0"/>
    <m/>
    <m/>
    <n v="0"/>
    <m/>
    <m/>
    <m/>
    <m/>
    <m/>
    <m/>
    <n v="9583007"/>
    <n v="10576930"/>
  </r>
  <r>
    <x v="3"/>
    <x v="11"/>
    <s v="Institute for Human and Machine Cognition "/>
    <m/>
    <m/>
    <x v="12"/>
    <m/>
    <m/>
    <n v="1457864"/>
    <n v="2739184"/>
    <m/>
    <m/>
    <m/>
    <m/>
    <n v="0"/>
    <m/>
    <m/>
    <n v="0"/>
    <n v="1457864"/>
    <n v="2739184"/>
    <m/>
    <m/>
    <m/>
    <m/>
    <n v="0"/>
    <m/>
    <m/>
    <n v="0"/>
    <m/>
    <m/>
    <m/>
    <m/>
    <m/>
    <m/>
    <n v="1457864"/>
    <n v="2739184"/>
  </r>
  <r>
    <x v="3"/>
    <x v="12"/>
    <s v="Special line items for education operations"/>
    <m/>
    <m/>
    <x v="12"/>
    <m/>
    <m/>
    <m/>
    <m/>
    <m/>
    <m/>
    <m/>
    <m/>
    <n v="0"/>
    <m/>
    <m/>
    <n v="0"/>
    <n v="0"/>
    <n v="0"/>
    <m/>
    <m/>
    <m/>
    <m/>
    <n v="0"/>
    <m/>
    <m/>
    <n v="0"/>
    <m/>
    <m/>
    <m/>
    <m/>
    <m/>
    <m/>
    <n v="0"/>
    <n v="0"/>
  </r>
  <r>
    <x v="3"/>
    <x v="12"/>
    <s v="Distance Learning Consortium"/>
    <m/>
    <m/>
    <x v="12"/>
    <m/>
    <m/>
    <n v="573859"/>
    <m/>
    <m/>
    <m/>
    <m/>
    <m/>
    <n v="0"/>
    <m/>
    <m/>
    <n v="0"/>
    <n v="573859"/>
    <n v="0"/>
    <m/>
    <m/>
    <m/>
    <m/>
    <n v="0"/>
    <m/>
    <m/>
    <n v="0"/>
    <m/>
    <m/>
    <m/>
    <m/>
    <m/>
    <m/>
    <n v="573859"/>
    <n v="0"/>
  </r>
  <r>
    <x v="3"/>
    <x v="14"/>
    <s v="Statewide System Operations"/>
    <m/>
    <m/>
    <x v="12"/>
    <m/>
    <m/>
    <m/>
    <m/>
    <m/>
    <m/>
    <m/>
    <m/>
    <n v="0"/>
    <m/>
    <m/>
    <n v="0"/>
    <n v="0"/>
    <n v="0"/>
    <m/>
    <m/>
    <m/>
    <m/>
    <n v="0"/>
    <m/>
    <m/>
    <n v="0"/>
    <m/>
    <m/>
    <m/>
    <m/>
    <m/>
    <m/>
    <n v="0"/>
    <n v="0"/>
  </r>
  <r>
    <x v="3"/>
    <x v="15"/>
    <s v="Colleges and universities"/>
    <m/>
    <m/>
    <x v="12"/>
    <m/>
    <m/>
    <m/>
    <m/>
    <m/>
    <m/>
    <m/>
    <m/>
    <n v="0"/>
    <m/>
    <m/>
    <n v="0"/>
    <n v="0"/>
    <n v="0"/>
    <m/>
    <m/>
    <m/>
    <m/>
    <n v="0"/>
    <m/>
    <m/>
    <n v="0"/>
    <m/>
    <m/>
    <m/>
    <m/>
    <m/>
    <m/>
    <n v="0"/>
    <n v="0"/>
  </r>
  <r>
    <x v="3"/>
    <x v="15"/>
    <s v="FL. Board of Governors"/>
    <m/>
    <m/>
    <x v="12"/>
    <m/>
    <m/>
    <m/>
    <m/>
    <m/>
    <m/>
    <m/>
    <m/>
    <n v="0"/>
    <m/>
    <m/>
    <n v="0"/>
    <n v="0"/>
    <n v="0"/>
    <n v="5519188"/>
    <n v="6310587"/>
    <m/>
    <m/>
    <n v="0"/>
    <m/>
    <m/>
    <n v="0"/>
    <m/>
    <m/>
    <m/>
    <m/>
    <m/>
    <m/>
    <n v="5519188"/>
    <n v="6310587"/>
  </r>
  <r>
    <x v="3"/>
    <x v="17"/>
    <s v="National or regional associations, compacts or consortia"/>
    <m/>
    <m/>
    <x v="12"/>
    <m/>
    <m/>
    <m/>
    <m/>
    <m/>
    <m/>
    <m/>
    <m/>
    <n v="0"/>
    <m/>
    <m/>
    <n v="0"/>
    <n v="0"/>
    <n v="0"/>
    <m/>
    <m/>
    <m/>
    <m/>
    <n v="0"/>
    <m/>
    <m/>
    <n v="0"/>
    <m/>
    <m/>
    <m/>
    <m/>
    <m/>
    <m/>
    <n v="0"/>
    <n v="0"/>
  </r>
  <r>
    <x v="3"/>
    <x v="17"/>
    <s v="SREB membership"/>
    <m/>
    <m/>
    <x v="12"/>
    <m/>
    <m/>
    <m/>
    <m/>
    <m/>
    <m/>
    <m/>
    <m/>
    <n v="0"/>
    <m/>
    <m/>
    <n v="0"/>
    <n v="0"/>
    <n v="0"/>
    <n v="193550"/>
    <n v="206550"/>
    <m/>
    <m/>
    <n v="0"/>
    <m/>
    <m/>
    <n v="0"/>
    <m/>
    <m/>
    <m/>
    <m/>
    <m/>
    <m/>
    <n v="193550"/>
    <n v="206550"/>
  </r>
  <r>
    <x v="3"/>
    <x v="18"/>
    <s v="Adm. of Statewide Student Aid Progs. (incldng centralized guaranteed student loans)"/>
    <m/>
    <m/>
    <x v="12"/>
    <m/>
    <m/>
    <m/>
    <m/>
    <m/>
    <m/>
    <m/>
    <m/>
    <n v="0"/>
    <m/>
    <m/>
    <n v="0"/>
    <n v="0"/>
    <n v="0"/>
    <m/>
    <m/>
    <m/>
    <m/>
    <n v="0"/>
    <m/>
    <m/>
    <n v="0"/>
    <m/>
    <m/>
    <m/>
    <m/>
    <m/>
    <m/>
    <n v="0"/>
    <n v="0"/>
  </r>
  <r>
    <x v="3"/>
    <x v="19"/>
    <s v="State Support to Private Colleges Other Than Student Aid"/>
    <m/>
    <m/>
    <x v="12"/>
    <m/>
    <m/>
    <m/>
    <m/>
    <m/>
    <m/>
    <m/>
    <m/>
    <n v="0"/>
    <m/>
    <m/>
    <n v="0"/>
    <n v="0"/>
    <n v="0"/>
    <m/>
    <m/>
    <m/>
    <m/>
    <n v="0"/>
    <m/>
    <m/>
    <n v="0"/>
    <m/>
    <m/>
    <m/>
    <m/>
    <m/>
    <m/>
    <n v="0"/>
    <n v="0"/>
  </r>
  <r>
    <x v="3"/>
    <x v="19"/>
    <s v="1st Accredited Medical School Support for Univ Miami"/>
    <m/>
    <m/>
    <x v="12"/>
    <m/>
    <m/>
    <m/>
    <m/>
    <m/>
    <m/>
    <m/>
    <m/>
    <n v="0"/>
    <m/>
    <m/>
    <n v="0"/>
    <n v="0"/>
    <n v="0"/>
    <n v="5835409"/>
    <m/>
    <m/>
    <m/>
    <n v="0"/>
    <m/>
    <m/>
    <n v="0"/>
    <m/>
    <m/>
    <m/>
    <m/>
    <m/>
    <m/>
    <n v="5835409"/>
    <n v="0"/>
  </r>
  <r>
    <x v="3"/>
    <x v="19"/>
    <s v="Regional Diabetes Center at Univ of Miami"/>
    <m/>
    <m/>
    <x v="12"/>
    <m/>
    <m/>
    <m/>
    <m/>
    <m/>
    <m/>
    <m/>
    <m/>
    <n v="0"/>
    <m/>
    <m/>
    <n v="0"/>
    <n v="0"/>
    <n v="0"/>
    <n v="305015"/>
    <m/>
    <m/>
    <m/>
    <n v="0"/>
    <m/>
    <m/>
    <n v="0"/>
    <m/>
    <m/>
    <m/>
    <m/>
    <m/>
    <m/>
    <n v="305015"/>
    <n v="0"/>
  </r>
  <r>
    <x v="3"/>
    <x v="19"/>
    <s v="Autism Program at Univ Miami"/>
    <m/>
    <m/>
    <x v="12"/>
    <m/>
    <m/>
    <m/>
    <m/>
    <m/>
    <m/>
    <m/>
    <m/>
    <n v="0"/>
    <m/>
    <m/>
    <n v="0"/>
    <n v="0"/>
    <n v="0"/>
    <n v="945826"/>
    <n v="1040409"/>
    <m/>
    <m/>
    <n v="0"/>
    <m/>
    <m/>
    <n v="0"/>
    <m/>
    <m/>
    <m/>
    <m/>
    <m/>
    <m/>
    <n v="945826"/>
    <n v="1040409"/>
  </r>
  <r>
    <x v="3"/>
    <x v="19"/>
    <s v="Nova SE Univ-health programs (osteopathy, pharmacy, optometry)"/>
    <m/>
    <m/>
    <x v="12"/>
    <m/>
    <m/>
    <m/>
    <m/>
    <m/>
    <m/>
    <m/>
    <m/>
    <n v="0"/>
    <m/>
    <m/>
    <n v="0"/>
    <n v="0"/>
    <n v="0"/>
    <n v="4260832"/>
    <m/>
    <m/>
    <m/>
    <n v="0"/>
    <m/>
    <m/>
    <n v="0"/>
    <m/>
    <m/>
    <m/>
    <m/>
    <m/>
    <m/>
    <n v="4260832"/>
    <n v="0"/>
  </r>
  <r>
    <x v="3"/>
    <x v="19"/>
    <s v="Bethune-Cookman"/>
    <m/>
    <m/>
    <x v="12"/>
    <m/>
    <m/>
    <m/>
    <m/>
    <m/>
    <m/>
    <m/>
    <m/>
    <n v="0"/>
    <m/>
    <m/>
    <n v="0"/>
    <n v="0"/>
    <n v="0"/>
    <n v="3242702"/>
    <n v="3460111"/>
    <m/>
    <m/>
    <n v="0"/>
    <m/>
    <m/>
    <n v="0"/>
    <m/>
    <m/>
    <m/>
    <m/>
    <m/>
    <m/>
    <n v="3242702"/>
    <n v="3460111"/>
  </r>
  <r>
    <x v="3"/>
    <x v="19"/>
    <s v="Edwards Waters College"/>
    <m/>
    <m/>
    <x v="12"/>
    <m/>
    <m/>
    <m/>
    <m/>
    <m/>
    <m/>
    <m/>
    <m/>
    <n v="0"/>
    <m/>
    <m/>
    <n v="0"/>
    <n v="0"/>
    <n v="0"/>
    <n v="2576766"/>
    <n v="2749526"/>
    <m/>
    <m/>
    <n v="0"/>
    <m/>
    <m/>
    <n v="0"/>
    <m/>
    <m/>
    <m/>
    <m/>
    <m/>
    <m/>
    <n v="2576766"/>
    <n v="2749526"/>
  </r>
  <r>
    <x v="3"/>
    <x v="19"/>
    <s v="Fl Memorial College"/>
    <m/>
    <m/>
    <x v="12"/>
    <m/>
    <m/>
    <m/>
    <m/>
    <m/>
    <m/>
    <m/>
    <m/>
    <n v="0"/>
    <m/>
    <m/>
    <n v="0"/>
    <n v="0"/>
    <n v="0"/>
    <n v="2841536"/>
    <n v="3032048"/>
    <m/>
    <m/>
    <n v="0"/>
    <m/>
    <m/>
    <n v="0"/>
    <m/>
    <m/>
    <m/>
    <m/>
    <m/>
    <m/>
    <n v="2841536"/>
    <n v="3032048"/>
  </r>
  <r>
    <x v="3"/>
    <x v="19"/>
    <s v="Library resources for HBCU's"/>
    <m/>
    <m/>
    <x v="12"/>
    <m/>
    <m/>
    <m/>
    <m/>
    <m/>
    <m/>
    <m/>
    <m/>
    <n v="0"/>
    <m/>
    <m/>
    <n v="0"/>
    <n v="0"/>
    <n v="0"/>
    <n v="112327"/>
    <n v="119858"/>
    <m/>
    <m/>
    <n v="0"/>
    <m/>
    <m/>
    <n v="0"/>
    <m/>
    <m/>
    <m/>
    <m/>
    <m/>
    <m/>
    <n v="112327"/>
    <n v="119858"/>
  </r>
  <r>
    <x v="3"/>
    <x v="20"/>
    <s v="Contract Education Programs"/>
    <m/>
    <m/>
    <x v="12"/>
    <m/>
    <m/>
    <m/>
    <m/>
    <m/>
    <m/>
    <m/>
    <m/>
    <n v="0"/>
    <m/>
    <m/>
    <n v="0"/>
    <n v="0"/>
    <n v="0"/>
    <m/>
    <m/>
    <m/>
    <m/>
    <n v="0"/>
    <m/>
    <m/>
    <n v="0"/>
    <m/>
    <m/>
    <m/>
    <m/>
    <m/>
    <m/>
    <n v="0"/>
    <n v="0"/>
  </r>
  <r>
    <x v="3"/>
    <x v="21"/>
    <s v="SREB contract program with private colleges"/>
    <m/>
    <m/>
    <x v="12"/>
    <m/>
    <m/>
    <m/>
    <m/>
    <m/>
    <m/>
    <m/>
    <m/>
    <n v="0"/>
    <m/>
    <m/>
    <n v="0"/>
    <n v="0"/>
    <n v="0"/>
    <m/>
    <m/>
    <m/>
    <m/>
    <n v="0"/>
    <m/>
    <m/>
    <n v="0"/>
    <m/>
    <m/>
    <m/>
    <m/>
    <m/>
    <m/>
    <n v="0"/>
    <n v="0"/>
  </r>
  <r>
    <x v="3"/>
    <x v="22"/>
    <s v="SREB contract program with public colleges"/>
    <m/>
    <m/>
    <x v="12"/>
    <m/>
    <m/>
    <m/>
    <m/>
    <m/>
    <m/>
    <m/>
    <m/>
    <n v="0"/>
    <m/>
    <m/>
    <n v="0"/>
    <n v="0"/>
    <n v="0"/>
    <m/>
    <m/>
    <m/>
    <m/>
    <n v="0"/>
    <m/>
    <m/>
    <n v="0"/>
    <m/>
    <m/>
    <m/>
    <m/>
    <m/>
    <m/>
    <n v="0"/>
    <n v="0"/>
  </r>
  <r>
    <x v="3"/>
    <x v="23"/>
    <s v="Other contract education programs"/>
    <m/>
    <m/>
    <x v="12"/>
    <m/>
    <m/>
    <m/>
    <m/>
    <m/>
    <m/>
    <m/>
    <m/>
    <n v="0"/>
    <m/>
    <m/>
    <n v="0"/>
    <n v="0"/>
    <n v="0"/>
    <m/>
    <m/>
    <m/>
    <m/>
    <n v="0"/>
    <m/>
    <m/>
    <n v="0"/>
    <m/>
    <m/>
    <m/>
    <m/>
    <m/>
    <m/>
    <n v="0"/>
    <n v="0"/>
  </r>
  <r>
    <x v="3"/>
    <x v="23"/>
    <s v="University of Miami academic program contracts"/>
    <m/>
    <m/>
    <x v="12"/>
    <m/>
    <m/>
    <m/>
    <m/>
    <m/>
    <m/>
    <m/>
    <m/>
    <n v="0"/>
    <m/>
    <m/>
    <n v="0"/>
    <n v="0"/>
    <n v="0"/>
    <n v="299782"/>
    <n v="100000"/>
    <m/>
    <m/>
    <n v="0"/>
    <m/>
    <m/>
    <n v="0"/>
    <m/>
    <m/>
    <m/>
    <m/>
    <m/>
    <m/>
    <n v="299782"/>
    <n v="100000"/>
  </r>
  <r>
    <x v="3"/>
    <x v="23"/>
    <s v="Nova SE Univ academic program contracts"/>
    <m/>
    <m/>
    <x v="12"/>
    <m/>
    <m/>
    <m/>
    <m/>
    <m/>
    <m/>
    <m/>
    <m/>
    <n v="0"/>
    <m/>
    <m/>
    <n v="0"/>
    <n v="0"/>
    <n v="0"/>
    <n v="47246"/>
    <n v="39214"/>
    <m/>
    <m/>
    <n v="0"/>
    <m/>
    <m/>
    <n v="0"/>
    <m/>
    <m/>
    <m/>
    <m/>
    <m/>
    <m/>
    <n v="47246"/>
    <n v="39214"/>
  </r>
  <r>
    <x v="3"/>
    <x v="23"/>
    <s v="FL Inst. Of Technology"/>
    <m/>
    <m/>
    <x v="12"/>
    <m/>
    <m/>
    <m/>
    <m/>
    <m/>
    <m/>
    <m/>
    <m/>
    <n v="0"/>
    <m/>
    <m/>
    <n v="0"/>
    <n v="0"/>
    <n v="0"/>
    <n v="155131"/>
    <n v="1000000"/>
    <m/>
    <m/>
    <n v="0"/>
    <m/>
    <m/>
    <n v="0"/>
    <m/>
    <m/>
    <m/>
    <m/>
    <m/>
    <m/>
    <n v="155131"/>
    <n v="1000000"/>
  </r>
  <r>
    <x v="3"/>
    <x v="23"/>
    <s v="Barry University"/>
    <m/>
    <m/>
    <x v="12"/>
    <m/>
    <m/>
    <m/>
    <m/>
    <m/>
    <m/>
    <m/>
    <m/>
    <n v="0"/>
    <m/>
    <m/>
    <n v="0"/>
    <n v="0"/>
    <n v="0"/>
    <n v="84215"/>
    <n v="523520"/>
    <m/>
    <m/>
    <n v="0"/>
    <m/>
    <m/>
    <n v="0"/>
    <m/>
    <m/>
    <m/>
    <m/>
    <m/>
    <m/>
    <n v="84215"/>
    <n v="523520"/>
  </r>
  <r>
    <x v="3"/>
    <x v="23"/>
    <s v="Le Comm/Florida Health Programs"/>
    <m/>
    <m/>
    <x v="12"/>
    <m/>
    <m/>
    <m/>
    <m/>
    <m/>
    <m/>
    <m/>
    <m/>
    <n v="0"/>
    <m/>
    <m/>
    <n v="0"/>
    <n v="0"/>
    <n v="0"/>
    <n v="925500"/>
    <n v="1018050"/>
    <m/>
    <m/>
    <n v="0"/>
    <m/>
    <m/>
    <n v="0"/>
    <m/>
    <m/>
    <m/>
    <m/>
    <m/>
    <m/>
    <n v="925500"/>
    <n v="1018050"/>
  </r>
  <r>
    <x v="3"/>
    <x v="24"/>
    <s v="Statewide Student Financial Aid Programs Administered Off Campus"/>
    <m/>
    <m/>
    <x v="12"/>
    <m/>
    <m/>
    <m/>
    <m/>
    <m/>
    <m/>
    <m/>
    <m/>
    <n v="0"/>
    <m/>
    <m/>
    <n v="0"/>
    <n v="0"/>
    <n v="0"/>
    <m/>
    <m/>
    <m/>
    <m/>
    <n v="0"/>
    <m/>
    <m/>
    <n v="0"/>
    <m/>
    <m/>
    <m/>
    <m/>
    <m/>
    <m/>
    <n v="0"/>
    <n v="0"/>
  </r>
  <r>
    <x v="3"/>
    <x v="25"/>
    <s v="Available to public &amp; private sector students"/>
    <m/>
    <m/>
    <x v="12"/>
    <m/>
    <m/>
    <m/>
    <m/>
    <m/>
    <m/>
    <m/>
    <m/>
    <n v="0"/>
    <m/>
    <m/>
    <n v="0"/>
    <n v="0"/>
    <n v="0"/>
    <m/>
    <m/>
    <m/>
    <m/>
    <n v="0"/>
    <m/>
    <m/>
    <n v="0"/>
    <m/>
    <m/>
    <m/>
    <m/>
    <m/>
    <m/>
    <n v="0"/>
    <n v="0"/>
  </r>
  <r>
    <x v="3"/>
    <x v="25"/>
    <s v="Bright Futures Scholarships"/>
    <m/>
    <m/>
    <x v="12"/>
    <m/>
    <m/>
    <m/>
    <m/>
    <m/>
    <m/>
    <m/>
    <m/>
    <n v="0"/>
    <m/>
    <m/>
    <n v="0"/>
    <n v="0"/>
    <n v="0"/>
    <m/>
    <m/>
    <m/>
    <m/>
    <n v="0"/>
    <m/>
    <m/>
    <n v="0"/>
    <m/>
    <m/>
    <m/>
    <m/>
    <m/>
    <m/>
    <n v="0"/>
    <n v="0"/>
  </r>
  <r>
    <x v="3"/>
    <x v="26"/>
    <s v="Need-based"/>
    <m/>
    <m/>
    <x v="12"/>
    <m/>
    <m/>
    <m/>
    <m/>
    <m/>
    <m/>
    <m/>
    <m/>
    <n v="0"/>
    <m/>
    <m/>
    <n v="0"/>
    <n v="0"/>
    <n v="0"/>
    <m/>
    <m/>
    <m/>
    <m/>
    <n v="0"/>
    <m/>
    <m/>
    <n v="0"/>
    <m/>
    <m/>
    <m/>
    <m/>
    <m/>
    <m/>
    <n v="0"/>
    <n v="0"/>
  </r>
  <r>
    <x v="3"/>
    <x v="27"/>
    <s v="Non need-based"/>
    <m/>
    <m/>
    <x v="12"/>
    <m/>
    <m/>
    <m/>
    <m/>
    <m/>
    <m/>
    <m/>
    <m/>
    <n v="0"/>
    <m/>
    <m/>
    <n v="0"/>
    <n v="0"/>
    <n v="0"/>
    <n v="350000000"/>
    <n v="329408935"/>
    <m/>
    <m/>
    <n v="0"/>
    <m/>
    <m/>
    <n v="0"/>
    <m/>
    <m/>
    <m/>
    <m/>
    <m/>
    <m/>
    <n v="350000000"/>
    <n v="329408935"/>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Children of deceased/disabled Veterans"/>
    <m/>
    <m/>
    <x v="12"/>
    <m/>
    <m/>
    <m/>
    <m/>
    <m/>
    <m/>
    <m/>
    <m/>
    <n v="0"/>
    <m/>
    <m/>
    <n v="0"/>
    <n v="0"/>
    <n v="0"/>
    <m/>
    <m/>
    <m/>
    <m/>
    <n v="0"/>
    <m/>
    <m/>
    <n v="0"/>
    <m/>
    <m/>
    <m/>
    <m/>
    <m/>
    <m/>
    <n v="0"/>
    <n v="0"/>
  </r>
  <r>
    <x v="3"/>
    <x v="26"/>
    <s v="Need-based"/>
    <m/>
    <m/>
    <x v="12"/>
    <m/>
    <m/>
    <m/>
    <m/>
    <m/>
    <m/>
    <m/>
    <m/>
    <n v="0"/>
    <m/>
    <m/>
    <n v="0"/>
    <n v="0"/>
    <n v="0"/>
    <m/>
    <m/>
    <m/>
    <m/>
    <n v="0"/>
    <m/>
    <m/>
    <n v="0"/>
    <m/>
    <m/>
    <m/>
    <m/>
    <m/>
    <m/>
    <n v="0"/>
    <n v="0"/>
  </r>
  <r>
    <x v="3"/>
    <x v="27"/>
    <s v="Non need-based"/>
    <m/>
    <m/>
    <x v="12"/>
    <m/>
    <m/>
    <m/>
    <m/>
    <m/>
    <m/>
    <m/>
    <m/>
    <n v="0"/>
    <m/>
    <m/>
    <n v="0"/>
    <n v="0"/>
    <n v="0"/>
    <n v="2442776"/>
    <n v="2895907"/>
    <m/>
    <m/>
    <n v="0"/>
    <m/>
    <m/>
    <n v="0"/>
    <m/>
    <m/>
    <m/>
    <m/>
    <m/>
    <m/>
    <n v="2442776"/>
    <n v="2895907"/>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Florida Work Experience"/>
    <m/>
    <m/>
    <x v="12"/>
    <m/>
    <m/>
    <m/>
    <m/>
    <m/>
    <m/>
    <m/>
    <m/>
    <n v="0"/>
    <m/>
    <m/>
    <n v="0"/>
    <n v="0"/>
    <n v="0"/>
    <m/>
    <m/>
    <m/>
    <m/>
    <n v="0"/>
    <m/>
    <m/>
    <n v="0"/>
    <m/>
    <m/>
    <m/>
    <m/>
    <m/>
    <m/>
    <n v="0"/>
    <n v="0"/>
  </r>
  <r>
    <x v="3"/>
    <x v="26"/>
    <s v="Need-based"/>
    <m/>
    <m/>
    <x v="12"/>
    <m/>
    <m/>
    <m/>
    <m/>
    <m/>
    <m/>
    <m/>
    <m/>
    <n v="0"/>
    <m/>
    <m/>
    <n v="0"/>
    <n v="0"/>
    <n v="0"/>
    <n v="1569922"/>
    <n v="1569922"/>
    <m/>
    <m/>
    <n v="0"/>
    <m/>
    <m/>
    <n v="0"/>
    <m/>
    <m/>
    <m/>
    <m/>
    <m/>
    <m/>
    <n v="1569922"/>
    <n v="1569922"/>
  </r>
  <r>
    <x v="3"/>
    <x v="27"/>
    <s v="Non need-based"/>
    <m/>
    <m/>
    <x v="12"/>
    <m/>
    <m/>
    <m/>
    <m/>
    <m/>
    <m/>
    <m/>
    <m/>
    <n v="0"/>
    <m/>
    <m/>
    <n v="0"/>
    <n v="0"/>
    <n v="0"/>
    <m/>
    <m/>
    <m/>
    <m/>
    <n v="0"/>
    <m/>
    <m/>
    <n v="0"/>
    <m/>
    <m/>
    <m/>
    <m/>
    <m/>
    <m/>
    <n v="0"/>
    <n v="0"/>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Jose Marti Scholarship Challenge Grant"/>
    <m/>
    <m/>
    <x v="12"/>
    <m/>
    <m/>
    <m/>
    <m/>
    <m/>
    <m/>
    <m/>
    <m/>
    <n v="0"/>
    <m/>
    <m/>
    <n v="0"/>
    <n v="0"/>
    <n v="0"/>
    <m/>
    <m/>
    <m/>
    <m/>
    <n v="0"/>
    <m/>
    <m/>
    <n v="0"/>
    <m/>
    <m/>
    <m/>
    <m/>
    <m/>
    <m/>
    <n v="0"/>
    <n v="0"/>
  </r>
  <r>
    <x v="3"/>
    <x v="26"/>
    <s v="Need-based"/>
    <m/>
    <m/>
    <x v="12"/>
    <m/>
    <m/>
    <m/>
    <m/>
    <m/>
    <m/>
    <m/>
    <m/>
    <n v="0"/>
    <m/>
    <m/>
    <n v="0"/>
    <n v="0"/>
    <n v="0"/>
    <n v="55000"/>
    <n v="49500"/>
    <m/>
    <m/>
    <n v="0"/>
    <m/>
    <m/>
    <n v="0"/>
    <m/>
    <m/>
    <m/>
    <m/>
    <m/>
    <m/>
    <n v="55000"/>
    <n v="49500"/>
  </r>
  <r>
    <x v="3"/>
    <x v="27"/>
    <s v="Non need-based"/>
    <m/>
    <m/>
    <x v="12"/>
    <m/>
    <m/>
    <m/>
    <m/>
    <m/>
    <m/>
    <m/>
    <m/>
    <n v="0"/>
    <m/>
    <m/>
    <n v="0"/>
    <n v="0"/>
    <n v="0"/>
    <m/>
    <m/>
    <m/>
    <m/>
    <n v="0"/>
    <m/>
    <m/>
    <n v="0"/>
    <m/>
    <m/>
    <m/>
    <m/>
    <m/>
    <m/>
    <n v="0"/>
    <n v="0"/>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Prepaid Tuition Scholarships"/>
    <m/>
    <m/>
    <x v="12"/>
    <m/>
    <m/>
    <m/>
    <m/>
    <m/>
    <m/>
    <m/>
    <m/>
    <n v="0"/>
    <m/>
    <m/>
    <n v="0"/>
    <n v="0"/>
    <n v="0"/>
    <m/>
    <m/>
    <m/>
    <m/>
    <n v="0"/>
    <m/>
    <m/>
    <n v="0"/>
    <m/>
    <m/>
    <m/>
    <m/>
    <m/>
    <m/>
    <n v="0"/>
    <n v="0"/>
  </r>
  <r>
    <x v="3"/>
    <x v="26"/>
    <s v="Need-based"/>
    <m/>
    <m/>
    <x v="12"/>
    <m/>
    <m/>
    <m/>
    <m/>
    <m/>
    <m/>
    <m/>
    <m/>
    <n v="0"/>
    <m/>
    <m/>
    <n v="0"/>
    <n v="0"/>
    <n v="0"/>
    <n v="4618528"/>
    <n v="7000000"/>
    <m/>
    <m/>
    <n v="0"/>
    <m/>
    <m/>
    <n v="0"/>
    <m/>
    <m/>
    <m/>
    <m/>
    <m/>
    <m/>
    <n v="4618528"/>
    <n v="7000000"/>
  </r>
  <r>
    <x v="3"/>
    <x v="27"/>
    <s v="Non need-based"/>
    <m/>
    <m/>
    <x v="12"/>
    <m/>
    <m/>
    <m/>
    <m/>
    <m/>
    <m/>
    <m/>
    <m/>
    <n v="0"/>
    <m/>
    <m/>
    <n v="0"/>
    <n v="0"/>
    <n v="0"/>
    <m/>
    <m/>
    <m/>
    <m/>
    <n v="0"/>
    <m/>
    <m/>
    <n v="0"/>
    <m/>
    <m/>
    <m/>
    <m/>
    <m/>
    <m/>
    <n v="0"/>
    <n v="0"/>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34"/>
    <s v="Limited to public college students"/>
    <m/>
    <m/>
    <x v="12"/>
    <m/>
    <m/>
    <m/>
    <m/>
    <m/>
    <m/>
    <m/>
    <m/>
    <n v="0"/>
    <m/>
    <m/>
    <n v="0"/>
    <n v="0"/>
    <n v="0"/>
    <m/>
    <m/>
    <m/>
    <m/>
    <n v="0"/>
    <m/>
    <m/>
    <n v="0"/>
    <m/>
    <m/>
    <m/>
    <m/>
    <m/>
    <m/>
    <n v="0"/>
    <n v="0"/>
  </r>
  <r>
    <x v="3"/>
    <x v="34"/>
    <s v="Florida Student Assistance - Public - Full &amp; Part-time"/>
    <m/>
    <m/>
    <x v="12"/>
    <m/>
    <m/>
    <m/>
    <m/>
    <m/>
    <m/>
    <m/>
    <m/>
    <n v="0"/>
    <m/>
    <m/>
    <n v="0"/>
    <n v="0"/>
    <n v="0"/>
    <m/>
    <m/>
    <m/>
    <m/>
    <n v="0"/>
    <m/>
    <m/>
    <n v="0"/>
    <m/>
    <m/>
    <m/>
    <m/>
    <m/>
    <m/>
    <n v="0"/>
    <n v="0"/>
  </r>
  <r>
    <x v="3"/>
    <x v="35"/>
    <s v="Need-based"/>
    <m/>
    <m/>
    <x v="12"/>
    <m/>
    <m/>
    <m/>
    <m/>
    <m/>
    <m/>
    <m/>
    <m/>
    <n v="0"/>
    <m/>
    <m/>
    <n v="0"/>
    <n v="0"/>
    <n v="0"/>
    <n v="100404923"/>
    <n v="104703724"/>
    <m/>
    <m/>
    <n v="0"/>
    <m/>
    <m/>
    <n v="0"/>
    <m/>
    <m/>
    <m/>
    <m/>
    <m/>
    <m/>
    <n v="100404923"/>
    <n v="104703724"/>
  </r>
  <r>
    <x v="3"/>
    <x v="36"/>
    <s v="Non need-based"/>
    <m/>
    <m/>
    <x v="12"/>
    <m/>
    <m/>
    <m/>
    <m/>
    <m/>
    <m/>
    <m/>
    <m/>
    <n v="0"/>
    <m/>
    <m/>
    <n v="0"/>
    <n v="0"/>
    <n v="0"/>
    <m/>
    <m/>
    <m/>
    <m/>
    <n v="0"/>
    <m/>
    <m/>
    <n v="0"/>
    <m/>
    <m/>
    <m/>
    <m/>
    <m/>
    <m/>
    <n v="0"/>
    <n v="0"/>
  </r>
  <r>
    <x v="3"/>
    <x v="34"/>
    <s v="Minority Teachers Scholarships"/>
    <m/>
    <m/>
    <x v="12"/>
    <m/>
    <m/>
    <m/>
    <m/>
    <m/>
    <m/>
    <m/>
    <m/>
    <n v="0"/>
    <m/>
    <m/>
    <n v="0"/>
    <n v="0"/>
    <n v="0"/>
    <m/>
    <m/>
    <m/>
    <m/>
    <n v="0"/>
    <m/>
    <m/>
    <n v="0"/>
    <m/>
    <m/>
    <m/>
    <m/>
    <m/>
    <m/>
    <n v="0"/>
    <n v="0"/>
  </r>
  <r>
    <x v="3"/>
    <x v="35"/>
    <s v="Need-based"/>
    <m/>
    <m/>
    <x v="12"/>
    <m/>
    <m/>
    <m/>
    <m/>
    <m/>
    <m/>
    <m/>
    <m/>
    <n v="0"/>
    <m/>
    <m/>
    <n v="0"/>
    <n v="0"/>
    <n v="0"/>
    <m/>
    <m/>
    <m/>
    <m/>
    <n v="0"/>
    <m/>
    <m/>
    <n v="0"/>
    <m/>
    <m/>
    <m/>
    <m/>
    <m/>
    <m/>
    <n v="0"/>
    <n v="0"/>
  </r>
  <r>
    <x v="3"/>
    <x v="36"/>
    <s v="Non need-based"/>
    <m/>
    <m/>
    <x v="12"/>
    <m/>
    <m/>
    <m/>
    <m/>
    <m/>
    <m/>
    <m/>
    <m/>
    <n v="0"/>
    <m/>
    <m/>
    <n v="0"/>
    <n v="0"/>
    <n v="0"/>
    <n v="985468"/>
    <n v="885468"/>
    <m/>
    <m/>
    <n v="0"/>
    <m/>
    <m/>
    <n v="0"/>
    <m/>
    <m/>
    <m/>
    <m/>
    <m/>
    <m/>
    <n v="985468"/>
    <n v="885468"/>
  </r>
  <r>
    <x v="3"/>
    <x v="34"/>
    <s v="Rosewood Family Scholarships"/>
    <m/>
    <m/>
    <x v="12"/>
    <m/>
    <m/>
    <m/>
    <m/>
    <m/>
    <m/>
    <m/>
    <m/>
    <n v="0"/>
    <m/>
    <m/>
    <n v="0"/>
    <n v="0"/>
    <n v="0"/>
    <m/>
    <m/>
    <m/>
    <m/>
    <n v="0"/>
    <m/>
    <m/>
    <n v="0"/>
    <m/>
    <m/>
    <m/>
    <m/>
    <m/>
    <m/>
    <n v="0"/>
    <n v="0"/>
  </r>
  <r>
    <x v="3"/>
    <x v="35"/>
    <s v="Need-based"/>
    <m/>
    <m/>
    <x v="12"/>
    <m/>
    <m/>
    <m/>
    <m/>
    <m/>
    <m/>
    <m/>
    <m/>
    <n v="0"/>
    <m/>
    <m/>
    <n v="0"/>
    <n v="0"/>
    <n v="0"/>
    <m/>
    <m/>
    <m/>
    <m/>
    <n v="0"/>
    <m/>
    <m/>
    <n v="0"/>
    <m/>
    <m/>
    <m/>
    <m/>
    <m/>
    <m/>
    <n v="0"/>
    <n v="0"/>
  </r>
  <r>
    <x v="3"/>
    <x v="36"/>
    <s v="Non need-based"/>
    <m/>
    <m/>
    <x v="12"/>
    <m/>
    <m/>
    <m/>
    <m/>
    <m/>
    <m/>
    <m/>
    <m/>
    <n v="0"/>
    <m/>
    <m/>
    <n v="0"/>
    <n v="0"/>
    <n v="0"/>
    <n v="60000"/>
    <n v="60000"/>
    <m/>
    <m/>
    <n v="0"/>
    <m/>
    <m/>
    <n v="0"/>
    <m/>
    <m/>
    <m/>
    <m/>
    <m/>
    <m/>
    <n v="60000"/>
    <n v="60000"/>
  </r>
  <r>
    <x v="3"/>
    <x v="37"/>
    <s v="Limited to private college students"/>
    <m/>
    <m/>
    <x v="12"/>
    <m/>
    <m/>
    <m/>
    <m/>
    <m/>
    <m/>
    <m/>
    <m/>
    <n v="0"/>
    <m/>
    <m/>
    <n v="0"/>
    <n v="0"/>
    <n v="0"/>
    <m/>
    <m/>
    <m/>
    <m/>
    <n v="0"/>
    <m/>
    <m/>
    <n v="0"/>
    <m/>
    <m/>
    <m/>
    <m/>
    <m/>
    <m/>
    <n v="0"/>
    <n v="0"/>
  </r>
  <r>
    <x v="3"/>
    <x v="37"/>
    <s v="Florida Resident Access Grant"/>
    <m/>
    <m/>
    <x v="12"/>
    <m/>
    <m/>
    <m/>
    <m/>
    <m/>
    <m/>
    <m/>
    <m/>
    <n v="0"/>
    <m/>
    <m/>
    <n v="0"/>
    <n v="0"/>
    <n v="0"/>
    <m/>
    <m/>
    <m/>
    <m/>
    <n v="0"/>
    <m/>
    <m/>
    <n v="0"/>
    <m/>
    <m/>
    <m/>
    <m/>
    <m/>
    <m/>
    <n v="0"/>
    <n v="0"/>
  </r>
  <r>
    <x v="3"/>
    <x v="38"/>
    <s v="Need-based"/>
    <m/>
    <m/>
    <x v="12"/>
    <m/>
    <m/>
    <m/>
    <m/>
    <m/>
    <m/>
    <m/>
    <m/>
    <n v="0"/>
    <m/>
    <m/>
    <n v="0"/>
    <n v="0"/>
    <n v="0"/>
    <m/>
    <m/>
    <m/>
    <m/>
    <n v="0"/>
    <m/>
    <m/>
    <n v="0"/>
    <m/>
    <m/>
    <m/>
    <m/>
    <m/>
    <m/>
    <n v="0"/>
    <n v="0"/>
  </r>
  <r>
    <x v="3"/>
    <x v="39"/>
    <s v="Non need-based"/>
    <m/>
    <m/>
    <x v="12"/>
    <m/>
    <m/>
    <m/>
    <m/>
    <m/>
    <m/>
    <m/>
    <m/>
    <n v="0"/>
    <m/>
    <m/>
    <n v="0"/>
    <n v="0"/>
    <n v="0"/>
    <n v="80761255"/>
    <n v="78958406"/>
    <m/>
    <m/>
    <n v="0"/>
    <m/>
    <m/>
    <n v="0"/>
    <m/>
    <m/>
    <m/>
    <m/>
    <m/>
    <m/>
    <n v="80761255"/>
    <n v="78958406"/>
  </r>
  <r>
    <x v="3"/>
    <x v="37"/>
    <s v="Access to Better Learning and Education"/>
    <m/>
    <m/>
    <x v="12"/>
    <m/>
    <m/>
    <m/>
    <m/>
    <m/>
    <m/>
    <m/>
    <m/>
    <n v="0"/>
    <m/>
    <m/>
    <n v="0"/>
    <n v="0"/>
    <n v="0"/>
    <m/>
    <m/>
    <m/>
    <m/>
    <n v="0"/>
    <m/>
    <m/>
    <n v="0"/>
    <m/>
    <m/>
    <m/>
    <m/>
    <m/>
    <m/>
    <n v="0"/>
    <n v="0"/>
  </r>
  <r>
    <x v="3"/>
    <x v="38"/>
    <s v="Need-based"/>
    <m/>
    <m/>
    <x v="12"/>
    <m/>
    <m/>
    <m/>
    <m/>
    <m/>
    <m/>
    <m/>
    <m/>
    <n v="0"/>
    <m/>
    <m/>
    <n v="0"/>
    <n v="0"/>
    <n v="0"/>
    <m/>
    <m/>
    <m/>
    <m/>
    <n v="0"/>
    <m/>
    <m/>
    <n v="0"/>
    <m/>
    <m/>
    <m/>
    <m/>
    <m/>
    <m/>
    <n v="0"/>
    <n v="0"/>
  </r>
  <r>
    <x v="3"/>
    <x v="39"/>
    <s v="Non need-based"/>
    <m/>
    <m/>
    <x v="12"/>
    <m/>
    <m/>
    <m/>
    <m/>
    <m/>
    <m/>
    <m/>
    <m/>
    <n v="0"/>
    <m/>
    <m/>
    <n v="0"/>
    <n v="0"/>
    <n v="0"/>
    <n v="2419439"/>
    <n v="2310231"/>
    <m/>
    <m/>
    <n v="0"/>
    <m/>
    <m/>
    <n v="0"/>
    <m/>
    <m/>
    <m/>
    <m/>
    <m/>
    <m/>
    <n v="2419439"/>
    <n v="2310231"/>
  </r>
  <r>
    <x v="3"/>
    <x v="37"/>
    <s v="Postsecondary Student Assistance Grant"/>
    <m/>
    <m/>
    <x v="12"/>
    <m/>
    <m/>
    <m/>
    <m/>
    <m/>
    <m/>
    <m/>
    <m/>
    <n v="0"/>
    <m/>
    <m/>
    <n v="0"/>
    <n v="0"/>
    <n v="0"/>
    <m/>
    <m/>
    <m/>
    <m/>
    <n v="0"/>
    <m/>
    <m/>
    <n v="0"/>
    <m/>
    <m/>
    <m/>
    <m/>
    <m/>
    <m/>
    <n v="0"/>
    <n v="0"/>
  </r>
  <r>
    <x v="3"/>
    <x v="38"/>
    <s v="Need-based"/>
    <m/>
    <m/>
    <x v="12"/>
    <m/>
    <m/>
    <m/>
    <m/>
    <m/>
    <m/>
    <m/>
    <m/>
    <n v="0"/>
    <m/>
    <m/>
    <n v="0"/>
    <n v="0"/>
    <n v="0"/>
    <n v="11268807"/>
    <n v="9281150"/>
    <m/>
    <m/>
    <n v="0"/>
    <m/>
    <m/>
    <n v="0"/>
    <m/>
    <m/>
    <m/>
    <m/>
    <m/>
    <m/>
    <n v="11268807"/>
    <n v="9281150"/>
  </r>
  <r>
    <x v="3"/>
    <x v="39"/>
    <s v="Non need-based"/>
    <m/>
    <m/>
    <x v="12"/>
    <m/>
    <m/>
    <m/>
    <m/>
    <m/>
    <m/>
    <m/>
    <m/>
    <n v="0"/>
    <m/>
    <m/>
    <n v="0"/>
    <n v="0"/>
    <n v="0"/>
    <m/>
    <m/>
    <m/>
    <m/>
    <n v="0"/>
    <m/>
    <m/>
    <n v="0"/>
    <m/>
    <m/>
    <m/>
    <m/>
    <m/>
    <m/>
    <n v="0"/>
    <n v="0"/>
  </r>
  <r>
    <x v="3"/>
    <x v="37"/>
    <s v="Private Student Assistance Grants"/>
    <m/>
    <m/>
    <x v="12"/>
    <m/>
    <m/>
    <m/>
    <m/>
    <m/>
    <m/>
    <m/>
    <m/>
    <n v="0"/>
    <m/>
    <m/>
    <n v="0"/>
    <n v="0"/>
    <n v="0"/>
    <m/>
    <m/>
    <m/>
    <m/>
    <n v="0"/>
    <m/>
    <m/>
    <n v="0"/>
    <m/>
    <m/>
    <m/>
    <m/>
    <m/>
    <m/>
    <n v="0"/>
    <n v="0"/>
  </r>
  <r>
    <x v="3"/>
    <x v="38"/>
    <s v="Need-based"/>
    <m/>
    <m/>
    <x v="12"/>
    <m/>
    <m/>
    <m/>
    <m/>
    <m/>
    <m/>
    <m/>
    <m/>
    <n v="0"/>
    <m/>
    <m/>
    <n v="0"/>
    <n v="0"/>
    <n v="0"/>
    <n v="16166037"/>
    <n v="12941343"/>
    <m/>
    <m/>
    <n v="0"/>
    <m/>
    <m/>
    <n v="0"/>
    <m/>
    <m/>
    <m/>
    <m/>
    <m/>
    <m/>
    <n v="16166037"/>
    <n v="12941343"/>
  </r>
  <r>
    <x v="3"/>
    <x v="39"/>
    <s v="Non need-based"/>
    <m/>
    <m/>
    <x v="12"/>
    <m/>
    <m/>
    <m/>
    <m/>
    <m/>
    <m/>
    <m/>
    <m/>
    <n v="0"/>
    <m/>
    <m/>
    <n v="0"/>
    <n v="0"/>
    <n v="0"/>
    <m/>
    <m/>
    <m/>
    <m/>
    <n v="0"/>
    <m/>
    <m/>
    <n v="0"/>
    <m/>
    <m/>
    <m/>
    <m/>
    <m/>
    <m/>
    <n v="0"/>
    <n v="0"/>
  </r>
  <r>
    <x v="3"/>
    <x v="37"/>
    <s v="Mary McCleod Bethune Scholarship"/>
    <m/>
    <m/>
    <x v="12"/>
    <m/>
    <m/>
    <m/>
    <m/>
    <m/>
    <m/>
    <m/>
    <m/>
    <n v="0"/>
    <m/>
    <m/>
    <n v="0"/>
    <n v="0"/>
    <n v="0"/>
    <m/>
    <m/>
    <m/>
    <m/>
    <n v="0"/>
    <m/>
    <m/>
    <n v="0"/>
    <m/>
    <m/>
    <m/>
    <m/>
    <m/>
    <m/>
    <n v="0"/>
    <n v="0"/>
  </r>
  <r>
    <x v="3"/>
    <x v="38"/>
    <s v="Need-based"/>
    <m/>
    <m/>
    <x v="12"/>
    <m/>
    <m/>
    <m/>
    <m/>
    <m/>
    <m/>
    <m/>
    <m/>
    <n v="0"/>
    <m/>
    <m/>
    <n v="0"/>
    <n v="0"/>
    <n v="0"/>
    <n v="178708"/>
    <n v="160837"/>
    <m/>
    <m/>
    <n v="0"/>
    <m/>
    <m/>
    <n v="0"/>
    <m/>
    <m/>
    <m/>
    <m/>
    <m/>
    <m/>
    <n v="178708"/>
    <n v="160837"/>
  </r>
  <r>
    <x v="3"/>
    <x v="39"/>
    <s v="Non need-based"/>
    <m/>
    <m/>
    <x v="12"/>
    <m/>
    <m/>
    <m/>
    <m/>
    <m/>
    <m/>
    <m/>
    <m/>
    <n v="0"/>
    <m/>
    <m/>
    <n v="0"/>
    <n v="0"/>
    <n v="0"/>
    <m/>
    <m/>
    <m/>
    <m/>
    <n v="0"/>
    <m/>
    <m/>
    <n v="0"/>
    <m/>
    <m/>
    <m/>
    <m/>
    <m/>
    <m/>
    <n v="0"/>
    <n v="0"/>
  </r>
  <r>
    <x v="3"/>
    <x v="0"/>
    <s v="Chipola College "/>
    <m/>
    <n v="133021"/>
    <x v="14"/>
    <n v="9630183"/>
    <n v="10947554"/>
    <m/>
    <m/>
    <m/>
    <m/>
    <n v="3540125.5599999991"/>
    <m/>
    <n v="3540125.5599999991"/>
    <n v="3410542"/>
    <m/>
    <n v="3410542"/>
    <n v="13170308.559999999"/>
    <n v="14358096"/>
    <m/>
    <m/>
    <m/>
    <m/>
    <n v="0"/>
    <m/>
    <m/>
    <n v="0"/>
    <m/>
    <m/>
    <m/>
    <m/>
    <m/>
    <m/>
    <n v="13170308.559999999"/>
    <n v="14358096"/>
  </r>
  <r>
    <x v="3"/>
    <x v="0"/>
    <s v="Daytona State College "/>
    <m/>
    <n v="133386"/>
    <x v="14"/>
    <n v="48759287"/>
    <n v="58374712"/>
    <m/>
    <m/>
    <m/>
    <m/>
    <n v="32143619.549999997"/>
    <m/>
    <n v="32143619.549999997"/>
    <n v="28349816"/>
    <m/>
    <n v="28349816"/>
    <n v="80902906.549999997"/>
    <n v="86724528"/>
    <m/>
    <m/>
    <m/>
    <m/>
    <n v="0"/>
    <m/>
    <m/>
    <n v="0"/>
    <m/>
    <m/>
    <m/>
    <m/>
    <m/>
    <m/>
    <n v="80902906.549999997"/>
    <n v="86724528"/>
  </r>
  <r>
    <x v="3"/>
    <x v="0"/>
    <s v="Edison State College "/>
    <m/>
    <n v="133508"/>
    <x v="14"/>
    <n v="25076290"/>
    <n v="25144443"/>
    <m/>
    <m/>
    <m/>
    <m/>
    <n v="29033405.510000005"/>
    <m/>
    <n v="29033405.510000005"/>
    <n v="25980764"/>
    <m/>
    <n v="25980764"/>
    <n v="54109695.510000005"/>
    <n v="51125207"/>
    <m/>
    <m/>
    <m/>
    <m/>
    <n v="0"/>
    <m/>
    <m/>
    <n v="0"/>
    <m/>
    <m/>
    <m/>
    <m/>
    <m/>
    <m/>
    <n v="54109695.510000005"/>
    <n v="51125207"/>
  </r>
  <r>
    <x v="3"/>
    <x v="0"/>
    <s v="Florida State College at Jacksonville"/>
    <m/>
    <n v="133702"/>
    <x v="14"/>
    <n v="73756443"/>
    <n v="73722608"/>
    <m/>
    <m/>
    <m/>
    <m/>
    <n v="58866527.360000014"/>
    <m/>
    <n v="58866527.360000014"/>
    <n v="54737765"/>
    <m/>
    <n v="54737765"/>
    <n v="132622970.36000001"/>
    <n v="128460373"/>
    <m/>
    <m/>
    <m/>
    <m/>
    <n v="0"/>
    <m/>
    <m/>
    <n v="0"/>
    <m/>
    <m/>
    <m/>
    <m/>
    <m/>
    <m/>
    <n v="132622970.36000001"/>
    <n v="128460373"/>
  </r>
  <r>
    <x v="3"/>
    <x v="0"/>
    <s v="Indian River State College "/>
    <m/>
    <n v="134608"/>
    <x v="14"/>
    <n v="43771529"/>
    <n v="44177840"/>
    <m/>
    <m/>
    <m/>
    <m/>
    <n v="28504155.500000007"/>
    <m/>
    <n v="28504155.500000007"/>
    <n v="29456824"/>
    <m/>
    <n v="29456824"/>
    <n v="72275684.5"/>
    <n v="73634664"/>
    <m/>
    <m/>
    <m/>
    <m/>
    <n v="0"/>
    <m/>
    <m/>
    <n v="0"/>
    <m/>
    <m/>
    <m/>
    <m/>
    <m/>
    <m/>
    <n v="72275684.5"/>
    <n v="73634664"/>
  </r>
  <r>
    <x v="3"/>
    <x v="0"/>
    <s v="Miami Dade College "/>
    <m/>
    <n v="135717"/>
    <x v="14"/>
    <n v="164082616"/>
    <n v="166268487"/>
    <m/>
    <m/>
    <m/>
    <m/>
    <n v="146246877.29999998"/>
    <m/>
    <n v="146246877.29999998"/>
    <n v="152600745"/>
    <m/>
    <n v="152600745"/>
    <n v="310329493.29999995"/>
    <n v="318869232"/>
    <m/>
    <m/>
    <m/>
    <m/>
    <n v="0"/>
    <m/>
    <m/>
    <n v="0"/>
    <m/>
    <m/>
    <m/>
    <m/>
    <m/>
    <m/>
    <n v="310329493.29999995"/>
    <n v="318869232"/>
  </r>
  <r>
    <x v="3"/>
    <x v="0"/>
    <s v="Northwest Florida State College"/>
    <m/>
    <n v="136233"/>
    <x v="14"/>
    <n v="17648593"/>
    <n v="18216303"/>
    <m/>
    <m/>
    <m/>
    <m/>
    <n v="12605924.270000001"/>
    <m/>
    <n v="12605924.270000001"/>
    <n v="12421689"/>
    <m/>
    <n v="12421689"/>
    <n v="30254517.270000003"/>
    <n v="30637992"/>
    <m/>
    <m/>
    <m/>
    <m/>
    <n v="0"/>
    <m/>
    <m/>
    <n v="0"/>
    <m/>
    <m/>
    <m/>
    <m/>
    <m/>
    <m/>
    <n v="30254517.270000003"/>
    <n v="30637992"/>
  </r>
  <r>
    <x v="3"/>
    <x v="0"/>
    <s v="St. Petersburg College "/>
    <m/>
    <n v="137078"/>
    <x v="14"/>
    <n v="62461446"/>
    <n v="63234353"/>
    <m/>
    <m/>
    <m/>
    <m/>
    <n v="58571549.850000001"/>
    <m/>
    <n v="58571549.850000001"/>
    <n v="56870943"/>
    <m/>
    <n v="56870943"/>
    <n v="121032995.84999999"/>
    <n v="120105296"/>
    <m/>
    <m/>
    <m/>
    <m/>
    <n v="0"/>
    <m/>
    <m/>
    <n v="0"/>
    <m/>
    <m/>
    <m/>
    <m/>
    <m/>
    <m/>
    <n v="121032995.84999999"/>
    <n v="120105296"/>
  </r>
  <r>
    <x v="3"/>
    <x v="0"/>
    <s v="Brevard Community College "/>
    <m/>
    <n v="132693"/>
    <x v="6"/>
    <n v="36241664"/>
    <n v="43456704"/>
    <m/>
    <m/>
    <m/>
    <m/>
    <n v="27249796.52"/>
    <m/>
    <n v="27249796.52"/>
    <n v="26976606"/>
    <m/>
    <n v="26976606"/>
    <n v="63491460.519999996"/>
    <n v="70433310"/>
    <m/>
    <m/>
    <m/>
    <m/>
    <n v="0"/>
    <m/>
    <m/>
    <n v="0"/>
    <m/>
    <m/>
    <m/>
    <m/>
    <m/>
    <m/>
    <n v="63491460.519999996"/>
    <n v="70433310"/>
  </r>
  <r>
    <x v="3"/>
    <x v="0"/>
    <s v="Broward College "/>
    <s v="Met the criteria for Two-Year with Bachelor's in 2011-12 and 2012-13."/>
    <n v="132709"/>
    <x v="6"/>
    <n v="69960622"/>
    <n v="71006946"/>
    <m/>
    <m/>
    <m/>
    <m/>
    <n v="77850681.170000002"/>
    <m/>
    <n v="77850681.170000002"/>
    <n v="74728669"/>
    <m/>
    <n v="74728669"/>
    <n v="147811303.17000002"/>
    <n v="145735615"/>
    <m/>
    <m/>
    <m/>
    <m/>
    <n v="0"/>
    <m/>
    <m/>
    <n v="0"/>
    <m/>
    <m/>
    <m/>
    <m/>
    <m/>
    <m/>
    <n v="147811303.17000002"/>
    <n v="145735615"/>
  </r>
  <r>
    <x v="3"/>
    <x v="0"/>
    <s v="College of Central Florida"/>
    <m/>
    <n v="132851"/>
    <x v="6"/>
    <n v="19645816"/>
    <n v="19726352"/>
    <m/>
    <m/>
    <m/>
    <m/>
    <n v="16000238.509999998"/>
    <m/>
    <n v="16000238.509999998"/>
    <n v="15507394"/>
    <m/>
    <n v="15507394"/>
    <n v="35646054.509999998"/>
    <n v="35233746"/>
    <m/>
    <m/>
    <m/>
    <m/>
    <n v="0"/>
    <m/>
    <m/>
    <n v="0"/>
    <m/>
    <m/>
    <m/>
    <m/>
    <m/>
    <m/>
    <n v="35646054.509999998"/>
    <n v="35233746"/>
  </r>
  <r>
    <x v="3"/>
    <x v="0"/>
    <s v="Hillsborough Community College "/>
    <m/>
    <n v="134495"/>
    <x v="6"/>
    <n v="48291678"/>
    <n v="48259745"/>
    <m/>
    <m/>
    <m/>
    <m/>
    <n v="54218831.949999996"/>
    <m/>
    <n v="54218831.949999996"/>
    <n v="51452590"/>
    <m/>
    <n v="51452590"/>
    <n v="102510509.94999999"/>
    <n v="99712335"/>
    <m/>
    <m/>
    <m/>
    <m/>
    <n v="0"/>
    <m/>
    <m/>
    <n v="0"/>
    <m/>
    <m/>
    <m/>
    <m/>
    <m/>
    <m/>
    <n v="102510509.94999999"/>
    <n v="99712335"/>
  </r>
  <r>
    <x v="3"/>
    <x v="0"/>
    <s v="State College of Florida, Manatee-Sarasota"/>
    <s v="Met the criteria for Two-Year with Bachelor's in 2011-12 and 2012-13."/>
    <n v="136358"/>
    <x v="6"/>
    <n v="21437541"/>
    <n v="21420707"/>
    <m/>
    <m/>
    <m/>
    <m/>
    <n v="21030549.050000001"/>
    <m/>
    <n v="21030549.050000001"/>
    <n v="20498752"/>
    <m/>
    <n v="20498752"/>
    <n v="42468090.049999997"/>
    <n v="41919459"/>
    <m/>
    <m/>
    <m/>
    <m/>
    <n v="0"/>
    <m/>
    <m/>
    <n v="0"/>
    <m/>
    <m/>
    <m/>
    <m/>
    <m/>
    <m/>
    <n v="42468090.049999997"/>
    <n v="41919459"/>
  </r>
  <r>
    <x v="3"/>
    <x v="0"/>
    <s v="Palm Beach State College "/>
    <m/>
    <n v="136400"/>
    <x v="6"/>
    <n v="50340614"/>
    <n v="50996885"/>
    <m/>
    <m/>
    <m/>
    <m/>
    <n v="51202988.890000001"/>
    <m/>
    <n v="51202988.890000001"/>
    <n v="50636787"/>
    <m/>
    <n v="50636787"/>
    <n v="101543602.89"/>
    <n v="101633672"/>
    <m/>
    <m/>
    <m/>
    <m/>
    <n v="0"/>
    <m/>
    <m/>
    <n v="0"/>
    <m/>
    <m/>
    <m/>
    <m/>
    <m/>
    <m/>
    <n v="101543602.89"/>
    <n v="101633672"/>
  </r>
  <r>
    <x v="3"/>
    <x v="0"/>
    <s v="Pasco-Hernando Community College "/>
    <s v="Met the criteria for Two-Year with Bachelor's in 2012-13."/>
    <n v="136473"/>
    <x v="6"/>
    <n v="19482824"/>
    <n v="19523024"/>
    <m/>
    <m/>
    <m/>
    <m/>
    <n v="16190952.920000002"/>
    <m/>
    <n v="16190952.920000002"/>
    <n v="15322778"/>
    <m/>
    <n v="15322778"/>
    <n v="35673776.920000002"/>
    <n v="34845802"/>
    <m/>
    <m/>
    <m/>
    <m/>
    <n v="0"/>
    <m/>
    <m/>
    <n v="0"/>
    <m/>
    <m/>
    <m/>
    <m/>
    <m/>
    <m/>
    <n v="35673776.920000002"/>
    <n v="34845802"/>
  </r>
  <r>
    <x v="3"/>
    <x v="0"/>
    <s v="Pensacola State College "/>
    <s v="Met the criteria for Two-Year with Bachelor's in 2011-12 and 2012-13."/>
    <n v="136516"/>
    <x v="6"/>
    <n v="33031989"/>
    <n v="33239464"/>
    <m/>
    <m/>
    <m/>
    <m/>
    <n v="19623199.859999996"/>
    <m/>
    <n v="19623199.859999996"/>
    <n v="20062747"/>
    <m/>
    <n v="20062747"/>
    <n v="52655188.859999999"/>
    <n v="53302211"/>
    <m/>
    <m/>
    <m/>
    <m/>
    <n v="0"/>
    <m/>
    <m/>
    <n v="0"/>
    <m/>
    <m/>
    <m/>
    <m/>
    <m/>
    <m/>
    <n v="52655188.859999999"/>
    <n v="53302211"/>
  </r>
  <r>
    <x v="3"/>
    <x v="0"/>
    <s v="Polk State College "/>
    <s v="Met the criteria for Two-Year with Bachelor's in 2012-13."/>
    <n v="137096"/>
    <x v="6"/>
    <n v="24559666"/>
    <n v="27551462"/>
    <m/>
    <m/>
    <m/>
    <m/>
    <n v="17748222.98"/>
    <m/>
    <n v="17748222.98"/>
    <n v="18730169"/>
    <m/>
    <n v="18730169"/>
    <n v="42307888.980000004"/>
    <n v="46281631"/>
    <m/>
    <m/>
    <m/>
    <m/>
    <n v="0"/>
    <m/>
    <m/>
    <n v="0"/>
    <m/>
    <m/>
    <m/>
    <m/>
    <m/>
    <m/>
    <n v="42307888.980000004"/>
    <n v="46281631"/>
  </r>
  <r>
    <x v="3"/>
    <x v="0"/>
    <s v="Santa Fe College "/>
    <s v="Met the criteria for Two-Year with Bachelor's in 2012-13."/>
    <n v="137209"/>
    <x v="6"/>
    <n v="33960514"/>
    <n v="34154347"/>
    <m/>
    <m/>
    <m/>
    <m/>
    <n v="32233245.73"/>
    <m/>
    <n v="32233245.73"/>
    <n v="30513303"/>
    <m/>
    <n v="30513303"/>
    <n v="66193759.730000004"/>
    <n v="64667650"/>
    <m/>
    <m/>
    <m/>
    <m/>
    <n v="0"/>
    <m/>
    <m/>
    <n v="0"/>
    <m/>
    <m/>
    <m/>
    <m/>
    <m/>
    <m/>
    <n v="66193759.730000004"/>
    <n v="64667650"/>
  </r>
  <r>
    <x v="3"/>
    <x v="0"/>
    <s v="Seminole State College of Florida"/>
    <s v="Met the criteria for Two-Year with Bachelor's in 2011-12 and 2012-13."/>
    <n v="135391"/>
    <x v="6"/>
    <n v="35656276"/>
    <n v="37140315"/>
    <m/>
    <m/>
    <m/>
    <m/>
    <n v="37554913.850000001"/>
    <m/>
    <n v="37554913.850000001"/>
    <n v="36215337"/>
    <m/>
    <n v="36215337"/>
    <n v="73211189.849999994"/>
    <n v="73355652"/>
    <m/>
    <m/>
    <m/>
    <m/>
    <n v="0"/>
    <m/>
    <m/>
    <n v="0"/>
    <m/>
    <m/>
    <m/>
    <m/>
    <m/>
    <m/>
    <n v="73211189.849999994"/>
    <n v="73355652"/>
  </r>
  <r>
    <x v="3"/>
    <x v="0"/>
    <s v="Tallahassee Community College "/>
    <m/>
    <n v="137759"/>
    <x v="6"/>
    <n v="28076842"/>
    <n v="28120971"/>
    <m/>
    <m/>
    <m/>
    <m/>
    <n v="31425481.189999998"/>
    <m/>
    <n v="31425481.189999998"/>
    <n v="28592596"/>
    <m/>
    <n v="28592596"/>
    <n v="59502323.189999998"/>
    <n v="56713567"/>
    <m/>
    <m/>
    <m/>
    <m/>
    <n v="0"/>
    <m/>
    <m/>
    <n v="0"/>
    <m/>
    <m/>
    <m/>
    <m/>
    <m/>
    <m/>
    <n v="59502323.189999998"/>
    <n v="56713567"/>
  </r>
  <r>
    <x v="3"/>
    <x v="0"/>
    <s v="Valencia Community College "/>
    <m/>
    <n v="138187"/>
    <x v="6"/>
    <n v="60586013"/>
    <n v="68997892"/>
    <m/>
    <m/>
    <m/>
    <m/>
    <n v="79593208.140000015"/>
    <m/>
    <n v="79593208.140000015"/>
    <n v="79769443"/>
    <m/>
    <n v="79769443"/>
    <n v="140179221.14000002"/>
    <n v="148767335"/>
    <m/>
    <m/>
    <m/>
    <m/>
    <n v="0"/>
    <m/>
    <m/>
    <n v="0"/>
    <m/>
    <m/>
    <m/>
    <m/>
    <m/>
    <m/>
    <n v="140179221.14000002"/>
    <n v="148767335"/>
  </r>
  <r>
    <x v="3"/>
    <x v="0"/>
    <s v="Gulf Coast Community College "/>
    <m/>
    <n v="135160"/>
    <x v="7"/>
    <n v="17554669"/>
    <n v="21221035"/>
    <m/>
    <m/>
    <m/>
    <m/>
    <n v="10264189.479999999"/>
    <m/>
    <n v="10264189.479999999"/>
    <n v="9497757"/>
    <m/>
    <n v="9497757"/>
    <n v="27818858.479999997"/>
    <n v="30718792"/>
    <m/>
    <m/>
    <m/>
    <m/>
    <n v="0"/>
    <m/>
    <m/>
    <n v="0"/>
    <m/>
    <m/>
    <m/>
    <m/>
    <m/>
    <m/>
    <n v="27818858.479999997"/>
    <n v="30718792"/>
  </r>
  <r>
    <x v="3"/>
    <x v="0"/>
    <s v="Florida Gateway College"/>
    <s v="Met the criteria for Two-Year with Bachelor's in 2012-13."/>
    <n v="134343"/>
    <x v="7"/>
    <n v="12298829"/>
    <n v="12305029"/>
    <m/>
    <m/>
    <m/>
    <m/>
    <n v="4819578.6100000003"/>
    <m/>
    <n v="4819578.6100000003"/>
    <n v="4458426"/>
    <m/>
    <n v="4458426"/>
    <n v="17118407.609999999"/>
    <n v="16763455"/>
    <m/>
    <m/>
    <m/>
    <m/>
    <n v="0"/>
    <m/>
    <m/>
    <n v="0"/>
    <m/>
    <m/>
    <m/>
    <m/>
    <m/>
    <m/>
    <n v="17118407.609999999"/>
    <n v="16763455"/>
  </r>
  <r>
    <x v="3"/>
    <x v="0"/>
    <s v="Lake-Sumter Community College "/>
    <m/>
    <n v="135188"/>
    <x v="7"/>
    <n v="10786791"/>
    <n v="10932043"/>
    <m/>
    <m/>
    <m/>
    <m/>
    <n v="6900187.9800000004"/>
    <m/>
    <n v="6900187.9800000004"/>
    <n v="6623549"/>
    <m/>
    <n v="6623549"/>
    <n v="17686978.98"/>
    <n v="17555592"/>
    <m/>
    <m/>
    <m/>
    <m/>
    <n v="0"/>
    <m/>
    <m/>
    <n v="0"/>
    <m/>
    <m/>
    <m/>
    <m/>
    <m/>
    <m/>
    <n v="17686978.98"/>
    <n v="17555592"/>
  </r>
  <r>
    <x v="3"/>
    <x v="0"/>
    <s v="St. Johns River Community College "/>
    <m/>
    <n v="137315"/>
    <x v="7"/>
    <n v="16545091"/>
    <n v="16561820"/>
    <m/>
    <m/>
    <m/>
    <m/>
    <n v="11270082"/>
    <m/>
    <n v="11270082"/>
    <n v="10680162"/>
    <m/>
    <n v="10680162"/>
    <n v="27815173"/>
    <n v="27241982"/>
    <m/>
    <m/>
    <m/>
    <m/>
    <n v="0"/>
    <m/>
    <m/>
    <n v="0"/>
    <m/>
    <m/>
    <m/>
    <m/>
    <m/>
    <m/>
    <n v="27815173"/>
    <n v="27241982"/>
  </r>
  <r>
    <x v="3"/>
    <x v="0"/>
    <s v="South Florida Community College "/>
    <s v="Met the criteria for Two-Year with Bachelor's in 2011-12 and 2012-13."/>
    <n v="137281"/>
    <x v="7"/>
    <n v="15119308"/>
    <n v="15152285"/>
    <m/>
    <m/>
    <m/>
    <m/>
    <n v="3955891.0899999994"/>
    <m/>
    <n v="3955891.0899999994"/>
    <n v="3917638"/>
    <m/>
    <n v="3917638"/>
    <n v="19075199.09"/>
    <n v="19069923"/>
    <m/>
    <m/>
    <m/>
    <m/>
    <n v="0"/>
    <m/>
    <m/>
    <n v="0"/>
    <m/>
    <m/>
    <m/>
    <m/>
    <m/>
    <m/>
    <n v="19075199.09"/>
    <n v="19069923"/>
  </r>
  <r>
    <x v="3"/>
    <x v="0"/>
    <s v="Florida Keys Community College "/>
    <m/>
    <n v="133960"/>
    <x v="8"/>
    <n v="5778779"/>
    <n v="5780527"/>
    <m/>
    <m/>
    <m/>
    <m/>
    <n v="2604491.96"/>
    <m/>
    <n v="2604491.96"/>
    <n v="2557346"/>
    <m/>
    <n v="2557346"/>
    <n v="8383270.96"/>
    <n v="8337873"/>
    <m/>
    <m/>
    <m/>
    <m/>
    <n v="0"/>
    <m/>
    <m/>
    <n v="0"/>
    <m/>
    <m/>
    <m/>
    <m/>
    <m/>
    <m/>
    <n v="8383270.96"/>
    <n v="8337873"/>
  </r>
  <r>
    <x v="3"/>
    <x v="0"/>
    <s v="North Florida Community College "/>
    <m/>
    <n v="136145"/>
    <x v="8"/>
    <n v="6132612"/>
    <n v="6156421"/>
    <m/>
    <m/>
    <m/>
    <m/>
    <n v="1905998.2400000002"/>
    <m/>
    <n v="1905998.2400000002"/>
    <n v="1926709"/>
    <m/>
    <n v="1926709"/>
    <n v="8038610.2400000002"/>
    <n v="8083130"/>
    <m/>
    <m/>
    <m/>
    <m/>
    <n v="0"/>
    <m/>
    <m/>
    <n v="0"/>
    <m/>
    <m/>
    <m/>
    <m/>
    <m/>
    <m/>
    <n v="8038610.2400000002"/>
    <n v="8083130"/>
  </r>
  <r>
    <x v="3"/>
    <x v="14"/>
    <s v="Statewide System Operations"/>
    <m/>
    <m/>
    <x v="12"/>
    <m/>
    <m/>
    <m/>
    <m/>
    <m/>
    <m/>
    <m/>
    <m/>
    <n v="0"/>
    <m/>
    <m/>
    <n v="0"/>
    <n v="0"/>
    <n v="0"/>
    <m/>
    <m/>
    <m/>
    <m/>
    <n v="0"/>
    <m/>
    <m/>
    <n v="0"/>
    <m/>
    <m/>
    <m/>
    <m/>
    <m/>
    <m/>
    <n v="0"/>
    <n v="0"/>
  </r>
  <r>
    <x v="3"/>
    <x v="16"/>
    <s v="Division of Florida Colleges Central Office "/>
    <m/>
    <m/>
    <x v="12"/>
    <m/>
    <m/>
    <m/>
    <m/>
    <m/>
    <m/>
    <m/>
    <m/>
    <n v="0"/>
    <m/>
    <m/>
    <n v="0"/>
    <n v="0"/>
    <n v="0"/>
    <n v="2212317"/>
    <n v="1621007.0699999996"/>
    <m/>
    <m/>
    <n v="0"/>
    <m/>
    <m/>
    <n v="0"/>
    <m/>
    <m/>
    <m/>
    <m/>
    <m/>
    <m/>
    <n v="2212317"/>
    <n v="1621007.0699999996"/>
  </r>
  <r>
    <x v="4"/>
    <x v="0"/>
    <s v="Georgia State University "/>
    <m/>
    <n v="139940"/>
    <x v="0"/>
    <n v="165058638"/>
    <n v="176080213"/>
    <m/>
    <m/>
    <m/>
    <m/>
    <n v="239462215"/>
    <m/>
    <n v="239462215"/>
    <n v="244981169"/>
    <m/>
    <n v="244981169"/>
    <n v="404520853"/>
    <n v="421061382"/>
    <m/>
    <m/>
    <m/>
    <m/>
    <n v="0"/>
    <m/>
    <m/>
    <n v="0"/>
    <m/>
    <m/>
    <m/>
    <m/>
    <m/>
    <m/>
    <n v="404520853"/>
    <n v="421061382"/>
  </r>
  <r>
    <x v="4"/>
    <x v="0"/>
    <s v="University of Georgia"/>
    <m/>
    <n v="139959"/>
    <x v="0"/>
    <n v="281128761"/>
    <n v="277759311"/>
    <m/>
    <m/>
    <m/>
    <m/>
    <n v="314170032"/>
    <m/>
    <n v="314170032"/>
    <n v="343413098"/>
    <m/>
    <n v="343413098"/>
    <n v="595298793"/>
    <n v="621172409"/>
    <m/>
    <m/>
    <m/>
    <m/>
    <n v="0"/>
    <m/>
    <m/>
    <n v="0"/>
    <m/>
    <m/>
    <m/>
    <m/>
    <m/>
    <m/>
    <n v="595298793"/>
    <n v="621172409"/>
  </r>
  <r>
    <x v="4"/>
    <x v="1"/>
    <s v="Heatlh Professions Education"/>
    <m/>
    <n v="139959"/>
    <x v="0"/>
    <m/>
    <m/>
    <m/>
    <m/>
    <m/>
    <m/>
    <m/>
    <m/>
    <n v="0"/>
    <m/>
    <m/>
    <n v="0"/>
    <n v="0"/>
    <n v="0"/>
    <m/>
    <m/>
    <m/>
    <m/>
    <n v="0"/>
    <m/>
    <m/>
    <n v="0"/>
    <m/>
    <m/>
    <m/>
    <m/>
    <m/>
    <m/>
    <n v="0"/>
    <n v="0"/>
  </r>
  <r>
    <x v="4"/>
    <x v="1"/>
    <s v="College of Veterinary Medicine"/>
    <m/>
    <n v="139959"/>
    <x v="0"/>
    <m/>
    <m/>
    <m/>
    <m/>
    <m/>
    <m/>
    <m/>
    <m/>
    <n v="0"/>
    <m/>
    <m/>
    <n v="0"/>
    <n v="0"/>
    <n v="0"/>
    <m/>
    <m/>
    <m/>
    <m/>
    <n v="0"/>
    <m/>
    <m/>
    <n v="0"/>
    <n v="12782480"/>
    <n v="13056883"/>
    <n v="6604500"/>
    <m/>
    <n v="6810336"/>
    <m/>
    <n v="19386980"/>
    <n v="19867219"/>
  </r>
  <r>
    <x v="4"/>
    <x v="1"/>
    <s v="Vet Med Teaching Hospital"/>
    <m/>
    <n v="139959"/>
    <x v="0"/>
    <m/>
    <m/>
    <m/>
    <m/>
    <m/>
    <m/>
    <m/>
    <m/>
    <n v="0"/>
    <m/>
    <m/>
    <n v="0"/>
    <n v="0"/>
    <n v="0"/>
    <m/>
    <m/>
    <m/>
    <m/>
    <n v="0"/>
    <m/>
    <m/>
    <n v="0"/>
    <n v="425099"/>
    <n v="416168"/>
    <m/>
    <m/>
    <m/>
    <m/>
    <n v="425099"/>
    <n v="416168"/>
  </r>
  <r>
    <x v="4"/>
    <x v="3"/>
    <s v="Public Service Units"/>
    <m/>
    <n v="139959"/>
    <x v="0"/>
    <m/>
    <m/>
    <m/>
    <m/>
    <m/>
    <m/>
    <m/>
    <m/>
    <n v="0"/>
    <m/>
    <m/>
    <n v="0"/>
    <n v="0"/>
    <n v="0"/>
    <m/>
    <m/>
    <m/>
    <m/>
    <n v="0"/>
    <m/>
    <m/>
    <n v="0"/>
    <m/>
    <m/>
    <m/>
    <m/>
    <m/>
    <m/>
    <n v="0"/>
    <n v="0"/>
  </r>
  <r>
    <x v="4"/>
    <x v="5"/>
    <s v="Ag Cooperative Extension Service"/>
    <m/>
    <n v="139959"/>
    <x v="0"/>
    <m/>
    <m/>
    <n v="28226579"/>
    <n v="28583815"/>
    <m/>
    <m/>
    <m/>
    <m/>
    <n v="0"/>
    <m/>
    <m/>
    <n v="0"/>
    <n v="28226579"/>
    <n v="28583815"/>
    <m/>
    <m/>
    <m/>
    <m/>
    <n v="0"/>
    <m/>
    <m/>
    <n v="0"/>
    <m/>
    <m/>
    <m/>
    <m/>
    <m/>
    <m/>
    <n v="28226579"/>
    <n v="28583815"/>
  </r>
  <r>
    <x v="4"/>
    <x v="6"/>
    <s v="Ag Experiment Stations"/>
    <m/>
    <n v="139959"/>
    <x v="0"/>
    <m/>
    <m/>
    <n v="33844114"/>
    <n v="34053795"/>
    <m/>
    <m/>
    <m/>
    <m/>
    <n v="0"/>
    <m/>
    <m/>
    <n v="0"/>
    <n v="33844114"/>
    <n v="34053795"/>
    <m/>
    <m/>
    <m/>
    <m/>
    <n v="0"/>
    <m/>
    <m/>
    <n v="0"/>
    <m/>
    <m/>
    <m/>
    <m/>
    <m/>
    <m/>
    <n v="33844114"/>
    <n v="34053795"/>
  </r>
  <r>
    <x v="4"/>
    <x v="7"/>
    <s v="Research Units"/>
    <m/>
    <n v="139959"/>
    <x v="0"/>
    <m/>
    <m/>
    <m/>
    <m/>
    <m/>
    <m/>
    <m/>
    <m/>
    <n v="0"/>
    <m/>
    <m/>
    <n v="0"/>
    <n v="0"/>
    <n v="0"/>
    <m/>
    <m/>
    <m/>
    <m/>
    <n v="0"/>
    <m/>
    <m/>
    <n v="0"/>
    <m/>
    <m/>
    <m/>
    <m/>
    <m/>
    <m/>
    <n v="0"/>
    <n v="0"/>
  </r>
  <r>
    <x v="4"/>
    <x v="7"/>
    <s v="Marine Extension Service"/>
    <m/>
    <n v="139959"/>
    <x v="0"/>
    <m/>
    <m/>
    <n v="1180737"/>
    <n v="1163147"/>
    <m/>
    <m/>
    <m/>
    <m/>
    <n v="0"/>
    <m/>
    <m/>
    <n v="0"/>
    <n v="1180737"/>
    <n v="1163147"/>
    <m/>
    <m/>
    <m/>
    <m/>
    <n v="0"/>
    <m/>
    <m/>
    <n v="0"/>
    <m/>
    <m/>
    <m/>
    <m/>
    <m/>
    <m/>
    <n v="1180737"/>
    <n v="1163147"/>
  </r>
  <r>
    <x v="4"/>
    <x v="7"/>
    <s v="Vet Med Exp Station"/>
    <m/>
    <n v="139959"/>
    <x v="0"/>
    <m/>
    <m/>
    <n v="2519490"/>
    <n v="2470069"/>
    <m/>
    <m/>
    <m/>
    <m/>
    <n v="0"/>
    <m/>
    <m/>
    <n v="0"/>
    <n v="2519490"/>
    <n v="2470069"/>
    <m/>
    <m/>
    <m/>
    <m/>
    <n v="0"/>
    <m/>
    <m/>
    <n v="0"/>
    <m/>
    <m/>
    <m/>
    <m/>
    <m/>
    <m/>
    <n v="2519490"/>
    <n v="2470069"/>
  </r>
  <r>
    <x v="4"/>
    <x v="7"/>
    <s v="Marine Institute"/>
    <m/>
    <n v="139959"/>
    <x v="0"/>
    <m/>
    <m/>
    <n v="704136"/>
    <n v="707566"/>
    <m/>
    <m/>
    <m/>
    <m/>
    <n v="0"/>
    <m/>
    <m/>
    <n v="0"/>
    <n v="704136"/>
    <n v="707566"/>
    <m/>
    <m/>
    <m/>
    <m/>
    <n v="0"/>
    <m/>
    <m/>
    <n v="0"/>
    <m/>
    <m/>
    <m/>
    <m/>
    <m/>
    <m/>
    <n v="704136"/>
    <n v="707566"/>
  </r>
  <r>
    <x v="4"/>
    <x v="7"/>
    <s v="Forest Research"/>
    <m/>
    <n v="139959"/>
    <x v="0"/>
    <m/>
    <m/>
    <n v="3020803"/>
    <n v="2990232"/>
    <m/>
    <m/>
    <m/>
    <m/>
    <n v="0"/>
    <m/>
    <m/>
    <n v="0"/>
    <n v="3020803"/>
    <n v="2990232"/>
    <m/>
    <m/>
    <m/>
    <m/>
    <n v="0"/>
    <m/>
    <m/>
    <n v="0"/>
    <m/>
    <m/>
    <m/>
    <m/>
    <m/>
    <m/>
    <n v="3020803"/>
    <n v="2990232"/>
  </r>
  <r>
    <x v="4"/>
    <x v="0"/>
    <s v="Georgia Institute of Technology"/>
    <m/>
    <n v="139755"/>
    <x v="1"/>
    <n v="193661405"/>
    <n v="194313067"/>
    <m/>
    <m/>
    <m/>
    <m/>
    <n v="275945288"/>
    <m/>
    <n v="275945288"/>
    <n v="313900000"/>
    <m/>
    <n v="313900000"/>
    <n v="469606693"/>
    <n v="508213067"/>
    <m/>
    <m/>
    <m/>
    <m/>
    <n v="0"/>
    <m/>
    <m/>
    <n v="0"/>
    <m/>
    <m/>
    <m/>
    <m/>
    <m/>
    <m/>
    <n v="469606693"/>
    <n v="508213067"/>
  </r>
  <r>
    <x v="4"/>
    <x v="3"/>
    <s v="Public Service Units"/>
    <m/>
    <n v="139755"/>
    <x v="1"/>
    <m/>
    <m/>
    <m/>
    <m/>
    <m/>
    <m/>
    <m/>
    <m/>
    <n v="0"/>
    <m/>
    <m/>
    <n v="0"/>
    <n v="0"/>
    <n v="0"/>
    <m/>
    <m/>
    <m/>
    <m/>
    <n v="0"/>
    <m/>
    <m/>
    <n v="0"/>
    <m/>
    <m/>
    <m/>
    <m/>
    <m/>
    <m/>
    <n v="0"/>
    <n v="0"/>
  </r>
  <r>
    <x v="4"/>
    <x v="3"/>
    <s v="Advanced Technology Development Center"/>
    <m/>
    <n v="139755"/>
    <x v="1"/>
    <m/>
    <m/>
    <n v="7333901"/>
    <n v="7154177"/>
    <m/>
    <m/>
    <m/>
    <m/>
    <n v="0"/>
    <m/>
    <m/>
    <n v="0"/>
    <n v="7333901"/>
    <n v="7154177"/>
    <m/>
    <m/>
    <m/>
    <m/>
    <n v="0"/>
    <m/>
    <m/>
    <n v="0"/>
    <m/>
    <m/>
    <m/>
    <m/>
    <m/>
    <m/>
    <n v="7333901"/>
    <n v="7154177"/>
  </r>
  <r>
    <x v="4"/>
    <x v="7"/>
    <s v="Research Units"/>
    <m/>
    <n v="139755"/>
    <x v="1"/>
    <m/>
    <m/>
    <m/>
    <m/>
    <m/>
    <m/>
    <m/>
    <m/>
    <n v="0"/>
    <m/>
    <m/>
    <n v="0"/>
    <n v="0"/>
    <n v="0"/>
    <m/>
    <m/>
    <m/>
    <m/>
    <n v="0"/>
    <m/>
    <m/>
    <n v="0"/>
    <m/>
    <m/>
    <m/>
    <m/>
    <m/>
    <m/>
    <n v="0"/>
    <n v="0"/>
  </r>
  <r>
    <x v="4"/>
    <x v="43"/>
    <s v="Eng Experiment Station (Ga. Tech. Resch Inst.)"/>
    <m/>
    <n v="139755"/>
    <x v="1"/>
    <m/>
    <m/>
    <n v="5607909"/>
    <n v="5569382"/>
    <m/>
    <m/>
    <m/>
    <m/>
    <n v="0"/>
    <m/>
    <m/>
    <n v="0"/>
    <n v="5607909"/>
    <n v="5569382"/>
    <m/>
    <m/>
    <m/>
    <m/>
    <n v="0"/>
    <m/>
    <m/>
    <n v="0"/>
    <m/>
    <m/>
    <m/>
    <m/>
    <m/>
    <m/>
    <n v="5607909"/>
    <n v="5569382"/>
  </r>
  <r>
    <x v="4"/>
    <x v="0"/>
    <s v="Georgia Southern University"/>
    <m/>
    <n v="139931"/>
    <x v="2"/>
    <n v="72870222"/>
    <n v="76205063"/>
    <m/>
    <m/>
    <m/>
    <m/>
    <n v="103757030"/>
    <m/>
    <n v="103757030"/>
    <n v="116800684"/>
    <m/>
    <n v="116800684"/>
    <n v="176627252"/>
    <n v="193005747"/>
    <m/>
    <m/>
    <m/>
    <m/>
    <n v="0"/>
    <m/>
    <m/>
    <n v="0"/>
    <m/>
    <m/>
    <m/>
    <m/>
    <m/>
    <m/>
    <n v="176627252"/>
    <n v="193005747"/>
  </r>
  <r>
    <x v="4"/>
    <x v="0"/>
    <s v="University of West Georgia"/>
    <m/>
    <n v="141334"/>
    <x v="2"/>
    <n v="38153243"/>
    <n v="44558082"/>
    <m/>
    <m/>
    <m/>
    <m/>
    <n v="59715044"/>
    <m/>
    <n v="59715044"/>
    <n v="63921592"/>
    <m/>
    <n v="63921592"/>
    <n v="97868287"/>
    <n v="108479674"/>
    <m/>
    <m/>
    <m/>
    <m/>
    <n v="0"/>
    <m/>
    <m/>
    <n v="0"/>
    <m/>
    <m/>
    <m/>
    <m/>
    <m/>
    <m/>
    <n v="97868287"/>
    <n v="108479674"/>
  </r>
  <r>
    <x v="4"/>
    <x v="0"/>
    <s v="Valdosta State University"/>
    <m/>
    <n v="141264"/>
    <x v="2"/>
    <n v="43612773"/>
    <n v="45016305"/>
    <m/>
    <m/>
    <m/>
    <m/>
    <n v="67364997"/>
    <m/>
    <n v="67364997"/>
    <n v="66446203"/>
    <m/>
    <n v="66446203"/>
    <n v="110977770"/>
    <n v="111462508"/>
    <m/>
    <m/>
    <m/>
    <m/>
    <n v="0"/>
    <m/>
    <m/>
    <n v="0"/>
    <m/>
    <m/>
    <m/>
    <m/>
    <m/>
    <m/>
    <n v="110977770"/>
    <n v="111462508"/>
  </r>
  <r>
    <x v="4"/>
    <x v="0"/>
    <s v="Albany State University "/>
    <m/>
    <n v="138716"/>
    <x v="3"/>
    <n v="17469156"/>
    <n v="19154146"/>
    <m/>
    <m/>
    <m/>
    <m/>
    <n v="22175412"/>
    <m/>
    <n v="22175412"/>
    <n v="21582704"/>
    <m/>
    <n v="21582704"/>
    <n v="39644568"/>
    <n v="40736850"/>
    <m/>
    <m/>
    <m/>
    <m/>
    <n v="0"/>
    <m/>
    <m/>
    <n v="0"/>
    <m/>
    <m/>
    <m/>
    <m/>
    <m/>
    <m/>
    <n v="39644568"/>
    <n v="40736850"/>
  </r>
  <r>
    <x v="4"/>
    <x v="0"/>
    <s v="Armstrong Atlantic State University"/>
    <m/>
    <n v="138789"/>
    <x v="3"/>
    <n v="26051486"/>
    <n v="26682356"/>
    <m/>
    <m/>
    <m/>
    <m/>
    <n v="36620097"/>
    <m/>
    <n v="36620097"/>
    <n v="36429364"/>
    <m/>
    <n v="36429364"/>
    <n v="62671583"/>
    <n v="63111720"/>
    <m/>
    <m/>
    <m/>
    <m/>
    <n v="0"/>
    <m/>
    <m/>
    <n v="0"/>
    <m/>
    <m/>
    <m/>
    <m/>
    <m/>
    <m/>
    <n v="62671583"/>
    <n v="63111720"/>
  </r>
  <r>
    <x v="4"/>
    <x v="0"/>
    <s v="Augusta State University"/>
    <s v="Reclassified: met the criteria for Four-Year 4 in 2010-11, 2011-12, and 2012-13."/>
    <n v="138983"/>
    <x v="3"/>
    <n v="23257122"/>
    <n v="23027222"/>
    <m/>
    <m/>
    <m/>
    <m/>
    <n v="30370912"/>
    <m/>
    <n v="30370912"/>
    <n v="29011748"/>
    <m/>
    <n v="29011748"/>
    <n v="53628034"/>
    <n v="52038970"/>
    <m/>
    <m/>
    <m/>
    <m/>
    <n v="0"/>
    <m/>
    <m/>
    <n v="0"/>
    <m/>
    <m/>
    <m/>
    <m/>
    <m/>
    <m/>
    <n v="53628034"/>
    <n v="52038970"/>
  </r>
  <r>
    <x v="4"/>
    <x v="0"/>
    <s v="Columbus State University"/>
    <m/>
    <n v="139366"/>
    <x v="3"/>
    <n v="30035629"/>
    <n v="30845110"/>
    <m/>
    <m/>
    <m/>
    <m/>
    <n v="43478290"/>
    <m/>
    <n v="43478290"/>
    <n v="41843565"/>
    <m/>
    <n v="41843565"/>
    <n v="73513919"/>
    <n v="72688675"/>
    <m/>
    <m/>
    <m/>
    <m/>
    <n v="0"/>
    <m/>
    <m/>
    <n v="0"/>
    <m/>
    <m/>
    <m/>
    <m/>
    <m/>
    <m/>
    <n v="73513919"/>
    <n v="72688675"/>
  </r>
  <r>
    <x v="4"/>
    <x v="0"/>
    <s v="Georgia College and State University"/>
    <m/>
    <n v="139861"/>
    <x v="3"/>
    <n v="27229253"/>
    <n v="27240350"/>
    <m/>
    <m/>
    <m/>
    <m/>
    <n v="46081629"/>
    <m/>
    <n v="46081629"/>
    <n v="47271105"/>
    <m/>
    <n v="47271105"/>
    <n v="73310882"/>
    <n v="74511455"/>
    <m/>
    <m/>
    <m/>
    <m/>
    <n v="0"/>
    <m/>
    <m/>
    <n v="0"/>
    <m/>
    <m/>
    <m/>
    <m/>
    <m/>
    <m/>
    <n v="73310882"/>
    <n v="74511455"/>
  </r>
  <r>
    <x v="4"/>
    <x v="0"/>
    <s v="Kennesaw State University"/>
    <s v="Met the criteria for Four-Year 3 in 2011-12 and 2012-13."/>
    <n v="140164"/>
    <x v="3"/>
    <n v="73079254"/>
    <n v="75897167"/>
    <m/>
    <m/>
    <m/>
    <m/>
    <n v="132151402"/>
    <m/>
    <n v="132151402"/>
    <n v="133826316"/>
    <m/>
    <n v="133826316"/>
    <n v="205230656"/>
    <n v="209723483"/>
    <m/>
    <m/>
    <m/>
    <m/>
    <n v="0"/>
    <m/>
    <m/>
    <n v="0"/>
    <m/>
    <m/>
    <m/>
    <m/>
    <m/>
    <m/>
    <n v="205230656"/>
    <n v="209723483"/>
  </r>
  <r>
    <x v="4"/>
    <x v="0"/>
    <s v="North Georgia College and State University"/>
    <s v="Reclassified: met the criteria for Four-Year 4 in 2010-11, 2011-12, and 2012-13."/>
    <n v="140669"/>
    <x v="3"/>
    <n v="20639078"/>
    <n v="21569437"/>
    <m/>
    <m/>
    <m/>
    <m/>
    <n v="33870637"/>
    <m/>
    <n v="33870637"/>
    <n v="34906877"/>
    <m/>
    <n v="34906877"/>
    <n v="54509715"/>
    <n v="56476314"/>
    <m/>
    <m/>
    <m/>
    <m/>
    <n v="0"/>
    <m/>
    <m/>
    <n v="0"/>
    <m/>
    <m/>
    <m/>
    <m/>
    <m/>
    <m/>
    <n v="54509715"/>
    <n v="56476314"/>
  </r>
  <r>
    <x v="4"/>
    <x v="0"/>
    <s v="Clayton State University"/>
    <s v="Met the criteria for Four-Year 4 in 2012-13."/>
    <n v="139311"/>
    <x v="4"/>
    <n v="21540947"/>
    <n v="21899158"/>
    <m/>
    <m/>
    <m/>
    <m/>
    <n v="29942382"/>
    <m/>
    <n v="29942382"/>
    <n v="32409471"/>
    <m/>
    <n v="32409471"/>
    <n v="51483329"/>
    <n v="54308629"/>
    <m/>
    <m/>
    <m/>
    <m/>
    <n v="0"/>
    <m/>
    <m/>
    <n v="0"/>
    <m/>
    <m/>
    <m/>
    <m/>
    <m/>
    <m/>
    <n v="51483329"/>
    <n v="54308629"/>
  </r>
  <r>
    <x v="4"/>
    <x v="0"/>
    <s v="Fort Valley State University"/>
    <m/>
    <n v="139719"/>
    <x v="4"/>
    <n v="19915988"/>
    <n v="21800724"/>
    <m/>
    <m/>
    <m/>
    <m/>
    <n v="19261362"/>
    <m/>
    <n v="19261362"/>
    <n v="15290285"/>
    <m/>
    <n v="15290285"/>
    <n v="39177350"/>
    <n v="37091009"/>
    <m/>
    <m/>
    <m/>
    <m/>
    <n v="0"/>
    <m/>
    <m/>
    <n v="0"/>
    <m/>
    <m/>
    <m/>
    <m/>
    <m/>
    <m/>
    <n v="39177350"/>
    <n v="37091009"/>
  </r>
  <r>
    <x v="4"/>
    <x v="0"/>
    <s v="Georgia Southwestern State University"/>
    <m/>
    <n v="139764"/>
    <x v="4"/>
    <n v="10885568"/>
    <n v="11085293"/>
    <m/>
    <m/>
    <m/>
    <m/>
    <n v="18243161"/>
    <m/>
    <n v="18243161"/>
    <n v="13476330"/>
    <m/>
    <n v="13476330"/>
    <n v="29128729"/>
    <n v="24561623"/>
    <m/>
    <m/>
    <m/>
    <m/>
    <n v="0"/>
    <m/>
    <m/>
    <n v="0"/>
    <m/>
    <m/>
    <m/>
    <m/>
    <m/>
    <m/>
    <n v="29128729"/>
    <n v="24561623"/>
  </r>
  <r>
    <x v="4"/>
    <x v="0"/>
    <s v="Savannah State University"/>
    <m/>
    <n v="140960"/>
    <x v="4"/>
    <n v="16765878"/>
    <n v="17273383"/>
    <m/>
    <m/>
    <m/>
    <m/>
    <n v="21197391"/>
    <m/>
    <n v="21197391"/>
    <n v="23165111"/>
    <m/>
    <n v="23165111"/>
    <n v="37963269"/>
    <n v="40438494"/>
    <m/>
    <m/>
    <m/>
    <m/>
    <n v="0"/>
    <m/>
    <m/>
    <n v="0"/>
    <m/>
    <m/>
    <m/>
    <m/>
    <m/>
    <m/>
    <n v="37963269"/>
    <n v="40438494"/>
  </r>
  <r>
    <x v="4"/>
    <x v="9"/>
    <s v="Georgia Gwinnett College"/>
    <m/>
    <n v="447689"/>
    <x v="5"/>
    <n v="32912433"/>
    <n v="34786134"/>
    <m/>
    <m/>
    <m/>
    <m/>
    <n v="28709643"/>
    <m/>
    <n v="28709643"/>
    <n v="34359112"/>
    <m/>
    <n v="34359112"/>
    <n v="61622076"/>
    <n v="69145246"/>
    <m/>
    <m/>
    <m/>
    <m/>
    <n v="0"/>
    <m/>
    <m/>
    <n v="0"/>
    <m/>
    <m/>
    <m/>
    <m/>
    <m/>
    <m/>
    <n v="61622076"/>
    <n v="69145246"/>
  </r>
  <r>
    <x v="4"/>
    <x v="0"/>
    <s v="Macon State College "/>
    <m/>
    <n v="140322"/>
    <x v="5"/>
    <n v="17379780"/>
    <n v="17742324"/>
    <m/>
    <m/>
    <m/>
    <m/>
    <n v="18092760"/>
    <m/>
    <n v="18092760"/>
    <n v="16451619"/>
    <m/>
    <n v="16451619"/>
    <n v="35472540"/>
    <n v="34193943"/>
    <m/>
    <m/>
    <m/>
    <m/>
    <n v="0"/>
    <m/>
    <m/>
    <n v="0"/>
    <m/>
    <m/>
    <m/>
    <m/>
    <m/>
    <m/>
    <n v="35472540"/>
    <n v="34193943"/>
  </r>
  <r>
    <x v="4"/>
    <x v="0"/>
    <s v="Dalton State College "/>
    <s v="Met the criteria for Four-Year 6 in 2011-12 and 2012-13."/>
    <n v="139463"/>
    <x v="14"/>
    <n v="12881146"/>
    <n v="13269964"/>
    <m/>
    <m/>
    <m/>
    <m/>
    <n v="13462075"/>
    <m/>
    <n v="13462075"/>
    <n v="13784628"/>
    <m/>
    <n v="13784628"/>
    <n v="26343221"/>
    <n v="27054592"/>
    <m/>
    <m/>
    <m/>
    <m/>
    <n v="0"/>
    <m/>
    <m/>
    <n v="0"/>
    <m/>
    <m/>
    <m/>
    <m/>
    <m/>
    <m/>
    <n v="26343221"/>
    <n v="27054592"/>
  </r>
  <r>
    <x v="4"/>
    <x v="0"/>
    <s v="Gainesville State College "/>
    <m/>
    <n v="139773"/>
    <x v="14"/>
    <n v="18758683"/>
    <n v="19411063"/>
    <m/>
    <m/>
    <m/>
    <m/>
    <n v="24681289"/>
    <m/>
    <n v="24681289"/>
    <n v="23172230"/>
    <m/>
    <n v="23172230"/>
    <n v="43439972"/>
    <n v="42583293"/>
    <m/>
    <m/>
    <m/>
    <m/>
    <n v="0"/>
    <m/>
    <m/>
    <n v="0"/>
    <m/>
    <m/>
    <m/>
    <m/>
    <m/>
    <m/>
    <n v="43439972"/>
    <n v="42583293"/>
  </r>
  <r>
    <x v="4"/>
    <x v="0"/>
    <s v="Gordon College "/>
    <m/>
    <n v="139968"/>
    <x v="14"/>
    <n v="10142602"/>
    <n v="11376859"/>
    <m/>
    <m/>
    <m/>
    <m/>
    <n v="13169621"/>
    <m/>
    <n v="13169621"/>
    <n v="11377566"/>
    <m/>
    <n v="11377566"/>
    <n v="23312223"/>
    <n v="22754425"/>
    <m/>
    <m/>
    <m/>
    <m/>
    <n v="0"/>
    <m/>
    <m/>
    <n v="0"/>
    <m/>
    <m/>
    <m/>
    <m/>
    <m/>
    <m/>
    <n v="23312223"/>
    <n v="22754425"/>
  </r>
  <r>
    <x v="4"/>
    <x v="0"/>
    <s v="Georgia Perimeter College "/>
    <m/>
    <n v="244437"/>
    <x v="6"/>
    <n v="59821322"/>
    <n v="45018238"/>
    <m/>
    <m/>
    <m/>
    <m/>
    <n v="74083364"/>
    <m/>
    <n v="74083364"/>
    <n v="63274289"/>
    <m/>
    <n v="63274289"/>
    <n v="133904686"/>
    <n v="108292527"/>
    <m/>
    <m/>
    <m/>
    <m/>
    <n v="0"/>
    <m/>
    <m/>
    <n v="0"/>
    <m/>
    <m/>
    <m/>
    <m/>
    <m/>
    <m/>
    <n v="133904686"/>
    <n v="108292527"/>
  </r>
  <r>
    <x v="4"/>
    <x v="0"/>
    <s v="Abraham Baldwin Agricultural College "/>
    <s v="Met the criteria for Two-Year with Bachelor's in 2011-12 and 2012-13. "/>
    <n v="138558"/>
    <x v="7"/>
    <n v="12641924"/>
    <n v="12439122"/>
    <m/>
    <m/>
    <m/>
    <m/>
    <n v="9418552"/>
    <m/>
    <n v="9418552"/>
    <n v="9309859"/>
    <m/>
    <n v="9309859"/>
    <n v="22060476"/>
    <n v="21748981"/>
    <m/>
    <m/>
    <m/>
    <m/>
    <n v="0"/>
    <m/>
    <m/>
    <n v="0"/>
    <m/>
    <m/>
    <m/>
    <m/>
    <m/>
    <m/>
    <n v="22060476"/>
    <n v="21748981"/>
  </r>
  <r>
    <x v="4"/>
    <x v="0"/>
    <s v="Atlanta Metropolitan College"/>
    <m/>
    <n v="138901"/>
    <x v="7"/>
    <n v="7200067"/>
    <n v="8228293"/>
    <m/>
    <m/>
    <m/>
    <m/>
    <n v="7700527"/>
    <m/>
    <n v="7700527"/>
    <n v="8560224"/>
    <m/>
    <n v="8560224"/>
    <n v="14900594"/>
    <n v="16788517"/>
    <m/>
    <m/>
    <m/>
    <m/>
    <n v="0"/>
    <m/>
    <m/>
    <n v="0"/>
    <m/>
    <m/>
    <m/>
    <m/>
    <m/>
    <m/>
    <n v="14900594"/>
    <n v="16788517"/>
  </r>
  <r>
    <x v="4"/>
    <x v="0"/>
    <s v="Bainbridge College "/>
    <m/>
    <n v="139010"/>
    <x v="7"/>
    <n v="8020634"/>
    <n v="8815059"/>
    <m/>
    <m/>
    <m/>
    <m/>
    <n v="11024818"/>
    <m/>
    <n v="11024818"/>
    <n v="8227330"/>
    <m/>
    <n v="8227330"/>
    <n v="19045452"/>
    <n v="17042389"/>
    <m/>
    <m/>
    <m/>
    <m/>
    <n v="0"/>
    <m/>
    <m/>
    <n v="0"/>
    <m/>
    <m/>
    <m/>
    <m/>
    <m/>
    <m/>
    <n v="19045452"/>
    <n v="17042389"/>
  </r>
  <r>
    <x v="4"/>
    <x v="0"/>
    <s v="College of Coastal Georgia"/>
    <s v="Met the criteria for Two-Year with Bachelor's in 2011-12 and 2012-13. "/>
    <n v="139250"/>
    <x v="7"/>
    <n v="12153995"/>
    <n v="12868032"/>
    <m/>
    <m/>
    <m/>
    <m/>
    <n v="9482134"/>
    <m/>
    <n v="9482134"/>
    <n v="9105000"/>
    <m/>
    <n v="9105000"/>
    <n v="21636129"/>
    <n v="21973032"/>
    <m/>
    <m/>
    <m/>
    <m/>
    <n v="0"/>
    <m/>
    <m/>
    <n v="0"/>
    <m/>
    <m/>
    <m/>
    <m/>
    <m/>
    <m/>
    <n v="21636129"/>
    <n v="21973032"/>
  </r>
  <r>
    <x v="4"/>
    <x v="0"/>
    <s v="Darton College "/>
    <m/>
    <n v="138691"/>
    <x v="7"/>
    <n v="13279661"/>
    <n v="14155641"/>
    <m/>
    <m/>
    <m/>
    <m/>
    <n v="16043114"/>
    <m/>
    <n v="16043114"/>
    <n v="15995000"/>
    <m/>
    <n v="15995000"/>
    <n v="29322775"/>
    <n v="30150641"/>
    <m/>
    <m/>
    <m/>
    <m/>
    <n v="0"/>
    <m/>
    <m/>
    <n v="0"/>
    <m/>
    <m/>
    <m/>
    <m/>
    <m/>
    <m/>
    <n v="29322775"/>
    <n v="30150641"/>
  </r>
  <r>
    <x v="4"/>
    <x v="0"/>
    <s v="East Georgia College"/>
    <m/>
    <n v="139621"/>
    <x v="7"/>
    <n v="5868008"/>
    <n v="6487311"/>
    <m/>
    <m/>
    <m/>
    <m/>
    <n v="9245842"/>
    <m/>
    <n v="9245842"/>
    <n v="8160421"/>
    <m/>
    <n v="8160421"/>
    <n v="15113850"/>
    <n v="14647732"/>
    <m/>
    <m/>
    <m/>
    <m/>
    <n v="0"/>
    <m/>
    <m/>
    <n v="0"/>
    <m/>
    <m/>
    <m/>
    <m/>
    <m/>
    <m/>
    <n v="15113850"/>
    <n v="14647732"/>
  </r>
  <r>
    <x v="4"/>
    <x v="0"/>
    <s v="Georgia Highlands College "/>
    <m/>
    <n v="139700"/>
    <x v="7"/>
    <n v="12883159"/>
    <n v="13435434"/>
    <m/>
    <m/>
    <m/>
    <m/>
    <n v="14460032"/>
    <m/>
    <n v="14460032"/>
    <n v="13565110"/>
    <m/>
    <n v="13565110"/>
    <n v="27343191"/>
    <n v="27000544"/>
    <m/>
    <m/>
    <m/>
    <m/>
    <n v="0"/>
    <m/>
    <m/>
    <n v="0"/>
    <m/>
    <m/>
    <m/>
    <m/>
    <m/>
    <m/>
    <n v="27343191"/>
    <n v="27000544"/>
  </r>
  <r>
    <x v="4"/>
    <x v="0"/>
    <s v="Middle Georgia College "/>
    <s v="Met the criteria for Two-Year with Bachelor's in 2011-12 and 2012-13. "/>
    <n v="140483"/>
    <x v="7"/>
    <n v="14530659"/>
    <n v="14633601"/>
    <m/>
    <m/>
    <m/>
    <m/>
    <n v="9591781"/>
    <m/>
    <n v="9591781"/>
    <n v="9475377"/>
    <m/>
    <n v="9475377"/>
    <n v="24122440"/>
    <n v="24108978"/>
    <m/>
    <m/>
    <m/>
    <m/>
    <n v="0"/>
    <m/>
    <m/>
    <n v="0"/>
    <m/>
    <m/>
    <m/>
    <m/>
    <m/>
    <m/>
    <n v="24122440"/>
    <n v="24108978"/>
  </r>
  <r>
    <x v="4"/>
    <x v="0"/>
    <s v="South Georgia College "/>
    <m/>
    <n v="140997"/>
    <x v="8"/>
    <n v="6330350"/>
    <n v="6672445"/>
    <m/>
    <m/>
    <m/>
    <m/>
    <n v="5665754"/>
    <m/>
    <n v="5665754"/>
    <n v="5985930"/>
    <m/>
    <n v="5985930"/>
    <n v="11996104"/>
    <n v="12658375"/>
    <m/>
    <m/>
    <m/>
    <m/>
    <n v="0"/>
    <m/>
    <m/>
    <n v="0"/>
    <m/>
    <m/>
    <m/>
    <m/>
    <m/>
    <m/>
    <n v="11996104"/>
    <n v="12658375"/>
  </r>
  <r>
    <x v="4"/>
    <x v="0"/>
    <s v="Waycross College "/>
    <m/>
    <n v="141307"/>
    <x v="8"/>
    <n v="3350895"/>
    <n v="3463392"/>
    <m/>
    <m/>
    <m/>
    <m/>
    <n v="2537745"/>
    <m/>
    <n v="2537745"/>
    <n v="2017483"/>
    <m/>
    <n v="2017483"/>
    <n v="5888640"/>
    <n v="5480875"/>
    <m/>
    <m/>
    <m/>
    <m/>
    <n v="0"/>
    <m/>
    <m/>
    <n v="0"/>
    <m/>
    <m/>
    <m/>
    <m/>
    <m/>
    <m/>
    <n v="5888640"/>
    <n v="5480875"/>
  </r>
  <r>
    <x v="4"/>
    <x v="41"/>
    <s v="Georgia Health Sciences University "/>
    <m/>
    <n v="140401"/>
    <x v="11"/>
    <m/>
    <m/>
    <m/>
    <m/>
    <m/>
    <m/>
    <m/>
    <m/>
    <n v="0"/>
    <m/>
    <m/>
    <n v="0"/>
    <n v="0"/>
    <n v="0"/>
    <m/>
    <m/>
    <m/>
    <m/>
    <n v="0"/>
    <m/>
    <m/>
    <n v="0"/>
    <n v="129395734"/>
    <n v="139082087"/>
    <n v="45250258"/>
    <m/>
    <n v="45964716"/>
    <m/>
    <n v="174645992"/>
    <n v="185046803"/>
  </r>
  <r>
    <x v="4"/>
    <x v="41"/>
    <s v="Talmadge Memorial Hospital"/>
    <m/>
    <n v="140401"/>
    <x v="11"/>
    <m/>
    <m/>
    <m/>
    <m/>
    <m/>
    <m/>
    <m/>
    <m/>
    <n v="0"/>
    <m/>
    <m/>
    <n v="0"/>
    <n v="0"/>
    <n v="0"/>
    <m/>
    <m/>
    <m/>
    <m/>
    <n v="0"/>
    <m/>
    <m/>
    <n v="0"/>
    <n v="28589189"/>
    <n v="28297463"/>
    <m/>
    <m/>
    <m/>
    <m/>
    <n v="28589189"/>
    <n v="28297463"/>
  </r>
  <r>
    <x v="4"/>
    <x v="9"/>
    <s v="Southern Polytechnic State University"/>
    <m/>
    <n v="141097"/>
    <x v="11"/>
    <m/>
    <m/>
    <m/>
    <m/>
    <m/>
    <m/>
    <m/>
    <m/>
    <n v="0"/>
    <m/>
    <m/>
    <n v="0"/>
    <n v="0"/>
    <n v="0"/>
    <n v="19124425"/>
    <n v="19678891"/>
    <n v="34082390"/>
    <m/>
    <n v="34082390"/>
    <n v="34765683"/>
    <m/>
    <n v="34765683"/>
    <m/>
    <m/>
    <m/>
    <m/>
    <m/>
    <m/>
    <n v="53206815"/>
    <n v="54444574"/>
  </r>
  <r>
    <x v="4"/>
    <x v="10"/>
    <s v="Statewide Special-Purpose Units"/>
    <m/>
    <m/>
    <x v="12"/>
    <m/>
    <m/>
    <m/>
    <m/>
    <m/>
    <m/>
    <m/>
    <m/>
    <n v="0"/>
    <m/>
    <m/>
    <n v="0"/>
    <n v="0"/>
    <n v="0"/>
    <m/>
    <m/>
    <m/>
    <m/>
    <n v="0"/>
    <m/>
    <m/>
    <n v="0"/>
    <m/>
    <m/>
    <m/>
    <m/>
    <m/>
    <m/>
    <n v="0"/>
    <n v="0"/>
  </r>
  <r>
    <x v="4"/>
    <x v="11"/>
    <s v="Research centers/institutes"/>
    <m/>
    <m/>
    <x v="12"/>
    <m/>
    <m/>
    <m/>
    <m/>
    <m/>
    <m/>
    <m/>
    <m/>
    <n v="0"/>
    <m/>
    <m/>
    <n v="0"/>
    <n v="0"/>
    <n v="0"/>
    <m/>
    <m/>
    <m/>
    <m/>
    <n v="0"/>
    <m/>
    <m/>
    <n v="0"/>
    <m/>
    <m/>
    <m/>
    <m/>
    <m/>
    <m/>
    <n v="0"/>
    <n v="0"/>
  </r>
  <r>
    <x v="4"/>
    <x v="11"/>
    <s v="Skidaway Inst of Oceanography"/>
    <m/>
    <m/>
    <x v="12"/>
    <m/>
    <m/>
    <n v="2058862"/>
    <n v="2393134"/>
    <m/>
    <m/>
    <m/>
    <m/>
    <n v="0"/>
    <m/>
    <m/>
    <n v="0"/>
    <n v="2058862"/>
    <n v="2393134"/>
    <m/>
    <m/>
    <m/>
    <m/>
    <n v="0"/>
    <m/>
    <m/>
    <n v="0"/>
    <m/>
    <m/>
    <m/>
    <m/>
    <m/>
    <m/>
    <n v="2058862"/>
    <n v="2393134"/>
  </r>
  <r>
    <x v="4"/>
    <x v="13"/>
    <s v="Education special purpose funds -all other"/>
    <m/>
    <m/>
    <x v="12"/>
    <m/>
    <m/>
    <m/>
    <m/>
    <m/>
    <m/>
    <m/>
    <m/>
    <n v="0"/>
    <m/>
    <m/>
    <n v="0"/>
    <n v="0"/>
    <n v="0"/>
    <m/>
    <m/>
    <m/>
    <m/>
    <n v="0"/>
    <m/>
    <m/>
    <n v="0"/>
    <m/>
    <m/>
    <m/>
    <m/>
    <m/>
    <m/>
    <n v="0"/>
    <n v="0"/>
  </r>
  <r>
    <x v="4"/>
    <x v="13"/>
    <s v="Residence Instruction Reserve"/>
    <m/>
    <m/>
    <x v="12"/>
    <m/>
    <m/>
    <n v="0"/>
    <n v="2534532"/>
    <m/>
    <m/>
    <m/>
    <m/>
    <n v="0"/>
    <m/>
    <m/>
    <n v="0"/>
    <n v="0"/>
    <n v="2534532"/>
    <m/>
    <m/>
    <m/>
    <m/>
    <n v="0"/>
    <m/>
    <m/>
    <n v="0"/>
    <m/>
    <m/>
    <m/>
    <m/>
    <m/>
    <m/>
    <n v="0"/>
    <n v="2534532"/>
  </r>
  <r>
    <x v="4"/>
    <x v="13"/>
    <s v="Office of Information and Instructional Technology"/>
    <m/>
    <m/>
    <x v="12"/>
    <m/>
    <m/>
    <n v="31394701"/>
    <n v="27078727"/>
    <m/>
    <m/>
    <m/>
    <m/>
    <n v="0"/>
    <m/>
    <m/>
    <n v="0"/>
    <n v="31394701"/>
    <n v="27078727"/>
    <m/>
    <m/>
    <m/>
    <m/>
    <n v="0"/>
    <m/>
    <m/>
    <n v="0"/>
    <m/>
    <m/>
    <m/>
    <m/>
    <m/>
    <m/>
    <n v="31394701"/>
    <n v="27078727"/>
  </r>
  <r>
    <x v="4"/>
    <x v="13"/>
    <s v="(SHARED SERVICES) University System Regents"/>
    <m/>
    <m/>
    <x v="12"/>
    <m/>
    <m/>
    <n v="8663347"/>
    <n v="8537120"/>
    <m/>
    <m/>
    <m/>
    <m/>
    <n v="0"/>
    <m/>
    <m/>
    <n v="0"/>
    <n v="8663347"/>
    <n v="8537120"/>
    <m/>
    <m/>
    <m/>
    <m/>
    <n v="0"/>
    <m/>
    <m/>
    <n v="0"/>
    <m/>
    <m/>
    <m/>
    <m/>
    <m/>
    <m/>
    <n v="8663347"/>
    <n v="8537120"/>
  </r>
  <r>
    <x v="4"/>
    <x v="13"/>
    <s v="&quot;RCO A&quot;"/>
    <m/>
    <m/>
    <x v="12"/>
    <m/>
    <m/>
    <n v="8991641"/>
    <n v="15521908"/>
    <m/>
    <m/>
    <m/>
    <m/>
    <n v="0"/>
    <m/>
    <m/>
    <n v="0"/>
    <n v="8991641"/>
    <n v="15521908"/>
    <m/>
    <m/>
    <m/>
    <m/>
    <n v="0"/>
    <m/>
    <m/>
    <n v="0"/>
    <m/>
    <m/>
    <m/>
    <m/>
    <m/>
    <m/>
    <n v="8991641"/>
    <n v="15521908"/>
  </r>
  <r>
    <x v="4"/>
    <x v="14"/>
    <s v="Statewide System Operations"/>
    <m/>
    <m/>
    <x v="12"/>
    <m/>
    <m/>
    <m/>
    <m/>
    <m/>
    <m/>
    <m/>
    <m/>
    <n v="0"/>
    <m/>
    <m/>
    <n v="0"/>
    <n v="0"/>
    <n v="0"/>
    <m/>
    <m/>
    <m/>
    <m/>
    <n v="0"/>
    <m/>
    <m/>
    <n v="0"/>
    <m/>
    <m/>
    <m/>
    <m/>
    <m/>
    <m/>
    <n v="0"/>
    <n v="0"/>
  </r>
  <r>
    <x v="4"/>
    <x v="15"/>
    <s v="Colleges and universities"/>
    <m/>
    <m/>
    <x v="12"/>
    <m/>
    <m/>
    <m/>
    <m/>
    <m/>
    <m/>
    <m/>
    <m/>
    <n v="0"/>
    <m/>
    <m/>
    <n v="0"/>
    <n v="0"/>
    <n v="0"/>
    <m/>
    <m/>
    <m/>
    <m/>
    <n v="0"/>
    <m/>
    <m/>
    <n v="0"/>
    <m/>
    <m/>
    <m/>
    <m/>
    <m/>
    <m/>
    <n v="0"/>
    <n v="0"/>
  </r>
  <r>
    <x v="4"/>
    <x v="15"/>
    <s v="&quot;RCO B&quot;"/>
    <m/>
    <m/>
    <x v="12"/>
    <m/>
    <m/>
    <m/>
    <m/>
    <m/>
    <m/>
    <m/>
    <m/>
    <n v="0"/>
    <m/>
    <m/>
    <n v="0"/>
    <n v="0"/>
    <n v="0"/>
    <n v="4395676"/>
    <n v="6890349"/>
    <m/>
    <m/>
    <n v="0"/>
    <m/>
    <m/>
    <n v="0"/>
    <m/>
    <m/>
    <m/>
    <m/>
    <m/>
    <m/>
    <n v="4395676"/>
    <n v="6890349"/>
  </r>
  <r>
    <x v="4"/>
    <x v="17"/>
    <s v="National or regional associations, compacts or consortia"/>
    <m/>
    <m/>
    <x v="12"/>
    <m/>
    <m/>
    <m/>
    <m/>
    <m/>
    <m/>
    <m/>
    <m/>
    <n v="0"/>
    <m/>
    <m/>
    <n v="0"/>
    <n v="0"/>
    <n v="0"/>
    <m/>
    <m/>
    <m/>
    <m/>
    <n v="0"/>
    <m/>
    <m/>
    <n v="0"/>
    <m/>
    <m/>
    <m/>
    <m/>
    <m/>
    <m/>
    <n v="0"/>
    <n v="0"/>
  </r>
  <r>
    <x v="4"/>
    <x v="17"/>
    <s v="SREB membership"/>
    <m/>
    <m/>
    <x v="12"/>
    <m/>
    <m/>
    <m/>
    <m/>
    <m/>
    <m/>
    <m/>
    <m/>
    <n v="0"/>
    <m/>
    <m/>
    <n v="0"/>
    <n v="0"/>
    <n v="0"/>
    <n v="103550"/>
    <n v="193550"/>
    <m/>
    <m/>
    <n v="0"/>
    <m/>
    <m/>
    <n v="0"/>
    <m/>
    <m/>
    <m/>
    <m/>
    <m/>
    <m/>
    <n v="103550"/>
    <n v="193550"/>
  </r>
  <r>
    <x v="4"/>
    <x v="17"/>
    <s v="Doctoral Scholars"/>
    <m/>
    <m/>
    <x v="12"/>
    <m/>
    <m/>
    <m/>
    <m/>
    <m/>
    <m/>
    <m/>
    <m/>
    <n v="0"/>
    <m/>
    <m/>
    <n v="0"/>
    <n v="0"/>
    <n v="0"/>
    <n v="500000"/>
    <n v="500000"/>
    <m/>
    <m/>
    <n v="0"/>
    <m/>
    <m/>
    <n v="0"/>
    <m/>
    <m/>
    <m/>
    <m/>
    <m/>
    <m/>
    <n v="500000"/>
    <n v="500000"/>
  </r>
  <r>
    <x v="4"/>
    <x v="18"/>
    <s v="Adm. of Statewide Student Aid Progs. (incldng centralized guaranteed student loans)"/>
    <m/>
    <m/>
    <x v="12"/>
    <m/>
    <m/>
    <m/>
    <m/>
    <m/>
    <m/>
    <m/>
    <m/>
    <n v="0"/>
    <m/>
    <m/>
    <n v="0"/>
    <n v="0"/>
    <n v="0"/>
    <m/>
    <m/>
    <m/>
    <m/>
    <n v="0"/>
    <m/>
    <m/>
    <n v="0"/>
    <m/>
    <m/>
    <m/>
    <m/>
    <m/>
    <m/>
    <n v="0"/>
    <n v="0"/>
  </r>
  <r>
    <x v="4"/>
    <x v="18"/>
    <s v="Ga Student Finance Commission"/>
    <m/>
    <m/>
    <x v="12"/>
    <m/>
    <m/>
    <m/>
    <m/>
    <m/>
    <m/>
    <m/>
    <m/>
    <n v="0"/>
    <m/>
    <m/>
    <n v="0"/>
    <n v="0"/>
    <n v="0"/>
    <m/>
    <m/>
    <m/>
    <m/>
    <n v="0"/>
    <m/>
    <m/>
    <n v="0"/>
    <m/>
    <m/>
    <m/>
    <m/>
    <m/>
    <m/>
    <n v="0"/>
    <n v="0"/>
  </r>
  <r>
    <x v="4"/>
    <x v="19"/>
    <s v="State Support to Private Colleges Other Than Student Aid"/>
    <m/>
    <m/>
    <x v="12"/>
    <m/>
    <m/>
    <m/>
    <m/>
    <m/>
    <m/>
    <m/>
    <m/>
    <n v="0"/>
    <m/>
    <m/>
    <n v="0"/>
    <n v="0"/>
    <n v="0"/>
    <m/>
    <m/>
    <m/>
    <m/>
    <n v="0"/>
    <m/>
    <m/>
    <n v="0"/>
    <m/>
    <m/>
    <m/>
    <m/>
    <m/>
    <m/>
    <n v="0"/>
    <n v="0"/>
  </r>
  <r>
    <x v="4"/>
    <x v="19"/>
    <s v="Ga Military College"/>
    <m/>
    <m/>
    <x v="12"/>
    <m/>
    <m/>
    <m/>
    <m/>
    <m/>
    <m/>
    <m/>
    <m/>
    <n v="0"/>
    <m/>
    <m/>
    <n v="0"/>
    <n v="0"/>
    <n v="0"/>
    <n v="2270765"/>
    <n v="2269752"/>
    <m/>
    <m/>
    <n v="0"/>
    <m/>
    <m/>
    <n v="0"/>
    <m/>
    <m/>
    <m/>
    <m/>
    <m/>
    <m/>
    <n v="2270765"/>
    <n v="2269752"/>
  </r>
  <r>
    <x v="4"/>
    <x v="19"/>
    <s v="Mercer University (Medicine)"/>
    <m/>
    <m/>
    <x v="12"/>
    <m/>
    <m/>
    <m/>
    <m/>
    <m/>
    <m/>
    <m/>
    <m/>
    <n v="0"/>
    <m/>
    <m/>
    <n v="0"/>
    <n v="0"/>
    <n v="0"/>
    <n v="20169911"/>
    <n v="20969911"/>
    <m/>
    <m/>
    <n v="0"/>
    <m/>
    <m/>
    <n v="0"/>
    <m/>
    <m/>
    <m/>
    <m/>
    <m/>
    <m/>
    <n v="20169911"/>
    <n v="20969911"/>
  </r>
  <r>
    <x v="4"/>
    <x v="19"/>
    <s v="Morehouse School of Medicine"/>
    <m/>
    <m/>
    <x v="12"/>
    <m/>
    <m/>
    <m/>
    <m/>
    <m/>
    <m/>
    <m/>
    <m/>
    <n v="0"/>
    <m/>
    <m/>
    <n v="0"/>
    <n v="0"/>
    <n v="0"/>
    <n v="10671474"/>
    <n v="10671474"/>
    <m/>
    <m/>
    <n v="0"/>
    <m/>
    <m/>
    <n v="0"/>
    <m/>
    <m/>
    <m/>
    <m/>
    <m/>
    <m/>
    <n v="10671474"/>
    <n v="10671474"/>
  </r>
  <r>
    <x v="4"/>
    <x v="20"/>
    <s v="Contract Education Programs"/>
    <m/>
    <m/>
    <x v="12"/>
    <m/>
    <m/>
    <m/>
    <m/>
    <m/>
    <m/>
    <m/>
    <m/>
    <n v="0"/>
    <m/>
    <m/>
    <n v="0"/>
    <n v="0"/>
    <n v="0"/>
    <m/>
    <m/>
    <m/>
    <m/>
    <n v="0"/>
    <m/>
    <m/>
    <n v="0"/>
    <m/>
    <m/>
    <m/>
    <m/>
    <m/>
    <m/>
    <n v="0"/>
    <n v="0"/>
  </r>
  <r>
    <x v="4"/>
    <x v="21"/>
    <s v="SREB contract program with private colleges"/>
    <m/>
    <m/>
    <x v="12"/>
    <m/>
    <m/>
    <m/>
    <m/>
    <m/>
    <m/>
    <m/>
    <m/>
    <n v="0"/>
    <m/>
    <m/>
    <n v="0"/>
    <n v="0"/>
    <n v="0"/>
    <m/>
    <m/>
    <m/>
    <m/>
    <n v="0"/>
    <m/>
    <m/>
    <n v="0"/>
    <m/>
    <m/>
    <m/>
    <m/>
    <m/>
    <m/>
    <n v="0"/>
    <n v="0"/>
  </r>
  <r>
    <x v="4"/>
    <x v="21"/>
    <s v="Georgia Military College"/>
    <m/>
    <m/>
    <x v="12"/>
    <m/>
    <m/>
    <m/>
    <m/>
    <m/>
    <m/>
    <m/>
    <m/>
    <n v="0"/>
    <m/>
    <m/>
    <n v="0"/>
    <n v="0"/>
    <n v="0"/>
    <m/>
    <m/>
    <m/>
    <m/>
    <n v="0"/>
    <m/>
    <m/>
    <n v="0"/>
    <m/>
    <m/>
    <m/>
    <m/>
    <m/>
    <m/>
    <n v="0"/>
    <n v="0"/>
  </r>
  <r>
    <x v="4"/>
    <x v="21"/>
    <s v="Southern College (Optometry)"/>
    <m/>
    <m/>
    <x v="12"/>
    <m/>
    <m/>
    <m/>
    <m/>
    <m/>
    <m/>
    <m/>
    <m/>
    <n v="0"/>
    <m/>
    <m/>
    <n v="0"/>
    <n v="0"/>
    <n v="0"/>
    <n v="343200"/>
    <n v="355400"/>
    <m/>
    <m/>
    <n v="0"/>
    <m/>
    <m/>
    <n v="0"/>
    <m/>
    <m/>
    <m/>
    <m/>
    <m/>
    <m/>
    <n v="343200"/>
    <n v="355400"/>
  </r>
  <r>
    <x v="4"/>
    <x v="21"/>
    <s v="Nova Southeastern University (Osteopathic Medicine)"/>
    <m/>
    <m/>
    <x v="12"/>
    <m/>
    <m/>
    <m/>
    <m/>
    <m/>
    <m/>
    <m/>
    <m/>
    <n v="0"/>
    <m/>
    <m/>
    <n v="0"/>
    <n v="0"/>
    <n v="0"/>
    <n v="14300"/>
    <n v="14800"/>
    <m/>
    <m/>
    <n v="0"/>
    <m/>
    <m/>
    <n v="0"/>
    <m/>
    <m/>
    <m/>
    <m/>
    <m/>
    <m/>
    <n v="14300"/>
    <n v="14800"/>
  </r>
  <r>
    <x v="4"/>
    <x v="22"/>
    <s v="SREB contract program with public colleges"/>
    <m/>
    <m/>
    <x v="12"/>
    <m/>
    <m/>
    <m/>
    <m/>
    <m/>
    <m/>
    <m/>
    <m/>
    <n v="0"/>
    <m/>
    <m/>
    <n v="0"/>
    <n v="0"/>
    <n v="0"/>
    <m/>
    <m/>
    <m/>
    <m/>
    <n v="0"/>
    <m/>
    <m/>
    <n v="0"/>
    <m/>
    <m/>
    <m/>
    <m/>
    <m/>
    <m/>
    <n v="0"/>
    <n v="0"/>
  </r>
  <r>
    <x v="4"/>
    <x v="22"/>
    <s v="University of Alabama at Birmingham (Medicine)"/>
    <m/>
    <m/>
    <x v="12"/>
    <m/>
    <m/>
    <m/>
    <m/>
    <m/>
    <m/>
    <m/>
    <m/>
    <n v="0"/>
    <m/>
    <m/>
    <n v="0"/>
    <n v="0"/>
    <n v="0"/>
    <n v="143000"/>
    <n v="148000"/>
    <m/>
    <m/>
    <n v="0"/>
    <m/>
    <m/>
    <n v="0"/>
    <m/>
    <m/>
    <m/>
    <m/>
    <m/>
    <m/>
    <n v="143000"/>
    <n v="148000"/>
  </r>
  <r>
    <x v="4"/>
    <x v="23"/>
    <s v="Other contracted programs (Med. Student Capitation Grants)"/>
    <m/>
    <m/>
    <x v="12"/>
    <m/>
    <m/>
    <m/>
    <m/>
    <m/>
    <m/>
    <m/>
    <m/>
    <n v="0"/>
    <m/>
    <m/>
    <n v="0"/>
    <n v="0"/>
    <n v="0"/>
    <m/>
    <m/>
    <m/>
    <m/>
    <n v="0"/>
    <m/>
    <m/>
    <n v="0"/>
    <m/>
    <m/>
    <m/>
    <m/>
    <m/>
    <m/>
    <n v="0"/>
    <n v="0"/>
  </r>
  <r>
    <x v="4"/>
    <x v="23"/>
    <s v="Mercer University (Medicine)"/>
    <m/>
    <m/>
    <x v="12"/>
    <m/>
    <m/>
    <m/>
    <m/>
    <m/>
    <m/>
    <m/>
    <m/>
    <n v="0"/>
    <m/>
    <m/>
    <n v="0"/>
    <n v="0"/>
    <n v="0"/>
    <n v="1378953"/>
    <n v="1336343"/>
    <m/>
    <m/>
    <n v="0"/>
    <m/>
    <m/>
    <n v="0"/>
    <m/>
    <m/>
    <m/>
    <m/>
    <m/>
    <m/>
    <n v="1378953"/>
    <n v="1336343"/>
  </r>
  <r>
    <x v="4"/>
    <x v="23"/>
    <s v="Morehouse School of Medicine"/>
    <m/>
    <m/>
    <x v="12"/>
    <m/>
    <m/>
    <m/>
    <m/>
    <m/>
    <m/>
    <m/>
    <m/>
    <n v="0"/>
    <m/>
    <m/>
    <n v="0"/>
    <n v="0"/>
    <n v="0"/>
    <n v="610666"/>
    <n v="591796"/>
    <m/>
    <m/>
    <n v="0"/>
    <m/>
    <m/>
    <n v="0"/>
    <m/>
    <m/>
    <m/>
    <m/>
    <m/>
    <m/>
    <n v="610666"/>
    <n v="591796"/>
  </r>
  <r>
    <x v="4"/>
    <x v="23"/>
    <s v="Emory University (Medicine)"/>
    <m/>
    <m/>
    <x v="12"/>
    <m/>
    <m/>
    <m/>
    <m/>
    <m/>
    <m/>
    <m/>
    <m/>
    <n v="0"/>
    <m/>
    <m/>
    <n v="0"/>
    <n v="0"/>
    <n v="0"/>
    <n v="742017"/>
    <n v="719089"/>
    <m/>
    <m/>
    <n v="0"/>
    <m/>
    <m/>
    <n v="0"/>
    <m/>
    <m/>
    <m/>
    <m/>
    <m/>
    <m/>
    <n v="742017"/>
    <n v="719089"/>
  </r>
  <r>
    <x v="4"/>
    <x v="24"/>
    <s v="Statewide Student Financial Aid Programs Administered Off Campus"/>
    <m/>
    <m/>
    <x v="12"/>
    <m/>
    <m/>
    <m/>
    <m/>
    <m/>
    <m/>
    <m/>
    <m/>
    <n v="0"/>
    <m/>
    <m/>
    <n v="0"/>
    <n v="0"/>
    <n v="0"/>
    <m/>
    <m/>
    <m/>
    <m/>
    <n v="0"/>
    <m/>
    <m/>
    <n v="0"/>
    <m/>
    <m/>
    <m/>
    <m/>
    <m/>
    <m/>
    <n v="0"/>
    <n v="0"/>
  </r>
  <r>
    <x v="4"/>
    <x v="25"/>
    <s v="Available to public &amp; private sector students"/>
    <m/>
    <m/>
    <x v="12"/>
    <m/>
    <m/>
    <m/>
    <m/>
    <m/>
    <m/>
    <m/>
    <m/>
    <n v="0"/>
    <m/>
    <m/>
    <n v="0"/>
    <n v="0"/>
    <n v="0"/>
    <m/>
    <m/>
    <m/>
    <m/>
    <n v="0"/>
    <m/>
    <m/>
    <n v="0"/>
    <m/>
    <m/>
    <m/>
    <m/>
    <m/>
    <m/>
    <n v="0"/>
    <n v="0"/>
  </r>
  <r>
    <x v="4"/>
    <x v="25"/>
    <s v="Public Safety Memorial Grant"/>
    <m/>
    <m/>
    <x v="12"/>
    <m/>
    <m/>
    <m/>
    <m/>
    <m/>
    <m/>
    <m/>
    <m/>
    <n v="0"/>
    <m/>
    <m/>
    <n v="0"/>
    <n v="0"/>
    <n v="0"/>
    <m/>
    <m/>
    <m/>
    <m/>
    <n v="0"/>
    <m/>
    <m/>
    <n v="0"/>
    <m/>
    <m/>
    <m/>
    <m/>
    <m/>
    <m/>
    <n v="0"/>
    <n v="0"/>
  </r>
  <r>
    <x v="4"/>
    <x v="28"/>
    <s v="Amount to public sector students"/>
    <m/>
    <m/>
    <x v="12"/>
    <m/>
    <m/>
    <m/>
    <m/>
    <m/>
    <m/>
    <m/>
    <m/>
    <n v="0"/>
    <m/>
    <m/>
    <n v="0"/>
    <n v="0"/>
    <n v="0"/>
    <m/>
    <m/>
    <m/>
    <m/>
    <n v="0"/>
    <m/>
    <m/>
    <n v="0"/>
    <m/>
    <m/>
    <m/>
    <m/>
    <m/>
    <m/>
    <n v="0"/>
    <n v="0"/>
  </r>
  <r>
    <x v="4"/>
    <x v="29"/>
    <s v="Need-based"/>
    <m/>
    <m/>
    <x v="12"/>
    <m/>
    <m/>
    <m/>
    <m/>
    <m/>
    <m/>
    <m/>
    <m/>
    <n v="0"/>
    <m/>
    <m/>
    <n v="0"/>
    <n v="0"/>
    <n v="0"/>
    <m/>
    <m/>
    <m/>
    <m/>
    <n v="0"/>
    <m/>
    <m/>
    <n v="0"/>
    <m/>
    <m/>
    <m/>
    <m/>
    <m/>
    <m/>
    <n v="0"/>
    <n v="0"/>
  </r>
  <r>
    <x v="4"/>
    <x v="30"/>
    <s v="Non need-based"/>
    <m/>
    <m/>
    <x v="12"/>
    <m/>
    <m/>
    <m/>
    <m/>
    <m/>
    <m/>
    <m/>
    <m/>
    <n v="0"/>
    <m/>
    <m/>
    <n v="0"/>
    <n v="0"/>
    <n v="0"/>
    <n v="376761"/>
    <n v="376761"/>
    <m/>
    <m/>
    <n v="0"/>
    <m/>
    <m/>
    <n v="0"/>
    <m/>
    <m/>
    <m/>
    <m/>
    <m/>
    <m/>
    <n v="376761"/>
    <n v="376761"/>
  </r>
  <r>
    <x v="4"/>
    <x v="31"/>
    <s v="Amount to private sector students"/>
    <m/>
    <m/>
    <x v="12"/>
    <m/>
    <m/>
    <m/>
    <m/>
    <m/>
    <m/>
    <m/>
    <m/>
    <n v="0"/>
    <m/>
    <m/>
    <n v="0"/>
    <n v="0"/>
    <n v="0"/>
    <m/>
    <m/>
    <m/>
    <m/>
    <n v="0"/>
    <m/>
    <m/>
    <n v="0"/>
    <m/>
    <m/>
    <m/>
    <m/>
    <m/>
    <m/>
    <n v="0"/>
    <n v="0"/>
  </r>
  <r>
    <x v="4"/>
    <x v="32"/>
    <s v="Need-based"/>
    <m/>
    <m/>
    <x v="12"/>
    <m/>
    <m/>
    <m/>
    <m/>
    <m/>
    <m/>
    <m/>
    <m/>
    <n v="0"/>
    <m/>
    <m/>
    <n v="0"/>
    <n v="0"/>
    <n v="0"/>
    <m/>
    <m/>
    <m/>
    <m/>
    <n v="0"/>
    <m/>
    <m/>
    <n v="0"/>
    <m/>
    <m/>
    <m/>
    <m/>
    <m/>
    <m/>
    <n v="0"/>
    <n v="0"/>
  </r>
  <r>
    <x v="4"/>
    <x v="33"/>
    <s v="Non need-based"/>
    <m/>
    <m/>
    <x v="12"/>
    <m/>
    <m/>
    <m/>
    <m/>
    <m/>
    <m/>
    <m/>
    <m/>
    <n v="0"/>
    <m/>
    <m/>
    <n v="0"/>
    <n v="0"/>
    <n v="0"/>
    <m/>
    <m/>
    <m/>
    <m/>
    <n v="0"/>
    <m/>
    <m/>
    <n v="0"/>
    <m/>
    <m/>
    <m/>
    <m/>
    <m/>
    <m/>
    <n v="0"/>
    <n v="0"/>
  </r>
  <r>
    <x v="4"/>
    <x v="25"/>
    <s v="Engineer Scholarships"/>
    <m/>
    <m/>
    <x v="12"/>
    <m/>
    <m/>
    <m/>
    <m/>
    <m/>
    <m/>
    <m/>
    <m/>
    <n v="0"/>
    <m/>
    <m/>
    <n v="0"/>
    <n v="0"/>
    <n v="0"/>
    <m/>
    <m/>
    <m/>
    <m/>
    <n v="0"/>
    <m/>
    <m/>
    <n v="0"/>
    <m/>
    <m/>
    <m/>
    <m/>
    <m/>
    <m/>
    <n v="0"/>
    <n v="0"/>
  </r>
  <r>
    <x v="4"/>
    <x v="28"/>
    <s v="Amount to public sector students"/>
    <m/>
    <m/>
    <x v="12"/>
    <m/>
    <m/>
    <m/>
    <m/>
    <m/>
    <m/>
    <m/>
    <m/>
    <n v="0"/>
    <m/>
    <m/>
    <n v="0"/>
    <n v="0"/>
    <n v="0"/>
    <m/>
    <m/>
    <m/>
    <m/>
    <n v="0"/>
    <m/>
    <m/>
    <n v="0"/>
    <m/>
    <m/>
    <m/>
    <m/>
    <m/>
    <m/>
    <n v="0"/>
    <n v="0"/>
  </r>
  <r>
    <x v="4"/>
    <x v="29"/>
    <s v="Need-based"/>
    <m/>
    <m/>
    <x v="12"/>
    <m/>
    <m/>
    <m/>
    <m/>
    <m/>
    <m/>
    <m/>
    <m/>
    <n v="0"/>
    <m/>
    <m/>
    <n v="0"/>
    <n v="0"/>
    <n v="0"/>
    <m/>
    <m/>
    <m/>
    <m/>
    <n v="0"/>
    <m/>
    <m/>
    <n v="0"/>
    <m/>
    <m/>
    <m/>
    <m/>
    <m/>
    <m/>
    <n v="0"/>
    <n v="0"/>
  </r>
  <r>
    <x v="4"/>
    <x v="30"/>
    <s v="Non need-based"/>
    <m/>
    <m/>
    <x v="12"/>
    <m/>
    <m/>
    <m/>
    <m/>
    <m/>
    <m/>
    <m/>
    <m/>
    <n v="0"/>
    <m/>
    <m/>
    <n v="0"/>
    <n v="0"/>
    <n v="0"/>
    <m/>
    <m/>
    <m/>
    <m/>
    <n v="0"/>
    <m/>
    <m/>
    <n v="0"/>
    <m/>
    <m/>
    <m/>
    <m/>
    <m/>
    <m/>
    <n v="0"/>
    <n v="0"/>
  </r>
  <r>
    <x v="4"/>
    <x v="31"/>
    <s v="Amount to private sector students"/>
    <m/>
    <m/>
    <x v="12"/>
    <m/>
    <m/>
    <m/>
    <m/>
    <m/>
    <m/>
    <m/>
    <m/>
    <n v="0"/>
    <m/>
    <m/>
    <n v="0"/>
    <n v="0"/>
    <n v="0"/>
    <m/>
    <m/>
    <m/>
    <m/>
    <n v="0"/>
    <m/>
    <m/>
    <n v="0"/>
    <m/>
    <m/>
    <m/>
    <m/>
    <m/>
    <m/>
    <n v="0"/>
    <n v="0"/>
  </r>
  <r>
    <x v="4"/>
    <x v="32"/>
    <s v="Need-based"/>
    <m/>
    <m/>
    <x v="12"/>
    <m/>
    <m/>
    <m/>
    <m/>
    <m/>
    <m/>
    <m/>
    <m/>
    <n v="0"/>
    <m/>
    <m/>
    <n v="0"/>
    <n v="0"/>
    <n v="0"/>
    <m/>
    <m/>
    <m/>
    <m/>
    <n v="0"/>
    <m/>
    <m/>
    <n v="0"/>
    <m/>
    <m/>
    <m/>
    <m/>
    <m/>
    <m/>
    <n v="0"/>
    <n v="0"/>
  </r>
  <r>
    <x v="4"/>
    <x v="33"/>
    <s v="Non need-based"/>
    <m/>
    <m/>
    <x v="12"/>
    <m/>
    <m/>
    <m/>
    <m/>
    <m/>
    <m/>
    <m/>
    <m/>
    <n v="0"/>
    <m/>
    <m/>
    <n v="0"/>
    <n v="0"/>
    <n v="0"/>
    <n v="570000"/>
    <n v="701750"/>
    <m/>
    <m/>
    <n v="0"/>
    <m/>
    <m/>
    <n v="0"/>
    <m/>
    <m/>
    <m/>
    <m/>
    <m/>
    <m/>
    <n v="570000"/>
    <n v="701750"/>
  </r>
  <r>
    <x v="4"/>
    <x v="34"/>
    <s v="Limited to public college students only"/>
    <m/>
    <m/>
    <x v="12"/>
    <m/>
    <m/>
    <m/>
    <m/>
    <m/>
    <m/>
    <m/>
    <m/>
    <n v="0"/>
    <m/>
    <m/>
    <n v="0"/>
    <n v="0"/>
    <n v="0"/>
    <m/>
    <m/>
    <m/>
    <m/>
    <n v="0"/>
    <m/>
    <m/>
    <n v="0"/>
    <m/>
    <m/>
    <m/>
    <m/>
    <m/>
    <m/>
    <n v="0"/>
    <n v="0"/>
  </r>
  <r>
    <x v="4"/>
    <x v="34"/>
    <s v="HOPE Scholarships"/>
    <m/>
    <m/>
    <x v="12"/>
    <m/>
    <m/>
    <m/>
    <m/>
    <m/>
    <m/>
    <m/>
    <m/>
    <n v="0"/>
    <m/>
    <m/>
    <n v="0"/>
    <n v="0"/>
    <n v="0"/>
    <m/>
    <m/>
    <m/>
    <m/>
    <n v="0"/>
    <m/>
    <m/>
    <n v="0"/>
    <m/>
    <m/>
    <m/>
    <m/>
    <m/>
    <m/>
    <n v="0"/>
    <n v="0"/>
  </r>
  <r>
    <x v="4"/>
    <x v="35"/>
    <s v="Need-based"/>
    <m/>
    <m/>
    <x v="12"/>
    <m/>
    <m/>
    <m/>
    <m/>
    <m/>
    <m/>
    <m/>
    <m/>
    <n v="0"/>
    <m/>
    <m/>
    <n v="0"/>
    <n v="0"/>
    <n v="0"/>
    <m/>
    <m/>
    <m/>
    <m/>
    <n v="0"/>
    <m/>
    <m/>
    <n v="0"/>
    <m/>
    <m/>
    <m/>
    <m/>
    <m/>
    <m/>
    <n v="0"/>
    <n v="0"/>
  </r>
  <r>
    <x v="4"/>
    <x v="36"/>
    <s v="Non need-based"/>
    <m/>
    <m/>
    <x v="12"/>
    <m/>
    <m/>
    <m/>
    <m/>
    <m/>
    <m/>
    <m/>
    <m/>
    <n v="0"/>
    <m/>
    <m/>
    <n v="0"/>
    <n v="0"/>
    <n v="0"/>
    <n v="410638135"/>
    <n v="401800599"/>
    <m/>
    <m/>
    <n v="0"/>
    <m/>
    <m/>
    <n v="0"/>
    <m/>
    <m/>
    <m/>
    <m/>
    <m/>
    <m/>
    <n v="410638135"/>
    <n v="401800599"/>
  </r>
  <r>
    <x v="4"/>
    <x v="37"/>
    <s v="Limited to private college students"/>
    <m/>
    <m/>
    <x v="12"/>
    <m/>
    <m/>
    <m/>
    <m/>
    <m/>
    <m/>
    <m/>
    <m/>
    <n v="0"/>
    <m/>
    <m/>
    <n v="0"/>
    <n v="0"/>
    <n v="0"/>
    <m/>
    <m/>
    <m/>
    <m/>
    <n v="0"/>
    <m/>
    <m/>
    <n v="0"/>
    <m/>
    <m/>
    <m/>
    <m/>
    <m/>
    <m/>
    <n v="0"/>
    <n v="0"/>
  </r>
  <r>
    <x v="4"/>
    <x v="37"/>
    <s v="Georgia Military College Scholarships"/>
    <m/>
    <m/>
    <x v="12"/>
    <m/>
    <m/>
    <m/>
    <m/>
    <m/>
    <m/>
    <m/>
    <m/>
    <n v="0"/>
    <m/>
    <m/>
    <n v="0"/>
    <n v="0"/>
    <n v="0"/>
    <m/>
    <m/>
    <m/>
    <m/>
    <n v="0"/>
    <m/>
    <m/>
    <n v="0"/>
    <m/>
    <m/>
    <m/>
    <m/>
    <m/>
    <m/>
    <n v="0"/>
    <n v="0"/>
  </r>
  <r>
    <x v="4"/>
    <x v="38"/>
    <s v="Need-based"/>
    <m/>
    <m/>
    <x v="12"/>
    <m/>
    <m/>
    <m/>
    <m/>
    <m/>
    <m/>
    <m/>
    <m/>
    <n v="0"/>
    <m/>
    <m/>
    <n v="0"/>
    <n v="0"/>
    <n v="0"/>
    <m/>
    <m/>
    <m/>
    <m/>
    <n v="0"/>
    <m/>
    <m/>
    <n v="0"/>
    <m/>
    <m/>
    <m/>
    <m/>
    <m/>
    <m/>
    <n v="0"/>
    <n v="0"/>
  </r>
  <r>
    <x v="4"/>
    <x v="39"/>
    <s v="Non need-based"/>
    <m/>
    <m/>
    <x v="12"/>
    <m/>
    <m/>
    <m/>
    <m/>
    <m/>
    <m/>
    <m/>
    <m/>
    <n v="0"/>
    <m/>
    <m/>
    <n v="0"/>
    <n v="0"/>
    <n v="0"/>
    <n v="1094862"/>
    <n v="1094862"/>
    <m/>
    <m/>
    <n v="0"/>
    <m/>
    <m/>
    <n v="0"/>
    <m/>
    <m/>
    <m/>
    <m/>
    <m/>
    <m/>
    <n v="1094862"/>
    <n v="1094862"/>
  </r>
  <r>
    <x v="4"/>
    <x v="37"/>
    <s v="HOPE Scholarships"/>
    <m/>
    <m/>
    <x v="12"/>
    <m/>
    <m/>
    <m/>
    <m/>
    <m/>
    <m/>
    <m/>
    <m/>
    <n v="0"/>
    <m/>
    <m/>
    <n v="0"/>
    <n v="0"/>
    <n v="0"/>
    <m/>
    <m/>
    <m/>
    <m/>
    <n v="0"/>
    <m/>
    <m/>
    <n v="0"/>
    <m/>
    <m/>
    <m/>
    <m/>
    <m/>
    <m/>
    <n v="0"/>
    <n v="0"/>
  </r>
  <r>
    <x v="4"/>
    <x v="38"/>
    <s v="Need-based"/>
    <m/>
    <m/>
    <x v="12"/>
    <m/>
    <m/>
    <m/>
    <m/>
    <m/>
    <m/>
    <m/>
    <m/>
    <n v="0"/>
    <m/>
    <m/>
    <n v="0"/>
    <n v="0"/>
    <n v="0"/>
    <m/>
    <m/>
    <m/>
    <m/>
    <n v="0"/>
    <m/>
    <m/>
    <n v="0"/>
    <m/>
    <m/>
    <m/>
    <m/>
    <m/>
    <m/>
    <n v="0"/>
    <n v="0"/>
  </r>
  <r>
    <x v="4"/>
    <x v="39"/>
    <s v="Non need-based"/>
    <m/>
    <m/>
    <x v="12"/>
    <m/>
    <m/>
    <m/>
    <m/>
    <m/>
    <m/>
    <m/>
    <m/>
    <n v="0"/>
    <m/>
    <m/>
    <n v="0"/>
    <n v="0"/>
    <n v="0"/>
    <n v="53426921"/>
    <n v="46030622"/>
    <m/>
    <m/>
    <n v="0"/>
    <m/>
    <m/>
    <n v="0"/>
    <m/>
    <m/>
    <m/>
    <m/>
    <m/>
    <m/>
    <n v="53426921"/>
    <n v="46030622"/>
  </r>
  <r>
    <x v="4"/>
    <x v="0"/>
    <s v="Albany Technical College"/>
    <m/>
    <n v="138682"/>
    <x v="9"/>
    <n v="9054898"/>
    <n v="9685664"/>
    <m/>
    <m/>
    <m/>
    <m/>
    <n v="12599601.16"/>
    <m/>
    <n v="12599601.16"/>
    <n v="12347609.1368"/>
    <m/>
    <n v="12347609.1368"/>
    <n v="21654499.16"/>
    <n v="22033273.136799999"/>
    <m/>
    <m/>
    <m/>
    <m/>
    <n v="0"/>
    <m/>
    <m/>
    <n v="0"/>
    <m/>
    <m/>
    <m/>
    <m/>
    <m/>
    <m/>
    <n v="21654499.16"/>
    <n v="22033273.136799999"/>
  </r>
  <r>
    <x v="4"/>
    <x v="0"/>
    <s v="Altamaha Technical College"/>
    <m/>
    <n v="366447"/>
    <x v="9"/>
    <n v="7153351"/>
    <n v="7082740"/>
    <m/>
    <m/>
    <m/>
    <m/>
    <n v="3703887.02"/>
    <m/>
    <n v="3703887.02"/>
    <n v="3629809.2796"/>
    <m/>
    <n v="3629809.2796"/>
    <n v="10857238.02"/>
    <n v="10712549.2796"/>
    <m/>
    <m/>
    <m/>
    <m/>
    <n v="0"/>
    <m/>
    <m/>
    <n v="0"/>
    <m/>
    <m/>
    <m/>
    <m/>
    <m/>
    <m/>
    <n v="10857238.02"/>
    <n v="10712549.2796"/>
  </r>
  <r>
    <x v="4"/>
    <x v="0"/>
    <s v="Athens Technical College"/>
    <m/>
    <n v="246813"/>
    <x v="9"/>
    <n v="9867456"/>
    <n v="10507606"/>
    <m/>
    <m/>
    <m/>
    <m/>
    <n v="12278947.4"/>
    <m/>
    <n v="12278947.4"/>
    <n v="12033368.452"/>
    <m/>
    <n v="12033368.452"/>
    <n v="22146403.399999999"/>
    <n v="22540974.452"/>
    <m/>
    <m/>
    <m/>
    <m/>
    <n v="0"/>
    <m/>
    <m/>
    <n v="0"/>
    <m/>
    <m/>
    <m/>
    <m/>
    <m/>
    <m/>
    <n v="22146403.399999999"/>
    <n v="22540974.452"/>
  </r>
  <r>
    <x v="4"/>
    <x v="0"/>
    <s v="Atlanta Technical College"/>
    <m/>
    <n v="138840"/>
    <x v="9"/>
    <n v="11768755"/>
    <n v="11895348"/>
    <m/>
    <m/>
    <m/>
    <m/>
    <n v="14052834.880000001"/>
    <m/>
    <n v="14052834.880000001"/>
    <n v="13771778.182400001"/>
    <m/>
    <n v="13771778.182400001"/>
    <n v="25821589.880000003"/>
    <n v="25667126.182400003"/>
    <m/>
    <m/>
    <m/>
    <m/>
    <n v="0"/>
    <m/>
    <m/>
    <n v="0"/>
    <m/>
    <m/>
    <m/>
    <m/>
    <m/>
    <m/>
    <n v="25821589.880000003"/>
    <n v="25667126.182400003"/>
  </r>
  <r>
    <x v="4"/>
    <x v="0"/>
    <s v="Augusta Technical College"/>
    <m/>
    <n v="138956"/>
    <x v="9"/>
    <n v="13492984"/>
    <n v="13229619"/>
    <m/>
    <m/>
    <m/>
    <m/>
    <n v="9782405.2300000004"/>
    <m/>
    <n v="9782405.2300000004"/>
    <n v="9586757.1254000012"/>
    <m/>
    <n v="9586757.1254000012"/>
    <n v="23275389.23"/>
    <n v="22816376.125399999"/>
    <m/>
    <m/>
    <m/>
    <m/>
    <n v="0"/>
    <m/>
    <m/>
    <n v="0"/>
    <m/>
    <m/>
    <m/>
    <m/>
    <m/>
    <m/>
    <n v="23275389.23"/>
    <n v="22816376.125399999"/>
  </r>
  <r>
    <x v="4"/>
    <x v="0"/>
    <s v="Central Georgia Technical College"/>
    <m/>
    <n v="140304"/>
    <x v="9"/>
    <n v="13101718"/>
    <n v="13359885"/>
    <m/>
    <m/>
    <m/>
    <m/>
    <n v="13364401.1"/>
    <m/>
    <n v="13364401.1"/>
    <n v="13097113.078"/>
    <m/>
    <n v="13097113.078"/>
    <n v="26466119.100000001"/>
    <n v="26456998.078000002"/>
    <m/>
    <m/>
    <m/>
    <m/>
    <n v="0"/>
    <m/>
    <m/>
    <n v="0"/>
    <m/>
    <m/>
    <m/>
    <m/>
    <m/>
    <m/>
    <n v="26466119.100000001"/>
    <n v="26456998.078000002"/>
  </r>
  <r>
    <x v="4"/>
    <x v="0"/>
    <s v="Chattahoochee Technical College"/>
    <m/>
    <n v="140331"/>
    <x v="9"/>
    <n v="19639331.969999999"/>
    <n v="19746689"/>
    <m/>
    <m/>
    <m/>
    <m/>
    <n v="26778860.870000001"/>
    <m/>
    <n v="26778860.870000001"/>
    <n v="26243283.652600002"/>
    <m/>
    <n v="26243283.652600002"/>
    <n v="46418192.840000004"/>
    <n v="45989972.652600005"/>
    <m/>
    <m/>
    <m/>
    <m/>
    <n v="0"/>
    <m/>
    <m/>
    <n v="0"/>
    <m/>
    <m/>
    <m/>
    <m/>
    <m/>
    <m/>
    <n v="46418192.840000004"/>
    <n v="45989972.652600005"/>
  </r>
  <r>
    <x v="4"/>
    <x v="0"/>
    <s v="Columbus Technical College"/>
    <m/>
    <n v="139357"/>
    <x v="9"/>
    <n v="9760214.8000000007"/>
    <n v="9692813"/>
    <m/>
    <m/>
    <m/>
    <m/>
    <n v="10226145.720000001"/>
    <m/>
    <n v="10226145.720000001"/>
    <n v="10021622.805600001"/>
    <m/>
    <n v="10021622.805600001"/>
    <n v="19986360.520000003"/>
    <n v="19714435.805600002"/>
    <m/>
    <m/>
    <m/>
    <m/>
    <n v="0"/>
    <m/>
    <m/>
    <n v="0"/>
    <m/>
    <m/>
    <m/>
    <m/>
    <m/>
    <m/>
    <n v="19986360.520000003"/>
    <n v="19714435.805600002"/>
  </r>
  <r>
    <x v="4"/>
    <x v="0"/>
    <s v="Georgia Northwestern Technical College"/>
    <m/>
    <n v="139384"/>
    <x v="9"/>
    <n v="17221856"/>
    <n v="16392622"/>
    <m/>
    <m/>
    <m/>
    <m/>
    <n v="15740848.02"/>
    <m/>
    <n v="15740848.02"/>
    <n v="15426031.059599999"/>
    <m/>
    <n v="15426031.059599999"/>
    <n v="32962704.02"/>
    <n v="31818653.059599999"/>
    <m/>
    <m/>
    <m/>
    <m/>
    <n v="0"/>
    <m/>
    <m/>
    <n v="0"/>
    <m/>
    <m/>
    <m/>
    <m/>
    <m/>
    <m/>
    <n v="32962704.02"/>
    <n v="31818653.059599999"/>
  </r>
  <r>
    <x v="4"/>
    <x v="0"/>
    <s v="Georgia Piedmont Technical College"/>
    <m/>
    <n v="244446"/>
    <x v="9"/>
    <n v="14127634"/>
    <n v="13818687"/>
    <m/>
    <m/>
    <m/>
    <m/>
    <n v="12452619.310000001"/>
    <m/>
    <n v="12452619.310000001"/>
    <n v="12203566.923800001"/>
    <m/>
    <n v="12203566.923800001"/>
    <n v="26580253.310000002"/>
    <n v="26022253.923799999"/>
    <m/>
    <m/>
    <m/>
    <m/>
    <n v="0"/>
    <m/>
    <m/>
    <n v="0"/>
    <m/>
    <m/>
    <m/>
    <m/>
    <m/>
    <m/>
    <n v="26580253.310000002"/>
    <n v="26022253.923799999"/>
  </r>
  <r>
    <x v="4"/>
    <x v="0"/>
    <s v="Gwinnett Technical College"/>
    <m/>
    <n v="140012"/>
    <x v="9"/>
    <n v="12697431"/>
    <n v="13252285"/>
    <m/>
    <m/>
    <m/>
    <m/>
    <n v="19874051.170000002"/>
    <m/>
    <n v="19874051.170000002"/>
    <n v="19476570.146600001"/>
    <m/>
    <n v="19476570.146600001"/>
    <n v="32571482.170000002"/>
    <n v="32728855.146600001"/>
    <m/>
    <m/>
    <m/>
    <m/>
    <n v="0"/>
    <m/>
    <m/>
    <n v="0"/>
    <m/>
    <m/>
    <m/>
    <m/>
    <m/>
    <m/>
    <n v="32571482.170000002"/>
    <n v="32728855.146600001"/>
  </r>
  <r>
    <x v="4"/>
    <x v="0"/>
    <s v="Lanier Technical College"/>
    <m/>
    <n v="140243"/>
    <x v="9"/>
    <n v="9312036"/>
    <n v="9179893"/>
    <m/>
    <m/>
    <m/>
    <m/>
    <n v="7734438.21"/>
    <m/>
    <n v="7734438.21"/>
    <n v="7579749.4457999999"/>
    <m/>
    <n v="7579749.4457999999"/>
    <n v="17046474.210000001"/>
    <n v="16759642.445799999"/>
    <m/>
    <m/>
    <m/>
    <m/>
    <n v="0"/>
    <m/>
    <m/>
    <n v="0"/>
    <m/>
    <m/>
    <m/>
    <m/>
    <m/>
    <m/>
    <n v="17046474.210000001"/>
    <n v="16759642.445799999"/>
  </r>
  <r>
    <x v="4"/>
    <x v="0"/>
    <s v="Middle Georgia Technical College"/>
    <m/>
    <n v="140085"/>
    <x v="9"/>
    <n v="7455675"/>
    <n v="8543050"/>
    <m/>
    <m/>
    <m/>
    <m/>
    <n v="7345463.8899999997"/>
    <m/>
    <n v="7345463.8899999997"/>
    <n v="7198554.6121999994"/>
    <m/>
    <n v="7198554.6121999994"/>
    <n v="14801138.890000001"/>
    <n v="15741604.612199999"/>
    <m/>
    <m/>
    <m/>
    <m/>
    <n v="0"/>
    <m/>
    <m/>
    <n v="0"/>
    <m/>
    <m/>
    <m/>
    <m/>
    <m/>
    <m/>
    <n v="14801138.890000001"/>
    <n v="15741604.612199999"/>
  </r>
  <r>
    <x v="4"/>
    <x v="0"/>
    <s v="Moultrie Technical College"/>
    <m/>
    <n v="140599"/>
    <x v="9"/>
    <n v="6986757"/>
    <n v="7079762"/>
    <m/>
    <m/>
    <m/>
    <m/>
    <n v="6476136.5800000001"/>
    <m/>
    <n v="6476136.5800000001"/>
    <n v="6346613.8483999996"/>
    <m/>
    <n v="6346613.8483999996"/>
    <n v="13462893.58"/>
    <n v="13426375.8484"/>
    <m/>
    <m/>
    <m/>
    <m/>
    <n v="0"/>
    <m/>
    <m/>
    <n v="0"/>
    <m/>
    <m/>
    <m/>
    <m/>
    <m/>
    <m/>
    <n v="13462893.58"/>
    <n v="13426375.8484"/>
  </r>
  <r>
    <x v="4"/>
    <x v="0"/>
    <s v="North Georgia Technical College"/>
    <m/>
    <n v="140678"/>
    <x v="9"/>
    <n v="8103920"/>
    <n v="8342802"/>
    <m/>
    <m/>
    <m/>
    <m/>
    <n v="8460435.1899999995"/>
    <m/>
    <n v="8460435.1899999995"/>
    <n v="8291226.4861999992"/>
    <m/>
    <n v="8291226.4861999992"/>
    <n v="16564355.189999999"/>
    <n v="16634028.486199999"/>
    <m/>
    <m/>
    <m/>
    <m/>
    <n v="0"/>
    <m/>
    <m/>
    <n v="0"/>
    <m/>
    <m/>
    <m/>
    <m/>
    <m/>
    <m/>
    <n v="16564355.189999999"/>
    <n v="16634028.486199999"/>
  </r>
  <r>
    <x v="4"/>
    <x v="0"/>
    <s v="Oconee Fall Line Technical College"/>
    <m/>
    <n v="420431"/>
    <x v="9"/>
    <n v="9907237.1999999993"/>
    <n v="8730762"/>
    <m/>
    <m/>
    <m/>
    <m/>
    <n v="6514163.6399999997"/>
    <m/>
    <n v="6514163.6399999997"/>
    <n v="6383880.3671999993"/>
    <m/>
    <n v="6383880.3671999993"/>
    <n v="16421400.84"/>
    <n v="15114642.367199998"/>
    <m/>
    <m/>
    <m/>
    <m/>
    <n v="0"/>
    <m/>
    <m/>
    <n v="0"/>
    <m/>
    <m/>
    <m/>
    <m/>
    <m/>
    <m/>
    <n v="16421400.84"/>
    <n v="15114642.367199998"/>
  </r>
  <r>
    <x v="4"/>
    <x v="0"/>
    <s v="Ogeechee Technical College"/>
    <m/>
    <n v="366465"/>
    <x v="9"/>
    <n v="6994104"/>
    <n v="6977983"/>
    <m/>
    <m/>
    <m/>
    <m/>
    <n v="6964360.2999999998"/>
    <m/>
    <n v="6964360.2999999998"/>
    <n v="6825073.0939999996"/>
    <m/>
    <n v="6825073.0939999996"/>
    <n v="13958464.300000001"/>
    <n v="13803056.094000001"/>
    <m/>
    <m/>
    <m/>
    <m/>
    <n v="0"/>
    <m/>
    <m/>
    <n v="0"/>
    <m/>
    <m/>
    <m/>
    <m/>
    <m/>
    <m/>
    <n v="13958464.300000001"/>
    <n v="13803056.094000001"/>
  </r>
  <r>
    <x v="4"/>
    <x v="0"/>
    <s v="Okefenokee Technical College"/>
    <m/>
    <n v="248776"/>
    <x v="9"/>
    <n v="5519811"/>
    <n v="5633994"/>
    <m/>
    <m/>
    <m/>
    <m/>
    <n v="3674025.33"/>
    <m/>
    <n v="3674025.33"/>
    <n v="3600544.8234000001"/>
    <m/>
    <n v="3600544.8234000001"/>
    <n v="9193836.3300000001"/>
    <n v="9234538.8234000001"/>
    <m/>
    <m/>
    <m/>
    <m/>
    <n v="0"/>
    <m/>
    <m/>
    <n v="0"/>
    <m/>
    <m/>
    <m/>
    <m/>
    <m/>
    <m/>
    <n v="9193836.3300000001"/>
    <n v="9234538.8234000001"/>
  </r>
  <r>
    <x v="4"/>
    <x v="0"/>
    <s v="Savannah Technical College"/>
    <m/>
    <n v="140942"/>
    <x v="9"/>
    <n v="11042094"/>
    <n v="10962982"/>
    <m/>
    <m/>
    <m/>
    <m/>
    <n v="16243856.050000001"/>
    <m/>
    <n v="16243856.050000001"/>
    <n v="15918978.929"/>
    <m/>
    <n v="15918978.929"/>
    <n v="27285950.050000001"/>
    <n v="26881960.928999998"/>
    <m/>
    <m/>
    <m/>
    <m/>
    <n v="0"/>
    <m/>
    <m/>
    <n v="0"/>
    <m/>
    <m/>
    <m/>
    <m/>
    <m/>
    <m/>
    <n v="27285950.050000001"/>
    <n v="26881960.928999998"/>
  </r>
  <r>
    <x v="4"/>
    <x v="0"/>
    <s v="South Georgia Technical College"/>
    <m/>
    <n v="141006"/>
    <x v="9"/>
    <n v="8019694"/>
    <n v="8122961"/>
    <m/>
    <m/>
    <m/>
    <m/>
    <n v="7053027.7800000003"/>
    <m/>
    <n v="7053027.7800000003"/>
    <n v="6911967.2243999997"/>
    <m/>
    <n v="6911967.2243999997"/>
    <n v="15072721.780000001"/>
    <n v="15034928.224399999"/>
    <m/>
    <m/>
    <m/>
    <m/>
    <n v="0"/>
    <m/>
    <m/>
    <n v="0"/>
    <m/>
    <m/>
    <m/>
    <m/>
    <m/>
    <m/>
    <n v="15072721.780000001"/>
    <n v="15034928.224399999"/>
  </r>
  <r>
    <x v="4"/>
    <x v="0"/>
    <s v="Southeastern Technical College"/>
    <m/>
    <n v="368911"/>
    <x v="9"/>
    <n v="8302895"/>
    <n v="8278035"/>
    <m/>
    <m/>
    <m/>
    <m/>
    <n v="4265136.93"/>
    <m/>
    <n v="4265136.93"/>
    <n v="4179834.1913999994"/>
    <m/>
    <n v="4179834.1913999994"/>
    <n v="12568031.93"/>
    <n v="12457869.191399999"/>
    <m/>
    <m/>
    <m/>
    <m/>
    <n v="0"/>
    <m/>
    <m/>
    <n v="0"/>
    <m/>
    <m/>
    <m/>
    <m/>
    <m/>
    <m/>
    <n v="12568031.93"/>
    <n v="12457869.191399999"/>
  </r>
  <r>
    <x v="4"/>
    <x v="0"/>
    <s v="Southern Crescent Technical College"/>
    <m/>
    <n v="139986"/>
    <x v="9"/>
    <n v="12775154"/>
    <n v="12046189"/>
    <m/>
    <m/>
    <m/>
    <m/>
    <n v="12184216.68"/>
    <m/>
    <n v="12184216.68"/>
    <n v="11940532.3464"/>
    <m/>
    <n v="11940532.3464"/>
    <n v="24959370.68"/>
    <n v="23986721.3464"/>
    <m/>
    <m/>
    <m/>
    <m/>
    <n v="0"/>
    <m/>
    <m/>
    <n v="0"/>
    <m/>
    <m/>
    <m/>
    <m/>
    <m/>
    <m/>
    <n v="24959370.68"/>
    <n v="23986721.3464"/>
  </r>
  <r>
    <x v="4"/>
    <x v="0"/>
    <s v="Southwest Georgia Technical College"/>
    <m/>
    <n v="141158"/>
    <x v="9"/>
    <n v="6898778"/>
    <n v="6921585"/>
    <m/>
    <m/>
    <m/>
    <m/>
    <n v="3824334.01"/>
    <m/>
    <n v="3824334.01"/>
    <n v="3747847.3297999995"/>
    <m/>
    <n v="3747847.3297999995"/>
    <n v="10723112.01"/>
    <n v="10669432.329799999"/>
    <m/>
    <m/>
    <m/>
    <m/>
    <n v="0"/>
    <m/>
    <m/>
    <n v="0"/>
    <m/>
    <m/>
    <m/>
    <m/>
    <m/>
    <m/>
    <n v="10723112.01"/>
    <n v="10669432.329799999"/>
  </r>
  <r>
    <x v="4"/>
    <x v="0"/>
    <s v="West Georgia Technical College"/>
    <m/>
    <n v="139278"/>
    <x v="9"/>
    <n v="15244000.029999999"/>
    <n v="16005726"/>
    <m/>
    <m/>
    <m/>
    <m/>
    <n v="18637904.420000002"/>
    <m/>
    <n v="18637904.420000002"/>
    <n v="18265146.331600003"/>
    <m/>
    <n v="18265146.331600003"/>
    <n v="33881904.450000003"/>
    <n v="34270872.331600003"/>
    <m/>
    <m/>
    <m/>
    <m/>
    <n v="0"/>
    <m/>
    <m/>
    <n v="0"/>
    <m/>
    <m/>
    <m/>
    <m/>
    <m/>
    <m/>
    <n v="33881904.450000003"/>
    <n v="34270872.331600003"/>
  </r>
  <r>
    <x v="4"/>
    <x v="0"/>
    <s v="Wiregrass Georgia Technical College"/>
    <m/>
    <n v="141255"/>
    <x v="9"/>
    <n v="12274928"/>
    <n v="12554891"/>
    <m/>
    <m/>
    <m/>
    <m/>
    <n v="11284556.539999999"/>
    <m/>
    <n v="11284556.539999999"/>
    <n v="11058865.4092"/>
    <m/>
    <n v="11058865.4092"/>
    <n v="23559484.539999999"/>
    <n v="23613756.409199998"/>
    <m/>
    <m/>
    <m/>
    <m/>
    <n v="0"/>
    <m/>
    <m/>
    <n v="0"/>
    <m/>
    <m/>
    <m/>
    <m/>
    <m/>
    <m/>
    <n v="23559484.539999999"/>
    <n v="23613756.409199998"/>
  </r>
  <r>
    <x v="4"/>
    <x v="10"/>
    <s v="Education special purpose funds -statewide units"/>
    <m/>
    <m/>
    <x v="12"/>
    <m/>
    <m/>
    <m/>
    <m/>
    <m/>
    <m/>
    <m/>
    <m/>
    <n v="0"/>
    <m/>
    <m/>
    <n v="0"/>
    <n v="0"/>
    <n v="0"/>
    <m/>
    <m/>
    <m/>
    <m/>
    <n v="0"/>
    <m/>
    <m/>
    <n v="0"/>
    <m/>
    <m/>
    <m/>
    <m/>
    <m/>
    <m/>
    <n v="0"/>
    <n v="0"/>
  </r>
  <r>
    <x v="4"/>
    <x v="42"/>
    <s v="Community or public service units"/>
    <m/>
    <m/>
    <x v="12"/>
    <m/>
    <m/>
    <m/>
    <m/>
    <m/>
    <m/>
    <m/>
    <m/>
    <n v="0"/>
    <m/>
    <m/>
    <n v="0"/>
    <n v="0"/>
    <n v="0"/>
    <m/>
    <m/>
    <m/>
    <m/>
    <n v="0"/>
    <m/>
    <m/>
    <n v="0"/>
    <m/>
    <m/>
    <m/>
    <m/>
    <m/>
    <m/>
    <n v="0"/>
    <n v="0"/>
  </r>
  <r>
    <x v="4"/>
    <x v="13"/>
    <s v="Education special purpose funds -all other"/>
    <m/>
    <s v=" "/>
    <x v="12"/>
    <m/>
    <m/>
    <m/>
    <m/>
    <m/>
    <m/>
    <m/>
    <m/>
    <n v="0"/>
    <m/>
    <m/>
    <n v="0"/>
    <n v="0"/>
    <n v="0"/>
    <m/>
    <m/>
    <m/>
    <m/>
    <n v="0"/>
    <m/>
    <m/>
    <n v="0"/>
    <m/>
    <m/>
    <m/>
    <m/>
    <m/>
    <m/>
    <n v="0"/>
    <n v="0"/>
  </r>
  <r>
    <x v="4"/>
    <x v="13"/>
    <s v="TCSG Technical Divisions at USG Schools"/>
    <m/>
    <m/>
    <x v="12"/>
    <m/>
    <m/>
    <n v="1022310"/>
    <n v="1110036"/>
    <m/>
    <m/>
    <m/>
    <m/>
    <n v="0"/>
    <m/>
    <m/>
    <n v="0"/>
    <n v="1022310"/>
    <n v="1110036"/>
    <m/>
    <m/>
    <m/>
    <m/>
    <n v="0"/>
    <m/>
    <m/>
    <n v="0"/>
    <m/>
    <m/>
    <m/>
    <m/>
    <m/>
    <m/>
    <n v="1022310"/>
    <n v="1110036"/>
  </r>
  <r>
    <x v="4"/>
    <x v="14"/>
    <s v="Statewide System Operations"/>
    <m/>
    <m/>
    <x v="12"/>
    <m/>
    <m/>
    <m/>
    <m/>
    <m/>
    <m/>
    <m/>
    <m/>
    <n v="0"/>
    <m/>
    <m/>
    <n v="0"/>
    <n v="0"/>
    <n v="0"/>
    <m/>
    <m/>
    <m/>
    <m/>
    <n v="0"/>
    <m/>
    <m/>
    <n v="0"/>
    <m/>
    <m/>
    <m/>
    <m/>
    <m/>
    <m/>
    <n v="0"/>
    <n v="0"/>
  </r>
  <r>
    <x v="4"/>
    <x v="16"/>
    <s v="Two-year system(s), if any"/>
    <m/>
    <m/>
    <x v="12"/>
    <m/>
    <m/>
    <m/>
    <m/>
    <m/>
    <m/>
    <m/>
    <m/>
    <n v="0"/>
    <m/>
    <m/>
    <n v="0"/>
    <n v="0"/>
    <n v="0"/>
    <m/>
    <m/>
    <m/>
    <m/>
    <n v="0"/>
    <m/>
    <m/>
    <n v="0"/>
    <m/>
    <m/>
    <m/>
    <m/>
    <m/>
    <m/>
    <n v="0"/>
    <n v="0"/>
  </r>
  <r>
    <x v="4"/>
    <x v="16"/>
    <s v="TCSG Oversight Unit"/>
    <m/>
    <m/>
    <x v="12"/>
    <m/>
    <m/>
    <m/>
    <m/>
    <m/>
    <m/>
    <m/>
    <m/>
    <n v="0"/>
    <m/>
    <m/>
    <n v="0"/>
    <n v="0"/>
    <n v="0"/>
    <n v="14453101"/>
    <n v="19129661"/>
    <m/>
    <m/>
    <n v="0"/>
    <m/>
    <m/>
    <n v="0"/>
    <m/>
    <m/>
    <m/>
    <m/>
    <m/>
    <m/>
    <n v="14453101"/>
    <n v="19129661"/>
  </r>
  <r>
    <x v="5"/>
    <x v="0"/>
    <s v="University of Kentucky"/>
    <m/>
    <n v="157085"/>
    <x v="0"/>
    <n v="160040755"/>
    <n v="164067629"/>
    <m/>
    <m/>
    <m/>
    <m/>
    <n v="308654165.21450114"/>
    <m/>
    <n v="308654165.21450114"/>
    <n v="339101387"/>
    <m/>
    <n v="339101387"/>
    <n v="468694920.21450114"/>
    <n v="503169016"/>
    <m/>
    <m/>
    <m/>
    <m/>
    <n v="0"/>
    <m/>
    <m/>
    <n v="0"/>
    <m/>
    <m/>
    <m/>
    <m/>
    <m/>
    <m/>
    <n v="468694920.21450114"/>
    <n v="503169016"/>
  </r>
  <r>
    <x v="5"/>
    <x v="1"/>
    <s v="Medical School"/>
    <m/>
    <n v="157085"/>
    <x v="0"/>
    <m/>
    <m/>
    <m/>
    <m/>
    <m/>
    <m/>
    <m/>
    <m/>
    <n v="0"/>
    <m/>
    <m/>
    <n v="0"/>
    <n v="0"/>
    <n v="0"/>
    <m/>
    <m/>
    <m/>
    <m/>
    <n v="0"/>
    <m/>
    <m/>
    <n v="0"/>
    <n v="57770300"/>
    <n v="45657300"/>
    <n v="23550234.78549888"/>
    <m/>
    <n v="25446112.678153802"/>
    <m/>
    <n v="81320534.785498887"/>
    <n v="71103412.678153798"/>
  </r>
  <r>
    <x v="5"/>
    <x v="3"/>
    <s v="Public Service Units"/>
    <m/>
    <n v="157085"/>
    <x v="0"/>
    <m/>
    <m/>
    <m/>
    <m/>
    <m/>
    <m/>
    <m/>
    <m/>
    <n v="0"/>
    <m/>
    <m/>
    <n v="0"/>
    <n v="0"/>
    <n v="0"/>
    <m/>
    <m/>
    <m/>
    <m/>
    <n v="0"/>
    <m/>
    <m/>
    <n v="0"/>
    <m/>
    <m/>
    <m/>
    <m/>
    <m/>
    <m/>
    <n v="0"/>
    <n v="0"/>
  </r>
  <r>
    <x v="5"/>
    <x v="3"/>
    <s v="Livestock Disease Diagnostic Laboratory"/>
    <m/>
    <n v="157085"/>
    <x v="0"/>
    <m/>
    <m/>
    <n v="4085700"/>
    <n v="3815400"/>
    <m/>
    <m/>
    <m/>
    <m/>
    <n v="0"/>
    <m/>
    <m/>
    <n v="0"/>
    <n v="4085700"/>
    <n v="3815400"/>
    <m/>
    <m/>
    <m/>
    <m/>
    <n v="0"/>
    <m/>
    <m/>
    <n v="0"/>
    <m/>
    <m/>
    <m/>
    <m/>
    <m/>
    <m/>
    <n v="4085700"/>
    <n v="3815400"/>
  </r>
  <r>
    <x v="5"/>
    <x v="3"/>
    <s v="Agriculture Public Service"/>
    <m/>
    <n v="157085"/>
    <x v="0"/>
    <m/>
    <m/>
    <n v="1880400"/>
    <n v="1613900"/>
    <m/>
    <m/>
    <m/>
    <m/>
    <n v="0"/>
    <m/>
    <m/>
    <n v="0"/>
    <n v="1880400"/>
    <n v="1613900"/>
    <m/>
    <m/>
    <m/>
    <m/>
    <n v="0"/>
    <m/>
    <m/>
    <n v="0"/>
    <m/>
    <m/>
    <m/>
    <m/>
    <m/>
    <m/>
    <n v="1880400"/>
    <n v="1613900"/>
  </r>
  <r>
    <x v="5"/>
    <x v="3"/>
    <s v="Kentucky Geological Survey"/>
    <m/>
    <n v="157085"/>
    <x v="0"/>
    <m/>
    <m/>
    <n v="4159900"/>
    <n v="3910800"/>
    <m/>
    <m/>
    <m/>
    <m/>
    <n v="0"/>
    <m/>
    <m/>
    <n v="0"/>
    <n v="4159900"/>
    <n v="3910800"/>
    <m/>
    <m/>
    <m/>
    <m/>
    <n v="0"/>
    <m/>
    <m/>
    <n v="0"/>
    <m/>
    <m/>
    <m/>
    <m/>
    <m/>
    <m/>
    <n v="4159900"/>
    <n v="3910800"/>
  </r>
  <r>
    <x v="5"/>
    <x v="3"/>
    <s v="University Press"/>
    <m/>
    <n v="157085"/>
    <x v="0"/>
    <m/>
    <m/>
    <n v="645600"/>
    <n v="610600"/>
    <m/>
    <m/>
    <m/>
    <m/>
    <n v="0"/>
    <m/>
    <m/>
    <n v="0"/>
    <n v="645600"/>
    <n v="610600"/>
    <m/>
    <m/>
    <m/>
    <m/>
    <n v="0"/>
    <m/>
    <m/>
    <n v="0"/>
    <m/>
    <m/>
    <m/>
    <m/>
    <m/>
    <m/>
    <n v="645600"/>
    <n v="610600"/>
  </r>
  <r>
    <x v="5"/>
    <x v="3"/>
    <s v="Japanese Saturday School"/>
    <m/>
    <n v="157085"/>
    <x v="0"/>
    <m/>
    <m/>
    <n v="288600"/>
    <n v="272000"/>
    <m/>
    <m/>
    <m/>
    <m/>
    <n v="0"/>
    <m/>
    <m/>
    <n v="0"/>
    <n v="288600"/>
    <n v="272000"/>
    <m/>
    <m/>
    <m/>
    <m/>
    <n v="0"/>
    <m/>
    <m/>
    <n v="0"/>
    <m/>
    <m/>
    <m/>
    <m/>
    <m/>
    <m/>
    <n v="288600"/>
    <n v="272000"/>
  </r>
  <r>
    <x v="5"/>
    <x v="3"/>
    <s v="Rural Health Care"/>
    <m/>
    <n v="157085"/>
    <x v="0"/>
    <m/>
    <m/>
    <n v="97500"/>
    <n v="0"/>
    <m/>
    <m/>
    <m/>
    <m/>
    <n v="0"/>
    <m/>
    <m/>
    <n v="0"/>
    <n v="97500"/>
    <n v="0"/>
    <m/>
    <m/>
    <m/>
    <m/>
    <n v="0"/>
    <m/>
    <m/>
    <n v="0"/>
    <m/>
    <m/>
    <m/>
    <m/>
    <m/>
    <m/>
    <n v="97500"/>
    <n v="0"/>
  </r>
  <r>
    <x v="5"/>
    <x v="5"/>
    <s v="Agricultural cooperative extension"/>
    <m/>
    <n v="157085"/>
    <x v="0"/>
    <m/>
    <m/>
    <n v="32743300"/>
    <n v="31136800"/>
    <m/>
    <m/>
    <m/>
    <m/>
    <n v="0"/>
    <m/>
    <m/>
    <n v="0"/>
    <n v="32743300"/>
    <n v="31136800"/>
    <m/>
    <m/>
    <m/>
    <m/>
    <n v="0"/>
    <m/>
    <m/>
    <n v="0"/>
    <m/>
    <m/>
    <m/>
    <m/>
    <m/>
    <m/>
    <n v="32743300"/>
    <n v="31136800"/>
  </r>
  <r>
    <x v="5"/>
    <x v="5"/>
    <s v="Agricultural experiment stations"/>
    <m/>
    <n v="157085"/>
    <x v="0"/>
    <m/>
    <m/>
    <n v="29475200"/>
    <n v="26944800"/>
    <m/>
    <m/>
    <m/>
    <m/>
    <n v="0"/>
    <m/>
    <m/>
    <n v="0"/>
    <n v="29475200"/>
    <n v="26944800"/>
    <m/>
    <m/>
    <m/>
    <m/>
    <n v="0"/>
    <m/>
    <m/>
    <n v="0"/>
    <m/>
    <m/>
    <m/>
    <m/>
    <m/>
    <m/>
    <n v="29475200"/>
    <n v="26944800"/>
  </r>
  <r>
    <x v="5"/>
    <x v="7"/>
    <s v="Research centers/institutes"/>
    <m/>
    <n v="157085"/>
    <x v="0"/>
    <m/>
    <m/>
    <m/>
    <m/>
    <m/>
    <m/>
    <m/>
    <m/>
    <n v="0"/>
    <m/>
    <m/>
    <n v="0"/>
    <n v="0"/>
    <n v="0"/>
    <m/>
    <m/>
    <m/>
    <m/>
    <n v="0"/>
    <m/>
    <m/>
    <n v="0"/>
    <m/>
    <m/>
    <m/>
    <m/>
    <m/>
    <m/>
    <n v="0"/>
    <n v="0"/>
  </r>
  <r>
    <x v="5"/>
    <x v="7"/>
    <s v="Center for Applied Energy Research"/>
    <m/>
    <n v="157085"/>
    <x v="0"/>
    <m/>
    <m/>
    <n v="4735000"/>
    <n v="4502500"/>
    <m/>
    <m/>
    <m/>
    <m/>
    <n v="0"/>
    <m/>
    <m/>
    <n v="0"/>
    <n v="4735000"/>
    <n v="4502500"/>
    <m/>
    <m/>
    <m/>
    <m/>
    <n v="0"/>
    <m/>
    <m/>
    <n v="0"/>
    <m/>
    <m/>
    <m/>
    <m/>
    <m/>
    <m/>
    <n v="4735000"/>
    <n v="4502500"/>
  </r>
  <r>
    <x v="5"/>
    <x v="7"/>
    <s v="KY Cancer Registry"/>
    <m/>
    <n v="157085"/>
    <x v="0"/>
    <m/>
    <m/>
    <n v="850545"/>
    <n v="785171"/>
    <m/>
    <m/>
    <m/>
    <m/>
    <n v="0"/>
    <m/>
    <m/>
    <n v="0"/>
    <n v="850545"/>
    <n v="785171"/>
    <m/>
    <m/>
    <m/>
    <m/>
    <n v="0"/>
    <m/>
    <m/>
    <n v="0"/>
    <m/>
    <m/>
    <m/>
    <m/>
    <m/>
    <m/>
    <n v="850545"/>
    <n v="785171"/>
  </r>
  <r>
    <x v="5"/>
    <x v="7"/>
    <s v="Rural Health Care"/>
    <m/>
    <n v="157085"/>
    <x v="0"/>
    <m/>
    <m/>
    <n v="557300"/>
    <n v="552400"/>
    <m/>
    <m/>
    <m/>
    <m/>
    <n v="0"/>
    <m/>
    <m/>
    <n v="0"/>
    <n v="557300"/>
    <n v="552400"/>
    <m/>
    <m/>
    <m/>
    <m/>
    <n v="0"/>
    <m/>
    <m/>
    <n v="0"/>
    <m/>
    <m/>
    <m/>
    <m/>
    <m/>
    <m/>
    <n v="557300"/>
    <n v="552400"/>
  </r>
  <r>
    <x v="5"/>
    <x v="0"/>
    <s v="University of Louisville"/>
    <m/>
    <n v="157289"/>
    <x v="0"/>
    <n v="128988000"/>
    <n v="125068000"/>
    <m/>
    <m/>
    <m/>
    <m/>
    <n v="210647726"/>
    <m/>
    <n v="210647726"/>
    <n v="222515267"/>
    <m/>
    <n v="222515267"/>
    <n v="339635726"/>
    <n v="347583267"/>
    <m/>
    <m/>
    <m/>
    <m/>
    <n v="0"/>
    <m/>
    <m/>
    <n v="0"/>
    <m/>
    <m/>
    <m/>
    <m/>
    <m/>
    <m/>
    <n v="339635726"/>
    <n v="347583267"/>
  </r>
  <r>
    <x v="5"/>
    <x v="1"/>
    <s v="Medical School"/>
    <m/>
    <n v="157289"/>
    <x v="0"/>
    <m/>
    <m/>
    <m/>
    <m/>
    <m/>
    <m/>
    <m/>
    <m/>
    <n v="0"/>
    <m/>
    <m/>
    <n v="0"/>
    <n v="0"/>
    <n v="0"/>
    <m/>
    <m/>
    <m/>
    <m/>
    <n v="0"/>
    <m/>
    <m/>
    <n v="0"/>
    <n v="37655000"/>
    <n v="35562000"/>
    <n v="37729700"/>
    <m/>
    <n v="42210740"/>
    <m/>
    <n v="75384700"/>
    <n v="77772740"/>
  </r>
  <r>
    <x v="5"/>
    <x v="3"/>
    <s v="Public Service Units"/>
    <m/>
    <n v="157289"/>
    <x v="0"/>
    <m/>
    <m/>
    <m/>
    <m/>
    <m/>
    <m/>
    <m/>
    <m/>
    <n v="0"/>
    <m/>
    <m/>
    <n v="0"/>
    <n v="0"/>
    <n v="0"/>
    <m/>
    <m/>
    <m/>
    <m/>
    <n v="0"/>
    <m/>
    <m/>
    <n v="0"/>
    <m/>
    <m/>
    <m/>
    <m/>
    <m/>
    <m/>
    <n v="0"/>
    <n v="0"/>
  </r>
  <r>
    <x v="5"/>
    <x v="3"/>
    <s v="Community Cancer Program"/>
    <m/>
    <n v="157289"/>
    <x v="0"/>
    <m/>
    <m/>
    <n v="852700"/>
    <n v="846100"/>
    <m/>
    <m/>
    <m/>
    <m/>
    <n v="0"/>
    <m/>
    <m/>
    <n v="0"/>
    <n v="852700"/>
    <n v="846100"/>
    <m/>
    <m/>
    <m/>
    <m/>
    <n v="0"/>
    <m/>
    <m/>
    <n v="0"/>
    <m/>
    <m/>
    <m/>
    <m/>
    <m/>
    <m/>
    <n v="852700"/>
    <n v="846100"/>
  </r>
  <r>
    <x v="5"/>
    <x v="3"/>
    <s v="State Data Center"/>
    <m/>
    <n v="157289"/>
    <x v="0"/>
    <m/>
    <m/>
    <n v="152300"/>
    <n v="153100"/>
    <m/>
    <m/>
    <m/>
    <m/>
    <n v="0"/>
    <m/>
    <m/>
    <n v="0"/>
    <n v="152300"/>
    <n v="153100"/>
    <m/>
    <m/>
    <m/>
    <m/>
    <n v="0"/>
    <m/>
    <m/>
    <n v="0"/>
    <m/>
    <m/>
    <m/>
    <m/>
    <m/>
    <m/>
    <n v="152300"/>
    <n v="153100"/>
  </r>
  <r>
    <x v="5"/>
    <x v="7"/>
    <s v="Research centers/institutes"/>
    <m/>
    <n v="157289"/>
    <x v="0"/>
    <m/>
    <m/>
    <m/>
    <m/>
    <m/>
    <m/>
    <m/>
    <m/>
    <n v="0"/>
    <m/>
    <m/>
    <n v="0"/>
    <n v="0"/>
    <n v="0"/>
    <m/>
    <m/>
    <m/>
    <m/>
    <n v="0"/>
    <m/>
    <m/>
    <n v="0"/>
    <m/>
    <m/>
    <m/>
    <m/>
    <m/>
    <m/>
    <n v="0"/>
    <n v="0"/>
  </r>
  <r>
    <x v="5"/>
    <x v="0"/>
    <s v="Eastern Kentucky University "/>
    <m/>
    <n v="156620"/>
    <x v="2"/>
    <n v="70823000"/>
    <n v="67673700"/>
    <m/>
    <m/>
    <m/>
    <m/>
    <n v="130059200"/>
    <m/>
    <n v="130059200"/>
    <n v="132387000"/>
    <m/>
    <n v="132387000"/>
    <n v="200882200"/>
    <n v="200060700"/>
    <m/>
    <m/>
    <m/>
    <m/>
    <n v="0"/>
    <m/>
    <m/>
    <n v="0"/>
    <m/>
    <m/>
    <m/>
    <m/>
    <m/>
    <m/>
    <n v="200882200"/>
    <n v="200060700"/>
  </r>
  <r>
    <x v="5"/>
    <x v="0"/>
    <s v="Morehead State University "/>
    <m/>
    <n v="157386"/>
    <x v="2"/>
    <n v="41848900"/>
    <n v="39892600"/>
    <m/>
    <m/>
    <m/>
    <m/>
    <n v="65103700"/>
    <m/>
    <n v="65103700"/>
    <n v="70267400"/>
    <m/>
    <n v="70267400"/>
    <n v="106952600"/>
    <n v="110160000"/>
    <m/>
    <m/>
    <m/>
    <m/>
    <n v="0"/>
    <m/>
    <m/>
    <n v="0"/>
    <m/>
    <m/>
    <m/>
    <m/>
    <m/>
    <m/>
    <n v="106952600"/>
    <n v="110160000"/>
  </r>
  <r>
    <x v="5"/>
    <x v="3"/>
    <s v="Public Service Units"/>
    <m/>
    <n v="157386"/>
    <x v="2"/>
    <m/>
    <m/>
    <m/>
    <m/>
    <m/>
    <m/>
    <m/>
    <m/>
    <n v="0"/>
    <m/>
    <m/>
    <n v="0"/>
    <n v="0"/>
    <n v="0"/>
    <m/>
    <m/>
    <m/>
    <m/>
    <n v="0"/>
    <m/>
    <m/>
    <n v="0"/>
    <m/>
    <m/>
    <m/>
    <m/>
    <m/>
    <m/>
    <n v="0"/>
    <n v="0"/>
  </r>
  <r>
    <x v="5"/>
    <x v="3"/>
    <s v="Appalachian Regional Service"/>
    <m/>
    <n v="157386"/>
    <x v="2"/>
    <m/>
    <m/>
    <n v="982800"/>
    <n v="982800"/>
    <m/>
    <m/>
    <m/>
    <m/>
    <n v="0"/>
    <m/>
    <m/>
    <n v="0"/>
    <n v="982800"/>
    <n v="982800"/>
    <m/>
    <m/>
    <m/>
    <m/>
    <n v="0"/>
    <m/>
    <m/>
    <n v="0"/>
    <m/>
    <m/>
    <m/>
    <m/>
    <m/>
    <m/>
    <n v="982800"/>
    <n v="982800"/>
  </r>
  <r>
    <x v="5"/>
    <x v="7"/>
    <s v="Research centers/institutes"/>
    <m/>
    <n v="157386"/>
    <x v="2"/>
    <m/>
    <m/>
    <m/>
    <m/>
    <m/>
    <m/>
    <m/>
    <m/>
    <n v="0"/>
    <m/>
    <m/>
    <n v="0"/>
    <n v="0"/>
    <n v="0"/>
    <m/>
    <m/>
    <m/>
    <m/>
    <n v="0"/>
    <m/>
    <m/>
    <n v="0"/>
    <m/>
    <m/>
    <m/>
    <m/>
    <m/>
    <m/>
    <n v="0"/>
    <n v="0"/>
  </r>
  <r>
    <x v="5"/>
    <x v="7"/>
    <s v="Institute for Correctional Training/Research"/>
    <m/>
    <n v="157386"/>
    <x v="2"/>
    <m/>
    <m/>
    <n v="141000"/>
    <n v="141000"/>
    <m/>
    <m/>
    <m/>
    <m/>
    <n v="0"/>
    <m/>
    <m/>
    <n v="0"/>
    <n v="141000"/>
    <n v="141000"/>
    <m/>
    <m/>
    <m/>
    <m/>
    <n v="0"/>
    <m/>
    <m/>
    <n v="0"/>
    <m/>
    <m/>
    <m/>
    <m/>
    <m/>
    <m/>
    <n v="141000"/>
    <n v="141000"/>
  </r>
  <r>
    <x v="5"/>
    <x v="0"/>
    <s v="Murray State University "/>
    <m/>
    <n v="157401"/>
    <x v="2"/>
    <n v="47469800"/>
    <n v="45361100"/>
    <m/>
    <m/>
    <m/>
    <m/>
    <n v="93343856"/>
    <m/>
    <n v="93343856"/>
    <n v="101421400"/>
    <m/>
    <n v="101421400"/>
    <n v="140813656"/>
    <n v="146782500"/>
    <m/>
    <m/>
    <m/>
    <m/>
    <n v="0"/>
    <m/>
    <m/>
    <n v="0"/>
    <m/>
    <m/>
    <m/>
    <m/>
    <m/>
    <m/>
    <n v="140813656"/>
    <n v="146782500"/>
  </r>
  <r>
    <x v="5"/>
    <x v="3"/>
    <s v="Community or public service units"/>
    <m/>
    <n v="157401"/>
    <x v="2"/>
    <m/>
    <m/>
    <m/>
    <m/>
    <m/>
    <m/>
    <m/>
    <m/>
    <n v="0"/>
    <m/>
    <m/>
    <n v="0"/>
    <n v="0"/>
    <n v="0"/>
    <m/>
    <m/>
    <m/>
    <m/>
    <n v="0"/>
    <m/>
    <m/>
    <n v="0"/>
    <m/>
    <m/>
    <m/>
    <m/>
    <m/>
    <m/>
    <n v="0"/>
    <n v="0"/>
  </r>
  <r>
    <x v="5"/>
    <x v="3"/>
    <s v="Breathitt Veterinary Clinic"/>
    <m/>
    <n v="157401"/>
    <x v="2"/>
    <m/>
    <m/>
    <n v="2825600"/>
    <n v="2644700"/>
    <m/>
    <m/>
    <m/>
    <m/>
    <n v="0"/>
    <m/>
    <m/>
    <n v="0"/>
    <n v="2825600"/>
    <n v="2644700"/>
    <m/>
    <m/>
    <m/>
    <m/>
    <n v="0"/>
    <m/>
    <m/>
    <n v="0"/>
    <m/>
    <m/>
    <m/>
    <m/>
    <m/>
    <m/>
    <n v="2825600"/>
    <n v="2644700"/>
  </r>
  <r>
    <x v="5"/>
    <x v="0"/>
    <s v="Western Kentucky University "/>
    <m/>
    <n v="157951"/>
    <x v="2"/>
    <n v="73110200"/>
    <n v="69580600"/>
    <m/>
    <m/>
    <m/>
    <m/>
    <n v="167466500"/>
    <m/>
    <n v="167466500"/>
    <n v="175905300"/>
    <m/>
    <n v="175905300"/>
    <n v="240576700"/>
    <n v="245485900"/>
    <m/>
    <m/>
    <m/>
    <m/>
    <n v="0"/>
    <m/>
    <m/>
    <n v="0"/>
    <m/>
    <m/>
    <m/>
    <m/>
    <m/>
    <m/>
    <n v="240576700"/>
    <n v="245485900"/>
  </r>
  <r>
    <x v="5"/>
    <x v="3"/>
    <s v="Community or public service units"/>
    <m/>
    <n v="157951"/>
    <x v="2"/>
    <m/>
    <m/>
    <m/>
    <m/>
    <m/>
    <m/>
    <m/>
    <m/>
    <n v="0"/>
    <m/>
    <m/>
    <n v="0"/>
    <n v="0"/>
    <n v="0"/>
    <m/>
    <m/>
    <m/>
    <m/>
    <n v="0"/>
    <m/>
    <m/>
    <n v="0"/>
    <m/>
    <m/>
    <m/>
    <m/>
    <m/>
    <m/>
    <n v="0"/>
    <n v="0"/>
  </r>
  <r>
    <x v="5"/>
    <x v="3"/>
    <s v="Kentucky Academy for Math and Science"/>
    <m/>
    <n v="157951"/>
    <x v="2"/>
    <m/>
    <m/>
    <n v="2769300"/>
    <n v="2844600"/>
    <m/>
    <m/>
    <m/>
    <m/>
    <n v="0"/>
    <m/>
    <m/>
    <n v="0"/>
    <n v="2769300"/>
    <n v="2844600"/>
    <m/>
    <m/>
    <m/>
    <m/>
    <n v="0"/>
    <m/>
    <m/>
    <n v="0"/>
    <m/>
    <m/>
    <m/>
    <m/>
    <m/>
    <m/>
    <n v="2769300"/>
    <n v="2844600"/>
  </r>
  <r>
    <x v="5"/>
    <x v="0"/>
    <s v="Kentucky State University "/>
    <m/>
    <n v="157058"/>
    <x v="3"/>
    <n v="18581912"/>
    <n v="19176845"/>
    <m/>
    <m/>
    <m/>
    <m/>
    <n v="23476500"/>
    <m/>
    <n v="23476500"/>
    <n v="23476538.410000004"/>
    <m/>
    <n v="23476538.410000004"/>
    <n v="42058412"/>
    <n v="42653383.410000004"/>
    <m/>
    <m/>
    <m/>
    <m/>
    <n v="0"/>
    <m/>
    <m/>
    <n v="0"/>
    <m/>
    <m/>
    <m/>
    <m/>
    <m/>
    <m/>
    <n v="42058412"/>
    <n v="42653383.410000004"/>
  </r>
  <r>
    <x v="5"/>
    <x v="3"/>
    <s v="Public Service Units"/>
    <m/>
    <n v="157058"/>
    <x v="3"/>
    <m/>
    <m/>
    <n v="3150898"/>
    <n v="2117790"/>
    <m/>
    <m/>
    <m/>
    <m/>
    <n v="0"/>
    <m/>
    <m/>
    <n v="0"/>
    <n v="3150898"/>
    <n v="2117790"/>
    <m/>
    <m/>
    <m/>
    <m/>
    <n v="0"/>
    <m/>
    <m/>
    <n v="0"/>
    <m/>
    <m/>
    <m/>
    <m/>
    <m/>
    <m/>
    <n v="3150898"/>
    <n v="2117790"/>
  </r>
  <r>
    <x v="5"/>
    <x v="5"/>
    <s v="Agricultural cooperative extension"/>
    <m/>
    <n v="157058"/>
    <x v="3"/>
    <m/>
    <m/>
    <n v="2927190"/>
    <n v="2242765"/>
    <m/>
    <m/>
    <m/>
    <m/>
    <n v="0"/>
    <m/>
    <m/>
    <n v="0"/>
    <n v="2927190"/>
    <n v="2242765"/>
    <m/>
    <m/>
    <m/>
    <m/>
    <n v="0"/>
    <m/>
    <m/>
    <n v="0"/>
    <m/>
    <m/>
    <m/>
    <m/>
    <m/>
    <m/>
    <n v="2927190"/>
    <n v="2242765"/>
  </r>
  <r>
    <x v="5"/>
    <x v="0"/>
    <s v="Northern Kentucky University "/>
    <s v="Met the criteria for Four-Year 3 in 2012-13."/>
    <n v="157447"/>
    <x v="3"/>
    <n v="47568900"/>
    <n v="45335100"/>
    <m/>
    <m/>
    <m/>
    <m/>
    <n v="131912500"/>
    <m/>
    <n v="131912500"/>
    <n v="137699100"/>
    <m/>
    <n v="137699100"/>
    <n v="179481400"/>
    <n v="183034200"/>
    <m/>
    <m/>
    <m/>
    <m/>
    <n v="0"/>
    <m/>
    <m/>
    <n v="0"/>
    <m/>
    <m/>
    <m/>
    <m/>
    <m/>
    <m/>
    <n v="179481400"/>
    <n v="183034200"/>
  </r>
  <r>
    <x v="5"/>
    <x v="3"/>
    <s v="Community or public service units"/>
    <m/>
    <n v="157447"/>
    <x v="3"/>
    <m/>
    <m/>
    <m/>
    <m/>
    <m/>
    <m/>
    <m/>
    <m/>
    <n v="0"/>
    <m/>
    <m/>
    <n v="0"/>
    <n v="0"/>
    <n v="0"/>
    <m/>
    <m/>
    <m/>
    <m/>
    <n v="0"/>
    <m/>
    <m/>
    <n v="0"/>
    <m/>
    <m/>
    <m/>
    <m/>
    <m/>
    <m/>
    <n v="0"/>
    <n v="0"/>
  </r>
  <r>
    <x v="5"/>
    <x v="3"/>
    <s v="Kentucky Center for Mathamatics"/>
    <m/>
    <n v="157447"/>
    <x v="3"/>
    <m/>
    <m/>
    <n v="1500000"/>
    <n v="1500000"/>
    <m/>
    <m/>
    <m/>
    <m/>
    <n v="0"/>
    <m/>
    <m/>
    <n v="0"/>
    <n v="1500000"/>
    <n v="1500000"/>
    <m/>
    <m/>
    <m/>
    <m/>
    <n v="0"/>
    <m/>
    <m/>
    <n v="0"/>
    <m/>
    <m/>
    <m/>
    <m/>
    <m/>
    <m/>
    <n v="1500000"/>
    <n v="1500000"/>
  </r>
  <r>
    <x v="5"/>
    <x v="0"/>
    <s v="Bluegrass Community and Technical College"/>
    <m/>
    <n v="157173"/>
    <x v="6"/>
    <n v="13080653.448458841"/>
    <n v="11652328.106205866"/>
    <m/>
    <m/>
    <m/>
    <m/>
    <n v="38493853"/>
    <m/>
    <n v="38493853"/>
    <n v="38021000"/>
    <m/>
    <n v="38021000"/>
    <n v="51574506.448458843"/>
    <n v="49673328.106205866"/>
    <m/>
    <m/>
    <m/>
    <m/>
    <n v="0"/>
    <m/>
    <m/>
    <n v="0"/>
    <m/>
    <m/>
    <m/>
    <m/>
    <m/>
    <m/>
    <n v="51574506.448458843"/>
    <n v="49673328.106205866"/>
  </r>
  <r>
    <x v="5"/>
    <x v="0"/>
    <s v="Jefferson Community and Technical College "/>
    <m/>
    <n v="156921"/>
    <x v="6"/>
    <n v="20345729.977126185"/>
    <n v="17732709.179815341"/>
    <m/>
    <m/>
    <m/>
    <m/>
    <n v="36475315"/>
    <m/>
    <n v="36475315"/>
    <n v="35324000"/>
    <m/>
    <n v="35324000"/>
    <n v="56821044.977126181"/>
    <n v="53056709.179815337"/>
    <m/>
    <m/>
    <m/>
    <m/>
    <n v="0"/>
    <m/>
    <m/>
    <n v="0"/>
    <m/>
    <m/>
    <m/>
    <m/>
    <m/>
    <m/>
    <n v="56821044.977126181"/>
    <n v="53056709.179815337"/>
  </r>
  <r>
    <x v="5"/>
    <x v="0"/>
    <s v="Ashland Community and Technical College"/>
    <m/>
    <n v="156231"/>
    <x v="7"/>
    <n v="11318383.534052661"/>
    <n v="9630843.3648285475"/>
    <m/>
    <m/>
    <m/>
    <m/>
    <n v="11249153"/>
    <m/>
    <n v="11249153"/>
    <n v="10619000"/>
    <m/>
    <n v="10619000"/>
    <n v="22567536.534052663"/>
    <n v="20249843.364828549"/>
    <m/>
    <m/>
    <m/>
    <m/>
    <n v="0"/>
    <m/>
    <m/>
    <n v="0"/>
    <m/>
    <m/>
    <m/>
    <m/>
    <m/>
    <m/>
    <n v="22567536.534052663"/>
    <n v="20249843.364828549"/>
  </r>
  <r>
    <x v="5"/>
    <x v="0"/>
    <s v="Big Sandy Community and Technical College "/>
    <m/>
    <n v="157553"/>
    <x v="7"/>
    <n v="13000572.284242855"/>
    <n v="11347267.681598017"/>
    <m/>
    <m/>
    <m/>
    <m/>
    <n v="11136584"/>
    <m/>
    <n v="11136584"/>
    <n v="11162000"/>
    <m/>
    <n v="11162000"/>
    <n v="24137156.284242854"/>
    <n v="22509267.681598015"/>
    <m/>
    <m/>
    <m/>
    <m/>
    <n v="0"/>
    <m/>
    <m/>
    <n v="0"/>
    <m/>
    <m/>
    <m/>
    <m/>
    <m/>
    <m/>
    <n v="24137156.284242854"/>
    <n v="22509267.681598015"/>
  </r>
  <r>
    <x v="5"/>
    <x v="0"/>
    <s v="Elizabethtown Community and Technical College "/>
    <m/>
    <n v="156648"/>
    <x v="7"/>
    <n v="9302317.4995949771"/>
    <n v="9432370.3174933195"/>
    <m/>
    <m/>
    <m/>
    <m/>
    <n v="16373103"/>
    <m/>
    <n v="16373103"/>
    <n v="15900000"/>
    <m/>
    <n v="15900000"/>
    <n v="25675420.499594979"/>
    <n v="25332370.31749332"/>
    <m/>
    <m/>
    <m/>
    <m/>
    <n v="0"/>
    <m/>
    <m/>
    <n v="0"/>
    <m/>
    <m/>
    <m/>
    <m/>
    <m/>
    <m/>
    <n v="25675420.499594979"/>
    <n v="25332370.31749332"/>
  </r>
  <r>
    <x v="5"/>
    <x v="0"/>
    <s v="Hazard Community and Technical College"/>
    <s v="Reclassified: met the criteria for classification as a Two-Year 2 in 2010-11, 2011-12, and 2012-13."/>
    <n v="156790"/>
    <x v="7"/>
    <n v="12868251.30789981"/>
    <n v="13888212.74439593"/>
    <m/>
    <m/>
    <m/>
    <m/>
    <n v="8857612"/>
    <m/>
    <n v="8857612"/>
    <n v="8875000"/>
    <m/>
    <n v="8875000"/>
    <n v="21725863.30789981"/>
    <n v="22763212.74439593"/>
    <m/>
    <m/>
    <m/>
    <m/>
    <n v="0"/>
    <m/>
    <m/>
    <n v="0"/>
    <m/>
    <m/>
    <m/>
    <m/>
    <m/>
    <m/>
    <n v="21725863.30789981"/>
    <n v="22763212.74439593"/>
  </r>
  <r>
    <x v="5"/>
    <x v="0"/>
    <s v="Hopkinsville Community College "/>
    <m/>
    <n v="156860"/>
    <x v="7"/>
    <n v="4968158.6099510277"/>
    <n v="5036559.8616982773"/>
    <m/>
    <m/>
    <m/>
    <m/>
    <n v="10504044"/>
    <m/>
    <n v="10504044"/>
    <n v="9600000"/>
    <m/>
    <n v="9600000"/>
    <n v="15472202.609951027"/>
    <n v="14636559.861698277"/>
    <m/>
    <m/>
    <m/>
    <m/>
    <n v="0"/>
    <m/>
    <m/>
    <n v="0"/>
    <m/>
    <m/>
    <m/>
    <m/>
    <m/>
    <m/>
    <n v="15472202.609951027"/>
    <n v="14636559.861698277"/>
  </r>
  <r>
    <x v="5"/>
    <x v="0"/>
    <s v="Madisonville Community College"/>
    <m/>
    <n v="157304"/>
    <x v="7"/>
    <n v="9342018.3149715066"/>
    <n v="9590413.6700010002"/>
    <m/>
    <m/>
    <m/>
    <m/>
    <n v="8299510"/>
    <m/>
    <n v="8299510"/>
    <n v="8889000"/>
    <m/>
    <n v="8889000"/>
    <n v="17641528.314971507"/>
    <n v="18479413.670001"/>
    <m/>
    <m/>
    <m/>
    <m/>
    <n v="0"/>
    <m/>
    <m/>
    <n v="0"/>
    <m/>
    <m/>
    <m/>
    <m/>
    <m/>
    <m/>
    <n v="17641528.314971507"/>
    <n v="18479413.670001"/>
  </r>
  <r>
    <x v="5"/>
    <x v="0"/>
    <s v="Maysville Community and Technical College "/>
    <m/>
    <n v="157331"/>
    <x v="7"/>
    <n v="7424975.9746125769"/>
    <n v="7627735.7574637495"/>
    <m/>
    <m/>
    <m/>
    <m/>
    <n v="13344472"/>
    <m/>
    <n v="13344472"/>
    <n v="12451000"/>
    <m/>
    <n v="12451000"/>
    <n v="20769447.974612579"/>
    <n v="20078735.757463749"/>
    <m/>
    <m/>
    <m/>
    <m/>
    <n v="0"/>
    <m/>
    <m/>
    <n v="0"/>
    <m/>
    <m/>
    <m/>
    <m/>
    <m/>
    <m/>
    <n v="20769447.974612579"/>
    <n v="20078735.757463749"/>
  </r>
  <r>
    <x v="5"/>
    <x v="0"/>
    <s v="Owensboro Community and Technical College "/>
    <m/>
    <n v="247940"/>
    <x v="7"/>
    <n v="8784342.5527200475"/>
    <n v="7187909.6834307453"/>
    <m/>
    <m/>
    <m/>
    <m/>
    <n v="13091179"/>
    <m/>
    <n v="13091179"/>
    <n v="11793000"/>
    <m/>
    <n v="11793000"/>
    <n v="21875521.552720048"/>
    <n v="18980909.683430746"/>
    <m/>
    <m/>
    <m/>
    <m/>
    <n v="0"/>
    <m/>
    <m/>
    <n v="0"/>
    <m/>
    <m/>
    <m/>
    <m/>
    <m/>
    <m/>
    <n v="21875521.552720048"/>
    <n v="18980909.683430746"/>
  </r>
  <r>
    <x v="5"/>
    <x v="0"/>
    <s v="Somerset Community College "/>
    <m/>
    <n v="157711"/>
    <x v="7"/>
    <n v="14234655.464676738"/>
    <n v="11931660.543196186"/>
    <m/>
    <m/>
    <m/>
    <m/>
    <n v="22136295"/>
    <m/>
    <n v="22136295"/>
    <n v="20260000"/>
    <m/>
    <n v="20260000"/>
    <n v="36370950.464676738"/>
    <n v="32191660.543196186"/>
    <m/>
    <m/>
    <m/>
    <m/>
    <n v="0"/>
    <m/>
    <m/>
    <n v="0"/>
    <m/>
    <m/>
    <m/>
    <m/>
    <m/>
    <m/>
    <n v="36370950.464676738"/>
    <n v="32191660.543196186"/>
  </r>
  <r>
    <x v="5"/>
    <x v="0"/>
    <s v="Southeast Kentucky Community and Technical College"/>
    <m/>
    <n v="157739"/>
    <x v="7"/>
    <n v="12716966.724578233"/>
    <n v="12817438.402599704"/>
    <m/>
    <m/>
    <m/>
    <m/>
    <n v="9618303"/>
    <m/>
    <n v="9618303"/>
    <n v="9712000"/>
    <m/>
    <n v="9712000"/>
    <n v="22335269.724578232"/>
    <n v="22529438.402599704"/>
    <m/>
    <m/>
    <m/>
    <m/>
    <n v="0"/>
    <m/>
    <m/>
    <n v="0"/>
    <m/>
    <m/>
    <m/>
    <m/>
    <m/>
    <m/>
    <n v="22335269.724578232"/>
    <n v="22529438.402599704"/>
  </r>
  <r>
    <x v="5"/>
    <x v="0"/>
    <s v="West Kentucky Community and Technical College"/>
    <m/>
    <n v="157483"/>
    <x v="7"/>
    <n v="12086733.071146073"/>
    <n v="10829032.502444921"/>
    <m/>
    <m/>
    <m/>
    <m/>
    <n v="17215056"/>
    <m/>
    <n v="17215056"/>
    <n v="17524000"/>
    <m/>
    <n v="17524000"/>
    <n v="29301789.071146071"/>
    <n v="28353032.502444923"/>
    <m/>
    <m/>
    <m/>
    <m/>
    <n v="0"/>
    <m/>
    <m/>
    <n v="0"/>
    <m/>
    <m/>
    <m/>
    <m/>
    <m/>
    <m/>
    <n v="29301789.071146071"/>
    <n v="28353032.502444923"/>
  </r>
  <r>
    <x v="5"/>
    <x v="0"/>
    <s v="Henderson Community College "/>
    <m/>
    <n v="156851"/>
    <x v="8"/>
    <n v="6160182.4348335806"/>
    <n v="5161524.3729834203"/>
    <m/>
    <m/>
    <m/>
    <m/>
    <n v="5406194"/>
    <m/>
    <n v="5406194"/>
    <n v="5437000"/>
    <m/>
    <n v="5437000"/>
    <n v="11566376.434833581"/>
    <n v="10598524.37298342"/>
    <m/>
    <m/>
    <m/>
    <m/>
    <n v="0"/>
    <m/>
    <m/>
    <n v="0"/>
    <m/>
    <m/>
    <m/>
    <m/>
    <m/>
    <m/>
    <n v="11566376.434833581"/>
    <n v="10598524.37298342"/>
  </r>
  <r>
    <x v="5"/>
    <x v="0"/>
    <s v="Gateway Community and Technical College"/>
    <m/>
    <n v="157438"/>
    <x v="9"/>
    <n v="9280895.6145717669"/>
    <n v="7851936.7924165074"/>
    <m/>
    <m/>
    <m/>
    <m/>
    <n v="10440984"/>
    <m/>
    <n v="10440984"/>
    <n v="10763000"/>
    <m/>
    <n v="10763000"/>
    <n v="19721879.614571765"/>
    <n v="18614936.792416506"/>
    <m/>
    <m/>
    <m/>
    <m/>
    <n v="0"/>
    <m/>
    <m/>
    <n v="0"/>
    <m/>
    <m/>
    <m/>
    <m/>
    <m/>
    <m/>
    <n v="19721879.614571765"/>
    <n v="18614936.792416506"/>
  </r>
  <r>
    <x v="5"/>
    <x v="0"/>
    <s v="Southcentral Kentucky Community and Technical College"/>
    <m/>
    <n v="156338"/>
    <x v="9"/>
    <n v="6994802.3965631239"/>
    <n v="7380257.0194284655"/>
    <m/>
    <m/>
    <m/>
    <m/>
    <n v="9742411"/>
    <m/>
    <n v="9742411"/>
    <n v="11688000"/>
    <m/>
    <n v="11688000"/>
    <n v="16737213.396563124"/>
    <n v="19068257.019428466"/>
    <m/>
    <m/>
    <m/>
    <m/>
    <n v="0"/>
    <m/>
    <m/>
    <n v="0"/>
    <m/>
    <m/>
    <m/>
    <m/>
    <m/>
    <m/>
    <n v="16737213.396563124"/>
    <n v="19068257.019428466"/>
  </r>
  <r>
    <x v="5"/>
    <x v="42"/>
    <s v="Education special purpose funds -statewide units"/>
    <m/>
    <m/>
    <x v="12"/>
    <m/>
    <m/>
    <m/>
    <m/>
    <m/>
    <m/>
    <m/>
    <m/>
    <n v="0"/>
    <m/>
    <m/>
    <n v="0"/>
    <n v="0"/>
    <n v="0"/>
    <m/>
    <m/>
    <m/>
    <m/>
    <n v="0"/>
    <m/>
    <m/>
    <n v="0"/>
    <m/>
    <m/>
    <m/>
    <m/>
    <m/>
    <m/>
    <n v="0"/>
    <n v="0"/>
  </r>
  <r>
    <x v="5"/>
    <x v="42"/>
    <s v="Public Service Units"/>
    <m/>
    <m/>
    <x v="12"/>
    <m/>
    <m/>
    <m/>
    <m/>
    <m/>
    <m/>
    <m/>
    <m/>
    <n v="0"/>
    <m/>
    <m/>
    <n v="0"/>
    <n v="0"/>
    <n v="0"/>
    <m/>
    <m/>
    <m/>
    <m/>
    <n v="0"/>
    <m/>
    <m/>
    <n v="0"/>
    <m/>
    <m/>
    <m/>
    <m/>
    <m/>
    <m/>
    <n v="0"/>
    <n v="0"/>
  </r>
  <r>
    <x v="5"/>
    <x v="42"/>
    <s v="KY WINS"/>
    <m/>
    <m/>
    <x v="12"/>
    <m/>
    <m/>
    <n v="0"/>
    <n v="5054800"/>
    <m/>
    <m/>
    <m/>
    <m/>
    <n v="0"/>
    <m/>
    <m/>
    <n v="0"/>
    <n v="0"/>
    <n v="5054800"/>
    <m/>
    <m/>
    <m/>
    <m/>
    <n v="0"/>
    <m/>
    <m/>
    <n v="0"/>
    <m/>
    <m/>
    <m/>
    <m/>
    <m/>
    <m/>
    <n v="0"/>
    <n v="5054800"/>
  </r>
  <r>
    <x v="5"/>
    <x v="42"/>
    <s v="Kentucky Coal Academy"/>
    <m/>
    <m/>
    <x v="12"/>
    <m/>
    <m/>
    <n v="0"/>
    <m/>
    <m/>
    <m/>
    <m/>
    <m/>
    <n v="0"/>
    <m/>
    <m/>
    <n v="0"/>
    <n v="0"/>
    <n v="0"/>
    <m/>
    <m/>
    <m/>
    <m/>
    <n v="0"/>
    <m/>
    <m/>
    <n v="0"/>
    <m/>
    <m/>
    <m/>
    <m/>
    <m/>
    <m/>
    <n v="0"/>
    <n v="0"/>
  </r>
  <r>
    <x v="5"/>
    <x v="42"/>
    <s v="University Health Insurance Premium Supplement"/>
    <m/>
    <m/>
    <x v="12"/>
    <m/>
    <m/>
    <n v="900200"/>
    <n v="842600"/>
    <m/>
    <m/>
    <m/>
    <m/>
    <n v="0"/>
    <m/>
    <m/>
    <n v="0"/>
    <n v="900200"/>
    <n v="842600"/>
    <m/>
    <m/>
    <m/>
    <m/>
    <n v="0"/>
    <m/>
    <m/>
    <n v="0"/>
    <m/>
    <m/>
    <m/>
    <m/>
    <m/>
    <m/>
    <n v="900200"/>
    <n v="842600"/>
  </r>
  <r>
    <x v="5"/>
    <x v="42"/>
    <s v="Kentucky Board of Emergency Medical Services"/>
    <m/>
    <m/>
    <x v="12"/>
    <m/>
    <m/>
    <n v="2136400"/>
    <n v="2025800"/>
    <m/>
    <m/>
    <m/>
    <m/>
    <n v="0"/>
    <m/>
    <m/>
    <n v="0"/>
    <n v="2136400"/>
    <n v="2025800"/>
    <m/>
    <m/>
    <m/>
    <m/>
    <n v="0"/>
    <m/>
    <m/>
    <n v="0"/>
    <m/>
    <m/>
    <m/>
    <m/>
    <m/>
    <m/>
    <n v="2136400"/>
    <n v="2025800"/>
  </r>
  <r>
    <x v="5"/>
    <x v="42"/>
    <s v="Fire Commission"/>
    <m/>
    <m/>
    <x v="12"/>
    <m/>
    <m/>
    <n v="2135700"/>
    <n v="2105300"/>
    <m/>
    <m/>
    <m/>
    <m/>
    <n v="0"/>
    <m/>
    <m/>
    <n v="0"/>
    <n v="2135700"/>
    <n v="2105300"/>
    <m/>
    <m/>
    <m/>
    <m/>
    <n v="0"/>
    <m/>
    <m/>
    <n v="0"/>
    <m/>
    <m/>
    <m/>
    <m/>
    <m/>
    <m/>
    <n v="2135700"/>
    <n v="2105300"/>
  </r>
  <r>
    <x v="5"/>
    <x v="13"/>
    <s v="Education special purpose funds — all other"/>
    <m/>
    <m/>
    <x v="12"/>
    <m/>
    <m/>
    <m/>
    <m/>
    <m/>
    <m/>
    <m/>
    <m/>
    <n v="0"/>
    <m/>
    <m/>
    <n v="0"/>
    <n v="0"/>
    <n v="0"/>
    <m/>
    <m/>
    <m/>
    <m/>
    <n v="0"/>
    <m/>
    <m/>
    <n v="0"/>
    <m/>
    <m/>
    <m/>
    <m/>
    <m/>
    <m/>
    <n v="0"/>
    <n v="0"/>
  </r>
  <r>
    <x v="5"/>
    <x v="13"/>
    <s v="(PEPP) Health Programs"/>
    <m/>
    <m/>
    <x v="12"/>
    <m/>
    <m/>
    <n v="290300"/>
    <n v="265100"/>
    <m/>
    <m/>
    <m/>
    <m/>
    <n v="0"/>
    <m/>
    <m/>
    <n v="0"/>
    <n v="290300"/>
    <n v="265100"/>
    <m/>
    <m/>
    <m/>
    <m/>
    <n v="0"/>
    <m/>
    <m/>
    <n v="0"/>
    <m/>
    <m/>
    <m/>
    <m/>
    <m/>
    <m/>
    <n v="290300"/>
    <n v="265100"/>
  </r>
  <r>
    <x v="5"/>
    <x v="13"/>
    <s v="Minority Student Col Prep"/>
    <m/>
    <m/>
    <x v="12"/>
    <m/>
    <m/>
    <n v="202700"/>
    <n v="185200"/>
    <m/>
    <m/>
    <m/>
    <m/>
    <n v="0"/>
    <m/>
    <m/>
    <n v="0"/>
    <n v="202700"/>
    <n v="185200"/>
    <m/>
    <m/>
    <m/>
    <m/>
    <n v="0"/>
    <m/>
    <m/>
    <n v="0"/>
    <m/>
    <m/>
    <m/>
    <m/>
    <m/>
    <m/>
    <n v="202700"/>
    <n v="185200"/>
  </r>
  <r>
    <x v="5"/>
    <x v="13"/>
    <s v="Research Challenge Trust Fund-Lung Cancer Research"/>
    <m/>
    <m/>
    <x v="12"/>
    <m/>
    <m/>
    <n v="4694852"/>
    <n v="4247800"/>
    <m/>
    <m/>
    <m/>
    <m/>
    <n v="0"/>
    <m/>
    <m/>
    <n v="0"/>
    <n v="4694852"/>
    <n v="4247800"/>
    <m/>
    <m/>
    <m/>
    <m/>
    <n v="0"/>
    <m/>
    <m/>
    <n v="0"/>
    <m/>
    <m/>
    <m/>
    <m/>
    <m/>
    <m/>
    <n v="4694852"/>
    <n v="4247800"/>
  </r>
  <r>
    <x v="5"/>
    <x v="13"/>
    <s v="KY Postsecondary Education Network"/>
    <m/>
    <m/>
    <x v="12"/>
    <m/>
    <m/>
    <n v="2998049"/>
    <n v="2413205"/>
    <m/>
    <m/>
    <m/>
    <m/>
    <n v="0"/>
    <m/>
    <m/>
    <n v="0"/>
    <n v="2998049"/>
    <n v="2413205"/>
    <m/>
    <m/>
    <m/>
    <m/>
    <n v="0"/>
    <m/>
    <m/>
    <n v="0"/>
    <m/>
    <m/>
    <m/>
    <m/>
    <m/>
    <m/>
    <n v="2998049"/>
    <n v="2413205"/>
  </r>
  <r>
    <x v="5"/>
    <x v="13"/>
    <s v="Commonweatlh Virtual Univ"/>
    <m/>
    <m/>
    <x v="12"/>
    <m/>
    <m/>
    <n v="2072439"/>
    <n v="1880200"/>
    <m/>
    <m/>
    <m/>
    <m/>
    <n v="0"/>
    <m/>
    <m/>
    <n v="0"/>
    <n v="2072439"/>
    <n v="1880200"/>
    <m/>
    <m/>
    <m/>
    <m/>
    <n v="0"/>
    <m/>
    <m/>
    <n v="0"/>
    <m/>
    <m/>
    <m/>
    <m/>
    <m/>
    <m/>
    <n v="2072439"/>
    <n v="1880200"/>
  </r>
  <r>
    <x v="5"/>
    <x v="13"/>
    <s v="Adult Education Operations"/>
    <m/>
    <m/>
    <x v="12"/>
    <m/>
    <m/>
    <n v="898017"/>
    <n v="940000"/>
    <m/>
    <m/>
    <m/>
    <m/>
    <n v="0"/>
    <m/>
    <m/>
    <n v="0"/>
    <n v="898017"/>
    <n v="940000"/>
    <m/>
    <m/>
    <m/>
    <m/>
    <n v="0"/>
    <m/>
    <m/>
    <n v="0"/>
    <m/>
    <m/>
    <m/>
    <m/>
    <m/>
    <m/>
    <n v="898017"/>
    <n v="940000"/>
  </r>
  <r>
    <x v="5"/>
    <x v="13"/>
    <s v=" Adult Education and Literacy Funding Program"/>
    <m/>
    <m/>
    <x v="12"/>
    <m/>
    <m/>
    <n v="18751568"/>
    <n v="19548600"/>
    <m/>
    <m/>
    <m/>
    <m/>
    <n v="0"/>
    <m/>
    <m/>
    <n v="0"/>
    <n v="18751568"/>
    <n v="19548600"/>
    <m/>
    <m/>
    <m/>
    <m/>
    <n v="0"/>
    <m/>
    <m/>
    <n v="0"/>
    <m/>
    <m/>
    <m/>
    <m/>
    <m/>
    <m/>
    <n v="18751568"/>
    <n v="19548600"/>
  </r>
  <r>
    <x v="5"/>
    <x v="13"/>
    <s v="State Autism Training Center"/>
    <m/>
    <m/>
    <x v="12"/>
    <m/>
    <m/>
    <n v="144900"/>
    <m/>
    <m/>
    <m/>
    <m/>
    <m/>
    <n v="0"/>
    <m/>
    <m/>
    <n v="0"/>
    <n v="144900"/>
    <n v="0"/>
    <m/>
    <m/>
    <m/>
    <m/>
    <n v="0"/>
    <m/>
    <m/>
    <n v="0"/>
    <m/>
    <m/>
    <m/>
    <m/>
    <m/>
    <m/>
    <n v="144900"/>
    <n v="0"/>
  </r>
  <r>
    <x v="5"/>
    <x v="13"/>
    <s v="Science and Technology Trust Fund"/>
    <m/>
    <m/>
    <x v="12"/>
    <m/>
    <m/>
    <n v="6260920"/>
    <n v="5717900"/>
    <m/>
    <m/>
    <m/>
    <m/>
    <n v="0"/>
    <m/>
    <m/>
    <n v="0"/>
    <n v="6260920"/>
    <n v="5717900"/>
    <m/>
    <m/>
    <m/>
    <m/>
    <n v="0"/>
    <m/>
    <m/>
    <n v="0"/>
    <m/>
    <m/>
    <m/>
    <m/>
    <m/>
    <m/>
    <n v="6260920"/>
    <n v="5717900"/>
  </r>
  <r>
    <x v="5"/>
    <x v="14"/>
    <s v="Statewide System Operations"/>
    <m/>
    <m/>
    <x v="12"/>
    <m/>
    <m/>
    <m/>
    <m/>
    <m/>
    <m/>
    <m/>
    <m/>
    <n v="0"/>
    <m/>
    <m/>
    <n v="0"/>
    <n v="0"/>
    <n v="0"/>
    <m/>
    <m/>
    <m/>
    <m/>
    <n v="0"/>
    <m/>
    <m/>
    <n v="0"/>
    <m/>
    <m/>
    <m/>
    <m/>
    <m/>
    <m/>
    <n v="0"/>
    <n v="0"/>
  </r>
  <r>
    <x v="5"/>
    <x v="15"/>
    <s v="Colleges and universities"/>
    <m/>
    <m/>
    <x v="12"/>
    <m/>
    <m/>
    <m/>
    <m/>
    <m/>
    <m/>
    <m/>
    <m/>
    <n v="0"/>
    <m/>
    <m/>
    <n v="0"/>
    <n v="0"/>
    <n v="0"/>
    <m/>
    <m/>
    <m/>
    <m/>
    <n v="0"/>
    <m/>
    <m/>
    <n v="0"/>
    <m/>
    <m/>
    <m/>
    <m/>
    <m/>
    <m/>
    <n v="0"/>
    <n v="0"/>
  </r>
  <r>
    <x v="5"/>
    <x v="15"/>
    <s v=" Ky Council on Postsecondary Education"/>
    <m/>
    <m/>
    <x v="12"/>
    <m/>
    <m/>
    <m/>
    <m/>
    <m/>
    <m/>
    <m/>
    <m/>
    <n v="0"/>
    <m/>
    <m/>
    <n v="0"/>
    <n v="0"/>
    <n v="0"/>
    <n v="5745600"/>
    <n v="6618300"/>
    <m/>
    <m/>
    <n v="0"/>
    <m/>
    <m/>
    <n v="0"/>
    <m/>
    <m/>
    <m/>
    <m/>
    <m/>
    <m/>
    <n v="5745600"/>
    <n v="6618300"/>
  </r>
  <r>
    <x v="5"/>
    <x v="16"/>
    <s v="Two-year system(s), if any"/>
    <m/>
    <m/>
    <x v="12"/>
    <m/>
    <m/>
    <m/>
    <m/>
    <m/>
    <m/>
    <m/>
    <m/>
    <n v="0"/>
    <m/>
    <m/>
    <n v="0"/>
    <n v="0"/>
    <n v="0"/>
    <m/>
    <m/>
    <m/>
    <m/>
    <n v="0"/>
    <m/>
    <m/>
    <n v="0"/>
    <m/>
    <m/>
    <m/>
    <m/>
    <m/>
    <m/>
    <n v="0"/>
    <n v="0"/>
  </r>
  <r>
    <x v="5"/>
    <x v="16"/>
    <s v="Ky Community and Technical College System operations"/>
    <m/>
    <m/>
    <x v="12"/>
    <m/>
    <m/>
    <m/>
    <m/>
    <m/>
    <m/>
    <m/>
    <m/>
    <n v="0"/>
    <m/>
    <m/>
    <n v="0"/>
    <n v="0"/>
    <n v="0"/>
    <n v="23662260.789999992"/>
    <n v="24122000"/>
    <m/>
    <m/>
    <n v="0"/>
    <m/>
    <m/>
    <n v="0"/>
    <m/>
    <m/>
    <m/>
    <m/>
    <m/>
    <m/>
    <n v="23662260.789999992"/>
    <n v="24122000"/>
  </r>
  <r>
    <x v="5"/>
    <x v="17"/>
    <s v="National or regional associations, compacts or consortia"/>
    <m/>
    <m/>
    <x v="12"/>
    <m/>
    <m/>
    <m/>
    <m/>
    <m/>
    <m/>
    <m/>
    <m/>
    <n v="0"/>
    <m/>
    <m/>
    <n v="0"/>
    <n v="0"/>
    <n v="0"/>
    <m/>
    <m/>
    <m/>
    <m/>
    <n v="0"/>
    <m/>
    <m/>
    <n v="0"/>
    <m/>
    <m/>
    <m/>
    <m/>
    <m/>
    <m/>
    <n v="0"/>
    <n v="0"/>
  </r>
  <r>
    <x v="5"/>
    <x v="17"/>
    <s v="SREB (General Operations + Small Grants)"/>
    <m/>
    <m/>
    <x v="12"/>
    <m/>
    <m/>
    <m/>
    <m/>
    <m/>
    <m/>
    <m/>
    <m/>
    <n v="0"/>
    <m/>
    <m/>
    <n v="0"/>
    <n v="0"/>
    <n v="0"/>
    <n v="193550"/>
    <n v="193550"/>
    <m/>
    <m/>
    <n v="0"/>
    <m/>
    <m/>
    <n v="0"/>
    <m/>
    <m/>
    <m/>
    <m/>
    <m/>
    <m/>
    <n v="193550"/>
    <n v="193550"/>
  </r>
  <r>
    <x v="5"/>
    <x v="13"/>
    <s v="SREB Doctoral Scholar Program"/>
    <m/>
    <m/>
    <x v="12"/>
    <m/>
    <m/>
    <n v="78300"/>
    <n v="71500"/>
    <m/>
    <m/>
    <m/>
    <m/>
    <n v="0"/>
    <m/>
    <m/>
    <n v="0"/>
    <n v="78300"/>
    <n v="71500"/>
    <m/>
    <m/>
    <m/>
    <m/>
    <n v="0"/>
    <m/>
    <m/>
    <n v="0"/>
    <m/>
    <m/>
    <m/>
    <m/>
    <m/>
    <m/>
    <n v="78300"/>
    <n v="71500"/>
  </r>
  <r>
    <x v="5"/>
    <x v="18"/>
    <s v="Adm. of Statewide Student Aid Progs. (incldng centralized guaranteed student loans)"/>
    <m/>
    <m/>
    <x v="12"/>
    <m/>
    <m/>
    <m/>
    <m/>
    <m/>
    <m/>
    <m/>
    <m/>
    <n v="0"/>
    <m/>
    <m/>
    <n v="0"/>
    <n v="0"/>
    <n v="0"/>
    <m/>
    <m/>
    <m/>
    <m/>
    <n v="0"/>
    <m/>
    <m/>
    <n v="0"/>
    <m/>
    <m/>
    <m/>
    <m/>
    <m/>
    <m/>
    <n v="0"/>
    <n v="0"/>
  </r>
  <r>
    <x v="5"/>
    <x v="18"/>
    <s v="H. Ed. Asst. Authority"/>
    <m/>
    <m/>
    <x v="12"/>
    <m/>
    <m/>
    <m/>
    <m/>
    <m/>
    <m/>
    <m/>
    <m/>
    <n v="0"/>
    <m/>
    <m/>
    <n v="0"/>
    <n v="0"/>
    <n v="0"/>
    <m/>
    <m/>
    <m/>
    <m/>
    <n v="0"/>
    <m/>
    <m/>
    <n v="0"/>
    <m/>
    <m/>
    <m/>
    <m/>
    <m/>
    <m/>
    <n v="0"/>
    <n v="0"/>
  </r>
  <r>
    <x v="5"/>
    <x v="19"/>
    <s v="State Support to Private Colleges Other Than Student Aid"/>
    <m/>
    <m/>
    <x v="12"/>
    <m/>
    <m/>
    <m/>
    <m/>
    <m/>
    <m/>
    <m/>
    <m/>
    <n v="0"/>
    <m/>
    <m/>
    <n v="0"/>
    <n v="0"/>
    <n v="0"/>
    <m/>
    <m/>
    <m/>
    <m/>
    <n v="0"/>
    <m/>
    <m/>
    <n v="0"/>
    <m/>
    <m/>
    <m/>
    <m/>
    <m/>
    <m/>
    <n v="0"/>
    <n v="0"/>
  </r>
  <r>
    <x v="5"/>
    <x v="20"/>
    <s v="Contract Education Programs"/>
    <m/>
    <m/>
    <x v="12"/>
    <m/>
    <m/>
    <m/>
    <m/>
    <m/>
    <m/>
    <m/>
    <m/>
    <n v="0"/>
    <m/>
    <m/>
    <n v="0"/>
    <n v="0"/>
    <n v="0"/>
    <m/>
    <m/>
    <m/>
    <m/>
    <n v="0"/>
    <m/>
    <m/>
    <n v="0"/>
    <m/>
    <m/>
    <m/>
    <m/>
    <m/>
    <m/>
    <n v="0"/>
    <n v="0"/>
  </r>
  <r>
    <x v="5"/>
    <x v="21"/>
    <s v="SREB contract program with private colleges"/>
    <m/>
    <m/>
    <x v="12"/>
    <m/>
    <m/>
    <m/>
    <m/>
    <m/>
    <m/>
    <m/>
    <m/>
    <n v="0"/>
    <m/>
    <m/>
    <n v="0"/>
    <n v="0"/>
    <n v="0"/>
    <m/>
    <m/>
    <m/>
    <m/>
    <n v="0"/>
    <m/>
    <m/>
    <n v="0"/>
    <m/>
    <m/>
    <m/>
    <m/>
    <m/>
    <m/>
    <n v="0"/>
    <n v="0"/>
  </r>
  <r>
    <x v="5"/>
    <x v="21"/>
    <s v="Tuskegee University (Veterinary Medicine)"/>
    <m/>
    <m/>
    <x v="12"/>
    <m/>
    <m/>
    <m/>
    <m/>
    <m/>
    <m/>
    <m/>
    <m/>
    <n v="0"/>
    <m/>
    <m/>
    <n v="0"/>
    <n v="0"/>
    <n v="0"/>
    <n v="300000"/>
    <n v="309600"/>
    <m/>
    <m/>
    <n v="0"/>
    <m/>
    <m/>
    <n v="0"/>
    <m/>
    <m/>
    <m/>
    <m/>
    <m/>
    <m/>
    <n v="300000"/>
    <n v="309600"/>
  </r>
  <r>
    <x v="5"/>
    <x v="21"/>
    <s v="Southern College of Optometry"/>
    <m/>
    <m/>
    <x v="12"/>
    <m/>
    <m/>
    <m/>
    <m/>
    <m/>
    <m/>
    <m/>
    <m/>
    <n v="0"/>
    <m/>
    <m/>
    <n v="0"/>
    <n v="0"/>
    <n v="0"/>
    <n v="243100"/>
    <n v="296000"/>
    <m/>
    <m/>
    <n v="0"/>
    <m/>
    <m/>
    <n v="0"/>
    <m/>
    <m/>
    <m/>
    <m/>
    <m/>
    <m/>
    <n v="243100"/>
    <n v="296000"/>
  </r>
  <r>
    <x v="5"/>
    <x v="22"/>
    <s v="SREB contract program with public colleges"/>
    <m/>
    <m/>
    <x v="12"/>
    <m/>
    <m/>
    <m/>
    <m/>
    <m/>
    <m/>
    <m/>
    <m/>
    <n v="0"/>
    <m/>
    <m/>
    <n v="0"/>
    <n v="0"/>
    <n v="0"/>
    <m/>
    <m/>
    <m/>
    <m/>
    <n v="0"/>
    <m/>
    <m/>
    <n v="0"/>
    <m/>
    <m/>
    <m/>
    <m/>
    <m/>
    <m/>
    <n v="0"/>
    <n v="0"/>
  </r>
  <r>
    <x v="5"/>
    <x v="22"/>
    <s v="Auburn University (Veterinary Medicine)"/>
    <m/>
    <m/>
    <x v="12"/>
    <m/>
    <m/>
    <m/>
    <m/>
    <m/>
    <m/>
    <m/>
    <m/>
    <n v="0"/>
    <m/>
    <m/>
    <n v="0"/>
    <n v="0"/>
    <n v="0"/>
    <n v="3750000"/>
    <n v="3921600"/>
    <m/>
    <m/>
    <n v="0"/>
    <m/>
    <m/>
    <n v="0"/>
    <m/>
    <m/>
    <m/>
    <m/>
    <m/>
    <m/>
    <n v="3750000"/>
    <n v="3921600"/>
  </r>
  <r>
    <x v="5"/>
    <x v="22"/>
    <s v="University of Alabama at Birmingham (Optometry)"/>
    <m/>
    <m/>
    <x v="12"/>
    <m/>
    <m/>
    <m/>
    <m/>
    <m/>
    <m/>
    <m/>
    <m/>
    <n v="0"/>
    <m/>
    <m/>
    <n v="0"/>
    <n v="0"/>
    <n v="0"/>
    <n v="128700"/>
    <n v="177600"/>
    <m/>
    <m/>
    <n v="0"/>
    <m/>
    <m/>
    <n v="0"/>
    <m/>
    <m/>
    <m/>
    <m/>
    <m/>
    <m/>
    <n v="128700"/>
    <n v="177600"/>
  </r>
  <r>
    <x v="5"/>
    <x v="23"/>
    <s v="Other contract education programs (Indiana University)"/>
    <m/>
    <m/>
    <x v="12"/>
    <m/>
    <m/>
    <m/>
    <m/>
    <m/>
    <m/>
    <m/>
    <m/>
    <n v="0"/>
    <m/>
    <m/>
    <n v="0"/>
    <n v="0"/>
    <n v="0"/>
    <n v="161605.44"/>
    <n v="151200"/>
    <m/>
    <m/>
    <n v="0"/>
    <m/>
    <m/>
    <n v="0"/>
    <m/>
    <m/>
    <m/>
    <m/>
    <m/>
    <m/>
    <n v="161605.44"/>
    <n v="151200"/>
  </r>
  <r>
    <x v="5"/>
    <x v="24"/>
    <s v="Statewide Student Financial Aid Programs Administered Off Campus"/>
    <m/>
    <m/>
    <x v="12"/>
    <m/>
    <m/>
    <m/>
    <m/>
    <m/>
    <m/>
    <m/>
    <m/>
    <n v="0"/>
    <m/>
    <m/>
    <n v="0"/>
    <n v="0"/>
    <n v="0"/>
    <m/>
    <m/>
    <m/>
    <m/>
    <n v="0"/>
    <m/>
    <m/>
    <n v="0"/>
    <m/>
    <m/>
    <m/>
    <m/>
    <m/>
    <m/>
    <n v="0"/>
    <n v="0"/>
  </r>
  <r>
    <x v="5"/>
    <x v="25"/>
    <s v="Available to public &amp; private sector students"/>
    <m/>
    <m/>
    <x v="12"/>
    <m/>
    <m/>
    <m/>
    <m/>
    <m/>
    <m/>
    <m/>
    <m/>
    <n v="0"/>
    <m/>
    <m/>
    <n v="0"/>
    <n v="0"/>
    <n v="0"/>
    <m/>
    <m/>
    <m/>
    <m/>
    <n v="0"/>
    <m/>
    <m/>
    <n v="0"/>
    <m/>
    <m/>
    <m/>
    <m/>
    <m/>
    <m/>
    <n v="0"/>
    <n v="0"/>
  </r>
  <r>
    <x v="5"/>
    <x v="28"/>
    <s v="KEES Kentucky Educational Excellence Scholarship"/>
    <m/>
    <m/>
    <x v="12"/>
    <m/>
    <m/>
    <m/>
    <m/>
    <m/>
    <m/>
    <m/>
    <m/>
    <n v="0"/>
    <m/>
    <m/>
    <n v="0"/>
    <n v="0"/>
    <n v="0"/>
    <m/>
    <m/>
    <m/>
    <m/>
    <n v="0"/>
    <m/>
    <m/>
    <n v="0"/>
    <m/>
    <m/>
    <m/>
    <m/>
    <m/>
    <m/>
    <n v="0"/>
    <n v="0"/>
  </r>
  <r>
    <x v="5"/>
    <x v="28"/>
    <s v="Amount to public sector students"/>
    <m/>
    <m/>
    <x v="12"/>
    <m/>
    <m/>
    <m/>
    <m/>
    <m/>
    <m/>
    <m/>
    <m/>
    <n v="0"/>
    <m/>
    <m/>
    <n v="0"/>
    <n v="0"/>
    <n v="0"/>
    <m/>
    <m/>
    <m/>
    <m/>
    <n v="0"/>
    <m/>
    <m/>
    <n v="0"/>
    <m/>
    <m/>
    <m/>
    <m/>
    <m/>
    <m/>
    <n v="0"/>
    <n v="0"/>
  </r>
  <r>
    <x v="5"/>
    <x v="29"/>
    <s v="Need-based"/>
    <m/>
    <m/>
    <x v="12"/>
    <m/>
    <m/>
    <m/>
    <m/>
    <m/>
    <m/>
    <m/>
    <m/>
    <n v="0"/>
    <m/>
    <m/>
    <n v="0"/>
    <n v="0"/>
    <n v="0"/>
    <m/>
    <m/>
    <m/>
    <m/>
    <n v="0"/>
    <m/>
    <m/>
    <n v="0"/>
    <m/>
    <m/>
    <m/>
    <m/>
    <m/>
    <m/>
    <n v="0"/>
    <n v="0"/>
  </r>
  <r>
    <x v="5"/>
    <x v="30"/>
    <s v="Non need-based"/>
    <m/>
    <m/>
    <x v="12"/>
    <m/>
    <m/>
    <m/>
    <m/>
    <m/>
    <m/>
    <m/>
    <m/>
    <n v="0"/>
    <m/>
    <m/>
    <n v="0"/>
    <n v="0"/>
    <n v="0"/>
    <n v="79995217"/>
    <n v="83358911"/>
    <m/>
    <m/>
    <n v="0"/>
    <m/>
    <m/>
    <n v="0"/>
    <m/>
    <m/>
    <m/>
    <m/>
    <m/>
    <m/>
    <n v="79995217"/>
    <n v="83358911"/>
  </r>
  <r>
    <x v="5"/>
    <x v="31"/>
    <s v="Amount to private sector students"/>
    <m/>
    <m/>
    <x v="12"/>
    <m/>
    <m/>
    <m/>
    <m/>
    <m/>
    <m/>
    <m/>
    <m/>
    <n v="0"/>
    <m/>
    <m/>
    <n v="0"/>
    <n v="0"/>
    <n v="0"/>
    <m/>
    <m/>
    <m/>
    <m/>
    <n v="0"/>
    <m/>
    <m/>
    <n v="0"/>
    <m/>
    <m/>
    <m/>
    <m/>
    <m/>
    <m/>
    <n v="0"/>
    <n v="0"/>
  </r>
  <r>
    <x v="5"/>
    <x v="32"/>
    <s v="Need-based"/>
    <m/>
    <m/>
    <x v="12"/>
    <m/>
    <m/>
    <m/>
    <m/>
    <m/>
    <m/>
    <m/>
    <m/>
    <n v="0"/>
    <m/>
    <m/>
    <n v="0"/>
    <n v="0"/>
    <n v="0"/>
    <m/>
    <m/>
    <m/>
    <m/>
    <n v="0"/>
    <m/>
    <m/>
    <n v="0"/>
    <m/>
    <m/>
    <m/>
    <m/>
    <m/>
    <m/>
    <n v="0"/>
    <n v="0"/>
  </r>
  <r>
    <x v="5"/>
    <x v="33"/>
    <s v="Non need-based"/>
    <m/>
    <m/>
    <x v="12"/>
    <m/>
    <m/>
    <m/>
    <m/>
    <m/>
    <m/>
    <m/>
    <m/>
    <n v="0"/>
    <m/>
    <m/>
    <n v="0"/>
    <n v="0"/>
    <n v="0"/>
    <n v="18168046"/>
    <n v="18512353"/>
    <m/>
    <m/>
    <n v="0"/>
    <m/>
    <m/>
    <n v="0"/>
    <m/>
    <m/>
    <m/>
    <m/>
    <m/>
    <m/>
    <n v="18168046"/>
    <n v="18512353"/>
  </r>
  <r>
    <x v="5"/>
    <x v="25"/>
    <s v="College Access Program(CAP)"/>
    <m/>
    <m/>
    <x v="12"/>
    <m/>
    <m/>
    <m/>
    <m/>
    <m/>
    <m/>
    <m/>
    <m/>
    <n v="0"/>
    <m/>
    <m/>
    <n v="0"/>
    <n v="0"/>
    <n v="0"/>
    <m/>
    <m/>
    <m/>
    <m/>
    <n v="0"/>
    <m/>
    <m/>
    <n v="0"/>
    <m/>
    <m/>
    <m/>
    <m/>
    <m/>
    <m/>
    <n v="0"/>
    <n v="0"/>
  </r>
  <r>
    <x v="5"/>
    <x v="28"/>
    <s v="Amount to public sector students"/>
    <m/>
    <m/>
    <x v="12"/>
    <m/>
    <m/>
    <m/>
    <m/>
    <m/>
    <m/>
    <m/>
    <m/>
    <n v="0"/>
    <m/>
    <m/>
    <n v="0"/>
    <n v="0"/>
    <n v="0"/>
    <m/>
    <m/>
    <m/>
    <m/>
    <n v="0"/>
    <m/>
    <m/>
    <n v="0"/>
    <m/>
    <m/>
    <m/>
    <m/>
    <m/>
    <m/>
    <n v="0"/>
    <n v="0"/>
  </r>
  <r>
    <x v="5"/>
    <x v="29"/>
    <s v="Need-based"/>
    <m/>
    <m/>
    <x v="12"/>
    <m/>
    <m/>
    <m/>
    <m/>
    <m/>
    <m/>
    <m/>
    <m/>
    <n v="0"/>
    <m/>
    <m/>
    <n v="0"/>
    <n v="0"/>
    <n v="0"/>
    <n v="42459199"/>
    <n v="41253823"/>
    <m/>
    <m/>
    <n v="0"/>
    <m/>
    <m/>
    <n v="0"/>
    <m/>
    <m/>
    <m/>
    <m/>
    <m/>
    <m/>
    <n v="42459199"/>
    <n v="41253823"/>
  </r>
  <r>
    <x v="5"/>
    <x v="30"/>
    <s v="Non need-based"/>
    <m/>
    <m/>
    <x v="12"/>
    <m/>
    <m/>
    <m/>
    <m/>
    <m/>
    <m/>
    <m/>
    <m/>
    <n v="0"/>
    <m/>
    <m/>
    <n v="0"/>
    <n v="0"/>
    <n v="0"/>
    <m/>
    <m/>
    <m/>
    <m/>
    <n v="0"/>
    <m/>
    <m/>
    <n v="0"/>
    <m/>
    <m/>
    <m/>
    <m/>
    <m/>
    <m/>
    <n v="0"/>
    <n v="0"/>
  </r>
  <r>
    <x v="5"/>
    <x v="31"/>
    <s v="Amount to private sector students"/>
    <m/>
    <m/>
    <x v="12"/>
    <m/>
    <m/>
    <m/>
    <m/>
    <m/>
    <m/>
    <m/>
    <m/>
    <n v="0"/>
    <m/>
    <m/>
    <n v="0"/>
    <n v="0"/>
    <n v="0"/>
    <m/>
    <m/>
    <m/>
    <m/>
    <n v="0"/>
    <m/>
    <m/>
    <n v="0"/>
    <m/>
    <m/>
    <m/>
    <m/>
    <m/>
    <m/>
    <n v="0"/>
    <n v="0"/>
  </r>
  <r>
    <x v="5"/>
    <x v="32"/>
    <s v="Need-based"/>
    <m/>
    <m/>
    <x v="12"/>
    <m/>
    <m/>
    <m/>
    <m/>
    <m/>
    <m/>
    <m/>
    <m/>
    <n v="0"/>
    <m/>
    <m/>
    <n v="0"/>
    <n v="0"/>
    <n v="0"/>
    <n v="16085900"/>
    <n v="15844234"/>
    <m/>
    <m/>
    <n v="0"/>
    <m/>
    <m/>
    <n v="0"/>
    <m/>
    <m/>
    <m/>
    <m/>
    <m/>
    <m/>
    <n v="16085900"/>
    <n v="15844234"/>
  </r>
  <r>
    <x v="5"/>
    <x v="33"/>
    <s v="Non need-based"/>
    <m/>
    <m/>
    <x v="12"/>
    <m/>
    <m/>
    <m/>
    <m/>
    <m/>
    <m/>
    <m/>
    <m/>
    <n v="0"/>
    <m/>
    <m/>
    <n v="0"/>
    <n v="0"/>
    <n v="0"/>
    <m/>
    <m/>
    <m/>
    <m/>
    <n v="0"/>
    <m/>
    <m/>
    <n v="0"/>
    <m/>
    <m/>
    <m/>
    <m/>
    <m/>
    <m/>
    <n v="0"/>
    <n v="0"/>
  </r>
  <r>
    <x v="5"/>
    <x v="34"/>
    <s v="Limited to public college students only"/>
    <m/>
    <m/>
    <x v="12"/>
    <m/>
    <m/>
    <m/>
    <m/>
    <m/>
    <m/>
    <m/>
    <m/>
    <n v="0"/>
    <m/>
    <m/>
    <n v="0"/>
    <n v="0"/>
    <n v="0"/>
    <m/>
    <m/>
    <m/>
    <m/>
    <n v="0"/>
    <m/>
    <m/>
    <n v="0"/>
    <m/>
    <m/>
    <m/>
    <m/>
    <m/>
    <m/>
    <n v="0"/>
    <n v="0"/>
  </r>
  <r>
    <x v="5"/>
    <x v="37"/>
    <s v="Limited to private college students"/>
    <m/>
    <m/>
    <x v="12"/>
    <m/>
    <m/>
    <m/>
    <m/>
    <m/>
    <m/>
    <m/>
    <m/>
    <n v="0"/>
    <m/>
    <m/>
    <n v="0"/>
    <n v="0"/>
    <n v="0"/>
    <m/>
    <m/>
    <m/>
    <m/>
    <n v="0"/>
    <m/>
    <m/>
    <n v="0"/>
    <m/>
    <m/>
    <m/>
    <m/>
    <m/>
    <m/>
    <n v="0"/>
    <n v="0"/>
  </r>
  <r>
    <x v="5"/>
    <x v="37"/>
    <s v="Kentucky Tuition Grant (KTG)"/>
    <m/>
    <m/>
    <x v="12"/>
    <m/>
    <m/>
    <m/>
    <m/>
    <m/>
    <m/>
    <m/>
    <m/>
    <n v="0"/>
    <m/>
    <m/>
    <n v="0"/>
    <n v="0"/>
    <n v="0"/>
    <m/>
    <m/>
    <m/>
    <m/>
    <n v="0"/>
    <m/>
    <m/>
    <n v="0"/>
    <m/>
    <m/>
    <m/>
    <m/>
    <m/>
    <m/>
    <n v="0"/>
    <n v="0"/>
  </r>
  <r>
    <x v="5"/>
    <x v="38"/>
    <s v="Need-based"/>
    <m/>
    <m/>
    <x v="12"/>
    <m/>
    <m/>
    <m/>
    <m/>
    <m/>
    <m/>
    <m/>
    <m/>
    <n v="0"/>
    <m/>
    <m/>
    <n v="0"/>
    <n v="0"/>
    <n v="0"/>
    <n v="30763025"/>
    <n v="29735109"/>
    <m/>
    <m/>
    <n v="0"/>
    <m/>
    <m/>
    <n v="0"/>
    <m/>
    <m/>
    <m/>
    <m/>
    <m/>
    <m/>
    <n v="30763025"/>
    <n v="29735109"/>
  </r>
  <r>
    <x v="5"/>
    <x v="39"/>
    <s v="Non need-based"/>
    <m/>
    <m/>
    <x v="12"/>
    <m/>
    <m/>
    <m/>
    <m/>
    <m/>
    <m/>
    <m/>
    <m/>
    <n v="0"/>
    <m/>
    <m/>
    <n v="0"/>
    <n v="0"/>
    <n v="0"/>
    <m/>
    <m/>
    <m/>
    <m/>
    <n v="0"/>
    <m/>
    <m/>
    <n v="0"/>
    <m/>
    <m/>
    <m/>
    <m/>
    <m/>
    <m/>
    <n v="0"/>
    <n v="0"/>
  </r>
  <r>
    <x v="5"/>
    <x v="37"/>
    <s v="Pikeville College Osteopathic Medicine Scholarship"/>
    <m/>
    <m/>
    <x v="12"/>
    <m/>
    <m/>
    <m/>
    <m/>
    <m/>
    <m/>
    <m/>
    <m/>
    <n v="0"/>
    <m/>
    <m/>
    <n v="0"/>
    <n v="0"/>
    <n v="0"/>
    <m/>
    <m/>
    <m/>
    <m/>
    <n v="0"/>
    <m/>
    <m/>
    <n v="0"/>
    <m/>
    <m/>
    <m/>
    <m/>
    <m/>
    <m/>
    <n v="0"/>
    <n v="0"/>
  </r>
  <r>
    <x v="5"/>
    <x v="38"/>
    <s v="Need-based"/>
    <m/>
    <m/>
    <x v="12"/>
    <m/>
    <m/>
    <m/>
    <m/>
    <m/>
    <m/>
    <m/>
    <m/>
    <n v="0"/>
    <m/>
    <m/>
    <n v="0"/>
    <n v="0"/>
    <n v="0"/>
    <m/>
    <m/>
    <m/>
    <m/>
    <n v="0"/>
    <m/>
    <m/>
    <n v="0"/>
    <m/>
    <m/>
    <m/>
    <m/>
    <m/>
    <m/>
    <n v="0"/>
    <n v="0"/>
  </r>
  <r>
    <x v="5"/>
    <x v="39"/>
    <s v="Non need-based"/>
    <m/>
    <m/>
    <x v="12"/>
    <m/>
    <m/>
    <m/>
    <m/>
    <m/>
    <m/>
    <m/>
    <m/>
    <n v="0"/>
    <m/>
    <m/>
    <n v="0"/>
    <n v="0"/>
    <n v="0"/>
    <n v="737910"/>
    <n v="660940"/>
    <m/>
    <m/>
    <n v="0"/>
    <m/>
    <m/>
    <n v="0"/>
    <m/>
    <m/>
    <m/>
    <m/>
    <m/>
    <m/>
    <n v="737910"/>
    <n v="660940"/>
  </r>
  <r>
    <x v="6"/>
    <x v="0"/>
    <s v="Louisiana State University and A &amp; M College"/>
    <m/>
    <n v="159391"/>
    <x v="0"/>
    <n v="140285389"/>
    <n v="122012423"/>
    <m/>
    <m/>
    <m/>
    <m/>
    <n v="220911815"/>
    <m/>
    <n v="220911815"/>
    <n v="259378088"/>
    <m/>
    <n v="259378088"/>
    <n v="361197204"/>
    <n v="381390511"/>
    <m/>
    <m/>
    <m/>
    <m/>
    <n v="0"/>
    <m/>
    <m/>
    <n v="0"/>
    <m/>
    <m/>
    <m/>
    <m/>
    <m/>
    <m/>
    <n v="361197204"/>
    <n v="381390511"/>
  </r>
  <r>
    <x v="6"/>
    <x v="12"/>
    <s v="Special line items for education operations"/>
    <m/>
    <n v="159391"/>
    <x v="0"/>
    <m/>
    <m/>
    <m/>
    <m/>
    <m/>
    <m/>
    <m/>
    <m/>
    <n v="0"/>
    <m/>
    <m/>
    <n v="0"/>
    <n v="0"/>
    <n v="0"/>
    <m/>
    <m/>
    <m/>
    <m/>
    <n v="0"/>
    <m/>
    <m/>
    <n v="0"/>
    <m/>
    <m/>
    <m/>
    <m/>
    <m/>
    <m/>
    <n v="0"/>
    <n v="0"/>
  </r>
  <r>
    <x v="6"/>
    <x v="12"/>
    <s v="Paul M. Hebert Law Center"/>
    <m/>
    <n v="159391"/>
    <x v="0"/>
    <n v="6597387"/>
    <n v="5812672"/>
    <m/>
    <m/>
    <m/>
    <m/>
    <n v="15279500"/>
    <m/>
    <n v="15279500"/>
    <n v="17625197"/>
    <m/>
    <n v="17625197"/>
    <n v="21876887"/>
    <n v="23437869"/>
    <m/>
    <m/>
    <m/>
    <m/>
    <n v="0"/>
    <m/>
    <m/>
    <n v="0"/>
    <m/>
    <m/>
    <m/>
    <m/>
    <m/>
    <m/>
    <n v="21876887"/>
    <n v="23437869"/>
  </r>
  <r>
    <x v="6"/>
    <x v="1"/>
    <s v="Health professions education"/>
    <m/>
    <n v="159391"/>
    <x v="0"/>
    <m/>
    <m/>
    <m/>
    <m/>
    <m/>
    <m/>
    <m/>
    <m/>
    <n v="0"/>
    <m/>
    <m/>
    <n v="0"/>
    <n v="0"/>
    <n v="0"/>
    <m/>
    <m/>
    <m/>
    <m/>
    <n v="0"/>
    <m/>
    <m/>
    <n v="0"/>
    <m/>
    <m/>
    <m/>
    <m/>
    <m/>
    <m/>
    <n v="0"/>
    <n v="0"/>
  </r>
  <r>
    <x v="6"/>
    <x v="1"/>
    <s v="Vet School"/>
    <m/>
    <n v="159391"/>
    <x v="0"/>
    <m/>
    <m/>
    <m/>
    <m/>
    <m/>
    <m/>
    <m/>
    <m/>
    <n v="0"/>
    <m/>
    <m/>
    <n v="0"/>
    <n v="0"/>
    <n v="0"/>
    <m/>
    <m/>
    <m/>
    <m/>
    <n v="0"/>
    <m/>
    <m/>
    <n v="0"/>
    <n v="16526629"/>
    <n v="19582008"/>
    <n v="10630263"/>
    <m/>
    <n v="11274295"/>
    <m/>
    <n v="27156892"/>
    <n v="30856303"/>
  </r>
  <r>
    <x v="6"/>
    <x v="5"/>
    <s v="Agricultural Center"/>
    <m/>
    <n v="159391"/>
    <x v="0"/>
    <m/>
    <m/>
    <m/>
    <m/>
    <m/>
    <m/>
    <m/>
    <m/>
    <n v="0"/>
    <m/>
    <m/>
    <n v="0"/>
    <n v="0"/>
    <n v="0"/>
    <m/>
    <m/>
    <m/>
    <m/>
    <n v="0"/>
    <m/>
    <m/>
    <n v="0"/>
    <m/>
    <m/>
    <m/>
    <m/>
    <m/>
    <m/>
    <n v="0"/>
    <n v="0"/>
  </r>
  <r>
    <x v="6"/>
    <x v="5"/>
    <s v="Agricultural cooperative extension"/>
    <m/>
    <n v="159391"/>
    <x v="0"/>
    <m/>
    <m/>
    <n v="25401436"/>
    <n v="24197726"/>
    <m/>
    <m/>
    <m/>
    <m/>
    <n v="0"/>
    <m/>
    <m/>
    <n v="0"/>
    <n v="25401436"/>
    <n v="24197726"/>
    <m/>
    <m/>
    <m/>
    <m/>
    <n v="0"/>
    <m/>
    <m/>
    <n v="0"/>
    <m/>
    <m/>
    <m/>
    <m/>
    <m/>
    <m/>
    <n v="25401436"/>
    <n v="24197726"/>
  </r>
  <r>
    <x v="6"/>
    <x v="6"/>
    <s v="Agricultural experiment stations"/>
    <m/>
    <n v="159391"/>
    <x v="0"/>
    <m/>
    <m/>
    <n v="31898294"/>
    <n v="30331621"/>
    <m/>
    <m/>
    <m/>
    <m/>
    <n v="0"/>
    <m/>
    <m/>
    <n v="0"/>
    <n v="31898294"/>
    <n v="30331621"/>
    <m/>
    <m/>
    <m/>
    <m/>
    <n v="0"/>
    <m/>
    <m/>
    <n v="0"/>
    <m/>
    <m/>
    <m/>
    <m/>
    <m/>
    <m/>
    <n v="31898294"/>
    <n v="30331621"/>
  </r>
  <r>
    <x v="6"/>
    <x v="5"/>
    <s v="Administration"/>
    <m/>
    <n v="159391"/>
    <x v="0"/>
    <m/>
    <m/>
    <n v="16354164"/>
    <n v="15255443"/>
    <m/>
    <m/>
    <m/>
    <m/>
    <n v="0"/>
    <m/>
    <m/>
    <n v="0"/>
    <n v="16354164"/>
    <n v="15255443"/>
    <m/>
    <m/>
    <m/>
    <m/>
    <n v="0"/>
    <m/>
    <m/>
    <n v="0"/>
    <m/>
    <m/>
    <m/>
    <m/>
    <m/>
    <m/>
    <n v="16354164"/>
    <n v="15255443"/>
  </r>
  <r>
    <x v="6"/>
    <x v="0"/>
    <s v="Louisiana Tech University "/>
    <m/>
    <n v="159647"/>
    <x v="1"/>
    <n v="42063063"/>
    <n v="37392451"/>
    <m/>
    <m/>
    <m/>
    <m/>
    <n v="47273000"/>
    <m/>
    <n v="47273000"/>
    <n v="54733000"/>
    <m/>
    <n v="54733000"/>
    <n v="89336063"/>
    <n v="92125451"/>
    <m/>
    <m/>
    <m/>
    <m/>
    <n v="0"/>
    <m/>
    <m/>
    <n v="0"/>
    <m/>
    <m/>
    <m/>
    <m/>
    <m/>
    <m/>
    <n v="89336063"/>
    <n v="92125451"/>
  </r>
  <r>
    <x v="6"/>
    <x v="0"/>
    <s v="University of Louisiana at Lafayette"/>
    <m/>
    <n v="160658"/>
    <x v="1"/>
    <n v="64482327"/>
    <n v="56703542"/>
    <m/>
    <m/>
    <m/>
    <m/>
    <n v="62428722"/>
    <m/>
    <n v="62428722"/>
    <n v="69729300"/>
    <m/>
    <n v="69729300"/>
    <n v="126911049"/>
    <n v="126432842"/>
    <m/>
    <m/>
    <m/>
    <m/>
    <n v="0"/>
    <m/>
    <m/>
    <n v="0"/>
    <m/>
    <m/>
    <m/>
    <m/>
    <m/>
    <m/>
    <n v="126911049"/>
    <n v="126432842"/>
  </r>
  <r>
    <x v="6"/>
    <x v="0"/>
    <s v="University of New Orleans"/>
    <m/>
    <n v="159939"/>
    <x v="1"/>
    <n v="45372415"/>
    <n v="38433113"/>
    <m/>
    <m/>
    <m/>
    <m/>
    <n v="61695878"/>
    <m/>
    <n v="61695878"/>
    <n v="65170399"/>
    <m/>
    <n v="65170399"/>
    <n v="107068293"/>
    <n v="103603512"/>
    <m/>
    <m/>
    <m/>
    <m/>
    <n v="0"/>
    <m/>
    <m/>
    <n v="0"/>
    <m/>
    <m/>
    <m/>
    <m/>
    <m/>
    <m/>
    <n v="107068293"/>
    <n v="103603512"/>
  </r>
  <r>
    <x v="6"/>
    <x v="0"/>
    <s v="Southeastern Louisiana University "/>
    <m/>
    <n v="160612"/>
    <x v="2"/>
    <n v="47505402"/>
    <n v="39301339"/>
    <m/>
    <m/>
    <m/>
    <m/>
    <n v="56347611"/>
    <m/>
    <n v="56347611"/>
    <n v="64947412"/>
    <m/>
    <n v="64947412"/>
    <n v="103853013"/>
    <n v="104248751"/>
    <m/>
    <m/>
    <m/>
    <m/>
    <n v="0"/>
    <m/>
    <m/>
    <n v="0"/>
    <m/>
    <m/>
    <m/>
    <m/>
    <m/>
    <m/>
    <n v="103853013"/>
    <n v="104248751"/>
  </r>
  <r>
    <x v="6"/>
    <x v="0"/>
    <s v="Southern University and A&amp;M College at Baton Rouge "/>
    <s v="Met the criteria for Four-Year 2 in 2012-13."/>
    <n v="160621"/>
    <x v="2"/>
    <n v="31282207"/>
    <n v="29353076"/>
    <m/>
    <m/>
    <m/>
    <m/>
    <n v="34257789"/>
    <m/>
    <n v="34257789"/>
    <n v="37451464"/>
    <m/>
    <n v="37451464"/>
    <n v="65539996"/>
    <n v="66804540"/>
    <m/>
    <m/>
    <m/>
    <m/>
    <n v="0"/>
    <m/>
    <m/>
    <n v="0"/>
    <m/>
    <m/>
    <m/>
    <m/>
    <m/>
    <m/>
    <n v="65539996"/>
    <n v="66804540"/>
  </r>
  <r>
    <x v="6"/>
    <x v="0"/>
    <s v="Law Center"/>
    <m/>
    <n v="160621"/>
    <x v="2"/>
    <n v="4722131"/>
    <n v="4172612"/>
    <m/>
    <m/>
    <m/>
    <m/>
    <n v="7878891"/>
    <m/>
    <n v="7878891"/>
    <n v="8492876"/>
    <m/>
    <n v="8492876"/>
    <n v="12601022"/>
    <n v="12665488"/>
    <m/>
    <m/>
    <m/>
    <m/>
    <n v="0"/>
    <m/>
    <m/>
    <n v="0"/>
    <m/>
    <m/>
    <m/>
    <m/>
    <m/>
    <m/>
    <n v="12601022"/>
    <n v="12665488"/>
  </r>
  <r>
    <x v="6"/>
    <x v="5"/>
    <s v="Agricultural Center"/>
    <m/>
    <n v="160621"/>
    <x v="2"/>
    <m/>
    <m/>
    <m/>
    <m/>
    <m/>
    <m/>
    <m/>
    <m/>
    <n v="0"/>
    <m/>
    <m/>
    <n v="0"/>
    <n v="0"/>
    <n v="0"/>
    <m/>
    <m/>
    <m/>
    <m/>
    <n v="0"/>
    <m/>
    <m/>
    <n v="0"/>
    <m/>
    <m/>
    <m/>
    <m/>
    <m/>
    <m/>
    <n v="0"/>
    <n v="0"/>
  </r>
  <r>
    <x v="6"/>
    <x v="5"/>
    <s v="Agriculture Center"/>
    <m/>
    <n v="160621"/>
    <x v="2"/>
    <m/>
    <m/>
    <n v="4431776"/>
    <n v="4317454"/>
    <m/>
    <m/>
    <m/>
    <m/>
    <n v="0"/>
    <m/>
    <m/>
    <n v="0"/>
    <n v="4431776"/>
    <n v="4317454"/>
    <m/>
    <m/>
    <m/>
    <m/>
    <n v="0"/>
    <m/>
    <m/>
    <n v="0"/>
    <m/>
    <m/>
    <m/>
    <m/>
    <m/>
    <m/>
    <n v="4431776"/>
    <n v="4317454"/>
  </r>
  <r>
    <x v="6"/>
    <x v="0"/>
    <s v="University of Louisiana at Monroe"/>
    <m/>
    <n v="159993"/>
    <x v="2"/>
    <n v="35779202"/>
    <n v="30975353"/>
    <m/>
    <m/>
    <m/>
    <m/>
    <n v="37104070"/>
    <m/>
    <n v="37104070"/>
    <n v="40249575"/>
    <m/>
    <n v="40249575"/>
    <n v="72883272"/>
    <n v="71224928"/>
    <m/>
    <m/>
    <m/>
    <m/>
    <n v="0"/>
    <m/>
    <m/>
    <n v="0"/>
    <m/>
    <m/>
    <m/>
    <m/>
    <m/>
    <m/>
    <n v="72883272"/>
    <n v="71224928"/>
  </r>
  <r>
    <x v="6"/>
    <x v="0"/>
    <s v="Grambling State University"/>
    <m/>
    <n v="159009"/>
    <x v="3"/>
    <n v="18582118"/>
    <n v="16116486"/>
    <m/>
    <m/>
    <m/>
    <m/>
    <n v="31921420"/>
    <m/>
    <n v="31921420"/>
    <n v="35027884"/>
    <m/>
    <n v="35027884"/>
    <n v="50503538"/>
    <n v="51144370"/>
    <m/>
    <m/>
    <m/>
    <m/>
    <n v="0"/>
    <m/>
    <m/>
    <n v="0"/>
    <m/>
    <m/>
    <m/>
    <m/>
    <m/>
    <m/>
    <n v="50503538"/>
    <n v="51144370"/>
  </r>
  <r>
    <x v="6"/>
    <x v="0"/>
    <s v="Louisiana State University in Shreveport"/>
    <m/>
    <n v="159416"/>
    <x v="3"/>
    <n v="11543915"/>
    <n v="9997854"/>
    <m/>
    <m/>
    <m/>
    <m/>
    <n v="17218640"/>
    <m/>
    <n v="17218640"/>
    <n v="18492357"/>
    <m/>
    <n v="18492357"/>
    <n v="28762555"/>
    <n v="28490211"/>
    <m/>
    <m/>
    <m/>
    <m/>
    <n v="0"/>
    <m/>
    <m/>
    <n v="0"/>
    <m/>
    <m/>
    <m/>
    <m/>
    <m/>
    <m/>
    <n v="28762555"/>
    <n v="28490211"/>
  </r>
  <r>
    <x v="6"/>
    <x v="0"/>
    <s v="McNeese State University"/>
    <m/>
    <n v="159717"/>
    <x v="3"/>
    <n v="27415320"/>
    <n v="23142671"/>
    <m/>
    <m/>
    <m/>
    <m/>
    <n v="32100358"/>
    <m/>
    <n v="32100358"/>
    <n v="35670828"/>
    <m/>
    <n v="35670828"/>
    <n v="59515678"/>
    <n v="58813499"/>
    <m/>
    <m/>
    <m/>
    <m/>
    <n v="0"/>
    <m/>
    <m/>
    <n v="0"/>
    <m/>
    <m/>
    <m/>
    <m/>
    <m/>
    <m/>
    <n v="59515678"/>
    <n v="58813499"/>
  </r>
  <r>
    <x v="6"/>
    <x v="0"/>
    <s v="Nicholls State University "/>
    <m/>
    <n v="159966"/>
    <x v="3"/>
    <n v="22278977"/>
    <n v="18346022"/>
    <m/>
    <m/>
    <m/>
    <m/>
    <n v="28239067"/>
    <m/>
    <n v="28239067"/>
    <n v="30237559"/>
    <m/>
    <n v="30237559"/>
    <n v="50518044"/>
    <n v="48583581"/>
    <m/>
    <m/>
    <m/>
    <m/>
    <n v="0"/>
    <m/>
    <m/>
    <n v="0"/>
    <m/>
    <m/>
    <m/>
    <m/>
    <m/>
    <m/>
    <n v="50518044"/>
    <n v="48583581"/>
  </r>
  <r>
    <x v="6"/>
    <x v="0"/>
    <s v="Northwestern State University"/>
    <m/>
    <n v="160038"/>
    <x v="3"/>
    <n v="30588290"/>
    <n v="26115237"/>
    <m/>
    <m/>
    <m/>
    <m/>
    <n v="37794693"/>
    <m/>
    <n v="37794693"/>
    <n v="42812195"/>
    <m/>
    <n v="42812195"/>
    <n v="68382983"/>
    <n v="68927432"/>
    <m/>
    <m/>
    <m/>
    <m/>
    <n v="0"/>
    <m/>
    <m/>
    <n v="0"/>
    <m/>
    <m/>
    <m/>
    <m/>
    <m/>
    <m/>
    <n v="68382983"/>
    <n v="68927432"/>
  </r>
  <r>
    <x v="6"/>
    <x v="0"/>
    <s v="Southern University at New Orleans"/>
    <s v="Met the criteria for Four-Year 5 in 2012-13."/>
    <n v="160630"/>
    <x v="3"/>
    <n v="10054498"/>
    <n v="7978298"/>
    <m/>
    <m/>
    <m/>
    <m/>
    <n v="10314922"/>
    <m/>
    <n v="10314922"/>
    <n v="11097420"/>
    <m/>
    <n v="11097420"/>
    <n v="20369420"/>
    <n v="19075718"/>
    <m/>
    <m/>
    <m/>
    <m/>
    <n v="0"/>
    <m/>
    <m/>
    <n v="0"/>
    <m/>
    <m/>
    <m/>
    <m/>
    <m/>
    <m/>
    <n v="20369420"/>
    <n v="19075718"/>
  </r>
  <r>
    <x v="6"/>
    <x v="0"/>
    <s v="Louisiana State University at Alexandria"/>
    <m/>
    <n v="159382"/>
    <x v="5"/>
    <n v="7948705"/>
    <n v="6620415"/>
    <m/>
    <m/>
    <m/>
    <m/>
    <n v="9589911"/>
    <m/>
    <n v="9589911"/>
    <n v="9115459"/>
    <m/>
    <n v="9115459"/>
    <n v="17538616"/>
    <n v="15735874"/>
    <m/>
    <m/>
    <m/>
    <m/>
    <n v="0"/>
    <m/>
    <m/>
    <n v="0"/>
    <m/>
    <m/>
    <m/>
    <m/>
    <m/>
    <m/>
    <n v="17538616"/>
    <n v="15735874"/>
  </r>
  <r>
    <x v="6"/>
    <x v="0"/>
    <s v="Baton Rouge Community College"/>
    <m/>
    <n v="437103"/>
    <x v="6"/>
    <n v="11838421"/>
    <n v="10059999"/>
    <m/>
    <m/>
    <m/>
    <m/>
    <n v="17537871"/>
    <m/>
    <n v="17537871"/>
    <n v="16970214"/>
    <m/>
    <n v="16970214"/>
    <n v="29376292"/>
    <n v="27030213"/>
    <m/>
    <m/>
    <m/>
    <m/>
    <n v="0"/>
    <m/>
    <m/>
    <n v="0"/>
    <m/>
    <m/>
    <m/>
    <m/>
    <m/>
    <m/>
    <n v="29376292"/>
    <n v="27030213"/>
  </r>
  <r>
    <x v="6"/>
    <x v="0"/>
    <s v="Bossier Parish Community College"/>
    <s v="Reclassified: met the criteria for Two-Year 1 in 2010-11, 2011-12, and 2012-13."/>
    <n v="158431"/>
    <x v="6"/>
    <n v="9606380"/>
    <n v="8266984"/>
    <m/>
    <m/>
    <m/>
    <m/>
    <n v="14927976"/>
    <m/>
    <n v="14927976"/>
    <n v="17667305"/>
    <m/>
    <n v="17667305"/>
    <n v="24534356"/>
    <n v="25934289"/>
    <m/>
    <m/>
    <m/>
    <m/>
    <n v="0"/>
    <m/>
    <m/>
    <n v="0"/>
    <m/>
    <m/>
    <m/>
    <m/>
    <m/>
    <m/>
    <n v="24534356"/>
    <n v="25934289"/>
  </r>
  <r>
    <x v="6"/>
    <x v="0"/>
    <s v="Delgado Community College "/>
    <m/>
    <n v="158662"/>
    <x v="6"/>
    <n v="33671299"/>
    <n v="29250135"/>
    <m/>
    <m/>
    <m/>
    <m/>
    <n v="52900000"/>
    <m/>
    <n v="52900000"/>
    <n v="55578415"/>
    <m/>
    <n v="55578415"/>
    <n v="86571299"/>
    <n v="84828550"/>
    <m/>
    <m/>
    <m/>
    <m/>
    <n v="0"/>
    <m/>
    <m/>
    <n v="0"/>
    <m/>
    <m/>
    <m/>
    <m/>
    <m/>
    <m/>
    <n v="86571299"/>
    <n v="84828550"/>
  </r>
  <r>
    <x v="6"/>
    <x v="0"/>
    <s v="Louisiana State University at Eunice"/>
    <m/>
    <n v="159407"/>
    <x v="7"/>
    <n v="5946061"/>
    <n v="3495054"/>
    <m/>
    <m/>
    <m/>
    <m/>
    <n v="6641485"/>
    <m/>
    <n v="6641485"/>
    <n v="7448837"/>
    <m/>
    <n v="7448837"/>
    <n v="12587546"/>
    <n v="10943891"/>
    <m/>
    <m/>
    <m/>
    <m/>
    <n v="0"/>
    <m/>
    <m/>
    <n v="0"/>
    <m/>
    <m/>
    <m/>
    <m/>
    <m/>
    <m/>
    <n v="12587546"/>
    <n v="10943891"/>
  </r>
  <r>
    <x v="6"/>
    <x v="0"/>
    <s v="South Louisiana Community College"/>
    <s v="Met the criteria for Two-Year 1 in 2012-13."/>
    <n v="434061"/>
    <x v="7"/>
    <n v="5348783"/>
    <n v="14431435"/>
    <m/>
    <m/>
    <m/>
    <m/>
    <n v="8757245"/>
    <m/>
    <n v="8757245"/>
    <n v="13555912"/>
    <m/>
    <n v="13555912"/>
    <n v="14106028"/>
    <n v="27987347"/>
    <m/>
    <m/>
    <m/>
    <m/>
    <n v="0"/>
    <m/>
    <m/>
    <n v="0"/>
    <m/>
    <m/>
    <m/>
    <m/>
    <m/>
    <m/>
    <n v="14106028"/>
    <n v="27987347"/>
  </r>
  <r>
    <x v="6"/>
    <x v="0"/>
    <s v="Louisiana Delta Community College"/>
    <s v="Met the criteria for Two-Year 2 in 2011-12 and 2012-13."/>
    <n v="440624"/>
    <x v="8"/>
    <n v="4547172"/>
    <n v="8463049"/>
    <m/>
    <m/>
    <m/>
    <m/>
    <n v="5904085"/>
    <m/>
    <n v="5904085"/>
    <n v="9493432"/>
    <m/>
    <n v="9493432"/>
    <n v="10451257"/>
    <n v="17956481"/>
    <m/>
    <m/>
    <m/>
    <m/>
    <n v="0"/>
    <m/>
    <m/>
    <n v="0"/>
    <m/>
    <m/>
    <m/>
    <m/>
    <m/>
    <m/>
    <n v="10451257"/>
    <n v="17956481"/>
  </r>
  <r>
    <x v="6"/>
    <x v="0"/>
    <s v="Nunez Community College"/>
    <m/>
    <n v="158884"/>
    <x v="8"/>
    <n v="3756296"/>
    <n v="3324945"/>
    <m/>
    <m/>
    <m/>
    <m/>
    <n v="3837798"/>
    <m/>
    <n v="3837798"/>
    <n v="4200581"/>
    <m/>
    <n v="4200581"/>
    <n v="7594094"/>
    <n v="7525526"/>
    <m/>
    <m/>
    <m/>
    <m/>
    <n v="0"/>
    <m/>
    <m/>
    <n v="0"/>
    <m/>
    <m/>
    <m/>
    <m/>
    <m/>
    <m/>
    <n v="7594094"/>
    <n v="7525526"/>
  </r>
  <r>
    <x v="6"/>
    <x v="0"/>
    <s v="River Parishes Community College"/>
    <m/>
    <n v="436304"/>
    <x v="8"/>
    <n v="3388774"/>
    <n v="3292548"/>
    <m/>
    <m/>
    <m/>
    <m/>
    <n v="4750000"/>
    <m/>
    <n v="4750000"/>
    <n v="4885686"/>
    <m/>
    <n v="4885686"/>
    <n v="8138774"/>
    <n v="8178234"/>
    <m/>
    <m/>
    <m/>
    <m/>
    <n v="0"/>
    <m/>
    <m/>
    <n v="0"/>
    <m/>
    <m/>
    <m/>
    <m/>
    <m/>
    <m/>
    <n v="8138774"/>
    <n v="8178234"/>
  </r>
  <r>
    <x v="6"/>
    <x v="0"/>
    <s v="Southern University in Shreveport"/>
    <s v="Met the criteria for Two-Year 2 in 2011-12 and 2012-13."/>
    <n v="160649"/>
    <x v="8"/>
    <n v="6583528"/>
    <n v="5951073"/>
    <m/>
    <m/>
    <m/>
    <m/>
    <n v="6130579"/>
    <m/>
    <n v="6130579"/>
    <n v="6131429"/>
    <m/>
    <n v="6131429"/>
    <n v="12714107"/>
    <n v="12082502"/>
    <m/>
    <m/>
    <m/>
    <m/>
    <n v="0"/>
    <m/>
    <m/>
    <n v="0"/>
    <m/>
    <m/>
    <m/>
    <m/>
    <m/>
    <m/>
    <n v="12714107"/>
    <n v="12082502"/>
  </r>
  <r>
    <x v="6"/>
    <x v="0"/>
    <s v="Acadiana Technical College"/>
    <m/>
    <n v="159443"/>
    <x v="9"/>
    <n v="11814677"/>
    <n v="0"/>
    <m/>
    <m/>
    <m/>
    <m/>
    <n v="4170000"/>
    <m/>
    <n v="4170000"/>
    <n v="0"/>
    <m/>
    <n v="0"/>
    <n v="15984677"/>
    <n v="0"/>
    <m/>
    <m/>
    <m/>
    <m/>
    <n v="0"/>
    <m/>
    <m/>
    <n v="0"/>
    <m/>
    <m/>
    <m/>
    <m/>
    <m/>
    <m/>
    <n v="15984677"/>
    <n v="0"/>
  </r>
  <r>
    <x v="6"/>
    <x v="0"/>
    <s v="Capital Area Technical College"/>
    <m/>
    <n v="158352"/>
    <x v="9"/>
    <n v="7496688"/>
    <n v="6736654"/>
    <m/>
    <m/>
    <m/>
    <m/>
    <n v="1935000"/>
    <m/>
    <n v="1935000"/>
    <n v="2156123"/>
    <m/>
    <n v="2156123"/>
    <n v="9431688"/>
    <n v="8892777"/>
    <m/>
    <m/>
    <m/>
    <m/>
    <n v="0"/>
    <m/>
    <m/>
    <n v="0"/>
    <m/>
    <m/>
    <m/>
    <m/>
    <m/>
    <m/>
    <n v="9431688"/>
    <n v="8892777"/>
  </r>
  <r>
    <x v="6"/>
    <x v="0"/>
    <s v="Central LA Technical College"/>
    <m/>
    <n v="158088"/>
    <x v="9"/>
    <n v="7258581"/>
    <n v="6307926"/>
    <m/>
    <m/>
    <m/>
    <m/>
    <n v="2165000"/>
    <m/>
    <n v="2165000"/>
    <n v="3622581"/>
    <m/>
    <n v="3622581"/>
    <n v="9423581"/>
    <n v="9930507"/>
    <m/>
    <m/>
    <m/>
    <m/>
    <n v="0"/>
    <m/>
    <m/>
    <n v="0"/>
    <m/>
    <m/>
    <m/>
    <m/>
    <m/>
    <m/>
    <n v="9423581"/>
    <n v="9930507"/>
  </r>
  <r>
    <x v="6"/>
    <x v="0"/>
    <s v="L.E. Fletcher Technical Community College"/>
    <m/>
    <n v="160481"/>
    <x v="9"/>
    <n v="3335630"/>
    <n v="2974394"/>
    <m/>
    <m/>
    <m/>
    <m/>
    <n v="4627587"/>
    <m/>
    <n v="4627587"/>
    <n v="5258138"/>
    <m/>
    <n v="5258138"/>
    <n v="7963217"/>
    <n v="8232532"/>
    <m/>
    <m/>
    <m/>
    <m/>
    <n v="0"/>
    <m/>
    <m/>
    <n v="0"/>
    <m/>
    <m/>
    <m/>
    <m/>
    <m/>
    <m/>
    <n v="7963217"/>
    <n v="8232532"/>
  </r>
  <r>
    <x v="6"/>
    <x v="0"/>
    <s v="Northeast Technical College"/>
    <m/>
    <n v="158769"/>
    <x v="9"/>
    <n v="6112219"/>
    <n v="0"/>
    <m/>
    <m/>
    <m/>
    <m/>
    <n v="1955000"/>
    <m/>
    <n v="1955000"/>
    <n v="0"/>
    <m/>
    <n v="0"/>
    <n v="8067219"/>
    <n v="0"/>
    <m/>
    <m/>
    <m/>
    <m/>
    <n v="0"/>
    <m/>
    <m/>
    <n v="0"/>
    <m/>
    <m/>
    <m/>
    <m/>
    <m/>
    <m/>
    <n v="8067219"/>
    <n v="0"/>
  </r>
  <r>
    <x v="6"/>
    <x v="0"/>
    <s v="Northshore Technical College"/>
    <m/>
    <n v="160667"/>
    <x v="9"/>
    <n v="5826771"/>
    <n v="5088336"/>
    <m/>
    <m/>
    <m/>
    <m/>
    <n v="3197478"/>
    <m/>
    <n v="3197478"/>
    <n v="4592135"/>
    <m/>
    <n v="4592135"/>
    <n v="9024249"/>
    <n v="9680471"/>
    <m/>
    <m/>
    <m/>
    <m/>
    <n v="0"/>
    <m/>
    <m/>
    <n v="0"/>
    <m/>
    <m/>
    <m/>
    <m/>
    <m/>
    <m/>
    <n v="9024249"/>
    <n v="9680471"/>
  </r>
  <r>
    <x v="6"/>
    <x v="0"/>
    <s v="Northwest LA Technical College"/>
    <m/>
    <n v="160010"/>
    <x v="9"/>
    <n v="8539743"/>
    <n v="7425604"/>
    <m/>
    <m/>
    <m/>
    <m/>
    <n v="3075000"/>
    <m/>
    <n v="3075000"/>
    <n v="2904576"/>
    <m/>
    <n v="2904576"/>
    <n v="11614743"/>
    <n v="10330180"/>
    <m/>
    <m/>
    <m/>
    <m/>
    <n v="0"/>
    <m/>
    <m/>
    <n v="0"/>
    <m/>
    <m/>
    <m/>
    <m/>
    <m/>
    <m/>
    <n v="11614743"/>
    <n v="10330180"/>
  </r>
  <r>
    <x v="6"/>
    <x v="0"/>
    <s v="South Central LA Technical College"/>
    <m/>
    <n v="160913"/>
    <x v="9"/>
    <n v="5659017"/>
    <n v="5200772"/>
    <m/>
    <m/>
    <m/>
    <m/>
    <n v="3585000"/>
    <m/>
    <n v="3585000"/>
    <n v="3378827"/>
    <m/>
    <n v="3378827"/>
    <n v="9244017"/>
    <n v="8579599"/>
    <m/>
    <m/>
    <m/>
    <m/>
    <n v="0"/>
    <m/>
    <m/>
    <n v="0"/>
    <m/>
    <m/>
    <m/>
    <m/>
    <m/>
    <m/>
    <n v="9244017"/>
    <n v="8579599"/>
  </r>
  <r>
    <x v="6"/>
    <x v="0"/>
    <s v="Sowela Technical Community College"/>
    <m/>
    <n v="160579"/>
    <x v="9"/>
    <n v="6821306"/>
    <n v="6116270"/>
    <m/>
    <m/>
    <m/>
    <m/>
    <n v="4764451"/>
    <m/>
    <n v="4764451"/>
    <n v="5785517"/>
    <m/>
    <n v="5785517"/>
    <n v="11585757"/>
    <n v="11901787"/>
    <m/>
    <m/>
    <m/>
    <m/>
    <n v="0"/>
    <m/>
    <m/>
    <n v="0"/>
    <m/>
    <m/>
    <m/>
    <m/>
    <m/>
    <m/>
    <n v="11585757"/>
    <n v="11901787"/>
  </r>
  <r>
    <x v="6"/>
    <x v="41"/>
    <s v="Louisiana State University Health Sciences Center—New Orleans"/>
    <m/>
    <n v="159373"/>
    <x v="11"/>
    <m/>
    <m/>
    <m/>
    <m/>
    <m/>
    <m/>
    <m/>
    <m/>
    <n v="0"/>
    <m/>
    <m/>
    <n v="0"/>
    <n v="0"/>
    <n v="0"/>
    <m/>
    <m/>
    <m/>
    <m/>
    <n v="0"/>
    <m/>
    <m/>
    <n v="0"/>
    <n v="93188887"/>
    <n v="95248738"/>
    <n v="29473022"/>
    <n v="33672249"/>
    <m/>
    <m/>
    <n v="122661909"/>
    <n v="95248738"/>
  </r>
  <r>
    <x v="6"/>
    <x v="41"/>
    <s v="Louisiana State University Health Sciences Center — Shreveport"/>
    <m/>
    <n v="435000"/>
    <x v="11"/>
    <m/>
    <m/>
    <m/>
    <m/>
    <m/>
    <m/>
    <m/>
    <m/>
    <n v="0"/>
    <m/>
    <m/>
    <n v="0"/>
    <n v="0"/>
    <n v="0"/>
    <m/>
    <m/>
    <m/>
    <m/>
    <n v="0"/>
    <m/>
    <m/>
    <n v="0"/>
    <n v="55938149"/>
    <n v="60728817"/>
    <n v="9521137"/>
    <n v="11972191"/>
    <m/>
    <m/>
    <n v="65459286"/>
    <n v="60728817"/>
  </r>
  <r>
    <x v="6"/>
    <x v="10"/>
    <s v="Statewide Special-Purpose Units"/>
    <m/>
    <m/>
    <x v="12"/>
    <m/>
    <m/>
    <m/>
    <m/>
    <m/>
    <m/>
    <m/>
    <m/>
    <n v="0"/>
    <m/>
    <m/>
    <n v="0"/>
    <n v="0"/>
    <n v="0"/>
    <m/>
    <m/>
    <m/>
    <m/>
    <n v="0"/>
    <m/>
    <m/>
    <n v="0"/>
    <m/>
    <m/>
    <m/>
    <m/>
    <m/>
    <m/>
    <n v="0"/>
    <n v="0"/>
  </r>
  <r>
    <x v="6"/>
    <x v="42"/>
    <s v="Community or public service units"/>
    <m/>
    <m/>
    <x v="12"/>
    <m/>
    <m/>
    <m/>
    <m/>
    <m/>
    <m/>
    <m/>
    <m/>
    <n v="0"/>
    <m/>
    <m/>
    <n v="0"/>
    <n v="0"/>
    <n v="0"/>
    <m/>
    <m/>
    <m/>
    <m/>
    <n v="0"/>
    <m/>
    <m/>
    <n v="0"/>
    <m/>
    <m/>
    <m/>
    <m/>
    <m/>
    <m/>
    <n v="0"/>
    <n v="0"/>
  </r>
  <r>
    <x v="6"/>
    <x v="42"/>
    <s v="Center for Innovative Teaching and Learning (CITAL)"/>
    <m/>
    <m/>
    <x v="12"/>
    <m/>
    <m/>
    <n v="574431"/>
    <n v="311466"/>
    <m/>
    <m/>
    <m/>
    <m/>
    <n v="0"/>
    <m/>
    <m/>
    <n v="0"/>
    <n v="574431"/>
    <n v="311466"/>
    <m/>
    <m/>
    <m/>
    <m/>
    <n v="0"/>
    <m/>
    <m/>
    <n v="0"/>
    <m/>
    <m/>
    <m/>
    <m/>
    <m/>
    <m/>
    <n v="574431"/>
    <n v="311466"/>
  </r>
  <r>
    <x v="6"/>
    <x v="11"/>
    <s v="LA Universities' Marine Consortium"/>
    <m/>
    <m/>
    <x v="12"/>
    <m/>
    <m/>
    <n v="2518002"/>
    <n v="2439647"/>
    <m/>
    <m/>
    <m/>
    <m/>
    <n v="0"/>
    <m/>
    <m/>
    <n v="0"/>
    <n v="2518002"/>
    <n v="2439647"/>
    <m/>
    <m/>
    <m/>
    <m/>
    <n v="0"/>
    <m/>
    <m/>
    <n v="0"/>
    <m/>
    <m/>
    <m/>
    <m/>
    <m/>
    <m/>
    <n v="2518002"/>
    <n v="2439647"/>
  </r>
  <r>
    <x v="6"/>
    <x v="11"/>
    <s v="Pennington Biomedical Research Center"/>
    <m/>
    <m/>
    <x v="12"/>
    <m/>
    <m/>
    <n v="13085602"/>
    <n v="12454062"/>
    <m/>
    <m/>
    <m/>
    <m/>
    <n v="0"/>
    <m/>
    <m/>
    <n v="0"/>
    <n v="13085602"/>
    <n v="12454062"/>
    <m/>
    <m/>
    <m/>
    <m/>
    <n v="0"/>
    <m/>
    <m/>
    <n v="0"/>
    <m/>
    <m/>
    <m/>
    <m/>
    <m/>
    <m/>
    <n v="13085602"/>
    <n v="12454062"/>
  </r>
  <r>
    <x v="6"/>
    <x v="13"/>
    <s v="Education special purpose funds — all other"/>
    <m/>
    <m/>
    <x v="12"/>
    <m/>
    <m/>
    <m/>
    <m/>
    <m/>
    <m/>
    <m/>
    <m/>
    <n v="0"/>
    <m/>
    <m/>
    <n v="0"/>
    <n v="0"/>
    <n v="0"/>
    <m/>
    <m/>
    <m/>
    <m/>
    <n v="0"/>
    <m/>
    <m/>
    <n v="0"/>
    <m/>
    <m/>
    <m/>
    <m/>
    <m/>
    <m/>
    <n v="0"/>
    <n v="0"/>
  </r>
  <r>
    <x v="6"/>
    <x v="13"/>
    <s v="Health Care WorkForce"/>
    <m/>
    <m/>
    <x v="12"/>
    <m/>
    <m/>
    <n v="2050235"/>
    <n v="1487676"/>
    <m/>
    <m/>
    <m/>
    <m/>
    <n v="0"/>
    <m/>
    <m/>
    <n v="0"/>
    <n v="2050235"/>
    <n v="1487676"/>
    <m/>
    <m/>
    <m/>
    <m/>
    <n v="0"/>
    <m/>
    <m/>
    <n v="0"/>
    <m/>
    <m/>
    <m/>
    <m/>
    <m/>
    <m/>
    <n v="2050235"/>
    <n v="1487676"/>
  </r>
  <r>
    <x v="6"/>
    <x v="13"/>
    <s v="Distance learning"/>
    <m/>
    <m/>
    <x v="12"/>
    <m/>
    <m/>
    <n v="470000"/>
    <n v="354000"/>
    <m/>
    <m/>
    <m/>
    <m/>
    <n v="0"/>
    <m/>
    <m/>
    <n v="0"/>
    <n v="470000"/>
    <n v="354000"/>
    <m/>
    <m/>
    <m/>
    <m/>
    <n v="0"/>
    <m/>
    <m/>
    <n v="0"/>
    <m/>
    <m/>
    <m/>
    <m/>
    <m/>
    <m/>
    <n v="470000"/>
    <n v="354000"/>
  </r>
  <r>
    <x v="6"/>
    <x v="13"/>
    <s v="LA Online Library Network (LOUIS)"/>
    <m/>
    <m/>
    <x v="12"/>
    <m/>
    <m/>
    <n v="1000000"/>
    <n v="500000"/>
    <m/>
    <m/>
    <m/>
    <m/>
    <n v="0"/>
    <m/>
    <m/>
    <n v="0"/>
    <n v="1000000"/>
    <n v="500000"/>
    <m/>
    <m/>
    <m/>
    <m/>
    <n v="0"/>
    <m/>
    <m/>
    <n v="0"/>
    <m/>
    <m/>
    <m/>
    <m/>
    <m/>
    <m/>
    <n v="1000000"/>
    <n v="500000"/>
  </r>
  <r>
    <x v="6"/>
    <x v="13"/>
    <s v="LA Endowment for the Humanities"/>
    <m/>
    <m/>
    <x v="12"/>
    <m/>
    <m/>
    <n v="500000"/>
    <n v="0"/>
    <m/>
    <m/>
    <m/>
    <m/>
    <n v="0"/>
    <m/>
    <m/>
    <n v="0"/>
    <n v="500000"/>
    <n v="0"/>
    <m/>
    <m/>
    <m/>
    <m/>
    <n v="0"/>
    <m/>
    <m/>
    <n v="0"/>
    <m/>
    <m/>
    <m/>
    <m/>
    <m/>
    <m/>
    <n v="500000"/>
    <n v="0"/>
  </r>
  <r>
    <x v="6"/>
    <x v="13"/>
    <s v="Endowed Chairs/Professorships"/>
    <m/>
    <m/>
    <x v="12"/>
    <m/>
    <m/>
    <n v="4780000"/>
    <n v="3200000"/>
    <m/>
    <m/>
    <m/>
    <m/>
    <n v="0"/>
    <m/>
    <m/>
    <n v="0"/>
    <n v="4780000"/>
    <n v="3200000"/>
    <m/>
    <m/>
    <m/>
    <m/>
    <n v="0"/>
    <m/>
    <m/>
    <n v="0"/>
    <m/>
    <m/>
    <m/>
    <m/>
    <m/>
    <m/>
    <n v="4780000"/>
    <n v="3200000"/>
  </r>
  <r>
    <x v="6"/>
    <x v="13"/>
    <s v="Endowed Scholarships"/>
    <m/>
    <m/>
    <x v="12"/>
    <m/>
    <m/>
    <n v="1000000"/>
    <n v="1000000"/>
    <m/>
    <m/>
    <m/>
    <m/>
    <n v="0"/>
    <m/>
    <m/>
    <n v="0"/>
    <n v="1000000"/>
    <n v="1000000"/>
    <m/>
    <m/>
    <m/>
    <m/>
    <n v="0"/>
    <m/>
    <m/>
    <n v="0"/>
    <m/>
    <m/>
    <m/>
    <m/>
    <m/>
    <m/>
    <n v="1000000"/>
    <n v="1000000"/>
  </r>
  <r>
    <x v="6"/>
    <x v="13"/>
    <s v="LONI"/>
    <m/>
    <m/>
    <x v="12"/>
    <m/>
    <m/>
    <n v="4145068"/>
    <n v="3740434"/>
    <m/>
    <m/>
    <m/>
    <m/>
    <n v="0"/>
    <m/>
    <m/>
    <n v="0"/>
    <n v="4145068"/>
    <n v="3740434"/>
    <m/>
    <m/>
    <m/>
    <m/>
    <n v="0"/>
    <m/>
    <m/>
    <n v="0"/>
    <m/>
    <m/>
    <m/>
    <m/>
    <m/>
    <m/>
    <n v="4145068"/>
    <n v="3740434"/>
  </r>
  <r>
    <x v="6"/>
    <x v="13"/>
    <s v="Other Initiatives"/>
    <m/>
    <m/>
    <x v="12"/>
    <m/>
    <m/>
    <n v="318656"/>
    <n v="100000"/>
    <m/>
    <m/>
    <m/>
    <m/>
    <n v="0"/>
    <m/>
    <m/>
    <n v="0"/>
    <n v="318656"/>
    <n v="100000"/>
    <m/>
    <m/>
    <m/>
    <m/>
    <n v="0"/>
    <m/>
    <m/>
    <n v="0"/>
    <m/>
    <m/>
    <m/>
    <m/>
    <m/>
    <m/>
    <n v="318656"/>
    <n v="100000"/>
  </r>
  <r>
    <x v="6"/>
    <x v="13"/>
    <s v="Adult Education"/>
    <m/>
    <m/>
    <x v="12"/>
    <m/>
    <m/>
    <n v="350000"/>
    <n v="350000"/>
    <m/>
    <m/>
    <m/>
    <m/>
    <n v="0"/>
    <m/>
    <m/>
    <n v="0"/>
    <n v="350000"/>
    <n v="350000"/>
    <m/>
    <m/>
    <m/>
    <m/>
    <n v="0"/>
    <m/>
    <m/>
    <n v="0"/>
    <m/>
    <m/>
    <m/>
    <m/>
    <m/>
    <m/>
    <n v="350000"/>
    <n v="350000"/>
  </r>
  <r>
    <x v="6"/>
    <x v="14"/>
    <s v="Statewide System Operations"/>
    <m/>
    <m/>
    <x v="12"/>
    <m/>
    <m/>
    <m/>
    <m/>
    <m/>
    <m/>
    <m/>
    <m/>
    <n v="0"/>
    <m/>
    <m/>
    <n v="0"/>
    <n v="0"/>
    <n v="0"/>
    <m/>
    <m/>
    <m/>
    <m/>
    <n v="0"/>
    <m/>
    <m/>
    <n v="0"/>
    <m/>
    <m/>
    <m/>
    <m/>
    <m/>
    <m/>
    <n v="0"/>
    <n v="0"/>
  </r>
  <r>
    <x v="6"/>
    <x v="15"/>
    <s v="Colleges and universities"/>
    <m/>
    <m/>
    <x v="12"/>
    <m/>
    <m/>
    <m/>
    <m/>
    <m/>
    <m/>
    <m/>
    <m/>
    <n v="0"/>
    <m/>
    <m/>
    <n v="0"/>
    <n v="0"/>
    <n v="0"/>
    <m/>
    <m/>
    <m/>
    <m/>
    <n v="0"/>
    <m/>
    <m/>
    <n v="0"/>
    <m/>
    <m/>
    <m/>
    <m/>
    <m/>
    <m/>
    <n v="0"/>
    <n v="0"/>
  </r>
  <r>
    <x v="6"/>
    <x v="15"/>
    <s v="Board of Regents"/>
    <m/>
    <m/>
    <x v="12"/>
    <m/>
    <m/>
    <m/>
    <m/>
    <m/>
    <m/>
    <m/>
    <m/>
    <n v="0"/>
    <m/>
    <m/>
    <n v="0"/>
    <n v="0"/>
    <n v="0"/>
    <n v="7121699"/>
    <n v="6428372"/>
    <m/>
    <m/>
    <n v="0"/>
    <m/>
    <m/>
    <n v="0"/>
    <m/>
    <m/>
    <m/>
    <m/>
    <m/>
    <m/>
    <n v="7121699"/>
    <n v="6428372"/>
  </r>
  <r>
    <x v="6"/>
    <x v="15"/>
    <s v="Southern University System Office"/>
    <m/>
    <m/>
    <x v="12"/>
    <m/>
    <m/>
    <m/>
    <m/>
    <m/>
    <m/>
    <m/>
    <m/>
    <n v="0"/>
    <m/>
    <m/>
    <n v="0"/>
    <n v="0"/>
    <n v="0"/>
    <n v="2251267"/>
    <n v="2421547"/>
    <m/>
    <m/>
    <n v="0"/>
    <m/>
    <m/>
    <n v="0"/>
    <m/>
    <m/>
    <m/>
    <m/>
    <m/>
    <m/>
    <n v="2251267"/>
    <n v="2421547"/>
  </r>
  <r>
    <x v="6"/>
    <x v="15"/>
    <s v="LA State University System Office"/>
    <m/>
    <m/>
    <x v="12"/>
    <m/>
    <m/>
    <m/>
    <m/>
    <m/>
    <m/>
    <m/>
    <m/>
    <n v="0"/>
    <m/>
    <m/>
    <n v="0"/>
    <n v="0"/>
    <n v="0"/>
    <n v="3990206"/>
    <n v="3495054"/>
    <m/>
    <m/>
    <n v="0"/>
    <m/>
    <m/>
    <n v="0"/>
    <m/>
    <m/>
    <m/>
    <m/>
    <m/>
    <m/>
    <n v="3990206"/>
    <n v="3495054"/>
  </r>
  <r>
    <x v="6"/>
    <x v="15"/>
    <s v="Univ. of LA System Office"/>
    <m/>
    <m/>
    <x v="12"/>
    <m/>
    <m/>
    <m/>
    <m/>
    <m/>
    <m/>
    <m/>
    <m/>
    <n v="0"/>
    <m/>
    <m/>
    <n v="0"/>
    <n v="0"/>
    <n v="0"/>
    <n v="1523297"/>
    <n v="1034112"/>
    <m/>
    <m/>
    <n v="0"/>
    <m/>
    <m/>
    <n v="0"/>
    <m/>
    <m/>
    <m/>
    <m/>
    <m/>
    <m/>
    <n v="1523297"/>
    <n v="1034112"/>
  </r>
  <r>
    <x v="6"/>
    <x v="16"/>
    <s v="Two-year system(s), if any"/>
    <m/>
    <m/>
    <x v="12"/>
    <m/>
    <m/>
    <m/>
    <m/>
    <m/>
    <m/>
    <m/>
    <m/>
    <n v="0"/>
    <m/>
    <m/>
    <n v="0"/>
    <n v="0"/>
    <n v="0"/>
    <m/>
    <m/>
    <m/>
    <m/>
    <n v="0"/>
    <m/>
    <m/>
    <n v="0"/>
    <m/>
    <m/>
    <m/>
    <m/>
    <m/>
    <m/>
    <n v="0"/>
    <n v="0"/>
  </r>
  <r>
    <x v="6"/>
    <x v="16"/>
    <s v="LA Community and Technical College System Office"/>
    <m/>
    <m/>
    <x v="12"/>
    <m/>
    <m/>
    <m/>
    <m/>
    <m/>
    <m/>
    <m/>
    <m/>
    <n v="0"/>
    <m/>
    <m/>
    <n v="0"/>
    <n v="0"/>
    <n v="0"/>
    <n v="17996128"/>
    <n v="17059701"/>
    <m/>
    <m/>
    <n v="0"/>
    <m/>
    <m/>
    <n v="0"/>
    <m/>
    <m/>
    <m/>
    <m/>
    <m/>
    <m/>
    <n v="17996128"/>
    <n v="17059701"/>
  </r>
  <r>
    <x v="6"/>
    <x v="17"/>
    <s v="National or regional associations, compacts or consortia"/>
    <m/>
    <m/>
    <x v="12"/>
    <m/>
    <m/>
    <m/>
    <m/>
    <m/>
    <m/>
    <m/>
    <m/>
    <n v="0"/>
    <m/>
    <m/>
    <n v="0"/>
    <n v="0"/>
    <n v="0"/>
    <m/>
    <m/>
    <m/>
    <m/>
    <n v="0"/>
    <m/>
    <m/>
    <n v="0"/>
    <m/>
    <m/>
    <m/>
    <m/>
    <m/>
    <m/>
    <n v="0"/>
    <n v="0"/>
  </r>
  <r>
    <x v="6"/>
    <x v="17"/>
    <s v="SREB"/>
    <m/>
    <m/>
    <x v="12"/>
    <m/>
    <m/>
    <m/>
    <m/>
    <m/>
    <m/>
    <m/>
    <m/>
    <n v="0"/>
    <m/>
    <m/>
    <n v="0"/>
    <n v="0"/>
    <n v="0"/>
    <m/>
    <m/>
    <m/>
    <m/>
    <n v="0"/>
    <m/>
    <m/>
    <n v="0"/>
    <m/>
    <m/>
    <m/>
    <m/>
    <m/>
    <m/>
    <n v="0"/>
    <n v="0"/>
  </r>
  <r>
    <x v="6"/>
    <x v="18"/>
    <s v="Adm. of Statewide Student Aid Progs. (incldng centralized guaranteed student loans)"/>
    <m/>
    <m/>
    <x v="12"/>
    <m/>
    <m/>
    <m/>
    <m/>
    <m/>
    <m/>
    <m/>
    <m/>
    <n v="0"/>
    <m/>
    <m/>
    <n v="0"/>
    <n v="0"/>
    <n v="0"/>
    <m/>
    <m/>
    <m/>
    <m/>
    <n v="0"/>
    <m/>
    <m/>
    <n v="0"/>
    <m/>
    <m/>
    <m/>
    <m/>
    <m/>
    <m/>
    <n v="0"/>
    <n v="0"/>
  </r>
  <r>
    <x v="6"/>
    <x v="18"/>
    <s v="Louisiana Office of Student Financial Aid (LOSFA)"/>
    <m/>
    <m/>
    <x v="12"/>
    <m/>
    <m/>
    <m/>
    <m/>
    <m/>
    <m/>
    <m/>
    <m/>
    <n v="0"/>
    <m/>
    <m/>
    <n v="0"/>
    <n v="0"/>
    <n v="0"/>
    <n v="1992223"/>
    <n v="2228864"/>
    <m/>
    <m/>
    <n v="0"/>
    <m/>
    <m/>
    <n v="0"/>
    <m/>
    <m/>
    <m/>
    <m/>
    <m/>
    <m/>
    <n v="1992223"/>
    <n v="2228864"/>
  </r>
  <r>
    <x v="6"/>
    <x v="19"/>
    <s v="State Support to Private Colleges Other Than Student Aid (ATI)"/>
    <m/>
    <m/>
    <x v="12"/>
    <m/>
    <m/>
    <m/>
    <m/>
    <m/>
    <m/>
    <m/>
    <m/>
    <n v="0"/>
    <m/>
    <m/>
    <n v="0"/>
    <n v="0"/>
    <n v="0"/>
    <m/>
    <m/>
    <m/>
    <m/>
    <n v="0"/>
    <m/>
    <m/>
    <n v="0"/>
    <m/>
    <m/>
    <m/>
    <m/>
    <m/>
    <m/>
    <n v="0"/>
    <n v="0"/>
  </r>
  <r>
    <x v="6"/>
    <x v="20"/>
    <s v="Contract Education Programs"/>
    <m/>
    <m/>
    <x v="12"/>
    <m/>
    <m/>
    <m/>
    <m/>
    <m/>
    <m/>
    <m/>
    <m/>
    <n v="0"/>
    <m/>
    <m/>
    <n v="0"/>
    <n v="0"/>
    <n v="0"/>
    <m/>
    <m/>
    <m/>
    <m/>
    <n v="0"/>
    <m/>
    <m/>
    <n v="0"/>
    <m/>
    <m/>
    <m/>
    <m/>
    <m/>
    <m/>
    <n v="0"/>
    <n v="0"/>
  </r>
  <r>
    <x v="6"/>
    <x v="21"/>
    <s v="SREB contract program with private colleges"/>
    <m/>
    <m/>
    <x v="12"/>
    <m/>
    <m/>
    <m/>
    <m/>
    <m/>
    <m/>
    <m/>
    <m/>
    <n v="0"/>
    <m/>
    <m/>
    <n v="0"/>
    <n v="0"/>
    <n v="0"/>
    <m/>
    <m/>
    <m/>
    <m/>
    <n v="0"/>
    <m/>
    <m/>
    <n v="0"/>
    <m/>
    <m/>
    <m/>
    <m/>
    <m/>
    <m/>
    <n v="0"/>
    <n v="0"/>
  </r>
  <r>
    <x v="6"/>
    <x v="22"/>
    <s v="SREB contract program with public colleges"/>
    <m/>
    <m/>
    <x v="12"/>
    <m/>
    <m/>
    <m/>
    <m/>
    <m/>
    <m/>
    <m/>
    <m/>
    <n v="0"/>
    <m/>
    <m/>
    <n v="0"/>
    <n v="0"/>
    <n v="0"/>
    <n v="385400"/>
    <n v="380000"/>
    <m/>
    <m/>
    <n v="0"/>
    <m/>
    <m/>
    <n v="0"/>
    <m/>
    <m/>
    <m/>
    <m/>
    <m/>
    <m/>
    <n v="385400"/>
    <n v="380000"/>
  </r>
  <r>
    <x v="6"/>
    <x v="23"/>
    <s v="Other contract education programs"/>
    <m/>
    <m/>
    <x v="12"/>
    <m/>
    <m/>
    <m/>
    <m/>
    <m/>
    <m/>
    <m/>
    <m/>
    <n v="0"/>
    <m/>
    <m/>
    <n v="0"/>
    <n v="0"/>
    <n v="0"/>
    <m/>
    <m/>
    <m/>
    <m/>
    <n v="0"/>
    <m/>
    <m/>
    <n v="0"/>
    <m/>
    <m/>
    <m/>
    <m/>
    <m/>
    <m/>
    <n v="0"/>
    <n v="0"/>
  </r>
  <r>
    <x v="6"/>
    <x v="24"/>
    <s v="Statewide Student Financial Aid Programs Administered Off Campus"/>
    <m/>
    <m/>
    <x v="12"/>
    <m/>
    <m/>
    <m/>
    <m/>
    <m/>
    <m/>
    <m/>
    <m/>
    <n v="0"/>
    <m/>
    <m/>
    <n v="0"/>
    <n v="0"/>
    <n v="0"/>
    <m/>
    <m/>
    <m/>
    <m/>
    <n v="0"/>
    <m/>
    <m/>
    <n v="0"/>
    <m/>
    <m/>
    <m/>
    <m/>
    <m/>
    <m/>
    <n v="0"/>
    <n v="0"/>
  </r>
  <r>
    <x v="6"/>
    <x v="25"/>
    <s v="Available to public &amp; private sector students"/>
    <m/>
    <m/>
    <x v="12"/>
    <m/>
    <m/>
    <m/>
    <m/>
    <m/>
    <m/>
    <m/>
    <m/>
    <n v="0"/>
    <m/>
    <m/>
    <n v="0"/>
    <n v="0"/>
    <n v="0"/>
    <m/>
    <m/>
    <m/>
    <m/>
    <n v="0"/>
    <m/>
    <m/>
    <n v="0"/>
    <m/>
    <m/>
    <m/>
    <m/>
    <m/>
    <m/>
    <n v="0"/>
    <n v="0"/>
  </r>
  <r>
    <x v="6"/>
    <x v="25"/>
    <s v="TOPS,GO GRANT, LEAP"/>
    <m/>
    <m/>
    <x v="12"/>
    <m/>
    <m/>
    <m/>
    <m/>
    <m/>
    <m/>
    <m/>
    <m/>
    <n v="0"/>
    <m/>
    <m/>
    <n v="0"/>
    <n v="0"/>
    <n v="0"/>
    <m/>
    <m/>
    <m/>
    <m/>
    <n v="0"/>
    <m/>
    <m/>
    <n v="0"/>
    <m/>
    <m/>
    <m/>
    <m/>
    <m/>
    <m/>
    <n v="0"/>
    <n v="0"/>
  </r>
  <r>
    <x v="6"/>
    <x v="28"/>
    <s v="Amount to public sector students"/>
    <m/>
    <m/>
    <x v="12"/>
    <m/>
    <m/>
    <m/>
    <m/>
    <m/>
    <m/>
    <m/>
    <m/>
    <n v="0"/>
    <m/>
    <m/>
    <n v="0"/>
    <n v="0"/>
    <n v="0"/>
    <m/>
    <m/>
    <m/>
    <m/>
    <n v="0"/>
    <m/>
    <m/>
    <n v="0"/>
    <m/>
    <m/>
    <m/>
    <m/>
    <m/>
    <m/>
    <n v="0"/>
    <n v="0"/>
  </r>
  <r>
    <x v="6"/>
    <x v="29"/>
    <s v="Need-based"/>
    <m/>
    <m/>
    <x v="12"/>
    <m/>
    <m/>
    <m/>
    <m/>
    <m/>
    <m/>
    <m/>
    <m/>
    <n v="0"/>
    <m/>
    <m/>
    <n v="0"/>
    <n v="0"/>
    <n v="0"/>
    <n v="24469763"/>
    <n v="23823140"/>
    <m/>
    <m/>
    <n v="0"/>
    <m/>
    <m/>
    <n v="0"/>
    <m/>
    <m/>
    <m/>
    <m/>
    <m/>
    <m/>
    <n v="24469763"/>
    <n v="23823140"/>
  </r>
  <r>
    <x v="6"/>
    <x v="30"/>
    <s v="Non need-based"/>
    <m/>
    <m/>
    <x v="12"/>
    <m/>
    <m/>
    <m/>
    <m/>
    <m/>
    <m/>
    <m/>
    <m/>
    <n v="0"/>
    <m/>
    <m/>
    <n v="0"/>
    <n v="0"/>
    <n v="0"/>
    <n v="151778574"/>
    <n v="176903369"/>
    <m/>
    <m/>
    <n v="0"/>
    <m/>
    <m/>
    <n v="0"/>
    <m/>
    <m/>
    <m/>
    <m/>
    <m/>
    <m/>
    <n v="151778574"/>
    <n v="176903369"/>
  </r>
  <r>
    <x v="6"/>
    <x v="31"/>
    <s v="Amount to private sector students"/>
    <m/>
    <m/>
    <x v="12"/>
    <m/>
    <m/>
    <m/>
    <m/>
    <m/>
    <m/>
    <m/>
    <m/>
    <n v="0"/>
    <m/>
    <m/>
    <n v="0"/>
    <n v="0"/>
    <n v="0"/>
    <m/>
    <m/>
    <m/>
    <m/>
    <n v="0"/>
    <m/>
    <m/>
    <n v="0"/>
    <m/>
    <m/>
    <m/>
    <m/>
    <m/>
    <m/>
    <n v="0"/>
    <n v="0"/>
  </r>
  <r>
    <x v="6"/>
    <x v="32"/>
    <s v="Need-based"/>
    <m/>
    <m/>
    <x v="12"/>
    <m/>
    <m/>
    <m/>
    <m/>
    <m/>
    <m/>
    <m/>
    <m/>
    <n v="0"/>
    <m/>
    <m/>
    <n v="0"/>
    <n v="0"/>
    <n v="0"/>
    <n v="2510599"/>
    <n v="2340677"/>
    <m/>
    <m/>
    <n v="0"/>
    <m/>
    <m/>
    <n v="0"/>
    <m/>
    <m/>
    <m/>
    <m/>
    <m/>
    <m/>
    <n v="2510599"/>
    <n v="2340677"/>
  </r>
  <r>
    <x v="6"/>
    <x v="33"/>
    <s v="Non need-based"/>
    <m/>
    <m/>
    <x v="12"/>
    <m/>
    <m/>
    <m/>
    <m/>
    <m/>
    <m/>
    <m/>
    <m/>
    <n v="0"/>
    <m/>
    <m/>
    <n v="0"/>
    <n v="0"/>
    <n v="0"/>
    <n v="12970269"/>
    <n v="14121895"/>
    <m/>
    <m/>
    <n v="0"/>
    <m/>
    <m/>
    <n v="0"/>
    <m/>
    <m/>
    <m/>
    <m/>
    <m/>
    <m/>
    <n v="12970269"/>
    <n v="14121895"/>
  </r>
  <r>
    <x v="6"/>
    <x v="34"/>
    <s v="Limited to public college students only"/>
    <m/>
    <m/>
    <x v="12"/>
    <m/>
    <m/>
    <m/>
    <m/>
    <m/>
    <m/>
    <m/>
    <m/>
    <n v="0"/>
    <m/>
    <m/>
    <n v="0"/>
    <n v="0"/>
    <n v="0"/>
    <m/>
    <m/>
    <m/>
    <m/>
    <n v="0"/>
    <m/>
    <m/>
    <n v="0"/>
    <m/>
    <m/>
    <m/>
    <m/>
    <m/>
    <m/>
    <n v="0"/>
    <n v="0"/>
  </r>
  <r>
    <x v="6"/>
    <x v="34"/>
    <s v="ROCKEFELLER/DUAL ENROLLMENT"/>
    <m/>
    <m/>
    <x v="12"/>
    <m/>
    <m/>
    <m/>
    <m/>
    <m/>
    <m/>
    <m/>
    <m/>
    <n v="0"/>
    <m/>
    <m/>
    <n v="0"/>
    <n v="0"/>
    <n v="0"/>
    <m/>
    <m/>
    <m/>
    <m/>
    <n v="0"/>
    <m/>
    <m/>
    <n v="0"/>
    <m/>
    <m/>
    <m/>
    <m/>
    <m/>
    <m/>
    <n v="0"/>
    <n v="0"/>
  </r>
  <r>
    <x v="6"/>
    <x v="35"/>
    <s v="Need-based"/>
    <m/>
    <m/>
    <x v="12"/>
    <m/>
    <m/>
    <m/>
    <m/>
    <m/>
    <m/>
    <m/>
    <m/>
    <n v="0"/>
    <m/>
    <m/>
    <n v="0"/>
    <n v="0"/>
    <n v="0"/>
    <m/>
    <m/>
    <m/>
    <m/>
    <n v="0"/>
    <m/>
    <m/>
    <n v="0"/>
    <m/>
    <m/>
    <m/>
    <m/>
    <m/>
    <m/>
    <n v="0"/>
    <n v="0"/>
  </r>
  <r>
    <x v="6"/>
    <x v="36"/>
    <s v="Non need-based"/>
    <m/>
    <m/>
    <x v="12"/>
    <m/>
    <m/>
    <m/>
    <m/>
    <m/>
    <m/>
    <m/>
    <m/>
    <n v="0"/>
    <m/>
    <m/>
    <n v="0"/>
    <n v="0"/>
    <n v="0"/>
    <n v="5671000"/>
    <n v="0"/>
    <m/>
    <m/>
    <n v="0"/>
    <m/>
    <m/>
    <n v="0"/>
    <m/>
    <m/>
    <m/>
    <m/>
    <m/>
    <m/>
    <n v="5671000"/>
    <n v="0"/>
  </r>
  <r>
    <x v="6"/>
    <x v="37"/>
    <s v="Limited to private college students only"/>
    <m/>
    <m/>
    <x v="12"/>
    <m/>
    <m/>
    <m/>
    <m/>
    <m/>
    <m/>
    <m/>
    <m/>
    <n v="0"/>
    <m/>
    <m/>
    <n v="0"/>
    <n v="0"/>
    <n v="0"/>
    <m/>
    <m/>
    <m/>
    <m/>
    <n v="0"/>
    <m/>
    <m/>
    <n v="0"/>
    <m/>
    <m/>
    <m/>
    <m/>
    <m/>
    <m/>
    <n v="0"/>
    <n v="0"/>
  </r>
  <r>
    <x v="6"/>
    <x v="38"/>
    <s v="Need-based"/>
    <m/>
    <m/>
    <x v="12"/>
    <m/>
    <m/>
    <m/>
    <m/>
    <m/>
    <m/>
    <m/>
    <m/>
    <n v="0"/>
    <m/>
    <m/>
    <n v="0"/>
    <n v="0"/>
    <n v="0"/>
    <n v="6300"/>
    <n v="0"/>
    <m/>
    <m/>
    <n v="0"/>
    <m/>
    <m/>
    <n v="0"/>
    <m/>
    <m/>
    <m/>
    <m/>
    <m/>
    <m/>
    <n v="6300"/>
    <n v="0"/>
  </r>
  <r>
    <x v="6"/>
    <x v="39"/>
    <s v="Non need-based"/>
    <m/>
    <m/>
    <x v="12"/>
    <m/>
    <m/>
    <m/>
    <m/>
    <m/>
    <m/>
    <m/>
    <m/>
    <n v="0"/>
    <m/>
    <m/>
    <n v="0"/>
    <n v="0"/>
    <n v="0"/>
    <m/>
    <m/>
    <m/>
    <m/>
    <n v="0"/>
    <m/>
    <m/>
    <n v="0"/>
    <m/>
    <m/>
    <m/>
    <m/>
    <m/>
    <m/>
    <n v="0"/>
    <n v="0"/>
  </r>
  <r>
    <x v="7"/>
    <x v="0"/>
    <s v="University of Maryland College Park"/>
    <m/>
    <n v="163286"/>
    <x v="0"/>
    <n v="413391061"/>
    <n v="410197182"/>
    <m/>
    <m/>
    <m/>
    <m/>
    <n v="460070041"/>
    <m/>
    <n v="460070041"/>
    <n v="473762537"/>
    <m/>
    <n v="473762537"/>
    <n v="873461102"/>
    <n v="883959719"/>
    <m/>
    <m/>
    <m/>
    <m/>
    <n v="0"/>
    <m/>
    <m/>
    <n v="0"/>
    <m/>
    <m/>
    <m/>
    <m/>
    <m/>
    <m/>
    <n v="873461102"/>
    <n v="883959719"/>
  </r>
  <r>
    <x v="7"/>
    <x v="4"/>
    <s v="Non-Credit Continuing Education"/>
    <m/>
    <n v="163286"/>
    <x v="0"/>
    <m/>
    <m/>
    <m/>
    <m/>
    <m/>
    <m/>
    <m/>
    <m/>
    <n v="0"/>
    <m/>
    <m/>
    <n v="0"/>
    <n v="0"/>
    <n v="0"/>
    <m/>
    <m/>
    <m/>
    <m/>
    <n v="0"/>
    <m/>
    <m/>
    <n v="0"/>
    <m/>
    <m/>
    <m/>
    <m/>
    <m/>
    <m/>
    <n v="0"/>
    <n v="0"/>
  </r>
  <r>
    <x v="7"/>
    <x v="5"/>
    <s v="Agricultural cooperative extension"/>
    <m/>
    <n v="163286"/>
    <x v="0"/>
    <m/>
    <m/>
    <n v="19400145"/>
    <n v="19443892"/>
    <m/>
    <m/>
    <m/>
    <m/>
    <n v="0"/>
    <m/>
    <m/>
    <n v="0"/>
    <n v="19400145"/>
    <n v="19443892"/>
    <m/>
    <m/>
    <m/>
    <m/>
    <n v="0"/>
    <m/>
    <m/>
    <n v="0"/>
    <m/>
    <m/>
    <m/>
    <m/>
    <m/>
    <m/>
    <n v="19400145"/>
    <n v="19443892"/>
  </r>
  <r>
    <x v="7"/>
    <x v="6"/>
    <s v="Agricultural experiment stations"/>
    <m/>
    <n v="163286"/>
    <x v="0"/>
    <m/>
    <m/>
    <n v="17666584"/>
    <n v="17912363"/>
    <m/>
    <m/>
    <m/>
    <m/>
    <n v="0"/>
    <m/>
    <m/>
    <n v="0"/>
    <n v="17666584"/>
    <n v="17912363"/>
    <m/>
    <m/>
    <m/>
    <m/>
    <n v="0"/>
    <m/>
    <m/>
    <n v="0"/>
    <m/>
    <m/>
    <m/>
    <m/>
    <m/>
    <m/>
    <n v="17666584"/>
    <n v="17912363"/>
  </r>
  <r>
    <x v="7"/>
    <x v="7"/>
    <s v="Research centers/institutes"/>
    <m/>
    <n v="163286"/>
    <x v="0"/>
    <m/>
    <m/>
    <m/>
    <m/>
    <m/>
    <m/>
    <m/>
    <m/>
    <n v="0"/>
    <m/>
    <m/>
    <n v="0"/>
    <n v="0"/>
    <n v="0"/>
    <m/>
    <m/>
    <m/>
    <m/>
    <n v="0"/>
    <m/>
    <m/>
    <n v="0"/>
    <m/>
    <m/>
    <m/>
    <m/>
    <m/>
    <m/>
    <n v="0"/>
    <n v="0"/>
  </r>
  <r>
    <x v="7"/>
    <x v="7"/>
    <s v="Center for Environmental Science"/>
    <m/>
    <n v="163286"/>
    <x v="0"/>
    <m/>
    <m/>
    <n v="19299245"/>
    <n v="19645704"/>
    <m/>
    <m/>
    <m/>
    <m/>
    <n v="0"/>
    <m/>
    <m/>
    <n v="0"/>
    <n v="19299245"/>
    <n v="19645704"/>
    <m/>
    <m/>
    <m/>
    <m/>
    <n v="0"/>
    <m/>
    <m/>
    <n v="0"/>
    <m/>
    <m/>
    <m/>
    <m/>
    <m/>
    <m/>
    <n v="19299245"/>
    <n v="19645704"/>
  </r>
  <r>
    <x v="7"/>
    <x v="0"/>
    <s v="Morgan State University"/>
    <m/>
    <n v="163453"/>
    <x v="1"/>
    <n v="73001828"/>
    <n v="73494626"/>
    <m/>
    <m/>
    <m/>
    <m/>
    <n v="55999907"/>
    <m/>
    <n v="55999907"/>
    <n v="55765780"/>
    <m/>
    <n v="55765780"/>
    <n v="129001735"/>
    <n v="129260406"/>
    <m/>
    <m/>
    <m/>
    <m/>
    <n v="0"/>
    <m/>
    <m/>
    <n v="0"/>
    <m/>
    <m/>
    <m/>
    <m/>
    <m/>
    <m/>
    <n v="129001735"/>
    <n v="129260406"/>
  </r>
  <r>
    <x v="7"/>
    <x v="0"/>
    <s v="University of Maryland, Baltimore County"/>
    <m/>
    <n v="163268"/>
    <x v="1"/>
    <n v="95569552"/>
    <n v="95582802"/>
    <m/>
    <m/>
    <m/>
    <m/>
    <n v="104537595"/>
    <m/>
    <n v="104537595"/>
    <n v="105521183"/>
    <m/>
    <n v="105521183"/>
    <n v="200107147"/>
    <n v="201103985"/>
    <m/>
    <m/>
    <m/>
    <m/>
    <n v="0"/>
    <m/>
    <m/>
    <n v="0"/>
    <m/>
    <m/>
    <m/>
    <m/>
    <m/>
    <m/>
    <n v="200107147"/>
    <n v="201103985"/>
  </r>
  <r>
    <x v="7"/>
    <x v="0"/>
    <s v="Towson University "/>
    <m/>
    <n v="164076"/>
    <x v="2"/>
    <n v="90924480"/>
    <n v="90645750"/>
    <m/>
    <m/>
    <m/>
    <m/>
    <n v="162661691"/>
    <m/>
    <n v="162661691"/>
    <n v="171212937"/>
    <m/>
    <n v="171212937"/>
    <n v="253586171"/>
    <n v="261858687"/>
    <m/>
    <m/>
    <m/>
    <m/>
    <n v="0"/>
    <m/>
    <m/>
    <n v="0"/>
    <m/>
    <m/>
    <m/>
    <m/>
    <m/>
    <m/>
    <n v="253586171"/>
    <n v="261858687"/>
  </r>
  <r>
    <x v="7"/>
    <x v="0"/>
    <s v="Bowie State University "/>
    <m/>
    <n v="162007"/>
    <x v="3"/>
    <n v="35637462"/>
    <n v="35697747"/>
    <m/>
    <m/>
    <m/>
    <m/>
    <n v="32393675"/>
    <m/>
    <n v="32393675"/>
    <n v="33315610"/>
    <m/>
    <n v="33315610"/>
    <n v="68031137"/>
    <n v="69013357"/>
    <m/>
    <m/>
    <m/>
    <m/>
    <n v="0"/>
    <m/>
    <m/>
    <n v="0"/>
    <m/>
    <m/>
    <m/>
    <m/>
    <m/>
    <m/>
    <n v="68031137"/>
    <n v="69013357"/>
  </r>
  <r>
    <x v="7"/>
    <x v="0"/>
    <s v="Frostburg State University "/>
    <m/>
    <n v="162584"/>
    <x v="3"/>
    <n v="33321923"/>
    <n v="33192007"/>
    <m/>
    <m/>
    <m/>
    <m/>
    <n v="32877614"/>
    <m/>
    <n v="32877614"/>
    <n v="33507317"/>
    <m/>
    <n v="33507317"/>
    <n v="66199537"/>
    <n v="66699324"/>
    <m/>
    <m/>
    <m/>
    <m/>
    <n v="0"/>
    <m/>
    <m/>
    <n v="0"/>
    <m/>
    <m/>
    <m/>
    <m/>
    <m/>
    <m/>
    <n v="66199537"/>
    <n v="66699324"/>
  </r>
  <r>
    <x v="7"/>
    <x v="0"/>
    <s v="Salisbury University "/>
    <m/>
    <n v="163851"/>
    <x v="3"/>
    <n v="39596615"/>
    <n v="39474316"/>
    <m/>
    <m/>
    <m/>
    <m/>
    <n v="59735941"/>
    <m/>
    <n v="59735941"/>
    <n v="63138678"/>
    <m/>
    <n v="63138678"/>
    <n v="99332556"/>
    <n v="102612994"/>
    <m/>
    <m/>
    <m/>
    <m/>
    <n v="0"/>
    <m/>
    <m/>
    <n v="0"/>
    <m/>
    <m/>
    <m/>
    <m/>
    <m/>
    <m/>
    <n v="99332556"/>
    <n v="102612994"/>
  </r>
  <r>
    <x v="7"/>
    <x v="0"/>
    <s v="University of Baltimore"/>
    <s v="Met the criteria for Four-Year 3 in 2012-13."/>
    <n v="161873"/>
    <x v="3"/>
    <n v="30321428"/>
    <n v="30041834"/>
    <m/>
    <m/>
    <m/>
    <m/>
    <n v="64084979"/>
    <m/>
    <n v="64084979"/>
    <n v="67234638"/>
    <m/>
    <n v="67234638"/>
    <n v="94406407"/>
    <n v="97276472"/>
    <m/>
    <m/>
    <m/>
    <m/>
    <n v="0"/>
    <m/>
    <m/>
    <n v="0"/>
    <m/>
    <m/>
    <m/>
    <m/>
    <m/>
    <m/>
    <n v="94406407"/>
    <n v="97276472"/>
  </r>
  <r>
    <x v="7"/>
    <x v="0"/>
    <s v="University of Maryland Eastern Shore "/>
    <m/>
    <n v="163338"/>
    <x v="3"/>
    <n v="32112536"/>
    <n v="31978642"/>
    <m/>
    <m/>
    <m/>
    <m/>
    <n v="30532933"/>
    <m/>
    <n v="30532933"/>
    <n v="31855005"/>
    <m/>
    <n v="31855005"/>
    <n v="62645469"/>
    <n v="63833647"/>
    <m/>
    <m/>
    <m/>
    <m/>
    <n v="0"/>
    <m/>
    <m/>
    <n v="0"/>
    <m/>
    <m/>
    <m/>
    <m/>
    <m/>
    <m/>
    <n v="62645469"/>
    <n v="63833647"/>
  </r>
  <r>
    <x v="7"/>
    <x v="0"/>
    <s v="Coppin State University"/>
    <s v="Reclassified: met the criteria for Four-Year 5 in 2010-11, 2011-12, and 2012-13."/>
    <n v="162283"/>
    <x v="4"/>
    <n v="37943492"/>
    <n v="37868454"/>
    <m/>
    <m/>
    <m/>
    <m/>
    <n v="15884694"/>
    <m/>
    <n v="15884694"/>
    <n v="16227546"/>
    <m/>
    <n v="16227546"/>
    <n v="53828186"/>
    <n v="54096000"/>
    <m/>
    <m/>
    <m/>
    <m/>
    <n v="0"/>
    <m/>
    <m/>
    <n v="0"/>
    <m/>
    <m/>
    <m/>
    <m/>
    <m/>
    <m/>
    <n v="53828186"/>
    <n v="54096000"/>
  </r>
  <r>
    <x v="7"/>
    <x v="0"/>
    <s v="Saint Mary's College of Maryland"/>
    <m/>
    <n v="163912"/>
    <x v="5"/>
    <n v="17961643"/>
    <n v="18074321"/>
    <m/>
    <m/>
    <m/>
    <m/>
    <n v="29699912"/>
    <m/>
    <n v="29699912"/>
    <n v="30502480"/>
    <m/>
    <n v="30502480"/>
    <n v="47661555"/>
    <n v="48576801"/>
    <m/>
    <m/>
    <m/>
    <m/>
    <n v="0"/>
    <m/>
    <m/>
    <n v="0"/>
    <m/>
    <m/>
    <m/>
    <m/>
    <m/>
    <m/>
    <n v="47661555"/>
    <n v="48576801"/>
  </r>
  <r>
    <x v="7"/>
    <x v="0"/>
    <s v="Anne Arundel Community College "/>
    <m/>
    <n v="161767"/>
    <x v="6"/>
    <n v="26648864"/>
    <n v="27235329"/>
    <m/>
    <m/>
    <n v="28556400"/>
    <n v="32047700"/>
    <n v="41237429"/>
    <m/>
    <n v="41237429"/>
    <n v="45860000"/>
    <m/>
    <n v="45860000"/>
    <n v="96442693"/>
    <n v="105143029"/>
    <m/>
    <m/>
    <m/>
    <m/>
    <n v="0"/>
    <m/>
    <m/>
    <n v="0"/>
    <m/>
    <m/>
    <m/>
    <m/>
    <m/>
    <m/>
    <n v="96442693"/>
    <n v="105143029"/>
  </r>
  <r>
    <x v="7"/>
    <x v="0"/>
    <s v="College of Southern Maryland"/>
    <m/>
    <n v="162122"/>
    <x v="6"/>
    <n v="10581183"/>
    <n v="10902580"/>
    <m/>
    <m/>
    <n v="16199594"/>
    <n v="16663918"/>
    <n v="28239877"/>
    <m/>
    <n v="28239877"/>
    <n v="29864227"/>
    <m/>
    <n v="29864227"/>
    <n v="55020654"/>
    <n v="57430725"/>
    <m/>
    <m/>
    <m/>
    <m/>
    <n v="0"/>
    <m/>
    <m/>
    <n v="0"/>
    <m/>
    <m/>
    <m/>
    <m/>
    <m/>
    <m/>
    <n v="55020654"/>
    <n v="57430725"/>
  </r>
  <r>
    <x v="7"/>
    <x v="0"/>
    <s v="Community College of Baltimore County"/>
    <m/>
    <n v="434672"/>
    <x v="6"/>
    <n v="33670348"/>
    <n v="34398366"/>
    <m/>
    <m/>
    <n v="38462795"/>
    <n v="38462795"/>
    <n v="81542296"/>
    <m/>
    <n v="81542296"/>
    <n v="85656305"/>
    <m/>
    <n v="85656305"/>
    <n v="153675439"/>
    <n v="158517466"/>
    <m/>
    <m/>
    <m/>
    <m/>
    <n v="0"/>
    <m/>
    <m/>
    <n v="0"/>
    <m/>
    <m/>
    <m/>
    <m/>
    <m/>
    <m/>
    <n v="153675439"/>
    <n v="158517466"/>
  </r>
  <r>
    <x v="7"/>
    <x v="0"/>
    <s v="Howard Community College "/>
    <m/>
    <n v="162779"/>
    <x v="6"/>
    <n v="12290083"/>
    <n v="12584485"/>
    <m/>
    <m/>
    <n v="25951335"/>
    <n v="27093286"/>
    <n v="36142868"/>
    <m/>
    <n v="36142868"/>
    <n v="40434542"/>
    <m/>
    <n v="40434542"/>
    <n v="74384286"/>
    <n v="80112313"/>
    <m/>
    <m/>
    <m/>
    <m/>
    <n v="0"/>
    <m/>
    <m/>
    <n v="0"/>
    <m/>
    <m/>
    <m/>
    <m/>
    <m/>
    <m/>
    <n v="74384286"/>
    <n v="80112313"/>
  </r>
  <r>
    <x v="7"/>
    <x v="0"/>
    <s v="Montgomery College"/>
    <m/>
    <n v="163426"/>
    <x v="6"/>
    <n v="34982472"/>
    <n v="35998553"/>
    <m/>
    <m/>
    <n v="95848755"/>
    <n v="96263605"/>
    <n v="92352650"/>
    <m/>
    <n v="92352650"/>
    <n v="95548152"/>
    <m/>
    <n v="95548152"/>
    <n v="223183877"/>
    <n v="227810310"/>
    <m/>
    <m/>
    <m/>
    <m/>
    <n v="0"/>
    <m/>
    <m/>
    <n v="0"/>
    <m/>
    <m/>
    <m/>
    <m/>
    <m/>
    <m/>
    <n v="223183877"/>
    <n v="227810310"/>
  </r>
  <r>
    <x v="7"/>
    <x v="0"/>
    <s v="Prince George's Community College "/>
    <m/>
    <n v="163657"/>
    <x v="6"/>
    <n v="21484279"/>
    <n v="22013074"/>
    <m/>
    <m/>
    <n v="29245200"/>
    <n v="29545200"/>
    <n v="43332646"/>
    <m/>
    <n v="43332646"/>
    <n v="45317826"/>
    <m/>
    <n v="45317826"/>
    <n v="94062125"/>
    <n v="96876100"/>
    <m/>
    <m/>
    <m/>
    <m/>
    <n v="0"/>
    <m/>
    <m/>
    <n v="0"/>
    <m/>
    <m/>
    <m/>
    <m/>
    <m/>
    <m/>
    <n v="94062125"/>
    <n v="96876100"/>
  </r>
  <r>
    <x v="7"/>
    <x v="0"/>
    <s v="Allegany College of Maryland"/>
    <m/>
    <n v="161688"/>
    <x v="7"/>
    <n v="4702063"/>
    <n v="4773622"/>
    <n v="1023334"/>
    <n v="1013810"/>
    <n v="7425000"/>
    <n v="7425000"/>
    <n v="15098991"/>
    <m/>
    <n v="15098991"/>
    <n v="15172103"/>
    <m/>
    <n v="15172103"/>
    <n v="28249388"/>
    <n v="28384535"/>
    <m/>
    <m/>
    <m/>
    <m/>
    <n v="0"/>
    <m/>
    <m/>
    <n v="0"/>
    <m/>
    <m/>
    <m/>
    <m/>
    <m/>
    <m/>
    <n v="28249388"/>
    <n v="28384535"/>
  </r>
  <r>
    <x v="7"/>
    <x v="0"/>
    <s v="Baltimore City Community College"/>
    <m/>
    <n v="161864"/>
    <x v="7"/>
    <n v="40742671"/>
    <n v="40564700"/>
    <m/>
    <m/>
    <n v="312247"/>
    <n v="125000"/>
    <n v="16466882"/>
    <m/>
    <n v="16466882"/>
    <n v="19413554"/>
    <m/>
    <n v="19413554"/>
    <n v="57521800"/>
    <n v="60103254"/>
    <m/>
    <m/>
    <m/>
    <m/>
    <n v="0"/>
    <m/>
    <m/>
    <n v="0"/>
    <m/>
    <m/>
    <m/>
    <m/>
    <m/>
    <m/>
    <n v="57521800"/>
    <n v="60103254"/>
  </r>
  <r>
    <x v="7"/>
    <x v="0"/>
    <s v="Carroll Community College"/>
    <m/>
    <n v="405872"/>
    <x v="7"/>
    <n v="6697291"/>
    <n v="6851515"/>
    <n v="331668"/>
    <n v="326900"/>
    <n v="8479061"/>
    <n v="8625450"/>
    <n v="12216171"/>
    <m/>
    <n v="12216171"/>
    <n v="12833052"/>
    <m/>
    <n v="12833052"/>
    <n v="27724191"/>
    <n v="28636917"/>
    <m/>
    <m/>
    <m/>
    <m/>
    <n v="0"/>
    <m/>
    <m/>
    <n v="0"/>
    <m/>
    <m/>
    <m/>
    <m/>
    <m/>
    <m/>
    <n v="27724191"/>
    <n v="28636917"/>
  </r>
  <r>
    <x v="7"/>
    <x v="0"/>
    <s v="Frederick Community College "/>
    <m/>
    <n v="162557"/>
    <x v="7"/>
    <n v="7892917"/>
    <n v="8145648"/>
    <m/>
    <m/>
    <n v="13414859"/>
    <n v="14004812"/>
    <n v="17793784"/>
    <m/>
    <n v="17793784"/>
    <n v="19042818"/>
    <m/>
    <n v="19042818"/>
    <n v="39101560"/>
    <n v="41193278"/>
    <m/>
    <m/>
    <m/>
    <m/>
    <n v="0"/>
    <m/>
    <m/>
    <n v="0"/>
    <m/>
    <m/>
    <m/>
    <m/>
    <m/>
    <m/>
    <n v="39101560"/>
    <n v="41193278"/>
  </r>
  <r>
    <x v="7"/>
    <x v="0"/>
    <s v="Hagerstown Community College "/>
    <m/>
    <n v="162690"/>
    <x v="7"/>
    <n v="6812015"/>
    <n v="6965064"/>
    <n v="663634"/>
    <n v="653800"/>
    <n v="8865010"/>
    <n v="8865010"/>
    <n v="15082854"/>
    <m/>
    <n v="15082854"/>
    <n v="16052729"/>
    <m/>
    <n v="16052729"/>
    <n v="31423513"/>
    <n v="32536603"/>
    <m/>
    <m/>
    <m/>
    <m/>
    <n v="0"/>
    <m/>
    <m/>
    <n v="0"/>
    <m/>
    <m/>
    <m/>
    <m/>
    <m/>
    <m/>
    <n v="31423513"/>
    <n v="32536603"/>
  </r>
  <r>
    <x v="7"/>
    <x v="0"/>
    <s v="Harford Community College "/>
    <m/>
    <n v="162706"/>
    <x v="7"/>
    <n v="9719168"/>
    <n v="9990806"/>
    <m/>
    <m/>
    <n v="14961612"/>
    <n v="14961612"/>
    <n v="16768761"/>
    <m/>
    <n v="16768761"/>
    <n v="17467429"/>
    <m/>
    <n v="17467429"/>
    <n v="41449541"/>
    <n v="42419847"/>
    <m/>
    <m/>
    <m/>
    <m/>
    <n v="0"/>
    <m/>
    <m/>
    <n v="0"/>
    <m/>
    <m/>
    <m/>
    <m/>
    <m/>
    <m/>
    <n v="41449541"/>
    <n v="42419847"/>
  </r>
  <r>
    <x v="7"/>
    <x v="0"/>
    <s v="Wor-Wic Community College "/>
    <m/>
    <n v="164313"/>
    <x v="7"/>
    <n v="6590877"/>
    <n v="6784796"/>
    <n v="331667"/>
    <n v="326900"/>
    <n v="4346000"/>
    <n v="4507360"/>
    <n v="11008038"/>
    <m/>
    <n v="11008038"/>
    <n v="11186794"/>
    <m/>
    <n v="11186794"/>
    <n v="22276582"/>
    <n v="22805850"/>
    <m/>
    <m/>
    <m/>
    <m/>
    <n v="0"/>
    <m/>
    <m/>
    <n v="0"/>
    <m/>
    <m/>
    <m/>
    <m/>
    <m/>
    <m/>
    <n v="22276582"/>
    <n v="22805850"/>
  </r>
  <r>
    <x v="7"/>
    <x v="0"/>
    <s v="Cecil Community College "/>
    <m/>
    <n v="162104"/>
    <x v="8"/>
    <n v="4554005"/>
    <n v="4645771"/>
    <n v="331667"/>
    <n v="326900"/>
    <n v="8067706"/>
    <n v="8025308"/>
    <n v="7505048"/>
    <m/>
    <n v="7505048"/>
    <n v="7919325"/>
    <m/>
    <n v="7919325"/>
    <n v="20458426"/>
    <n v="20917304"/>
    <m/>
    <m/>
    <m/>
    <m/>
    <n v="0"/>
    <m/>
    <m/>
    <n v="0"/>
    <m/>
    <m/>
    <m/>
    <m/>
    <m/>
    <m/>
    <n v="20458426"/>
    <n v="20917304"/>
  </r>
  <r>
    <x v="7"/>
    <x v="0"/>
    <s v="Chesapeake College "/>
    <m/>
    <n v="162168"/>
    <x v="8"/>
    <n v="5564701"/>
    <n v="5675851"/>
    <n v="331667"/>
    <n v="326900"/>
    <n v="5885591"/>
    <n v="6126591"/>
    <n v="7810143"/>
    <m/>
    <n v="7810143"/>
    <n v="8082196"/>
    <m/>
    <n v="8082196"/>
    <n v="19592102"/>
    <n v="20211538"/>
    <m/>
    <m/>
    <m/>
    <m/>
    <n v="0"/>
    <m/>
    <m/>
    <n v="0"/>
    <m/>
    <m/>
    <m/>
    <m/>
    <m/>
    <m/>
    <n v="19592102"/>
    <n v="20211538"/>
  </r>
  <r>
    <x v="7"/>
    <x v="0"/>
    <s v="Garrett College "/>
    <m/>
    <n v="162609"/>
    <x v="8"/>
    <n v="2217155"/>
    <n v="2246709"/>
    <n v="903334"/>
    <n v="893800"/>
    <n v="4273000"/>
    <n v="4523000"/>
    <n v="4034551"/>
    <m/>
    <n v="4034551"/>
    <n v="4156050"/>
    <m/>
    <n v="4156050"/>
    <n v="11428040"/>
    <n v="11819559"/>
    <m/>
    <m/>
    <m/>
    <m/>
    <n v="0"/>
    <m/>
    <m/>
    <n v="0"/>
    <m/>
    <m/>
    <m/>
    <m/>
    <m/>
    <m/>
    <n v="11428040"/>
    <n v="11819559"/>
  </r>
  <r>
    <x v="7"/>
    <x v="9"/>
    <s v="University of Maryland University College"/>
    <m/>
    <n v="163204"/>
    <x v="11"/>
    <m/>
    <m/>
    <m/>
    <m/>
    <m/>
    <m/>
    <m/>
    <m/>
    <n v="0"/>
    <m/>
    <m/>
    <n v="0"/>
    <n v="0"/>
    <n v="0"/>
    <n v="32556091"/>
    <n v="33898386"/>
    <n v="337706516"/>
    <m/>
    <n v="337706516"/>
    <n v="350389432"/>
    <m/>
    <n v="350389432"/>
    <m/>
    <m/>
    <m/>
    <m/>
    <m/>
    <m/>
    <n v="370262607"/>
    <n v="384287818"/>
  </r>
  <r>
    <x v="7"/>
    <x v="41"/>
    <s v="University of Maryland at Baltimore"/>
    <m/>
    <n v="163259"/>
    <x v="11"/>
    <m/>
    <m/>
    <m/>
    <m/>
    <m/>
    <m/>
    <m/>
    <m/>
    <n v="0"/>
    <m/>
    <m/>
    <n v="0"/>
    <n v="0"/>
    <n v="0"/>
    <m/>
    <m/>
    <m/>
    <m/>
    <n v="0"/>
    <m/>
    <m/>
    <n v="0"/>
    <n v="184525799"/>
    <n v="183986492"/>
    <n v="112339806"/>
    <m/>
    <n v="116228036"/>
    <m/>
    <n v="296865605"/>
    <n v="300214528"/>
  </r>
  <r>
    <x v="7"/>
    <x v="13"/>
    <s v="Education special purpose funds — all other"/>
    <m/>
    <m/>
    <x v="12"/>
    <m/>
    <m/>
    <m/>
    <m/>
    <m/>
    <m/>
    <m/>
    <m/>
    <n v="0"/>
    <m/>
    <m/>
    <n v="0"/>
    <n v="0"/>
    <n v="0"/>
    <m/>
    <m/>
    <m/>
    <m/>
    <n v="0"/>
    <m/>
    <m/>
    <n v="0"/>
    <m/>
    <m/>
    <m/>
    <m/>
    <m/>
    <m/>
    <n v="0"/>
    <n v="0"/>
  </r>
  <r>
    <x v="7"/>
    <x v="13"/>
    <s v="Community College Statewide Programs"/>
    <m/>
    <m/>
    <x v="12"/>
    <m/>
    <m/>
    <n v="7148463"/>
    <n v="6000000"/>
    <m/>
    <m/>
    <m/>
    <m/>
    <n v="0"/>
    <m/>
    <m/>
    <n v="0"/>
    <n v="7148463"/>
    <n v="6000000"/>
    <m/>
    <m/>
    <m/>
    <m/>
    <n v="0"/>
    <m/>
    <m/>
    <n v="0"/>
    <m/>
    <m/>
    <m/>
    <m/>
    <m/>
    <m/>
    <n v="7148463"/>
    <n v="6000000"/>
  </r>
  <r>
    <x v="7"/>
    <x v="14"/>
    <s v="Statewide System Operations"/>
    <m/>
    <m/>
    <x v="12"/>
    <m/>
    <m/>
    <m/>
    <m/>
    <m/>
    <m/>
    <m/>
    <m/>
    <n v="0"/>
    <m/>
    <m/>
    <n v="0"/>
    <n v="0"/>
    <n v="0"/>
    <m/>
    <m/>
    <m/>
    <m/>
    <n v="0"/>
    <m/>
    <m/>
    <n v="0"/>
    <m/>
    <m/>
    <m/>
    <m/>
    <m/>
    <m/>
    <n v="0"/>
    <n v="0"/>
  </r>
  <r>
    <x v="7"/>
    <x v="15"/>
    <s v="Colleges and universities"/>
    <m/>
    <m/>
    <x v="12"/>
    <m/>
    <m/>
    <m/>
    <m/>
    <m/>
    <m/>
    <m/>
    <m/>
    <n v="0"/>
    <m/>
    <m/>
    <n v="0"/>
    <n v="0"/>
    <n v="0"/>
    <m/>
    <m/>
    <m/>
    <m/>
    <n v="0"/>
    <m/>
    <m/>
    <n v="0"/>
    <m/>
    <m/>
    <m/>
    <m/>
    <m/>
    <m/>
    <n v="0"/>
    <n v="0"/>
  </r>
  <r>
    <x v="7"/>
    <x v="15"/>
    <s v="Univ MD System Adm"/>
    <m/>
    <m/>
    <x v="12"/>
    <m/>
    <m/>
    <m/>
    <m/>
    <m/>
    <m/>
    <m/>
    <m/>
    <n v="0"/>
    <m/>
    <m/>
    <n v="0"/>
    <n v="0"/>
    <n v="0"/>
    <n v="4897753"/>
    <n v="8472327"/>
    <m/>
    <m/>
    <n v="0"/>
    <m/>
    <m/>
    <n v="0"/>
    <m/>
    <m/>
    <m/>
    <m/>
    <m/>
    <m/>
    <n v="4897753"/>
    <n v="8472327"/>
  </r>
  <r>
    <x v="7"/>
    <x v="15"/>
    <s v="Md Commission on Higher Education"/>
    <m/>
    <m/>
    <x v="12"/>
    <m/>
    <m/>
    <m/>
    <m/>
    <m/>
    <m/>
    <m/>
    <m/>
    <n v="0"/>
    <m/>
    <m/>
    <n v="0"/>
    <n v="0"/>
    <n v="0"/>
    <n v="7776677"/>
    <n v="4386488"/>
    <m/>
    <m/>
    <n v="0"/>
    <m/>
    <m/>
    <n v="0"/>
    <m/>
    <m/>
    <m/>
    <m/>
    <m/>
    <m/>
    <n v="7776677"/>
    <n v="4386488"/>
  </r>
  <r>
    <x v="7"/>
    <x v="17"/>
    <s v="National or regional associations, compacts or consortia"/>
    <m/>
    <m/>
    <x v="12"/>
    <m/>
    <m/>
    <m/>
    <m/>
    <m/>
    <m/>
    <m/>
    <m/>
    <n v="0"/>
    <m/>
    <m/>
    <n v="0"/>
    <n v="0"/>
    <n v="0"/>
    <m/>
    <m/>
    <m/>
    <m/>
    <n v="0"/>
    <m/>
    <m/>
    <n v="0"/>
    <m/>
    <m/>
    <m/>
    <m/>
    <m/>
    <m/>
    <n v="0"/>
    <n v="0"/>
  </r>
  <r>
    <x v="7"/>
    <x v="17"/>
    <s v="SREB"/>
    <m/>
    <m/>
    <x v="12"/>
    <m/>
    <m/>
    <m/>
    <m/>
    <m/>
    <m/>
    <m/>
    <m/>
    <n v="0"/>
    <m/>
    <m/>
    <n v="0"/>
    <n v="0"/>
    <n v="0"/>
    <n v="193000"/>
    <m/>
    <m/>
    <m/>
    <n v="0"/>
    <m/>
    <m/>
    <n v="0"/>
    <m/>
    <m/>
    <m/>
    <m/>
    <m/>
    <m/>
    <n v="193000"/>
    <n v="0"/>
  </r>
  <r>
    <x v="7"/>
    <x v="18"/>
    <s v="Adm. of Statewide Student Aid Progs. (incldng centralized guaranteed student loans)"/>
    <m/>
    <m/>
    <x v="12"/>
    <m/>
    <m/>
    <m/>
    <m/>
    <m/>
    <m/>
    <m/>
    <m/>
    <n v="0"/>
    <m/>
    <m/>
    <n v="0"/>
    <n v="0"/>
    <n v="0"/>
    <m/>
    <m/>
    <m/>
    <m/>
    <n v="0"/>
    <m/>
    <m/>
    <n v="0"/>
    <m/>
    <m/>
    <m/>
    <m/>
    <m/>
    <m/>
    <n v="0"/>
    <n v="0"/>
  </r>
  <r>
    <x v="7"/>
    <x v="19"/>
    <s v="State Support to Private Colleges Other Than Student Aid"/>
    <m/>
    <m/>
    <x v="12"/>
    <m/>
    <m/>
    <m/>
    <m/>
    <m/>
    <m/>
    <m/>
    <m/>
    <n v="0"/>
    <m/>
    <m/>
    <n v="0"/>
    <n v="0"/>
    <n v="0"/>
    <n v="38445958"/>
    <n v="38056175"/>
    <m/>
    <m/>
    <n v="0"/>
    <m/>
    <m/>
    <n v="0"/>
    <m/>
    <m/>
    <m/>
    <m/>
    <m/>
    <m/>
    <n v="38445958"/>
    <n v="38056175"/>
  </r>
  <r>
    <x v="7"/>
    <x v="20"/>
    <s v="Contract Education Programs"/>
    <m/>
    <m/>
    <x v="12"/>
    <m/>
    <m/>
    <m/>
    <m/>
    <m/>
    <m/>
    <m/>
    <m/>
    <n v="0"/>
    <m/>
    <m/>
    <n v="0"/>
    <n v="0"/>
    <n v="0"/>
    <m/>
    <m/>
    <m/>
    <m/>
    <n v="0"/>
    <m/>
    <m/>
    <n v="0"/>
    <m/>
    <m/>
    <m/>
    <m/>
    <m/>
    <m/>
    <n v="0"/>
    <n v="0"/>
  </r>
  <r>
    <x v="7"/>
    <x v="21"/>
    <s v="SREB contract program with private colleges"/>
    <m/>
    <m/>
    <x v="12"/>
    <m/>
    <m/>
    <m/>
    <m/>
    <m/>
    <m/>
    <m/>
    <m/>
    <n v="0"/>
    <m/>
    <m/>
    <n v="0"/>
    <n v="0"/>
    <n v="0"/>
    <m/>
    <m/>
    <m/>
    <m/>
    <n v="0"/>
    <m/>
    <m/>
    <n v="0"/>
    <m/>
    <m/>
    <m/>
    <m/>
    <m/>
    <m/>
    <n v="0"/>
    <n v="0"/>
  </r>
  <r>
    <x v="7"/>
    <x v="22"/>
    <s v="SREB contract program with public colleges"/>
    <m/>
    <m/>
    <x v="12"/>
    <m/>
    <m/>
    <m/>
    <m/>
    <m/>
    <m/>
    <m/>
    <m/>
    <n v="0"/>
    <m/>
    <m/>
    <n v="0"/>
    <n v="0"/>
    <n v="0"/>
    <m/>
    <m/>
    <m/>
    <m/>
    <n v="0"/>
    <m/>
    <m/>
    <n v="0"/>
    <m/>
    <m/>
    <m/>
    <m/>
    <m/>
    <m/>
    <n v="0"/>
    <n v="0"/>
  </r>
  <r>
    <x v="7"/>
    <x v="23"/>
    <s v="Other contract education programs"/>
    <m/>
    <m/>
    <x v="12"/>
    <m/>
    <m/>
    <m/>
    <m/>
    <m/>
    <m/>
    <m/>
    <m/>
    <n v="0"/>
    <m/>
    <m/>
    <n v="0"/>
    <n v="0"/>
    <n v="0"/>
    <m/>
    <m/>
    <m/>
    <m/>
    <n v="0"/>
    <m/>
    <m/>
    <n v="0"/>
    <m/>
    <m/>
    <m/>
    <m/>
    <m/>
    <m/>
    <n v="0"/>
    <n v="0"/>
  </r>
  <r>
    <x v="7"/>
    <x v="24"/>
    <s v="Statewide Student Financial Aid Programs Administered Off Campus"/>
    <m/>
    <m/>
    <x v="12"/>
    <m/>
    <m/>
    <m/>
    <m/>
    <m/>
    <m/>
    <m/>
    <m/>
    <n v="0"/>
    <m/>
    <m/>
    <n v="0"/>
    <n v="0"/>
    <n v="0"/>
    <m/>
    <m/>
    <m/>
    <m/>
    <n v="0"/>
    <m/>
    <m/>
    <n v="0"/>
    <m/>
    <m/>
    <m/>
    <m/>
    <m/>
    <m/>
    <n v="0"/>
    <n v="0"/>
  </r>
  <r>
    <x v="7"/>
    <x v="25"/>
    <s v="Available to public &amp; private sector students"/>
    <m/>
    <m/>
    <x v="12"/>
    <m/>
    <m/>
    <m/>
    <m/>
    <m/>
    <m/>
    <m/>
    <m/>
    <n v="0"/>
    <m/>
    <m/>
    <n v="0"/>
    <n v="0"/>
    <n v="0"/>
    <m/>
    <m/>
    <m/>
    <m/>
    <n v="0"/>
    <m/>
    <m/>
    <n v="0"/>
    <m/>
    <m/>
    <m/>
    <m/>
    <m/>
    <m/>
    <n v="0"/>
    <n v="0"/>
  </r>
  <r>
    <x v="7"/>
    <x v="25"/>
    <s v="Campus-Based Educational Assistance Grant"/>
    <m/>
    <m/>
    <x v="12"/>
    <m/>
    <m/>
    <m/>
    <m/>
    <m/>
    <m/>
    <m/>
    <m/>
    <n v="0"/>
    <m/>
    <m/>
    <n v="0"/>
    <n v="0"/>
    <n v="0"/>
    <m/>
    <m/>
    <m/>
    <m/>
    <n v="0"/>
    <m/>
    <m/>
    <n v="0"/>
    <m/>
    <m/>
    <m/>
    <m/>
    <m/>
    <m/>
    <n v="0"/>
    <n v="0"/>
  </r>
  <r>
    <x v="7"/>
    <x v="26"/>
    <s v="Need-based"/>
    <m/>
    <m/>
    <x v="12"/>
    <m/>
    <m/>
    <m/>
    <m/>
    <m/>
    <m/>
    <m/>
    <m/>
    <n v="0"/>
    <m/>
    <m/>
    <n v="0"/>
    <n v="0"/>
    <n v="0"/>
    <m/>
    <m/>
    <m/>
    <m/>
    <n v="0"/>
    <m/>
    <m/>
    <n v="0"/>
    <m/>
    <m/>
    <m/>
    <m/>
    <m/>
    <m/>
    <n v="0"/>
    <n v="0"/>
  </r>
  <r>
    <x v="7"/>
    <x v="27"/>
    <s v="Non 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1503500"/>
    <n v="1025900"/>
    <m/>
    <m/>
    <n v="0"/>
    <m/>
    <m/>
    <n v="0"/>
    <m/>
    <m/>
    <m/>
    <m/>
    <m/>
    <m/>
    <n v="1503500"/>
    <n v="1025900"/>
  </r>
  <r>
    <x v="7"/>
    <x v="27"/>
    <s v="Non need-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75950"/>
    <n v="30170"/>
    <m/>
    <m/>
    <n v="0"/>
    <m/>
    <m/>
    <n v="0"/>
    <m/>
    <m/>
    <m/>
    <m/>
    <m/>
    <m/>
    <n v="175950"/>
    <n v="30170"/>
  </r>
  <r>
    <x v="7"/>
    <x v="27"/>
    <s v="Non need-based"/>
    <m/>
    <m/>
    <x v="12"/>
    <m/>
    <m/>
    <m/>
    <m/>
    <m/>
    <m/>
    <m/>
    <m/>
    <n v="0"/>
    <m/>
    <m/>
    <n v="0"/>
    <n v="0"/>
    <n v="0"/>
    <m/>
    <m/>
    <m/>
    <m/>
    <n v="0"/>
    <m/>
    <m/>
    <n v="0"/>
    <m/>
    <m/>
    <m/>
    <m/>
    <m/>
    <m/>
    <n v="0"/>
    <n v="0"/>
  </r>
  <r>
    <x v="7"/>
    <x v="25"/>
    <s v="Educational Excellence Awards"/>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54794775"/>
    <n v="69238525"/>
    <m/>
    <m/>
    <n v="0"/>
    <m/>
    <m/>
    <n v="0"/>
    <m/>
    <m/>
    <m/>
    <m/>
    <m/>
    <m/>
    <n v="54794775"/>
    <n v="69238525"/>
  </r>
  <r>
    <x v="7"/>
    <x v="27"/>
    <s v="Non need-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3309300"/>
    <n v="15465575"/>
    <m/>
    <m/>
    <n v="0"/>
    <m/>
    <m/>
    <n v="0"/>
    <m/>
    <m/>
    <m/>
    <m/>
    <m/>
    <m/>
    <n v="13309300"/>
    <n v="15465575"/>
  </r>
  <r>
    <x v="7"/>
    <x v="27"/>
    <s v="Non need-based"/>
    <m/>
    <m/>
    <x v="12"/>
    <m/>
    <m/>
    <m/>
    <m/>
    <m/>
    <m/>
    <m/>
    <m/>
    <n v="0"/>
    <m/>
    <m/>
    <n v="0"/>
    <n v="0"/>
    <n v="0"/>
    <m/>
    <m/>
    <m/>
    <m/>
    <n v="0"/>
    <m/>
    <m/>
    <n v="0"/>
    <m/>
    <m/>
    <m/>
    <m/>
    <m/>
    <m/>
    <n v="0"/>
    <n v="0"/>
  </r>
  <r>
    <x v="7"/>
    <x v="25"/>
    <s v="Senatorial Scholarship"/>
    <m/>
    <m/>
    <x v="12"/>
    <m/>
    <m/>
    <m/>
    <m/>
    <m/>
    <m/>
    <m/>
    <m/>
    <n v="0"/>
    <m/>
    <m/>
    <n v="0"/>
    <n v="0"/>
    <n v="0"/>
    <m/>
    <m/>
    <m/>
    <m/>
    <n v="0"/>
    <m/>
    <m/>
    <n v="0"/>
    <m/>
    <m/>
    <m/>
    <m/>
    <m/>
    <m/>
    <n v="0"/>
    <n v="0"/>
  </r>
  <r>
    <x v="7"/>
    <x v="26"/>
    <s v="Need-based"/>
    <m/>
    <m/>
    <x v="12"/>
    <m/>
    <m/>
    <m/>
    <m/>
    <m/>
    <m/>
    <m/>
    <m/>
    <n v="0"/>
    <m/>
    <m/>
    <n v="0"/>
    <n v="0"/>
    <n v="0"/>
    <m/>
    <m/>
    <m/>
    <m/>
    <n v="0"/>
    <m/>
    <m/>
    <n v="0"/>
    <m/>
    <m/>
    <m/>
    <m/>
    <m/>
    <m/>
    <n v="0"/>
    <n v="0"/>
  </r>
  <r>
    <x v="7"/>
    <x v="27"/>
    <s v="Non 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5617083"/>
    <n v="5868784"/>
    <m/>
    <m/>
    <n v="0"/>
    <m/>
    <m/>
    <n v="0"/>
    <m/>
    <m/>
    <m/>
    <m/>
    <m/>
    <m/>
    <n v="5617083"/>
    <n v="5868784"/>
  </r>
  <r>
    <x v="7"/>
    <x v="27"/>
    <s v="Non need-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179850"/>
    <n v="1180450"/>
    <m/>
    <m/>
    <n v="0"/>
    <m/>
    <m/>
    <n v="0"/>
    <m/>
    <m/>
    <m/>
    <m/>
    <m/>
    <m/>
    <n v="1179850"/>
    <n v="1180450"/>
  </r>
  <r>
    <x v="7"/>
    <x v="27"/>
    <s v="Non need-based"/>
    <m/>
    <m/>
    <x v="12"/>
    <m/>
    <m/>
    <m/>
    <m/>
    <m/>
    <m/>
    <m/>
    <m/>
    <n v="0"/>
    <m/>
    <m/>
    <n v="0"/>
    <n v="0"/>
    <n v="0"/>
    <m/>
    <m/>
    <m/>
    <m/>
    <n v="0"/>
    <m/>
    <m/>
    <n v="0"/>
    <m/>
    <m/>
    <m/>
    <m/>
    <m/>
    <m/>
    <n v="0"/>
    <n v="0"/>
  </r>
  <r>
    <x v="7"/>
    <x v="25"/>
    <s v="Edward Conroy Grant"/>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266022"/>
    <n v="151346"/>
    <m/>
    <m/>
    <n v="0"/>
    <m/>
    <m/>
    <n v="0"/>
    <m/>
    <m/>
    <m/>
    <m/>
    <m/>
    <m/>
    <n v="266022"/>
    <n v="151346"/>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47340"/>
    <n v="53358"/>
    <m/>
    <m/>
    <n v="0"/>
    <m/>
    <m/>
    <n v="0"/>
    <m/>
    <m/>
    <m/>
    <m/>
    <m/>
    <m/>
    <n v="47340"/>
    <n v="53358"/>
  </r>
  <r>
    <x v="7"/>
    <x v="25"/>
    <s v="Delegate Scholarship"/>
    <m/>
    <m/>
    <x v="12"/>
    <m/>
    <m/>
    <m/>
    <m/>
    <m/>
    <m/>
    <m/>
    <m/>
    <n v="0"/>
    <m/>
    <m/>
    <n v="0"/>
    <n v="0"/>
    <n v="0"/>
    <m/>
    <m/>
    <m/>
    <m/>
    <n v="0"/>
    <m/>
    <m/>
    <n v="0"/>
    <m/>
    <m/>
    <m/>
    <m/>
    <m/>
    <m/>
    <n v="0"/>
    <n v="0"/>
  </r>
  <r>
    <x v="7"/>
    <x v="26"/>
    <s v="Need-based"/>
    <m/>
    <m/>
    <x v="12"/>
    <m/>
    <m/>
    <m/>
    <m/>
    <m/>
    <m/>
    <m/>
    <m/>
    <n v="0"/>
    <m/>
    <m/>
    <n v="0"/>
    <n v="0"/>
    <n v="0"/>
    <m/>
    <m/>
    <m/>
    <m/>
    <n v="0"/>
    <m/>
    <m/>
    <n v="0"/>
    <m/>
    <m/>
    <m/>
    <m/>
    <m/>
    <m/>
    <n v="0"/>
    <n v="0"/>
  </r>
  <r>
    <x v="7"/>
    <x v="27"/>
    <s v="Non 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3933251"/>
    <n v="4343241"/>
    <m/>
    <m/>
    <n v="0"/>
    <m/>
    <m/>
    <n v="0"/>
    <m/>
    <m/>
    <m/>
    <m/>
    <m/>
    <m/>
    <n v="3933251"/>
    <n v="4343241"/>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799511"/>
    <n v="861393"/>
    <m/>
    <m/>
    <n v="0"/>
    <m/>
    <m/>
    <n v="0"/>
    <m/>
    <m/>
    <m/>
    <m/>
    <m/>
    <m/>
    <n v="799511"/>
    <n v="861393"/>
  </r>
  <r>
    <x v="7"/>
    <x v="25"/>
    <s v="Firemen's Tuition Reimbursement"/>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295393"/>
    <n v="305698"/>
    <m/>
    <m/>
    <n v="0"/>
    <m/>
    <m/>
    <n v="0"/>
    <m/>
    <m/>
    <m/>
    <m/>
    <m/>
    <m/>
    <n v="295393"/>
    <n v="305698"/>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m/>
    <m/>
    <m/>
    <m/>
    <n v="0"/>
    <m/>
    <m/>
    <n v="0"/>
    <m/>
    <m/>
    <m/>
    <m/>
    <m/>
    <m/>
    <n v="0"/>
    <n v="0"/>
  </r>
  <r>
    <x v="7"/>
    <x v="25"/>
    <s v="Distinguished Scholar Awar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813500"/>
    <n v="1857000"/>
    <m/>
    <m/>
    <n v="0"/>
    <m/>
    <m/>
    <n v="0"/>
    <m/>
    <m/>
    <m/>
    <m/>
    <m/>
    <m/>
    <n v="1813500"/>
    <n v="185700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432000"/>
    <n v="421500"/>
    <m/>
    <m/>
    <n v="0"/>
    <m/>
    <m/>
    <n v="0"/>
    <m/>
    <m/>
    <m/>
    <m/>
    <m/>
    <m/>
    <n v="432000"/>
    <n v="421500"/>
  </r>
  <r>
    <x v="7"/>
    <x v="25"/>
    <s v="Jack F. Tolbert Memorial Student Grant Program"/>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62000"/>
    <n v="125750"/>
    <m/>
    <m/>
    <n v="0"/>
    <m/>
    <m/>
    <n v="0"/>
    <m/>
    <m/>
    <m/>
    <m/>
    <m/>
    <m/>
    <n v="162000"/>
    <n v="125750"/>
  </r>
  <r>
    <x v="7"/>
    <x v="33"/>
    <s v="Non-need based"/>
    <m/>
    <m/>
    <x v="12"/>
    <m/>
    <m/>
    <m/>
    <m/>
    <m/>
    <m/>
    <m/>
    <m/>
    <n v="0"/>
    <m/>
    <m/>
    <n v="0"/>
    <n v="0"/>
    <n v="0"/>
    <m/>
    <m/>
    <m/>
    <m/>
    <n v="0"/>
    <m/>
    <m/>
    <n v="0"/>
    <m/>
    <m/>
    <m/>
    <m/>
    <m/>
    <m/>
    <n v="0"/>
    <n v="0"/>
  </r>
  <r>
    <x v="7"/>
    <x v="25"/>
    <s v="Child Care Providers Scholarship"/>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000"/>
    <n v="0"/>
    <m/>
    <m/>
    <n v="0"/>
    <m/>
    <m/>
    <n v="0"/>
    <m/>
    <m/>
    <m/>
    <m/>
    <m/>
    <m/>
    <n v="1000"/>
    <n v="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m/>
    <m/>
    <m/>
    <m/>
    <n v="0"/>
    <m/>
    <m/>
    <n v="0"/>
    <m/>
    <m/>
    <m/>
    <m/>
    <m/>
    <m/>
    <n v="0"/>
    <n v="0"/>
  </r>
  <r>
    <x v="7"/>
    <x v="25"/>
    <s v="Developmental Disabilities, Mental Health, Child Welfare, and Juvenile Justice Workforce Tuition Assistance Program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500"/>
    <n v="0"/>
    <m/>
    <m/>
    <n v="0"/>
    <m/>
    <m/>
    <n v="0"/>
    <m/>
    <m/>
    <m/>
    <m/>
    <m/>
    <m/>
    <n v="1500"/>
    <n v="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m/>
    <m/>
    <m/>
    <m/>
    <n v="0"/>
    <m/>
    <m/>
    <n v="0"/>
    <m/>
    <m/>
    <m/>
    <m/>
    <m/>
    <m/>
    <n v="0"/>
    <n v="0"/>
  </r>
  <r>
    <x v="7"/>
    <x v="25"/>
    <s v="Distinguished Scholar Community College Transfer Program"/>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02000"/>
    <n v="0"/>
    <m/>
    <m/>
    <n v="0"/>
    <m/>
    <m/>
    <n v="0"/>
    <m/>
    <m/>
    <m/>
    <m/>
    <m/>
    <m/>
    <n v="102000"/>
    <n v="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4500"/>
    <n v="0"/>
    <m/>
    <m/>
    <n v="0"/>
    <m/>
    <m/>
    <n v="0"/>
    <m/>
    <m/>
    <m/>
    <m/>
    <m/>
    <m/>
    <n v="4500"/>
    <n v="0"/>
  </r>
  <r>
    <x v="7"/>
    <x v="25"/>
    <s v="Gear Up Scholarship"/>
    <m/>
    <m/>
    <x v="12"/>
    <m/>
    <m/>
    <m/>
    <m/>
    <m/>
    <m/>
    <m/>
    <m/>
    <n v="0"/>
    <m/>
    <m/>
    <n v="0"/>
    <n v="0"/>
    <n v="0"/>
    <m/>
    <m/>
    <m/>
    <m/>
    <n v="0"/>
    <m/>
    <m/>
    <n v="0"/>
    <m/>
    <m/>
    <m/>
    <m/>
    <m/>
    <m/>
    <n v="0"/>
    <n v="0"/>
  </r>
  <r>
    <x v="7"/>
    <x v="26"/>
    <s v="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55830"/>
    <n v="15100"/>
    <m/>
    <m/>
    <n v="0"/>
    <m/>
    <m/>
    <n v="0"/>
    <m/>
    <m/>
    <m/>
    <m/>
    <m/>
    <m/>
    <n v="55830"/>
    <n v="1510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22750"/>
    <n v="1000"/>
    <m/>
    <m/>
    <n v="0"/>
    <m/>
    <m/>
    <n v="0"/>
    <m/>
    <m/>
    <m/>
    <m/>
    <m/>
    <m/>
    <n v="22750"/>
    <n v="1000"/>
  </r>
  <r>
    <x v="7"/>
    <x v="25"/>
    <s v="Graduate Nursing Faculy Scholarship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315707"/>
    <n v="1031917"/>
    <m/>
    <m/>
    <n v="0"/>
    <m/>
    <m/>
    <n v="0"/>
    <m/>
    <m/>
    <m/>
    <m/>
    <m/>
    <m/>
    <n v="1315707"/>
    <n v="1031917"/>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414898"/>
    <n v="510965"/>
    <m/>
    <m/>
    <n v="0"/>
    <m/>
    <m/>
    <n v="0"/>
    <m/>
    <m/>
    <m/>
    <m/>
    <m/>
    <m/>
    <n v="414898"/>
    <n v="510965"/>
  </r>
  <r>
    <x v="7"/>
    <x v="25"/>
    <s v="Graduate Nursing Faculy Living Expenses Grant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2125000"/>
    <n v="721250"/>
    <m/>
    <m/>
    <n v="0"/>
    <m/>
    <m/>
    <n v="0"/>
    <m/>
    <m/>
    <m/>
    <m/>
    <m/>
    <m/>
    <n v="2125000"/>
    <n v="72125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418750"/>
    <n v="227000"/>
    <m/>
    <m/>
    <n v="0"/>
    <m/>
    <m/>
    <n v="0"/>
    <m/>
    <m/>
    <m/>
    <m/>
    <m/>
    <m/>
    <n v="418750"/>
    <n v="227000"/>
  </r>
  <r>
    <x v="7"/>
    <x v="25"/>
    <s v="Veterans of Afghanistan and Iraq Conflicts Scholarship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647112"/>
    <n v="713516"/>
    <m/>
    <m/>
    <n v="0"/>
    <m/>
    <m/>
    <n v="0"/>
    <m/>
    <m/>
    <m/>
    <m/>
    <m/>
    <m/>
    <n v="647112"/>
    <n v="713516"/>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80723"/>
    <n v="113395"/>
    <m/>
    <m/>
    <n v="0"/>
    <m/>
    <m/>
    <n v="0"/>
    <m/>
    <m/>
    <m/>
    <m/>
    <m/>
    <m/>
    <n v="80723"/>
    <n v="113395"/>
  </r>
  <r>
    <x v="7"/>
    <x v="25"/>
    <s v="Workforce Shortage Student Assistance Grant"/>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706750"/>
    <n v="899750"/>
    <m/>
    <m/>
    <n v="0"/>
    <m/>
    <m/>
    <n v="0"/>
    <m/>
    <m/>
    <m/>
    <m/>
    <m/>
    <m/>
    <n v="706750"/>
    <n v="899750"/>
  </r>
  <r>
    <x v="7"/>
    <x v="30"/>
    <s v="Non-need 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235500"/>
    <n v="293500"/>
    <m/>
    <m/>
    <n v="0"/>
    <m/>
    <m/>
    <n v="0"/>
    <m/>
    <m/>
    <m/>
    <m/>
    <m/>
    <m/>
    <n v="235500"/>
    <n v="293500"/>
  </r>
  <r>
    <x v="7"/>
    <x v="33"/>
    <s v="Non-need based"/>
    <m/>
    <m/>
    <x v="12"/>
    <m/>
    <m/>
    <m/>
    <m/>
    <m/>
    <m/>
    <m/>
    <m/>
    <n v="0"/>
    <m/>
    <m/>
    <n v="0"/>
    <n v="0"/>
    <n v="0"/>
    <m/>
    <m/>
    <m/>
    <m/>
    <n v="0"/>
    <m/>
    <m/>
    <n v="0"/>
    <m/>
    <m/>
    <m/>
    <m/>
    <m/>
    <m/>
    <n v="0"/>
    <n v="0"/>
  </r>
  <r>
    <x v="7"/>
    <x v="34"/>
    <s v="Limited to public college students only"/>
    <m/>
    <m/>
    <x v="12"/>
    <m/>
    <m/>
    <m/>
    <m/>
    <m/>
    <m/>
    <m/>
    <m/>
    <n v="0"/>
    <m/>
    <m/>
    <n v="0"/>
    <n v="0"/>
    <n v="0"/>
    <m/>
    <m/>
    <m/>
    <m/>
    <n v="0"/>
    <m/>
    <m/>
    <n v="0"/>
    <m/>
    <m/>
    <m/>
    <m/>
    <m/>
    <m/>
    <n v="0"/>
    <n v="0"/>
  </r>
  <r>
    <x v="7"/>
    <x v="35"/>
    <s v="Need-based"/>
    <m/>
    <m/>
    <x v="12"/>
    <m/>
    <m/>
    <m/>
    <m/>
    <m/>
    <m/>
    <m/>
    <m/>
    <n v="0"/>
    <m/>
    <m/>
    <n v="0"/>
    <n v="0"/>
    <n v="0"/>
    <m/>
    <m/>
    <m/>
    <m/>
    <n v="0"/>
    <m/>
    <m/>
    <n v="0"/>
    <m/>
    <m/>
    <m/>
    <m/>
    <m/>
    <m/>
    <n v="0"/>
    <n v="0"/>
  </r>
  <r>
    <x v="7"/>
    <x v="36"/>
    <s v="Non need-based"/>
    <m/>
    <m/>
    <x v="12"/>
    <m/>
    <m/>
    <m/>
    <m/>
    <m/>
    <m/>
    <m/>
    <m/>
    <n v="0"/>
    <m/>
    <m/>
    <n v="0"/>
    <n v="0"/>
    <n v="0"/>
    <m/>
    <m/>
    <m/>
    <m/>
    <n v="0"/>
    <m/>
    <m/>
    <n v="0"/>
    <m/>
    <m/>
    <m/>
    <m/>
    <m/>
    <m/>
    <n v="0"/>
    <n v="0"/>
  </r>
  <r>
    <x v="7"/>
    <x v="37"/>
    <s v="Limited to private college students"/>
    <m/>
    <m/>
    <x v="12"/>
    <m/>
    <m/>
    <m/>
    <m/>
    <m/>
    <m/>
    <m/>
    <m/>
    <n v="0"/>
    <m/>
    <m/>
    <n v="0"/>
    <n v="0"/>
    <n v="0"/>
    <m/>
    <m/>
    <m/>
    <m/>
    <n v="0"/>
    <m/>
    <m/>
    <n v="0"/>
    <m/>
    <m/>
    <m/>
    <m/>
    <m/>
    <m/>
    <n v="0"/>
    <n v="0"/>
  </r>
  <r>
    <x v="7"/>
    <x v="38"/>
    <s v="Need-based"/>
    <m/>
    <m/>
    <x v="12"/>
    <m/>
    <m/>
    <m/>
    <m/>
    <m/>
    <m/>
    <m/>
    <m/>
    <n v="0"/>
    <m/>
    <m/>
    <n v="0"/>
    <n v="0"/>
    <n v="0"/>
    <m/>
    <m/>
    <m/>
    <m/>
    <n v="0"/>
    <m/>
    <m/>
    <n v="0"/>
    <m/>
    <m/>
    <m/>
    <m/>
    <m/>
    <m/>
    <n v="0"/>
    <n v="0"/>
  </r>
  <r>
    <x v="7"/>
    <x v="39"/>
    <s v="Non need-based"/>
    <m/>
    <m/>
    <x v="12"/>
    <m/>
    <m/>
    <m/>
    <m/>
    <m/>
    <m/>
    <m/>
    <m/>
    <n v="0"/>
    <m/>
    <m/>
    <n v="0"/>
    <n v="0"/>
    <n v="0"/>
    <m/>
    <m/>
    <m/>
    <m/>
    <n v="0"/>
    <m/>
    <m/>
    <n v="0"/>
    <m/>
    <m/>
    <m/>
    <m/>
    <m/>
    <m/>
    <n v="0"/>
    <n v="0"/>
  </r>
  <r>
    <x v="8"/>
    <x v="0"/>
    <s v="Mississippi State University"/>
    <m/>
    <n v="176080"/>
    <x v="0"/>
    <n v="87334564"/>
    <n v="86529479"/>
    <m/>
    <m/>
    <m/>
    <m/>
    <n v="143632798"/>
    <m/>
    <n v="143632798"/>
    <n v="152943035"/>
    <m/>
    <n v="152943035"/>
    <n v="230967362"/>
    <n v="239472514"/>
    <m/>
    <m/>
    <m/>
    <m/>
    <n v="0"/>
    <m/>
    <m/>
    <n v="0"/>
    <m/>
    <m/>
    <m/>
    <m/>
    <m/>
    <m/>
    <n v="230967362"/>
    <n v="239472514"/>
  </r>
  <r>
    <x v="8"/>
    <x v="1"/>
    <s v="Vet Med School"/>
    <m/>
    <n v="176080"/>
    <x v="0"/>
    <m/>
    <m/>
    <m/>
    <m/>
    <m/>
    <m/>
    <m/>
    <m/>
    <n v="0"/>
    <m/>
    <m/>
    <n v="0"/>
    <n v="0"/>
    <n v="0"/>
    <m/>
    <m/>
    <m/>
    <m/>
    <n v="0"/>
    <m/>
    <m/>
    <n v="0"/>
    <n v="16203711"/>
    <n v="16203711"/>
    <n v="9350000"/>
    <m/>
    <n v="9550000"/>
    <n v="0"/>
    <n v="25553711"/>
    <n v="25753711"/>
  </r>
  <r>
    <x v="8"/>
    <x v="5"/>
    <s v="Agricultural Cooperative Extension"/>
    <m/>
    <n v="176080"/>
    <x v="0"/>
    <m/>
    <m/>
    <n v="27369914"/>
    <n v="27369914"/>
    <m/>
    <m/>
    <m/>
    <m/>
    <n v="0"/>
    <m/>
    <m/>
    <n v="0"/>
    <n v="27369914"/>
    <n v="27369914"/>
    <m/>
    <m/>
    <m/>
    <m/>
    <n v="0"/>
    <m/>
    <m/>
    <n v="0"/>
    <m/>
    <m/>
    <m/>
    <m/>
    <m/>
    <m/>
    <n v="27369914"/>
    <n v="27369914"/>
  </r>
  <r>
    <x v="8"/>
    <x v="6"/>
    <s v="Agricultural Experiment Stations"/>
    <m/>
    <n v="176080"/>
    <x v="0"/>
    <m/>
    <m/>
    <n v="21365833"/>
    <n v="21365833"/>
    <m/>
    <m/>
    <m/>
    <m/>
    <n v="0"/>
    <m/>
    <m/>
    <n v="0"/>
    <n v="21365833"/>
    <n v="21365833"/>
    <m/>
    <m/>
    <m/>
    <m/>
    <n v="0"/>
    <m/>
    <m/>
    <n v="0"/>
    <m/>
    <m/>
    <m/>
    <m/>
    <m/>
    <m/>
    <n v="21365833"/>
    <n v="21365833"/>
  </r>
  <r>
    <x v="8"/>
    <x v="7"/>
    <s v="Research Units"/>
    <m/>
    <n v="176080"/>
    <x v="0"/>
    <m/>
    <m/>
    <m/>
    <m/>
    <m/>
    <m/>
    <m/>
    <m/>
    <n v="0"/>
    <m/>
    <m/>
    <n v="0"/>
    <n v="0"/>
    <n v="0"/>
    <m/>
    <m/>
    <m/>
    <m/>
    <n v="0"/>
    <m/>
    <m/>
    <n v="0"/>
    <m/>
    <m/>
    <m/>
    <m/>
    <m/>
    <m/>
    <n v="0"/>
    <n v="0"/>
  </r>
  <r>
    <x v="8"/>
    <x v="7"/>
    <s v="State Chemical Lab"/>
    <m/>
    <n v="176080"/>
    <x v="0"/>
    <m/>
    <m/>
    <n v="1623849"/>
    <n v="1743849"/>
    <m/>
    <m/>
    <m/>
    <m/>
    <n v="0"/>
    <m/>
    <m/>
    <n v="0"/>
    <n v="1623849"/>
    <n v="1743849"/>
    <m/>
    <m/>
    <m/>
    <m/>
    <n v="0"/>
    <m/>
    <m/>
    <n v="0"/>
    <m/>
    <m/>
    <m/>
    <m/>
    <m/>
    <m/>
    <n v="1623849"/>
    <n v="1743849"/>
  </r>
  <r>
    <x v="8"/>
    <x v="7"/>
    <s v="Forest/wildlife Research Center"/>
    <m/>
    <n v="176080"/>
    <x v="0"/>
    <m/>
    <m/>
    <n v="5392854"/>
    <n v="5392854"/>
    <m/>
    <m/>
    <m/>
    <m/>
    <n v="0"/>
    <m/>
    <m/>
    <n v="0"/>
    <n v="5392854"/>
    <n v="5392854"/>
    <m/>
    <m/>
    <m/>
    <m/>
    <n v="0"/>
    <m/>
    <m/>
    <n v="0"/>
    <m/>
    <m/>
    <m/>
    <m/>
    <m/>
    <m/>
    <n v="5392854"/>
    <n v="5392854"/>
  </r>
  <r>
    <x v="8"/>
    <x v="7"/>
    <s v="Water resources institute"/>
    <m/>
    <n v="176080"/>
    <x v="0"/>
    <m/>
    <m/>
    <n v="120531"/>
    <n v="180531"/>
    <m/>
    <m/>
    <m/>
    <m/>
    <n v="0"/>
    <m/>
    <m/>
    <n v="0"/>
    <n v="120531"/>
    <n v="180531"/>
    <m/>
    <m/>
    <m/>
    <m/>
    <n v="0"/>
    <m/>
    <m/>
    <n v="0"/>
    <m/>
    <m/>
    <m/>
    <m/>
    <m/>
    <m/>
    <n v="120531"/>
    <n v="180531"/>
  </r>
  <r>
    <x v="8"/>
    <x v="7"/>
    <s v="Stennis Institute"/>
    <m/>
    <n v="176080"/>
    <x v="0"/>
    <m/>
    <m/>
    <n v="917452"/>
    <n v="901782"/>
    <m/>
    <m/>
    <m/>
    <m/>
    <n v="0"/>
    <m/>
    <m/>
    <n v="0"/>
    <n v="917452"/>
    <n v="901782"/>
    <m/>
    <m/>
    <m/>
    <m/>
    <n v="0"/>
    <m/>
    <m/>
    <n v="0"/>
    <m/>
    <m/>
    <m/>
    <m/>
    <m/>
    <m/>
    <n v="917452"/>
    <n v="901782"/>
  </r>
  <r>
    <x v="8"/>
    <x v="7"/>
    <s v="Advanced Vehicular Systems"/>
    <m/>
    <n v="176080"/>
    <x v="0"/>
    <m/>
    <m/>
    <n v="3338190"/>
    <n v="3300000"/>
    <m/>
    <m/>
    <m/>
    <m/>
    <n v="0"/>
    <m/>
    <m/>
    <n v="0"/>
    <n v="3338190"/>
    <n v="3300000"/>
    <m/>
    <m/>
    <m/>
    <m/>
    <n v="0"/>
    <m/>
    <m/>
    <n v="0"/>
    <m/>
    <m/>
    <m/>
    <m/>
    <m/>
    <m/>
    <n v="3338190"/>
    <n v="3300000"/>
  </r>
  <r>
    <x v="8"/>
    <x v="0"/>
    <s v="University of Southern Mississippi"/>
    <s v="Met the criteria for Four-Year 2 in 2012-13."/>
    <n v="176372"/>
    <x v="0"/>
    <n v="78298084"/>
    <n v="77868748"/>
    <m/>
    <m/>
    <m/>
    <m/>
    <n v="98769876"/>
    <m/>
    <n v="98769876"/>
    <n v="106955807"/>
    <m/>
    <n v="106955807"/>
    <n v="177067960"/>
    <n v="184824555"/>
    <m/>
    <m/>
    <m/>
    <m/>
    <n v="0"/>
    <m/>
    <m/>
    <n v="0"/>
    <m/>
    <m/>
    <m/>
    <m/>
    <m/>
    <m/>
    <n v="177067960"/>
    <n v="184824555"/>
  </r>
  <r>
    <x v="8"/>
    <x v="7"/>
    <s v="Research Units"/>
    <m/>
    <n v="176372"/>
    <x v="0"/>
    <m/>
    <m/>
    <m/>
    <m/>
    <m/>
    <m/>
    <m/>
    <m/>
    <n v="0"/>
    <m/>
    <m/>
    <n v="0"/>
    <n v="0"/>
    <n v="0"/>
    <m/>
    <m/>
    <m/>
    <m/>
    <n v="0"/>
    <m/>
    <m/>
    <n v="0"/>
    <m/>
    <m/>
    <m/>
    <m/>
    <m/>
    <m/>
    <n v="0"/>
    <n v="0"/>
  </r>
  <r>
    <x v="8"/>
    <x v="7"/>
    <s v="Gulf-Coast Research Lab"/>
    <m/>
    <n v="176372"/>
    <x v="0"/>
    <m/>
    <m/>
    <n v="3190734"/>
    <n v="3176881"/>
    <m/>
    <m/>
    <n v="319000"/>
    <m/>
    <n v="319000"/>
    <n v="347000"/>
    <m/>
    <n v="347000"/>
    <n v="3509734"/>
    <n v="3523881"/>
    <m/>
    <m/>
    <m/>
    <m/>
    <n v="0"/>
    <m/>
    <m/>
    <n v="0"/>
    <m/>
    <m/>
    <m/>
    <m/>
    <m/>
    <m/>
    <n v="3509734"/>
    <n v="3523881"/>
  </r>
  <r>
    <x v="8"/>
    <x v="7"/>
    <s v="Polymer Institute"/>
    <m/>
    <n v="176372"/>
    <x v="0"/>
    <m/>
    <m/>
    <n v="668440"/>
    <n v="668440"/>
    <m/>
    <m/>
    <m/>
    <m/>
    <n v="0"/>
    <m/>
    <m/>
    <n v="0"/>
    <n v="668440"/>
    <n v="668440"/>
    <m/>
    <m/>
    <m/>
    <m/>
    <n v="0"/>
    <m/>
    <m/>
    <n v="0"/>
    <m/>
    <m/>
    <m/>
    <m/>
    <m/>
    <m/>
    <n v="668440"/>
    <n v="668440"/>
  </r>
  <r>
    <x v="8"/>
    <x v="7"/>
    <s v="Stennis Center"/>
    <m/>
    <n v="176372"/>
    <x v="0"/>
    <m/>
    <m/>
    <n v="438706"/>
    <n v="436618"/>
    <m/>
    <m/>
    <m/>
    <m/>
    <n v="0"/>
    <m/>
    <m/>
    <n v="0"/>
    <n v="438706"/>
    <n v="436618"/>
    <m/>
    <m/>
    <m/>
    <m/>
    <n v="0"/>
    <m/>
    <m/>
    <n v="0"/>
    <m/>
    <m/>
    <m/>
    <m/>
    <m/>
    <m/>
    <n v="438706"/>
    <n v="436618"/>
  </r>
  <r>
    <x v="8"/>
    <x v="0"/>
    <s v="Jackson State University "/>
    <m/>
    <n v="175856"/>
    <x v="1"/>
    <n v="47712554"/>
    <n v="47630108"/>
    <m/>
    <m/>
    <m/>
    <m/>
    <n v="46727056"/>
    <m/>
    <n v="46727056"/>
    <n v="50792633"/>
    <m/>
    <n v="50792633"/>
    <n v="94439610"/>
    <n v="98422741"/>
    <m/>
    <m/>
    <m/>
    <m/>
    <n v="0"/>
    <m/>
    <m/>
    <n v="0"/>
    <m/>
    <m/>
    <m/>
    <m/>
    <m/>
    <m/>
    <n v="94439610"/>
    <n v="98422741"/>
  </r>
  <r>
    <x v="8"/>
    <x v="7"/>
    <s v="Urban Research Center"/>
    <m/>
    <n v="175856"/>
    <x v="1"/>
    <m/>
    <m/>
    <n v="495734"/>
    <n v="515734"/>
    <m/>
    <m/>
    <m/>
    <m/>
    <n v="0"/>
    <m/>
    <m/>
    <n v="0"/>
    <n v="495734"/>
    <n v="515734"/>
    <m/>
    <m/>
    <m/>
    <m/>
    <n v="0"/>
    <m/>
    <m/>
    <n v="0"/>
    <m/>
    <m/>
    <m/>
    <m/>
    <m/>
    <m/>
    <n v="495734"/>
    <n v="515734"/>
  </r>
  <r>
    <x v="8"/>
    <x v="0"/>
    <s v="University of Mississippi"/>
    <m/>
    <n v="176017"/>
    <x v="1"/>
    <n v="72140339"/>
    <n v="71549034"/>
    <m/>
    <m/>
    <m/>
    <m/>
    <n v="159697267"/>
    <m/>
    <n v="159697267"/>
    <n v="181158731"/>
    <m/>
    <n v="181158731"/>
    <n v="231837606"/>
    <n v="252707765"/>
    <m/>
    <m/>
    <m/>
    <m/>
    <n v="0"/>
    <m/>
    <m/>
    <n v="0"/>
    <m/>
    <m/>
    <m/>
    <m/>
    <m/>
    <m/>
    <n v="231837606"/>
    <n v="252707765"/>
  </r>
  <r>
    <x v="8"/>
    <x v="3"/>
    <s v="Community/Public Service  Units"/>
    <m/>
    <n v="176017"/>
    <x v="1"/>
    <m/>
    <m/>
    <m/>
    <m/>
    <m/>
    <m/>
    <m/>
    <m/>
    <n v="0"/>
    <m/>
    <m/>
    <n v="0"/>
    <n v="0"/>
    <n v="0"/>
    <m/>
    <m/>
    <m/>
    <m/>
    <n v="0"/>
    <m/>
    <m/>
    <n v="0"/>
    <m/>
    <m/>
    <m/>
    <m/>
    <m/>
    <m/>
    <n v="0"/>
    <n v="0"/>
  </r>
  <r>
    <x v="8"/>
    <x v="3"/>
    <s v="Small Business Development Ctr."/>
    <m/>
    <n v="176017"/>
    <x v="1"/>
    <m/>
    <m/>
    <n v="238435"/>
    <n v="231222"/>
    <m/>
    <m/>
    <m/>
    <m/>
    <n v="0"/>
    <m/>
    <m/>
    <n v="0"/>
    <n v="238435"/>
    <n v="231222"/>
    <m/>
    <m/>
    <m/>
    <m/>
    <n v="0"/>
    <m/>
    <m/>
    <n v="0"/>
    <m/>
    <m/>
    <m/>
    <m/>
    <m/>
    <m/>
    <n v="238435"/>
    <n v="231222"/>
  </r>
  <r>
    <x v="8"/>
    <x v="7"/>
    <s v="Research Units"/>
    <m/>
    <n v="176017"/>
    <x v="1"/>
    <m/>
    <m/>
    <m/>
    <m/>
    <m/>
    <m/>
    <m/>
    <m/>
    <n v="0"/>
    <m/>
    <m/>
    <n v="0"/>
    <n v="0"/>
    <n v="0"/>
    <m/>
    <m/>
    <m/>
    <m/>
    <n v="0"/>
    <m/>
    <m/>
    <n v="0"/>
    <m/>
    <m/>
    <m/>
    <m/>
    <m/>
    <m/>
    <n v="0"/>
    <n v="0"/>
  </r>
  <r>
    <x v="8"/>
    <x v="7"/>
    <s v="Pharmaceutical research"/>
    <m/>
    <n v="176017"/>
    <x v="1"/>
    <m/>
    <m/>
    <n v="3127749"/>
    <n v="3202749"/>
    <m/>
    <m/>
    <m/>
    <m/>
    <n v="0"/>
    <m/>
    <m/>
    <n v="0"/>
    <n v="3127749"/>
    <n v="3202749"/>
    <m/>
    <m/>
    <m/>
    <m/>
    <n v="0"/>
    <m/>
    <m/>
    <n v="0"/>
    <m/>
    <m/>
    <m/>
    <m/>
    <m/>
    <m/>
    <n v="3127749"/>
    <n v="3202749"/>
  </r>
  <r>
    <x v="8"/>
    <x v="7"/>
    <s v="Law Research Institute"/>
    <m/>
    <n v="176017"/>
    <x v="1"/>
    <m/>
    <m/>
    <n v="809003"/>
    <n v="809003"/>
    <m/>
    <m/>
    <m/>
    <m/>
    <n v="0"/>
    <m/>
    <m/>
    <n v="0"/>
    <n v="809003"/>
    <n v="809003"/>
    <m/>
    <m/>
    <m/>
    <m/>
    <n v="0"/>
    <m/>
    <m/>
    <n v="0"/>
    <m/>
    <m/>
    <m/>
    <m/>
    <m/>
    <m/>
    <n v="809003"/>
    <n v="809003"/>
  </r>
  <r>
    <x v="8"/>
    <x v="7"/>
    <s v="Mineral Resources Institute"/>
    <m/>
    <n v="176017"/>
    <x v="1"/>
    <m/>
    <m/>
    <n v="400824"/>
    <n v="400824"/>
    <m/>
    <m/>
    <m/>
    <m/>
    <n v="0"/>
    <m/>
    <m/>
    <n v="0"/>
    <n v="400824"/>
    <n v="400824"/>
    <m/>
    <m/>
    <m/>
    <m/>
    <n v="0"/>
    <m/>
    <m/>
    <n v="0"/>
    <m/>
    <m/>
    <m/>
    <m/>
    <m/>
    <m/>
    <n v="400824"/>
    <n v="400824"/>
  </r>
  <r>
    <x v="8"/>
    <x v="7"/>
    <s v="Supercomputer"/>
    <m/>
    <n v="176017"/>
    <x v="1"/>
    <m/>
    <m/>
    <n v="691278"/>
    <n v="691278"/>
    <m/>
    <m/>
    <m/>
    <m/>
    <n v="0"/>
    <m/>
    <m/>
    <n v="0"/>
    <n v="691278"/>
    <n v="691278"/>
    <m/>
    <m/>
    <m/>
    <m/>
    <n v="0"/>
    <m/>
    <m/>
    <n v="0"/>
    <m/>
    <m/>
    <m/>
    <m/>
    <m/>
    <m/>
    <n v="691278"/>
    <n v="691278"/>
  </r>
  <r>
    <x v="8"/>
    <x v="7"/>
    <s v="Center for Manufacturing Excellence "/>
    <m/>
    <n v="176017"/>
    <x v="1"/>
    <m/>
    <m/>
    <n v="826132"/>
    <n v="1000000"/>
    <m/>
    <m/>
    <m/>
    <m/>
    <n v="0"/>
    <m/>
    <m/>
    <n v="0"/>
    <n v="826132"/>
    <n v="1000000"/>
    <m/>
    <m/>
    <m/>
    <m/>
    <n v="0"/>
    <m/>
    <m/>
    <n v="0"/>
    <m/>
    <m/>
    <m/>
    <m/>
    <m/>
    <m/>
    <n v="826132"/>
    <n v="1000000"/>
  </r>
  <r>
    <x v="8"/>
    <x v="0"/>
    <s v="Alcorn State University"/>
    <m/>
    <n v="175342"/>
    <x v="3"/>
    <n v="21926296"/>
    <n v="22678641"/>
    <m/>
    <m/>
    <m/>
    <m/>
    <n v="22004217"/>
    <m/>
    <n v="22004217"/>
    <n v="27193798"/>
    <m/>
    <n v="27193798"/>
    <n v="43930513"/>
    <n v="49872439"/>
    <m/>
    <m/>
    <m/>
    <m/>
    <n v="0"/>
    <m/>
    <m/>
    <n v="0"/>
    <m/>
    <m/>
    <m/>
    <m/>
    <m/>
    <m/>
    <n v="43930513"/>
    <n v="49872439"/>
  </r>
  <r>
    <x v="8"/>
    <x v="5"/>
    <s v="Agricultural Units"/>
    <m/>
    <n v="175342"/>
    <x v="3"/>
    <m/>
    <m/>
    <n v="5498389"/>
    <n v="5498389"/>
    <m/>
    <m/>
    <m/>
    <m/>
    <n v="0"/>
    <m/>
    <m/>
    <n v="0"/>
    <n v="5498389"/>
    <n v="5498389"/>
    <m/>
    <m/>
    <m/>
    <m/>
    <n v="0"/>
    <m/>
    <m/>
    <n v="0"/>
    <m/>
    <m/>
    <m/>
    <m/>
    <m/>
    <m/>
    <n v="5498389"/>
    <n v="5498389"/>
  </r>
  <r>
    <x v="8"/>
    <x v="0"/>
    <s v="Delta State University"/>
    <m/>
    <n v="175616"/>
    <x v="3"/>
    <n v="21114413"/>
    <n v="21180960"/>
    <m/>
    <m/>
    <m/>
    <m/>
    <n v="20537205"/>
    <m/>
    <n v="20537205"/>
    <n v="20997590"/>
    <m/>
    <n v="20997590"/>
    <n v="41651618"/>
    <n v="42178550"/>
    <m/>
    <m/>
    <m/>
    <m/>
    <n v="0"/>
    <m/>
    <m/>
    <n v="0"/>
    <m/>
    <m/>
    <m/>
    <m/>
    <m/>
    <m/>
    <n v="41651618"/>
    <n v="42178550"/>
  </r>
  <r>
    <x v="8"/>
    <x v="0"/>
    <s v="Mississippi Valley State University"/>
    <m/>
    <n v="176044"/>
    <x v="3"/>
    <n v="18015693"/>
    <n v="19342906"/>
    <m/>
    <m/>
    <m/>
    <m/>
    <n v="15711575"/>
    <m/>
    <n v="15711575"/>
    <n v="15645965"/>
    <m/>
    <n v="15645965"/>
    <n v="33727268"/>
    <n v="34988871"/>
    <m/>
    <m/>
    <m/>
    <m/>
    <n v="0"/>
    <m/>
    <m/>
    <n v="0"/>
    <m/>
    <m/>
    <m/>
    <m/>
    <m/>
    <m/>
    <n v="33727268"/>
    <n v="34988871"/>
  </r>
  <r>
    <x v="8"/>
    <x v="0"/>
    <s v="Mississippi University for Women"/>
    <m/>
    <n v="176035"/>
    <x v="4"/>
    <n v="13765054"/>
    <n v="13638450"/>
    <m/>
    <m/>
    <m/>
    <m/>
    <n v="14236908"/>
    <m/>
    <n v="14236908"/>
    <n v="17024899"/>
    <m/>
    <n v="17024899"/>
    <n v="28001962"/>
    <n v="30663349"/>
    <m/>
    <m/>
    <m/>
    <m/>
    <n v="0"/>
    <m/>
    <m/>
    <n v="0"/>
    <m/>
    <m/>
    <m/>
    <m/>
    <m/>
    <m/>
    <n v="28001962"/>
    <n v="30663349"/>
  </r>
  <r>
    <x v="8"/>
    <x v="41"/>
    <s v="University of Mississippi Medical Center"/>
    <m/>
    <n v="176026"/>
    <x v="11"/>
    <m/>
    <m/>
    <m/>
    <m/>
    <m/>
    <m/>
    <m/>
    <m/>
    <n v="0"/>
    <m/>
    <m/>
    <n v="0"/>
    <n v="0"/>
    <n v="0"/>
    <m/>
    <m/>
    <m/>
    <m/>
    <n v="0"/>
    <m/>
    <m/>
    <n v="0"/>
    <n v="211700932"/>
    <n v="177017002"/>
    <n v="20035248"/>
    <n v="0"/>
    <n v="22962335"/>
    <m/>
    <n v="231736180"/>
    <n v="199979337"/>
  </r>
  <r>
    <x v="8"/>
    <x v="10"/>
    <s v="Statewide Special-Purpose Units"/>
    <m/>
    <m/>
    <x v="12"/>
    <m/>
    <m/>
    <m/>
    <m/>
    <m/>
    <m/>
    <m/>
    <m/>
    <n v="0"/>
    <m/>
    <m/>
    <n v="0"/>
    <n v="0"/>
    <n v="0"/>
    <m/>
    <m/>
    <m/>
    <m/>
    <n v="0"/>
    <m/>
    <m/>
    <n v="0"/>
    <m/>
    <m/>
    <m/>
    <m/>
    <m/>
    <m/>
    <n v="0"/>
    <n v="0"/>
  </r>
  <r>
    <x v="8"/>
    <x v="42"/>
    <s v="Community or public service units"/>
    <m/>
    <m/>
    <x v="12"/>
    <m/>
    <m/>
    <m/>
    <m/>
    <m/>
    <m/>
    <m/>
    <m/>
    <n v="0"/>
    <m/>
    <m/>
    <n v="0"/>
    <n v="0"/>
    <n v="0"/>
    <m/>
    <m/>
    <m/>
    <m/>
    <n v="0"/>
    <m/>
    <m/>
    <n v="0"/>
    <m/>
    <m/>
    <m/>
    <m/>
    <m/>
    <m/>
    <n v="0"/>
    <n v="0"/>
  </r>
  <r>
    <x v="8"/>
    <x v="42"/>
    <s v="Volunteer Commission"/>
    <m/>
    <m/>
    <x v="12"/>
    <m/>
    <m/>
    <m/>
    <m/>
    <m/>
    <m/>
    <m/>
    <m/>
    <n v="0"/>
    <m/>
    <m/>
    <n v="0"/>
    <n v="0"/>
    <n v="0"/>
    <n v="360000"/>
    <n v="500000"/>
    <m/>
    <m/>
    <n v="0"/>
    <m/>
    <m/>
    <n v="0"/>
    <m/>
    <m/>
    <m/>
    <m/>
    <m/>
    <m/>
    <n v="360000"/>
    <n v="500000"/>
  </r>
  <r>
    <x v="8"/>
    <x v="13"/>
    <s v="Education special purpose funds — all other"/>
    <m/>
    <m/>
    <x v="12"/>
    <m/>
    <m/>
    <m/>
    <m/>
    <m/>
    <m/>
    <m/>
    <m/>
    <n v="0"/>
    <m/>
    <m/>
    <n v="0"/>
    <n v="0"/>
    <n v="0"/>
    <m/>
    <m/>
    <m/>
    <m/>
    <n v="0"/>
    <m/>
    <m/>
    <n v="0"/>
    <m/>
    <m/>
    <m/>
    <m/>
    <m/>
    <m/>
    <n v="0"/>
    <n v="0"/>
  </r>
  <r>
    <x v="8"/>
    <x v="13"/>
    <s v="AYERS Endowment/Summer Programs"/>
    <m/>
    <m/>
    <x v="12"/>
    <m/>
    <m/>
    <n v="5750000"/>
    <n v="5750000"/>
    <m/>
    <m/>
    <m/>
    <m/>
    <n v="0"/>
    <m/>
    <m/>
    <n v="0"/>
    <n v="5750000"/>
    <n v="5750000"/>
    <m/>
    <m/>
    <m/>
    <m/>
    <n v="0"/>
    <m/>
    <m/>
    <n v="0"/>
    <m/>
    <m/>
    <m/>
    <m/>
    <m/>
    <m/>
    <n v="5750000"/>
    <n v="5750000"/>
  </r>
  <r>
    <x v="8"/>
    <x v="14"/>
    <s v="Statewide System Operations"/>
    <m/>
    <m/>
    <x v="12"/>
    <m/>
    <m/>
    <m/>
    <m/>
    <m/>
    <m/>
    <m/>
    <m/>
    <n v="0"/>
    <m/>
    <m/>
    <n v="0"/>
    <n v="0"/>
    <n v="0"/>
    <m/>
    <m/>
    <m/>
    <m/>
    <n v="0"/>
    <m/>
    <m/>
    <n v="0"/>
    <m/>
    <m/>
    <m/>
    <m/>
    <m/>
    <m/>
    <n v="0"/>
    <n v="0"/>
  </r>
  <r>
    <x v="8"/>
    <x v="15"/>
    <s v="Colleges and universities"/>
    <m/>
    <m/>
    <x v="12"/>
    <m/>
    <m/>
    <m/>
    <m/>
    <m/>
    <m/>
    <m/>
    <m/>
    <n v="0"/>
    <m/>
    <m/>
    <n v="0"/>
    <n v="0"/>
    <n v="0"/>
    <m/>
    <m/>
    <m/>
    <m/>
    <n v="0"/>
    <m/>
    <m/>
    <n v="0"/>
    <m/>
    <m/>
    <m/>
    <m/>
    <m/>
    <m/>
    <n v="0"/>
    <n v="0"/>
  </r>
  <r>
    <x v="8"/>
    <x v="15"/>
    <s v="Ms Board of Trustees I.H.L"/>
    <m/>
    <m/>
    <x v="12"/>
    <m/>
    <m/>
    <m/>
    <m/>
    <m/>
    <m/>
    <m/>
    <m/>
    <n v="0"/>
    <m/>
    <m/>
    <n v="0"/>
    <n v="0"/>
    <n v="0"/>
    <n v="7161561"/>
    <n v="6968781"/>
    <m/>
    <m/>
    <n v="0"/>
    <m/>
    <m/>
    <n v="0"/>
    <m/>
    <m/>
    <m/>
    <m/>
    <m/>
    <m/>
    <n v="7161561"/>
    <n v="6968781"/>
  </r>
  <r>
    <x v="8"/>
    <x v="17"/>
    <s v="National or regional associations, compacts or consortia"/>
    <m/>
    <m/>
    <x v="12"/>
    <m/>
    <m/>
    <m/>
    <m/>
    <m/>
    <m/>
    <m/>
    <m/>
    <n v="0"/>
    <m/>
    <m/>
    <n v="0"/>
    <n v="0"/>
    <n v="0"/>
    <m/>
    <m/>
    <m/>
    <m/>
    <n v="0"/>
    <m/>
    <m/>
    <n v="0"/>
    <m/>
    <m/>
    <m/>
    <m/>
    <m/>
    <m/>
    <n v="0"/>
    <n v="0"/>
  </r>
  <r>
    <x v="8"/>
    <x v="17"/>
    <s v="SREB"/>
    <m/>
    <m/>
    <x v="12"/>
    <m/>
    <m/>
    <m/>
    <m/>
    <m/>
    <m/>
    <m/>
    <m/>
    <n v="0"/>
    <m/>
    <m/>
    <n v="0"/>
    <n v="0"/>
    <n v="0"/>
    <m/>
    <m/>
    <m/>
    <m/>
    <n v="0"/>
    <m/>
    <m/>
    <n v="0"/>
    <m/>
    <m/>
    <m/>
    <m/>
    <m/>
    <m/>
    <n v="0"/>
    <n v="0"/>
  </r>
  <r>
    <x v="8"/>
    <x v="18"/>
    <s v="Student Financial Aid Administration"/>
    <m/>
    <m/>
    <x v="12"/>
    <m/>
    <m/>
    <m/>
    <m/>
    <m/>
    <m/>
    <m/>
    <m/>
    <n v="0"/>
    <m/>
    <m/>
    <n v="0"/>
    <n v="0"/>
    <n v="0"/>
    <n v="974578"/>
    <n v="1036941"/>
    <m/>
    <m/>
    <n v="0"/>
    <m/>
    <m/>
    <n v="0"/>
    <m/>
    <m/>
    <m/>
    <m/>
    <m/>
    <m/>
    <n v="974578"/>
    <n v="1036941"/>
  </r>
  <r>
    <x v="8"/>
    <x v="19"/>
    <s v="State Support to Private Colleges Other Than Student Aid"/>
    <m/>
    <m/>
    <x v="12"/>
    <m/>
    <m/>
    <m/>
    <m/>
    <m/>
    <m/>
    <m/>
    <m/>
    <n v="0"/>
    <m/>
    <m/>
    <n v="0"/>
    <n v="0"/>
    <n v="0"/>
    <m/>
    <m/>
    <m/>
    <m/>
    <n v="0"/>
    <m/>
    <m/>
    <n v="0"/>
    <m/>
    <m/>
    <m/>
    <m/>
    <m/>
    <m/>
    <n v="0"/>
    <n v="0"/>
  </r>
  <r>
    <x v="8"/>
    <x v="20"/>
    <s v="Contract Education Programs"/>
    <m/>
    <m/>
    <x v="12"/>
    <m/>
    <m/>
    <m/>
    <m/>
    <m/>
    <m/>
    <m/>
    <m/>
    <n v="0"/>
    <m/>
    <m/>
    <n v="0"/>
    <n v="0"/>
    <n v="0"/>
    <m/>
    <m/>
    <m/>
    <m/>
    <n v="0"/>
    <m/>
    <m/>
    <n v="0"/>
    <m/>
    <m/>
    <m/>
    <m/>
    <m/>
    <m/>
    <n v="0"/>
    <n v="0"/>
  </r>
  <r>
    <x v="8"/>
    <x v="21"/>
    <s v="SREB contract program with private colleges"/>
    <m/>
    <m/>
    <x v="12"/>
    <m/>
    <m/>
    <m/>
    <m/>
    <m/>
    <m/>
    <m/>
    <m/>
    <n v="0"/>
    <m/>
    <m/>
    <n v="0"/>
    <n v="0"/>
    <n v="0"/>
    <m/>
    <m/>
    <m/>
    <m/>
    <n v="0"/>
    <m/>
    <m/>
    <n v="0"/>
    <m/>
    <m/>
    <m/>
    <m/>
    <m/>
    <m/>
    <n v="0"/>
    <n v="0"/>
  </r>
  <r>
    <x v="8"/>
    <x v="21"/>
    <s v="Nova Southeastern University (Osteopathic Medicine)"/>
    <m/>
    <m/>
    <x v="12"/>
    <m/>
    <m/>
    <m/>
    <m/>
    <m/>
    <m/>
    <m/>
    <m/>
    <n v="0"/>
    <m/>
    <m/>
    <n v="0"/>
    <n v="0"/>
    <n v="0"/>
    <n v="14300"/>
    <n v="0"/>
    <m/>
    <m/>
    <n v="0"/>
    <m/>
    <m/>
    <n v="0"/>
    <m/>
    <m/>
    <m/>
    <m/>
    <m/>
    <m/>
    <n v="14300"/>
    <n v="0"/>
  </r>
  <r>
    <x v="8"/>
    <x v="21"/>
    <s v="Southern College of Optometry"/>
    <m/>
    <m/>
    <x v="12"/>
    <m/>
    <m/>
    <m/>
    <m/>
    <m/>
    <m/>
    <m/>
    <m/>
    <n v="0"/>
    <m/>
    <m/>
    <n v="0"/>
    <n v="0"/>
    <n v="0"/>
    <n v="343200"/>
    <n v="340400"/>
    <m/>
    <m/>
    <n v="0"/>
    <m/>
    <m/>
    <n v="0"/>
    <m/>
    <m/>
    <m/>
    <m/>
    <m/>
    <m/>
    <n v="343200"/>
    <n v="340400"/>
  </r>
  <r>
    <x v="8"/>
    <x v="21"/>
    <s v="Edward Via VA College of Osteopathic Medicine"/>
    <m/>
    <m/>
    <x v="12"/>
    <m/>
    <m/>
    <m/>
    <m/>
    <m/>
    <m/>
    <m/>
    <m/>
    <n v="0"/>
    <m/>
    <m/>
    <n v="0"/>
    <n v="0"/>
    <n v="0"/>
    <n v="71500"/>
    <n v="14800"/>
    <m/>
    <m/>
    <n v="0"/>
    <m/>
    <m/>
    <n v="0"/>
    <m/>
    <m/>
    <m/>
    <m/>
    <m/>
    <m/>
    <n v="71500"/>
    <n v="14800"/>
  </r>
  <r>
    <x v="8"/>
    <x v="22"/>
    <s v="SREB contract program with public colleges"/>
    <m/>
    <m/>
    <x v="12"/>
    <m/>
    <m/>
    <m/>
    <m/>
    <m/>
    <m/>
    <m/>
    <m/>
    <n v="0"/>
    <m/>
    <m/>
    <n v="0"/>
    <n v="0"/>
    <n v="0"/>
    <m/>
    <m/>
    <m/>
    <m/>
    <n v="0"/>
    <m/>
    <m/>
    <n v="0"/>
    <m/>
    <m/>
    <m/>
    <m/>
    <m/>
    <m/>
    <n v="0"/>
    <n v="0"/>
  </r>
  <r>
    <x v="8"/>
    <x v="22"/>
    <s v="University of Houston (Optometry)"/>
    <m/>
    <m/>
    <x v="12"/>
    <m/>
    <m/>
    <m/>
    <m/>
    <m/>
    <m/>
    <m/>
    <m/>
    <n v="0"/>
    <m/>
    <m/>
    <n v="0"/>
    <n v="0"/>
    <n v="0"/>
    <n v="14300"/>
    <n v="14800"/>
    <m/>
    <m/>
    <n v="0"/>
    <m/>
    <m/>
    <n v="0"/>
    <m/>
    <m/>
    <m/>
    <m/>
    <m/>
    <m/>
    <n v="14300"/>
    <n v="14800"/>
  </r>
  <r>
    <x v="8"/>
    <x v="22"/>
    <s v="University of Alabama at Birmingham (Optometry)"/>
    <m/>
    <m/>
    <x v="12"/>
    <m/>
    <m/>
    <m/>
    <m/>
    <m/>
    <m/>
    <m/>
    <m/>
    <n v="0"/>
    <m/>
    <m/>
    <n v="0"/>
    <n v="0"/>
    <n v="0"/>
    <n v="85800"/>
    <n v="118400"/>
    <m/>
    <m/>
    <n v="0"/>
    <m/>
    <m/>
    <n v="0"/>
    <m/>
    <m/>
    <m/>
    <m/>
    <m/>
    <m/>
    <n v="85800"/>
    <n v="118400"/>
  </r>
  <r>
    <x v="8"/>
    <x v="24"/>
    <s v="Statewide Student Financial Aid Programs Administered Off Campus"/>
    <m/>
    <m/>
    <x v="12"/>
    <m/>
    <m/>
    <m/>
    <m/>
    <m/>
    <m/>
    <m/>
    <m/>
    <n v="0"/>
    <m/>
    <m/>
    <n v="0"/>
    <n v="0"/>
    <n v="0"/>
    <m/>
    <m/>
    <m/>
    <m/>
    <n v="0"/>
    <m/>
    <m/>
    <n v="0"/>
    <m/>
    <m/>
    <m/>
    <m/>
    <m/>
    <m/>
    <n v="0"/>
    <n v="0"/>
  </r>
  <r>
    <x v="8"/>
    <x v="25"/>
    <s v="Available to public &amp; private sector students"/>
    <m/>
    <m/>
    <x v="12"/>
    <m/>
    <m/>
    <m/>
    <m/>
    <m/>
    <m/>
    <m/>
    <m/>
    <n v="0"/>
    <m/>
    <m/>
    <n v="0"/>
    <n v="0"/>
    <n v="0"/>
    <m/>
    <m/>
    <m/>
    <m/>
    <n v="0"/>
    <m/>
    <m/>
    <n v="0"/>
    <m/>
    <m/>
    <m/>
    <m/>
    <m/>
    <m/>
    <n v="0"/>
    <n v="0"/>
  </r>
  <r>
    <x v="8"/>
    <x v="25"/>
    <s v="Higher Education Legislative Plan"/>
    <m/>
    <m/>
    <x v="12"/>
    <m/>
    <m/>
    <m/>
    <m/>
    <m/>
    <m/>
    <m/>
    <m/>
    <n v="0"/>
    <m/>
    <m/>
    <n v="0"/>
    <n v="0"/>
    <n v="0"/>
    <m/>
    <m/>
    <m/>
    <m/>
    <n v="0"/>
    <m/>
    <m/>
    <n v="0"/>
    <m/>
    <m/>
    <m/>
    <m/>
    <m/>
    <m/>
    <n v="0"/>
    <n v="0"/>
  </r>
  <r>
    <x v="8"/>
    <x v="28"/>
    <s v="Amount to public sector students"/>
    <m/>
    <m/>
    <x v="12"/>
    <m/>
    <m/>
    <m/>
    <m/>
    <m/>
    <m/>
    <m/>
    <m/>
    <n v="0"/>
    <m/>
    <m/>
    <n v="0"/>
    <n v="0"/>
    <n v="0"/>
    <m/>
    <m/>
    <m/>
    <m/>
    <n v="0"/>
    <m/>
    <m/>
    <n v="0"/>
    <m/>
    <m/>
    <m/>
    <m/>
    <m/>
    <m/>
    <n v="0"/>
    <n v="0"/>
  </r>
  <r>
    <x v="8"/>
    <x v="29"/>
    <s v="Need-based"/>
    <m/>
    <m/>
    <x v="12"/>
    <m/>
    <m/>
    <m/>
    <m/>
    <m/>
    <m/>
    <m/>
    <m/>
    <n v="0"/>
    <m/>
    <m/>
    <n v="0"/>
    <n v="0"/>
    <n v="0"/>
    <n v="2840350"/>
    <n v="4352527"/>
    <m/>
    <m/>
    <n v="0"/>
    <m/>
    <m/>
    <n v="0"/>
    <m/>
    <m/>
    <m/>
    <m/>
    <m/>
    <m/>
    <n v="2840350"/>
    <n v="4352527"/>
  </r>
  <r>
    <x v="8"/>
    <x v="27"/>
    <s v="Non need-based"/>
    <m/>
    <m/>
    <x v="12"/>
    <m/>
    <m/>
    <m/>
    <m/>
    <m/>
    <m/>
    <m/>
    <m/>
    <n v="0"/>
    <m/>
    <m/>
    <n v="0"/>
    <n v="0"/>
    <n v="0"/>
    <m/>
    <m/>
    <m/>
    <m/>
    <n v="0"/>
    <m/>
    <m/>
    <n v="0"/>
    <m/>
    <m/>
    <m/>
    <m/>
    <m/>
    <m/>
    <n v="0"/>
    <n v="0"/>
  </r>
  <r>
    <x v="8"/>
    <x v="31"/>
    <s v="Amount to private sector students"/>
    <m/>
    <m/>
    <x v="12"/>
    <m/>
    <m/>
    <m/>
    <m/>
    <m/>
    <m/>
    <m/>
    <m/>
    <n v="0"/>
    <m/>
    <m/>
    <n v="0"/>
    <n v="0"/>
    <n v="0"/>
    <m/>
    <m/>
    <m/>
    <m/>
    <n v="0"/>
    <m/>
    <m/>
    <n v="0"/>
    <m/>
    <m/>
    <m/>
    <m/>
    <m/>
    <m/>
    <n v="0"/>
    <n v="0"/>
  </r>
  <r>
    <x v="8"/>
    <x v="32"/>
    <s v="Need-based"/>
    <m/>
    <m/>
    <x v="12"/>
    <m/>
    <m/>
    <m/>
    <m/>
    <m/>
    <m/>
    <m/>
    <m/>
    <n v="0"/>
    <m/>
    <m/>
    <n v="0"/>
    <n v="0"/>
    <n v="0"/>
    <n v="313068"/>
    <n v="501228"/>
    <m/>
    <m/>
    <n v="0"/>
    <m/>
    <m/>
    <n v="0"/>
    <m/>
    <m/>
    <m/>
    <m/>
    <m/>
    <m/>
    <n v="313068"/>
    <n v="501228"/>
  </r>
  <r>
    <x v="8"/>
    <x v="27"/>
    <s v="Non need-based"/>
    <m/>
    <m/>
    <x v="12"/>
    <m/>
    <m/>
    <m/>
    <m/>
    <m/>
    <m/>
    <m/>
    <m/>
    <n v="0"/>
    <m/>
    <m/>
    <n v="0"/>
    <n v="0"/>
    <n v="0"/>
    <m/>
    <m/>
    <m/>
    <m/>
    <n v="0"/>
    <m/>
    <m/>
    <n v="0"/>
    <m/>
    <m/>
    <m/>
    <m/>
    <m/>
    <m/>
    <n v="0"/>
    <n v="0"/>
  </r>
  <r>
    <x v="8"/>
    <x v="25"/>
    <s v="Scholarship/Grant Programs"/>
    <m/>
    <m/>
    <x v="12"/>
    <m/>
    <m/>
    <m/>
    <m/>
    <m/>
    <m/>
    <m/>
    <m/>
    <n v="0"/>
    <m/>
    <m/>
    <n v="0"/>
    <n v="0"/>
    <n v="0"/>
    <m/>
    <m/>
    <m/>
    <m/>
    <n v="0"/>
    <m/>
    <m/>
    <n v="0"/>
    <m/>
    <m/>
    <m/>
    <m/>
    <m/>
    <m/>
    <n v="0"/>
    <n v="0"/>
  </r>
  <r>
    <x v="8"/>
    <x v="28"/>
    <s v="Amount to public sector students"/>
    <m/>
    <m/>
    <x v="12"/>
    <m/>
    <m/>
    <m/>
    <m/>
    <m/>
    <m/>
    <m/>
    <m/>
    <n v="0"/>
    <m/>
    <m/>
    <n v="0"/>
    <n v="0"/>
    <n v="0"/>
    <m/>
    <m/>
    <m/>
    <m/>
    <n v="0"/>
    <m/>
    <m/>
    <n v="0"/>
    <m/>
    <m/>
    <m/>
    <m/>
    <m/>
    <m/>
    <n v="0"/>
    <n v="0"/>
  </r>
  <r>
    <x v="8"/>
    <x v="29"/>
    <s v="Need-based (GUMS and State LEAP)"/>
    <m/>
    <m/>
    <x v="12"/>
    <m/>
    <m/>
    <m/>
    <m/>
    <m/>
    <m/>
    <m/>
    <m/>
    <n v="0"/>
    <m/>
    <m/>
    <n v="0"/>
    <n v="0"/>
    <n v="0"/>
    <n v="409880"/>
    <n v="149351"/>
    <m/>
    <m/>
    <n v="0"/>
    <m/>
    <m/>
    <n v="0"/>
    <m/>
    <m/>
    <m/>
    <m/>
    <m/>
    <m/>
    <n v="409880"/>
    <n v="149351"/>
  </r>
  <r>
    <x v="8"/>
    <x v="27"/>
    <s v="Non need-based (CGSA)"/>
    <m/>
    <m/>
    <x v="12"/>
    <m/>
    <m/>
    <m/>
    <m/>
    <m/>
    <m/>
    <m/>
    <m/>
    <n v="0"/>
    <m/>
    <m/>
    <n v="0"/>
    <n v="0"/>
    <n v="0"/>
    <n v="10742"/>
    <n v="18750"/>
    <m/>
    <m/>
    <n v="0"/>
    <m/>
    <m/>
    <n v="0"/>
    <m/>
    <m/>
    <m/>
    <m/>
    <m/>
    <m/>
    <n v="10742"/>
    <n v="18750"/>
  </r>
  <r>
    <x v="8"/>
    <x v="31"/>
    <s v="Amount to private sector students"/>
    <m/>
    <m/>
    <x v="12"/>
    <m/>
    <m/>
    <m/>
    <m/>
    <m/>
    <m/>
    <m/>
    <m/>
    <n v="0"/>
    <m/>
    <m/>
    <n v="0"/>
    <n v="0"/>
    <n v="0"/>
    <m/>
    <m/>
    <m/>
    <m/>
    <n v="0"/>
    <m/>
    <m/>
    <n v="0"/>
    <m/>
    <m/>
    <m/>
    <m/>
    <m/>
    <m/>
    <n v="0"/>
    <n v="0"/>
  </r>
  <r>
    <x v="8"/>
    <x v="32"/>
    <s v="Need-based (GUMS and State LEAP)"/>
    <m/>
    <m/>
    <x v="12"/>
    <m/>
    <m/>
    <m/>
    <m/>
    <m/>
    <m/>
    <m/>
    <m/>
    <n v="0"/>
    <m/>
    <m/>
    <n v="0"/>
    <n v="0"/>
    <n v="0"/>
    <n v="68722"/>
    <n v="2775"/>
    <m/>
    <m/>
    <n v="0"/>
    <m/>
    <m/>
    <n v="0"/>
    <m/>
    <m/>
    <m/>
    <m/>
    <m/>
    <m/>
    <n v="68722"/>
    <n v="2775"/>
  </r>
  <r>
    <x v="8"/>
    <x v="27"/>
    <s v="Non need-based (CGSA)"/>
    <m/>
    <m/>
    <x v="12"/>
    <m/>
    <m/>
    <m/>
    <m/>
    <m/>
    <m/>
    <m/>
    <m/>
    <n v="0"/>
    <m/>
    <m/>
    <n v="0"/>
    <n v="0"/>
    <n v="0"/>
    <n v="7758"/>
    <n v="1500"/>
    <m/>
    <m/>
    <n v="0"/>
    <m/>
    <m/>
    <n v="0"/>
    <m/>
    <m/>
    <m/>
    <m/>
    <m/>
    <m/>
    <n v="7758"/>
    <n v="1500"/>
  </r>
  <r>
    <x v="8"/>
    <x v="25"/>
    <s v="Critical NeedsTeacherScholarship"/>
    <m/>
    <m/>
    <x v="12"/>
    <m/>
    <m/>
    <m/>
    <m/>
    <m/>
    <m/>
    <m/>
    <m/>
    <n v="0"/>
    <m/>
    <m/>
    <n v="0"/>
    <n v="0"/>
    <n v="0"/>
    <m/>
    <m/>
    <m/>
    <m/>
    <n v="0"/>
    <m/>
    <m/>
    <n v="0"/>
    <m/>
    <m/>
    <m/>
    <m/>
    <m/>
    <m/>
    <n v="0"/>
    <n v="0"/>
  </r>
  <r>
    <x v="8"/>
    <x v="28"/>
    <s v="Amount to public sector students"/>
    <m/>
    <m/>
    <x v="12"/>
    <m/>
    <m/>
    <m/>
    <m/>
    <m/>
    <m/>
    <m/>
    <m/>
    <n v="0"/>
    <m/>
    <m/>
    <n v="0"/>
    <n v="0"/>
    <n v="0"/>
    <m/>
    <m/>
    <m/>
    <m/>
    <n v="0"/>
    <m/>
    <m/>
    <n v="0"/>
    <m/>
    <m/>
    <m/>
    <m/>
    <m/>
    <m/>
    <n v="0"/>
    <n v="0"/>
  </r>
  <r>
    <x v="8"/>
    <x v="29"/>
    <s v="Non need-based"/>
    <m/>
    <m/>
    <x v="12"/>
    <m/>
    <m/>
    <m/>
    <m/>
    <m/>
    <m/>
    <m/>
    <m/>
    <n v="0"/>
    <m/>
    <m/>
    <n v="0"/>
    <n v="0"/>
    <n v="0"/>
    <n v="1803042"/>
    <n v="2154390"/>
    <m/>
    <m/>
    <n v="0"/>
    <m/>
    <m/>
    <n v="0"/>
    <m/>
    <m/>
    <m/>
    <m/>
    <m/>
    <m/>
    <n v="1803042"/>
    <n v="2154390"/>
  </r>
  <r>
    <x v="8"/>
    <x v="27"/>
    <s v="Amount to private sector students Non need-based"/>
    <m/>
    <m/>
    <x v="12"/>
    <m/>
    <m/>
    <m/>
    <m/>
    <m/>
    <m/>
    <m/>
    <m/>
    <n v="0"/>
    <m/>
    <m/>
    <n v="0"/>
    <n v="0"/>
    <n v="0"/>
    <n v="399445"/>
    <n v="338126"/>
    <m/>
    <m/>
    <n v="0"/>
    <m/>
    <m/>
    <n v="0"/>
    <m/>
    <m/>
    <m/>
    <m/>
    <m/>
    <m/>
    <n v="399445"/>
    <n v="338126"/>
  </r>
  <r>
    <x v="8"/>
    <x v="25"/>
    <s v="MS Resident Tuition Assistance Grant"/>
    <m/>
    <m/>
    <x v="12"/>
    <m/>
    <m/>
    <m/>
    <m/>
    <m/>
    <m/>
    <m/>
    <m/>
    <n v="0"/>
    <m/>
    <m/>
    <n v="0"/>
    <n v="0"/>
    <n v="0"/>
    <m/>
    <m/>
    <m/>
    <m/>
    <n v="0"/>
    <m/>
    <m/>
    <n v="0"/>
    <m/>
    <m/>
    <m/>
    <m/>
    <m/>
    <m/>
    <n v="0"/>
    <n v="0"/>
  </r>
  <r>
    <x v="8"/>
    <x v="28"/>
    <s v="Amount to public sector students"/>
    <m/>
    <m/>
    <x v="12"/>
    <m/>
    <m/>
    <m/>
    <m/>
    <m/>
    <m/>
    <m/>
    <m/>
    <n v="0"/>
    <m/>
    <m/>
    <n v="0"/>
    <n v="0"/>
    <n v="0"/>
    <m/>
    <m/>
    <m/>
    <m/>
    <n v="0"/>
    <m/>
    <m/>
    <n v="0"/>
    <m/>
    <m/>
    <m/>
    <m/>
    <m/>
    <m/>
    <n v="0"/>
    <n v="0"/>
  </r>
  <r>
    <x v="8"/>
    <x v="30"/>
    <s v="Non need-based"/>
    <m/>
    <m/>
    <x v="12"/>
    <m/>
    <m/>
    <m/>
    <m/>
    <m/>
    <m/>
    <m/>
    <m/>
    <n v="0"/>
    <m/>
    <m/>
    <n v="0"/>
    <n v="0"/>
    <n v="0"/>
    <m/>
    <m/>
    <m/>
    <m/>
    <n v="0"/>
    <m/>
    <m/>
    <n v="0"/>
    <m/>
    <m/>
    <m/>
    <m/>
    <m/>
    <m/>
    <n v="0"/>
    <n v="0"/>
  </r>
  <r>
    <x v="8"/>
    <x v="30"/>
    <s v="Non need-based"/>
    <m/>
    <m/>
    <x v="12"/>
    <m/>
    <m/>
    <m/>
    <m/>
    <m/>
    <m/>
    <m/>
    <m/>
    <n v="0"/>
    <m/>
    <m/>
    <n v="0"/>
    <n v="0"/>
    <n v="0"/>
    <n v="12154991"/>
    <n v="12625636"/>
    <m/>
    <m/>
    <n v="0"/>
    <m/>
    <m/>
    <n v="0"/>
    <m/>
    <m/>
    <m/>
    <m/>
    <m/>
    <m/>
    <n v="12154991"/>
    <n v="12625636"/>
  </r>
  <r>
    <x v="8"/>
    <x v="31"/>
    <s v="Amount to private sector students"/>
    <m/>
    <m/>
    <x v="12"/>
    <m/>
    <m/>
    <m/>
    <m/>
    <m/>
    <m/>
    <m/>
    <m/>
    <n v="0"/>
    <m/>
    <m/>
    <n v="0"/>
    <n v="0"/>
    <n v="0"/>
    <m/>
    <m/>
    <m/>
    <m/>
    <n v="0"/>
    <m/>
    <m/>
    <n v="0"/>
    <m/>
    <m/>
    <m/>
    <m/>
    <m/>
    <m/>
    <n v="0"/>
    <n v="0"/>
  </r>
  <r>
    <x v="8"/>
    <x v="33"/>
    <s v="Non need-based"/>
    <m/>
    <m/>
    <x v="12"/>
    <m/>
    <m/>
    <m/>
    <m/>
    <m/>
    <m/>
    <m/>
    <m/>
    <n v="0"/>
    <m/>
    <m/>
    <n v="0"/>
    <n v="0"/>
    <n v="0"/>
    <n v="1498941"/>
    <n v="1348923"/>
    <m/>
    <m/>
    <n v="0"/>
    <m/>
    <m/>
    <n v="0"/>
    <m/>
    <m/>
    <m/>
    <m/>
    <m/>
    <m/>
    <n v="1498941"/>
    <n v="1348923"/>
  </r>
  <r>
    <x v="8"/>
    <x v="30"/>
    <s v="MS Eminent Scholars Grant"/>
    <m/>
    <m/>
    <x v="12"/>
    <m/>
    <m/>
    <m/>
    <m/>
    <m/>
    <m/>
    <m/>
    <m/>
    <n v="0"/>
    <m/>
    <m/>
    <n v="0"/>
    <n v="0"/>
    <n v="0"/>
    <m/>
    <m/>
    <m/>
    <m/>
    <n v="0"/>
    <m/>
    <m/>
    <n v="0"/>
    <m/>
    <m/>
    <m/>
    <m/>
    <m/>
    <m/>
    <n v="0"/>
    <n v="0"/>
  </r>
  <r>
    <x v="8"/>
    <x v="28"/>
    <s v="Amount to public sector students"/>
    <m/>
    <m/>
    <x v="12"/>
    <m/>
    <m/>
    <m/>
    <m/>
    <m/>
    <m/>
    <m/>
    <m/>
    <n v="0"/>
    <m/>
    <m/>
    <n v="0"/>
    <n v="0"/>
    <n v="0"/>
    <m/>
    <m/>
    <m/>
    <m/>
    <n v="0"/>
    <m/>
    <m/>
    <n v="0"/>
    <m/>
    <m/>
    <m/>
    <m/>
    <m/>
    <m/>
    <n v="0"/>
    <n v="0"/>
  </r>
  <r>
    <x v="8"/>
    <x v="35"/>
    <s v="Need-based"/>
    <m/>
    <m/>
    <x v="12"/>
    <m/>
    <m/>
    <m/>
    <m/>
    <m/>
    <m/>
    <m/>
    <m/>
    <n v="0"/>
    <m/>
    <m/>
    <n v="0"/>
    <n v="0"/>
    <n v="0"/>
    <m/>
    <m/>
    <m/>
    <m/>
    <n v="0"/>
    <m/>
    <m/>
    <n v="0"/>
    <m/>
    <m/>
    <m/>
    <m/>
    <m/>
    <m/>
    <n v="0"/>
    <n v="0"/>
  </r>
  <r>
    <x v="8"/>
    <x v="36"/>
    <s v="Non need-based"/>
    <m/>
    <m/>
    <x v="12"/>
    <m/>
    <m/>
    <m/>
    <m/>
    <m/>
    <m/>
    <m/>
    <m/>
    <n v="0"/>
    <m/>
    <m/>
    <n v="0"/>
    <n v="0"/>
    <n v="0"/>
    <n v="4256144"/>
    <n v="4479155"/>
    <m/>
    <m/>
    <n v="0"/>
    <m/>
    <m/>
    <n v="0"/>
    <m/>
    <m/>
    <m/>
    <m/>
    <m/>
    <m/>
    <n v="4256144"/>
    <n v="4479155"/>
  </r>
  <r>
    <x v="8"/>
    <x v="31"/>
    <s v="Amount to private sector students"/>
    <m/>
    <m/>
    <x v="12"/>
    <m/>
    <m/>
    <m/>
    <m/>
    <m/>
    <m/>
    <m/>
    <m/>
    <n v="0"/>
    <m/>
    <m/>
    <n v="0"/>
    <n v="0"/>
    <n v="0"/>
    <m/>
    <m/>
    <m/>
    <m/>
    <n v="0"/>
    <m/>
    <m/>
    <n v="0"/>
    <m/>
    <m/>
    <m/>
    <m/>
    <m/>
    <m/>
    <n v="0"/>
    <n v="0"/>
  </r>
  <r>
    <x v="8"/>
    <x v="33"/>
    <s v="Non need-based"/>
    <m/>
    <m/>
    <x v="12"/>
    <m/>
    <m/>
    <m/>
    <m/>
    <m/>
    <m/>
    <m/>
    <m/>
    <n v="0"/>
    <m/>
    <m/>
    <n v="0"/>
    <n v="0"/>
    <n v="0"/>
    <n v="876778"/>
    <n v="733750"/>
    <m/>
    <m/>
    <n v="0"/>
    <m/>
    <m/>
    <n v="0"/>
    <m/>
    <m/>
    <m/>
    <m/>
    <m/>
    <m/>
    <n v="876778"/>
    <n v="733750"/>
  </r>
  <r>
    <x v="8"/>
    <x v="28"/>
    <s v="Loan/Scholarship Programs"/>
    <m/>
    <m/>
    <x v="12"/>
    <m/>
    <m/>
    <m/>
    <m/>
    <m/>
    <m/>
    <m/>
    <m/>
    <n v="0"/>
    <m/>
    <m/>
    <n v="0"/>
    <n v="0"/>
    <n v="0"/>
    <m/>
    <m/>
    <m/>
    <m/>
    <n v="0"/>
    <m/>
    <m/>
    <n v="0"/>
    <m/>
    <m/>
    <m/>
    <m/>
    <m/>
    <m/>
    <n v="0"/>
    <n v="0"/>
  </r>
  <r>
    <x v="8"/>
    <x v="28"/>
    <s v="Mississippi Teacher Loan Repayment Program"/>
    <m/>
    <m/>
    <x v="12"/>
    <m/>
    <m/>
    <m/>
    <m/>
    <m/>
    <m/>
    <m/>
    <m/>
    <n v="0"/>
    <m/>
    <m/>
    <n v="0"/>
    <n v="0"/>
    <n v="0"/>
    <n v="604879"/>
    <n v="572679"/>
    <m/>
    <m/>
    <n v="0"/>
    <m/>
    <m/>
    <n v="0"/>
    <m/>
    <m/>
    <m/>
    <m/>
    <m/>
    <m/>
    <n v="604879"/>
    <n v="572679"/>
  </r>
  <r>
    <x v="8"/>
    <x v="28"/>
    <s v="Amount to public sector students"/>
    <m/>
    <m/>
    <x v="12"/>
    <m/>
    <m/>
    <m/>
    <m/>
    <m/>
    <m/>
    <m/>
    <m/>
    <n v="0"/>
    <m/>
    <m/>
    <n v="0"/>
    <n v="0"/>
    <n v="0"/>
    <m/>
    <m/>
    <m/>
    <m/>
    <n v="0"/>
    <m/>
    <m/>
    <n v="0"/>
    <m/>
    <m/>
    <m/>
    <m/>
    <m/>
    <m/>
    <n v="0"/>
    <n v="0"/>
  </r>
  <r>
    <x v="8"/>
    <x v="36"/>
    <s v="Non need-based"/>
    <m/>
    <m/>
    <x v="12"/>
    <m/>
    <m/>
    <m/>
    <m/>
    <m/>
    <m/>
    <m/>
    <m/>
    <n v="0"/>
    <m/>
    <m/>
    <n v="0"/>
    <n v="0"/>
    <n v="0"/>
    <n v="3168863"/>
    <n v="2956710"/>
    <m/>
    <m/>
    <n v="0"/>
    <m/>
    <m/>
    <n v="0"/>
    <m/>
    <m/>
    <m/>
    <m/>
    <m/>
    <m/>
    <n v="3168863"/>
    <n v="2956710"/>
  </r>
  <r>
    <x v="8"/>
    <x v="31"/>
    <s v="Amount to private sector students"/>
    <m/>
    <m/>
    <x v="12"/>
    <m/>
    <m/>
    <m/>
    <m/>
    <m/>
    <m/>
    <m/>
    <m/>
    <n v="0"/>
    <m/>
    <m/>
    <n v="0"/>
    <n v="0"/>
    <n v="0"/>
    <m/>
    <m/>
    <m/>
    <m/>
    <n v="0"/>
    <m/>
    <m/>
    <n v="0"/>
    <m/>
    <m/>
    <m/>
    <m/>
    <m/>
    <m/>
    <n v="0"/>
    <n v="0"/>
  </r>
  <r>
    <x v="8"/>
    <x v="33"/>
    <s v="Non need-based"/>
    <m/>
    <m/>
    <x v="12"/>
    <m/>
    <m/>
    <m/>
    <m/>
    <m/>
    <m/>
    <m/>
    <m/>
    <n v="0"/>
    <m/>
    <m/>
    <n v="0"/>
    <n v="0"/>
    <n v="0"/>
    <n v="846359"/>
    <n v="837362"/>
    <m/>
    <m/>
    <n v="0"/>
    <m/>
    <m/>
    <n v="0"/>
    <m/>
    <m/>
    <m/>
    <m/>
    <m/>
    <m/>
    <n v="846359"/>
    <n v="837362"/>
  </r>
  <r>
    <x v="8"/>
    <x v="34"/>
    <s v="Limited to public college students only"/>
    <m/>
    <m/>
    <x v="12"/>
    <m/>
    <m/>
    <m/>
    <m/>
    <m/>
    <m/>
    <m/>
    <m/>
    <n v="0"/>
    <m/>
    <m/>
    <n v="0"/>
    <n v="0"/>
    <n v="0"/>
    <m/>
    <m/>
    <m/>
    <m/>
    <n v="0"/>
    <m/>
    <m/>
    <n v="0"/>
    <m/>
    <m/>
    <m/>
    <m/>
    <m/>
    <m/>
    <n v="0"/>
    <n v="0"/>
  </r>
  <r>
    <x v="8"/>
    <x v="35"/>
    <s v="Need-based (SUMD)"/>
    <m/>
    <m/>
    <x v="12"/>
    <m/>
    <m/>
    <m/>
    <m/>
    <m/>
    <m/>
    <m/>
    <m/>
    <n v="0"/>
    <m/>
    <m/>
    <n v="0"/>
    <n v="0"/>
    <n v="0"/>
    <n v="750000"/>
    <n v="750000"/>
    <m/>
    <m/>
    <n v="0"/>
    <m/>
    <m/>
    <n v="0"/>
    <m/>
    <m/>
    <m/>
    <m/>
    <m/>
    <m/>
    <n v="750000"/>
    <n v="750000"/>
  </r>
  <r>
    <x v="8"/>
    <x v="36"/>
    <s v="Non need-based (DENT, LAW, MED,PMGT, SDSP, VMMP,NISS)"/>
    <m/>
    <m/>
    <x v="12"/>
    <m/>
    <m/>
    <m/>
    <m/>
    <m/>
    <m/>
    <m/>
    <m/>
    <n v="0"/>
    <m/>
    <m/>
    <n v="0"/>
    <n v="0"/>
    <n v="0"/>
    <n v="612078"/>
    <n v="736874"/>
    <m/>
    <m/>
    <n v="0"/>
    <m/>
    <m/>
    <n v="0"/>
    <m/>
    <m/>
    <m/>
    <m/>
    <m/>
    <m/>
    <n v="612078"/>
    <n v="736874"/>
  </r>
  <r>
    <x v="8"/>
    <x v="34"/>
    <s v="Limited to private college students only"/>
    <m/>
    <m/>
    <x v="12"/>
    <m/>
    <m/>
    <m/>
    <m/>
    <m/>
    <m/>
    <m/>
    <m/>
    <n v="0"/>
    <m/>
    <m/>
    <n v="0"/>
    <n v="0"/>
    <n v="0"/>
    <m/>
    <m/>
    <m/>
    <m/>
    <n v="0"/>
    <m/>
    <m/>
    <n v="0"/>
    <m/>
    <m/>
    <m/>
    <m/>
    <m/>
    <m/>
    <n v="0"/>
    <n v="0"/>
  </r>
  <r>
    <x v="8"/>
    <x v="35"/>
    <s v="Need-based"/>
    <m/>
    <m/>
    <x v="12"/>
    <m/>
    <m/>
    <m/>
    <m/>
    <m/>
    <m/>
    <m/>
    <m/>
    <n v="0"/>
    <m/>
    <m/>
    <n v="0"/>
    <n v="0"/>
    <n v="0"/>
    <m/>
    <m/>
    <m/>
    <m/>
    <n v="0"/>
    <m/>
    <m/>
    <n v="0"/>
    <m/>
    <m/>
    <m/>
    <m/>
    <m/>
    <m/>
    <n v="0"/>
    <n v="0"/>
  </r>
  <r>
    <x v="8"/>
    <x v="36"/>
    <s v="Non need-based (STSC)"/>
    <m/>
    <m/>
    <x v="12"/>
    <m/>
    <m/>
    <m/>
    <m/>
    <m/>
    <m/>
    <m/>
    <m/>
    <n v="0"/>
    <m/>
    <m/>
    <n v="0"/>
    <n v="0"/>
    <n v="0"/>
    <n v="54349"/>
    <n v="34103"/>
    <m/>
    <m/>
    <n v="0"/>
    <m/>
    <m/>
    <n v="0"/>
    <m/>
    <m/>
    <m/>
    <m/>
    <m/>
    <m/>
    <n v="54349"/>
    <n v="34103"/>
  </r>
  <r>
    <x v="8"/>
    <x v="0"/>
    <s v="Hinds Community College "/>
    <m/>
    <n v="175786"/>
    <x v="6"/>
    <n v="26321884"/>
    <n v="31962657"/>
    <m/>
    <m/>
    <n v="10557200"/>
    <n v="10913365"/>
    <n v="29865000"/>
    <m/>
    <n v="29865000"/>
    <n v="26856327"/>
    <m/>
    <n v="26856327"/>
    <n v="66744084"/>
    <n v="69732349"/>
    <m/>
    <m/>
    <m/>
    <m/>
    <n v="0"/>
    <m/>
    <m/>
    <n v="0"/>
    <m/>
    <m/>
    <m/>
    <m/>
    <m/>
    <m/>
    <n v="66744084"/>
    <n v="69732349"/>
  </r>
  <r>
    <x v="8"/>
    <x v="8"/>
    <s v="Special line items for education operations"/>
    <m/>
    <n v="175786"/>
    <x v="6"/>
    <m/>
    <m/>
    <m/>
    <m/>
    <m/>
    <m/>
    <m/>
    <m/>
    <n v="0"/>
    <m/>
    <m/>
    <n v="0"/>
    <n v="0"/>
    <n v="0"/>
    <m/>
    <m/>
    <m/>
    <m/>
    <n v="0"/>
    <m/>
    <m/>
    <n v="0"/>
    <m/>
    <m/>
    <m/>
    <m/>
    <m/>
    <m/>
    <n v="0"/>
    <n v="0"/>
  </r>
  <r>
    <x v="8"/>
    <x v="8"/>
    <s v="Post-Secondary Vocational Education"/>
    <m/>
    <n v="175786"/>
    <x v="6"/>
    <m/>
    <m/>
    <n v="4859119"/>
    <n v="4823579.1100000003"/>
    <m/>
    <m/>
    <m/>
    <m/>
    <n v="0"/>
    <m/>
    <m/>
    <n v="0"/>
    <n v="4859119"/>
    <n v="4823579.1100000003"/>
    <m/>
    <m/>
    <m/>
    <m/>
    <n v="0"/>
    <m/>
    <m/>
    <n v="0"/>
    <m/>
    <m/>
    <m/>
    <m/>
    <m/>
    <m/>
    <n v="4859119"/>
    <n v="4823579.1100000003"/>
  </r>
  <r>
    <x v="8"/>
    <x v="0"/>
    <s v="Itawamba Community College "/>
    <m/>
    <n v="175829"/>
    <x v="6"/>
    <n v="17472799"/>
    <n v="19980530"/>
    <m/>
    <m/>
    <n v="5272252"/>
    <n v="5403450"/>
    <n v="15380249"/>
    <m/>
    <n v="15380249"/>
    <n v="12886497"/>
    <m/>
    <n v="12886497"/>
    <n v="38125300"/>
    <n v="38270477"/>
    <m/>
    <m/>
    <m/>
    <m/>
    <n v="0"/>
    <m/>
    <m/>
    <n v="0"/>
    <m/>
    <m/>
    <m/>
    <m/>
    <m/>
    <m/>
    <n v="38125300"/>
    <n v="38270477"/>
  </r>
  <r>
    <x v="8"/>
    <x v="8"/>
    <s v="Special line items for education operations"/>
    <m/>
    <n v="175829"/>
    <x v="6"/>
    <m/>
    <m/>
    <m/>
    <m/>
    <m/>
    <m/>
    <m/>
    <m/>
    <n v="0"/>
    <m/>
    <m/>
    <n v="0"/>
    <n v="0"/>
    <n v="0"/>
    <m/>
    <m/>
    <m/>
    <m/>
    <n v="0"/>
    <m/>
    <m/>
    <n v="0"/>
    <m/>
    <m/>
    <m/>
    <m/>
    <m/>
    <m/>
    <n v="0"/>
    <n v="0"/>
  </r>
  <r>
    <x v="8"/>
    <x v="8"/>
    <s v="Post-Secondary Vocational Education"/>
    <m/>
    <n v="175830"/>
    <x v="6"/>
    <m/>
    <m/>
    <n v="1806201"/>
    <n v="1737998"/>
    <m/>
    <m/>
    <m/>
    <m/>
    <n v="0"/>
    <m/>
    <m/>
    <n v="0"/>
    <n v="1806201"/>
    <n v="1737998"/>
    <m/>
    <m/>
    <m/>
    <m/>
    <n v="0"/>
    <m/>
    <m/>
    <n v="0"/>
    <m/>
    <m/>
    <m/>
    <m/>
    <m/>
    <m/>
    <n v="1806201"/>
    <n v="1737998"/>
  </r>
  <r>
    <x v="8"/>
    <x v="0"/>
    <s v="Mississippi Gulf Coast Community College "/>
    <m/>
    <n v="176071"/>
    <x v="6"/>
    <n v="19789947"/>
    <n v="24832784"/>
    <m/>
    <m/>
    <n v="8856106"/>
    <n v="8869426"/>
    <n v="27848631"/>
    <m/>
    <n v="27848631"/>
    <n v="27426798"/>
    <m/>
    <n v="27426798"/>
    <n v="56494684"/>
    <n v="61129008"/>
    <m/>
    <m/>
    <m/>
    <m/>
    <n v="0"/>
    <m/>
    <m/>
    <n v="0"/>
    <m/>
    <m/>
    <m/>
    <m/>
    <m/>
    <m/>
    <n v="56494684"/>
    <n v="61129008"/>
  </r>
  <r>
    <x v="8"/>
    <x v="8"/>
    <s v="Special line items for education operations"/>
    <m/>
    <n v="176071"/>
    <x v="6"/>
    <m/>
    <m/>
    <m/>
    <m/>
    <m/>
    <m/>
    <m/>
    <m/>
    <n v="0"/>
    <m/>
    <m/>
    <n v="0"/>
    <n v="0"/>
    <n v="0"/>
    <m/>
    <m/>
    <m/>
    <m/>
    <n v="0"/>
    <m/>
    <m/>
    <n v="0"/>
    <m/>
    <m/>
    <m/>
    <m/>
    <m/>
    <m/>
    <n v="0"/>
    <n v="0"/>
  </r>
  <r>
    <x v="8"/>
    <x v="8"/>
    <s v="Post-Secondary Vocational Education"/>
    <m/>
    <n v="176071"/>
    <x v="6"/>
    <m/>
    <m/>
    <n v="2919817"/>
    <n v="2837671"/>
    <m/>
    <m/>
    <m/>
    <m/>
    <n v="0"/>
    <m/>
    <m/>
    <n v="0"/>
    <n v="2919817"/>
    <n v="2837671"/>
    <m/>
    <m/>
    <m/>
    <m/>
    <n v="0"/>
    <m/>
    <m/>
    <n v="0"/>
    <m/>
    <m/>
    <m/>
    <m/>
    <m/>
    <m/>
    <n v="2919817"/>
    <n v="2837671"/>
  </r>
  <r>
    <x v="8"/>
    <x v="0"/>
    <s v="Northwest Mississippi Community College "/>
    <m/>
    <n v="176178"/>
    <x v="6"/>
    <n v="16762284"/>
    <n v="20834919"/>
    <m/>
    <m/>
    <n v="5061003"/>
    <n v="5011974"/>
    <n v="16477224"/>
    <m/>
    <n v="16477224"/>
    <n v="15054783"/>
    <m/>
    <n v="15054783"/>
    <n v="38300511"/>
    <n v="40901676"/>
    <m/>
    <m/>
    <m/>
    <m/>
    <n v="0"/>
    <m/>
    <m/>
    <n v="0"/>
    <m/>
    <m/>
    <m/>
    <m/>
    <m/>
    <m/>
    <n v="38300511"/>
    <n v="40901676"/>
  </r>
  <r>
    <x v="8"/>
    <x v="8"/>
    <s v="Special line items for education operations"/>
    <m/>
    <n v="176178"/>
    <x v="6"/>
    <m/>
    <m/>
    <m/>
    <m/>
    <m/>
    <m/>
    <m/>
    <m/>
    <n v="0"/>
    <m/>
    <m/>
    <n v="0"/>
    <n v="0"/>
    <n v="0"/>
    <m/>
    <m/>
    <m/>
    <m/>
    <n v="0"/>
    <m/>
    <m/>
    <n v="0"/>
    <m/>
    <m/>
    <m/>
    <m/>
    <m/>
    <m/>
    <n v="0"/>
    <n v="0"/>
  </r>
  <r>
    <x v="8"/>
    <x v="8"/>
    <s v="Post-Secondary Vocational Education"/>
    <m/>
    <n v="176178"/>
    <x v="6"/>
    <m/>
    <m/>
    <n v="2071285.82"/>
    <n v="2053554"/>
    <m/>
    <m/>
    <m/>
    <m/>
    <n v="0"/>
    <m/>
    <m/>
    <n v="0"/>
    <n v="2071285.82"/>
    <n v="2053554"/>
    <m/>
    <m/>
    <m/>
    <m/>
    <n v="0"/>
    <m/>
    <m/>
    <n v="0"/>
    <m/>
    <m/>
    <m/>
    <m/>
    <m/>
    <m/>
    <n v="2071285.82"/>
    <n v="2053554"/>
  </r>
  <r>
    <x v="8"/>
    <x v="0"/>
    <s v="Copiah-Lincoln Community College "/>
    <m/>
    <n v="175573"/>
    <x v="7"/>
    <n v="9071584"/>
    <n v="10966425"/>
    <m/>
    <m/>
    <n v="2328526"/>
    <n v="2337749"/>
    <n v="8436572"/>
    <m/>
    <n v="8436572"/>
    <n v="7436279"/>
    <m/>
    <n v="7436279"/>
    <n v="19836682"/>
    <n v="20740453"/>
    <m/>
    <m/>
    <m/>
    <m/>
    <n v="0"/>
    <m/>
    <m/>
    <n v="0"/>
    <m/>
    <m/>
    <m/>
    <m/>
    <m/>
    <m/>
    <n v="19836682"/>
    <n v="20740453"/>
  </r>
  <r>
    <x v="8"/>
    <x v="8"/>
    <s v="Special line items for education operations"/>
    <m/>
    <n v="175573"/>
    <x v="7"/>
    <m/>
    <m/>
    <m/>
    <m/>
    <m/>
    <m/>
    <m/>
    <m/>
    <n v="0"/>
    <m/>
    <m/>
    <n v="0"/>
    <n v="0"/>
    <n v="0"/>
    <m/>
    <m/>
    <m/>
    <m/>
    <n v="0"/>
    <m/>
    <m/>
    <n v="0"/>
    <m/>
    <m/>
    <m/>
    <m/>
    <m/>
    <m/>
    <n v="0"/>
    <n v="0"/>
  </r>
  <r>
    <x v="8"/>
    <x v="8"/>
    <s v="Post-Secondary Vocational Education"/>
    <m/>
    <n v="175573"/>
    <x v="7"/>
    <m/>
    <m/>
    <n v="1426014.75"/>
    <n v="1399332.6"/>
    <m/>
    <m/>
    <m/>
    <m/>
    <n v="0"/>
    <m/>
    <m/>
    <n v="0"/>
    <n v="1426014.75"/>
    <n v="1399332.6"/>
    <m/>
    <m/>
    <m/>
    <m/>
    <n v="0"/>
    <m/>
    <m/>
    <n v="0"/>
    <m/>
    <m/>
    <m/>
    <m/>
    <m/>
    <m/>
    <n v="1426014.75"/>
    <n v="1399332.6"/>
  </r>
  <r>
    <x v="8"/>
    <x v="0"/>
    <s v="East Central Community College "/>
    <m/>
    <n v="175643"/>
    <x v="7"/>
    <n v="7104666"/>
    <n v="8912404"/>
    <m/>
    <m/>
    <n v="1280445"/>
    <n v="1314122"/>
    <n v="6026037"/>
    <m/>
    <n v="6026037"/>
    <n v="5547235"/>
    <m/>
    <n v="5547235"/>
    <n v="14411148"/>
    <n v="15773761"/>
    <m/>
    <m/>
    <m/>
    <m/>
    <n v="0"/>
    <m/>
    <m/>
    <n v="0"/>
    <m/>
    <m/>
    <m/>
    <m/>
    <m/>
    <m/>
    <n v="14411148"/>
    <n v="15773761"/>
  </r>
  <r>
    <x v="8"/>
    <x v="8"/>
    <s v="Special line items for education operations"/>
    <m/>
    <n v="175643"/>
    <x v="7"/>
    <m/>
    <m/>
    <m/>
    <m/>
    <m/>
    <m/>
    <m/>
    <m/>
    <n v="0"/>
    <m/>
    <m/>
    <n v="0"/>
    <n v="0"/>
    <n v="0"/>
    <m/>
    <m/>
    <m/>
    <m/>
    <n v="0"/>
    <m/>
    <m/>
    <n v="0"/>
    <m/>
    <m/>
    <m/>
    <m/>
    <m/>
    <m/>
    <n v="0"/>
    <n v="0"/>
  </r>
  <r>
    <x v="8"/>
    <x v="8"/>
    <s v="Post-Secondary Vocational Education"/>
    <m/>
    <n v="175643"/>
    <x v="7"/>
    <m/>
    <m/>
    <n v="1110107"/>
    <n v="1054647"/>
    <m/>
    <m/>
    <m/>
    <m/>
    <n v="0"/>
    <m/>
    <m/>
    <n v="0"/>
    <n v="1110107"/>
    <n v="1054647"/>
    <m/>
    <m/>
    <m/>
    <m/>
    <n v="0"/>
    <m/>
    <m/>
    <n v="0"/>
    <m/>
    <m/>
    <m/>
    <m/>
    <m/>
    <m/>
    <n v="1110107"/>
    <n v="1054647"/>
  </r>
  <r>
    <x v="8"/>
    <x v="0"/>
    <s v="East Mississippi Community College "/>
    <m/>
    <n v="175652"/>
    <x v="7"/>
    <n v="10884096"/>
    <n v="13349241"/>
    <m/>
    <m/>
    <n v="1634550"/>
    <n v="1705200"/>
    <n v="14984249"/>
    <m/>
    <n v="14984249"/>
    <n v="15035262"/>
    <m/>
    <n v="15035262"/>
    <n v="27502895"/>
    <n v="30089703"/>
    <m/>
    <m/>
    <m/>
    <m/>
    <n v="0"/>
    <m/>
    <m/>
    <n v="0"/>
    <m/>
    <m/>
    <m/>
    <m/>
    <m/>
    <m/>
    <n v="27502895"/>
    <n v="30089703"/>
  </r>
  <r>
    <x v="8"/>
    <x v="8"/>
    <s v="Special line items for education operations"/>
    <m/>
    <n v="175652"/>
    <x v="7"/>
    <m/>
    <m/>
    <m/>
    <m/>
    <m/>
    <m/>
    <m/>
    <m/>
    <n v="0"/>
    <m/>
    <m/>
    <n v="0"/>
    <n v="0"/>
    <n v="0"/>
    <m/>
    <m/>
    <m/>
    <m/>
    <n v="0"/>
    <m/>
    <m/>
    <n v="0"/>
    <m/>
    <m/>
    <m/>
    <m/>
    <m/>
    <m/>
    <n v="0"/>
    <n v="0"/>
  </r>
  <r>
    <x v="8"/>
    <x v="8"/>
    <s v="Post-Secondary Vocational Education"/>
    <m/>
    <n v="175652"/>
    <x v="7"/>
    <m/>
    <m/>
    <n v="924537.22"/>
    <n v="1063798.06"/>
    <m/>
    <m/>
    <m/>
    <m/>
    <n v="0"/>
    <m/>
    <m/>
    <n v="0"/>
    <n v="924537.22"/>
    <n v="1063798.06"/>
    <m/>
    <m/>
    <m/>
    <m/>
    <n v="0"/>
    <m/>
    <m/>
    <n v="0"/>
    <m/>
    <m/>
    <m/>
    <m/>
    <m/>
    <m/>
    <n v="924537.22"/>
    <n v="1063798.06"/>
  </r>
  <r>
    <x v="8"/>
    <x v="0"/>
    <s v="Holmes Community College "/>
    <s v="Met criteria for Two-Year 1 in 2012-13."/>
    <n v="175810"/>
    <x v="7"/>
    <n v="13265618"/>
    <n v="16891483"/>
    <m/>
    <m/>
    <n v="2618026"/>
    <n v="2626323"/>
    <n v="15673332"/>
    <m/>
    <n v="15673332"/>
    <n v="15334415"/>
    <m/>
    <n v="15334415"/>
    <n v="31556976"/>
    <n v="34852221"/>
    <m/>
    <m/>
    <m/>
    <m/>
    <n v="0"/>
    <m/>
    <m/>
    <n v="0"/>
    <m/>
    <m/>
    <m/>
    <m/>
    <m/>
    <m/>
    <n v="31556976"/>
    <n v="34852221"/>
  </r>
  <r>
    <x v="8"/>
    <x v="8"/>
    <s v="Special line items for education operations"/>
    <m/>
    <n v="175810"/>
    <x v="7"/>
    <m/>
    <m/>
    <m/>
    <m/>
    <m/>
    <m/>
    <m/>
    <m/>
    <n v="0"/>
    <m/>
    <m/>
    <n v="0"/>
    <n v="0"/>
    <n v="0"/>
    <m/>
    <m/>
    <m/>
    <m/>
    <n v="0"/>
    <m/>
    <m/>
    <n v="0"/>
    <m/>
    <m/>
    <m/>
    <m/>
    <m/>
    <m/>
    <n v="0"/>
    <n v="0"/>
  </r>
  <r>
    <x v="8"/>
    <x v="8"/>
    <s v="Post-Secondary Vocational Education"/>
    <m/>
    <n v="175810"/>
    <x v="7"/>
    <m/>
    <m/>
    <n v="1582542.32"/>
    <n v="1680006"/>
    <m/>
    <m/>
    <m/>
    <m/>
    <n v="0"/>
    <m/>
    <m/>
    <n v="0"/>
    <n v="1582542.32"/>
    <n v="1680006"/>
    <m/>
    <m/>
    <m/>
    <m/>
    <n v="0"/>
    <m/>
    <m/>
    <n v="0"/>
    <m/>
    <m/>
    <m/>
    <m/>
    <m/>
    <m/>
    <n v="1582542.32"/>
    <n v="1680006"/>
  </r>
  <r>
    <x v="8"/>
    <x v="0"/>
    <s v="Jones County Junior College "/>
    <m/>
    <n v="175883"/>
    <x v="7"/>
    <n v="12163522"/>
    <n v="13963867"/>
    <m/>
    <m/>
    <n v="2309706"/>
    <n v="3072308"/>
    <n v="12265958"/>
    <m/>
    <n v="12265958"/>
    <n v="11279073"/>
    <m/>
    <n v="11279073"/>
    <n v="26739186"/>
    <n v="28315248"/>
    <m/>
    <m/>
    <m/>
    <m/>
    <n v="0"/>
    <m/>
    <m/>
    <n v="0"/>
    <m/>
    <m/>
    <m/>
    <m/>
    <m/>
    <m/>
    <n v="26739186"/>
    <n v="28315248"/>
  </r>
  <r>
    <x v="8"/>
    <x v="8"/>
    <s v="Special line items for education operations"/>
    <m/>
    <n v="175883"/>
    <x v="7"/>
    <m/>
    <m/>
    <m/>
    <m/>
    <m/>
    <m/>
    <m/>
    <m/>
    <n v="0"/>
    <m/>
    <m/>
    <n v="0"/>
    <n v="0"/>
    <n v="0"/>
    <m/>
    <m/>
    <m/>
    <m/>
    <n v="0"/>
    <m/>
    <m/>
    <n v="0"/>
    <m/>
    <m/>
    <m/>
    <m/>
    <m/>
    <m/>
    <n v="0"/>
    <n v="0"/>
  </r>
  <r>
    <x v="8"/>
    <x v="8"/>
    <s v="Post-Secondary Vocational Education"/>
    <m/>
    <n v="175884"/>
    <x v="7"/>
    <m/>
    <m/>
    <n v="1822570"/>
    <n v="1645640.65"/>
    <m/>
    <m/>
    <m/>
    <m/>
    <n v="0"/>
    <m/>
    <m/>
    <n v="0"/>
    <n v="1822570"/>
    <n v="1645640.65"/>
    <m/>
    <m/>
    <m/>
    <m/>
    <n v="0"/>
    <m/>
    <m/>
    <n v="0"/>
    <m/>
    <m/>
    <m/>
    <m/>
    <m/>
    <m/>
    <n v="1822570"/>
    <n v="1645640.65"/>
  </r>
  <r>
    <x v="8"/>
    <x v="0"/>
    <s v="Meridian Community College "/>
    <m/>
    <n v="175935"/>
    <x v="7"/>
    <n v="9525555"/>
    <n v="12055140"/>
    <m/>
    <m/>
    <n v="1971386"/>
    <n v="2197459"/>
    <n v="9927148"/>
    <m/>
    <n v="9927148"/>
    <n v="9272341"/>
    <m/>
    <n v="9272341"/>
    <n v="21424089"/>
    <n v="23524940"/>
    <m/>
    <m/>
    <m/>
    <m/>
    <n v="0"/>
    <m/>
    <m/>
    <n v="0"/>
    <m/>
    <m/>
    <m/>
    <m/>
    <m/>
    <m/>
    <n v="21424089"/>
    <n v="23524940"/>
  </r>
  <r>
    <x v="8"/>
    <x v="8"/>
    <s v="Special line items for education operations"/>
    <m/>
    <n v="175935"/>
    <x v="7"/>
    <m/>
    <m/>
    <m/>
    <m/>
    <m/>
    <m/>
    <m/>
    <m/>
    <n v="0"/>
    <m/>
    <m/>
    <n v="0"/>
    <n v="0"/>
    <n v="0"/>
    <m/>
    <m/>
    <m/>
    <m/>
    <n v="0"/>
    <m/>
    <m/>
    <n v="0"/>
    <m/>
    <m/>
    <m/>
    <m/>
    <m/>
    <m/>
    <n v="0"/>
    <n v="0"/>
  </r>
  <r>
    <x v="8"/>
    <x v="8"/>
    <s v="Post-Secondary Vocational Education"/>
    <m/>
    <n v="175935"/>
    <x v="7"/>
    <m/>
    <m/>
    <n v="1456697"/>
    <n v="1573512.86"/>
    <m/>
    <m/>
    <m/>
    <m/>
    <n v="0"/>
    <m/>
    <m/>
    <n v="0"/>
    <n v="1456697"/>
    <n v="1573512.86"/>
    <m/>
    <m/>
    <m/>
    <m/>
    <n v="0"/>
    <m/>
    <m/>
    <n v="0"/>
    <m/>
    <m/>
    <m/>
    <m/>
    <m/>
    <m/>
    <n v="1456697"/>
    <n v="1573512.86"/>
  </r>
  <r>
    <x v="8"/>
    <x v="0"/>
    <s v="Mississippi Delta Community College "/>
    <m/>
    <n v="176008"/>
    <x v="7"/>
    <n v="8555440"/>
    <n v="10443742"/>
    <m/>
    <m/>
    <n v="2021226"/>
    <n v="2026043"/>
    <n v="8928138"/>
    <m/>
    <n v="8928138"/>
    <n v="8504974"/>
    <m/>
    <n v="8504974"/>
    <n v="19504804"/>
    <n v="20974759"/>
    <m/>
    <m/>
    <m/>
    <m/>
    <n v="0"/>
    <m/>
    <m/>
    <n v="0"/>
    <m/>
    <m/>
    <m/>
    <m/>
    <m/>
    <m/>
    <n v="19504804"/>
    <n v="20974759"/>
  </r>
  <r>
    <x v="8"/>
    <x v="8"/>
    <s v="Special line items for education operations"/>
    <m/>
    <n v="176008"/>
    <x v="7"/>
    <m/>
    <m/>
    <m/>
    <m/>
    <m/>
    <m/>
    <m/>
    <m/>
    <n v="0"/>
    <m/>
    <m/>
    <n v="0"/>
    <n v="0"/>
    <n v="0"/>
    <m/>
    <m/>
    <m/>
    <m/>
    <n v="0"/>
    <m/>
    <m/>
    <n v="0"/>
    <m/>
    <m/>
    <m/>
    <m/>
    <m/>
    <m/>
    <n v="0"/>
    <n v="0"/>
  </r>
  <r>
    <x v="8"/>
    <x v="8"/>
    <s v="Post-Secondary Vocational Education"/>
    <m/>
    <n v="176008"/>
    <x v="7"/>
    <m/>
    <m/>
    <n v="1026143"/>
    <n v="1000323.8"/>
    <m/>
    <m/>
    <m/>
    <m/>
    <n v="0"/>
    <m/>
    <m/>
    <n v="0"/>
    <n v="1026143"/>
    <n v="1000323.8"/>
    <m/>
    <m/>
    <m/>
    <m/>
    <n v="0"/>
    <m/>
    <m/>
    <n v="0"/>
    <m/>
    <m/>
    <m/>
    <m/>
    <m/>
    <m/>
    <n v="1026143"/>
    <n v="1000323.8"/>
  </r>
  <r>
    <x v="8"/>
    <x v="0"/>
    <s v="Northeast Mississippi Community College "/>
    <m/>
    <n v="176169"/>
    <x v="7"/>
    <n v="8867145"/>
    <n v="11324671"/>
    <m/>
    <m/>
    <n v="1458328"/>
    <n v="1463562"/>
    <n v="8625611"/>
    <m/>
    <n v="8625611"/>
    <n v="7929723"/>
    <m/>
    <n v="7929723"/>
    <n v="18951084"/>
    <n v="20717956"/>
    <m/>
    <m/>
    <m/>
    <m/>
    <n v="0"/>
    <m/>
    <m/>
    <n v="0"/>
    <m/>
    <m/>
    <m/>
    <m/>
    <m/>
    <m/>
    <n v="18951084"/>
    <n v="20717956"/>
  </r>
  <r>
    <x v="8"/>
    <x v="8"/>
    <s v="Special line items for education operations"/>
    <m/>
    <n v="176169"/>
    <x v="7"/>
    <m/>
    <m/>
    <m/>
    <m/>
    <m/>
    <m/>
    <m/>
    <m/>
    <n v="0"/>
    <m/>
    <m/>
    <n v="0"/>
    <n v="0"/>
    <n v="0"/>
    <m/>
    <m/>
    <m/>
    <m/>
    <n v="0"/>
    <m/>
    <m/>
    <n v="0"/>
    <m/>
    <m/>
    <m/>
    <m/>
    <m/>
    <m/>
    <n v="0"/>
    <n v="0"/>
  </r>
  <r>
    <x v="8"/>
    <x v="8"/>
    <s v="Post-Secondary Vocational Education"/>
    <m/>
    <n v="176169"/>
    <x v="7"/>
    <m/>
    <m/>
    <n v="1242685"/>
    <n v="1286768"/>
    <m/>
    <m/>
    <m/>
    <m/>
    <n v="0"/>
    <m/>
    <m/>
    <n v="0"/>
    <n v="1242685"/>
    <n v="1286768"/>
    <m/>
    <m/>
    <m/>
    <m/>
    <n v="0"/>
    <m/>
    <m/>
    <n v="0"/>
    <m/>
    <m/>
    <m/>
    <m/>
    <m/>
    <m/>
    <n v="1242685"/>
    <n v="1286768"/>
  </r>
  <r>
    <x v="8"/>
    <x v="0"/>
    <s v="Pearl River Community College "/>
    <m/>
    <n v="176239"/>
    <x v="7"/>
    <n v="11446392"/>
    <n v="14417385"/>
    <m/>
    <m/>
    <n v="3156587"/>
    <n v="3156587"/>
    <n v="12464186"/>
    <m/>
    <n v="12464186"/>
    <n v="13584101"/>
    <m/>
    <n v="13584101"/>
    <n v="27067165"/>
    <n v="31158073"/>
    <m/>
    <m/>
    <m/>
    <m/>
    <n v="0"/>
    <m/>
    <m/>
    <n v="0"/>
    <m/>
    <m/>
    <m/>
    <m/>
    <m/>
    <m/>
    <n v="27067165"/>
    <n v="31158073"/>
  </r>
  <r>
    <x v="8"/>
    <x v="8"/>
    <s v="Special line items for education operations"/>
    <m/>
    <n v="176239"/>
    <x v="7"/>
    <m/>
    <m/>
    <m/>
    <m/>
    <m/>
    <m/>
    <m/>
    <m/>
    <n v="0"/>
    <m/>
    <m/>
    <n v="0"/>
    <n v="0"/>
    <n v="0"/>
    <m/>
    <m/>
    <m/>
    <m/>
    <n v="0"/>
    <m/>
    <m/>
    <n v="0"/>
    <m/>
    <m/>
    <m/>
    <m/>
    <m/>
    <m/>
    <n v="0"/>
    <n v="0"/>
  </r>
  <r>
    <x v="8"/>
    <x v="8"/>
    <s v="Post-Secondary Vocational Education"/>
    <m/>
    <n v="176239"/>
    <x v="7"/>
    <m/>
    <m/>
    <n v="2011975"/>
    <n v="2090189.4"/>
    <m/>
    <m/>
    <m/>
    <m/>
    <n v="0"/>
    <m/>
    <m/>
    <n v="0"/>
    <n v="2011975"/>
    <n v="2090189.4"/>
    <m/>
    <m/>
    <m/>
    <m/>
    <n v="0"/>
    <m/>
    <m/>
    <n v="0"/>
    <m/>
    <m/>
    <m/>
    <m/>
    <m/>
    <m/>
    <n v="2011975"/>
    <n v="2090189.4"/>
  </r>
  <r>
    <x v="8"/>
    <x v="0"/>
    <s v="Coahoma Community College "/>
    <m/>
    <n v="175519"/>
    <x v="8"/>
    <n v="6452924"/>
    <n v="8271194"/>
    <m/>
    <m/>
    <n v="1879639"/>
    <n v="1911927"/>
    <n v="5974835"/>
    <m/>
    <n v="5974835"/>
    <n v="5349623"/>
    <m/>
    <n v="5349623"/>
    <n v="14307398"/>
    <n v="15532744"/>
    <m/>
    <m/>
    <m/>
    <m/>
    <n v="0"/>
    <m/>
    <m/>
    <n v="0"/>
    <m/>
    <m/>
    <m/>
    <m/>
    <m/>
    <m/>
    <n v="14307398"/>
    <n v="15532744"/>
  </r>
  <r>
    <x v="8"/>
    <x v="8"/>
    <s v="Special line items for education operations"/>
    <m/>
    <n v="175519"/>
    <x v="8"/>
    <m/>
    <m/>
    <m/>
    <m/>
    <m/>
    <m/>
    <m/>
    <m/>
    <n v="0"/>
    <m/>
    <m/>
    <n v="0"/>
    <n v="0"/>
    <n v="0"/>
    <m/>
    <m/>
    <m/>
    <m/>
    <n v="0"/>
    <m/>
    <m/>
    <n v="0"/>
    <m/>
    <m/>
    <m/>
    <m/>
    <m/>
    <m/>
    <n v="0"/>
    <n v="0"/>
  </r>
  <r>
    <x v="8"/>
    <x v="8"/>
    <s v="Post-Secondary Vocational Education"/>
    <m/>
    <n v="175519"/>
    <x v="8"/>
    <m/>
    <m/>
    <n v="1487910"/>
    <n v="1467402"/>
    <m/>
    <m/>
    <m/>
    <m/>
    <n v="0"/>
    <m/>
    <m/>
    <n v="0"/>
    <n v="1487910"/>
    <n v="1467402"/>
    <m/>
    <m/>
    <m/>
    <m/>
    <n v="0"/>
    <m/>
    <m/>
    <n v="0"/>
    <m/>
    <m/>
    <m/>
    <m/>
    <m/>
    <m/>
    <n v="1487910"/>
    <n v="1467402"/>
  </r>
  <r>
    <x v="8"/>
    <x v="0"/>
    <s v="Southwest Mississippi Community College  "/>
    <m/>
    <n v="176354"/>
    <x v="8"/>
    <n v="5969153"/>
    <n v="7779171"/>
    <m/>
    <m/>
    <n v="1195809"/>
    <n v="1169991"/>
    <n v="5304051"/>
    <m/>
    <n v="5304051"/>
    <n v="5276500"/>
    <m/>
    <n v="5276500"/>
    <n v="12469013"/>
    <n v="14225662"/>
    <m/>
    <m/>
    <m/>
    <m/>
    <n v="0"/>
    <m/>
    <m/>
    <n v="0"/>
    <m/>
    <m/>
    <m/>
    <m/>
    <m/>
    <m/>
    <n v="12469013"/>
    <n v="14225662"/>
  </r>
  <r>
    <x v="8"/>
    <x v="8"/>
    <s v="Special line items for education operations"/>
    <m/>
    <n v="176354"/>
    <x v="8"/>
    <m/>
    <m/>
    <m/>
    <m/>
    <m/>
    <m/>
    <m/>
    <m/>
    <n v="0"/>
    <m/>
    <m/>
    <n v="0"/>
    <n v="0"/>
    <n v="0"/>
    <m/>
    <m/>
    <m/>
    <m/>
    <n v="0"/>
    <m/>
    <m/>
    <n v="0"/>
    <m/>
    <m/>
    <m/>
    <m/>
    <m/>
    <m/>
    <n v="0"/>
    <n v="0"/>
  </r>
  <r>
    <x v="8"/>
    <x v="8"/>
    <s v="Post-Secondary Vocational Education"/>
    <m/>
    <n v="176354"/>
    <x v="8"/>
    <m/>
    <m/>
    <n v="1002719"/>
    <n v="1048395"/>
    <m/>
    <m/>
    <m/>
    <m/>
    <n v="0"/>
    <m/>
    <m/>
    <n v="0"/>
    <n v="1002719"/>
    <n v="1048395"/>
    <m/>
    <m/>
    <m/>
    <m/>
    <n v="0"/>
    <m/>
    <m/>
    <n v="0"/>
    <m/>
    <m/>
    <m/>
    <m/>
    <m/>
    <m/>
    <n v="1002719"/>
    <n v="1048395"/>
  </r>
  <r>
    <x v="8"/>
    <x v="10"/>
    <s v="Education special purpose funds — statewide units"/>
    <m/>
    <m/>
    <x v="12"/>
    <m/>
    <m/>
    <m/>
    <m/>
    <m/>
    <m/>
    <m/>
    <m/>
    <n v="0"/>
    <m/>
    <m/>
    <n v="0"/>
    <n v="0"/>
    <n v="0"/>
    <m/>
    <m/>
    <m/>
    <m/>
    <n v="0"/>
    <m/>
    <m/>
    <n v="0"/>
    <m/>
    <m/>
    <m/>
    <m/>
    <m/>
    <m/>
    <n v="0"/>
    <n v="0"/>
  </r>
  <r>
    <x v="8"/>
    <x v="13"/>
    <s v="Education special purpose funds — all other"/>
    <m/>
    <m/>
    <x v="12"/>
    <m/>
    <m/>
    <m/>
    <m/>
    <m/>
    <m/>
    <m/>
    <m/>
    <n v="0"/>
    <m/>
    <m/>
    <n v="0"/>
    <n v="0"/>
    <n v="0"/>
    <m/>
    <m/>
    <m/>
    <m/>
    <n v="0"/>
    <m/>
    <m/>
    <n v="0"/>
    <m/>
    <m/>
    <m/>
    <m/>
    <m/>
    <m/>
    <n v="0"/>
    <n v="0"/>
  </r>
  <r>
    <x v="8"/>
    <x v="13"/>
    <s v="Internet and Line Charges for community colleges"/>
    <m/>
    <m/>
    <x v="12"/>
    <m/>
    <m/>
    <n v="554938"/>
    <n v="595938.78"/>
    <m/>
    <m/>
    <m/>
    <m/>
    <n v="0"/>
    <m/>
    <m/>
    <n v="0"/>
    <n v="554938"/>
    <n v="595938.78"/>
    <m/>
    <m/>
    <m/>
    <m/>
    <n v="0"/>
    <m/>
    <m/>
    <n v="0"/>
    <m/>
    <m/>
    <m/>
    <m/>
    <m/>
    <m/>
    <n v="554938"/>
    <n v="595938.78"/>
  </r>
  <r>
    <x v="8"/>
    <x v="13"/>
    <s v=" "/>
    <m/>
    <m/>
    <x v="12"/>
    <m/>
    <m/>
    <m/>
    <m/>
    <m/>
    <m/>
    <m/>
    <m/>
    <n v="0"/>
    <m/>
    <m/>
    <n v="0"/>
    <n v="0"/>
    <n v="0"/>
    <m/>
    <m/>
    <m/>
    <m/>
    <n v="0"/>
    <m/>
    <m/>
    <n v="0"/>
    <m/>
    <m/>
    <m/>
    <m/>
    <m/>
    <m/>
    <n v="0"/>
    <n v="0"/>
  </r>
  <r>
    <x v="8"/>
    <x v="13"/>
    <s v="Greenville Higher Education Center (MDCC via MCCB)"/>
    <m/>
    <m/>
    <x v="12"/>
    <m/>
    <m/>
    <n v="542459"/>
    <n v="542459"/>
    <m/>
    <m/>
    <m/>
    <m/>
    <n v="0"/>
    <m/>
    <m/>
    <n v="0"/>
    <n v="542459"/>
    <n v="542459"/>
    <m/>
    <m/>
    <m/>
    <m/>
    <n v="0"/>
    <m/>
    <m/>
    <n v="0"/>
    <m/>
    <m/>
    <m/>
    <m/>
    <m/>
    <m/>
    <n v="542459"/>
    <n v="542459"/>
  </r>
  <r>
    <x v="8"/>
    <x v="14"/>
    <s v="Statewide System Operations"/>
    <m/>
    <m/>
    <x v="12"/>
    <m/>
    <m/>
    <m/>
    <m/>
    <m/>
    <m/>
    <m/>
    <m/>
    <n v="0"/>
    <m/>
    <m/>
    <n v="0"/>
    <n v="0"/>
    <n v="0"/>
    <m/>
    <m/>
    <m/>
    <m/>
    <n v="0"/>
    <m/>
    <m/>
    <n v="0"/>
    <m/>
    <m/>
    <m/>
    <m/>
    <m/>
    <m/>
    <n v="0"/>
    <n v="0"/>
  </r>
  <r>
    <x v="8"/>
    <x v="16"/>
    <s v="Two-year system(s), if any"/>
    <m/>
    <m/>
    <x v="12"/>
    <m/>
    <m/>
    <m/>
    <m/>
    <m/>
    <m/>
    <m/>
    <m/>
    <n v="0"/>
    <m/>
    <m/>
    <n v="0"/>
    <n v="0"/>
    <n v="0"/>
    <m/>
    <m/>
    <m/>
    <m/>
    <n v="0"/>
    <m/>
    <m/>
    <n v="0"/>
    <m/>
    <m/>
    <m/>
    <m/>
    <m/>
    <m/>
    <n v="0"/>
    <n v="0"/>
  </r>
  <r>
    <x v="8"/>
    <x v="16"/>
    <s v="MS Community College Board"/>
    <m/>
    <m/>
    <x v="12"/>
    <m/>
    <m/>
    <m/>
    <m/>
    <m/>
    <m/>
    <m/>
    <m/>
    <n v="0"/>
    <m/>
    <m/>
    <n v="0"/>
    <n v="0"/>
    <n v="0"/>
    <n v="2378064"/>
    <n v="2445396"/>
    <m/>
    <m/>
    <n v="0"/>
    <m/>
    <m/>
    <n v="0"/>
    <m/>
    <m/>
    <m/>
    <m/>
    <m/>
    <m/>
    <n v="2378064"/>
    <n v="2445396"/>
  </r>
  <r>
    <x v="9"/>
    <x v="0"/>
    <s v="North Carolina State University "/>
    <m/>
    <n v="199193"/>
    <x v="0"/>
    <n v="336360165.55000001"/>
    <n v="351339055"/>
    <m/>
    <m/>
    <m/>
    <m/>
    <n v="255971384"/>
    <m/>
    <n v="255971384"/>
    <n v="266542848"/>
    <m/>
    <n v="266542848"/>
    <n v="592331549.54999995"/>
    <n v="617881903"/>
    <m/>
    <m/>
    <m/>
    <m/>
    <n v="0"/>
    <m/>
    <m/>
    <n v="0"/>
    <m/>
    <m/>
    <m/>
    <m/>
    <m/>
    <m/>
    <n v="592331549.54999995"/>
    <n v="617881903"/>
  </r>
  <r>
    <x v="9"/>
    <x v="1"/>
    <s v="Vet Med School"/>
    <m/>
    <n v="199193"/>
    <x v="0"/>
    <m/>
    <m/>
    <m/>
    <m/>
    <m/>
    <m/>
    <n v="0"/>
    <m/>
    <n v="0"/>
    <n v="0"/>
    <m/>
    <n v="0"/>
    <n v="0"/>
    <n v="0"/>
    <m/>
    <m/>
    <m/>
    <m/>
    <n v="0"/>
    <m/>
    <m/>
    <n v="0"/>
    <n v="30486345.710000001"/>
    <n v="31527538"/>
    <n v="4171166"/>
    <m/>
    <n v="4972530"/>
    <m/>
    <n v="34657511.710000001"/>
    <n v="36500068"/>
  </r>
  <r>
    <x v="9"/>
    <x v="5"/>
    <s v="Agricultural cooperative extension"/>
    <m/>
    <n v="199193"/>
    <x v="0"/>
    <m/>
    <m/>
    <n v="39223732.030000001"/>
    <n v="39859682"/>
    <m/>
    <m/>
    <m/>
    <m/>
    <n v="0"/>
    <m/>
    <m/>
    <n v="0"/>
    <n v="39223732.030000001"/>
    <n v="39859682"/>
    <m/>
    <m/>
    <m/>
    <m/>
    <n v="0"/>
    <m/>
    <m/>
    <n v="0"/>
    <m/>
    <m/>
    <m/>
    <m/>
    <m/>
    <m/>
    <n v="39223732.030000001"/>
    <n v="39859682"/>
  </r>
  <r>
    <x v="9"/>
    <x v="6"/>
    <s v="Agricultural experiment stations"/>
    <m/>
    <n v="199193"/>
    <x v="0"/>
    <m/>
    <m/>
    <m/>
    <m/>
    <m/>
    <m/>
    <n v="0"/>
    <m/>
    <n v="0"/>
    <n v="0"/>
    <m/>
    <n v="0"/>
    <n v="0"/>
    <n v="0"/>
    <m/>
    <m/>
    <m/>
    <m/>
    <n v="0"/>
    <m/>
    <m/>
    <n v="0"/>
    <m/>
    <m/>
    <m/>
    <m/>
    <m/>
    <m/>
    <n v="0"/>
    <n v="0"/>
  </r>
  <r>
    <x v="9"/>
    <x v="6"/>
    <s v="Agricultural Research Service"/>
    <m/>
    <n v="199193"/>
    <x v="0"/>
    <m/>
    <m/>
    <n v="54341909.139999993"/>
    <n v="54926053"/>
    <m/>
    <m/>
    <m/>
    <m/>
    <n v="0"/>
    <m/>
    <m/>
    <n v="0"/>
    <n v="54341909.139999993"/>
    <n v="54926053"/>
    <m/>
    <m/>
    <m/>
    <m/>
    <n v="0"/>
    <m/>
    <m/>
    <n v="0"/>
    <m/>
    <m/>
    <m/>
    <m/>
    <m/>
    <m/>
    <n v="54341909.139999993"/>
    <n v="54926053"/>
  </r>
  <r>
    <x v="9"/>
    <x v="0"/>
    <s v="University of North Carolina at Chapel Hill "/>
    <m/>
    <n v="199120"/>
    <x v="0"/>
    <n v="266307280.45999995"/>
    <n v="272388234.39999998"/>
    <m/>
    <m/>
    <m/>
    <m/>
    <n v="235315592"/>
    <m/>
    <n v="235315592"/>
    <n v="239724717"/>
    <m/>
    <n v="239724717"/>
    <n v="501622872.45999992"/>
    <n v="512112951.39999998"/>
    <m/>
    <m/>
    <m/>
    <m/>
    <n v="0"/>
    <m/>
    <m/>
    <n v="0"/>
    <m/>
    <m/>
    <m/>
    <m/>
    <m/>
    <m/>
    <n v="501622872.45999992"/>
    <n v="512112951.39999998"/>
  </r>
  <r>
    <x v="9"/>
    <x v="1"/>
    <s v="Health professions education"/>
    <m/>
    <n v="199120"/>
    <x v="0"/>
    <m/>
    <m/>
    <m/>
    <m/>
    <m/>
    <m/>
    <n v="0"/>
    <m/>
    <n v="0"/>
    <n v="0"/>
    <m/>
    <n v="0"/>
    <n v="0"/>
    <n v="0"/>
    <m/>
    <m/>
    <m/>
    <m/>
    <n v="0"/>
    <m/>
    <m/>
    <n v="0"/>
    <m/>
    <m/>
    <m/>
    <m/>
    <m/>
    <m/>
    <n v="0"/>
    <n v="0"/>
  </r>
  <r>
    <x v="9"/>
    <x v="1"/>
    <s v="Medical School"/>
    <m/>
    <n v="199120"/>
    <x v="0"/>
    <m/>
    <m/>
    <m/>
    <m/>
    <m/>
    <m/>
    <n v="0"/>
    <m/>
    <n v="0"/>
    <n v="0"/>
    <m/>
    <n v="0"/>
    <n v="0"/>
    <n v="0"/>
    <m/>
    <m/>
    <m/>
    <m/>
    <n v="0"/>
    <m/>
    <m/>
    <n v="0"/>
    <n v="178283947"/>
    <n v="197289661"/>
    <n v="78334431"/>
    <m/>
    <n v="93982066"/>
    <m/>
    <n v="256618378"/>
    <n v="291271727"/>
  </r>
  <r>
    <x v="9"/>
    <x v="0"/>
    <s v="University of North Carolina at Greensboro"/>
    <m/>
    <n v="199148"/>
    <x v="0"/>
    <n v="150718467.97999999"/>
    <n v="154054869"/>
    <m/>
    <m/>
    <m/>
    <m/>
    <n v="83034880"/>
    <m/>
    <n v="83034880"/>
    <n v="82105870"/>
    <m/>
    <n v="82105870"/>
    <n v="233753347.97999999"/>
    <n v="236160739"/>
    <m/>
    <m/>
    <m/>
    <m/>
    <n v="0"/>
    <m/>
    <m/>
    <n v="0"/>
    <m/>
    <m/>
    <m/>
    <m/>
    <m/>
    <m/>
    <n v="233753347.97999999"/>
    <n v="236160739"/>
  </r>
  <r>
    <x v="9"/>
    <x v="0"/>
    <s v="East Carolina University "/>
    <s v="Reclassified: met the criteria for Four-Year 2 in 2010-11, 2011-12, and 2012-13."/>
    <n v="198464"/>
    <x v="1"/>
    <n v="208134522.83000001"/>
    <n v="218402346"/>
    <m/>
    <m/>
    <m/>
    <m/>
    <n v="135542130"/>
    <m/>
    <n v="135542130"/>
    <n v="148847155"/>
    <m/>
    <n v="148847155"/>
    <n v="343676652.83000004"/>
    <n v="367249501"/>
    <m/>
    <m/>
    <m/>
    <m/>
    <n v="0"/>
    <m/>
    <m/>
    <n v="0"/>
    <m/>
    <m/>
    <m/>
    <m/>
    <m/>
    <m/>
    <n v="343676652.83000004"/>
    <n v="367249501"/>
  </r>
  <r>
    <x v="9"/>
    <x v="1"/>
    <s v="Medical School"/>
    <m/>
    <n v="198464"/>
    <x v="1"/>
    <m/>
    <m/>
    <m/>
    <m/>
    <m/>
    <m/>
    <n v="0"/>
    <m/>
    <n v="0"/>
    <n v="0"/>
    <m/>
    <n v="0"/>
    <n v="0"/>
    <n v="0"/>
    <m/>
    <m/>
    <m/>
    <m/>
    <n v="0"/>
    <m/>
    <m/>
    <n v="0"/>
    <n v="61945710"/>
    <n v="64792312"/>
    <n v="4800036"/>
    <m/>
    <n v="6428474"/>
    <m/>
    <n v="66745746"/>
    <n v="71220786"/>
  </r>
  <r>
    <x v="9"/>
    <x v="0"/>
    <s v="University of North Carolina at Charlotte"/>
    <s v="Met the criteria for Four-Year 1 in 2012-13."/>
    <n v="199139"/>
    <x v="1"/>
    <n v="184338501.26999986"/>
    <n v="191450402"/>
    <m/>
    <m/>
    <m/>
    <m/>
    <n v="114447241"/>
    <m/>
    <n v="114447241"/>
    <n v="113767917"/>
    <m/>
    <n v="113767917"/>
    <n v="298785742.26999986"/>
    <n v="305218319"/>
    <m/>
    <m/>
    <m/>
    <m/>
    <n v="0"/>
    <m/>
    <m/>
    <n v="0"/>
    <m/>
    <m/>
    <m/>
    <m/>
    <m/>
    <m/>
    <n v="298785742.26999986"/>
    <n v="305218319"/>
  </r>
  <r>
    <x v="9"/>
    <x v="0"/>
    <s v="Appalachian State University "/>
    <m/>
    <n v="197869"/>
    <x v="2"/>
    <n v="124915200.76999994"/>
    <n v="127783227"/>
    <m/>
    <m/>
    <m/>
    <m/>
    <n v="76857150"/>
    <m/>
    <n v="76857150"/>
    <n v="78200811"/>
    <m/>
    <n v="78200811"/>
    <n v="201772350.76999992"/>
    <n v="205984038"/>
    <m/>
    <m/>
    <m/>
    <m/>
    <n v="0"/>
    <m/>
    <m/>
    <n v="0"/>
    <m/>
    <m/>
    <m/>
    <m/>
    <m/>
    <m/>
    <n v="201772350.76999992"/>
    <n v="205984038"/>
  </r>
  <r>
    <x v="9"/>
    <x v="0"/>
    <s v="North Carolina Agricultural &amp; Technical State University"/>
    <m/>
    <n v="199102"/>
    <x v="2"/>
    <n v="94121992.580000013"/>
    <n v="97335227"/>
    <m/>
    <m/>
    <m/>
    <m/>
    <n v="49573754"/>
    <m/>
    <n v="49573754"/>
    <n v="57967315"/>
    <m/>
    <n v="57967315"/>
    <n v="143695746.58000001"/>
    <n v="155302542"/>
    <m/>
    <m/>
    <m/>
    <m/>
    <n v="0"/>
    <m/>
    <m/>
    <n v="0"/>
    <m/>
    <m/>
    <m/>
    <m/>
    <m/>
    <m/>
    <n v="143695746.58000001"/>
    <n v="155302542"/>
  </r>
  <r>
    <x v="9"/>
    <x v="0"/>
    <s v="North Carolina Central University "/>
    <m/>
    <n v="199157"/>
    <x v="2"/>
    <n v="82975589.74000001"/>
    <n v="83700170"/>
    <m/>
    <m/>
    <m/>
    <m/>
    <n v="38276631"/>
    <m/>
    <n v="38276631"/>
    <n v="40162678"/>
    <m/>
    <n v="40162678"/>
    <n v="121252220.74000001"/>
    <n v="123862848"/>
    <m/>
    <m/>
    <m/>
    <m/>
    <n v="0"/>
    <m/>
    <m/>
    <n v="0"/>
    <m/>
    <m/>
    <m/>
    <m/>
    <m/>
    <m/>
    <n v="121252220.74000001"/>
    <n v="123862848"/>
  </r>
  <r>
    <x v="9"/>
    <x v="0"/>
    <s v="University of North Carolina at Wilmington"/>
    <m/>
    <n v="199218"/>
    <x v="2"/>
    <n v="91031584.729999989"/>
    <n v="95913455"/>
    <m/>
    <m/>
    <m/>
    <m/>
    <n v="68038264"/>
    <m/>
    <n v="68038264"/>
    <n v="70394736"/>
    <m/>
    <n v="70394736"/>
    <n v="159069848.72999999"/>
    <n v="166308191"/>
    <m/>
    <m/>
    <m/>
    <m/>
    <n v="0"/>
    <m/>
    <m/>
    <n v="0"/>
    <m/>
    <m/>
    <m/>
    <m/>
    <m/>
    <m/>
    <n v="159069848.72999999"/>
    <n v="166308191"/>
  </r>
  <r>
    <x v="9"/>
    <x v="0"/>
    <s v="Western Carolina University "/>
    <m/>
    <n v="200004"/>
    <x v="2"/>
    <n v="79781576.980000004"/>
    <n v="82436797"/>
    <m/>
    <m/>
    <m/>
    <m/>
    <n v="34393055"/>
    <m/>
    <n v="34393055"/>
    <n v="34080962"/>
    <m/>
    <n v="34080962"/>
    <n v="114174631.98"/>
    <n v="116517759"/>
    <m/>
    <m/>
    <m/>
    <m/>
    <n v="0"/>
    <m/>
    <m/>
    <n v="0"/>
    <m/>
    <m/>
    <m/>
    <m/>
    <m/>
    <m/>
    <n v="114174631.98"/>
    <n v="116517759"/>
  </r>
  <r>
    <x v="9"/>
    <x v="0"/>
    <s v="Fayetteville State University "/>
    <m/>
    <n v="198543"/>
    <x v="3"/>
    <n v="51626674.050000012"/>
    <n v="49237634"/>
    <m/>
    <m/>
    <m/>
    <m/>
    <n v="17226765"/>
    <m/>
    <n v="17226765"/>
    <n v="18192257"/>
    <m/>
    <n v="18192257"/>
    <n v="68853439.050000012"/>
    <n v="67429891"/>
    <m/>
    <m/>
    <m/>
    <m/>
    <n v="0"/>
    <m/>
    <m/>
    <n v="0"/>
    <m/>
    <m/>
    <m/>
    <m/>
    <m/>
    <m/>
    <n v="68853439.050000012"/>
    <n v="67429891"/>
  </r>
  <r>
    <x v="9"/>
    <x v="0"/>
    <s v="University of North Carolina at Pembroke"/>
    <m/>
    <n v="199281"/>
    <x v="4"/>
    <n v="53727439.879999995"/>
    <n v="54788184"/>
    <m/>
    <m/>
    <m/>
    <m/>
    <n v="18123665"/>
    <m/>
    <n v="18123665"/>
    <n v="22020949"/>
    <m/>
    <n v="22020949"/>
    <n v="71851104.879999995"/>
    <n v="76809133"/>
    <m/>
    <m/>
    <m/>
    <m/>
    <n v="0"/>
    <m/>
    <m/>
    <n v="0"/>
    <m/>
    <m/>
    <m/>
    <m/>
    <m/>
    <m/>
    <n v="71851104.879999995"/>
    <n v="76809133"/>
  </r>
  <r>
    <x v="9"/>
    <x v="0"/>
    <s v="Winston-Salem State University "/>
    <m/>
    <n v="199999"/>
    <x v="4"/>
    <n v="68105171.459999993"/>
    <n v="68050040"/>
    <m/>
    <m/>
    <m/>
    <m/>
    <n v="21111026"/>
    <m/>
    <n v="21111026"/>
    <n v="21934391"/>
    <m/>
    <n v="21934391"/>
    <n v="89216197.459999993"/>
    <n v="89984431"/>
    <m/>
    <m/>
    <m/>
    <m/>
    <n v="0"/>
    <m/>
    <m/>
    <n v="0"/>
    <m/>
    <m/>
    <m/>
    <m/>
    <m/>
    <m/>
    <n v="89216197.459999993"/>
    <n v="89984431"/>
  </r>
  <r>
    <x v="9"/>
    <x v="0"/>
    <s v="Elizabeth City State University "/>
    <m/>
    <n v="198507"/>
    <x v="5"/>
    <n v="34848508.520000003"/>
    <n v="35097783"/>
    <m/>
    <m/>
    <m/>
    <m/>
    <n v="10669568"/>
    <m/>
    <n v="10669568"/>
    <n v="10911940"/>
    <m/>
    <n v="10911940"/>
    <n v="45518076.520000003"/>
    <n v="46009723"/>
    <m/>
    <m/>
    <m/>
    <m/>
    <n v="0"/>
    <m/>
    <m/>
    <n v="0"/>
    <m/>
    <m/>
    <m/>
    <m/>
    <m/>
    <m/>
    <n v="45518076.520000003"/>
    <n v="46009723"/>
  </r>
  <r>
    <x v="9"/>
    <x v="0"/>
    <s v="University of North Carolina at Asheville"/>
    <m/>
    <n v="199111"/>
    <x v="5"/>
    <n v="34910947.990000002"/>
    <n v="37237372"/>
    <m/>
    <m/>
    <m/>
    <m/>
    <n v="17269087"/>
    <m/>
    <n v="17269087"/>
    <n v="17931103"/>
    <m/>
    <n v="17931103"/>
    <n v="52180034.990000002"/>
    <n v="55168475"/>
    <m/>
    <m/>
    <m/>
    <m/>
    <n v="0"/>
    <m/>
    <m/>
    <n v="0"/>
    <m/>
    <m/>
    <m/>
    <m/>
    <m/>
    <m/>
    <n v="52180034.990000002"/>
    <n v="55168475"/>
  </r>
  <r>
    <x v="9"/>
    <x v="9"/>
    <s v="North Carolina School of the Arts"/>
    <m/>
    <n v="199184"/>
    <x v="11"/>
    <m/>
    <m/>
    <m/>
    <m/>
    <m/>
    <m/>
    <m/>
    <m/>
    <n v="0"/>
    <m/>
    <m/>
    <n v="0"/>
    <n v="0"/>
    <n v="0"/>
    <n v="25757854"/>
    <n v="27102930"/>
    <n v="11737022"/>
    <m/>
    <n v="11737022"/>
    <n v="11447596"/>
    <m/>
    <n v="11447596"/>
    <m/>
    <m/>
    <m/>
    <m/>
    <m/>
    <m/>
    <n v="37494876"/>
    <n v="38550526"/>
  </r>
  <r>
    <x v="9"/>
    <x v="10"/>
    <s v="Education special purpose funds- statewide units"/>
    <m/>
    <m/>
    <x v="12"/>
    <m/>
    <m/>
    <m/>
    <m/>
    <m/>
    <m/>
    <m/>
    <m/>
    <n v="0"/>
    <m/>
    <m/>
    <n v="0"/>
    <n v="0"/>
    <n v="0"/>
    <m/>
    <m/>
    <m/>
    <m/>
    <n v="0"/>
    <m/>
    <m/>
    <n v="0"/>
    <m/>
    <m/>
    <m/>
    <m/>
    <m/>
    <m/>
    <n v="0"/>
    <n v="0"/>
  </r>
  <r>
    <x v="9"/>
    <x v="42"/>
    <s v="Community or public service units"/>
    <m/>
    <m/>
    <x v="12"/>
    <m/>
    <m/>
    <m/>
    <m/>
    <m/>
    <m/>
    <m/>
    <m/>
    <n v="0"/>
    <m/>
    <m/>
    <n v="0"/>
    <n v="0"/>
    <n v="0"/>
    <m/>
    <m/>
    <m/>
    <m/>
    <n v="0"/>
    <m/>
    <m/>
    <n v="0"/>
    <m/>
    <m/>
    <m/>
    <m/>
    <m/>
    <m/>
    <n v="0"/>
    <n v="0"/>
  </r>
  <r>
    <x v="9"/>
    <x v="42"/>
    <s v="Statewide Educational TV"/>
    <m/>
    <m/>
    <x v="12"/>
    <m/>
    <m/>
    <n v="11735549.93"/>
    <n v="10092539"/>
    <m/>
    <m/>
    <m/>
    <m/>
    <n v="0"/>
    <m/>
    <m/>
    <n v="0"/>
    <n v="11735549.93"/>
    <n v="10092539"/>
    <m/>
    <m/>
    <m/>
    <m/>
    <n v="0"/>
    <m/>
    <m/>
    <n v="0"/>
    <m/>
    <m/>
    <m/>
    <m/>
    <m/>
    <m/>
    <n v="11735549.93"/>
    <n v="10092539"/>
  </r>
  <r>
    <x v="9"/>
    <x v="42"/>
    <s v="Univ Syst Community Service Programs"/>
    <m/>
    <m/>
    <x v="12"/>
    <m/>
    <m/>
    <n v="1182114"/>
    <n v="1182114"/>
    <m/>
    <m/>
    <m/>
    <m/>
    <n v="0"/>
    <m/>
    <m/>
    <n v="0"/>
    <n v="1182114"/>
    <n v="1182114"/>
    <m/>
    <m/>
    <m/>
    <m/>
    <n v="0"/>
    <m/>
    <m/>
    <n v="0"/>
    <m/>
    <m/>
    <m/>
    <m/>
    <m/>
    <m/>
    <n v="1182114"/>
    <n v="1182114"/>
  </r>
  <r>
    <x v="9"/>
    <x v="42"/>
    <s v="Univ Syst Educational Computing Service"/>
    <m/>
    <m/>
    <x v="12"/>
    <m/>
    <m/>
    <n v="1140331.6199999999"/>
    <n v="0"/>
    <m/>
    <m/>
    <m/>
    <m/>
    <n v="0"/>
    <m/>
    <m/>
    <n v="0"/>
    <n v="1140331.6199999999"/>
    <n v="0"/>
    <m/>
    <m/>
    <m/>
    <m/>
    <n v="0"/>
    <m/>
    <m/>
    <n v="0"/>
    <m/>
    <m/>
    <m/>
    <m/>
    <m/>
    <m/>
    <n v="1140331.6199999999"/>
    <n v="0"/>
  </r>
  <r>
    <x v="9"/>
    <x v="42"/>
    <s v="UNC Hospitals"/>
    <m/>
    <m/>
    <x v="12"/>
    <m/>
    <m/>
    <m/>
    <m/>
    <m/>
    <m/>
    <m/>
    <m/>
    <n v="0"/>
    <m/>
    <m/>
    <n v="0"/>
    <n v="0"/>
    <n v="0"/>
    <n v="18000000"/>
    <n v="0"/>
    <m/>
    <m/>
    <n v="0"/>
    <m/>
    <m/>
    <n v="0"/>
    <m/>
    <m/>
    <m/>
    <m/>
    <m/>
    <m/>
    <n v="18000000"/>
    <n v="0"/>
  </r>
  <r>
    <x v="9"/>
    <x v="42"/>
    <s v="UNC Area Health Education Centers Program"/>
    <m/>
    <m/>
    <x v="12"/>
    <m/>
    <m/>
    <m/>
    <m/>
    <m/>
    <m/>
    <m/>
    <m/>
    <n v="0"/>
    <m/>
    <m/>
    <n v="0"/>
    <n v="0"/>
    <n v="0"/>
    <n v="41798401.219999999"/>
    <n v="42418348"/>
    <n v="0"/>
    <m/>
    <n v="0"/>
    <m/>
    <m/>
    <n v="0"/>
    <m/>
    <m/>
    <m/>
    <m/>
    <m/>
    <m/>
    <n v="41798401.219999999"/>
    <n v="42418348"/>
  </r>
  <r>
    <x v="9"/>
    <x v="11"/>
    <s v="Research centers/institutes"/>
    <m/>
    <m/>
    <x v="12"/>
    <m/>
    <m/>
    <m/>
    <m/>
    <m/>
    <m/>
    <m/>
    <m/>
    <n v="0"/>
    <m/>
    <m/>
    <n v="0"/>
    <n v="0"/>
    <n v="0"/>
    <m/>
    <m/>
    <m/>
    <m/>
    <n v="0"/>
    <m/>
    <m/>
    <n v="0"/>
    <m/>
    <m/>
    <m/>
    <m/>
    <m/>
    <m/>
    <n v="0"/>
    <n v="0"/>
  </r>
  <r>
    <x v="9"/>
    <x v="11"/>
    <s v="Microelectronic Computing Center of North Carolina"/>
    <m/>
    <m/>
    <x v="12"/>
    <m/>
    <m/>
    <n v="4900000"/>
    <n v="4900000"/>
    <m/>
    <m/>
    <m/>
    <m/>
    <n v="0"/>
    <m/>
    <m/>
    <n v="0"/>
    <n v="4900000"/>
    <n v="4900000"/>
    <m/>
    <m/>
    <m/>
    <m/>
    <n v="0"/>
    <m/>
    <m/>
    <n v="0"/>
    <m/>
    <m/>
    <m/>
    <m/>
    <m/>
    <m/>
    <n v="4900000"/>
    <n v="4900000"/>
  </r>
  <r>
    <x v="9"/>
    <x v="13"/>
    <s v="Education special purpose funds- all other"/>
    <m/>
    <m/>
    <x v="12"/>
    <m/>
    <m/>
    <m/>
    <m/>
    <m/>
    <m/>
    <m/>
    <m/>
    <n v="0"/>
    <m/>
    <m/>
    <n v="0"/>
    <n v="0"/>
    <n v="0"/>
    <m/>
    <m/>
    <m/>
    <m/>
    <n v="0"/>
    <m/>
    <m/>
    <n v="0"/>
    <m/>
    <m/>
    <m/>
    <m/>
    <m/>
    <m/>
    <n v="0"/>
    <n v="0"/>
  </r>
  <r>
    <x v="9"/>
    <x v="13"/>
    <s v="UNC Reserve for Future Allocation"/>
    <m/>
    <m/>
    <x v="12"/>
    <m/>
    <m/>
    <m/>
    <n v="10797932"/>
    <m/>
    <m/>
    <m/>
    <m/>
    <n v="0"/>
    <m/>
    <m/>
    <n v="0"/>
    <n v="0"/>
    <n v="10797932"/>
    <m/>
    <m/>
    <m/>
    <m/>
    <n v="0"/>
    <m/>
    <m/>
    <n v="0"/>
    <m/>
    <m/>
    <m/>
    <m/>
    <m/>
    <m/>
    <n v="0"/>
    <n v="10797932"/>
  </r>
  <r>
    <x v="9"/>
    <x v="14"/>
    <s v="Statewide System Operations"/>
    <m/>
    <m/>
    <x v="12"/>
    <m/>
    <m/>
    <m/>
    <m/>
    <m/>
    <m/>
    <m/>
    <m/>
    <n v="0"/>
    <m/>
    <m/>
    <n v="0"/>
    <n v="0"/>
    <n v="0"/>
    <m/>
    <m/>
    <m/>
    <m/>
    <n v="0"/>
    <m/>
    <m/>
    <n v="0"/>
    <m/>
    <m/>
    <m/>
    <m/>
    <m/>
    <m/>
    <n v="0"/>
    <n v="0"/>
  </r>
  <r>
    <x v="9"/>
    <x v="15"/>
    <s v="Colleges and universities"/>
    <m/>
    <m/>
    <x v="12"/>
    <m/>
    <m/>
    <m/>
    <m/>
    <m/>
    <m/>
    <m/>
    <m/>
    <n v="0"/>
    <m/>
    <m/>
    <n v="0"/>
    <n v="0"/>
    <n v="0"/>
    <m/>
    <m/>
    <m/>
    <m/>
    <n v="0"/>
    <m/>
    <m/>
    <n v="0"/>
    <m/>
    <m/>
    <m/>
    <m/>
    <m/>
    <m/>
    <n v="0"/>
    <n v="0"/>
  </r>
  <r>
    <x v="9"/>
    <x v="15"/>
    <s v="UNC General Administration"/>
    <m/>
    <m/>
    <x v="12"/>
    <m/>
    <m/>
    <m/>
    <m/>
    <m/>
    <m/>
    <m/>
    <m/>
    <n v="0"/>
    <m/>
    <m/>
    <n v="0"/>
    <n v="0"/>
    <n v="0"/>
    <n v="18010001.100000001"/>
    <n v="18005411"/>
    <m/>
    <m/>
    <n v="0"/>
    <m/>
    <m/>
    <n v="0"/>
    <m/>
    <m/>
    <m/>
    <m/>
    <m/>
    <m/>
    <n v="18010001.100000001"/>
    <n v="18005411"/>
  </r>
  <r>
    <x v="9"/>
    <x v="17"/>
    <s v="National or regional associations, compacts or consortia"/>
    <m/>
    <m/>
    <x v="12"/>
    <m/>
    <m/>
    <m/>
    <m/>
    <m/>
    <m/>
    <m/>
    <m/>
    <n v="0"/>
    <m/>
    <m/>
    <n v="0"/>
    <n v="0"/>
    <n v="0"/>
    <m/>
    <m/>
    <m/>
    <m/>
    <n v="0"/>
    <m/>
    <m/>
    <n v="0"/>
    <m/>
    <m/>
    <m/>
    <m/>
    <m/>
    <m/>
    <n v="0"/>
    <n v="0"/>
  </r>
  <r>
    <x v="9"/>
    <x v="17"/>
    <s v="SREB Membership"/>
    <m/>
    <m/>
    <x v="12"/>
    <m/>
    <m/>
    <m/>
    <m/>
    <m/>
    <m/>
    <m/>
    <m/>
    <n v="0"/>
    <m/>
    <m/>
    <n v="0"/>
    <n v="0"/>
    <n v="0"/>
    <n v="193550"/>
    <n v="193550"/>
    <m/>
    <m/>
    <n v="0"/>
    <m/>
    <m/>
    <n v="0"/>
    <m/>
    <m/>
    <m/>
    <m/>
    <m/>
    <m/>
    <n v="193550"/>
    <n v="193550"/>
  </r>
  <r>
    <x v="9"/>
    <x v="18"/>
    <s v="Adm. of Statewide Student Aid Progs. (incldng centralized guaranteed student loans)"/>
    <m/>
    <m/>
    <x v="12"/>
    <m/>
    <m/>
    <m/>
    <m/>
    <m/>
    <m/>
    <m/>
    <m/>
    <n v="0"/>
    <m/>
    <m/>
    <n v="0"/>
    <n v="0"/>
    <n v="0"/>
    <m/>
    <m/>
    <m/>
    <m/>
    <n v="0"/>
    <m/>
    <m/>
    <n v="0"/>
    <m/>
    <m/>
    <m/>
    <m/>
    <m/>
    <m/>
    <n v="0"/>
    <n v="0"/>
  </r>
  <r>
    <x v="9"/>
    <x v="19"/>
    <s v="State Support to Private Colleges Other Than Student Aid"/>
    <m/>
    <m/>
    <x v="12"/>
    <m/>
    <m/>
    <m/>
    <m/>
    <m/>
    <m/>
    <m/>
    <m/>
    <n v="0"/>
    <m/>
    <m/>
    <n v="0"/>
    <n v="0"/>
    <n v="0"/>
    <m/>
    <m/>
    <m/>
    <m/>
    <n v="0"/>
    <m/>
    <m/>
    <n v="0"/>
    <m/>
    <m/>
    <m/>
    <m/>
    <m/>
    <m/>
    <n v="0"/>
    <n v="0"/>
  </r>
  <r>
    <x v="9"/>
    <x v="19"/>
    <s v="Capitation pymnts &amp; fnncl ad for rsdnt stdnts nrlld at prvt md schls"/>
    <m/>
    <m/>
    <x v="12"/>
    <m/>
    <m/>
    <m/>
    <m/>
    <m/>
    <m/>
    <m/>
    <m/>
    <n v="0"/>
    <m/>
    <m/>
    <n v="0"/>
    <n v="0"/>
    <n v="0"/>
    <n v="0"/>
    <m/>
    <m/>
    <m/>
    <n v="0"/>
    <m/>
    <m/>
    <n v="0"/>
    <m/>
    <m/>
    <m/>
    <m/>
    <m/>
    <m/>
    <n v="0"/>
    <n v="0"/>
  </r>
  <r>
    <x v="9"/>
    <x v="20"/>
    <s v="Contract Education Programs"/>
    <m/>
    <m/>
    <x v="12"/>
    <m/>
    <m/>
    <m/>
    <m/>
    <m/>
    <m/>
    <m/>
    <m/>
    <n v="0"/>
    <m/>
    <m/>
    <n v="0"/>
    <n v="0"/>
    <n v="0"/>
    <m/>
    <m/>
    <m/>
    <m/>
    <n v="0"/>
    <m/>
    <m/>
    <n v="0"/>
    <m/>
    <m/>
    <m/>
    <m/>
    <m/>
    <m/>
    <n v="0"/>
    <n v="0"/>
  </r>
  <r>
    <x v="9"/>
    <x v="21"/>
    <s v="SREB contract program with private colleges"/>
    <m/>
    <m/>
    <x v="12"/>
    <m/>
    <m/>
    <m/>
    <m/>
    <m/>
    <m/>
    <m/>
    <m/>
    <n v="0"/>
    <m/>
    <m/>
    <n v="0"/>
    <n v="0"/>
    <n v="0"/>
    <m/>
    <m/>
    <m/>
    <m/>
    <n v="0"/>
    <m/>
    <m/>
    <n v="0"/>
    <m/>
    <m/>
    <m/>
    <m/>
    <m/>
    <m/>
    <n v="0"/>
    <n v="0"/>
  </r>
  <r>
    <x v="9"/>
    <x v="21"/>
    <s v="Meharry Medical College (Dentistry, Medicine, Special Aid)"/>
    <m/>
    <m/>
    <x v="12"/>
    <m/>
    <m/>
    <m/>
    <m/>
    <m/>
    <m/>
    <m/>
    <m/>
    <n v="0"/>
    <m/>
    <m/>
    <n v="0"/>
    <n v="0"/>
    <n v="0"/>
    <n v="0"/>
    <m/>
    <m/>
    <m/>
    <n v="0"/>
    <m/>
    <m/>
    <n v="0"/>
    <m/>
    <m/>
    <m/>
    <m/>
    <m/>
    <m/>
    <n v="0"/>
    <n v="0"/>
  </r>
  <r>
    <x v="9"/>
    <x v="21"/>
    <s v="Southern College of Optometry"/>
    <m/>
    <m/>
    <x v="12"/>
    <m/>
    <m/>
    <m/>
    <m/>
    <m/>
    <m/>
    <m/>
    <m/>
    <n v="0"/>
    <m/>
    <m/>
    <n v="0"/>
    <n v="0"/>
    <n v="0"/>
    <n v="100100"/>
    <n v="0"/>
    <m/>
    <m/>
    <n v="0"/>
    <m/>
    <m/>
    <n v="0"/>
    <m/>
    <m/>
    <m/>
    <m/>
    <m/>
    <m/>
    <n v="100100"/>
    <n v="0"/>
  </r>
  <r>
    <x v="9"/>
    <x v="22"/>
    <s v="SREB contract program with public colleges"/>
    <m/>
    <m/>
    <x v="12"/>
    <m/>
    <m/>
    <m/>
    <m/>
    <m/>
    <m/>
    <m/>
    <m/>
    <n v="0"/>
    <m/>
    <m/>
    <n v="0"/>
    <n v="0"/>
    <n v="0"/>
    <m/>
    <n v="0"/>
    <m/>
    <m/>
    <n v="0"/>
    <m/>
    <m/>
    <n v="0"/>
    <m/>
    <m/>
    <m/>
    <m/>
    <m/>
    <m/>
    <n v="0"/>
    <n v="0"/>
  </r>
  <r>
    <x v="9"/>
    <x v="22"/>
    <s v="University of Houston (Optometry)"/>
    <m/>
    <m/>
    <x v="12"/>
    <m/>
    <m/>
    <m/>
    <m/>
    <m/>
    <m/>
    <m/>
    <m/>
    <n v="0"/>
    <m/>
    <m/>
    <n v="0"/>
    <n v="0"/>
    <n v="0"/>
    <m/>
    <m/>
    <m/>
    <m/>
    <n v="0"/>
    <m/>
    <m/>
    <n v="0"/>
    <m/>
    <m/>
    <m/>
    <m/>
    <m/>
    <m/>
    <n v="0"/>
    <n v="0"/>
  </r>
  <r>
    <x v="9"/>
    <x v="22"/>
    <s v="University of Alabama at Birmingham (Optometry)"/>
    <m/>
    <m/>
    <x v="12"/>
    <m/>
    <m/>
    <m/>
    <m/>
    <m/>
    <m/>
    <m/>
    <m/>
    <n v="0"/>
    <m/>
    <m/>
    <n v="0"/>
    <n v="0"/>
    <n v="0"/>
    <n v="28600"/>
    <n v="0"/>
    <m/>
    <m/>
    <n v="0"/>
    <m/>
    <m/>
    <n v="0"/>
    <m/>
    <m/>
    <m/>
    <m/>
    <m/>
    <m/>
    <n v="28600"/>
    <n v="0"/>
  </r>
  <r>
    <x v="9"/>
    <x v="23"/>
    <s v="Other contract education programs"/>
    <m/>
    <m/>
    <x v="12"/>
    <m/>
    <m/>
    <m/>
    <m/>
    <m/>
    <m/>
    <m/>
    <m/>
    <n v="0"/>
    <m/>
    <m/>
    <n v="0"/>
    <n v="0"/>
    <n v="0"/>
    <n v="100100"/>
    <n v="0"/>
    <m/>
    <m/>
    <n v="0"/>
    <m/>
    <m/>
    <n v="0"/>
    <m/>
    <m/>
    <m/>
    <m/>
    <m/>
    <m/>
    <n v="100100"/>
    <n v="0"/>
  </r>
  <r>
    <x v="9"/>
    <x v="24"/>
    <s v="Statewide Student Financial Aid Programs Administered Off Campus"/>
    <m/>
    <m/>
    <x v="12"/>
    <m/>
    <m/>
    <m/>
    <m/>
    <m/>
    <m/>
    <m/>
    <m/>
    <n v="0"/>
    <m/>
    <m/>
    <n v="0"/>
    <n v="0"/>
    <n v="0"/>
    <m/>
    <n v="0"/>
    <m/>
    <m/>
    <n v="0"/>
    <m/>
    <m/>
    <n v="0"/>
    <m/>
    <m/>
    <m/>
    <m/>
    <m/>
    <m/>
    <n v="0"/>
    <n v="0"/>
  </r>
  <r>
    <x v="9"/>
    <x v="25"/>
    <s v="Available to public &amp; private sector students"/>
    <m/>
    <m/>
    <x v="12"/>
    <m/>
    <m/>
    <m/>
    <m/>
    <m/>
    <m/>
    <m/>
    <m/>
    <n v="0"/>
    <m/>
    <m/>
    <n v="0"/>
    <n v="0"/>
    <n v="0"/>
    <m/>
    <m/>
    <m/>
    <m/>
    <n v="0"/>
    <m/>
    <m/>
    <n v="0"/>
    <m/>
    <m/>
    <m/>
    <m/>
    <m/>
    <m/>
    <n v="0"/>
    <n v="0"/>
  </r>
  <r>
    <x v="9"/>
    <x v="25"/>
    <s v="Board of Governors Medical Scholarships"/>
    <m/>
    <m/>
    <x v="12"/>
    <m/>
    <m/>
    <m/>
    <m/>
    <m/>
    <m/>
    <m/>
    <m/>
    <n v="0"/>
    <m/>
    <m/>
    <n v="0"/>
    <n v="0"/>
    <n v="0"/>
    <m/>
    <m/>
    <m/>
    <m/>
    <n v="0"/>
    <m/>
    <m/>
    <n v="0"/>
    <m/>
    <m/>
    <m/>
    <m/>
    <m/>
    <m/>
    <n v="0"/>
    <n v="0"/>
  </r>
  <r>
    <x v="9"/>
    <x v="26"/>
    <s v="Need-based"/>
    <m/>
    <m/>
    <x v="12"/>
    <m/>
    <m/>
    <m/>
    <m/>
    <m/>
    <m/>
    <m/>
    <m/>
    <n v="0"/>
    <m/>
    <m/>
    <n v="0"/>
    <n v="0"/>
    <n v="0"/>
    <n v="1864122.21"/>
    <n v="0"/>
    <m/>
    <m/>
    <n v="0"/>
    <m/>
    <m/>
    <n v="0"/>
    <m/>
    <m/>
    <m/>
    <m/>
    <m/>
    <m/>
    <n v="1864122.21"/>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C Student Incentive Grant"/>
    <m/>
    <m/>
    <x v="12"/>
    <m/>
    <m/>
    <m/>
    <m/>
    <m/>
    <m/>
    <m/>
    <m/>
    <n v="0"/>
    <m/>
    <m/>
    <n v="0"/>
    <n v="0"/>
    <n v="0"/>
    <m/>
    <m/>
    <m/>
    <m/>
    <n v="0"/>
    <m/>
    <m/>
    <n v="0"/>
    <m/>
    <m/>
    <m/>
    <m/>
    <m/>
    <m/>
    <n v="0"/>
    <n v="0"/>
  </r>
  <r>
    <x v="9"/>
    <x v="26"/>
    <s v="Need-based"/>
    <m/>
    <m/>
    <x v="12"/>
    <m/>
    <m/>
    <m/>
    <m/>
    <m/>
    <m/>
    <m/>
    <m/>
    <n v="0"/>
    <m/>
    <m/>
    <n v="0"/>
    <n v="0"/>
    <n v="0"/>
    <n v="0"/>
    <m/>
    <m/>
    <m/>
    <n v="0"/>
    <m/>
    <m/>
    <n v="0"/>
    <m/>
    <m/>
    <m/>
    <m/>
    <m/>
    <m/>
    <n v="0"/>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C Student Loan Program for Health, Science and Mathematics"/>
    <m/>
    <m/>
    <x v="12"/>
    <m/>
    <m/>
    <m/>
    <m/>
    <m/>
    <m/>
    <m/>
    <m/>
    <n v="0"/>
    <m/>
    <m/>
    <n v="0"/>
    <n v="0"/>
    <n v="0"/>
    <m/>
    <m/>
    <m/>
    <m/>
    <n v="0"/>
    <m/>
    <m/>
    <n v="0"/>
    <m/>
    <m/>
    <m/>
    <m/>
    <m/>
    <m/>
    <n v="0"/>
    <n v="0"/>
  </r>
  <r>
    <x v="9"/>
    <x v="26"/>
    <s v="Need-based"/>
    <m/>
    <m/>
    <x v="12"/>
    <m/>
    <m/>
    <m/>
    <m/>
    <m/>
    <m/>
    <m/>
    <m/>
    <n v="0"/>
    <m/>
    <m/>
    <n v="0"/>
    <n v="0"/>
    <n v="0"/>
    <n v="1922779"/>
    <n v="0"/>
    <m/>
    <m/>
    <n v="0"/>
    <m/>
    <m/>
    <n v="0"/>
    <m/>
    <m/>
    <m/>
    <m/>
    <m/>
    <m/>
    <n v="1922779"/>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urse Education Scholarship/Loans"/>
    <m/>
    <m/>
    <x v="12"/>
    <m/>
    <m/>
    <m/>
    <m/>
    <m/>
    <m/>
    <m/>
    <m/>
    <n v="0"/>
    <m/>
    <m/>
    <n v="0"/>
    <n v="0"/>
    <n v="0"/>
    <m/>
    <m/>
    <m/>
    <m/>
    <n v="0"/>
    <m/>
    <m/>
    <n v="0"/>
    <m/>
    <m/>
    <m/>
    <m/>
    <m/>
    <m/>
    <n v="0"/>
    <n v="0"/>
  </r>
  <r>
    <x v="9"/>
    <x v="26"/>
    <s v="Need-based"/>
    <m/>
    <m/>
    <x v="12"/>
    <m/>
    <m/>
    <m/>
    <m/>
    <m/>
    <m/>
    <m/>
    <m/>
    <n v="0"/>
    <m/>
    <m/>
    <n v="0"/>
    <n v="0"/>
    <n v="0"/>
    <n v="867756"/>
    <n v="0"/>
    <m/>
    <m/>
    <n v="0"/>
    <m/>
    <m/>
    <n v="0"/>
    <m/>
    <m/>
    <m/>
    <m/>
    <m/>
    <m/>
    <n v="867756"/>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Graduate Nurse Scholars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2400000"/>
    <n v="0"/>
    <m/>
    <m/>
    <n v="0"/>
    <m/>
    <m/>
    <n v="0"/>
    <m/>
    <m/>
    <m/>
    <m/>
    <m/>
    <m/>
    <n v="240000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Prospective Teacher Scholarship Loan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3252535"/>
    <n v="0"/>
    <m/>
    <m/>
    <n v="0"/>
    <m/>
    <m/>
    <n v="0"/>
    <m/>
    <m/>
    <m/>
    <m/>
    <m/>
    <m/>
    <n v="3252535"/>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Future Teachers of North Carolina Scholarship Loan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0"/>
    <n v="0"/>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urse Scholars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3426482"/>
    <n v="0"/>
    <m/>
    <m/>
    <n v="0"/>
    <m/>
    <m/>
    <n v="0"/>
    <m/>
    <m/>
    <m/>
    <m/>
    <m/>
    <m/>
    <n v="3426482"/>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C Veterans Scholarships"/>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6520964"/>
    <n v="5568222"/>
    <m/>
    <m/>
    <n v="0"/>
    <m/>
    <m/>
    <n v="0"/>
    <m/>
    <m/>
    <m/>
    <m/>
    <m/>
    <m/>
    <n v="6520964"/>
    <n v="5568222"/>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Forgivable Education Loans for Service"/>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m/>
    <n v="16594166"/>
    <m/>
    <m/>
    <n v="0"/>
    <m/>
    <m/>
    <n v="0"/>
    <m/>
    <m/>
    <m/>
    <m/>
    <m/>
    <m/>
    <n v="0"/>
    <n v="16594166"/>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34"/>
    <s v="Limited to public college students only"/>
    <m/>
    <m/>
    <x v="12"/>
    <m/>
    <m/>
    <m/>
    <m/>
    <m/>
    <m/>
    <m/>
    <m/>
    <n v="0"/>
    <m/>
    <m/>
    <n v="0"/>
    <n v="0"/>
    <n v="0"/>
    <m/>
    <m/>
    <m/>
    <m/>
    <n v="0"/>
    <m/>
    <m/>
    <n v="0"/>
    <m/>
    <m/>
    <m/>
    <m/>
    <m/>
    <m/>
    <n v="0"/>
    <n v="0"/>
  </r>
  <r>
    <x v="9"/>
    <x v="34"/>
    <s v="UNC Need-Based Grant"/>
    <m/>
    <m/>
    <x v="12"/>
    <m/>
    <m/>
    <m/>
    <m/>
    <m/>
    <m/>
    <m/>
    <m/>
    <n v="0"/>
    <m/>
    <m/>
    <n v="0"/>
    <n v="0"/>
    <n v="0"/>
    <m/>
    <m/>
    <m/>
    <m/>
    <n v="0"/>
    <m/>
    <m/>
    <n v="0"/>
    <m/>
    <m/>
    <m/>
    <m/>
    <m/>
    <m/>
    <n v="0"/>
    <n v="0"/>
  </r>
  <r>
    <x v="9"/>
    <x v="35"/>
    <s v="Need-based"/>
    <m/>
    <m/>
    <x v="12"/>
    <m/>
    <m/>
    <m/>
    <m/>
    <m/>
    <m/>
    <m/>
    <m/>
    <n v="0"/>
    <m/>
    <m/>
    <n v="0"/>
    <n v="0"/>
    <n v="0"/>
    <n v="127100000"/>
    <n v="147635342"/>
    <m/>
    <m/>
    <n v="0"/>
    <m/>
    <m/>
    <n v="0"/>
    <m/>
    <m/>
    <m/>
    <m/>
    <m/>
    <m/>
    <n v="127100000"/>
    <n v="147635342"/>
  </r>
  <r>
    <x v="9"/>
    <x v="36"/>
    <s v="Non need-based"/>
    <m/>
    <m/>
    <x v="12"/>
    <m/>
    <m/>
    <m/>
    <m/>
    <m/>
    <m/>
    <m/>
    <m/>
    <n v="0"/>
    <m/>
    <m/>
    <n v="0"/>
    <n v="0"/>
    <n v="0"/>
    <m/>
    <m/>
    <m/>
    <m/>
    <n v="0"/>
    <m/>
    <m/>
    <n v="0"/>
    <m/>
    <m/>
    <m/>
    <m/>
    <m/>
    <m/>
    <n v="0"/>
    <n v="0"/>
  </r>
  <r>
    <x v="9"/>
    <x v="34"/>
    <s v="NCSSM Tuition Grant"/>
    <m/>
    <m/>
    <x v="12"/>
    <m/>
    <m/>
    <m/>
    <m/>
    <m/>
    <m/>
    <m/>
    <m/>
    <n v="0"/>
    <m/>
    <m/>
    <n v="0"/>
    <n v="0"/>
    <n v="0"/>
    <m/>
    <m/>
    <m/>
    <m/>
    <n v="0"/>
    <m/>
    <m/>
    <n v="0"/>
    <m/>
    <m/>
    <m/>
    <m/>
    <m/>
    <m/>
    <n v="0"/>
    <n v="0"/>
  </r>
  <r>
    <x v="9"/>
    <x v="35"/>
    <s v="Need-based"/>
    <m/>
    <m/>
    <x v="12"/>
    <m/>
    <m/>
    <m/>
    <m/>
    <m/>
    <m/>
    <m/>
    <m/>
    <n v="0"/>
    <m/>
    <m/>
    <n v="0"/>
    <n v="0"/>
    <n v="0"/>
    <m/>
    <m/>
    <m/>
    <m/>
    <n v="0"/>
    <m/>
    <m/>
    <n v="0"/>
    <m/>
    <m/>
    <m/>
    <m/>
    <m/>
    <m/>
    <n v="0"/>
    <n v="0"/>
  </r>
  <r>
    <x v="9"/>
    <x v="36"/>
    <s v="Non need-based"/>
    <m/>
    <m/>
    <x v="12"/>
    <m/>
    <m/>
    <m/>
    <m/>
    <m/>
    <m/>
    <m/>
    <m/>
    <n v="0"/>
    <m/>
    <m/>
    <n v="0"/>
    <n v="0"/>
    <n v="0"/>
    <n v="2925462"/>
    <n v="2469075"/>
    <m/>
    <m/>
    <n v="0"/>
    <m/>
    <m/>
    <n v="0"/>
    <m/>
    <m/>
    <m/>
    <m/>
    <m/>
    <m/>
    <n v="2925462"/>
    <n v="2469075"/>
  </r>
  <r>
    <x v="9"/>
    <x v="34"/>
    <s v="Teacher Assistant Scholarships"/>
    <m/>
    <m/>
    <x v="12"/>
    <m/>
    <m/>
    <m/>
    <m/>
    <m/>
    <m/>
    <m/>
    <m/>
    <n v="0"/>
    <m/>
    <m/>
    <n v="0"/>
    <n v="0"/>
    <n v="0"/>
    <m/>
    <m/>
    <m/>
    <m/>
    <n v="0"/>
    <m/>
    <m/>
    <n v="0"/>
    <m/>
    <m/>
    <m/>
    <m/>
    <m/>
    <m/>
    <n v="0"/>
    <n v="0"/>
  </r>
  <r>
    <x v="9"/>
    <x v="35"/>
    <s v="Need-based"/>
    <m/>
    <m/>
    <x v="12"/>
    <m/>
    <m/>
    <m/>
    <m/>
    <m/>
    <m/>
    <m/>
    <m/>
    <n v="0"/>
    <m/>
    <m/>
    <n v="0"/>
    <n v="0"/>
    <n v="0"/>
    <n v="231928"/>
    <n v="0"/>
    <m/>
    <m/>
    <n v="0"/>
    <m/>
    <m/>
    <n v="0"/>
    <m/>
    <m/>
    <m/>
    <m/>
    <m/>
    <m/>
    <n v="231928"/>
    <n v="0"/>
  </r>
  <r>
    <x v="9"/>
    <x v="36"/>
    <s v="Non need-based"/>
    <m/>
    <m/>
    <x v="12"/>
    <m/>
    <m/>
    <m/>
    <m/>
    <m/>
    <m/>
    <m/>
    <m/>
    <n v="0"/>
    <m/>
    <m/>
    <n v="0"/>
    <n v="0"/>
    <n v="0"/>
    <m/>
    <m/>
    <m/>
    <m/>
    <n v="0"/>
    <m/>
    <m/>
    <n v="0"/>
    <m/>
    <m/>
    <m/>
    <m/>
    <m/>
    <m/>
    <n v="0"/>
    <n v="0"/>
  </r>
  <r>
    <x v="9"/>
    <x v="34"/>
    <s v="Board of Governor's Dental Scholarships"/>
    <m/>
    <m/>
    <x v="12"/>
    <m/>
    <m/>
    <m/>
    <m/>
    <m/>
    <m/>
    <m/>
    <m/>
    <n v="0"/>
    <m/>
    <m/>
    <n v="0"/>
    <n v="0"/>
    <n v="0"/>
    <m/>
    <m/>
    <m/>
    <m/>
    <n v="0"/>
    <m/>
    <m/>
    <n v="0"/>
    <m/>
    <m/>
    <m/>
    <m/>
    <m/>
    <m/>
    <n v="0"/>
    <n v="0"/>
  </r>
  <r>
    <x v="9"/>
    <x v="35"/>
    <s v="Need-based"/>
    <m/>
    <m/>
    <x v="12"/>
    <m/>
    <m/>
    <m/>
    <m/>
    <m/>
    <m/>
    <m/>
    <m/>
    <n v="0"/>
    <m/>
    <m/>
    <n v="0"/>
    <n v="0"/>
    <n v="0"/>
    <n v="904704"/>
    <n v="0"/>
    <m/>
    <m/>
    <n v="0"/>
    <m/>
    <m/>
    <n v="0"/>
    <m/>
    <m/>
    <m/>
    <m/>
    <m/>
    <m/>
    <n v="904704"/>
    <n v="0"/>
  </r>
  <r>
    <x v="9"/>
    <x v="36"/>
    <s v="Non need-based"/>
    <m/>
    <m/>
    <x v="12"/>
    <m/>
    <m/>
    <m/>
    <m/>
    <m/>
    <m/>
    <m/>
    <m/>
    <n v="0"/>
    <m/>
    <m/>
    <n v="0"/>
    <n v="0"/>
    <n v="0"/>
    <m/>
    <m/>
    <m/>
    <m/>
    <n v="0"/>
    <m/>
    <m/>
    <n v="0"/>
    <m/>
    <m/>
    <m/>
    <m/>
    <m/>
    <m/>
    <n v="0"/>
    <n v="0"/>
  </r>
  <r>
    <x v="9"/>
    <x v="34"/>
    <s v="Principal Fellows Program"/>
    <m/>
    <m/>
    <x v="12"/>
    <m/>
    <m/>
    <m/>
    <m/>
    <m/>
    <m/>
    <m/>
    <m/>
    <n v="0"/>
    <m/>
    <m/>
    <n v="0"/>
    <n v="0"/>
    <n v="0"/>
    <m/>
    <m/>
    <m/>
    <m/>
    <n v="0"/>
    <m/>
    <m/>
    <n v="0"/>
    <m/>
    <m/>
    <m/>
    <m/>
    <m/>
    <m/>
    <n v="0"/>
    <n v="0"/>
  </r>
  <r>
    <x v="9"/>
    <x v="35"/>
    <s v="Need-based"/>
    <m/>
    <m/>
    <x v="12"/>
    <m/>
    <m/>
    <m/>
    <m/>
    <m/>
    <m/>
    <m/>
    <m/>
    <n v="0"/>
    <m/>
    <m/>
    <n v="0"/>
    <n v="0"/>
    <n v="0"/>
    <m/>
    <m/>
    <m/>
    <m/>
    <n v="0"/>
    <m/>
    <m/>
    <n v="0"/>
    <m/>
    <m/>
    <m/>
    <m/>
    <m/>
    <m/>
    <n v="0"/>
    <n v="0"/>
  </r>
  <r>
    <x v="9"/>
    <x v="36"/>
    <s v="Non need-based"/>
    <m/>
    <m/>
    <x v="12"/>
    <m/>
    <m/>
    <m/>
    <m/>
    <m/>
    <m/>
    <m/>
    <m/>
    <n v="0"/>
    <m/>
    <m/>
    <n v="0"/>
    <n v="0"/>
    <n v="0"/>
    <n v="3620000"/>
    <n v="3258000"/>
    <m/>
    <m/>
    <n v="0"/>
    <m/>
    <m/>
    <n v="0"/>
    <m/>
    <m/>
    <m/>
    <m/>
    <m/>
    <m/>
    <n v="3620000"/>
    <n v="3258000"/>
  </r>
  <r>
    <x v="9"/>
    <x v="37"/>
    <s v="Limited to private college students"/>
    <m/>
    <m/>
    <x v="12"/>
    <m/>
    <m/>
    <m/>
    <m/>
    <m/>
    <m/>
    <m/>
    <m/>
    <n v="0"/>
    <m/>
    <m/>
    <n v="0"/>
    <n v="0"/>
    <n v="0"/>
    <m/>
    <m/>
    <m/>
    <m/>
    <n v="0"/>
    <m/>
    <m/>
    <n v="0"/>
    <m/>
    <m/>
    <m/>
    <m/>
    <m/>
    <m/>
    <n v="0"/>
    <n v="0"/>
  </r>
  <r>
    <x v="9"/>
    <x v="37"/>
    <s v="State Contractual Scholarship Fund"/>
    <m/>
    <m/>
    <x v="12"/>
    <m/>
    <m/>
    <m/>
    <m/>
    <m/>
    <m/>
    <m/>
    <m/>
    <n v="0"/>
    <m/>
    <m/>
    <n v="0"/>
    <n v="0"/>
    <n v="0"/>
    <m/>
    <m/>
    <m/>
    <m/>
    <n v="0"/>
    <m/>
    <m/>
    <n v="0"/>
    <m/>
    <m/>
    <m/>
    <m/>
    <m/>
    <m/>
    <n v="0"/>
    <n v="0"/>
  </r>
  <r>
    <x v="9"/>
    <x v="38"/>
    <s v="Need-based"/>
    <m/>
    <m/>
    <x v="12"/>
    <m/>
    <m/>
    <m/>
    <m/>
    <m/>
    <m/>
    <m/>
    <m/>
    <n v="0"/>
    <m/>
    <m/>
    <n v="0"/>
    <n v="0"/>
    <n v="0"/>
    <n v="40162642"/>
    <m/>
    <m/>
    <m/>
    <n v="0"/>
    <m/>
    <m/>
    <n v="0"/>
    <m/>
    <m/>
    <m/>
    <m/>
    <m/>
    <m/>
    <n v="40162642"/>
    <n v="0"/>
  </r>
  <r>
    <x v="9"/>
    <x v="39"/>
    <s v="Non need-based"/>
    <m/>
    <m/>
    <x v="12"/>
    <m/>
    <m/>
    <m/>
    <m/>
    <m/>
    <m/>
    <m/>
    <m/>
    <n v="0"/>
    <m/>
    <m/>
    <n v="0"/>
    <n v="0"/>
    <n v="0"/>
    <m/>
    <m/>
    <m/>
    <m/>
    <n v="0"/>
    <m/>
    <m/>
    <n v="0"/>
    <m/>
    <m/>
    <m/>
    <m/>
    <m/>
    <m/>
    <n v="0"/>
    <n v="0"/>
  </r>
  <r>
    <x v="9"/>
    <x v="37"/>
    <s v="Private College Need Based Aid"/>
    <m/>
    <m/>
    <x v="12"/>
    <m/>
    <m/>
    <m/>
    <m/>
    <m/>
    <m/>
    <m/>
    <m/>
    <n v="0"/>
    <m/>
    <m/>
    <n v="0"/>
    <n v="0"/>
    <n v="0"/>
    <m/>
    <m/>
    <m/>
    <m/>
    <n v="0"/>
    <m/>
    <m/>
    <n v="0"/>
    <m/>
    <m/>
    <m/>
    <m/>
    <m/>
    <m/>
    <n v="0"/>
    <n v="0"/>
  </r>
  <r>
    <x v="9"/>
    <x v="38"/>
    <s v="Need-based"/>
    <m/>
    <m/>
    <x v="12"/>
    <m/>
    <m/>
    <m/>
    <m/>
    <m/>
    <m/>
    <m/>
    <m/>
    <n v="0"/>
    <m/>
    <m/>
    <n v="0"/>
    <n v="0"/>
    <n v="0"/>
    <m/>
    <n v="86351588"/>
    <m/>
    <m/>
    <n v="0"/>
    <m/>
    <m/>
    <n v="0"/>
    <m/>
    <m/>
    <m/>
    <m/>
    <m/>
    <m/>
    <n v="0"/>
    <n v="86351588"/>
  </r>
  <r>
    <x v="9"/>
    <x v="39"/>
    <s v="Non need-based"/>
    <m/>
    <m/>
    <x v="12"/>
    <m/>
    <m/>
    <m/>
    <m/>
    <m/>
    <m/>
    <m/>
    <m/>
    <n v="0"/>
    <m/>
    <m/>
    <n v="0"/>
    <n v="0"/>
    <n v="0"/>
    <m/>
    <m/>
    <m/>
    <m/>
    <n v="0"/>
    <m/>
    <m/>
    <n v="0"/>
    <m/>
    <m/>
    <m/>
    <m/>
    <m/>
    <m/>
    <n v="0"/>
    <n v="0"/>
  </r>
  <r>
    <x v="9"/>
    <x v="37"/>
    <s v="Legislative Tuition Grant"/>
    <m/>
    <m/>
    <x v="12"/>
    <m/>
    <m/>
    <m/>
    <m/>
    <m/>
    <m/>
    <m/>
    <m/>
    <n v="0"/>
    <m/>
    <m/>
    <n v="0"/>
    <n v="0"/>
    <n v="0"/>
    <m/>
    <m/>
    <m/>
    <m/>
    <n v="0"/>
    <m/>
    <m/>
    <n v="0"/>
    <m/>
    <m/>
    <m/>
    <m/>
    <m/>
    <m/>
    <n v="0"/>
    <n v="0"/>
  </r>
  <r>
    <x v="9"/>
    <x v="38"/>
    <s v="Need-based"/>
    <m/>
    <m/>
    <x v="12"/>
    <m/>
    <m/>
    <m/>
    <m/>
    <m/>
    <m/>
    <m/>
    <m/>
    <n v="0"/>
    <m/>
    <m/>
    <n v="0"/>
    <n v="0"/>
    <n v="0"/>
    <m/>
    <m/>
    <m/>
    <m/>
    <n v="0"/>
    <m/>
    <m/>
    <n v="0"/>
    <m/>
    <m/>
    <m/>
    <m/>
    <m/>
    <m/>
    <n v="0"/>
    <n v="0"/>
  </r>
  <r>
    <x v="9"/>
    <x v="39"/>
    <s v="Non need-based"/>
    <m/>
    <m/>
    <x v="12"/>
    <m/>
    <m/>
    <m/>
    <m/>
    <m/>
    <m/>
    <m/>
    <m/>
    <n v="0"/>
    <m/>
    <m/>
    <n v="0"/>
    <n v="0"/>
    <n v="0"/>
    <n v="50364170"/>
    <m/>
    <m/>
    <m/>
    <n v="0"/>
    <m/>
    <m/>
    <n v="0"/>
    <m/>
    <m/>
    <m/>
    <m/>
    <m/>
    <m/>
    <n v="50364170"/>
    <n v="0"/>
  </r>
  <r>
    <x v="9"/>
    <x v="0"/>
    <s v="Asheville-Buncombe Technical Community College"/>
    <m/>
    <n v="197887"/>
    <x v="6"/>
    <n v="20746139"/>
    <n v="22260342"/>
    <m/>
    <m/>
    <n v="8561332"/>
    <n v="8552201"/>
    <n v="10151850"/>
    <m/>
    <n v="10151850"/>
    <n v="10145608"/>
    <m/>
    <n v="10145608"/>
    <n v="39459321"/>
    <n v="40958151"/>
    <m/>
    <m/>
    <m/>
    <m/>
    <n v="0"/>
    <m/>
    <m/>
    <n v="0"/>
    <m/>
    <m/>
    <m/>
    <m/>
    <m/>
    <m/>
    <n v="39459321"/>
    <n v="40958151"/>
  </r>
  <r>
    <x v="9"/>
    <x v="0"/>
    <s v="Nursing / allied health supplement"/>
    <m/>
    <n v="197887"/>
    <x v="6"/>
    <m/>
    <m/>
    <m/>
    <m/>
    <m/>
    <m/>
    <m/>
    <m/>
    <n v="0"/>
    <m/>
    <m/>
    <n v="0"/>
    <n v="0"/>
    <n v="0"/>
    <m/>
    <m/>
    <m/>
    <m/>
    <n v="0"/>
    <m/>
    <m/>
    <n v="0"/>
    <m/>
    <m/>
    <m/>
    <m/>
    <m/>
    <m/>
    <n v="0"/>
    <n v="0"/>
  </r>
  <r>
    <x v="9"/>
    <x v="3"/>
    <s v="Community or public service units"/>
    <m/>
    <n v="197887"/>
    <x v="6"/>
    <m/>
    <m/>
    <n v="171980"/>
    <n v="172836"/>
    <m/>
    <m/>
    <m/>
    <m/>
    <n v="0"/>
    <m/>
    <m/>
    <n v="0"/>
    <n v="171980"/>
    <n v="172836"/>
    <m/>
    <m/>
    <m/>
    <m/>
    <n v="0"/>
    <m/>
    <m/>
    <n v="0"/>
    <m/>
    <m/>
    <m/>
    <m/>
    <m/>
    <m/>
    <n v="171980"/>
    <n v="172836"/>
  </r>
  <r>
    <x v="9"/>
    <x v="44"/>
    <s v="Non-credit continuing education"/>
    <m/>
    <n v="197887"/>
    <x v="6"/>
    <m/>
    <m/>
    <n v="2832540"/>
    <n v="2897307"/>
    <m/>
    <m/>
    <n v="624028"/>
    <m/>
    <n v="624028"/>
    <n v="574408"/>
    <m/>
    <n v="574408"/>
    <n v="3456568"/>
    <n v="3471715"/>
    <m/>
    <m/>
    <m/>
    <m/>
    <n v="0"/>
    <m/>
    <m/>
    <n v="0"/>
    <m/>
    <m/>
    <m/>
    <m/>
    <m/>
    <m/>
    <n v="3456568"/>
    <n v="3471715"/>
  </r>
  <r>
    <x v="9"/>
    <x v="0"/>
    <s v="Cape Fear Community College"/>
    <m/>
    <n v="198154"/>
    <x v="6"/>
    <n v="25634559"/>
    <n v="26491345"/>
    <m/>
    <m/>
    <n v="6485067"/>
    <n v="7302917"/>
    <n v="15722984"/>
    <m/>
    <n v="15722984"/>
    <n v="15713317"/>
    <m/>
    <n v="15713317"/>
    <n v="47842610"/>
    <n v="49507579"/>
    <m/>
    <m/>
    <m/>
    <m/>
    <n v="0"/>
    <m/>
    <m/>
    <n v="0"/>
    <m/>
    <m/>
    <m/>
    <m/>
    <m/>
    <m/>
    <n v="47842610"/>
    <n v="49507579"/>
  </r>
  <r>
    <x v="9"/>
    <x v="0"/>
    <s v="Nursing / allied health supplement"/>
    <m/>
    <n v="198154"/>
    <x v="6"/>
    <m/>
    <m/>
    <m/>
    <m/>
    <m/>
    <m/>
    <m/>
    <m/>
    <n v="0"/>
    <m/>
    <m/>
    <n v="0"/>
    <n v="0"/>
    <n v="0"/>
    <m/>
    <m/>
    <m/>
    <m/>
    <n v="0"/>
    <m/>
    <m/>
    <n v="0"/>
    <m/>
    <m/>
    <m/>
    <m/>
    <m/>
    <m/>
    <n v="0"/>
    <n v="0"/>
  </r>
  <r>
    <x v="9"/>
    <x v="3"/>
    <s v="Community or public service units"/>
    <m/>
    <n v="198154"/>
    <x v="6"/>
    <m/>
    <m/>
    <n v="168793"/>
    <n v="170496"/>
    <m/>
    <m/>
    <m/>
    <m/>
    <n v="0"/>
    <m/>
    <m/>
    <n v="0"/>
    <n v="168793"/>
    <n v="170496"/>
    <m/>
    <m/>
    <m/>
    <m/>
    <n v="0"/>
    <m/>
    <m/>
    <n v="0"/>
    <m/>
    <m/>
    <m/>
    <m/>
    <m/>
    <m/>
    <n v="168793"/>
    <n v="170496"/>
  </r>
  <r>
    <x v="9"/>
    <x v="44"/>
    <s v="Non-credit continuing education"/>
    <m/>
    <n v="198154"/>
    <x v="6"/>
    <m/>
    <m/>
    <n v="3494796"/>
    <n v="3646650"/>
    <m/>
    <m/>
    <n v="734915"/>
    <m/>
    <n v="734915"/>
    <n v="676478"/>
    <m/>
    <n v="676478"/>
    <n v="4229711"/>
    <n v="4323128"/>
    <m/>
    <m/>
    <m/>
    <m/>
    <n v="0"/>
    <m/>
    <m/>
    <n v="0"/>
    <m/>
    <m/>
    <m/>
    <m/>
    <m/>
    <m/>
    <n v="4229711"/>
    <n v="4323128"/>
  </r>
  <r>
    <x v="9"/>
    <x v="0"/>
    <s v="Central Piedmont Community College "/>
    <m/>
    <n v="198260"/>
    <x v="6"/>
    <n v="46082612"/>
    <n v="47092266"/>
    <m/>
    <m/>
    <n v="25900000"/>
    <n v="27099486"/>
    <n v="27564434"/>
    <m/>
    <n v="27564434"/>
    <n v="27547487"/>
    <m/>
    <n v="27547487"/>
    <n v="99547046"/>
    <n v="101739239"/>
    <m/>
    <m/>
    <m/>
    <m/>
    <n v="0"/>
    <m/>
    <m/>
    <n v="0"/>
    <m/>
    <m/>
    <m/>
    <m/>
    <m/>
    <m/>
    <n v="99547046"/>
    <n v="101739239"/>
  </r>
  <r>
    <x v="9"/>
    <x v="0"/>
    <s v="Nursing / allied health supplement"/>
    <m/>
    <n v="198260"/>
    <x v="6"/>
    <m/>
    <m/>
    <m/>
    <m/>
    <m/>
    <m/>
    <m/>
    <m/>
    <n v="0"/>
    <m/>
    <m/>
    <n v="0"/>
    <n v="0"/>
    <n v="0"/>
    <m/>
    <m/>
    <m/>
    <m/>
    <n v="0"/>
    <m/>
    <m/>
    <n v="0"/>
    <m/>
    <m/>
    <m/>
    <m/>
    <m/>
    <m/>
    <n v="0"/>
    <n v="0"/>
  </r>
  <r>
    <x v="9"/>
    <x v="3"/>
    <s v="Community or public service units"/>
    <m/>
    <n v="198260"/>
    <x v="6"/>
    <m/>
    <m/>
    <n v="171297"/>
    <n v="172760"/>
    <m/>
    <m/>
    <m/>
    <m/>
    <n v="0"/>
    <m/>
    <m/>
    <n v="0"/>
    <n v="171297"/>
    <n v="172760"/>
    <m/>
    <m/>
    <m/>
    <m/>
    <n v="0"/>
    <m/>
    <m/>
    <n v="0"/>
    <m/>
    <m/>
    <m/>
    <m/>
    <m/>
    <m/>
    <n v="171297"/>
    <n v="172760"/>
  </r>
  <r>
    <x v="9"/>
    <x v="44"/>
    <s v="Non-credit continuing education"/>
    <m/>
    <n v="198260"/>
    <x v="6"/>
    <m/>
    <m/>
    <n v="5727669"/>
    <n v="5682009"/>
    <m/>
    <m/>
    <n v="783098"/>
    <m/>
    <n v="783098"/>
    <n v="720829"/>
    <m/>
    <n v="720829"/>
    <n v="6510767"/>
    <n v="6402838"/>
    <m/>
    <m/>
    <m/>
    <m/>
    <n v="0"/>
    <m/>
    <m/>
    <n v="0"/>
    <m/>
    <m/>
    <m/>
    <m/>
    <m/>
    <m/>
    <n v="6510767"/>
    <n v="6402838"/>
  </r>
  <r>
    <x v="9"/>
    <x v="0"/>
    <s v="Fayetteville Technical Community College"/>
    <m/>
    <n v="198534"/>
    <x v="6"/>
    <n v="29832526"/>
    <n v="33573742"/>
    <m/>
    <m/>
    <n v="10245762"/>
    <n v="10350038"/>
    <n v="15910419"/>
    <m/>
    <n v="15910419"/>
    <n v="15900637"/>
    <m/>
    <n v="15900637"/>
    <n v="55988707"/>
    <n v="59824417"/>
    <m/>
    <m/>
    <m/>
    <m/>
    <n v="0"/>
    <m/>
    <m/>
    <n v="0"/>
    <m/>
    <m/>
    <m/>
    <m/>
    <m/>
    <m/>
    <n v="55988707"/>
    <n v="59824417"/>
  </r>
  <r>
    <x v="9"/>
    <x v="0"/>
    <s v="Nursing / allied health supplement"/>
    <m/>
    <n v="198534"/>
    <x v="6"/>
    <m/>
    <m/>
    <m/>
    <m/>
    <m/>
    <m/>
    <m/>
    <m/>
    <n v="0"/>
    <m/>
    <m/>
    <n v="0"/>
    <n v="0"/>
    <n v="0"/>
    <m/>
    <m/>
    <m/>
    <m/>
    <n v="0"/>
    <m/>
    <m/>
    <n v="0"/>
    <m/>
    <m/>
    <m/>
    <m/>
    <m/>
    <m/>
    <n v="0"/>
    <n v="0"/>
  </r>
  <r>
    <x v="9"/>
    <x v="3"/>
    <s v="Community or public service units"/>
    <m/>
    <n v="198534"/>
    <x v="6"/>
    <m/>
    <m/>
    <n v="167579"/>
    <n v="168987"/>
    <m/>
    <m/>
    <m/>
    <m/>
    <n v="0"/>
    <m/>
    <m/>
    <n v="0"/>
    <n v="167579"/>
    <n v="168987"/>
    <m/>
    <m/>
    <m/>
    <m/>
    <n v="0"/>
    <m/>
    <m/>
    <n v="0"/>
    <m/>
    <m/>
    <m/>
    <m/>
    <m/>
    <m/>
    <n v="167579"/>
    <n v="168987"/>
  </r>
  <r>
    <x v="9"/>
    <x v="44"/>
    <s v="Non-credit continuing education"/>
    <m/>
    <n v="198534"/>
    <x v="6"/>
    <m/>
    <m/>
    <n v="8558501"/>
    <n v="8158901"/>
    <m/>
    <m/>
    <n v="1576527"/>
    <m/>
    <n v="1576527"/>
    <n v="1451168"/>
    <m/>
    <n v="1451168"/>
    <n v="10135028"/>
    <n v="9610069"/>
    <m/>
    <m/>
    <m/>
    <m/>
    <n v="0"/>
    <m/>
    <m/>
    <n v="0"/>
    <m/>
    <m/>
    <m/>
    <m/>
    <m/>
    <m/>
    <n v="10135028"/>
    <n v="9610069"/>
  </r>
  <r>
    <x v="9"/>
    <x v="0"/>
    <s v="Forsyth Technical Community College"/>
    <m/>
    <n v="198552"/>
    <x v="6"/>
    <n v="24934648"/>
    <n v="26821671"/>
    <m/>
    <m/>
    <n v="7238283"/>
    <n v="8123096"/>
    <n v="14468021"/>
    <m/>
    <n v="14468021"/>
    <n v="14459125"/>
    <m/>
    <n v="14459125"/>
    <n v="46640952"/>
    <n v="49403892"/>
    <m/>
    <m/>
    <m/>
    <m/>
    <n v="0"/>
    <m/>
    <m/>
    <n v="0"/>
    <m/>
    <m/>
    <m/>
    <m/>
    <m/>
    <m/>
    <n v="46640952"/>
    <n v="49403892"/>
  </r>
  <r>
    <x v="9"/>
    <x v="0"/>
    <s v="Nursing / allied health supplement"/>
    <m/>
    <n v="198552"/>
    <x v="6"/>
    <m/>
    <m/>
    <m/>
    <m/>
    <m/>
    <m/>
    <m/>
    <m/>
    <n v="0"/>
    <m/>
    <m/>
    <n v="0"/>
    <n v="0"/>
    <n v="0"/>
    <m/>
    <m/>
    <m/>
    <m/>
    <n v="0"/>
    <m/>
    <m/>
    <n v="0"/>
    <m/>
    <m/>
    <m/>
    <m/>
    <m/>
    <m/>
    <n v="0"/>
    <n v="0"/>
  </r>
  <r>
    <x v="9"/>
    <x v="3"/>
    <s v="Community or public service units"/>
    <m/>
    <n v="198552"/>
    <x v="6"/>
    <m/>
    <m/>
    <n v="171524"/>
    <n v="171779"/>
    <m/>
    <m/>
    <m/>
    <m/>
    <n v="0"/>
    <m/>
    <m/>
    <n v="0"/>
    <n v="171524"/>
    <n v="171779"/>
    <m/>
    <m/>
    <m/>
    <m/>
    <n v="0"/>
    <m/>
    <m/>
    <n v="0"/>
    <m/>
    <m/>
    <m/>
    <m/>
    <m/>
    <m/>
    <n v="171524"/>
    <n v="171779"/>
  </r>
  <r>
    <x v="9"/>
    <x v="44"/>
    <s v="Non-credit continuing education"/>
    <m/>
    <n v="198552"/>
    <x v="6"/>
    <m/>
    <m/>
    <n v="4063547"/>
    <n v="4218171"/>
    <m/>
    <m/>
    <n v="1245365"/>
    <m/>
    <n v="1245365"/>
    <n v="1146339"/>
    <m/>
    <n v="1146339"/>
    <n v="5308912"/>
    <n v="5364510"/>
    <m/>
    <m/>
    <m/>
    <m/>
    <n v="0"/>
    <m/>
    <m/>
    <n v="0"/>
    <m/>
    <m/>
    <m/>
    <m/>
    <m/>
    <m/>
    <n v="5308912"/>
    <n v="5364510"/>
  </r>
  <r>
    <x v="9"/>
    <x v="0"/>
    <s v="Gaston College "/>
    <s v="Met the criteria for Two-Year 2 in 2011-12 and 2012-13."/>
    <n v="198570"/>
    <x v="6"/>
    <n v="19389314"/>
    <n v="19363842"/>
    <m/>
    <m/>
    <n v="4368723"/>
    <n v="4565723"/>
    <n v="9703886"/>
    <m/>
    <n v="9703886"/>
    <n v="9697920"/>
    <m/>
    <n v="9697920"/>
    <n v="33461923"/>
    <n v="33627485"/>
    <m/>
    <m/>
    <m/>
    <m/>
    <n v="0"/>
    <m/>
    <m/>
    <n v="0"/>
    <m/>
    <m/>
    <m/>
    <m/>
    <m/>
    <m/>
    <n v="33461923"/>
    <n v="33627485"/>
  </r>
  <r>
    <x v="9"/>
    <x v="0"/>
    <s v="Nursing / allied health supplement"/>
    <m/>
    <n v="198570"/>
    <x v="6"/>
    <m/>
    <m/>
    <m/>
    <m/>
    <m/>
    <m/>
    <m/>
    <m/>
    <n v="0"/>
    <m/>
    <m/>
    <n v="0"/>
    <n v="0"/>
    <n v="0"/>
    <m/>
    <m/>
    <m/>
    <m/>
    <n v="0"/>
    <m/>
    <m/>
    <n v="0"/>
    <m/>
    <m/>
    <m/>
    <m/>
    <m/>
    <m/>
    <n v="0"/>
    <n v="0"/>
  </r>
  <r>
    <x v="9"/>
    <x v="3"/>
    <s v="Community or public service units"/>
    <m/>
    <n v="198570"/>
    <x v="6"/>
    <m/>
    <m/>
    <n v="166441"/>
    <n v="167477"/>
    <m/>
    <m/>
    <m/>
    <m/>
    <n v="0"/>
    <m/>
    <m/>
    <n v="0"/>
    <n v="166441"/>
    <n v="167477"/>
    <m/>
    <m/>
    <m/>
    <m/>
    <n v="0"/>
    <m/>
    <m/>
    <n v="0"/>
    <m/>
    <m/>
    <m/>
    <m/>
    <m/>
    <m/>
    <n v="166441"/>
    <n v="167477"/>
  </r>
  <r>
    <x v="9"/>
    <x v="44"/>
    <s v="Non-credit continuing education"/>
    <m/>
    <n v="198570"/>
    <x v="6"/>
    <m/>
    <m/>
    <n v="2151577"/>
    <n v="2229549"/>
    <m/>
    <m/>
    <n v="297638"/>
    <m/>
    <n v="297638"/>
    <n v="273971"/>
    <m/>
    <n v="273971"/>
    <n v="2449215"/>
    <n v="2503520"/>
    <m/>
    <m/>
    <m/>
    <m/>
    <n v="0"/>
    <m/>
    <m/>
    <n v="0"/>
    <m/>
    <m/>
    <m/>
    <m/>
    <m/>
    <m/>
    <n v="2449215"/>
    <n v="2503520"/>
  </r>
  <r>
    <x v="9"/>
    <x v="0"/>
    <s v="Guilford Technical Community College"/>
    <m/>
    <n v="198622"/>
    <x v="6"/>
    <n v="36723732"/>
    <n v="36490732"/>
    <m/>
    <m/>
    <n v="11659390"/>
    <n v="11659390"/>
    <n v="24416446"/>
    <m/>
    <n v="24416446"/>
    <n v="24401434"/>
    <m/>
    <n v="24401434"/>
    <n v="72799568"/>
    <n v="72551556"/>
    <m/>
    <m/>
    <m/>
    <m/>
    <n v="0"/>
    <m/>
    <m/>
    <n v="0"/>
    <m/>
    <m/>
    <m/>
    <m/>
    <m/>
    <m/>
    <n v="72799568"/>
    <n v="72551556"/>
  </r>
  <r>
    <x v="9"/>
    <x v="0"/>
    <s v="Nursing / allied health supplement"/>
    <m/>
    <n v="198622"/>
    <x v="6"/>
    <m/>
    <m/>
    <m/>
    <m/>
    <m/>
    <m/>
    <m/>
    <m/>
    <n v="0"/>
    <m/>
    <m/>
    <n v="0"/>
    <n v="0"/>
    <n v="0"/>
    <m/>
    <m/>
    <m/>
    <m/>
    <n v="0"/>
    <m/>
    <m/>
    <n v="0"/>
    <m/>
    <m/>
    <m/>
    <m/>
    <m/>
    <m/>
    <n v="0"/>
    <n v="0"/>
  </r>
  <r>
    <x v="9"/>
    <x v="3"/>
    <s v="Community or public service units"/>
    <m/>
    <n v="198622"/>
    <x v="6"/>
    <m/>
    <m/>
    <n v="171221"/>
    <n v="172458"/>
    <m/>
    <m/>
    <m/>
    <m/>
    <n v="0"/>
    <m/>
    <m/>
    <n v="0"/>
    <n v="171221"/>
    <n v="172458"/>
    <m/>
    <m/>
    <m/>
    <m/>
    <n v="0"/>
    <m/>
    <m/>
    <n v="0"/>
    <m/>
    <m/>
    <m/>
    <m/>
    <m/>
    <m/>
    <n v="171221"/>
    <n v="172458"/>
  </r>
  <r>
    <x v="9"/>
    <x v="44"/>
    <s v="Non-credit continuing education"/>
    <m/>
    <n v="198622"/>
    <x v="6"/>
    <m/>
    <m/>
    <n v="5355350"/>
    <n v="5070596"/>
    <m/>
    <m/>
    <n v="689123"/>
    <m/>
    <n v="689123"/>
    <n v="634327"/>
    <m/>
    <n v="634327"/>
    <n v="6044473"/>
    <n v="5704923"/>
    <m/>
    <m/>
    <m/>
    <m/>
    <n v="0"/>
    <m/>
    <m/>
    <n v="0"/>
    <m/>
    <m/>
    <m/>
    <m/>
    <m/>
    <m/>
    <n v="6044473"/>
    <n v="5704923"/>
  </r>
  <r>
    <x v="9"/>
    <x v="0"/>
    <s v="Pitt Community College"/>
    <m/>
    <n v="199333"/>
    <x v="6"/>
    <n v="21204484"/>
    <n v="21661847"/>
    <m/>
    <m/>
    <n v="4348981"/>
    <n v="4650872"/>
    <n v="13638376"/>
    <m/>
    <n v="13638376"/>
    <n v="13629991"/>
    <m/>
    <n v="13629991"/>
    <n v="39191841"/>
    <n v="39942710"/>
    <m/>
    <m/>
    <m/>
    <m/>
    <n v="0"/>
    <m/>
    <m/>
    <n v="0"/>
    <m/>
    <m/>
    <m/>
    <m/>
    <m/>
    <m/>
    <n v="39191841"/>
    <n v="39942710"/>
  </r>
  <r>
    <x v="9"/>
    <x v="0"/>
    <s v="Nursing / allied health supplement"/>
    <m/>
    <n v="199333"/>
    <x v="6"/>
    <m/>
    <m/>
    <m/>
    <m/>
    <m/>
    <m/>
    <m/>
    <m/>
    <n v="0"/>
    <m/>
    <m/>
    <n v="0"/>
    <n v="0"/>
    <n v="0"/>
    <m/>
    <m/>
    <m/>
    <m/>
    <n v="0"/>
    <m/>
    <m/>
    <n v="0"/>
    <m/>
    <m/>
    <m/>
    <m/>
    <m/>
    <m/>
    <n v="0"/>
    <n v="0"/>
  </r>
  <r>
    <x v="9"/>
    <x v="3"/>
    <s v="Community or public service units"/>
    <m/>
    <n v="199333"/>
    <x v="6"/>
    <m/>
    <m/>
    <n v="155151"/>
    <n v="157553"/>
    <m/>
    <m/>
    <m/>
    <m/>
    <n v="0"/>
    <m/>
    <m/>
    <n v="0"/>
    <n v="155151"/>
    <n v="157553"/>
    <m/>
    <m/>
    <m/>
    <m/>
    <n v="0"/>
    <m/>
    <m/>
    <n v="0"/>
    <m/>
    <m/>
    <m/>
    <m/>
    <m/>
    <m/>
    <n v="155151"/>
    <n v="157553"/>
  </r>
  <r>
    <x v="9"/>
    <x v="44"/>
    <s v="Non-credit continuing education"/>
    <m/>
    <n v="199333"/>
    <x v="6"/>
    <m/>
    <m/>
    <n v="2697867"/>
    <n v="2696604"/>
    <m/>
    <m/>
    <n v="387002"/>
    <m/>
    <n v="387002"/>
    <n v="356229"/>
    <m/>
    <n v="356229"/>
    <n v="3084869"/>
    <n v="3052833"/>
    <m/>
    <m/>
    <m/>
    <m/>
    <n v="0"/>
    <m/>
    <m/>
    <n v="0"/>
    <m/>
    <m/>
    <m/>
    <m/>
    <m/>
    <m/>
    <n v="3084869"/>
    <n v="3052833"/>
  </r>
  <r>
    <x v="9"/>
    <x v="0"/>
    <s v="Rowan-Cabarrus Community College"/>
    <m/>
    <n v="199494"/>
    <x v="6"/>
    <n v="24176097"/>
    <n v="24495671"/>
    <m/>
    <m/>
    <n v="3806332"/>
    <n v="3884344"/>
    <n v="10126489"/>
    <m/>
    <n v="10126489"/>
    <n v="10120263"/>
    <m/>
    <n v="10120263"/>
    <n v="38108918"/>
    <n v="38500278"/>
    <m/>
    <m/>
    <m/>
    <m/>
    <n v="0"/>
    <m/>
    <m/>
    <n v="0"/>
    <m/>
    <m/>
    <m/>
    <m/>
    <m/>
    <m/>
    <n v="38108918"/>
    <n v="38500278"/>
  </r>
  <r>
    <x v="9"/>
    <x v="0"/>
    <s v="Nursing / allied health supplement"/>
    <m/>
    <n v="199494"/>
    <x v="6"/>
    <m/>
    <m/>
    <m/>
    <m/>
    <m/>
    <m/>
    <m/>
    <m/>
    <n v="0"/>
    <m/>
    <m/>
    <n v="0"/>
    <n v="0"/>
    <n v="0"/>
    <m/>
    <m/>
    <m/>
    <m/>
    <n v="0"/>
    <m/>
    <m/>
    <n v="0"/>
    <m/>
    <m/>
    <m/>
    <m/>
    <m/>
    <m/>
    <n v="0"/>
    <n v="0"/>
  </r>
  <r>
    <x v="9"/>
    <x v="3"/>
    <s v="Community or public service units"/>
    <m/>
    <n v="199494"/>
    <x v="6"/>
    <m/>
    <m/>
    <n v="165151"/>
    <n v="167326"/>
    <m/>
    <m/>
    <m/>
    <m/>
    <n v="0"/>
    <m/>
    <m/>
    <n v="0"/>
    <n v="165151"/>
    <n v="167326"/>
    <m/>
    <m/>
    <m/>
    <m/>
    <n v="0"/>
    <m/>
    <m/>
    <n v="0"/>
    <m/>
    <m/>
    <m/>
    <m/>
    <m/>
    <m/>
    <n v="165151"/>
    <n v="167326"/>
  </r>
  <r>
    <x v="9"/>
    <x v="44"/>
    <s v="Non-credit continuing education"/>
    <m/>
    <n v="199494"/>
    <x v="6"/>
    <m/>
    <m/>
    <n v="3456566"/>
    <n v="3501781"/>
    <m/>
    <m/>
    <n v="387798"/>
    <m/>
    <n v="387798"/>
    <n v="356962"/>
    <m/>
    <n v="356962"/>
    <n v="3844364"/>
    <n v="3858743"/>
    <m/>
    <m/>
    <m/>
    <m/>
    <n v="0"/>
    <m/>
    <m/>
    <n v="0"/>
    <m/>
    <m/>
    <m/>
    <m/>
    <m/>
    <m/>
    <n v="3844364"/>
    <n v="3858743"/>
  </r>
  <r>
    <x v="9"/>
    <x v="0"/>
    <s v="Wake Technical Community College"/>
    <m/>
    <n v="199856"/>
    <x v="6"/>
    <n v="43118856"/>
    <n v="47844093"/>
    <m/>
    <m/>
    <n v="15991050"/>
    <n v="16190938"/>
    <n v="25665781"/>
    <m/>
    <n v="25665781"/>
    <n v="25650000"/>
    <m/>
    <n v="25650000"/>
    <n v="84775687"/>
    <n v="89685031"/>
    <m/>
    <m/>
    <m/>
    <m/>
    <n v="0"/>
    <m/>
    <m/>
    <n v="0"/>
    <m/>
    <m/>
    <m/>
    <m/>
    <m/>
    <m/>
    <n v="84775687"/>
    <n v="89685031"/>
  </r>
  <r>
    <x v="9"/>
    <x v="0"/>
    <s v="Nursing / allied health supplement"/>
    <m/>
    <n v="199856"/>
    <x v="6"/>
    <m/>
    <m/>
    <m/>
    <m/>
    <m/>
    <m/>
    <m/>
    <m/>
    <n v="0"/>
    <m/>
    <m/>
    <n v="0"/>
    <n v="0"/>
    <n v="0"/>
    <m/>
    <m/>
    <m/>
    <m/>
    <n v="0"/>
    <m/>
    <m/>
    <n v="0"/>
    <m/>
    <m/>
    <m/>
    <m/>
    <m/>
    <m/>
    <n v="0"/>
    <n v="0"/>
  </r>
  <r>
    <x v="9"/>
    <x v="3"/>
    <s v="Community or public service units"/>
    <m/>
    <n v="199856"/>
    <x v="6"/>
    <m/>
    <m/>
    <n v="172738"/>
    <n v="174723"/>
    <m/>
    <m/>
    <m/>
    <m/>
    <n v="0"/>
    <m/>
    <m/>
    <n v="0"/>
    <n v="172738"/>
    <n v="174723"/>
    <m/>
    <m/>
    <m/>
    <m/>
    <n v="0"/>
    <m/>
    <m/>
    <n v="0"/>
    <m/>
    <m/>
    <m/>
    <m/>
    <m/>
    <m/>
    <n v="172738"/>
    <n v="174723"/>
  </r>
  <r>
    <x v="9"/>
    <x v="44"/>
    <s v="Non-credit continuing education"/>
    <m/>
    <n v="199856"/>
    <x v="6"/>
    <m/>
    <m/>
    <n v="7836786"/>
    <n v="7694269"/>
    <m/>
    <m/>
    <n v="1919255"/>
    <m/>
    <n v="1919255"/>
    <n v="1766644"/>
    <m/>
    <n v="1766644"/>
    <n v="9756041"/>
    <n v="9460913"/>
    <m/>
    <m/>
    <m/>
    <m/>
    <n v="0"/>
    <m/>
    <m/>
    <n v="0"/>
    <m/>
    <m/>
    <m/>
    <m/>
    <m/>
    <m/>
    <n v="9756041"/>
    <n v="9460913"/>
  </r>
  <r>
    <x v="9"/>
    <x v="0"/>
    <s v="Alamance Community College"/>
    <m/>
    <n v="199786"/>
    <x v="7"/>
    <n v="14251949"/>
    <n v="14324150"/>
    <m/>
    <m/>
    <n v="2839718"/>
    <n v="2623347"/>
    <n v="7582460"/>
    <m/>
    <n v="7582460"/>
    <n v="7577798"/>
    <m/>
    <n v="7577798"/>
    <n v="24674127"/>
    <n v="24525295"/>
    <m/>
    <m/>
    <m/>
    <m/>
    <n v="0"/>
    <m/>
    <m/>
    <n v="0"/>
    <m/>
    <m/>
    <m/>
    <m/>
    <m/>
    <m/>
    <n v="24674127"/>
    <n v="24525295"/>
  </r>
  <r>
    <x v="9"/>
    <x v="0"/>
    <s v="Nursing / allied health supplement"/>
    <m/>
    <n v="199786"/>
    <x v="7"/>
    <m/>
    <m/>
    <m/>
    <m/>
    <m/>
    <m/>
    <m/>
    <m/>
    <n v="0"/>
    <m/>
    <m/>
    <n v="0"/>
    <n v="0"/>
    <n v="0"/>
    <m/>
    <m/>
    <m/>
    <m/>
    <n v="0"/>
    <m/>
    <m/>
    <n v="0"/>
    <m/>
    <m/>
    <m/>
    <m/>
    <m/>
    <m/>
    <n v="0"/>
    <n v="0"/>
  </r>
  <r>
    <x v="9"/>
    <x v="3"/>
    <s v="Community or public service units"/>
    <m/>
    <n v="199786"/>
    <x v="7"/>
    <m/>
    <m/>
    <n v="161812"/>
    <n v="163024"/>
    <m/>
    <m/>
    <m/>
    <m/>
    <n v="0"/>
    <m/>
    <m/>
    <n v="0"/>
    <n v="161812"/>
    <n v="163024"/>
    <m/>
    <m/>
    <m/>
    <m/>
    <n v="0"/>
    <m/>
    <m/>
    <n v="0"/>
    <m/>
    <m/>
    <m/>
    <m/>
    <m/>
    <m/>
    <n v="161812"/>
    <n v="163024"/>
  </r>
  <r>
    <x v="9"/>
    <x v="44"/>
    <s v="Non-credit continuing education"/>
    <m/>
    <n v="199786"/>
    <x v="7"/>
    <m/>
    <m/>
    <n v="2011068"/>
    <n v="2123762"/>
    <m/>
    <m/>
    <n v="356587"/>
    <m/>
    <n v="356587"/>
    <n v="328233"/>
    <m/>
    <n v="328233"/>
    <n v="2367655"/>
    <n v="2451995"/>
    <m/>
    <m/>
    <m/>
    <m/>
    <n v="0"/>
    <m/>
    <m/>
    <n v="0"/>
    <m/>
    <m/>
    <m/>
    <m/>
    <m/>
    <m/>
    <n v="2367655"/>
    <n v="2451995"/>
  </r>
  <r>
    <x v="9"/>
    <x v="0"/>
    <s v="Caldwell Community College &amp; Technical Institute"/>
    <m/>
    <n v="198118"/>
    <x v="7"/>
    <n v="13915750"/>
    <n v="14593942"/>
    <m/>
    <m/>
    <n v="5573515"/>
    <n v="3988805"/>
    <n v="6648451"/>
    <m/>
    <n v="6648451"/>
    <n v="6644363"/>
    <m/>
    <n v="6644363"/>
    <n v="26137716"/>
    <n v="25227110"/>
    <m/>
    <m/>
    <m/>
    <m/>
    <n v="0"/>
    <m/>
    <m/>
    <n v="0"/>
    <m/>
    <m/>
    <m/>
    <m/>
    <m/>
    <m/>
    <n v="26137716"/>
    <n v="25227110"/>
  </r>
  <r>
    <x v="9"/>
    <x v="0"/>
    <s v="Nursing / allied health supplement"/>
    <m/>
    <n v="198118"/>
    <x v="7"/>
    <m/>
    <m/>
    <m/>
    <m/>
    <m/>
    <m/>
    <m/>
    <m/>
    <n v="0"/>
    <m/>
    <m/>
    <n v="0"/>
    <n v="0"/>
    <n v="0"/>
    <m/>
    <m/>
    <m/>
    <m/>
    <n v="0"/>
    <m/>
    <m/>
    <n v="0"/>
    <m/>
    <m/>
    <m/>
    <m/>
    <m/>
    <m/>
    <n v="0"/>
    <n v="0"/>
  </r>
  <r>
    <x v="9"/>
    <x v="3"/>
    <s v="Community or public service units"/>
    <m/>
    <n v="198118"/>
    <x v="7"/>
    <m/>
    <m/>
    <n v="150523"/>
    <n v="151364"/>
    <m/>
    <m/>
    <m/>
    <m/>
    <n v="0"/>
    <m/>
    <m/>
    <n v="0"/>
    <n v="150523"/>
    <n v="151364"/>
    <m/>
    <m/>
    <m/>
    <m/>
    <n v="0"/>
    <m/>
    <m/>
    <n v="0"/>
    <m/>
    <m/>
    <m/>
    <m/>
    <m/>
    <m/>
    <n v="150523"/>
    <n v="151364"/>
  </r>
  <r>
    <x v="9"/>
    <x v="44"/>
    <s v="Non-credit continuing education"/>
    <m/>
    <n v="198118"/>
    <x v="7"/>
    <m/>
    <m/>
    <n v="2603813"/>
    <n v="2566685"/>
    <m/>
    <m/>
    <n v="414850"/>
    <m/>
    <n v="414850"/>
    <n v="381863"/>
    <m/>
    <n v="381863"/>
    <n v="3018663"/>
    <n v="2948548"/>
    <m/>
    <m/>
    <m/>
    <m/>
    <n v="0"/>
    <m/>
    <m/>
    <n v="0"/>
    <m/>
    <m/>
    <m/>
    <m/>
    <m/>
    <m/>
    <n v="3018663"/>
    <n v="2948548"/>
  </r>
  <r>
    <x v="9"/>
    <x v="0"/>
    <s v="Catawba Valley Community College"/>
    <m/>
    <n v="198233"/>
    <x v="7"/>
    <n v="16534753"/>
    <n v="16507047"/>
    <m/>
    <m/>
    <n v="3652068"/>
    <n v="3762188"/>
    <n v="6902994"/>
    <m/>
    <n v="6902994"/>
    <n v="6898749"/>
    <m/>
    <n v="6898749"/>
    <n v="27089815"/>
    <n v="27167984"/>
    <m/>
    <m/>
    <m/>
    <m/>
    <n v="0"/>
    <m/>
    <m/>
    <n v="0"/>
    <m/>
    <m/>
    <m/>
    <m/>
    <m/>
    <m/>
    <n v="27089815"/>
    <n v="27167984"/>
  </r>
  <r>
    <x v="9"/>
    <x v="0"/>
    <s v="Nursing / allied health supplement"/>
    <m/>
    <n v="198233"/>
    <x v="7"/>
    <m/>
    <m/>
    <m/>
    <m/>
    <m/>
    <m/>
    <m/>
    <m/>
    <n v="0"/>
    <m/>
    <m/>
    <n v="0"/>
    <n v="0"/>
    <n v="0"/>
    <m/>
    <m/>
    <m/>
    <m/>
    <n v="0"/>
    <m/>
    <m/>
    <n v="0"/>
    <m/>
    <m/>
    <m/>
    <m/>
    <m/>
    <m/>
    <n v="0"/>
    <n v="0"/>
  </r>
  <r>
    <x v="9"/>
    <x v="3"/>
    <s v="Community or public service units"/>
    <m/>
    <n v="198233"/>
    <x v="7"/>
    <m/>
    <m/>
    <n v="165682"/>
    <n v="165741"/>
    <m/>
    <m/>
    <m/>
    <m/>
    <n v="0"/>
    <m/>
    <m/>
    <n v="0"/>
    <n v="165682"/>
    <n v="165741"/>
    <m/>
    <m/>
    <m/>
    <m/>
    <n v="0"/>
    <m/>
    <m/>
    <n v="0"/>
    <m/>
    <m/>
    <m/>
    <m/>
    <m/>
    <m/>
    <n v="165682"/>
    <n v="165741"/>
  </r>
  <r>
    <x v="9"/>
    <x v="44"/>
    <s v="Non-credit continuing education"/>
    <m/>
    <n v="198233"/>
    <x v="7"/>
    <m/>
    <m/>
    <n v="2567746"/>
    <n v="2487812"/>
    <m/>
    <m/>
    <n v="310498"/>
    <m/>
    <n v="310498"/>
    <n v="285808"/>
    <m/>
    <n v="285808"/>
    <n v="2878244"/>
    <n v="2773620"/>
    <m/>
    <m/>
    <m/>
    <m/>
    <n v="0"/>
    <m/>
    <m/>
    <n v="0"/>
    <m/>
    <m/>
    <m/>
    <m/>
    <m/>
    <m/>
    <n v="2878244"/>
    <n v="2773620"/>
  </r>
  <r>
    <x v="9"/>
    <x v="0"/>
    <s v="Central Carolina Commuity College"/>
    <m/>
    <n v="198251"/>
    <x v="7"/>
    <n v="17471701"/>
    <n v="17255068"/>
    <m/>
    <m/>
    <n v="3606186"/>
    <n v="3785690"/>
    <n v="6519509"/>
    <m/>
    <n v="6519509"/>
    <n v="6515501"/>
    <m/>
    <n v="6515501"/>
    <n v="27597396"/>
    <n v="27556259"/>
    <m/>
    <m/>
    <m/>
    <m/>
    <n v="0"/>
    <m/>
    <m/>
    <n v="0"/>
    <m/>
    <m/>
    <m/>
    <m/>
    <m/>
    <m/>
    <n v="27597396"/>
    <n v="27556259"/>
  </r>
  <r>
    <x v="9"/>
    <x v="0"/>
    <s v="Nursing / allied health supplement"/>
    <m/>
    <n v="198251"/>
    <x v="7"/>
    <m/>
    <m/>
    <m/>
    <m/>
    <m/>
    <m/>
    <m/>
    <m/>
    <n v="0"/>
    <m/>
    <m/>
    <n v="0"/>
    <n v="0"/>
    <n v="0"/>
    <m/>
    <m/>
    <m/>
    <m/>
    <n v="0"/>
    <m/>
    <m/>
    <n v="0"/>
    <m/>
    <m/>
    <m/>
    <m/>
    <m/>
    <m/>
    <n v="0"/>
    <n v="0"/>
  </r>
  <r>
    <x v="9"/>
    <x v="3"/>
    <s v="Community or public service units"/>
    <m/>
    <n v="198251"/>
    <x v="7"/>
    <m/>
    <m/>
    <n v="169779"/>
    <n v="172987"/>
    <m/>
    <m/>
    <m/>
    <m/>
    <n v="0"/>
    <m/>
    <m/>
    <n v="0"/>
    <n v="169779"/>
    <n v="172987"/>
    <m/>
    <m/>
    <m/>
    <m/>
    <n v="0"/>
    <m/>
    <m/>
    <n v="0"/>
    <m/>
    <m/>
    <m/>
    <m/>
    <m/>
    <m/>
    <n v="169779"/>
    <n v="172987"/>
  </r>
  <r>
    <x v="9"/>
    <x v="44"/>
    <s v="Non-credit continuing education"/>
    <m/>
    <n v="198251"/>
    <x v="7"/>
    <m/>
    <m/>
    <n v="4776341"/>
    <n v="4809120"/>
    <m/>
    <m/>
    <n v="586646"/>
    <m/>
    <n v="586646"/>
    <n v="539999"/>
    <m/>
    <n v="539999"/>
    <n v="5362987"/>
    <n v="5349119"/>
    <m/>
    <m/>
    <m/>
    <m/>
    <n v="0"/>
    <m/>
    <m/>
    <n v="0"/>
    <m/>
    <m/>
    <m/>
    <m/>
    <m/>
    <m/>
    <n v="5362987"/>
    <n v="5349119"/>
  </r>
  <r>
    <x v="9"/>
    <x v="0"/>
    <s v="Cleveland Community College"/>
    <m/>
    <n v="198321"/>
    <x v="7"/>
    <n v="12461189"/>
    <n v="12577313"/>
    <m/>
    <m/>
    <n v="1415129"/>
    <n v="1415129"/>
    <n v="4300307"/>
    <m/>
    <n v="4300307"/>
    <n v="4297663"/>
    <m/>
    <n v="4297663"/>
    <n v="18176625"/>
    <n v="18290105"/>
    <m/>
    <m/>
    <m/>
    <m/>
    <n v="0"/>
    <m/>
    <m/>
    <n v="0"/>
    <m/>
    <m/>
    <m/>
    <m/>
    <m/>
    <m/>
    <n v="18176625"/>
    <n v="18290105"/>
  </r>
  <r>
    <x v="9"/>
    <x v="0"/>
    <s v="Nursing / allied health supplement"/>
    <m/>
    <n v="198321"/>
    <x v="7"/>
    <m/>
    <m/>
    <m/>
    <m/>
    <m/>
    <m/>
    <m/>
    <m/>
    <n v="0"/>
    <m/>
    <m/>
    <n v="0"/>
    <n v="0"/>
    <n v="0"/>
    <m/>
    <m/>
    <m/>
    <m/>
    <n v="0"/>
    <m/>
    <m/>
    <n v="0"/>
    <m/>
    <m/>
    <m/>
    <m/>
    <m/>
    <m/>
    <n v="0"/>
    <n v="0"/>
  </r>
  <r>
    <x v="9"/>
    <x v="3"/>
    <s v="Community or public service units"/>
    <m/>
    <n v="198321"/>
    <x v="7"/>
    <m/>
    <m/>
    <n v="146122"/>
    <n v="146760"/>
    <m/>
    <m/>
    <m/>
    <m/>
    <n v="0"/>
    <m/>
    <m/>
    <n v="0"/>
    <n v="146122"/>
    <n v="146760"/>
    <m/>
    <m/>
    <m/>
    <m/>
    <n v="0"/>
    <m/>
    <m/>
    <n v="0"/>
    <m/>
    <m/>
    <m/>
    <m/>
    <m/>
    <m/>
    <n v="146122"/>
    <n v="146760"/>
  </r>
  <r>
    <x v="9"/>
    <x v="44"/>
    <s v="Non-credit continuing education"/>
    <m/>
    <n v="198321"/>
    <x v="7"/>
    <m/>
    <m/>
    <n v="1495630"/>
    <n v="1532327"/>
    <m/>
    <m/>
    <n v="171431"/>
    <m/>
    <n v="171431"/>
    <n v="157799"/>
    <m/>
    <n v="157799"/>
    <n v="1667061"/>
    <n v="1690126"/>
    <m/>
    <m/>
    <m/>
    <m/>
    <n v="0"/>
    <m/>
    <m/>
    <n v="0"/>
    <m/>
    <m/>
    <m/>
    <m/>
    <m/>
    <m/>
    <n v="1667061"/>
    <n v="1690126"/>
  </r>
  <r>
    <x v="9"/>
    <x v="0"/>
    <s v="Coastal Carolina Community College "/>
    <m/>
    <n v="198330"/>
    <x v="7"/>
    <n v="12829060"/>
    <n v="12968949"/>
    <m/>
    <m/>
    <n v="3423840"/>
    <n v="3617540"/>
    <n v="8600559"/>
    <m/>
    <n v="8600559"/>
    <n v="8595271"/>
    <m/>
    <n v="8595271"/>
    <n v="24853459"/>
    <n v="25181760"/>
    <m/>
    <m/>
    <m/>
    <m/>
    <n v="0"/>
    <m/>
    <m/>
    <n v="0"/>
    <m/>
    <m/>
    <m/>
    <m/>
    <m/>
    <m/>
    <n v="24853459"/>
    <n v="25181760"/>
  </r>
  <r>
    <x v="9"/>
    <x v="0"/>
    <s v="Nursing / allied health supplement"/>
    <m/>
    <n v="198330"/>
    <x v="7"/>
    <m/>
    <m/>
    <m/>
    <m/>
    <m/>
    <m/>
    <m/>
    <m/>
    <n v="0"/>
    <m/>
    <m/>
    <n v="0"/>
    <n v="0"/>
    <n v="0"/>
    <m/>
    <m/>
    <m/>
    <m/>
    <n v="0"/>
    <m/>
    <m/>
    <n v="0"/>
    <m/>
    <m/>
    <m/>
    <m/>
    <m/>
    <m/>
    <n v="0"/>
    <n v="0"/>
  </r>
  <r>
    <x v="9"/>
    <x v="3"/>
    <s v="Community or public service units"/>
    <m/>
    <n v="198330"/>
    <x v="7"/>
    <m/>
    <m/>
    <n v="155307"/>
    <n v="158449"/>
    <m/>
    <m/>
    <m/>
    <m/>
    <n v="0"/>
    <m/>
    <m/>
    <n v="0"/>
    <n v="155307"/>
    <n v="158449"/>
    <m/>
    <m/>
    <m/>
    <m/>
    <n v="0"/>
    <m/>
    <m/>
    <n v="0"/>
    <m/>
    <m/>
    <m/>
    <m/>
    <m/>
    <m/>
    <n v="155307"/>
    <n v="158449"/>
  </r>
  <r>
    <x v="9"/>
    <x v="44"/>
    <s v="Non-credit continuing education"/>
    <m/>
    <n v="198330"/>
    <x v="7"/>
    <m/>
    <m/>
    <n v="2465074"/>
    <n v="2268027"/>
    <m/>
    <m/>
    <n v="1162725"/>
    <m/>
    <n v="1162725"/>
    <n v="1070271"/>
    <m/>
    <n v="1070271"/>
    <n v="3627799"/>
    <n v="3338298"/>
    <m/>
    <m/>
    <m/>
    <m/>
    <n v="0"/>
    <m/>
    <m/>
    <n v="0"/>
    <m/>
    <m/>
    <m/>
    <m/>
    <m/>
    <m/>
    <n v="3627799"/>
    <n v="3338298"/>
  </r>
  <r>
    <x v="9"/>
    <x v="0"/>
    <s v="Craven Community College "/>
    <m/>
    <n v="198367"/>
    <x v="7"/>
    <n v="9643740"/>
    <n v="9880592"/>
    <m/>
    <m/>
    <n v="3455130"/>
    <n v="3455130"/>
    <n v="5629160"/>
    <m/>
    <n v="5629160"/>
    <n v="5625699"/>
    <m/>
    <n v="5625699"/>
    <n v="18728030"/>
    <n v="18961421"/>
    <m/>
    <m/>
    <m/>
    <m/>
    <n v="0"/>
    <m/>
    <m/>
    <n v="0"/>
    <m/>
    <m/>
    <m/>
    <m/>
    <m/>
    <m/>
    <n v="18728030"/>
    <n v="18961421"/>
  </r>
  <r>
    <x v="9"/>
    <x v="0"/>
    <s v="Nursing / allied health supplement"/>
    <m/>
    <n v="198367"/>
    <x v="7"/>
    <m/>
    <m/>
    <m/>
    <m/>
    <m/>
    <m/>
    <m/>
    <m/>
    <n v="0"/>
    <m/>
    <m/>
    <n v="0"/>
    <n v="0"/>
    <n v="0"/>
    <m/>
    <m/>
    <m/>
    <m/>
    <n v="0"/>
    <m/>
    <m/>
    <n v="0"/>
    <m/>
    <m/>
    <m/>
    <m/>
    <m/>
    <m/>
    <n v="0"/>
    <n v="0"/>
  </r>
  <r>
    <x v="9"/>
    <x v="3"/>
    <s v="Community or public service units"/>
    <m/>
    <n v="198367"/>
    <x v="7"/>
    <m/>
    <m/>
    <n v="153785"/>
    <n v="154307"/>
    <m/>
    <m/>
    <m/>
    <m/>
    <n v="0"/>
    <m/>
    <m/>
    <n v="0"/>
    <n v="153785"/>
    <n v="154307"/>
    <m/>
    <m/>
    <m/>
    <m/>
    <n v="0"/>
    <m/>
    <m/>
    <n v="0"/>
    <m/>
    <m/>
    <m/>
    <m/>
    <m/>
    <m/>
    <n v="153785"/>
    <n v="154307"/>
  </r>
  <r>
    <x v="9"/>
    <x v="44"/>
    <s v="Non-credit continuing education"/>
    <m/>
    <n v="198367"/>
    <x v="7"/>
    <m/>
    <m/>
    <n v="1462429"/>
    <n v="1386801"/>
    <m/>
    <m/>
    <n v="385134"/>
    <m/>
    <n v="385134"/>
    <n v="354509"/>
    <m/>
    <n v="354509"/>
    <n v="1847563"/>
    <n v="1741310"/>
    <m/>
    <m/>
    <m/>
    <m/>
    <n v="0"/>
    <m/>
    <m/>
    <n v="0"/>
    <m/>
    <m/>
    <m/>
    <m/>
    <m/>
    <m/>
    <n v="1847563"/>
    <n v="1741310"/>
  </r>
  <r>
    <x v="9"/>
    <x v="0"/>
    <s v="Davidson County Community College "/>
    <m/>
    <n v="198376"/>
    <x v="7"/>
    <n v="13797481"/>
    <n v="13771377"/>
    <m/>
    <m/>
    <n v="3538404"/>
    <n v="3573362"/>
    <n v="5696203"/>
    <m/>
    <n v="5696203"/>
    <n v="5692701"/>
    <m/>
    <n v="5692701"/>
    <n v="23032088"/>
    <n v="23037440"/>
    <m/>
    <m/>
    <m/>
    <m/>
    <n v="0"/>
    <m/>
    <m/>
    <n v="0"/>
    <m/>
    <m/>
    <m/>
    <m/>
    <m/>
    <m/>
    <n v="23032088"/>
    <n v="23037440"/>
  </r>
  <r>
    <x v="9"/>
    <x v="0"/>
    <s v="Nursing / allied health supplement"/>
    <m/>
    <n v="198376"/>
    <x v="7"/>
    <m/>
    <m/>
    <m/>
    <m/>
    <m/>
    <m/>
    <m/>
    <m/>
    <n v="0"/>
    <m/>
    <m/>
    <n v="0"/>
    <n v="0"/>
    <n v="0"/>
    <m/>
    <m/>
    <m/>
    <m/>
    <n v="0"/>
    <m/>
    <m/>
    <n v="0"/>
    <m/>
    <m/>
    <m/>
    <m/>
    <m/>
    <m/>
    <n v="0"/>
    <n v="0"/>
  </r>
  <r>
    <x v="9"/>
    <x v="3"/>
    <s v="Community or public service units"/>
    <m/>
    <n v="198376"/>
    <x v="7"/>
    <m/>
    <m/>
    <n v="157184"/>
    <n v="158647"/>
    <m/>
    <m/>
    <m/>
    <m/>
    <n v="0"/>
    <m/>
    <m/>
    <n v="0"/>
    <n v="157184"/>
    <n v="158647"/>
    <m/>
    <m/>
    <m/>
    <m/>
    <n v="0"/>
    <m/>
    <m/>
    <n v="0"/>
    <m/>
    <m/>
    <m/>
    <m/>
    <m/>
    <m/>
    <n v="157184"/>
    <n v="158647"/>
  </r>
  <r>
    <x v="9"/>
    <x v="44"/>
    <s v="Non-credit continuing education"/>
    <m/>
    <n v="198376"/>
    <x v="7"/>
    <m/>
    <m/>
    <n v="3134352"/>
    <n v="3020553"/>
    <m/>
    <m/>
    <n v="347130"/>
    <m/>
    <n v="347130"/>
    <n v="319528"/>
    <m/>
    <n v="319528"/>
    <n v="3481482"/>
    <n v="3340081"/>
    <m/>
    <m/>
    <m/>
    <m/>
    <n v="0"/>
    <m/>
    <m/>
    <n v="0"/>
    <m/>
    <m/>
    <m/>
    <m/>
    <m/>
    <m/>
    <n v="3481482"/>
    <n v="3340081"/>
  </r>
  <r>
    <x v="9"/>
    <x v="0"/>
    <s v="Durham Technical Community College"/>
    <m/>
    <n v="198455"/>
    <x v="7"/>
    <n v="14133698"/>
    <n v="13703551"/>
    <m/>
    <m/>
    <n v="4641268"/>
    <n v="5855139"/>
    <n v="7307730"/>
    <m/>
    <n v="7307730"/>
    <n v="7303237"/>
    <m/>
    <n v="7303237"/>
    <n v="26082696"/>
    <n v="26861927"/>
    <m/>
    <m/>
    <m/>
    <m/>
    <n v="0"/>
    <m/>
    <m/>
    <n v="0"/>
    <m/>
    <m/>
    <m/>
    <m/>
    <m/>
    <m/>
    <n v="26082696"/>
    <n v="26861927"/>
  </r>
  <r>
    <x v="9"/>
    <x v="0"/>
    <s v="Nursing / allied health supplement"/>
    <m/>
    <n v="198455"/>
    <x v="7"/>
    <m/>
    <m/>
    <m/>
    <m/>
    <m/>
    <m/>
    <m/>
    <m/>
    <n v="0"/>
    <m/>
    <m/>
    <n v="0"/>
    <n v="0"/>
    <n v="0"/>
    <m/>
    <m/>
    <m/>
    <m/>
    <n v="0"/>
    <m/>
    <m/>
    <n v="0"/>
    <m/>
    <m/>
    <m/>
    <m/>
    <m/>
    <m/>
    <n v="0"/>
    <n v="0"/>
  </r>
  <r>
    <x v="9"/>
    <x v="3"/>
    <s v="Community or public service units"/>
    <m/>
    <n v="198455"/>
    <x v="7"/>
    <m/>
    <m/>
    <n v="164165"/>
    <n v="166194"/>
    <m/>
    <m/>
    <m/>
    <m/>
    <n v="0"/>
    <m/>
    <m/>
    <n v="0"/>
    <n v="164165"/>
    <n v="166194"/>
    <m/>
    <m/>
    <m/>
    <m/>
    <n v="0"/>
    <m/>
    <m/>
    <n v="0"/>
    <m/>
    <m/>
    <m/>
    <m/>
    <m/>
    <m/>
    <n v="164165"/>
    <n v="166194"/>
  </r>
  <r>
    <x v="9"/>
    <x v="44"/>
    <s v="Non-credit continuing education"/>
    <m/>
    <n v="198455"/>
    <x v="7"/>
    <m/>
    <m/>
    <n v="3129194"/>
    <n v="2920768"/>
    <m/>
    <m/>
    <n v="679461"/>
    <m/>
    <n v="679461"/>
    <n v="625433"/>
    <m/>
    <n v="625433"/>
    <n v="3808655"/>
    <n v="3546201"/>
    <m/>
    <m/>
    <m/>
    <m/>
    <n v="0"/>
    <m/>
    <m/>
    <n v="0"/>
    <m/>
    <m/>
    <m/>
    <m/>
    <m/>
    <m/>
    <n v="3808655"/>
    <n v="3546201"/>
  </r>
  <r>
    <x v="9"/>
    <x v="0"/>
    <s v="Edgecombe Community College"/>
    <m/>
    <n v="198491"/>
    <x v="7"/>
    <n v="10849185"/>
    <n v="10565958"/>
    <m/>
    <m/>
    <n v="1428710"/>
    <n v="1406000"/>
    <n v="4571145"/>
    <m/>
    <n v="4571145"/>
    <n v="4568334"/>
    <m/>
    <n v="4568334"/>
    <n v="16849040"/>
    <n v="16540292"/>
    <m/>
    <m/>
    <m/>
    <m/>
    <n v="0"/>
    <m/>
    <m/>
    <n v="0"/>
    <m/>
    <m/>
    <m/>
    <m/>
    <m/>
    <m/>
    <n v="16849040"/>
    <n v="16540292"/>
  </r>
  <r>
    <x v="9"/>
    <x v="0"/>
    <s v="Nursing / allied health supplement"/>
    <m/>
    <n v="198491"/>
    <x v="7"/>
    <m/>
    <m/>
    <m/>
    <m/>
    <m/>
    <m/>
    <m/>
    <m/>
    <n v="0"/>
    <m/>
    <m/>
    <n v="0"/>
    <n v="0"/>
    <n v="0"/>
    <m/>
    <m/>
    <m/>
    <m/>
    <n v="0"/>
    <m/>
    <m/>
    <n v="0"/>
    <m/>
    <m/>
    <m/>
    <m/>
    <m/>
    <m/>
    <n v="0"/>
    <n v="0"/>
  </r>
  <r>
    <x v="9"/>
    <x v="3"/>
    <s v="Community or public service units"/>
    <m/>
    <n v="198491"/>
    <x v="7"/>
    <m/>
    <m/>
    <n v="150223"/>
    <n v="150298"/>
    <m/>
    <m/>
    <m/>
    <m/>
    <n v="0"/>
    <m/>
    <m/>
    <n v="0"/>
    <n v="150223"/>
    <n v="150298"/>
    <m/>
    <m/>
    <m/>
    <m/>
    <n v="0"/>
    <m/>
    <m/>
    <n v="0"/>
    <m/>
    <m/>
    <m/>
    <m/>
    <m/>
    <m/>
    <n v="150223"/>
    <n v="150298"/>
  </r>
  <r>
    <x v="9"/>
    <x v="44"/>
    <s v="Non-credit continuing education"/>
    <m/>
    <n v="198491"/>
    <x v="7"/>
    <m/>
    <m/>
    <n v="1674210"/>
    <n v="1654555"/>
    <m/>
    <m/>
    <n v="149244"/>
    <m/>
    <n v="149244"/>
    <n v="137377"/>
    <m/>
    <n v="137377"/>
    <n v="1823454"/>
    <n v="1791932"/>
    <m/>
    <m/>
    <m/>
    <m/>
    <n v="0"/>
    <m/>
    <m/>
    <n v="0"/>
    <m/>
    <m/>
    <m/>
    <m/>
    <m/>
    <m/>
    <n v="1823454"/>
    <n v="1791932"/>
  </r>
  <r>
    <x v="9"/>
    <x v="0"/>
    <s v="Haywood Community College"/>
    <s v="Met the criteria for Two-Year 3 in 2011-12 and 2012-13."/>
    <n v="198668"/>
    <x v="7"/>
    <n v="7857742"/>
    <n v="7907392"/>
    <m/>
    <m/>
    <n v="2607678"/>
    <n v="2817613"/>
    <n v="2923588"/>
    <m/>
    <n v="2923588"/>
    <n v="2921790"/>
    <m/>
    <n v="2921790"/>
    <n v="13389008"/>
    <n v="13646795"/>
    <m/>
    <m/>
    <m/>
    <m/>
    <n v="0"/>
    <m/>
    <m/>
    <n v="0"/>
    <m/>
    <m/>
    <m/>
    <m/>
    <m/>
    <m/>
    <n v="13389008"/>
    <n v="13646795"/>
  </r>
  <r>
    <x v="9"/>
    <x v="0"/>
    <s v="Nursing / allied health supplement"/>
    <m/>
    <n v="198668"/>
    <x v="7"/>
    <m/>
    <m/>
    <m/>
    <m/>
    <m/>
    <m/>
    <m/>
    <m/>
    <n v="0"/>
    <m/>
    <m/>
    <n v="0"/>
    <n v="0"/>
    <n v="0"/>
    <m/>
    <m/>
    <m/>
    <m/>
    <n v="0"/>
    <m/>
    <m/>
    <n v="0"/>
    <m/>
    <m/>
    <m/>
    <m/>
    <m/>
    <m/>
    <n v="0"/>
    <n v="0"/>
  </r>
  <r>
    <x v="9"/>
    <x v="3"/>
    <s v="Community or public service units"/>
    <m/>
    <n v="198668"/>
    <x v="7"/>
    <m/>
    <m/>
    <n v="149464"/>
    <n v="151581"/>
    <m/>
    <m/>
    <m/>
    <m/>
    <n v="0"/>
    <m/>
    <m/>
    <n v="0"/>
    <n v="149464"/>
    <n v="151581"/>
    <m/>
    <m/>
    <m/>
    <m/>
    <n v="0"/>
    <m/>
    <m/>
    <n v="0"/>
    <m/>
    <m/>
    <m/>
    <m/>
    <m/>
    <m/>
    <n v="149464"/>
    <n v="151581"/>
  </r>
  <r>
    <x v="9"/>
    <x v="44"/>
    <s v="Non-credit continuing education"/>
    <m/>
    <n v="198668"/>
    <x v="7"/>
    <m/>
    <m/>
    <n v="975037"/>
    <n v="945750"/>
    <m/>
    <m/>
    <n v="107249"/>
    <m/>
    <n v="107249"/>
    <n v="98721"/>
    <m/>
    <n v="98721"/>
    <n v="1082286"/>
    <n v="1044471"/>
    <m/>
    <m/>
    <m/>
    <m/>
    <n v="0"/>
    <m/>
    <m/>
    <n v="0"/>
    <m/>
    <m/>
    <m/>
    <m/>
    <m/>
    <m/>
    <n v="1082286"/>
    <n v="1044471"/>
  </r>
  <r>
    <x v="9"/>
    <x v="0"/>
    <s v="Isothermal Community College "/>
    <s v="Met the criteria for Two-Year 3 in 2012-13."/>
    <n v="198710"/>
    <x v="7"/>
    <n v="9231847"/>
    <n v="9077801"/>
    <m/>
    <m/>
    <n v="2014362"/>
    <n v="2026370"/>
    <n v="3294372"/>
    <m/>
    <n v="3294372"/>
    <n v="3292347"/>
    <m/>
    <n v="3292347"/>
    <n v="14540581"/>
    <n v="14396518"/>
    <m/>
    <m/>
    <m/>
    <m/>
    <n v="0"/>
    <m/>
    <m/>
    <n v="0"/>
    <m/>
    <m/>
    <m/>
    <m/>
    <m/>
    <m/>
    <n v="14540581"/>
    <n v="14396518"/>
  </r>
  <r>
    <x v="9"/>
    <x v="0"/>
    <s v="Nursing / allied health supplement"/>
    <m/>
    <n v="198710"/>
    <x v="7"/>
    <m/>
    <m/>
    <m/>
    <m/>
    <m/>
    <m/>
    <m/>
    <m/>
    <n v="0"/>
    <m/>
    <m/>
    <n v="0"/>
    <n v="0"/>
    <n v="0"/>
    <m/>
    <m/>
    <m/>
    <m/>
    <n v="0"/>
    <m/>
    <m/>
    <n v="0"/>
    <m/>
    <m/>
    <m/>
    <m/>
    <m/>
    <m/>
    <n v="0"/>
    <n v="0"/>
  </r>
  <r>
    <x v="9"/>
    <x v="3"/>
    <s v="Community or public service units"/>
    <m/>
    <n v="198710"/>
    <x v="7"/>
    <m/>
    <m/>
    <n v="148250"/>
    <n v="149166"/>
    <m/>
    <m/>
    <m/>
    <m/>
    <n v="0"/>
    <m/>
    <m/>
    <n v="0"/>
    <n v="148250"/>
    <n v="149166"/>
    <m/>
    <m/>
    <m/>
    <m/>
    <n v="0"/>
    <m/>
    <m/>
    <n v="0"/>
    <m/>
    <m/>
    <m/>
    <m/>
    <m/>
    <m/>
    <n v="148250"/>
    <n v="149166"/>
  </r>
  <r>
    <x v="9"/>
    <x v="44"/>
    <s v="Non-credit continuing education"/>
    <m/>
    <n v="198710"/>
    <x v="7"/>
    <m/>
    <m/>
    <n v="1305495"/>
    <n v="1267655"/>
    <m/>
    <m/>
    <n v="268960"/>
    <m/>
    <n v="268960"/>
    <n v="247573"/>
    <m/>
    <n v="247573"/>
    <n v="1574455"/>
    <n v="1515228"/>
    <m/>
    <m/>
    <m/>
    <m/>
    <n v="0"/>
    <m/>
    <m/>
    <n v="0"/>
    <m/>
    <m/>
    <m/>
    <m/>
    <m/>
    <m/>
    <n v="1574455"/>
    <n v="1515228"/>
  </r>
  <r>
    <x v="9"/>
    <x v="0"/>
    <s v="Johnston Community College"/>
    <m/>
    <n v="198774"/>
    <x v="7"/>
    <n v="14416257"/>
    <n v="14566685"/>
    <m/>
    <m/>
    <n v="3723631"/>
    <n v="3723631"/>
    <n v="5628724"/>
    <m/>
    <n v="5628724"/>
    <n v="5625263"/>
    <m/>
    <n v="5625263"/>
    <n v="23768612"/>
    <n v="23915579"/>
    <m/>
    <m/>
    <m/>
    <m/>
    <n v="0"/>
    <m/>
    <m/>
    <n v="0"/>
    <m/>
    <m/>
    <m/>
    <m/>
    <m/>
    <m/>
    <n v="23768612"/>
    <n v="23915579"/>
  </r>
  <r>
    <x v="9"/>
    <x v="0"/>
    <s v="Nursing / allied health supplement"/>
    <m/>
    <n v="198774"/>
    <x v="7"/>
    <m/>
    <m/>
    <m/>
    <m/>
    <m/>
    <m/>
    <m/>
    <m/>
    <n v="0"/>
    <m/>
    <m/>
    <n v="0"/>
    <n v="0"/>
    <n v="0"/>
    <m/>
    <m/>
    <m/>
    <m/>
    <n v="0"/>
    <m/>
    <m/>
    <n v="0"/>
    <m/>
    <m/>
    <m/>
    <m/>
    <m/>
    <m/>
    <n v="0"/>
    <n v="0"/>
  </r>
  <r>
    <x v="9"/>
    <x v="3"/>
    <s v="Community or public service units"/>
    <m/>
    <n v="198774"/>
    <x v="7"/>
    <m/>
    <m/>
    <n v="153254"/>
    <n v="156572"/>
    <m/>
    <m/>
    <m/>
    <m/>
    <n v="0"/>
    <m/>
    <m/>
    <n v="0"/>
    <n v="153254"/>
    <n v="156572"/>
    <m/>
    <m/>
    <m/>
    <m/>
    <n v="0"/>
    <m/>
    <m/>
    <n v="0"/>
    <m/>
    <m/>
    <m/>
    <m/>
    <m/>
    <m/>
    <n v="153254"/>
    <n v="156572"/>
  </r>
  <r>
    <x v="9"/>
    <x v="44"/>
    <s v="Non-credit continuing education"/>
    <m/>
    <n v="198774"/>
    <x v="7"/>
    <m/>
    <m/>
    <n v="2267030"/>
    <n v="2222478"/>
    <m/>
    <m/>
    <n v="499015"/>
    <m/>
    <n v="499015"/>
    <n v="459336"/>
    <m/>
    <n v="459336"/>
    <n v="2766045"/>
    <n v="2681814"/>
    <m/>
    <m/>
    <m/>
    <m/>
    <n v="0"/>
    <m/>
    <m/>
    <n v="0"/>
    <m/>
    <m/>
    <m/>
    <m/>
    <m/>
    <m/>
    <n v="2766045"/>
    <n v="2681814"/>
  </r>
  <r>
    <x v="9"/>
    <x v="0"/>
    <s v="Lenoir Community College "/>
    <m/>
    <n v="198817"/>
    <x v="7"/>
    <n v="12095864"/>
    <n v="12587710"/>
    <m/>
    <m/>
    <n v="2557531"/>
    <n v="2649782"/>
    <n v="4193222"/>
    <m/>
    <n v="4193222"/>
    <n v="4190643"/>
    <m/>
    <n v="4190643"/>
    <n v="18846617"/>
    <n v="19428135"/>
    <m/>
    <m/>
    <m/>
    <m/>
    <n v="0"/>
    <m/>
    <m/>
    <n v="0"/>
    <m/>
    <m/>
    <m/>
    <m/>
    <m/>
    <m/>
    <n v="18846617"/>
    <n v="19428135"/>
  </r>
  <r>
    <x v="9"/>
    <x v="0"/>
    <s v="Nursing / allied health supplement"/>
    <m/>
    <n v="198817"/>
    <x v="7"/>
    <m/>
    <m/>
    <m/>
    <m/>
    <m/>
    <m/>
    <m/>
    <m/>
    <n v="0"/>
    <m/>
    <m/>
    <n v="0"/>
    <n v="0"/>
    <n v="0"/>
    <m/>
    <m/>
    <m/>
    <m/>
    <n v="0"/>
    <m/>
    <m/>
    <n v="0"/>
    <m/>
    <m/>
    <m/>
    <m/>
    <m/>
    <m/>
    <n v="0"/>
    <n v="0"/>
  </r>
  <r>
    <x v="9"/>
    <x v="3"/>
    <s v="Community or public service units"/>
    <m/>
    <n v="198817"/>
    <x v="7"/>
    <m/>
    <m/>
    <n v="152347"/>
    <n v="155817"/>
    <m/>
    <m/>
    <m/>
    <m/>
    <n v="0"/>
    <m/>
    <m/>
    <n v="0"/>
    <n v="152347"/>
    <n v="155817"/>
    <m/>
    <m/>
    <m/>
    <m/>
    <n v="0"/>
    <m/>
    <m/>
    <n v="0"/>
    <m/>
    <m/>
    <m/>
    <m/>
    <m/>
    <m/>
    <n v="152347"/>
    <n v="155817"/>
  </r>
  <r>
    <x v="9"/>
    <x v="44"/>
    <s v="Non-credit continuing education"/>
    <m/>
    <n v="198817"/>
    <x v="7"/>
    <m/>
    <m/>
    <n v="4081152"/>
    <n v="5244452"/>
    <m/>
    <m/>
    <n v="431407"/>
    <m/>
    <n v="431407"/>
    <n v="397104"/>
    <m/>
    <n v="397104"/>
    <n v="4512559"/>
    <n v="5641556"/>
    <m/>
    <m/>
    <m/>
    <m/>
    <n v="0"/>
    <m/>
    <m/>
    <n v="0"/>
    <m/>
    <m/>
    <m/>
    <m/>
    <m/>
    <m/>
    <n v="4512559"/>
    <n v="5641556"/>
  </r>
  <r>
    <x v="9"/>
    <x v="0"/>
    <s v="Mitchell Community College "/>
    <m/>
    <n v="198987"/>
    <x v="7"/>
    <n v="10403884"/>
    <n v="10472223"/>
    <m/>
    <m/>
    <n v="2571530"/>
    <n v="2835071"/>
    <n v="4292629"/>
    <m/>
    <n v="4292629"/>
    <n v="4289990"/>
    <m/>
    <n v="4289990"/>
    <n v="17268043"/>
    <n v="17597284"/>
    <m/>
    <m/>
    <m/>
    <m/>
    <n v="0"/>
    <m/>
    <m/>
    <n v="0"/>
    <m/>
    <m/>
    <m/>
    <m/>
    <m/>
    <m/>
    <n v="17268043"/>
    <n v="17597284"/>
  </r>
  <r>
    <x v="9"/>
    <x v="0"/>
    <s v="Nursing / allied health supplement"/>
    <m/>
    <n v="198987"/>
    <x v="7"/>
    <m/>
    <m/>
    <m/>
    <m/>
    <m/>
    <m/>
    <m/>
    <m/>
    <n v="0"/>
    <m/>
    <m/>
    <n v="0"/>
    <n v="0"/>
    <n v="0"/>
    <m/>
    <m/>
    <m/>
    <m/>
    <n v="0"/>
    <m/>
    <m/>
    <n v="0"/>
    <m/>
    <m/>
    <m/>
    <m/>
    <m/>
    <m/>
    <n v="0"/>
    <n v="0"/>
  </r>
  <r>
    <x v="9"/>
    <x v="3"/>
    <s v="Community or public service units"/>
    <m/>
    <n v="198987"/>
    <x v="7"/>
    <m/>
    <m/>
    <n v="160598"/>
    <n v="162949"/>
    <m/>
    <m/>
    <m/>
    <m/>
    <n v="0"/>
    <m/>
    <m/>
    <n v="0"/>
    <n v="160598"/>
    <n v="162949"/>
    <m/>
    <m/>
    <m/>
    <m/>
    <n v="0"/>
    <m/>
    <m/>
    <n v="0"/>
    <m/>
    <m/>
    <m/>
    <m/>
    <m/>
    <m/>
    <n v="160598"/>
    <n v="162949"/>
  </r>
  <r>
    <x v="9"/>
    <x v="44"/>
    <s v="Non-credit continuing education"/>
    <m/>
    <n v="198987"/>
    <x v="7"/>
    <m/>
    <m/>
    <n v="1739500"/>
    <n v="1657290"/>
    <m/>
    <m/>
    <n v="227714"/>
    <m/>
    <n v="227714"/>
    <n v="209607"/>
    <m/>
    <n v="209607"/>
    <n v="1967214"/>
    <n v="1866897"/>
    <m/>
    <m/>
    <m/>
    <m/>
    <n v="0"/>
    <m/>
    <m/>
    <n v="0"/>
    <m/>
    <m/>
    <m/>
    <m/>
    <m/>
    <m/>
    <n v="1967214"/>
    <n v="1866897"/>
  </r>
  <r>
    <x v="9"/>
    <x v="0"/>
    <s v="Nash Community College"/>
    <m/>
    <n v="199087"/>
    <x v="7"/>
    <n v="9290907"/>
    <n v="10449366"/>
    <m/>
    <m/>
    <n v="1675180"/>
    <n v="1641676"/>
    <n v="3663290"/>
    <m/>
    <n v="3663290"/>
    <n v="3661038"/>
    <m/>
    <n v="3661038"/>
    <n v="14629377"/>
    <n v="15752080"/>
    <m/>
    <m/>
    <m/>
    <m/>
    <n v="0"/>
    <m/>
    <m/>
    <n v="0"/>
    <m/>
    <m/>
    <m/>
    <m/>
    <m/>
    <m/>
    <n v="14629377"/>
    <n v="15752080"/>
  </r>
  <r>
    <x v="9"/>
    <x v="0"/>
    <s v="Nursing / allied health supplement"/>
    <m/>
    <n v="199087"/>
    <x v="7"/>
    <m/>
    <m/>
    <m/>
    <m/>
    <m/>
    <m/>
    <m/>
    <m/>
    <n v="0"/>
    <m/>
    <m/>
    <n v="0"/>
    <n v="0"/>
    <n v="0"/>
    <m/>
    <m/>
    <m/>
    <m/>
    <n v="0"/>
    <m/>
    <m/>
    <n v="0"/>
    <m/>
    <m/>
    <m/>
    <m/>
    <m/>
    <m/>
    <n v="0"/>
    <n v="0"/>
  </r>
  <r>
    <x v="9"/>
    <x v="3"/>
    <s v="Community or public service units"/>
    <m/>
    <n v="199087"/>
    <x v="7"/>
    <m/>
    <m/>
    <n v="161888"/>
    <n v="154534"/>
    <m/>
    <m/>
    <m/>
    <m/>
    <n v="0"/>
    <m/>
    <m/>
    <n v="0"/>
    <n v="161888"/>
    <n v="154534"/>
    <m/>
    <m/>
    <m/>
    <m/>
    <n v="0"/>
    <m/>
    <m/>
    <n v="0"/>
    <m/>
    <m/>
    <m/>
    <m/>
    <m/>
    <m/>
    <n v="161888"/>
    <n v="154534"/>
  </r>
  <r>
    <x v="9"/>
    <x v="44"/>
    <s v="Non-credit continuing education"/>
    <m/>
    <n v="199087"/>
    <x v="7"/>
    <m/>
    <m/>
    <n v="1463990"/>
    <n v="1503740"/>
    <m/>
    <m/>
    <n v="260409"/>
    <m/>
    <n v="260409"/>
    <n v="239702"/>
    <m/>
    <n v="239702"/>
    <n v="1724399"/>
    <n v="1743442"/>
    <m/>
    <m/>
    <m/>
    <m/>
    <n v="0"/>
    <m/>
    <m/>
    <n v="0"/>
    <m/>
    <m/>
    <m/>
    <m/>
    <m/>
    <m/>
    <n v="1724399"/>
    <n v="1743442"/>
  </r>
  <r>
    <x v="9"/>
    <x v="0"/>
    <s v="Randolph Community College"/>
    <m/>
    <n v="199421"/>
    <x v="7"/>
    <n v="9244157"/>
    <n v="9199360"/>
    <m/>
    <m/>
    <n v="2278000"/>
    <n v="2295500"/>
    <n v="4037000"/>
    <m/>
    <n v="4037000"/>
    <n v="4034518"/>
    <m/>
    <n v="4034518"/>
    <n v="15559157"/>
    <n v="15529378"/>
    <m/>
    <m/>
    <m/>
    <m/>
    <n v="0"/>
    <m/>
    <m/>
    <n v="0"/>
    <m/>
    <m/>
    <m/>
    <m/>
    <m/>
    <m/>
    <n v="15559157"/>
    <n v="15529378"/>
  </r>
  <r>
    <x v="9"/>
    <x v="0"/>
    <s v="Nursing / allied health supplement"/>
    <m/>
    <n v="199421"/>
    <x v="7"/>
    <m/>
    <m/>
    <m/>
    <m/>
    <m/>
    <m/>
    <m/>
    <m/>
    <n v="0"/>
    <m/>
    <m/>
    <n v="0"/>
    <n v="0"/>
    <n v="0"/>
    <m/>
    <m/>
    <m/>
    <m/>
    <n v="0"/>
    <m/>
    <m/>
    <n v="0"/>
    <m/>
    <m/>
    <m/>
    <m/>
    <m/>
    <m/>
    <n v="0"/>
    <n v="0"/>
  </r>
  <r>
    <x v="9"/>
    <x v="3"/>
    <s v="Community or public service units"/>
    <m/>
    <n v="199421"/>
    <x v="7"/>
    <m/>
    <m/>
    <n v="166289"/>
    <n v="166194"/>
    <m/>
    <m/>
    <m/>
    <m/>
    <n v="0"/>
    <m/>
    <m/>
    <n v="0"/>
    <n v="166289"/>
    <n v="166194"/>
    <m/>
    <m/>
    <m/>
    <m/>
    <n v="0"/>
    <m/>
    <m/>
    <n v="0"/>
    <m/>
    <m/>
    <m/>
    <m/>
    <m/>
    <m/>
    <n v="166289"/>
    <n v="166194"/>
  </r>
  <r>
    <x v="9"/>
    <x v="44"/>
    <s v="Non-credit continuing education"/>
    <m/>
    <n v="199421"/>
    <x v="7"/>
    <m/>
    <m/>
    <n v="2172694"/>
    <n v="2004223"/>
    <m/>
    <m/>
    <n v="283108"/>
    <m/>
    <n v="283108"/>
    <n v="260597"/>
    <m/>
    <n v="260597"/>
    <n v="2455802"/>
    <n v="2264820"/>
    <m/>
    <m/>
    <m/>
    <m/>
    <n v="0"/>
    <m/>
    <m/>
    <n v="0"/>
    <m/>
    <m/>
    <m/>
    <m/>
    <m/>
    <m/>
    <n v="2455802"/>
    <n v="2264820"/>
  </r>
  <r>
    <x v="9"/>
    <x v="0"/>
    <s v="Robeson Community College"/>
    <m/>
    <n v="199476"/>
    <x v="7"/>
    <n v="10355658"/>
    <n v="10485877"/>
    <m/>
    <m/>
    <n v="1944788"/>
    <n v="2039451"/>
    <n v="3645977"/>
    <m/>
    <n v="3645977"/>
    <n v="3643735"/>
    <m/>
    <n v="3643735"/>
    <n v="15946423"/>
    <n v="16169063"/>
    <m/>
    <m/>
    <m/>
    <m/>
    <n v="0"/>
    <m/>
    <m/>
    <n v="0"/>
    <m/>
    <m/>
    <m/>
    <m/>
    <m/>
    <m/>
    <n v="15946423"/>
    <n v="16169063"/>
  </r>
  <r>
    <x v="9"/>
    <x v="0"/>
    <s v="Nursing / allied health supplement"/>
    <m/>
    <n v="199476"/>
    <x v="7"/>
    <m/>
    <m/>
    <m/>
    <m/>
    <m/>
    <m/>
    <m/>
    <m/>
    <n v="0"/>
    <m/>
    <m/>
    <n v="0"/>
    <n v="0"/>
    <n v="0"/>
    <m/>
    <m/>
    <m/>
    <m/>
    <n v="0"/>
    <m/>
    <m/>
    <n v="0"/>
    <m/>
    <m/>
    <m/>
    <m/>
    <m/>
    <m/>
    <n v="0"/>
    <n v="0"/>
  </r>
  <r>
    <x v="9"/>
    <x v="3"/>
    <s v="Community or public service units"/>
    <m/>
    <n v="199476"/>
    <x v="7"/>
    <m/>
    <m/>
    <n v="154240"/>
    <n v="157100"/>
    <m/>
    <m/>
    <m/>
    <m/>
    <n v="0"/>
    <m/>
    <m/>
    <n v="0"/>
    <n v="154240"/>
    <n v="157100"/>
    <m/>
    <m/>
    <m/>
    <m/>
    <n v="0"/>
    <m/>
    <m/>
    <n v="0"/>
    <m/>
    <m/>
    <m/>
    <m/>
    <m/>
    <m/>
    <n v="154240"/>
    <n v="157100"/>
  </r>
  <r>
    <x v="9"/>
    <x v="44"/>
    <s v="Non-credit continuing education"/>
    <m/>
    <n v="199476"/>
    <x v="7"/>
    <m/>
    <m/>
    <n v="4786865"/>
    <n v="4534338"/>
    <m/>
    <m/>
    <n v="211377"/>
    <m/>
    <n v="211377"/>
    <n v="194569"/>
    <m/>
    <n v="194569"/>
    <n v="4998242"/>
    <n v="4728907"/>
    <m/>
    <m/>
    <m/>
    <m/>
    <n v="0"/>
    <m/>
    <m/>
    <n v="0"/>
    <m/>
    <m/>
    <m/>
    <m/>
    <m/>
    <m/>
    <n v="4998242"/>
    <n v="4728907"/>
  </r>
  <r>
    <x v="9"/>
    <x v="0"/>
    <s v="Sandhills Community College "/>
    <m/>
    <n v="199634"/>
    <x v="7"/>
    <n v="13105118"/>
    <n v="12865444"/>
    <m/>
    <m/>
    <n v="4444237"/>
    <n v="4554581"/>
    <n v="5658761"/>
    <m/>
    <n v="5658761"/>
    <n v="5655282"/>
    <m/>
    <n v="5655282"/>
    <n v="23208116"/>
    <n v="23075307"/>
    <m/>
    <m/>
    <m/>
    <m/>
    <n v="0"/>
    <m/>
    <m/>
    <n v="0"/>
    <m/>
    <m/>
    <m/>
    <m/>
    <m/>
    <m/>
    <n v="23208116"/>
    <n v="23075307"/>
  </r>
  <r>
    <x v="9"/>
    <x v="0"/>
    <s v="Nursing / allied health supplement"/>
    <m/>
    <n v="199634"/>
    <x v="7"/>
    <m/>
    <m/>
    <m/>
    <m/>
    <m/>
    <m/>
    <m/>
    <m/>
    <n v="0"/>
    <m/>
    <m/>
    <n v="0"/>
    <n v="0"/>
    <n v="0"/>
    <m/>
    <m/>
    <m/>
    <m/>
    <n v="0"/>
    <m/>
    <m/>
    <n v="0"/>
    <m/>
    <m/>
    <m/>
    <m/>
    <m/>
    <m/>
    <n v="0"/>
    <n v="0"/>
  </r>
  <r>
    <x v="9"/>
    <x v="3"/>
    <s v="Community or public service units"/>
    <m/>
    <n v="199634"/>
    <x v="7"/>
    <m/>
    <m/>
    <n v="152268"/>
    <n v="154609"/>
    <m/>
    <m/>
    <m/>
    <m/>
    <n v="0"/>
    <m/>
    <m/>
    <n v="0"/>
    <n v="152268"/>
    <n v="154609"/>
    <m/>
    <m/>
    <m/>
    <m/>
    <n v="0"/>
    <m/>
    <m/>
    <n v="0"/>
    <m/>
    <m/>
    <m/>
    <m/>
    <m/>
    <m/>
    <n v="152268"/>
    <n v="154609"/>
  </r>
  <r>
    <x v="9"/>
    <x v="44"/>
    <s v="Non-credit continuing education"/>
    <m/>
    <n v="199634"/>
    <x v="7"/>
    <m/>
    <m/>
    <n v="2036338"/>
    <n v="1930978"/>
    <m/>
    <m/>
    <n v="174630"/>
    <m/>
    <n v="174630"/>
    <n v="160744"/>
    <m/>
    <n v="160744"/>
    <n v="2210968"/>
    <n v="2091722"/>
    <m/>
    <m/>
    <m/>
    <m/>
    <n v="0"/>
    <m/>
    <m/>
    <n v="0"/>
    <m/>
    <m/>
    <m/>
    <m/>
    <m/>
    <m/>
    <n v="2210968"/>
    <n v="2091722"/>
  </r>
  <r>
    <x v="9"/>
    <x v="0"/>
    <s v="Stanly Community College"/>
    <m/>
    <n v="199740"/>
    <x v="7"/>
    <n v="10290061"/>
    <n v="10199641"/>
    <m/>
    <m/>
    <n v="1242960"/>
    <n v="1242960"/>
    <n v="4055474"/>
    <m/>
    <n v="4055474"/>
    <n v="4052981"/>
    <m/>
    <n v="4052981"/>
    <n v="15588495"/>
    <n v="15495582"/>
    <m/>
    <m/>
    <m/>
    <m/>
    <n v="0"/>
    <m/>
    <m/>
    <n v="0"/>
    <m/>
    <m/>
    <m/>
    <m/>
    <m/>
    <m/>
    <n v="15588495"/>
    <n v="15495582"/>
  </r>
  <r>
    <x v="9"/>
    <x v="0"/>
    <s v="Nursing / allied health supplement"/>
    <m/>
    <n v="199740"/>
    <x v="7"/>
    <m/>
    <m/>
    <m/>
    <m/>
    <m/>
    <m/>
    <m/>
    <m/>
    <n v="0"/>
    <m/>
    <m/>
    <n v="0"/>
    <n v="0"/>
    <n v="0"/>
    <m/>
    <m/>
    <m/>
    <m/>
    <n v="0"/>
    <m/>
    <m/>
    <n v="0"/>
    <m/>
    <m/>
    <m/>
    <m/>
    <m/>
    <m/>
    <n v="0"/>
    <n v="0"/>
  </r>
  <r>
    <x v="9"/>
    <x v="3"/>
    <s v="Community or public service units"/>
    <m/>
    <n v="199740"/>
    <x v="7"/>
    <m/>
    <m/>
    <n v="146884"/>
    <n v="149468"/>
    <m/>
    <m/>
    <m/>
    <m/>
    <n v="0"/>
    <m/>
    <m/>
    <n v="0"/>
    <n v="146884"/>
    <n v="149468"/>
    <m/>
    <m/>
    <m/>
    <m/>
    <n v="0"/>
    <m/>
    <m/>
    <n v="0"/>
    <m/>
    <m/>
    <m/>
    <m/>
    <m/>
    <m/>
    <n v="146884"/>
    <n v="149468"/>
  </r>
  <r>
    <x v="9"/>
    <x v="44"/>
    <s v="Non-credit continuing education"/>
    <m/>
    <n v="199740"/>
    <x v="7"/>
    <m/>
    <m/>
    <n v="1687835"/>
    <n v="1712641"/>
    <m/>
    <m/>
    <n v="542423"/>
    <m/>
    <n v="542423"/>
    <n v="499292"/>
    <m/>
    <n v="499292"/>
    <n v="2230258"/>
    <n v="2211933"/>
    <m/>
    <m/>
    <m/>
    <m/>
    <n v="0"/>
    <m/>
    <m/>
    <n v="0"/>
    <m/>
    <m/>
    <m/>
    <m/>
    <m/>
    <m/>
    <n v="2230258"/>
    <n v="2211933"/>
  </r>
  <r>
    <x v="9"/>
    <x v="0"/>
    <s v="Surry Community College "/>
    <m/>
    <n v="199768"/>
    <x v="7"/>
    <n v="10653709"/>
    <n v="11145868"/>
    <m/>
    <m/>
    <n v="2563817"/>
    <n v="2362538"/>
    <n v="4196070"/>
    <m/>
    <n v="4196070"/>
    <n v="4193490"/>
    <m/>
    <n v="4193490"/>
    <n v="17413596"/>
    <n v="17701896"/>
    <m/>
    <m/>
    <m/>
    <m/>
    <n v="0"/>
    <m/>
    <m/>
    <n v="0"/>
    <m/>
    <m/>
    <m/>
    <m/>
    <m/>
    <m/>
    <n v="17413596"/>
    <n v="17701896"/>
  </r>
  <r>
    <x v="9"/>
    <x v="0"/>
    <s v="Nursing / allied health supplement"/>
    <m/>
    <n v="199768"/>
    <x v="7"/>
    <m/>
    <m/>
    <m/>
    <m/>
    <m/>
    <m/>
    <m/>
    <m/>
    <n v="0"/>
    <m/>
    <m/>
    <n v="0"/>
    <n v="0"/>
    <n v="0"/>
    <m/>
    <m/>
    <m/>
    <m/>
    <n v="0"/>
    <m/>
    <m/>
    <n v="0"/>
    <m/>
    <m/>
    <m/>
    <m/>
    <m/>
    <m/>
    <n v="0"/>
    <n v="0"/>
  </r>
  <r>
    <x v="9"/>
    <x v="3"/>
    <s v="Community or public service units"/>
    <m/>
    <n v="199768"/>
    <x v="7"/>
    <m/>
    <m/>
    <n v="145135"/>
    <n v="147666"/>
    <m/>
    <m/>
    <m/>
    <m/>
    <n v="0"/>
    <m/>
    <m/>
    <n v="0"/>
    <n v="145135"/>
    <n v="147666"/>
    <m/>
    <m/>
    <m/>
    <m/>
    <n v="0"/>
    <m/>
    <m/>
    <n v="0"/>
    <m/>
    <m/>
    <m/>
    <m/>
    <m/>
    <m/>
    <n v="145135"/>
    <n v="147666"/>
  </r>
  <r>
    <x v="9"/>
    <x v="44"/>
    <s v="Non-credit continuing education"/>
    <m/>
    <n v="199768"/>
    <x v="7"/>
    <m/>
    <m/>
    <n v="2065477"/>
    <n v="2046989"/>
    <m/>
    <m/>
    <n v="296621"/>
    <m/>
    <n v="296621"/>
    <n v="273035"/>
    <m/>
    <n v="273035"/>
    <n v="2362098"/>
    <n v="2320024"/>
    <m/>
    <m/>
    <m/>
    <m/>
    <n v="0"/>
    <m/>
    <m/>
    <n v="0"/>
    <m/>
    <m/>
    <m/>
    <m/>
    <m/>
    <m/>
    <n v="2362098"/>
    <n v="2320024"/>
  </r>
  <r>
    <x v="9"/>
    <x v="0"/>
    <s v="Vance-Granville Community College "/>
    <m/>
    <n v="199838"/>
    <x v="7"/>
    <n v="13673313"/>
    <n v="13675538"/>
    <m/>
    <m/>
    <n v="2087373"/>
    <n v="2117665"/>
    <n v="4910105"/>
    <m/>
    <n v="4910105"/>
    <n v="4907086"/>
    <m/>
    <n v="4907086"/>
    <n v="20670791"/>
    <n v="20700289"/>
    <m/>
    <m/>
    <m/>
    <m/>
    <n v="0"/>
    <m/>
    <m/>
    <n v="0"/>
    <m/>
    <m/>
    <m/>
    <m/>
    <m/>
    <m/>
    <n v="20670791"/>
    <n v="20700289"/>
  </r>
  <r>
    <x v="9"/>
    <x v="0"/>
    <s v="Nursing / allied health supplement"/>
    <m/>
    <n v="199838"/>
    <x v="7"/>
    <m/>
    <m/>
    <m/>
    <m/>
    <m/>
    <m/>
    <m/>
    <m/>
    <n v="0"/>
    <m/>
    <m/>
    <n v="0"/>
    <n v="0"/>
    <n v="0"/>
    <m/>
    <m/>
    <m/>
    <m/>
    <n v="0"/>
    <m/>
    <m/>
    <n v="0"/>
    <m/>
    <m/>
    <m/>
    <m/>
    <m/>
    <m/>
    <n v="0"/>
    <n v="0"/>
  </r>
  <r>
    <x v="9"/>
    <x v="3"/>
    <s v="Community or public service units"/>
    <m/>
    <n v="199838"/>
    <x v="7"/>
    <m/>
    <m/>
    <n v="160902"/>
    <n v="162345"/>
    <m/>
    <m/>
    <m/>
    <m/>
    <n v="0"/>
    <m/>
    <m/>
    <n v="0"/>
    <n v="160902"/>
    <n v="162345"/>
    <m/>
    <m/>
    <m/>
    <m/>
    <n v="0"/>
    <m/>
    <m/>
    <n v="0"/>
    <m/>
    <m/>
    <m/>
    <m/>
    <m/>
    <m/>
    <n v="160902"/>
    <n v="162345"/>
  </r>
  <r>
    <x v="9"/>
    <x v="44"/>
    <s v="Non-credit continuing education"/>
    <m/>
    <n v="199838"/>
    <x v="7"/>
    <m/>
    <m/>
    <n v="2962335"/>
    <n v="3081203"/>
    <m/>
    <m/>
    <n v="394470"/>
    <m/>
    <n v="394470"/>
    <n v="363103"/>
    <m/>
    <n v="363103"/>
    <n v="3356805"/>
    <n v="3444306"/>
    <m/>
    <m/>
    <m/>
    <m/>
    <n v="0"/>
    <m/>
    <m/>
    <n v="0"/>
    <m/>
    <m/>
    <m/>
    <m/>
    <m/>
    <m/>
    <n v="3356805"/>
    <n v="3444306"/>
  </r>
  <r>
    <x v="9"/>
    <x v="0"/>
    <s v="Wayne Community College"/>
    <m/>
    <n v="199892"/>
    <x v="7"/>
    <n v="11760388"/>
    <n v="11605363"/>
    <m/>
    <m/>
    <n v="3053684"/>
    <n v="3506067"/>
    <n v="5517005"/>
    <m/>
    <n v="5517005"/>
    <n v="5513613"/>
    <m/>
    <n v="5513613"/>
    <n v="20331077"/>
    <n v="20625043"/>
    <m/>
    <m/>
    <m/>
    <m/>
    <n v="0"/>
    <m/>
    <m/>
    <n v="0"/>
    <m/>
    <m/>
    <m/>
    <m/>
    <m/>
    <m/>
    <n v="20331077"/>
    <n v="20625043"/>
  </r>
  <r>
    <x v="9"/>
    <x v="0"/>
    <s v="Nursing / allied health supplement"/>
    <m/>
    <n v="199892"/>
    <x v="7"/>
    <m/>
    <m/>
    <m/>
    <m/>
    <m/>
    <m/>
    <m/>
    <m/>
    <n v="0"/>
    <m/>
    <m/>
    <n v="0"/>
    <n v="0"/>
    <n v="0"/>
    <m/>
    <m/>
    <m/>
    <m/>
    <n v="0"/>
    <m/>
    <m/>
    <n v="0"/>
    <m/>
    <m/>
    <m/>
    <m/>
    <m/>
    <m/>
    <n v="0"/>
    <n v="0"/>
  </r>
  <r>
    <x v="9"/>
    <x v="3"/>
    <s v="Community or public service units"/>
    <m/>
    <n v="199892"/>
    <x v="7"/>
    <m/>
    <m/>
    <n v="153406"/>
    <n v="154006"/>
    <m/>
    <m/>
    <m/>
    <m/>
    <n v="0"/>
    <m/>
    <m/>
    <n v="0"/>
    <n v="153406"/>
    <n v="154006"/>
    <m/>
    <m/>
    <m/>
    <m/>
    <n v="0"/>
    <m/>
    <m/>
    <n v="0"/>
    <m/>
    <m/>
    <m/>
    <m/>
    <m/>
    <m/>
    <n v="153406"/>
    <n v="154006"/>
  </r>
  <r>
    <x v="9"/>
    <x v="44"/>
    <s v="Non-credit continuing education"/>
    <m/>
    <n v="199892"/>
    <x v="7"/>
    <m/>
    <m/>
    <n v="2555010"/>
    <n v="2539406"/>
    <m/>
    <m/>
    <n v="305270"/>
    <m/>
    <n v="305270"/>
    <n v="280996"/>
    <m/>
    <n v="280996"/>
    <n v="2860280"/>
    <n v="2820402"/>
    <m/>
    <m/>
    <m/>
    <m/>
    <n v="0"/>
    <m/>
    <m/>
    <n v="0"/>
    <m/>
    <m/>
    <m/>
    <m/>
    <m/>
    <m/>
    <n v="2860280"/>
    <n v="2820402"/>
  </r>
  <r>
    <x v="9"/>
    <x v="0"/>
    <s v="Western Piedmont Community College "/>
    <m/>
    <n v="199908"/>
    <x v="7"/>
    <n v="10810808"/>
    <n v="10826462"/>
    <m/>
    <m/>
    <n v="2224603"/>
    <n v="2207051"/>
    <n v="4358277"/>
    <m/>
    <n v="4358277"/>
    <n v="4355598"/>
    <m/>
    <n v="4355598"/>
    <n v="17393688"/>
    <n v="17389111"/>
    <m/>
    <m/>
    <m/>
    <m/>
    <n v="0"/>
    <m/>
    <m/>
    <n v="0"/>
    <m/>
    <m/>
    <m/>
    <m/>
    <m/>
    <m/>
    <n v="17393688"/>
    <n v="17389111"/>
  </r>
  <r>
    <x v="9"/>
    <x v="0"/>
    <s v="Nursing / allied health supplement"/>
    <m/>
    <n v="199908"/>
    <x v="7"/>
    <m/>
    <m/>
    <m/>
    <m/>
    <m/>
    <m/>
    <m/>
    <m/>
    <n v="0"/>
    <m/>
    <m/>
    <n v="0"/>
    <n v="0"/>
    <n v="0"/>
    <m/>
    <m/>
    <m/>
    <m/>
    <n v="0"/>
    <m/>
    <m/>
    <n v="0"/>
    <m/>
    <m/>
    <m/>
    <m/>
    <m/>
    <m/>
    <n v="0"/>
    <n v="0"/>
  </r>
  <r>
    <x v="9"/>
    <x v="3"/>
    <s v="Community or public service units"/>
    <m/>
    <n v="199908"/>
    <x v="7"/>
    <m/>
    <m/>
    <n v="152192"/>
    <n v="155590"/>
    <m/>
    <m/>
    <m/>
    <m/>
    <n v="0"/>
    <m/>
    <m/>
    <n v="0"/>
    <n v="152192"/>
    <n v="155590"/>
    <m/>
    <m/>
    <m/>
    <m/>
    <n v="0"/>
    <m/>
    <m/>
    <n v="0"/>
    <m/>
    <m/>
    <m/>
    <m/>
    <m/>
    <m/>
    <n v="152192"/>
    <n v="155590"/>
  </r>
  <r>
    <x v="9"/>
    <x v="44"/>
    <s v="Non-credit continuing education"/>
    <m/>
    <n v="199908"/>
    <x v="7"/>
    <m/>
    <m/>
    <n v="2578925"/>
    <n v="2588342"/>
    <m/>
    <m/>
    <n v="136159"/>
    <m/>
    <n v="136159"/>
    <n v="125333"/>
    <m/>
    <n v="125333"/>
    <n v="2715084"/>
    <n v="2713675"/>
    <m/>
    <m/>
    <m/>
    <m/>
    <n v="0"/>
    <m/>
    <m/>
    <n v="0"/>
    <m/>
    <m/>
    <m/>
    <m/>
    <m/>
    <m/>
    <n v="2715084"/>
    <n v="2713675"/>
  </r>
  <r>
    <x v="9"/>
    <x v="0"/>
    <s v="Wilkes Community College "/>
    <m/>
    <n v="199926"/>
    <x v="7"/>
    <n v="9996825"/>
    <n v="10241906"/>
    <m/>
    <m/>
    <n v="3539075"/>
    <n v="3574435"/>
    <n v="4161328"/>
    <m/>
    <n v="4161328"/>
    <n v="4158769"/>
    <m/>
    <n v="4158769"/>
    <n v="17697228"/>
    <n v="17975110"/>
    <m/>
    <m/>
    <m/>
    <m/>
    <n v="0"/>
    <m/>
    <m/>
    <n v="0"/>
    <m/>
    <m/>
    <m/>
    <m/>
    <m/>
    <m/>
    <n v="17697228"/>
    <n v="17975110"/>
  </r>
  <r>
    <x v="9"/>
    <x v="0"/>
    <s v="Nursing / allied health supplement"/>
    <m/>
    <n v="199926"/>
    <x v="7"/>
    <m/>
    <m/>
    <m/>
    <m/>
    <m/>
    <m/>
    <m/>
    <m/>
    <n v="0"/>
    <m/>
    <m/>
    <n v="0"/>
    <n v="0"/>
    <n v="0"/>
    <m/>
    <m/>
    <m/>
    <m/>
    <n v="0"/>
    <m/>
    <m/>
    <n v="0"/>
    <m/>
    <m/>
    <m/>
    <m/>
    <m/>
    <m/>
    <n v="0"/>
    <n v="0"/>
  </r>
  <r>
    <x v="9"/>
    <x v="3"/>
    <s v="Community or public service units"/>
    <m/>
    <n v="199926"/>
    <x v="7"/>
    <m/>
    <m/>
    <n v="149991"/>
    <n v="151364"/>
    <m/>
    <m/>
    <m/>
    <m/>
    <n v="0"/>
    <m/>
    <m/>
    <n v="0"/>
    <n v="149991"/>
    <n v="151364"/>
    <m/>
    <m/>
    <m/>
    <m/>
    <n v="0"/>
    <m/>
    <m/>
    <n v="0"/>
    <m/>
    <m/>
    <m/>
    <m/>
    <m/>
    <m/>
    <n v="149991"/>
    <n v="151364"/>
  </r>
  <r>
    <x v="9"/>
    <x v="44"/>
    <s v="Non-credit continuing education"/>
    <m/>
    <n v="199926"/>
    <x v="7"/>
    <m/>
    <m/>
    <n v="2097025"/>
    <n v="2094035"/>
    <m/>
    <m/>
    <n v="446017"/>
    <m/>
    <n v="446017"/>
    <n v="410551"/>
    <m/>
    <n v="410551"/>
    <n v="2543042"/>
    <n v="2504586"/>
    <m/>
    <m/>
    <m/>
    <m/>
    <n v="0"/>
    <m/>
    <m/>
    <n v="0"/>
    <m/>
    <m/>
    <m/>
    <m/>
    <m/>
    <m/>
    <n v="2543042"/>
    <n v="2504586"/>
  </r>
  <r>
    <x v="9"/>
    <x v="0"/>
    <s v="Beaufort County Community College "/>
    <m/>
    <n v="197966"/>
    <x v="8"/>
    <n v="6772257"/>
    <n v="6955042"/>
    <m/>
    <m/>
    <n v="1973949"/>
    <n v="2148745"/>
    <n v="2411221"/>
    <m/>
    <n v="2411221"/>
    <n v="2409738"/>
    <m/>
    <n v="2409738"/>
    <n v="11157427"/>
    <n v="11513525"/>
    <m/>
    <m/>
    <m/>
    <m/>
    <n v="0"/>
    <m/>
    <m/>
    <n v="0"/>
    <m/>
    <m/>
    <m/>
    <m/>
    <m/>
    <m/>
    <n v="11157427"/>
    <n v="11513525"/>
  </r>
  <r>
    <x v="9"/>
    <x v="0"/>
    <s v="Nursing / allied health supplement"/>
    <m/>
    <n v="197966"/>
    <x v="8"/>
    <m/>
    <m/>
    <m/>
    <m/>
    <m/>
    <m/>
    <m/>
    <m/>
    <n v="0"/>
    <m/>
    <m/>
    <n v="0"/>
    <n v="0"/>
    <n v="0"/>
    <m/>
    <m/>
    <m/>
    <m/>
    <n v="0"/>
    <m/>
    <m/>
    <n v="0"/>
    <m/>
    <m/>
    <m/>
    <m/>
    <m/>
    <m/>
    <n v="0"/>
    <n v="0"/>
  </r>
  <r>
    <x v="9"/>
    <x v="3"/>
    <s v="Community or public service units"/>
    <m/>
    <n v="197966"/>
    <x v="8"/>
    <m/>
    <m/>
    <n v="148781"/>
    <n v="149845"/>
    <m/>
    <m/>
    <m/>
    <m/>
    <n v="0"/>
    <m/>
    <m/>
    <n v="0"/>
    <n v="148781"/>
    <n v="149845"/>
    <m/>
    <m/>
    <m/>
    <m/>
    <n v="0"/>
    <m/>
    <m/>
    <n v="0"/>
    <m/>
    <m/>
    <m/>
    <m/>
    <m/>
    <m/>
    <n v="148781"/>
    <n v="149845"/>
  </r>
  <r>
    <x v="9"/>
    <x v="44"/>
    <s v="Non-credit continuing education"/>
    <m/>
    <n v="197966"/>
    <x v="8"/>
    <m/>
    <m/>
    <n v="1222890"/>
    <n v="1149310"/>
    <m/>
    <m/>
    <n v="137298"/>
    <m/>
    <n v="137298"/>
    <n v="126381"/>
    <m/>
    <n v="126381"/>
    <n v="1360188"/>
    <n v="1275691"/>
    <m/>
    <m/>
    <m/>
    <m/>
    <n v="0"/>
    <m/>
    <m/>
    <n v="0"/>
    <m/>
    <m/>
    <m/>
    <m/>
    <m/>
    <m/>
    <n v="1360188"/>
    <n v="1275691"/>
  </r>
  <r>
    <x v="9"/>
    <x v="0"/>
    <s v="Bladen Community College"/>
    <m/>
    <n v="198011"/>
    <x v="8"/>
    <n v="6473093"/>
    <n v="6257529"/>
    <m/>
    <m/>
    <n v="710761"/>
    <n v="731541"/>
    <n v="2477615"/>
    <m/>
    <n v="2477615"/>
    <n v="2476092"/>
    <m/>
    <n v="2476092"/>
    <n v="9661469"/>
    <n v="9465162"/>
    <m/>
    <m/>
    <m/>
    <m/>
    <n v="0"/>
    <m/>
    <m/>
    <n v="0"/>
    <m/>
    <m/>
    <m/>
    <m/>
    <m/>
    <m/>
    <n v="9661469"/>
    <n v="9465162"/>
  </r>
  <r>
    <x v="9"/>
    <x v="0"/>
    <s v="Nursing / allied health supplement"/>
    <m/>
    <n v="198011"/>
    <x v="8"/>
    <m/>
    <m/>
    <m/>
    <m/>
    <m/>
    <m/>
    <m/>
    <m/>
    <n v="0"/>
    <m/>
    <m/>
    <n v="0"/>
    <n v="0"/>
    <n v="0"/>
    <m/>
    <m/>
    <m/>
    <m/>
    <n v="0"/>
    <m/>
    <m/>
    <n v="0"/>
    <m/>
    <m/>
    <m/>
    <m/>
    <m/>
    <m/>
    <n v="0"/>
    <n v="0"/>
  </r>
  <r>
    <x v="9"/>
    <x v="3"/>
    <s v="Community or public service units"/>
    <m/>
    <n v="198011"/>
    <x v="8"/>
    <m/>
    <m/>
    <n v="143466"/>
    <n v="145402"/>
    <m/>
    <m/>
    <m/>
    <m/>
    <n v="0"/>
    <m/>
    <m/>
    <n v="0"/>
    <n v="143466"/>
    <n v="145402"/>
    <m/>
    <m/>
    <m/>
    <m/>
    <n v="0"/>
    <m/>
    <m/>
    <n v="0"/>
    <m/>
    <m/>
    <m/>
    <m/>
    <m/>
    <m/>
    <n v="143466"/>
    <n v="145402"/>
  </r>
  <r>
    <x v="9"/>
    <x v="44"/>
    <s v="Non-credit continuing education"/>
    <m/>
    <n v="198011"/>
    <x v="8"/>
    <m/>
    <m/>
    <n v="900054"/>
    <n v="880385"/>
    <m/>
    <m/>
    <n v="120378"/>
    <m/>
    <n v="120378"/>
    <n v="110806"/>
    <m/>
    <n v="110806"/>
    <n v="1020432"/>
    <n v="991191"/>
    <m/>
    <m/>
    <m/>
    <m/>
    <n v="0"/>
    <m/>
    <m/>
    <n v="0"/>
    <m/>
    <m/>
    <m/>
    <m/>
    <m/>
    <m/>
    <n v="1020432"/>
    <n v="991191"/>
  </r>
  <r>
    <x v="9"/>
    <x v="0"/>
    <s v="Blue Ridge Community College"/>
    <m/>
    <n v="198039"/>
    <x v="8"/>
    <n v="8118965"/>
    <n v="8397801"/>
    <m/>
    <m/>
    <n v="2419480"/>
    <n v="2440308"/>
    <n v="3204118"/>
    <m/>
    <n v="3204118"/>
    <n v="3202148"/>
    <m/>
    <n v="3202148"/>
    <n v="13742563"/>
    <n v="14040257"/>
    <m/>
    <m/>
    <m/>
    <m/>
    <n v="0"/>
    <m/>
    <m/>
    <n v="0"/>
    <m/>
    <m/>
    <m/>
    <m/>
    <m/>
    <m/>
    <n v="13742563"/>
    <n v="14040257"/>
  </r>
  <r>
    <x v="9"/>
    <x v="0"/>
    <s v="Nursing / allied health supplement"/>
    <m/>
    <n v="198039"/>
    <x v="8"/>
    <m/>
    <m/>
    <m/>
    <m/>
    <m/>
    <m/>
    <m/>
    <m/>
    <n v="0"/>
    <m/>
    <m/>
    <n v="0"/>
    <n v="0"/>
    <n v="0"/>
    <m/>
    <m/>
    <m/>
    <m/>
    <n v="0"/>
    <m/>
    <m/>
    <n v="0"/>
    <m/>
    <m/>
    <m/>
    <m/>
    <m/>
    <m/>
    <n v="0"/>
    <n v="0"/>
  </r>
  <r>
    <x v="9"/>
    <x v="3"/>
    <s v="Community or public service units"/>
    <m/>
    <n v="198039"/>
    <x v="8"/>
    <m/>
    <m/>
    <n v="160766"/>
    <n v="162534"/>
    <m/>
    <m/>
    <m/>
    <m/>
    <n v="0"/>
    <m/>
    <m/>
    <n v="0"/>
    <n v="160766"/>
    <n v="162534"/>
    <m/>
    <m/>
    <m/>
    <m/>
    <n v="0"/>
    <m/>
    <m/>
    <n v="0"/>
    <m/>
    <m/>
    <m/>
    <m/>
    <m/>
    <m/>
    <n v="160766"/>
    <n v="162534"/>
  </r>
  <r>
    <x v="9"/>
    <x v="44"/>
    <s v="Non-credit continuing education"/>
    <m/>
    <n v="198039"/>
    <x v="8"/>
    <m/>
    <m/>
    <n v="1778707"/>
    <n v="1803496"/>
    <m/>
    <m/>
    <n v="295658"/>
    <m/>
    <n v="295658"/>
    <n v="272148"/>
    <m/>
    <n v="272148"/>
    <n v="2074365"/>
    <n v="2075644"/>
    <m/>
    <m/>
    <m/>
    <m/>
    <n v="0"/>
    <m/>
    <m/>
    <n v="0"/>
    <m/>
    <m/>
    <m/>
    <m/>
    <m/>
    <m/>
    <n v="2074365"/>
    <n v="2075644"/>
  </r>
  <r>
    <x v="9"/>
    <x v="0"/>
    <s v="Brunswick Community College"/>
    <m/>
    <n v="198084"/>
    <x v="8"/>
    <n v="5920266"/>
    <n v="6362096"/>
    <m/>
    <m/>
    <n v="3422406"/>
    <n v="3647505"/>
    <n v="1769424"/>
    <m/>
    <n v="1769424"/>
    <n v="1768336"/>
    <m/>
    <n v="1768336"/>
    <n v="11112096"/>
    <n v="11777937"/>
    <m/>
    <m/>
    <m/>
    <m/>
    <n v="0"/>
    <m/>
    <m/>
    <n v="0"/>
    <m/>
    <m/>
    <m/>
    <m/>
    <m/>
    <m/>
    <n v="11112096"/>
    <n v="11777937"/>
  </r>
  <r>
    <x v="9"/>
    <x v="0"/>
    <s v="Nursing / allied health supplement"/>
    <m/>
    <n v="198084"/>
    <x v="8"/>
    <m/>
    <m/>
    <m/>
    <m/>
    <m/>
    <m/>
    <m/>
    <m/>
    <n v="0"/>
    <m/>
    <m/>
    <n v="0"/>
    <n v="0"/>
    <n v="0"/>
    <m/>
    <m/>
    <m/>
    <m/>
    <n v="0"/>
    <m/>
    <m/>
    <n v="0"/>
    <m/>
    <m/>
    <m/>
    <m/>
    <m/>
    <m/>
    <n v="0"/>
    <n v="0"/>
  </r>
  <r>
    <x v="9"/>
    <x v="3"/>
    <s v="Community or public service units"/>
    <m/>
    <n v="198084"/>
    <x v="8"/>
    <m/>
    <m/>
    <n v="148478"/>
    <n v="148487"/>
    <m/>
    <m/>
    <m/>
    <m/>
    <n v="0"/>
    <m/>
    <m/>
    <n v="0"/>
    <n v="148478"/>
    <n v="148487"/>
    <m/>
    <m/>
    <m/>
    <m/>
    <n v="0"/>
    <m/>
    <m/>
    <n v="0"/>
    <m/>
    <m/>
    <m/>
    <m/>
    <m/>
    <m/>
    <n v="148478"/>
    <n v="148487"/>
  </r>
  <r>
    <x v="9"/>
    <x v="44"/>
    <s v="Non-credit continuing education"/>
    <m/>
    <n v="198084"/>
    <x v="8"/>
    <m/>
    <m/>
    <n v="1559463"/>
    <n v="1581896"/>
    <m/>
    <m/>
    <n v="173900"/>
    <m/>
    <n v="173900"/>
    <n v="160072"/>
    <m/>
    <n v="160072"/>
    <n v="1733363"/>
    <n v="1741968"/>
    <m/>
    <m/>
    <m/>
    <m/>
    <n v="0"/>
    <m/>
    <m/>
    <n v="0"/>
    <m/>
    <m/>
    <m/>
    <m/>
    <m/>
    <m/>
    <n v="1733363"/>
    <n v="1741968"/>
  </r>
  <r>
    <x v="9"/>
    <x v="0"/>
    <s v="Carteret Community College"/>
    <m/>
    <n v="198206"/>
    <x v="8"/>
    <n v="6419004"/>
    <n v="6503599"/>
    <m/>
    <m/>
    <n v="2043000"/>
    <n v="2053000"/>
    <n v="2517162"/>
    <m/>
    <n v="2517162"/>
    <n v="2515615"/>
    <m/>
    <n v="2515615"/>
    <n v="10979166"/>
    <n v="11072214"/>
    <m/>
    <m/>
    <m/>
    <m/>
    <n v="0"/>
    <m/>
    <m/>
    <n v="0"/>
    <m/>
    <m/>
    <m/>
    <m/>
    <m/>
    <m/>
    <n v="10979166"/>
    <n v="11072214"/>
  </r>
  <r>
    <x v="9"/>
    <x v="0"/>
    <s v="Nursing / allied health supplement"/>
    <m/>
    <n v="198206"/>
    <x v="8"/>
    <m/>
    <m/>
    <m/>
    <m/>
    <m/>
    <m/>
    <m/>
    <m/>
    <n v="0"/>
    <m/>
    <m/>
    <n v="0"/>
    <n v="0"/>
    <n v="0"/>
    <m/>
    <m/>
    <m/>
    <m/>
    <n v="0"/>
    <m/>
    <m/>
    <n v="0"/>
    <m/>
    <m/>
    <m/>
    <m/>
    <m/>
    <m/>
    <n v="0"/>
    <n v="0"/>
  </r>
  <r>
    <x v="9"/>
    <x v="3"/>
    <s v="Community or public service units"/>
    <m/>
    <n v="198206"/>
    <x v="8"/>
    <m/>
    <m/>
    <n v="152272"/>
    <n v="151279"/>
    <m/>
    <m/>
    <m/>
    <m/>
    <n v="0"/>
    <m/>
    <m/>
    <n v="0"/>
    <n v="152272"/>
    <n v="151279"/>
    <m/>
    <m/>
    <m/>
    <m/>
    <n v="0"/>
    <m/>
    <m/>
    <n v="0"/>
    <m/>
    <m/>
    <m/>
    <m/>
    <m/>
    <m/>
    <n v="152272"/>
    <n v="151279"/>
  </r>
  <r>
    <x v="9"/>
    <x v="44"/>
    <s v="Non-credit continuing education"/>
    <m/>
    <n v="198206"/>
    <x v="8"/>
    <m/>
    <m/>
    <n v="1205272"/>
    <n v="1238476"/>
    <m/>
    <m/>
    <n v="274482"/>
    <m/>
    <n v="274482"/>
    <n v="252656"/>
    <m/>
    <n v="252656"/>
    <n v="1479754"/>
    <n v="1491132"/>
    <m/>
    <m/>
    <m/>
    <m/>
    <n v="0"/>
    <m/>
    <m/>
    <n v="0"/>
    <m/>
    <m/>
    <m/>
    <m/>
    <m/>
    <m/>
    <n v="1479754"/>
    <n v="1491132"/>
  </r>
  <r>
    <x v="9"/>
    <x v="0"/>
    <s v="College of the Albemarle"/>
    <s v="Met the criteria for Two-Year 2 in 2012-13."/>
    <n v="197814"/>
    <x v="8"/>
    <n v="8856553"/>
    <n v="9130754"/>
    <m/>
    <m/>
    <n v="1933296"/>
    <n v="2172196"/>
    <n v="3563981"/>
    <m/>
    <n v="3563981"/>
    <n v="3561790"/>
    <m/>
    <n v="3561790"/>
    <n v="14353830"/>
    <n v="14864740"/>
    <m/>
    <m/>
    <m/>
    <m/>
    <n v="0"/>
    <m/>
    <m/>
    <n v="0"/>
    <m/>
    <m/>
    <m/>
    <m/>
    <m/>
    <m/>
    <n v="14353830"/>
    <n v="14864740"/>
  </r>
  <r>
    <x v="9"/>
    <x v="0"/>
    <s v="Nursing / allied health supplement"/>
    <m/>
    <n v="197814"/>
    <x v="8"/>
    <m/>
    <m/>
    <m/>
    <m/>
    <m/>
    <m/>
    <m/>
    <m/>
    <n v="0"/>
    <m/>
    <m/>
    <n v="0"/>
    <n v="0"/>
    <n v="0"/>
    <m/>
    <m/>
    <m/>
    <m/>
    <n v="0"/>
    <m/>
    <m/>
    <n v="0"/>
    <m/>
    <m/>
    <m/>
    <m/>
    <m/>
    <m/>
    <n v="0"/>
    <n v="0"/>
  </r>
  <r>
    <x v="9"/>
    <x v="3"/>
    <s v="Community or public service units"/>
    <m/>
    <n v="197814"/>
    <x v="8"/>
    <m/>
    <m/>
    <n v="156596"/>
    <n v="156939"/>
    <m/>
    <m/>
    <m/>
    <m/>
    <n v="0"/>
    <m/>
    <m/>
    <n v="0"/>
    <n v="156596"/>
    <n v="156939"/>
    <m/>
    <m/>
    <m/>
    <m/>
    <n v="0"/>
    <m/>
    <m/>
    <n v="0"/>
    <m/>
    <m/>
    <m/>
    <m/>
    <m/>
    <m/>
    <n v="156596"/>
    <n v="156939"/>
  </r>
  <r>
    <x v="9"/>
    <x v="44"/>
    <s v="Non-credit continuing education"/>
    <m/>
    <n v="197814"/>
    <x v="8"/>
    <m/>
    <m/>
    <n v="1663950"/>
    <n v="1453319"/>
    <m/>
    <m/>
    <n v="233096"/>
    <m/>
    <n v="233096"/>
    <n v="214562"/>
    <m/>
    <n v="214562"/>
    <n v="1897046"/>
    <n v="1667881"/>
    <m/>
    <m/>
    <m/>
    <m/>
    <n v="0"/>
    <m/>
    <m/>
    <n v="0"/>
    <m/>
    <m/>
    <m/>
    <m/>
    <m/>
    <m/>
    <n v="1897046"/>
    <n v="1667881"/>
  </r>
  <r>
    <x v="9"/>
    <x v="0"/>
    <s v="Halifax Community College "/>
    <m/>
    <n v="198640"/>
    <x v="8"/>
    <n v="6624285"/>
    <n v="6474988"/>
    <m/>
    <m/>
    <n v="955522"/>
    <n v="1010599"/>
    <n v="2328803"/>
    <m/>
    <n v="2328803"/>
    <n v="2327371"/>
    <m/>
    <n v="2327371"/>
    <n v="9908610"/>
    <n v="9812958"/>
    <m/>
    <m/>
    <m/>
    <m/>
    <n v="0"/>
    <m/>
    <m/>
    <n v="0"/>
    <m/>
    <m/>
    <m/>
    <m/>
    <m/>
    <m/>
    <n v="9908610"/>
    <n v="9812958"/>
  </r>
  <r>
    <x v="9"/>
    <x v="0"/>
    <s v="Nursing / allied health supplement"/>
    <m/>
    <n v="198640"/>
    <x v="8"/>
    <m/>
    <m/>
    <m/>
    <m/>
    <m/>
    <m/>
    <m/>
    <m/>
    <n v="0"/>
    <m/>
    <m/>
    <n v="0"/>
    <n v="0"/>
    <n v="0"/>
    <m/>
    <m/>
    <m/>
    <m/>
    <n v="0"/>
    <m/>
    <m/>
    <n v="0"/>
    <m/>
    <m/>
    <m/>
    <m/>
    <m/>
    <m/>
    <n v="0"/>
    <n v="0"/>
  </r>
  <r>
    <x v="9"/>
    <x v="3"/>
    <s v="Community or public service units"/>
    <m/>
    <n v="198640"/>
    <x v="8"/>
    <m/>
    <m/>
    <n v="150602"/>
    <n v="151958"/>
    <m/>
    <m/>
    <m/>
    <m/>
    <n v="0"/>
    <m/>
    <m/>
    <n v="0"/>
    <n v="150602"/>
    <n v="151958"/>
    <m/>
    <m/>
    <m/>
    <m/>
    <n v="0"/>
    <m/>
    <m/>
    <n v="0"/>
    <m/>
    <m/>
    <m/>
    <m/>
    <m/>
    <m/>
    <n v="150602"/>
    <n v="151958"/>
  </r>
  <r>
    <x v="9"/>
    <x v="44"/>
    <s v="Non-credit continuing education"/>
    <m/>
    <n v="198640"/>
    <x v="8"/>
    <m/>
    <m/>
    <n v="1028576"/>
    <n v="1140546"/>
    <m/>
    <m/>
    <n v="111902"/>
    <m/>
    <n v="111902"/>
    <n v="103004"/>
    <m/>
    <n v="103004"/>
    <n v="1140478"/>
    <n v="1243550"/>
    <m/>
    <m/>
    <m/>
    <m/>
    <n v="0"/>
    <m/>
    <m/>
    <n v="0"/>
    <m/>
    <m/>
    <m/>
    <m/>
    <m/>
    <m/>
    <n v="1140478"/>
    <n v="1243550"/>
  </r>
  <r>
    <x v="9"/>
    <x v="0"/>
    <s v="James Sprunt Community College"/>
    <m/>
    <n v="198729"/>
    <x v="8"/>
    <n v="5359796"/>
    <n v="5492674"/>
    <m/>
    <m/>
    <n v="1362585"/>
    <n v="1362585"/>
    <n v="1926449"/>
    <m/>
    <n v="1926449"/>
    <n v="1925265"/>
    <m/>
    <n v="1925265"/>
    <n v="8648830"/>
    <n v="8780524"/>
    <m/>
    <m/>
    <m/>
    <m/>
    <n v="0"/>
    <m/>
    <m/>
    <n v="0"/>
    <m/>
    <m/>
    <m/>
    <m/>
    <m/>
    <m/>
    <n v="8648830"/>
    <n v="8780524"/>
  </r>
  <r>
    <x v="9"/>
    <x v="0"/>
    <s v="Nursing / allied health supplement"/>
    <m/>
    <n v="198729"/>
    <x v="8"/>
    <m/>
    <m/>
    <m/>
    <m/>
    <m/>
    <m/>
    <m/>
    <m/>
    <n v="0"/>
    <m/>
    <m/>
    <n v="0"/>
    <n v="0"/>
    <n v="0"/>
    <m/>
    <m/>
    <m/>
    <m/>
    <n v="0"/>
    <m/>
    <m/>
    <n v="0"/>
    <m/>
    <m/>
    <m/>
    <m/>
    <m/>
    <m/>
    <n v="0"/>
    <n v="0"/>
  </r>
  <r>
    <x v="9"/>
    <x v="3"/>
    <s v="Community or public service units"/>
    <m/>
    <n v="198729"/>
    <x v="8"/>
    <m/>
    <m/>
    <n v="153026"/>
    <n v="155666"/>
    <m/>
    <m/>
    <m/>
    <m/>
    <n v="0"/>
    <m/>
    <m/>
    <n v="0"/>
    <n v="153026"/>
    <n v="155666"/>
    <m/>
    <m/>
    <m/>
    <m/>
    <n v="0"/>
    <m/>
    <m/>
    <n v="0"/>
    <m/>
    <m/>
    <m/>
    <m/>
    <m/>
    <m/>
    <n v="153026"/>
    <n v="155666"/>
  </r>
  <r>
    <x v="9"/>
    <x v="44"/>
    <s v="Non-credit continuing education"/>
    <m/>
    <n v="198729"/>
    <x v="8"/>
    <m/>
    <m/>
    <n v="1054758"/>
    <n v="957223"/>
    <m/>
    <m/>
    <n v="122724"/>
    <m/>
    <n v="122724"/>
    <n v="112966"/>
    <m/>
    <n v="112966"/>
    <n v="1177482"/>
    <n v="1070189"/>
    <m/>
    <m/>
    <m/>
    <m/>
    <n v="0"/>
    <m/>
    <m/>
    <n v="0"/>
    <m/>
    <m/>
    <m/>
    <m/>
    <m/>
    <m/>
    <n v="1177482"/>
    <n v="1070189"/>
  </r>
  <r>
    <x v="9"/>
    <x v="0"/>
    <s v="Martin Community College "/>
    <m/>
    <n v="198905"/>
    <x v="8"/>
    <n v="3940790"/>
    <n v="3970446"/>
    <m/>
    <m/>
    <n v="1013562"/>
    <n v="936098"/>
    <n v="1116627"/>
    <m/>
    <n v="1116627"/>
    <n v="1115941"/>
    <m/>
    <n v="1115941"/>
    <n v="6070979"/>
    <n v="6022485"/>
    <m/>
    <m/>
    <m/>
    <m/>
    <n v="0"/>
    <m/>
    <m/>
    <n v="0"/>
    <m/>
    <m/>
    <m/>
    <m/>
    <m/>
    <m/>
    <n v="6070979"/>
    <n v="6022485"/>
  </r>
  <r>
    <x v="9"/>
    <x v="0"/>
    <s v="Nursing / allied health supplement"/>
    <m/>
    <n v="198905"/>
    <x v="8"/>
    <m/>
    <m/>
    <m/>
    <m/>
    <m/>
    <m/>
    <m/>
    <m/>
    <n v="0"/>
    <m/>
    <m/>
    <n v="0"/>
    <n v="0"/>
    <n v="0"/>
    <m/>
    <m/>
    <m/>
    <m/>
    <n v="0"/>
    <m/>
    <m/>
    <n v="0"/>
    <m/>
    <m/>
    <m/>
    <m/>
    <m/>
    <m/>
    <n v="0"/>
    <n v="0"/>
  </r>
  <r>
    <x v="9"/>
    <x v="3"/>
    <s v="Community or public service units"/>
    <m/>
    <n v="198905"/>
    <x v="8"/>
    <m/>
    <m/>
    <n v="144988"/>
    <n v="146373"/>
    <m/>
    <m/>
    <m/>
    <m/>
    <n v="0"/>
    <m/>
    <m/>
    <n v="0"/>
    <n v="144988"/>
    <n v="146373"/>
    <m/>
    <m/>
    <m/>
    <m/>
    <n v="0"/>
    <m/>
    <m/>
    <n v="0"/>
    <m/>
    <m/>
    <m/>
    <m/>
    <m/>
    <m/>
    <n v="144988"/>
    <n v="146373"/>
  </r>
  <r>
    <x v="9"/>
    <x v="44"/>
    <s v="Non-credit continuing education"/>
    <m/>
    <n v="198905"/>
    <x v="8"/>
    <m/>
    <m/>
    <n v="1040634"/>
    <n v="993840"/>
    <m/>
    <m/>
    <n v="117022"/>
    <m/>
    <n v="117022"/>
    <n v="107717"/>
    <m/>
    <n v="107717"/>
    <n v="1157656"/>
    <n v="1101557"/>
    <m/>
    <m/>
    <m/>
    <m/>
    <n v="0"/>
    <m/>
    <m/>
    <n v="0"/>
    <m/>
    <m/>
    <m/>
    <m/>
    <m/>
    <m/>
    <n v="1157656"/>
    <n v="1101557"/>
  </r>
  <r>
    <x v="9"/>
    <x v="0"/>
    <s v="Mayland Community College"/>
    <m/>
    <n v="198914"/>
    <x v="8"/>
    <n v="6302452"/>
    <n v="5977188"/>
    <m/>
    <m/>
    <n v="779534"/>
    <n v="898957"/>
    <n v="1156900"/>
    <m/>
    <n v="1156900"/>
    <n v="1156189"/>
    <m/>
    <n v="1156189"/>
    <n v="8238886"/>
    <n v="8032334"/>
    <m/>
    <m/>
    <m/>
    <m/>
    <n v="0"/>
    <m/>
    <m/>
    <n v="0"/>
    <m/>
    <m/>
    <m/>
    <m/>
    <m/>
    <m/>
    <n v="8238886"/>
    <n v="8032334"/>
  </r>
  <r>
    <x v="9"/>
    <x v="0"/>
    <s v="Nursing / allied health supplement"/>
    <m/>
    <n v="198914"/>
    <x v="8"/>
    <m/>
    <m/>
    <m/>
    <m/>
    <m/>
    <m/>
    <m/>
    <m/>
    <n v="0"/>
    <m/>
    <m/>
    <n v="0"/>
    <n v="0"/>
    <n v="0"/>
    <m/>
    <m/>
    <m/>
    <m/>
    <n v="0"/>
    <m/>
    <m/>
    <n v="0"/>
    <m/>
    <m/>
    <m/>
    <m/>
    <m/>
    <m/>
    <n v="0"/>
    <n v="0"/>
  </r>
  <r>
    <x v="9"/>
    <x v="3"/>
    <s v="Community or public service units"/>
    <m/>
    <n v="198914"/>
    <x v="8"/>
    <m/>
    <m/>
    <n v="148781"/>
    <n v="150223"/>
    <m/>
    <m/>
    <m/>
    <m/>
    <n v="0"/>
    <m/>
    <m/>
    <n v="0"/>
    <n v="148781"/>
    <n v="150223"/>
    <m/>
    <m/>
    <m/>
    <m/>
    <n v="0"/>
    <m/>
    <m/>
    <n v="0"/>
    <m/>
    <m/>
    <m/>
    <m/>
    <m/>
    <m/>
    <n v="148781"/>
    <n v="150223"/>
  </r>
  <r>
    <x v="9"/>
    <x v="44"/>
    <s v="Non-credit continuing education"/>
    <m/>
    <n v="198914"/>
    <x v="8"/>
    <m/>
    <m/>
    <n v="2046157"/>
    <n v="2047907"/>
    <m/>
    <m/>
    <n v="153523"/>
    <m/>
    <n v="153523"/>
    <n v="141316"/>
    <m/>
    <n v="141316"/>
    <n v="2199680"/>
    <n v="2189223"/>
    <m/>
    <m/>
    <m/>
    <m/>
    <n v="0"/>
    <m/>
    <m/>
    <n v="0"/>
    <m/>
    <m/>
    <m/>
    <m/>
    <m/>
    <m/>
    <n v="2199680"/>
    <n v="2189223"/>
  </r>
  <r>
    <x v="9"/>
    <x v="0"/>
    <s v="McDowell Technical Community College"/>
    <m/>
    <n v="198923"/>
    <x v="8"/>
    <n v="5647364"/>
    <n v="5636835"/>
    <m/>
    <m/>
    <n v="826658"/>
    <n v="853688"/>
    <n v="1984253"/>
    <m/>
    <n v="1984253"/>
    <n v="1983033"/>
    <m/>
    <n v="1983033"/>
    <n v="8458275"/>
    <n v="8473556"/>
    <m/>
    <m/>
    <m/>
    <m/>
    <n v="0"/>
    <m/>
    <m/>
    <n v="0"/>
    <m/>
    <m/>
    <m/>
    <m/>
    <m/>
    <m/>
    <n v="8458275"/>
    <n v="8473556"/>
  </r>
  <r>
    <x v="9"/>
    <x v="0"/>
    <s v="Nursing / allied health supplement"/>
    <m/>
    <n v="198923"/>
    <x v="8"/>
    <m/>
    <m/>
    <m/>
    <m/>
    <m/>
    <m/>
    <m/>
    <m/>
    <n v="0"/>
    <m/>
    <m/>
    <n v="0"/>
    <n v="0"/>
    <n v="0"/>
    <m/>
    <m/>
    <m/>
    <m/>
    <n v="0"/>
    <m/>
    <m/>
    <n v="0"/>
    <m/>
    <m/>
    <m/>
    <m/>
    <m/>
    <m/>
    <n v="0"/>
    <n v="0"/>
  </r>
  <r>
    <x v="9"/>
    <x v="3"/>
    <s v="Community or public service units"/>
    <m/>
    <n v="198923"/>
    <x v="8"/>
    <m/>
    <m/>
    <n v="145060"/>
    <n v="143506"/>
    <m/>
    <m/>
    <m/>
    <m/>
    <n v="0"/>
    <m/>
    <m/>
    <n v="0"/>
    <n v="145060"/>
    <n v="143506"/>
    <m/>
    <m/>
    <m/>
    <m/>
    <n v="0"/>
    <m/>
    <m/>
    <n v="0"/>
    <m/>
    <m/>
    <m/>
    <m/>
    <m/>
    <m/>
    <n v="145060"/>
    <n v="143506"/>
  </r>
  <r>
    <x v="9"/>
    <x v="44"/>
    <s v="Non-credit continuing education"/>
    <m/>
    <n v="198923"/>
    <x v="8"/>
    <m/>
    <m/>
    <n v="1177887"/>
    <n v="1188896"/>
    <m/>
    <m/>
    <n v="45109"/>
    <m/>
    <n v="45109"/>
    <n v="41522"/>
    <m/>
    <n v="41522"/>
    <n v="1222996"/>
    <n v="1230418"/>
    <m/>
    <m/>
    <m/>
    <m/>
    <n v="0"/>
    <m/>
    <m/>
    <n v="0"/>
    <m/>
    <m/>
    <m/>
    <m/>
    <m/>
    <m/>
    <n v="1222996"/>
    <n v="1230418"/>
  </r>
  <r>
    <x v="9"/>
    <x v="0"/>
    <s v="Montgomery Community College"/>
    <m/>
    <n v="199023"/>
    <x v="8"/>
    <n v="3814479"/>
    <n v="3823136"/>
    <m/>
    <m/>
    <n v="754834"/>
    <n v="756375"/>
    <n v="1244403"/>
    <m/>
    <n v="1244403"/>
    <n v="1243638"/>
    <m/>
    <n v="1243638"/>
    <n v="5813716"/>
    <n v="5823149"/>
    <m/>
    <m/>
    <m/>
    <m/>
    <n v="0"/>
    <m/>
    <m/>
    <n v="0"/>
    <m/>
    <m/>
    <m/>
    <m/>
    <m/>
    <m/>
    <n v="5813716"/>
    <n v="5823149"/>
  </r>
  <r>
    <x v="9"/>
    <x v="0"/>
    <s v="Nursing / allied health supplement"/>
    <m/>
    <n v="199023"/>
    <x v="8"/>
    <m/>
    <m/>
    <m/>
    <m/>
    <m/>
    <m/>
    <m/>
    <m/>
    <n v="0"/>
    <m/>
    <m/>
    <n v="0"/>
    <n v="0"/>
    <n v="0"/>
    <m/>
    <m/>
    <m/>
    <m/>
    <n v="0"/>
    <m/>
    <m/>
    <n v="0"/>
    <m/>
    <m/>
    <m/>
    <m/>
    <m/>
    <m/>
    <n v="0"/>
    <n v="0"/>
  </r>
  <r>
    <x v="9"/>
    <x v="3"/>
    <s v="Community or public service units"/>
    <m/>
    <n v="199023"/>
    <x v="8"/>
    <m/>
    <m/>
    <n v="147795"/>
    <n v="149015"/>
    <m/>
    <m/>
    <m/>
    <m/>
    <n v="0"/>
    <m/>
    <m/>
    <n v="0"/>
    <n v="147795"/>
    <n v="149015"/>
    <m/>
    <m/>
    <m/>
    <m/>
    <n v="0"/>
    <m/>
    <m/>
    <n v="0"/>
    <m/>
    <m/>
    <m/>
    <m/>
    <m/>
    <m/>
    <n v="147795"/>
    <n v="149015"/>
  </r>
  <r>
    <x v="9"/>
    <x v="44"/>
    <s v="Non-credit continuing education"/>
    <m/>
    <n v="199023"/>
    <x v="8"/>
    <m/>
    <m/>
    <n v="866572"/>
    <n v="936250"/>
    <m/>
    <m/>
    <n v="103687"/>
    <m/>
    <n v="103687"/>
    <n v="95443"/>
    <m/>
    <n v="95443"/>
    <n v="970259"/>
    <n v="1031693"/>
    <m/>
    <m/>
    <m/>
    <m/>
    <n v="0"/>
    <m/>
    <m/>
    <n v="0"/>
    <m/>
    <m/>
    <m/>
    <m/>
    <m/>
    <m/>
    <n v="970259"/>
    <n v="1031693"/>
  </r>
  <r>
    <x v="9"/>
    <x v="0"/>
    <s v="Pamlico Community College"/>
    <m/>
    <n v="199263"/>
    <x v="8"/>
    <n v="3416638"/>
    <n v="3238464"/>
    <m/>
    <m/>
    <n v="552302"/>
    <n v="532033"/>
    <n v="506355"/>
    <m/>
    <n v="506355"/>
    <n v="506043"/>
    <m/>
    <n v="506043"/>
    <n v="4475295"/>
    <n v="4276540"/>
    <m/>
    <m/>
    <m/>
    <m/>
    <n v="0"/>
    <m/>
    <m/>
    <n v="0"/>
    <m/>
    <m/>
    <m/>
    <m/>
    <m/>
    <m/>
    <n v="4475295"/>
    <n v="4276540"/>
  </r>
  <r>
    <x v="9"/>
    <x v="0"/>
    <s v="Nursing / allied health supplement"/>
    <m/>
    <n v="199263"/>
    <x v="8"/>
    <m/>
    <m/>
    <m/>
    <m/>
    <m/>
    <m/>
    <m/>
    <m/>
    <n v="0"/>
    <m/>
    <m/>
    <n v="0"/>
    <n v="0"/>
    <n v="0"/>
    <m/>
    <m/>
    <m/>
    <m/>
    <n v="0"/>
    <m/>
    <m/>
    <n v="0"/>
    <m/>
    <m/>
    <m/>
    <m/>
    <m/>
    <m/>
    <n v="0"/>
    <n v="0"/>
  </r>
  <r>
    <x v="9"/>
    <x v="3"/>
    <s v="Community or public service units"/>
    <m/>
    <n v="199263"/>
    <x v="8"/>
    <m/>
    <m/>
    <n v="94984"/>
    <n v="97515"/>
    <m/>
    <m/>
    <m/>
    <m/>
    <n v="0"/>
    <m/>
    <m/>
    <n v="0"/>
    <n v="94984"/>
    <n v="97515"/>
    <m/>
    <m/>
    <m/>
    <m/>
    <n v="0"/>
    <m/>
    <m/>
    <n v="0"/>
    <m/>
    <m/>
    <m/>
    <m/>
    <m/>
    <m/>
    <n v="94984"/>
    <n v="97515"/>
  </r>
  <r>
    <x v="9"/>
    <x v="44"/>
    <s v="Non-credit continuing education"/>
    <m/>
    <n v="199263"/>
    <x v="8"/>
    <m/>
    <m/>
    <n v="775978"/>
    <n v="715622"/>
    <m/>
    <m/>
    <n v="31399"/>
    <m/>
    <n v="31399"/>
    <n v="28903"/>
    <m/>
    <n v="28903"/>
    <n v="807377"/>
    <n v="744525"/>
    <m/>
    <m/>
    <m/>
    <m/>
    <n v="0"/>
    <m/>
    <m/>
    <n v="0"/>
    <m/>
    <m/>
    <m/>
    <m/>
    <m/>
    <m/>
    <n v="807377"/>
    <n v="744525"/>
  </r>
  <r>
    <x v="9"/>
    <x v="0"/>
    <s v="Piedmont Community College"/>
    <m/>
    <n v="199324"/>
    <x v="8"/>
    <n v="10158398"/>
    <n v="9557969"/>
    <m/>
    <m/>
    <n v="1240929"/>
    <n v="1246263"/>
    <n v="2752553"/>
    <m/>
    <n v="2752553"/>
    <n v="2750860"/>
    <m/>
    <n v="2750860"/>
    <n v="14151880"/>
    <n v="13555092"/>
    <m/>
    <m/>
    <m/>
    <m/>
    <n v="0"/>
    <m/>
    <m/>
    <n v="0"/>
    <m/>
    <m/>
    <m/>
    <m/>
    <m/>
    <m/>
    <n v="14151880"/>
    <n v="13555092"/>
  </r>
  <r>
    <x v="9"/>
    <x v="0"/>
    <s v="Nursing / allied health supplement"/>
    <m/>
    <n v="199324"/>
    <x v="8"/>
    <m/>
    <m/>
    <m/>
    <m/>
    <m/>
    <m/>
    <m/>
    <m/>
    <n v="0"/>
    <m/>
    <m/>
    <n v="0"/>
    <n v="0"/>
    <n v="0"/>
    <m/>
    <m/>
    <m/>
    <m/>
    <n v="0"/>
    <m/>
    <m/>
    <n v="0"/>
    <m/>
    <m/>
    <m/>
    <m/>
    <m/>
    <m/>
    <n v="0"/>
    <n v="0"/>
  </r>
  <r>
    <x v="9"/>
    <x v="3"/>
    <s v="Community or public service units"/>
    <m/>
    <n v="199324"/>
    <x v="8"/>
    <m/>
    <m/>
    <n v="146429"/>
    <n v="147581"/>
    <m/>
    <m/>
    <m/>
    <m/>
    <n v="0"/>
    <m/>
    <m/>
    <n v="0"/>
    <n v="146429"/>
    <n v="147581"/>
    <m/>
    <m/>
    <m/>
    <m/>
    <n v="0"/>
    <m/>
    <m/>
    <n v="0"/>
    <m/>
    <m/>
    <m/>
    <m/>
    <m/>
    <m/>
    <n v="146429"/>
    <n v="147581"/>
  </r>
  <r>
    <x v="9"/>
    <x v="44"/>
    <s v="Non-credit continuing education"/>
    <m/>
    <n v="199324"/>
    <x v="8"/>
    <m/>
    <m/>
    <n v="1674146"/>
    <n v="1760353"/>
    <m/>
    <m/>
    <n v="236163"/>
    <m/>
    <n v="236163"/>
    <n v="217384"/>
    <m/>
    <n v="217384"/>
    <n v="1910309"/>
    <n v="1977737"/>
    <m/>
    <m/>
    <m/>
    <m/>
    <n v="0"/>
    <m/>
    <m/>
    <n v="0"/>
    <m/>
    <m/>
    <m/>
    <m/>
    <m/>
    <m/>
    <n v="1910309"/>
    <n v="1977737"/>
  </r>
  <r>
    <x v="9"/>
    <x v="0"/>
    <s v="Richmond Community College"/>
    <s v="Met the criteria for Two-Year 2 in 2012-13."/>
    <n v="199449"/>
    <x v="8"/>
    <n v="7447946"/>
    <n v="8474026"/>
    <m/>
    <m/>
    <n v="1259804"/>
    <n v="2004573"/>
    <n v="3048287"/>
    <m/>
    <n v="3048287"/>
    <n v="3046413"/>
    <m/>
    <n v="3046413"/>
    <n v="11756037"/>
    <n v="13525012"/>
    <m/>
    <m/>
    <m/>
    <m/>
    <n v="0"/>
    <m/>
    <m/>
    <n v="0"/>
    <m/>
    <m/>
    <m/>
    <m/>
    <m/>
    <m/>
    <n v="11756037"/>
    <n v="13525012"/>
  </r>
  <r>
    <x v="9"/>
    <x v="0"/>
    <s v="Nursing / allied health supplement"/>
    <m/>
    <n v="199449"/>
    <x v="8"/>
    <m/>
    <m/>
    <m/>
    <m/>
    <m/>
    <m/>
    <m/>
    <m/>
    <n v="0"/>
    <m/>
    <m/>
    <n v="0"/>
    <n v="0"/>
    <n v="0"/>
    <m/>
    <m/>
    <m/>
    <m/>
    <n v="0"/>
    <m/>
    <m/>
    <n v="0"/>
    <m/>
    <m/>
    <m/>
    <m/>
    <m/>
    <m/>
    <n v="0"/>
    <n v="0"/>
  </r>
  <r>
    <x v="9"/>
    <x v="3"/>
    <s v="Community or public service units"/>
    <m/>
    <n v="199449"/>
    <x v="8"/>
    <m/>
    <m/>
    <n v="152647"/>
    <n v="155138"/>
    <m/>
    <m/>
    <m/>
    <m/>
    <n v="0"/>
    <m/>
    <m/>
    <n v="0"/>
    <n v="152647"/>
    <n v="155138"/>
    <m/>
    <m/>
    <m/>
    <m/>
    <n v="0"/>
    <m/>
    <m/>
    <n v="0"/>
    <m/>
    <m/>
    <m/>
    <m/>
    <m/>
    <m/>
    <n v="152647"/>
    <n v="155138"/>
  </r>
  <r>
    <x v="9"/>
    <x v="44"/>
    <s v="Non-credit continuing education"/>
    <m/>
    <n v="199449"/>
    <x v="8"/>
    <m/>
    <m/>
    <n v="2442813"/>
    <n v="2384084"/>
    <m/>
    <m/>
    <n v="91891"/>
    <m/>
    <n v="91891"/>
    <n v="84584"/>
    <m/>
    <n v="84584"/>
    <n v="2534704"/>
    <n v="2468668"/>
    <m/>
    <m/>
    <m/>
    <m/>
    <n v="0"/>
    <m/>
    <m/>
    <n v="0"/>
    <m/>
    <m/>
    <m/>
    <m/>
    <m/>
    <m/>
    <n v="2534704"/>
    <n v="2468668"/>
  </r>
  <r>
    <x v="9"/>
    <x v="0"/>
    <s v="Roanoke-Chowan Community College"/>
    <m/>
    <n v="199467"/>
    <x v="8"/>
    <n v="4140648"/>
    <n v="4078171"/>
    <m/>
    <m/>
    <n v="887839"/>
    <n v="861839"/>
    <n v="1032446"/>
    <m/>
    <n v="1032446"/>
    <n v="1031811"/>
    <m/>
    <n v="1031811"/>
    <n v="6060933"/>
    <n v="5971821"/>
    <m/>
    <m/>
    <m/>
    <m/>
    <n v="0"/>
    <m/>
    <m/>
    <n v="0"/>
    <m/>
    <m/>
    <m/>
    <m/>
    <m/>
    <m/>
    <n v="6060933"/>
    <n v="5971821"/>
  </r>
  <r>
    <x v="9"/>
    <x v="0"/>
    <s v="Nursing / allied health supplement"/>
    <m/>
    <n v="199467"/>
    <x v="8"/>
    <m/>
    <m/>
    <m/>
    <m/>
    <m/>
    <m/>
    <m/>
    <m/>
    <n v="0"/>
    <m/>
    <m/>
    <n v="0"/>
    <n v="0"/>
    <n v="0"/>
    <m/>
    <m/>
    <m/>
    <m/>
    <n v="0"/>
    <m/>
    <m/>
    <n v="0"/>
    <m/>
    <m/>
    <m/>
    <m/>
    <m/>
    <m/>
    <n v="0"/>
    <n v="0"/>
  </r>
  <r>
    <x v="9"/>
    <x v="3"/>
    <s v="Community or public service units"/>
    <m/>
    <n v="199467"/>
    <x v="8"/>
    <m/>
    <m/>
    <n v="143015"/>
    <n v="146751"/>
    <m/>
    <m/>
    <m/>
    <m/>
    <n v="0"/>
    <m/>
    <m/>
    <n v="0"/>
    <n v="143015"/>
    <n v="146751"/>
    <m/>
    <m/>
    <m/>
    <m/>
    <n v="0"/>
    <m/>
    <m/>
    <n v="0"/>
    <m/>
    <m/>
    <m/>
    <m/>
    <m/>
    <m/>
    <n v="143015"/>
    <n v="146751"/>
  </r>
  <r>
    <x v="9"/>
    <x v="44"/>
    <s v="Non-credit continuing education"/>
    <m/>
    <n v="199467"/>
    <x v="8"/>
    <m/>
    <m/>
    <n v="915325"/>
    <n v="875643"/>
    <m/>
    <m/>
    <n v="60458"/>
    <m/>
    <n v="60458"/>
    <n v="55651"/>
    <m/>
    <n v="55651"/>
    <n v="975783"/>
    <n v="931294"/>
    <m/>
    <m/>
    <m/>
    <m/>
    <n v="0"/>
    <m/>
    <m/>
    <n v="0"/>
    <m/>
    <m/>
    <m/>
    <m/>
    <m/>
    <m/>
    <n v="975783"/>
    <n v="931294"/>
  </r>
  <r>
    <x v="9"/>
    <x v="0"/>
    <s v="Rockingham Community College "/>
    <m/>
    <n v="199485"/>
    <x v="8"/>
    <n v="7744458"/>
    <n v="7648654"/>
    <m/>
    <m/>
    <n v="2382036"/>
    <n v="2561809"/>
    <n v="3295731"/>
    <m/>
    <n v="3295731"/>
    <n v="3293705"/>
    <m/>
    <n v="3293705"/>
    <n v="13422225"/>
    <n v="13504168"/>
    <m/>
    <m/>
    <m/>
    <m/>
    <n v="0"/>
    <m/>
    <m/>
    <n v="0"/>
    <m/>
    <m/>
    <m/>
    <m/>
    <m/>
    <m/>
    <n v="13422225"/>
    <n v="13504168"/>
  </r>
  <r>
    <x v="9"/>
    <x v="0"/>
    <s v="Nursing / allied health supplement"/>
    <m/>
    <n v="199485"/>
    <x v="8"/>
    <m/>
    <m/>
    <m/>
    <m/>
    <m/>
    <m/>
    <m/>
    <m/>
    <n v="0"/>
    <m/>
    <m/>
    <n v="0"/>
    <n v="0"/>
    <n v="0"/>
    <m/>
    <m/>
    <m/>
    <m/>
    <n v="0"/>
    <m/>
    <m/>
    <n v="0"/>
    <m/>
    <m/>
    <m/>
    <m/>
    <m/>
    <m/>
    <n v="0"/>
    <n v="0"/>
  </r>
  <r>
    <x v="9"/>
    <x v="3"/>
    <s v="Community or public service units"/>
    <m/>
    <n v="199485"/>
    <x v="8"/>
    <m/>
    <m/>
    <n v="151205"/>
    <n v="153251"/>
    <m/>
    <m/>
    <m/>
    <m/>
    <n v="0"/>
    <m/>
    <m/>
    <n v="0"/>
    <n v="151205"/>
    <n v="153251"/>
    <m/>
    <m/>
    <m/>
    <m/>
    <n v="0"/>
    <m/>
    <m/>
    <n v="0"/>
    <m/>
    <m/>
    <m/>
    <m/>
    <m/>
    <m/>
    <n v="151205"/>
    <n v="153251"/>
  </r>
  <r>
    <x v="9"/>
    <x v="44"/>
    <s v="Non-credit continuing education"/>
    <m/>
    <n v="199485"/>
    <x v="8"/>
    <m/>
    <m/>
    <n v="1139164"/>
    <n v="1225518"/>
    <m/>
    <m/>
    <n v="212480"/>
    <m/>
    <n v="212480"/>
    <n v="195584"/>
    <m/>
    <n v="195584"/>
    <n v="1351644"/>
    <n v="1421102"/>
    <m/>
    <m/>
    <m/>
    <m/>
    <n v="0"/>
    <m/>
    <m/>
    <n v="0"/>
    <m/>
    <m/>
    <m/>
    <m/>
    <m/>
    <m/>
    <n v="1351644"/>
    <n v="1421102"/>
  </r>
  <r>
    <x v="9"/>
    <x v="0"/>
    <s v="Sampson Community College"/>
    <m/>
    <n v="199625"/>
    <x v="8"/>
    <n v="6139249"/>
    <n v="6262952"/>
    <m/>
    <m/>
    <n v="1163105"/>
    <n v="1252169"/>
    <n v="1858165"/>
    <m/>
    <n v="1858165"/>
    <n v="1857022"/>
    <m/>
    <n v="1857022"/>
    <n v="9160519"/>
    <n v="9372143"/>
    <m/>
    <m/>
    <m/>
    <m/>
    <n v="0"/>
    <m/>
    <m/>
    <n v="0"/>
    <m/>
    <m/>
    <m/>
    <m/>
    <m/>
    <m/>
    <n v="9160519"/>
    <n v="9372143"/>
  </r>
  <r>
    <x v="9"/>
    <x v="0"/>
    <s v="Nursing / allied health supplement"/>
    <m/>
    <n v="199625"/>
    <x v="8"/>
    <m/>
    <m/>
    <m/>
    <m/>
    <m/>
    <m/>
    <m/>
    <m/>
    <n v="0"/>
    <m/>
    <m/>
    <n v="0"/>
    <n v="0"/>
    <n v="0"/>
    <m/>
    <m/>
    <m/>
    <m/>
    <n v="0"/>
    <m/>
    <m/>
    <n v="0"/>
    <m/>
    <m/>
    <m/>
    <m/>
    <m/>
    <m/>
    <n v="0"/>
    <n v="0"/>
  </r>
  <r>
    <x v="9"/>
    <x v="3"/>
    <s v="Community or public service units"/>
    <m/>
    <n v="199625"/>
    <x v="8"/>
    <m/>
    <m/>
    <n v="147871"/>
    <n v="152260"/>
    <m/>
    <m/>
    <m/>
    <m/>
    <n v="0"/>
    <m/>
    <m/>
    <n v="0"/>
    <n v="147871"/>
    <n v="152260"/>
    <m/>
    <m/>
    <m/>
    <m/>
    <n v="0"/>
    <m/>
    <m/>
    <n v="0"/>
    <m/>
    <m/>
    <m/>
    <m/>
    <m/>
    <m/>
    <n v="147871"/>
    <n v="152260"/>
  </r>
  <r>
    <x v="9"/>
    <x v="44"/>
    <s v="Non-credit continuing education"/>
    <m/>
    <n v="199625"/>
    <x v="8"/>
    <m/>
    <m/>
    <n v="2041880"/>
    <n v="2011762"/>
    <m/>
    <m/>
    <n v="153250"/>
    <m/>
    <n v="153250"/>
    <n v="141064"/>
    <m/>
    <n v="141064"/>
    <n v="2195130"/>
    <n v="2152826"/>
    <m/>
    <m/>
    <m/>
    <m/>
    <n v="0"/>
    <m/>
    <m/>
    <n v="0"/>
    <m/>
    <m/>
    <m/>
    <m/>
    <m/>
    <m/>
    <n v="2195130"/>
    <n v="2152826"/>
  </r>
  <r>
    <x v="9"/>
    <x v="0"/>
    <s v="South Piedmont Community College"/>
    <s v="Met the criteria for Two-Year 2 in 2012-13."/>
    <n v="197850"/>
    <x v="8"/>
    <n v="8745808"/>
    <n v="8752154"/>
    <m/>
    <m/>
    <n v="1651456"/>
    <n v="1667963"/>
    <n v="2864648"/>
    <m/>
    <n v="2864648"/>
    <n v="2862887"/>
    <m/>
    <n v="2862887"/>
    <n v="13261912"/>
    <n v="13283004"/>
    <m/>
    <m/>
    <m/>
    <m/>
    <n v="0"/>
    <m/>
    <m/>
    <n v="0"/>
    <m/>
    <m/>
    <m/>
    <m/>
    <m/>
    <m/>
    <n v="13261912"/>
    <n v="13283004"/>
  </r>
  <r>
    <x v="9"/>
    <x v="0"/>
    <s v="Nursing / allied health supplement"/>
    <m/>
    <n v="197850"/>
    <x v="8"/>
    <m/>
    <m/>
    <m/>
    <m/>
    <m/>
    <m/>
    <m/>
    <m/>
    <n v="0"/>
    <m/>
    <m/>
    <n v="0"/>
    <n v="0"/>
    <n v="0"/>
    <m/>
    <m/>
    <m/>
    <m/>
    <n v="0"/>
    <m/>
    <m/>
    <n v="0"/>
    <m/>
    <m/>
    <m/>
    <m/>
    <m/>
    <m/>
    <n v="0"/>
    <n v="0"/>
  </r>
  <r>
    <x v="9"/>
    <x v="3"/>
    <s v="Community or public service units"/>
    <m/>
    <n v="197850"/>
    <x v="8"/>
    <m/>
    <m/>
    <n v="157715"/>
    <n v="157968"/>
    <m/>
    <m/>
    <m/>
    <m/>
    <n v="0"/>
    <m/>
    <m/>
    <n v="0"/>
    <n v="157715"/>
    <n v="157968"/>
    <m/>
    <m/>
    <m/>
    <m/>
    <n v="0"/>
    <m/>
    <m/>
    <n v="0"/>
    <m/>
    <m/>
    <m/>
    <m/>
    <m/>
    <m/>
    <n v="157715"/>
    <n v="157968"/>
  </r>
  <r>
    <x v="9"/>
    <x v="44"/>
    <s v="Non-credit continuing education"/>
    <m/>
    <n v="197850"/>
    <x v="8"/>
    <m/>
    <m/>
    <n v="2678026"/>
    <n v="2777523"/>
    <m/>
    <m/>
    <n v="253288"/>
    <m/>
    <n v="253288"/>
    <n v="233148"/>
    <m/>
    <n v="233148"/>
    <n v="2931314"/>
    <n v="3010671"/>
    <m/>
    <m/>
    <m/>
    <m/>
    <n v="0"/>
    <m/>
    <m/>
    <n v="0"/>
    <m/>
    <m/>
    <m/>
    <m/>
    <m/>
    <m/>
    <n v="2931314"/>
    <n v="3010671"/>
  </r>
  <r>
    <x v="9"/>
    <x v="0"/>
    <s v="Southeastern Community College "/>
    <s v="Met the criteria for Two-Year 2 in 2012-13."/>
    <n v="199722"/>
    <x v="8"/>
    <n v="8745658"/>
    <n v="8618494"/>
    <m/>
    <m/>
    <n v="1324642"/>
    <n v="1242525"/>
    <n v="2688777"/>
    <m/>
    <n v="2688777"/>
    <n v="2687124"/>
    <m/>
    <n v="2687124"/>
    <n v="12759077"/>
    <n v="12548143"/>
    <m/>
    <m/>
    <m/>
    <m/>
    <n v="0"/>
    <m/>
    <m/>
    <n v="0"/>
    <m/>
    <m/>
    <m/>
    <m/>
    <m/>
    <m/>
    <n v="12759077"/>
    <n v="12548143"/>
  </r>
  <r>
    <x v="9"/>
    <x v="0"/>
    <s v="Nursing / allied health supplement"/>
    <m/>
    <n v="199722"/>
    <x v="8"/>
    <m/>
    <m/>
    <m/>
    <m/>
    <m/>
    <m/>
    <m/>
    <m/>
    <n v="0"/>
    <m/>
    <m/>
    <n v="0"/>
    <n v="0"/>
    <n v="0"/>
    <m/>
    <m/>
    <m/>
    <m/>
    <n v="0"/>
    <m/>
    <m/>
    <n v="0"/>
    <m/>
    <m/>
    <m/>
    <m/>
    <m/>
    <m/>
    <n v="0"/>
    <n v="0"/>
  </r>
  <r>
    <x v="9"/>
    <x v="3"/>
    <s v="Community or public service units"/>
    <m/>
    <n v="199722"/>
    <x v="8"/>
    <m/>
    <m/>
    <n v="151816"/>
    <n v="153845"/>
    <m/>
    <m/>
    <m/>
    <m/>
    <n v="0"/>
    <m/>
    <m/>
    <n v="0"/>
    <n v="151816"/>
    <n v="153845"/>
    <m/>
    <m/>
    <m/>
    <m/>
    <n v="0"/>
    <m/>
    <m/>
    <n v="0"/>
    <m/>
    <m/>
    <m/>
    <m/>
    <m/>
    <m/>
    <n v="151816"/>
    <n v="153845"/>
  </r>
  <r>
    <x v="9"/>
    <x v="44"/>
    <s v="Non-credit continuing education"/>
    <m/>
    <n v="199722"/>
    <x v="8"/>
    <m/>
    <m/>
    <n v="2871166"/>
    <n v="2973626"/>
    <m/>
    <m/>
    <n v="250390"/>
    <m/>
    <n v="250390"/>
    <n v="230480"/>
    <m/>
    <n v="230480"/>
    <n v="3121556"/>
    <n v="3204106"/>
    <m/>
    <m/>
    <m/>
    <m/>
    <n v="0"/>
    <m/>
    <m/>
    <n v="0"/>
    <m/>
    <m/>
    <m/>
    <m/>
    <m/>
    <m/>
    <n v="3121556"/>
    <n v="3204106"/>
  </r>
  <r>
    <x v="9"/>
    <x v="0"/>
    <s v="Southwestern Community College "/>
    <s v="Met the criteria for Two-Year 2 in 2012-13."/>
    <n v="199731"/>
    <x v="8"/>
    <n v="8787669"/>
    <n v="9046111"/>
    <m/>
    <m/>
    <n v="1966753"/>
    <n v="2268701"/>
    <n v="3359923"/>
    <m/>
    <n v="3359923"/>
    <n v="3357857"/>
    <m/>
    <n v="3357857"/>
    <n v="14114345"/>
    <n v="14672669"/>
    <m/>
    <m/>
    <m/>
    <m/>
    <n v="0"/>
    <m/>
    <m/>
    <n v="0"/>
    <m/>
    <m/>
    <m/>
    <m/>
    <m/>
    <m/>
    <n v="14114345"/>
    <n v="14672669"/>
  </r>
  <r>
    <x v="9"/>
    <x v="0"/>
    <s v="Nursing / allied health supplement"/>
    <m/>
    <n v="199731"/>
    <x v="8"/>
    <m/>
    <m/>
    <m/>
    <m/>
    <m/>
    <m/>
    <m/>
    <m/>
    <n v="0"/>
    <m/>
    <m/>
    <n v="0"/>
    <n v="0"/>
    <n v="0"/>
    <m/>
    <m/>
    <m/>
    <m/>
    <n v="0"/>
    <m/>
    <m/>
    <n v="0"/>
    <m/>
    <m/>
    <m/>
    <m/>
    <m/>
    <m/>
    <n v="0"/>
    <n v="0"/>
  </r>
  <r>
    <x v="9"/>
    <x v="3"/>
    <s v="Community or public service units"/>
    <m/>
    <n v="199731"/>
    <x v="8"/>
    <m/>
    <m/>
    <n v="144077"/>
    <n v="144713"/>
    <m/>
    <m/>
    <m/>
    <m/>
    <n v="0"/>
    <m/>
    <m/>
    <n v="0"/>
    <n v="144077"/>
    <n v="144713"/>
    <m/>
    <m/>
    <m/>
    <m/>
    <n v="0"/>
    <m/>
    <m/>
    <n v="0"/>
    <m/>
    <m/>
    <m/>
    <m/>
    <m/>
    <m/>
    <n v="144077"/>
    <n v="144713"/>
  </r>
  <r>
    <x v="9"/>
    <x v="44"/>
    <s v="Non-credit continuing education"/>
    <m/>
    <n v="199731"/>
    <x v="8"/>
    <m/>
    <m/>
    <n v="1898273"/>
    <n v="1906556"/>
    <m/>
    <m/>
    <n v="338847"/>
    <m/>
    <n v="338847"/>
    <n v="311903"/>
    <m/>
    <n v="311903"/>
    <n v="2237120"/>
    <n v="2218459"/>
    <m/>
    <m/>
    <m/>
    <m/>
    <n v="0"/>
    <m/>
    <m/>
    <n v="0"/>
    <m/>
    <m/>
    <m/>
    <m/>
    <m/>
    <m/>
    <n v="2237120"/>
    <n v="2218459"/>
  </r>
  <r>
    <x v="9"/>
    <x v="0"/>
    <s v="Tri-County Community College "/>
    <m/>
    <n v="199795"/>
    <x v="8"/>
    <n v="4981151"/>
    <n v="5185670"/>
    <m/>
    <m/>
    <n v="998639"/>
    <n v="949421"/>
    <n v="1732601"/>
    <m/>
    <n v="1732601"/>
    <n v="1731536"/>
    <m/>
    <n v="1731536"/>
    <n v="7712391"/>
    <n v="7866627"/>
    <m/>
    <m/>
    <m/>
    <m/>
    <n v="0"/>
    <m/>
    <m/>
    <n v="0"/>
    <m/>
    <m/>
    <m/>
    <m/>
    <m/>
    <m/>
    <n v="7712391"/>
    <n v="7866627"/>
  </r>
  <r>
    <x v="9"/>
    <x v="0"/>
    <s v="Nursing / allied health supplement"/>
    <m/>
    <n v="199795"/>
    <x v="8"/>
    <m/>
    <m/>
    <m/>
    <m/>
    <m/>
    <m/>
    <m/>
    <m/>
    <n v="0"/>
    <m/>
    <m/>
    <n v="0"/>
    <n v="0"/>
    <n v="0"/>
    <m/>
    <m/>
    <m/>
    <m/>
    <n v="0"/>
    <m/>
    <m/>
    <n v="0"/>
    <m/>
    <m/>
    <m/>
    <m/>
    <m/>
    <m/>
    <n v="0"/>
    <n v="0"/>
  </r>
  <r>
    <x v="9"/>
    <x v="3"/>
    <s v="Community or public service units"/>
    <m/>
    <n v="199795"/>
    <x v="8"/>
    <m/>
    <m/>
    <n v="147795"/>
    <n v="148713"/>
    <m/>
    <m/>
    <m/>
    <m/>
    <n v="0"/>
    <m/>
    <m/>
    <n v="0"/>
    <n v="147795"/>
    <n v="148713"/>
    <m/>
    <m/>
    <m/>
    <m/>
    <n v="0"/>
    <m/>
    <m/>
    <n v="0"/>
    <m/>
    <m/>
    <m/>
    <m/>
    <m/>
    <m/>
    <n v="147795"/>
    <n v="148713"/>
  </r>
  <r>
    <x v="9"/>
    <x v="44"/>
    <s v="Non-credit continuing education"/>
    <m/>
    <n v="199795"/>
    <x v="8"/>
    <m/>
    <m/>
    <n v="594453"/>
    <n v="667312"/>
    <m/>
    <m/>
    <n v="173229"/>
    <m/>
    <n v="173229"/>
    <n v="159454"/>
    <m/>
    <n v="159454"/>
    <n v="767682"/>
    <n v="826766"/>
    <m/>
    <m/>
    <m/>
    <m/>
    <n v="0"/>
    <m/>
    <m/>
    <n v="0"/>
    <m/>
    <m/>
    <m/>
    <m/>
    <m/>
    <m/>
    <n v="767682"/>
    <n v="826766"/>
  </r>
  <r>
    <x v="9"/>
    <x v="0"/>
    <s v="Wilson Technical Community College"/>
    <m/>
    <n v="199953"/>
    <x v="8"/>
    <n v="6652189"/>
    <n v="6432392"/>
    <m/>
    <m/>
    <n v="1740653"/>
    <n v="1715996"/>
    <n v="3183387"/>
    <m/>
    <n v="3183387"/>
    <n v="3181428"/>
    <m/>
    <n v="3181428"/>
    <n v="11576229"/>
    <n v="11329816"/>
    <m/>
    <m/>
    <m/>
    <m/>
    <n v="0"/>
    <m/>
    <m/>
    <n v="0"/>
    <m/>
    <m/>
    <m/>
    <m/>
    <m/>
    <m/>
    <n v="11576229"/>
    <n v="11329816"/>
  </r>
  <r>
    <x v="9"/>
    <x v="0"/>
    <s v="Nursing / allied health supplement"/>
    <m/>
    <n v="199953"/>
    <x v="8"/>
    <m/>
    <m/>
    <m/>
    <m/>
    <m/>
    <m/>
    <m/>
    <m/>
    <n v="0"/>
    <m/>
    <m/>
    <n v="0"/>
    <n v="0"/>
    <n v="0"/>
    <m/>
    <m/>
    <m/>
    <m/>
    <n v="0"/>
    <m/>
    <m/>
    <n v="0"/>
    <m/>
    <m/>
    <m/>
    <m/>
    <m/>
    <m/>
    <n v="0"/>
    <n v="0"/>
  </r>
  <r>
    <x v="9"/>
    <x v="3"/>
    <s v="Community or public service units"/>
    <m/>
    <n v="199953"/>
    <x v="8"/>
    <m/>
    <m/>
    <n v="156365"/>
    <n v="157703"/>
    <m/>
    <m/>
    <m/>
    <m/>
    <n v="0"/>
    <m/>
    <m/>
    <n v="0"/>
    <n v="156365"/>
    <n v="157703"/>
    <m/>
    <m/>
    <m/>
    <m/>
    <n v="0"/>
    <m/>
    <m/>
    <n v="0"/>
    <m/>
    <m/>
    <m/>
    <m/>
    <m/>
    <m/>
    <n v="156365"/>
    <n v="157703"/>
  </r>
  <r>
    <x v="9"/>
    <x v="44"/>
    <s v="Non-credit continuing education"/>
    <m/>
    <n v="199953"/>
    <x v="8"/>
    <m/>
    <m/>
    <n v="1444814"/>
    <n v="1417076"/>
    <m/>
    <m/>
    <n v="344257"/>
    <m/>
    <n v="344257"/>
    <n v="316883"/>
    <m/>
    <n v="316883"/>
    <n v="1789071"/>
    <n v="1733959"/>
    <m/>
    <m/>
    <m/>
    <m/>
    <n v="0"/>
    <m/>
    <m/>
    <n v="0"/>
    <m/>
    <m/>
    <m/>
    <m/>
    <m/>
    <m/>
    <n v="1789071"/>
    <n v="1733959"/>
  </r>
  <r>
    <x v="9"/>
    <x v="12"/>
    <s v="Educational special-purpose funds to statewide units"/>
    <m/>
    <m/>
    <x v="12"/>
    <m/>
    <m/>
    <m/>
    <m/>
    <m/>
    <m/>
    <m/>
    <m/>
    <n v="0"/>
    <m/>
    <m/>
    <n v="0"/>
    <n v="0"/>
    <n v="0"/>
    <m/>
    <m/>
    <m/>
    <m/>
    <n v="0"/>
    <m/>
    <m/>
    <n v="0"/>
    <m/>
    <m/>
    <m/>
    <m/>
    <m/>
    <m/>
    <n v="0"/>
    <n v="0"/>
  </r>
  <r>
    <x v="9"/>
    <x v="12"/>
    <s v="Prison Education"/>
    <m/>
    <m/>
    <x v="12"/>
    <m/>
    <m/>
    <n v="1082790"/>
    <n v="1144991"/>
    <m/>
    <m/>
    <m/>
    <m/>
    <n v="0"/>
    <m/>
    <m/>
    <n v="0"/>
    <n v="1082790"/>
    <n v="1144991"/>
    <m/>
    <m/>
    <m/>
    <m/>
    <n v="0"/>
    <m/>
    <m/>
    <n v="0"/>
    <m/>
    <m/>
    <m/>
    <m/>
    <m/>
    <m/>
    <n v="1082790"/>
    <n v="1144991"/>
  </r>
  <r>
    <x v="9"/>
    <x v="12"/>
    <s v="New &amp; Expanding Industry"/>
    <m/>
    <m/>
    <x v="12"/>
    <m/>
    <m/>
    <n v="16659842"/>
    <n v="19814613"/>
    <m/>
    <m/>
    <m/>
    <m/>
    <n v="0"/>
    <m/>
    <m/>
    <n v="0"/>
    <n v="16659842"/>
    <n v="19814613"/>
    <m/>
    <m/>
    <m/>
    <m/>
    <n v="0"/>
    <m/>
    <m/>
    <n v="0"/>
    <m/>
    <m/>
    <m/>
    <m/>
    <m/>
    <m/>
    <n v="16659842"/>
    <n v="19814613"/>
  </r>
  <r>
    <x v="9"/>
    <x v="14"/>
    <s v="Statewide System Operations"/>
    <m/>
    <m/>
    <x v="12"/>
    <m/>
    <m/>
    <m/>
    <m/>
    <m/>
    <m/>
    <m/>
    <m/>
    <n v="0"/>
    <m/>
    <m/>
    <n v="0"/>
    <n v="0"/>
    <n v="0"/>
    <m/>
    <m/>
    <m/>
    <m/>
    <n v="0"/>
    <m/>
    <m/>
    <n v="0"/>
    <m/>
    <m/>
    <m/>
    <m/>
    <m/>
    <m/>
    <n v="0"/>
    <n v="0"/>
  </r>
  <r>
    <x v="9"/>
    <x v="16"/>
    <s v="Two-year system(s), if any"/>
    <m/>
    <m/>
    <x v="12"/>
    <m/>
    <m/>
    <m/>
    <m/>
    <m/>
    <m/>
    <m/>
    <m/>
    <n v="0"/>
    <m/>
    <m/>
    <n v="0"/>
    <n v="0"/>
    <n v="0"/>
    <m/>
    <m/>
    <m/>
    <m/>
    <n v="0"/>
    <m/>
    <m/>
    <n v="0"/>
    <m/>
    <m/>
    <m/>
    <m/>
    <m/>
    <m/>
    <n v="0"/>
    <n v="0"/>
  </r>
  <r>
    <x v="9"/>
    <x v="16"/>
    <s v="NC State Board for Community Colleges"/>
    <m/>
    <m/>
    <x v="12"/>
    <m/>
    <m/>
    <m/>
    <m/>
    <m/>
    <m/>
    <m/>
    <m/>
    <n v="0"/>
    <m/>
    <m/>
    <n v="0"/>
    <n v="0"/>
    <n v="0"/>
    <n v="22632107"/>
    <n v="24260507"/>
    <m/>
    <m/>
    <n v="0"/>
    <m/>
    <m/>
    <n v="0"/>
    <m/>
    <m/>
    <m/>
    <m/>
    <m/>
    <m/>
    <n v="22632107"/>
    <n v="24260507"/>
  </r>
  <r>
    <x v="10"/>
    <x v="0"/>
    <s v="Oklahoma State University Main Campus"/>
    <m/>
    <n v="207388"/>
    <x v="0"/>
    <n v="118331854"/>
    <n v="119822306"/>
    <m/>
    <m/>
    <m/>
    <m/>
    <n v="176033208"/>
    <m/>
    <n v="176033208"/>
    <n v="191203606"/>
    <m/>
    <n v="191203606"/>
    <n v="294365062"/>
    <n v="311025912"/>
    <m/>
    <m/>
    <m/>
    <m/>
    <n v="0"/>
    <m/>
    <m/>
    <n v="0"/>
    <m/>
    <m/>
    <m/>
    <m/>
    <m/>
    <m/>
    <n v="294365062"/>
    <n v="311025912"/>
  </r>
  <r>
    <x v="10"/>
    <x v="1"/>
    <s v="Veterinary School"/>
    <m/>
    <n v="207388"/>
    <x v="0"/>
    <m/>
    <m/>
    <m/>
    <m/>
    <m/>
    <m/>
    <m/>
    <m/>
    <n v="0"/>
    <m/>
    <m/>
    <n v="0"/>
    <n v="0"/>
    <n v="0"/>
    <m/>
    <m/>
    <m/>
    <m/>
    <n v="0"/>
    <m/>
    <m/>
    <n v="0"/>
    <n v="10673695"/>
    <n v="10806637"/>
    <n v="7440633"/>
    <n v="8091773"/>
    <m/>
    <m/>
    <n v="18114328"/>
    <n v="10806637"/>
  </r>
  <r>
    <x v="10"/>
    <x v="1"/>
    <s v="College of Osteopathic Medicine"/>
    <m/>
    <n v="207389"/>
    <x v="0"/>
    <m/>
    <m/>
    <m/>
    <m/>
    <m/>
    <m/>
    <m/>
    <m/>
    <n v="0"/>
    <m/>
    <m/>
    <n v="0"/>
    <n v="0"/>
    <n v="0"/>
    <m/>
    <m/>
    <m/>
    <m/>
    <n v="0"/>
    <m/>
    <m/>
    <n v="0"/>
    <n v="13857912"/>
    <n v="14037266"/>
    <n v="9100898"/>
    <n v="9733550"/>
    <m/>
    <m/>
    <n v="22958810"/>
    <n v="14037266"/>
  </r>
  <r>
    <x v="10"/>
    <x v="5"/>
    <s v="Agricultural cooperative extension"/>
    <m/>
    <n v="207388"/>
    <x v="0"/>
    <m/>
    <m/>
    <n v="28567750"/>
    <n v="28916944"/>
    <m/>
    <m/>
    <m/>
    <m/>
    <n v="0"/>
    <m/>
    <m/>
    <n v="0"/>
    <n v="28567750"/>
    <n v="28916944"/>
    <m/>
    <m/>
    <m/>
    <m/>
    <n v="0"/>
    <m/>
    <m/>
    <n v="0"/>
    <m/>
    <m/>
    <m/>
    <m/>
    <m/>
    <m/>
    <n v="28567750"/>
    <n v="28916944"/>
  </r>
  <r>
    <x v="10"/>
    <x v="6"/>
    <s v="Agricultural experiment stations"/>
    <m/>
    <n v="207388"/>
    <x v="0"/>
    <m/>
    <m/>
    <n v="26137061"/>
    <n v="26436909"/>
    <m/>
    <m/>
    <m/>
    <m/>
    <n v="0"/>
    <m/>
    <m/>
    <n v="0"/>
    <n v="26137061"/>
    <n v="26436909"/>
    <m/>
    <m/>
    <m/>
    <m/>
    <n v="0"/>
    <m/>
    <m/>
    <n v="0"/>
    <m/>
    <m/>
    <m/>
    <m/>
    <m/>
    <m/>
    <n v="26137061"/>
    <n v="26436909"/>
  </r>
  <r>
    <x v="10"/>
    <x v="0"/>
    <s v="Tulsa Branch"/>
    <m/>
    <n v="207388"/>
    <x v="0"/>
    <n v="11148707"/>
    <n v="11266651"/>
    <m/>
    <m/>
    <m/>
    <m/>
    <n v="10956182"/>
    <m/>
    <n v="10956182"/>
    <n v="10272795"/>
    <m/>
    <n v="10272795"/>
    <n v="22104889"/>
    <n v="21539446"/>
    <m/>
    <m/>
    <m/>
    <m/>
    <n v="0"/>
    <m/>
    <m/>
    <n v="0"/>
    <m/>
    <m/>
    <m/>
    <m/>
    <m/>
    <m/>
    <n v="22104889"/>
    <n v="21539446"/>
  </r>
  <r>
    <x v="10"/>
    <x v="0"/>
    <s v="University of Oklahoma Norman Campus"/>
    <m/>
    <n v="207500"/>
    <x v="0"/>
    <n v="133775555"/>
    <n v="135457458"/>
    <m/>
    <m/>
    <m/>
    <m/>
    <n v="214440463"/>
    <m/>
    <n v="214440463"/>
    <n v="230451070"/>
    <m/>
    <n v="230451070"/>
    <n v="348216018"/>
    <n v="365908528"/>
    <m/>
    <m/>
    <m/>
    <m/>
    <n v="0"/>
    <m/>
    <m/>
    <n v="0"/>
    <m/>
    <m/>
    <m/>
    <m/>
    <m/>
    <m/>
    <n v="348216018"/>
    <n v="365908528"/>
  </r>
  <r>
    <x v="10"/>
    <x v="1"/>
    <s v="Health Sciences Center"/>
    <m/>
    <n v="207500"/>
    <x v="0"/>
    <m/>
    <m/>
    <m/>
    <m/>
    <m/>
    <m/>
    <m/>
    <m/>
    <n v="0"/>
    <m/>
    <m/>
    <n v="0"/>
    <n v="0"/>
    <n v="0"/>
    <m/>
    <m/>
    <m/>
    <m/>
    <n v="0"/>
    <m/>
    <m/>
    <n v="0"/>
    <n v="91137796"/>
    <n v="92323530"/>
    <n v="53044181"/>
    <n v="55116039"/>
    <m/>
    <m/>
    <n v="144181977"/>
    <n v="92323530"/>
  </r>
  <r>
    <x v="10"/>
    <x v="0"/>
    <s v="Law Center"/>
    <m/>
    <n v="207500"/>
    <x v="0"/>
    <n v="5855113"/>
    <n v="5930530"/>
    <m/>
    <m/>
    <m/>
    <m/>
    <n v="10038000"/>
    <m/>
    <n v="10038000"/>
    <n v="9665302"/>
    <m/>
    <n v="9665302"/>
    <n v="15893113"/>
    <n v="15595832"/>
    <m/>
    <m/>
    <m/>
    <m/>
    <n v="0"/>
    <m/>
    <m/>
    <n v="0"/>
    <m/>
    <m/>
    <m/>
    <m/>
    <m/>
    <m/>
    <n v="15893113"/>
    <n v="15595832"/>
  </r>
  <r>
    <x v="10"/>
    <x v="0"/>
    <s v="Northeastern State University"/>
    <m/>
    <n v="207263"/>
    <x v="2"/>
    <n v="36329841"/>
    <n v="36782485"/>
    <m/>
    <m/>
    <m/>
    <m/>
    <n v="37831430"/>
    <m/>
    <n v="37831430"/>
    <n v="39482895"/>
    <m/>
    <n v="39482895"/>
    <n v="74161271"/>
    <n v="76265380"/>
    <m/>
    <m/>
    <m/>
    <m/>
    <n v="0"/>
    <m/>
    <m/>
    <n v="0"/>
    <m/>
    <m/>
    <m/>
    <m/>
    <m/>
    <m/>
    <n v="74161271"/>
    <n v="76265380"/>
  </r>
  <r>
    <x v="10"/>
    <x v="0"/>
    <s v="University of Central Oklahoma"/>
    <m/>
    <n v="206941"/>
    <x v="2"/>
    <n v="52120399"/>
    <n v="52794661"/>
    <m/>
    <m/>
    <m/>
    <m/>
    <n v="76641064"/>
    <m/>
    <n v="76641064"/>
    <n v="87156744"/>
    <m/>
    <n v="87156744"/>
    <n v="128761463"/>
    <n v="139951405"/>
    <m/>
    <m/>
    <m/>
    <m/>
    <n v="0"/>
    <m/>
    <m/>
    <n v="0"/>
    <m/>
    <m/>
    <m/>
    <m/>
    <m/>
    <m/>
    <n v="128761463"/>
    <n v="139951405"/>
  </r>
  <r>
    <x v="10"/>
    <x v="0"/>
    <s v="Southeastern Oklahoma State University "/>
    <s v="Reclassified: met the criteria for Four-Year 4 in 2010-11, 2011-12, and 2012-13."/>
    <n v="207847"/>
    <x v="3"/>
    <n v="18477200"/>
    <n v="18702428"/>
    <m/>
    <m/>
    <m/>
    <m/>
    <n v="23237377"/>
    <m/>
    <n v="23237377"/>
    <n v="24382410"/>
    <m/>
    <n v="24382410"/>
    <n v="41714577"/>
    <n v="43084838"/>
    <m/>
    <m/>
    <m/>
    <m/>
    <n v="0"/>
    <m/>
    <m/>
    <n v="0"/>
    <m/>
    <m/>
    <m/>
    <m/>
    <m/>
    <m/>
    <n v="41714577"/>
    <n v="43084838"/>
  </r>
  <r>
    <x v="10"/>
    <x v="0"/>
    <s v="Cameron University "/>
    <m/>
    <n v="206914"/>
    <x v="4"/>
    <n v="21345581"/>
    <n v="21608265"/>
    <m/>
    <m/>
    <m/>
    <m/>
    <n v="22645200"/>
    <m/>
    <n v="22645200"/>
    <n v="24558350"/>
    <m/>
    <n v="24558350"/>
    <n v="43990781"/>
    <n v="46166615"/>
    <m/>
    <m/>
    <m/>
    <m/>
    <n v="0"/>
    <m/>
    <m/>
    <n v="0"/>
    <m/>
    <m/>
    <m/>
    <m/>
    <m/>
    <m/>
    <n v="43990781"/>
    <n v="46166615"/>
  </r>
  <r>
    <x v="10"/>
    <x v="0"/>
    <s v="East Central University "/>
    <m/>
    <n v="207041"/>
    <x v="4"/>
    <n v="17262598"/>
    <n v="17480403"/>
    <m/>
    <m/>
    <m/>
    <m/>
    <n v="18065298"/>
    <m/>
    <n v="18065298"/>
    <n v="18829324"/>
    <m/>
    <n v="18829324"/>
    <n v="35327896"/>
    <n v="36309727"/>
    <m/>
    <m/>
    <m/>
    <m/>
    <n v="0"/>
    <m/>
    <m/>
    <n v="0"/>
    <m/>
    <m/>
    <m/>
    <m/>
    <m/>
    <m/>
    <n v="35327896"/>
    <n v="36309727"/>
  </r>
  <r>
    <x v="10"/>
    <x v="0"/>
    <s v="Langston University"/>
    <m/>
    <n v="207209"/>
    <x v="4"/>
    <n v="18362070"/>
    <n v="18592255"/>
    <m/>
    <m/>
    <m/>
    <m/>
    <n v="13473178"/>
    <m/>
    <n v="13473178"/>
    <n v="12990170"/>
    <m/>
    <n v="12990170"/>
    <n v="31835248"/>
    <n v="31582425"/>
    <m/>
    <m/>
    <m/>
    <m/>
    <n v="0"/>
    <m/>
    <m/>
    <n v="0"/>
    <m/>
    <m/>
    <m/>
    <m/>
    <m/>
    <m/>
    <n v="31835248"/>
    <n v="31582425"/>
  </r>
  <r>
    <x v="10"/>
    <x v="0"/>
    <s v="Northwestern Oklahoma State University "/>
    <m/>
    <n v="207306"/>
    <x v="4"/>
    <n v="9991455"/>
    <n v="10122045"/>
    <m/>
    <m/>
    <m/>
    <m/>
    <n v="12138586"/>
    <m/>
    <n v="12138586"/>
    <n v="12642244"/>
    <m/>
    <n v="12642244"/>
    <n v="22130041"/>
    <n v="22764289"/>
    <m/>
    <m/>
    <m/>
    <m/>
    <n v="0"/>
    <m/>
    <m/>
    <n v="0"/>
    <m/>
    <m/>
    <m/>
    <m/>
    <m/>
    <m/>
    <n v="22130041"/>
    <n v="22764289"/>
  </r>
  <r>
    <x v="10"/>
    <x v="0"/>
    <s v="Southwestern Oklahoma State University"/>
    <m/>
    <n v="207865"/>
    <x v="4"/>
    <n v="22353592"/>
    <n v="22633303"/>
    <m/>
    <m/>
    <m/>
    <m/>
    <n v="24822035"/>
    <m/>
    <n v="24822035"/>
    <n v="27584660"/>
    <m/>
    <n v="27584660"/>
    <n v="47175627"/>
    <n v="50217963"/>
    <m/>
    <m/>
    <m/>
    <m/>
    <n v="0"/>
    <m/>
    <m/>
    <n v="0"/>
    <m/>
    <m/>
    <m/>
    <m/>
    <m/>
    <m/>
    <n v="47175627"/>
    <n v="50217963"/>
  </r>
  <r>
    <x v="10"/>
    <x v="0"/>
    <s v="Oklahoma Panhandle State University "/>
    <m/>
    <n v="207351"/>
    <x v="5"/>
    <n v="7109670"/>
    <n v="7200230"/>
    <m/>
    <m/>
    <m/>
    <m/>
    <n v="9391196"/>
    <m/>
    <n v="9391196"/>
    <n v="10292005"/>
    <m/>
    <n v="10292005"/>
    <n v="16500866"/>
    <n v="17492235"/>
    <m/>
    <m/>
    <m/>
    <m/>
    <n v="0"/>
    <m/>
    <m/>
    <n v="0"/>
    <m/>
    <m/>
    <m/>
    <m/>
    <m/>
    <m/>
    <n v="16500866"/>
    <n v="17492235"/>
  </r>
  <r>
    <x v="10"/>
    <x v="0"/>
    <s v="Rogers State University"/>
    <m/>
    <n v="207661"/>
    <x v="5"/>
    <n v="13689140"/>
    <n v="13884642"/>
    <m/>
    <m/>
    <m/>
    <m/>
    <n v="15352550"/>
    <m/>
    <n v="15352550"/>
    <n v="17165288"/>
    <m/>
    <n v="17165288"/>
    <n v="29041690"/>
    <n v="31049930"/>
    <m/>
    <m/>
    <m/>
    <m/>
    <n v="0"/>
    <m/>
    <m/>
    <n v="0"/>
    <m/>
    <m/>
    <m/>
    <m/>
    <m/>
    <m/>
    <n v="29041690"/>
    <n v="31049930"/>
  </r>
  <r>
    <x v="10"/>
    <x v="0"/>
    <s v="University of Science and Arts of Oklahoma"/>
    <m/>
    <n v="207722"/>
    <x v="5"/>
    <n v="7295609"/>
    <n v="7388510"/>
    <m/>
    <m/>
    <m/>
    <m/>
    <n v="4576292"/>
    <m/>
    <n v="4576292"/>
    <n v="4657076"/>
    <m/>
    <n v="4657076"/>
    <n v="11871901"/>
    <n v="12045586"/>
    <m/>
    <m/>
    <m/>
    <m/>
    <n v="0"/>
    <m/>
    <m/>
    <n v="0"/>
    <m/>
    <m/>
    <m/>
    <m/>
    <m/>
    <m/>
    <n v="11871901"/>
    <n v="12045586"/>
  </r>
  <r>
    <x v="10"/>
    <x v="0"/>
    <s v="Oklahoma State University-Oklahoma City "/>
    <s v="Met the criteria for Two-Year 1 institution in 2012-13."/>
    <n v="207397"/>
    <x v="14"/>
    <n v="10920700"/>
    <n v="11124865"/>
    <m/>
    <m/>
    <m/>
    <m/>
    <n v="14811237"/>
    <m/>
    <n v="14811237"/>
    <n v="14721818"/>
    <m/>
    <n v="14721818"/>
    <n v="25731937"/>
    <n v="25846683"/>
    <m/>
    <m/>
    <m/>
    <m/>
    <n v="0"/>
    <m/>
    <m/>
    <n v="0"/>
    <m/>
    <m/>
    <m/>
    <m/>
    <m/>
    <m/>
    <n v="25731937"/>
    <n v="25846683"/>
  </r>
  <r>
    <x v="10"/>
    <x v="0"/>
    <s v="Oklahoma State University Technical Branch-Okmulgee "/>
    <s v="Met the criteria for Two-Year 2 institution in 2012-13."/>
    <n v="207564"/>
    <x v="14"/>
    <n v="14182402"/>
    <n v="14370429"/>
    <m/>
    <m/>
    <m/>
    <m/>
    <n v="12812171"/>
    <m/>
    <n v="12812171"/>
    <n v="13695819"/>
    <m/>
    <n v="13695819"/>
    <n v="26994573"/>
    <n v="28066248"/>
    <m/>
    <m/>
    <m/>
    <m/>
    <n v="0"/>
    <m/>
    <m/>
    <n v="0"/>
    <m/>
    <m/>
    <m/>
    <m/>
    <m/>
    <m/>
    <n v="26994573"/>
    <n v="28066248"/>
  </r>
  <r>
    <x v="10"/>
    <x v="0"/>
    <s v="Oklahoma City Community College "/>
    <m/>
    <n v="207449"/>
    <x v="6"/>
    <n v="24399274"/>
    <n v="24799336"/>
    <m/>
    <m/>
    <n v="5200000"/>
    <n v="5200000"/>
    <n v="25760292"/>
    <m/>
    <n v="25760292"/>
    <n v="25000125"/>
    <m/>
    <n v="25000125"/>
    <n v="55359566"/>
    <n v="54999461"/>
    <m/>
    <m/>
    <m/>
    <m/>
    <n v="0"/>
    <m/>
    <m/>
    <n v="0"/>
    <m/>
    <m/>
    <m/>
    <m/>
    <m/>
    <m/>
    <n v="55359566"/>
    <n v="54999461"/>
  </r>
  <r>
    <x v="10"/>
    <x v="0"/>
    <s v="Rose State College "/>
    <m/>
    <n v="207670"/>
    <x v="6"/>
    <n v="20460760"/>
    <n v="20727932"/>
    <m/>
    <m/>
    <n v="275000"/>
    <n v="1350000"/>
    <n v="14536203"/>
    <m/>
    <n v="14536203"/>
    <n v="14505437"/>
    <m/>
    <n v="14505437"/>
    <n v="35271963"/>
    <n v="36583369"/>
    <m/>
    <m/>
    <m/>
    <m/>
    <n v="0"/>
    <m/>
    <m/>
    <n v="0"/>
    <m/>
    <m/>
    <m/>
    <m/>
    <m/>
    <m/>
    <n v="35271963"/>
    <n v="36583369"/>
  </r>
  <r>
    <x v="10"/>
    <x v="0"/>
    <s v="Tulsa Community College "/>
    <m/>
    <n v="207935"/>
    <x v="6"/>
    <n v="35569791"/>
    <n v="36136945"/>
    <m/>
    <m/>
    <n v="35149780"/>
    <n v="35325529"/>
    <n v="38292584"/>
    <m/>
    <n v="38292584"/>
    <n v="36768613"/>
    <m/>
    <n v="36768613"/>
    <n v="109012155"/>
    <n v="108231087"/>
    <m/>
    <m/>
    <m/>
    <m/>
    <n v="0"/>
    <m/>
    <m/>
    <n v="0"/>
    <m/>
    <m/>
    <m/>
    <m/>
    <m/>
    <m/>
    <n v="109012155"/>
    <n v="108231087"/>
  </r>
  <r>
    <x v="10"/>
    <x v="0"/>
    <s v="Carl Albert State College"/>
    <s v="Reclassified: met the criteria for Two-Year 2 institution in 2010-11, 2011-12, and 2012-13."/>
    <n v="206923"/>
    <x v="7"/>
    <n v="6199594"/>
    <n v="6288279"/>
    <m/>
    <m/>
    <m/>
    <m/>
    <n v="5297815"/>
    <m/>
    <n v="5297815"/>
    <n v="5400280"/>
    <m/>
    <n v="5400280"/>
    <n v="11497409"/>
    <n v="11688559"/>
    <m/>
    <m/>
    <m/>
    <m/>
    <n v="0"/>
    <m/>
    <m/>
    <n v="0"/>
    <m/>
    <m/>
    <m/>
    <m/>
    <m/>
    <m/>
    <n v="11497409"/>
    <n v="11688559"/>
  </r>
  <r>
    <x v="10"/>
    <x v="0"/>
    <s v="Northern Oklahoma College "/>
    <m/>
    <n v="207281"/>
    <x v="7"/>
    <n v="9828323"/>
    <n v="9984778"/>
    <m/>
    <m/>
    <m/>
    <m/>
    <n v="13080195"/>
    <m/>
    <n v="13080195"/>
    <n v="14139671"/>
    <m/>
    <n v="14139671"/>
    <n v="22908518"/>
    <n v="24124449"/>
    <m/>
    <m/>
    <m/>
    <m/>
    <n v="0"/>
    <m/>
    <m/>
    <n v="0"/>
    <m/>
    <m/>
    <m/>
    <m/>
    <m/>
    <m/>
    <n v="22908518"/>
    <n v="24124449"/>
  </r>
  <r>
    <x v="10"/>
    <x v="0"/>
    <s v="Connors State College "/>
    <s v="Met the criteria for Two-Year 2 institution in 2012-13."/>
    <n v="206996"/>
    <x v="8"/>
    <n v="6680531"/>
    <n v="6769919"/>
    <m/>
    <m/>
    <m/>
    <m/>
    <n v="5079025"/>
    <m/>
    <n v="5079025"/>
    <n v="5121078"/>
    <m/>
    <n v="5121078"/>
    <n v="11759556"/>
    <n v="11890997"/>
    <m/>
    <m/>
    <m/>
    <m/>
    <n v="0"/>
    <m/>
    <m/>
    <n v="0"/>
    <m/>
    <m/>
    <m/>
    <m/>
    <m/>
    <m/>
    <n v="11759556"/>
    <n v="11890997"/>
  </r>
  <r>
    <x v="10"/>
    <x v="0"/>
    <s v="Eastern Oklahoma State College "/>
    <m/>
    <n v="207050"/>
    <x v="8"/>
    <n v="6392098"/>
    <n v="6474505"/>
    <m/>
    <m/>
    <m/>
    <m/>
    <n v="3495241"/>
    <m/>
    <n v="3495241"/>
    <n v="4356701"/>
    <m/>
    <n v="4356701"/>
    <n v="9887339"/>
    <n v="10831206"/>
    <m/>
    <m/>
    <m/>
    <m/>
    <n v="0"/>
    <m/>
    <m/>
    <n v="0"/>
    <m/>
    <m/>
    <m/>
    <m/>
    <m/>
    <m/>
    <n v="9887339"/>
    <n v="10831206"/>
  </r>
  <r>
    <x v="10"/>
    <x v="0"/>
    <s v="Murray State College "/>
    <m/>
    <n v="207236"/>
    <x v="8"/>
    <n v="5642667"/>
    <n v="5727612"/>
    <m/>
    <m/>
    <m/>
    <m/>
    <n v="6127745"/>
    <m/>
    <n v="6127745"/>
    <n v="6358522"/>
    <m/>
    <n v="6358522"/>
    <n v="11770412"/>
    <n v="12086134"/>
    <m/>
    <m/>
    <m/>
    <m/>
    <n v="0"/>
    <m/>
    <m/>
    <n v="0"/>
    <m/>
    <m/>
    <m/>
    <m/>
    <m/>
    <m/>
    <n v="11770412"/>
    <n v="12086134"/>
  </r>
  <r>
    <x v="10"/>
    <x v="0"/>
    <s v="Northeastern Oklahoma A &amp; M College "/>
    <m/>
    <n v="207290"/>
    <x v="8"/>
    <n v="8772815"/>
    <n v="8883776"/>
    <m/>
    <m/>
    <m/>
    <m/>
    <n v="6884518"/>
    <m/>
    <n v="6884518"/>
    <n v="7745250"/>
    <m/>
    <n v="7745250"/>
    <n v="15657333"/>
    <n v="16629026"/>
    <m/>
    <m/>
    <m/>
    <m/>
    <n v="0"/>
    <m/>
    <m/>
    <n v="0"/>
    <m/>
    <m/>
    <m/>
    <m/>
    <m/>
    <m/>
    <n v="15657333"/>
    <n v="16629026"/>
  </r>
  <r>
    <x v="10"/>
    <x v="0"/>
    <s v="Redlands Community College"/>
    <m/>
    <n v="207069"/>
    <x v="8"/>
    <n v="6276609"/>
    <n v="6358917"/>
    <m/>
    <m/>
    <m/>
    <m/>
    <n v="5306183"/>
    <m/>
    <n v="5306183"/>
    <n v="5519369"/>
    <m/>
    <n v="5519369"/>
    <n v="11582792"/>
    <n v="11878286"/>
    <m/>
    <m/>
    <m/>
    <m/>
    <n v="0"/>
    <m/>
    <m/>
    <n v="0"/>
    <m/>
    <m/>
    <m/>
    <m/>
    <m/>
    <m/>
    <n v="11582792"/>
    <n v="11878286"/>
  </r>
  <r>
    <x v="10"/>
    <x v="0"/>
    <s v="Seminole State College "/>
    <m/>
    <n v="207740"/>
    <x v="8"/>
    <n v="5870410"/>
    <n v="5948795"/>
    <m/>
    <m/>
    <m/>
    <m/>
    <n v="4816189"/>
    <m/>
    <n v="4816189"/>
    <n v="5054479"/>
    <m/>
    <n v="5054479"/>
    <n v="10686599"/>
    <n v="11003274"/>
    <m/>
    <m/>
    <m/>
    <m/>
    <n v="0"/>
    <m/>
    <m/>
    <n v="0"/>
    <m/>
    <m/>
    <m/>
    <m/>
    <m/>
    <m/>
    <n v="10686599"/>
    <n v="11003274"/>
  </r>
  <r>
    <x v="10"/>
    <x v="0"/>
    <s v="Western Oklahoma State College "/>
    <s v="Met the criteria for Two-Year 2 institution in 2011-12 and 2012-13."/>
    <n v="208035"/>
    <x v="8"/>
    <n v="5626900"/>
    <n v="5701773"/>
    <m/>
    <m/>
    <m/>
    <m/>
    <n v="7899500"/>
    <m/>
    <n v="7899500"/>
    <n v="9242000"/>
    <m/>
    <n v="9242000"/>
    <n v="13526400"/>
    <n v="14943773"/>
    <m/>
    <m/>
    <m/>
    <m/>
    <n v="0"/>
    <m/>
    <m/>
    <n v="0"/>
    <m/>
    <m/>
    <m/>
    <m/>
    <m/>
    <m/>
    <n v="13526400"/>
    <n v="14943773"/>
  </r>
  <r>
    <x v="10"/>
    <x v="10"/>
    <s v="Statewide Special-Purpose Units"/>
    <m/>
    <m/>
    <x v="12"/>
    <m/>
    <m/>
    <m/>
    <m/>
    <m/>
    <m/>
    <m/>
    <m/>
    <n v="0"/>
    <m/>
    <m/>
    <n v="0"/>
    <n v="0"/>
    <n v="0"/>
    <m/>
    <m/>
    <m/>
    <m/>
    <n v="0"/>
    <m/>
    <m/>
    <n v="0"/>
    <m/>
    <m/>
    <m/>
    <m/>
    <m/>
    <m/>
    <n v="0"/>
    <n v="0"/>
  </r>
  <r>
    <x v="10"/>
    <x v="42"/>
    <s v="Community or public service units"/>
    <m/>
    <m/>
    <x v="12"/>
    <m/>
    <m/>
    <m/>
    <m/>
    <m/>
    <m/>
    <m/>
    <m/>
    <n v="0"/>
    <m/>
    <m/>
    <n v="0"/>
    <n v="0"/>
    <n v="0"/>
    <m/>
    <m/>
    <m/>
    <m/>
    <n v="0"/>
    <m/>
    <m/>
    <n v="0"/>
    <m/>
    <m/>
    <m/>
    <m/>
    <m/>
    <m/>
    <n v="0"/>
    <n v="0"/>
  </r>
  <r>
    <x v="10"/>
    <x v="42"/>
    <s v="Kerr Conference Center"/>
    <m/>
    <m/>
    <x v="12"/>
    <m/>
    <m/>
    <n v="92853"/>
    <n v="93835"/>
    <m/>
    <m/>
    <m/>
    <m/>
    <n v="0"/>
    <m/>
    <m/>
    <n v="0"/>
    <n v="92853"/>
    <n v="93835"/>
    <m/>
    <m/>
    <m/>
    <m/>
    <n v="0"/>
    <m/>
    <m/>
    <n v="0"/>
    <m/>
    <m/>
    <m/>
    <m/>
    <m/>
    <m/>
    <n v="92853"/>
    <n v="93835"/>
  </r>
  <r>
    <x v="10"/>
    <x v="13"/>
    <s v="Educational special-purpose funds — all other"/>
    <m/>
    <m/>
    <x v="12"/>
    <m/>
    <m/>
    <m/>
    <m/>
    <m/>
    <m/>
    <m/>
    <m/>
    <n v="0"/>
    <m/>
    <m/>
    <n v="0"/>
    <n v="0"/>
    <n v="0"/>
    <m/>
    <m/>
    <m/>
    <m/>
    <n v="0"/>
    <m/>
    <m/>
    <n v="0"/>
    <m/>
    <m/>
    <m/>
    <m/>
    <m/>
    <m/>
    <n v="0"/>
    <n v="0"/>
  </r>
  <r>
    <x v="10"/>
    <x v="13"/>
    <s v="Ardmore H.Ed. Program"/>
    <m/>
    <m/>
    <x v="12"/>
    <m/>
    <m/>
    <n v="640619"/>
    <n v="647396"/>
    <m/>
    <m/>
    <m/>
    <m/>
    <n v="0"/>
    <m/>
    <m/>
    <n v="0"/>
    <n v="640619"/>
    <n v="647396"/>
    <m/>
    <m/>
    <m/>
    <m/>
    <n v="0"/>
    <m/>
    <m/>
    <n v="0"/>
    <m/>
    <m/>
    <m/>
    <m/>
    <m/>
    <m/>
    <n v="640619"/>
    <n v="647396"/>
  </r>
  <r>
    <x v="10"/>
    <x v="13"/>
    <s v="Jane Brooks School-USAO"/>
    <m/>
    <m/>
    <x v="12"/>
    <m/>
    <m/>
    <n v="25019"/>
    <n v="25283"/>
    <m/>
    <m/>
    <m/>
    <m/>
    <n v="0"/>
    <m/>
    <m/>
    <n v="0"/>
    <n v="25019"/>
    <n v="25283"/>
    <m/>
    <m/>
    <m/>
    <m/>
    <n v="0"/>
    <m/>
    <m/>
    <n v="0"/>
    <m/>
    <m/>
    <m/>
    <m/>
    <m/>
    <m/>
    <n v="25019"/>
    <n v="25283"/>
  </r>
  <r>
    <x v="10"/>
    <x v="13"/>
    <s v="Fire Science Training"/>
    <m/>
    <m/>
    <x v="12"/>
    <m/>
    <m/>
    <n v="1668532"/>
    <n v="1686184"/>
    <m/>
    <m/>
    <m/>
    <m/>
    <n v="0"/>
    <m/>
    <m/>
    <n v="0"/>
    <n v="1668532"/>
    <n v="1686184"/>
    <m/>
    <m/>
    <m/>
    <m/>
    <n v="0"/>
    <m/>
    <m/>
    <n v="0"/>
    <m/>
    <m/>
    <m/>
    <m/>
    <m/>
    <m/>
    <n v="1668532"/>
    <n v="1686184"/>
  </r>
  <r>
    <x v="10"/>
    <x v="13"/>
    <s v="Scholar Leadership Program"/>
    <m/>
    <m/>
    <x v="12"/>
    <m/>
    <m/>
    <n v="283036"/>
    <n v="286030"/>
    <m/>
    <m/>
    <m/>
    <m/>
    <n v="0"/>
    <m/>
    <m/>
    <n v="0"/>
    <n v="283036"/>
    <n v="286030"/>
    <m/>
    <m/>
    <m/>
    <m/>
    <n v="0"/>
    <m/>
    <m/>
    <n v="0"/>
    <m/>
    <m/>
    <m/>
    <m/>
    <m/>
    <m/>
    <n v="283036"/>
    <n v="286030"/>
  </r>
  <r>
    <x v="10"/>
    <x v="13"/>
    <s v="Academic Scholar Program"/>
    <m/>
    <m/>
    <x v="12"/>
    <m/>
    <m/>
    <n v="8049149"/>
    <n v="8329363"/>
    <m/>
    <m/>
    <m/>
    <m/>
    <n v="0"/>
    <m/>
    <m/>
    <n v="0"/>
    <n v="8049149"/>
    <n v="8329363"/>
    <m/>
    <m/>
    <m/>
    <m/>
    <n v="0"/>
    <m/>
    <m/>
    <n v="0"/>
    <m/>
    <m/>
    <m/>
    <m/>
    <m/>
    <m/>
    <n v="8049149"/>
    <n v="8329363"/>
  </r>
  <r>
    <x v="10"/>
    <x v="13"/>
    <s v="Oklahoma Teacher Connection Center"/>
    <m/>
    <m/>
    <x v="12"/>
    <m/>
    <m/>
    <n v="387124"/>
    <n v="391200"/>
    <m/>
    <m/>
    <m/>
    <m/>
    <n v="0"/>
    <m/>
    <m/>
    <n v="0"/>
    <n v="387124"/>
    <n v="391200"/>
    <m/>
    <m/>
    <m/>
    <m/>
    <n v="0"/>
    <m/>
    <m/>
    <n v="0"/>
    <m/>
    <m/>
    <m/>
    <m/>
    <m/>
    <m/>
    <n v="387124"/>
    <n v="391200"/>
  </r>
  <r>
    <x v="10"/>
    <x v="13"/>
    <s v="OneNet User Fee Charges"/>
    <m/>
    <m/>
    <x v="12"/>
    <m/>
    <m/>
    <n v="3089398"/>
    <n v="3120185"/>
    <m/>
    <m/>
    <m/>
    <m/>
    <n v="0"/>
    <m/>
    <m/>
    <n v="0"/>
    <n v="3089398"/>
    <n v="3120185"/>
    <m/>
    <m/>
    <m/>
    <m/>
    <n v="0"/>
    <m/>
    <m/>
    <n v="0"/>
    <m/>
    <m/>
    <m/>
    <m/>
    <m/>
    <m/>
    <n v="3089398"/>
    <n v="3120185"/>
  </r>
  <r>
    <x v="10"/>
    <x v="13"/>
    <s v="Student Preparation  Program"/>
    <m/>
    <m/>
    <x v="12"/>
    <m/>
    <m/>
    <n v="1086973"/>
    <n v="1098472"/>
    <m/>
    <m/>
    <m/>
    <m/>
    <n v="0"/>
    <m/>
    <m/>
    <n v="0"/>
    <n v="1086973"/>
    <n v="1098472"/>
    <m/>
    <m/>
    <m/>
    <m/>
    <n v="0"/>
    <m/>
    <m/>
    <n v="0"/>
    <m/>
    <m/>
    <m/>
    <m/>
    <m/>
    <m/>
    <n v="1086973"/>
    <n v="1098472"/>
  </r>
  <r>
    <x v="10"/>
    <x v="13"/>
    <s v="Statewide Literacy Program"/>
    <m/>
    <m/>
    <x v="12"/>
    <m/>
    <m/>
    <n v="67760"/>
    <n v="68476"/>
    <m/>
    <m/>
    <m/>
    <m/>
    <n v="0"/>
    <m/>
    <m/>
    <n v="0"/>
    <n v="67760"/>
    <n v="68476"/>
    <m/>
    <m/>
    <m/>
    <m/>
    <n v="0"/>
    <m/>
    <m/>
    <n v="0"/>
    <m/>
    <m/>
    <m/>
    <m/>
    <m/>
    <m/>
    <n v="67760"/>
    <n v="68476"/>
  </r>
  <r>
    <x v="10"/>
    <x v="14"/>
    <s v="Statewide System Operations"/>
    <m/>
    <m/>
    <x v="12"/>
    <m/>
    <m/>
    <m/>
    <m/>
    <m/>
    <m/>
    <m/>
    <m/>
    <n v="0"/>
    <m/>
    <m/>
    <n v="0"/>
    <n v="0"/>
    <n v="0"/>
    <m/>
    <m/>
    <m/>
    <m/>
    <n v="0"/>
    <m/>
    <m/>
    <n v="0"/>
    <m/>
    <m/>
    <m/>
    <m/>
    <m/>
    <m/>
    <n v="0"/>
    <n v="0"/>
  </r>
  <r>
    <x v="10"/>
    <x v="15"/>
    <s v="Colleges and universities"/>
    <m/>
    <m/>
    <x v="12"/>
    <m/>
    <m/>
    <m/>
    <m/>
    <m/>
    <m/>
    <m/>
    <m/>
    <n v="0"/>
    <m/>
    <m/>
    <n v="0"/>
    <n v="0"/>
    <n v="0"/>
    <m/>
    <m/>
    <m/>
    <m/>
    <n v="0"/>
    <m/>
    <m/>
    <n v="0"/>
    <m/>
    <m/>
    <m/>
    <m/>
    <m/>
    <m/>
    <n v="0"/>
    <n v="0"/>
  </r>
  <r>
    <x v="10"/>
    <x v="15"/>
    <s v="Ok State Regents for H. Ed."/>
    <m/>
    <m/>
    <x v="12"/>
    <m/>
    <m/>
    <m/>
    <m/>
    <m/>
    <m/>
    <m/>
    <m/>
    <n v="0"/>
    <m/>
    <m/>
    <n v="0"/>
    <n v="0"/>
    <n v="0"/>
    <n v="10033794"/>
    <n v="10139942"/>
    <m/>
    <m/>
    <n v="0"/>
    <m/>
    <m/>
    <n v="0"/>
    <m/>
    <m/>
    <m/>
    <m/>
    <m/>
    <m/>
    <n v="10033794"/>
    <n v="10139942"/>
  </r>
  <r>
    <x v="10"/>
    <x v="15"/>
    <s v="Oklahoma College System"/>
    <m/>
    <m/>
    <x v="12"/>
    <m/>
    <m/>
    <m/>
    <m/>
    <m/>
    <m/>
    <m/>
    <m/>
    <n v="0"/>
    <m/>
    <m/>
    <n v="0"/>
    <n v="0"/>
    <n v="0"/>
    <m/>
    <m/>
    <m/>
    <m/>
    <n v="0"/>
    <m/>
    <m/>
    <n v="0"/>
    <m/>
    <m/>
    <m/>
    <m/>
    <m/>
    <m/>
    <n v="0"/>
    <n v="0"/>
  </r>
  <r>
    <x v="10"/>
    <x v="16"/>
    <s v="Two-year system(s), if any"/>
    <m/>
    <m/>
    <x v="12"/>
    <m/>
    <m/>
    <m/>
    <m/>
    <m/>
    <m/>
    <m/>
    <m/>
    <n v="0"/>
    <m/>
    <m/>
    <n v="0"/>
    <n v="0"/>
    <n v="0"/>
    <m/>
    <m/>
    <m/>
    <m/>
    <n v="0"/>
    <m/>
    <m/>
    <n v="0"/>
    <m/>
    <m/>
    <m/>
    <m/>
    <m/>
    <m/>
    <n v="0"/>
    <n v="0"/>
  </r>
  <r>
    <x v="10"/>
    <x v="17"/>
    <s v="National or regional associations, compacts or consortia"/>
    <m/>
    <m/>
    <x v="12"/>
    <m/>
    <m/>
    <m/>
    <m/>
    <m/>
    <m/>
    <m/>
    <m/>
    <n v="0"/>
    <m/>
    <m/>
    <n v="0"/>
    <n v="0"/>
    <n v="0"/>
    <m/>
    <m/>
    <m/>
    <m/>
    <n v="0"/>
    <m/>
    <m/>
    <n v="0"/>
    <m/>
    <m/>
    <m/>
    <m/>
    <m/>
    <m/>
    <n v="0"/>
    <n v="0"/>
  </r>
  <r>
    <x v="10"/>
    <x v="17"/>
    <s v="SREB Dues"/>
    <m/>
    <m/>
    <x v="12"/>
    <m/>
    <m/>
    <m/>
    <m/>
    <m/>
    <m/>
    <m/>
    <m/>
    <n v="0"/>
    <m/>
    <m/>
    <n v="0"/>
    <n v="0"/>
    <n v="0"/>
    <m/>
    <m/>
    <m/>
    <m/>
    <n v="0"/>
    <m/>
    <m/>
    <n v="0"/>
    <m/>
    <m/>
    <m/>
    <m/>
    <m/>
    <m/>
    <n v="0"/>
    <n v="0"/>
  </r>
  <r>
    <x v="10"/>
    <x v="18"/>
    <s v="Adm. of Statewide Student Aid Progs. (incldng centralized guaranteed student loans)"/>
    <m/>
    <m/>
    <x v="12"/>
    <m/>
    <m/>
    <m/>
    <m/>
    <m/>
    <m/>
    <m/>
    <m/>
    <n v="0"/>
    <m/>
    <m/>
    <n v="0"/>
    <n v="0"/>
    <n v="0"/>
    <m/>
    <m/>
    <m/>
    <m/>
    <n v="0"/>
    <m/>
    <m/>
    <n v="0"/>
    <m/>
    <m/>
    <m/>
    <m/>
    <m/>
    <m/>
    <n v="0"/>
    <n v="0"/>
  </r>
  <r>
    <x v="10"/>
    <x v="19"/>
    <s v="State Support to Private Colleges Other Than Student Aid"/>
    <m/>
    <m/>
    <x v="12"/>
    <m/>
    <m/>
    <m/>
    <m/>
    <m/>
    <m/>
    <m/>
    <m/>
    <n v="0"/>
    <m/>
    <m/>
    <n v="0"/>
    <n v="0"/>
    <n v="0"/>
    <m/>
    <m/>
    <m/>
    <m/>
    <n v="0"/>
    <m/>
    <m/>
    <n v="0"/>
    <m/>
    <m/>
    <m/>
    <m/>
    <m/>
    <m/>
    <n v="0"/>
    <n v="0"/>
  </r>
  <r>
    <x v="10"/>
    <x v="20"/>
    <s v="Contract Education Programs"/>
    <m/>
    <m/>
    <x v="12"/>
    <m/>
    <m/>
    <m/>
    <m/>
    <m/>
    <m/>
    <m/>
    <m/>
    <n v="0"/>
    <m/>
    <m/>
    <n v="0"/>
    <n v="0"/>
    <n v="0"/>
    <m/>
    <m/>
    <m/>
    <m/>
    <n v="0"/>
    <m/>
    <m/>
    <n v="0"/>
    <m/>
    <m/>
    <m/>
    <m/>
    <m/>
    <m/>
    <n v="0"/>
    <n v="0"/>
  </r>
  <r>
    <x v="10"/>
    <x v="21"/>
    <s v="SREB contract program with private colleges"/>
    <m/>
    <m/>
    <x v="12"/>
    <m/>
    <m/>
    <m/>
    <m/>
    <m/>
    <m/>
    <m/>
    <m/>
    <n v="0"/>
    <m/>
    <m/>
    <n v="0"/>
    <n v="0"/>
    <n v="0"/>
    <m/>
    <m/>
    <m/>
    <m/>
    <n v="0"/>
    <m/>
    <m/>
    <n v="0"/>
    <m/>
    <m/>
    <m/>
    <m/>
    <m/>
    <m/>
    <n v="0"/>
    <n v="0"/>
  </r>
  <r>
    <x v="10"/>
    <x v="22"/>
    <s v="SREB contract program with public colleges"/>
    <m/>
    <m/>
    <x v="12"/>
    <m/>
    <m/>
    <m/>
    <m/>
    <m/>
    <m/>
    <m/>
    <m/>
    <n v="0"/>
    <m/>
    <m/>
    <n v="0"/>
    <n v="0"/>
    <n v="0"/>
    <m/>
    <m/>
    <m/>
    <m/>
    <n v="0"/>
    <m/>
    <m/>
    <n v="0"/>
    <m/>
    <m/>
    <m/>
    <m/>
    <m/>
    <m/>
    <n v="0"/>
    <n v="0"/>
  </r>
  <r>
    <x v="10"/>
    <x v="23"/>
    <s v="Other contract education programs"/>
    <m/>
    <m/>
    <x v="12"/>
    <m/>
    <m/>
    <m/>
    <m/>
    <m/>
    <m/>
    <m/>
    <m/>
    <n v="0"/>
    <m/>
    <m/>
    <n v="0"/>
    <n v="0"/>
    <n v="0"/>
    <m/>
    <m/>
    <m/>
    <m/>
    <n v="0"/>
    <m/>
    <m/>
    <n v="0"/>
    <m/>
    <m/>
    <m/>
    <m/>
    <m/>
    <m/>
    <n v="0"/>
    <n v="0"/>
  </r>
  <r>
    <x v="10"/>
    <x v="24"/>
    <s v="Statewide Student Financial Aid Programs Administered Off Campus"/>
    <m/>
    <m/>
    <x v="12"/>
    <m/>
    <m/>
    <m/>
    <m/>
    <m/>
    <m/>
    <m/>
    <m/>
    <n v="0"/>
    <m/>
    <m/>
    <n v="0"/>
    <n v="0"/>
    <n v="0"/>
    <m/>
    <m/>
    <m/>
    <m/>
    <n v="0"/>
    <m/>
    <m/>
    <n v="0"/>
    <m/>
    <m/>
    <m/>
    <m/>
    <m/>
    <m/>
    <n v="0"/>
    <n v="0"/>
  </r>
  <r>
    <x v="10"/>
    <x v="25"/>
    <s v="Available to public &amp; private sector students"/>
    <m/>
    <m/>
    <x v="12"/>
    <m/>
    <m/>
    <m/>
    <m/>
    <m/>
    <m/>
    <m/>
    <m/>
    <n v="0"/>
    <m/>
    <m/>
    <n v="0"/>
    <n v="0"/>
    <n v="0"/>
    <m/>
    <m/>
    <m/>
    <m/>
    <n v="0"/>
    <m/>
    <m/>
    <n v="0"/>
    <m/>
    <m/>
    <m/>
    <m/>
    <m/>
    <m/>
    <n v="0"/>
    <n v="0"/>
  </r>
  <r>
    <x v="10"/>
    <x v="25"/>
    <s v="Oklahoma Promise"/>
    <m/>
    <m/>
    <x v="12"/>
    <m/>
    <m/>
    <m/>
    <m/>
    <m/>
    <m/>
    <m/>
    <m/>
    <n v="0"/>
    <m/>
    <m/>
    <n v="0"/>
    <n v="0"/>
    <n v="0"/>
    <n v="63200000"/>
    <n v="57000000"/>
    <m/>
    <m/>
    <n v="0"/>
    <m/>
    <m/>
    <n v="0"/>
    <m/>
    <m/>
    <m/>
    <m/>
    <m/>
    <m/>
    <n v="63200000"/>
    <n v="57000000"/>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Chiropractic Education Assistance"/>
    <m/>
    <m/>
    <x v="12"/>
    <m/>
    <m/>
    <m/>
    <m/>
    <m/>
    <m/>
    <m/>
    <m/>
    <n v="0"/>
    <m/>
    <m/>
    <n v="0"/>
    <n v="0"/>
    <n v="0"/>
    <n v="37012"/>
    <n v="37404"/>
    <m/>
    <m/>
    <n v="0"/>
    <m/>
    <m/>
    <n v="0"/>
    <m/>
    <m/>
    <m/>
    <m/>
    <m/>
    <m/>
    <n v="37012"/>
    <n v="37404"/>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Prospective Teachers Scholars"/>
    <m/>
    <m/>
    <x v="12"/>
    <m/>
    <m/>
    <m/>
    <m/>
    <m/>
    <m/>
    <m/>
    <m/>
    <n v="0"/>
    <m/>
    <m/>
    <n v="0"/>
    <n v="0"/>
    <n v="0"/>
    <n v="92531"/>
    <n v="93510"/>
    <m/>
    <m/>
    <n v="0"/>
    <m/>
    <m/>
    <n v="0"/>
    <m/>
    <m/>
    <m/>
    <m/>
    <m/>
    <m/>
    <n v="92531"/>
    <n v="93510"/>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Regional University Scholarships"/>
    <m/>
    <m/>
    <x v="12"/>
    <m/>
    <m/>
    <m/>
    <m/>
    <m/>
    <m/>
    <m/>
    <m/>
    <n v="0"/>
    <m/>
    <m/>
    <n v="0"/>
    <n v="0"/>
    <n v="0"/>
    <n v="975746"/>
    <n v="986068"/>
    <m/>
    <m/>
    <n v="0"/>
    <m/>
    <m/>
    <n v="0"/>
    <m/>
    <m/>
    <m/>
    <m/>
    <m/>
    <m/>
    <n v="975746"/>
    <n v="986068"/>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OTAG"/>
    <m/>
    <m/>
    <x v="12"/>
    <m/>
    <m/>
    <m/>
    <m/>
    <m/>
    <m/>
    <m/>
    <m/>
    <n v="0"/>
    <m/>
    <m/>
    <n v="0"/>
    <n v="0"/>
    <n v="0"/>
    <n v="18527102"/>
    <n v="19115722"/>
    <m/>
    <m/>
    <n v="0"/>
    <m/>
    <m/>
    <n v="0"/>
    <m/>
    <m/>
    <m/>
    <m/>
    <m/>
    <m/>
    <n v="18527102"/>
    <n v="19115722"/>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34"/>
    <s v="Limited to public college students only"/>
    <m/>
    <m/>
    <x v="12"/>
    <m/>
    <m/>
    <m/>
    <m/>
    <m/>
    <m/>
    <m/>
    <m/>
    <n v="0"/>
    <m/>
    <m/>
    <n v="0"/>
    <n v="0"/>
    <n v="0"/>
    <m/>
    <m/>
    <m/>
    <m/>
    <n v="0"/>
    <m/>
    <m/>
    <n v="0"/>
    <m/>
    <m/>
    <m/>
    <m/>
    <m/>
    <m/>
    <n v="0"/>
    <n v="0"/>
  </r>
  <r>
    <x v="10"/>
    <x v="35"/>
    <s v="Need-based"/>
    <m/>
    <m/>
    <x v="12"/>
    <m/>
    <m/>
    <m/>
    <m/>
    <m/>
    <m/>
    <m/>
    <m/>
    <n v="0"/>
    <m/>
    <m/>
    <n v="0"/>
    <n v="0"/>
    <n v="0"/>
    <m/>
    <m/>
    <m/>
    <m/>
    <n v="0"/>
    <m/>
    <m/>
    <n v="0"/>
    <m/>
    <m/>
    <m/>
    <m/>
    <m/>
    <m/>
    <n v="0"/>
    <n v="0"/>
  </r>
  <r>
    <x v="10"/>
    <x v="36"/>
    <s v="Non need-based"/>
    <m/>
    <m/>
    <x v="12"/>
    <m/>
    <m/>
    <m/>
    <m/>
    <m/>
    <m/>
    <m/>
    <m/>
    <n v="0"/>
    <m/>
    <m/>
    <n v="0"/>
    <n v="0"/>
    <n v="0"/>
    <m/>
    <m/>
    <m/>
    <m/>
    <n v="0"/>
    <m/>
    <m/>
    <n v="0"/>
    <m/>
    <m/>
    <m/>
    <m/>
    <m/>
    <m/>
    <n v="0"/>
    <n v="0"/>
  </r>
  <r>
    <x v="10"/>
    <x v="37"/>
    <s v="Limited to private college students only"/>
    <m/>
    <m/>
    <x v="12"/>
    <m/>
    <m/>
    <m/>
    <m/>
    <m/>
    <m/>
    <m/>
    <m/>
    <n v="0"/>
    <m/>
    <m/>
    <n v="0"/>
    <n v="0"/>
    <n v="0"/>
    <m/>
    <m/>
    <m/>
    <m/>
    <n v="0"/>
    <m/>
    <m/>
    <n v="0"/>
    <m/>
    <m/>
    <m/>
    <m/>
    <m/>
    <m/>
    <n v="0"/>
    <n v="0"/>
  </r>
  <r>
    <x v="10"/>
    <x v="37"/>
    <s v="OTEG"/>
    <m/>
    <m/>
    <x v="12"/>
    <m/>
    <m/>
    <m/>
    <m/>
    <m/>
    <m/>
    <m/>
    <m/>
    <n v="0"/>
    <m/>
    <m/>
    <n v="0"/>
    <n v="0"/>
    <n v="0"/>
    <n v="3371184"/>
    <n v="3406848"/>
    <m/>
    <m/>
    <n v="0"/>
    <m/>
    <m/>
    <n v="0"/>
    <m/>
    <m/>
    <m/>
    <m/>
    <m/>
    <m/>
    <n v="3371184"/>
    <n v="3406848"/>
  </r>
  <r>
    <x v="10"/>
    <x v="38"/>
    <s v="Need-based"/>
    <m/>
    <m/>
    <x v="12"/>
    <m/>
    <m/>
    <m/>
    <m/>
    <m/>
    <m/>
    <m/>
    <m/>
    <n v="0"/>
    <m/>
    <m/>
    <n v="0"/>
    <n v="0"/>
    <n v="0"/>
    <m/>
    <m/>
    <m/>
    <m/>
    <n v="0"/>
    <m/>
    <m/>
    <n v="0"/>
    <m/>
    <m/>
    <m/>
    <m/>
    <m/>
    <m/>
    <n v="0"/>
    <n v="0"/>
  </r>
  <r>
    <x v="10"/>
    <x v="39"/>
    <s v="Non need-based"/>
    <m/>
    <m/>
    <x v="12"/>
    <m/>
    <m/>
    <m/>
    <m/>
    <m/>
    <m/>
    <m/>
    <m/>
    <n v="0"/>
    <m/>
    <m/>
    <n v="0"/>
    <n v="0"/>
    <n v="0"/>
    <m/>
    <m/>
    <m/>
    <m/>
    <n v="0"/>
    <m/>
    <m/>
    <n v="0"/>
    <m/>
    <m/>
    <m/>
    <m/>
    <m/>
    <m/>
    <n v="0"/>
    <n v="0"/>
  </r>
  <r>
    <x v="10"/>
    <x v="0"/>
    <s v="Canadian Valley Technology Center                 "/>
    <m/>
    <n v="365374"/>
    <x v="9"/>
    <n v="4453262"/>
    <n v="4156502"/>
    <m/>
    <m/>
    <m/>
    <m/>
    <n v="1051642"/>
    <m/>
    <n v="1051642"/>
    <n v="1283331"/>
    <m/>
    <n v="1283331"/>
    <n v="5504904"/>
    <n v="5439833"/>
    <m/>
    <m/>
    <m/>
    <m/>
    <n v="0"/>
    <m/>
    <m/>
    <n v="0"/>
    <m/>
    <m/>
    <m/>
    <m/>
    <m/>
    <m/>
    <n v="5504904"/>
    <n v="5439833"/>
  </r>
  <r>
    <x v="10"/>
    <x v="0"/>
    <s v="Francis Tuttle Technology Center                  "/>
    <m/>
    <n v="245999"/>
    <x v="9"/>
    <n v="4452384"/>
    <n v="4735883"/>
    <m/>
    <m/>
    <m/>
    <m/>
    <n v="2340052"/>
    <m/>
    <n v="2340052"/>
    <n v="2507071"/>
    <m/>
    <n v="2507071"/>
    <n v="6792436"/>
    <n v="7242954"/>
    <m/>
    <m/>
    <m/>
    <m/>
    <n v="0"/>
    <m/>
    <m/>
    <n v="0"/>
    <m/>
    <m/>
    <m/>
    <m/>
    <m/>
    <m/>
    <n v="6792436"/>
    <n v="7242954"/>
  </r>
  <r>
    <x v="10"/>
    <x v="0"/>
    <s v="Metro Technology Centers                          "/>
    <m/>
    <n v="363165"/>
    <x v="9"/>
    <n v="5300358"/>
    <n v="5388476"/>
    <m/>
    <m/>
    <m/>
    <m/>
    <n v="3080896"/>
    <m/>
    <n v="3080896"/>
    <n v="2796736"/>
    <m/>
    <n v="2796736"/>
    <n v="8381254"/>
    <n v="8185212"/>
    <m/>
    <m/>
    <m/>
    <m/>
    <n v="0"/>
    <m/>
    <m/>
    <n v="0"/>
    <m/>
    <m/>
    <m/>
    <m/>
    <m/>
    <m/>
    <n v="8381254"/>
    <n v="8185212"/>
  </r>
  <r>
    <x v="10"/>
    <x v="0"/>
    <s v="Autry Technology Center                           "/>
    <m/>
    <n v="365213"/>
    <x v="10"/>
    <n v="4016559"/>
    <n v="3848333"/>
    <m/>
    <m/>
    <m/>
    <m/>
    <n v="976390"/>
    <m/>
    <n v="976390"/>
    <n v="995271"/>
    <m/>
    <n v="995271"/>
    <n v="4992949"/>
    <n v="4843604"/>
    <m/>
    <m/>
    <m/>
    <m/>
    <n v="0"/>
    <m/>
    <m/>
    <n v="0"/>
    <m/>
    <m/>
    <m/>
    <m/>
    <m/>
    <m/>
    <n v="4992949"/>
    <n v="4843604"/>
  </r>
  <r>
    <x v="10"/>
    <x v="0"/>
    <s v="Caddo Kiowa Technology Center                     "/>
    <m/>
    <n v="364946"/>
    <x v="10"/>
    <n v="4746954"/>
    <n v="4820629"/>
    <m/>
    <m/>
    <m/>
    <m/>
    <n v="885470"/>
    <m/>
    <n v="885470"/>
    <n v="764783"/>
    <m/>
    <n v="764783"/>
    <n v="5632424"/>
    <n v="5585412"/>
    <m/>
    <m/>
    <m/>
    <m/>
    <n v="0"/>
    <m/>
    <m/>
    <n v="0"/>
    <m/>
    <m/>
    <m/>
    <m/>
    <m/>
    <m/>
    <n v="5632424"/>
    <n v="5585412"/>
  </r>
  <r>
    <x v="10"/>
    <x v="0"/>
    <s v="Central Technology Center                         "/>
    <m/>
    <n v="246017"/>
    <x v="10"/>
    <n v="6266391"/>
    <n v="5804300"/>
    <m/>
    <m/>
    <m/>
    <m/>
    <n v="1596676"/>
    <m/>
    <n v="1596676"/>
    <n v="1683253"/>
    <m/>
    <n v="1683253"/>
    <n v="7863067"/>
    <n v="7487553"/>
    <m/>
    <m/>
    <m/>
    <m/>
    <n v="0"/>
    <m/>
    <m/>
    <n v="0"/>
    <m/>
    <m/>
    <m/>
    <m/>
    <m/>
    <m/>
    <n v="7863067"/>
    <n v="7487553"/>
  </r>
  <r>
    <x v="10"/>
    <x v="0"/>
    <s v="Chisholm Trail Technology Center                  "/>
    <m/>
    <n v="375656"/>
    <x v="10"/>
    <n v="1247313"/>
    <n v="1285144"/>
    <m/>
    <m/>
    <m/>
    <m/>
    <n v="165780"/>
    <m/>
    <n v="165780"/>
    <n v="65500"/>
    <m/>
    <n v="65500"/>
    <n v="1413093"/>
    <n v="1350644"/>
    <m/>
    <m/>
    <m/>
    <m/>
    <n v="0"/>
    <m/>
    <m/>
    <n v="0"/>
    <m/>
    <m/>
    <m/>
    <m/>
    <m/>
    <m/>
    <n v="1413093"/>
    <n v="1350644"/>
  </r>
  <r>
    <x v="10"/>
    <x v="0"/>
    <s v="Eastern Oklahoma County Technology Center         "/>
    <m/>
    <n v="418348"/>
    <x v="10"/>
    <n v="2066857"/>
    <n v="2172107"/>
    <m/>
    <m/>
    <m/>
    <m/>
    <n v="305801"/>
    <m/>
    <n v="305801"/>
    <n v="336043"/>
    <m/>
    <n v="336043"/>
    <n v="2372658"/>
    <n v="2508150"/>
    <m/>
    <m/>
    <m/>
    <m/>
    <n v="0"/>
    <m/>
    <m/>
    <n v="0"/>
    <m/>
    <m/>
    <m/>
    <m/>
    <m/>
    <m/>
    <n v="2372658"/>
    <n v="2508150"/>
  </r>
  <r>
    <x v="10"/>
    <x v="0"/>
    <s v="Gordon Cooper Technology Center                   "/>
    <m/>
    <n v="375683"/>
    <x v="10"/>
    <n v="3862084"/>
    <n v="3606109"/>
    <m/>
    <m/>
    <m/>
    <m/>
    <n v="664653"/>
    <m/>
    <n v="664653"/>
    <n v="689083"/>
    <m/>
    <n v="689083"/>
    <n v="4526737"/>
    <n v="4295192"/>
    <m/>
    <m/>
    <m/>
    <m/>
    <n v="0"/>
    <m/>
    <m/>
    <n v="0"/>
    <m/>
    <m/>
    <m/>
    <m/>
    <m/>
    <m/>
    <n v="4526737"/>
    <n v="4295192"/>
  </r>
  <r>
    <x v="10"/>
    <x v="0"/>
    <s v="Great Plains Technology Center                    "/>
    <m/>
    <n v="364548"/>
    <x v="10"/>
    <n v="6458453"/>
    <n v="6569877"/>
    <m/>
    <m/>
    <m/>
    <m/>
    <n v="2044689"/>
    <m/>
    <n v="2044689"/>
    <n v="1806891"/>
    <m/>
    <n v="1806891"/>
    <n v="8503142"/>
    <n v="8376768"/>
    <m/>
    <m/>
    <m/>
    <m/>
    <n v="0"/>
    <m/>
    <m/>
    <n v="0"/>
    <m/>
    <m/>
    <m/>
    <m/>
    <m/>
    <m/>
    <n v="8503142"/>
    <n v="8376768"/>
  </r>
  <r>
    <x v="10"/>
    <x v="0"/>
    <s v="Green Country Technology Center                   "/>
    <m/>
    <n v="428019"/>
    <x v="10"/>
    <n v="1309931"/>
    <n v="1345953"/>
    <m/>
    <m/>
    <m/>
    <m/>
    <n v="301661"/>
    <m/>
    <n v="301661"/>
    <n v="260882"/>
    <m/>
    <n v="260882"/>
    <n v="1611592"/>
    <n v="1606835"/>
    <m/>
    <m/>
    <m/>
    <m/>
    <n v="0"/>
    <m/>
    <m/>
    <n v="0"/>
    <m/>
    <m/>
    <m/>
    <m/>
    <m/>
    <m/>
    <n v="1611592"/>
    <n v="1606835"/>
  </r>
  <r>
    <x v="10"/>
    <x v="0"/>
    <s v="High Plains Technology Center                     "/>
    <m/>
    <n v="208053"/>
    <x v="10"/>
    <n v="2153679"/>
    <n v="1940409"/>
    <m/>
    <m/>
    <m/>
    <m/>
    <n v="241263"/>
    <m/>
    <n v="241263"/>
    <n v="222096"/>
    <m/>
    <n v="222096"/>
    <n v="2394942"/>
    <n v="2162505"/>
    <m/>
    <m/>
    <m/>
    <m/>
    <n v="0"/>
    <m/>
    <m/>
    <n v="0"/>
    <m/>
    <m/>
    <m/>
    <m/>
    <m/>
    <m/>
    <n v="2394942"/>
    <n v="2162505"/>
  </r>
  <r>
    <x v="10"/>
    <x v="0"/>
    <s v="Indian Capital Technology Center-Muskogee         "/>
    <m/>
    <n v="418296"/>
    <x v="10"/>
    <m/>
    <m/>
    <m/>
    <m/>
    <m/>
    <m/>
    <m/>
    <m/>
    <n v="0"/>
    <m/>
    <m/>
    <n v="0"/>
    <n v="0"/>
    <n v="0"/>
    <m/>
    <m/>
    <m/>
    <m/>
    <n v="0"/>
    <m/>
    <m/>
    <n v="0"/>
    <m/>
    <m/>
    <m/>
    <m/>
    <m/>
    <m/>
    <n v="0"/>
    <n v="0"/>
  </r>
  <r>
    <x v="10"/>
    <x v="0"/>
    <s v="Indian Capital Technology Center-Sallisaw         "/>
    <m/>
    <n v="421540"/>
    <x v="10"/>
    <m/>
    <m/>
    <m/>
    <m/>
    <m/>
    <m/>
    <m/>
    <m/>
    <n v="0"/>
    <m/>
    <m/>
    <n v="0"/>
    <n v="0"/>
    <n v="0"/>
    <m/>
    <m/>
    <m/>
    <m/>
    <n v="0"/>
    <m/>
    <m/>
    <n v="0"/>
    <m/>
    <m/>
    <m/>
    <m/>
    <m/>
    <m/>
    <n v="0"/>
    <n v="0"/>
  </r>
  <r>
    <x v="10"/>
    <x v="0"/>
    <s v="Indian Capital Technology Center-Stilwell         "/>
    <m/>
    <n v="421559"/>
    <x v="10"/>
    <m/>
    <m/>
    <m/>
    <m/>
    <m/>
    <m/>
    <m/>
    <m/>
    <n v="0"/>
    <m/>
    <m/>
    <n v="0"/>
    <n v="0"/>
    <n v="0"/>
    <m/>
    <m/>
    <m/>
    <m/>
    <n v="0"/>
    <m/>
    <m/>
    <n v="0"/>
    <m/>
    <m/>
    <m/>
    <m/>
    <m/>
    <m/>
    <n v="0"/>
    <n v="0"/>
  </r>
  <r>
    <x v="10"/>
    <x v="0"/>
    <s v="Indian Capital Technology Center-Tahlequah        "/>
    <m/>
    <n v="208026"/>
    <x v="10"/>
    <m/>
    <m/>
    <m/>
    <m/>
    <m/>
    <m/>
    <m/>
    <m/>
    <n v="0"/>
    <m/>
    <m/>
    <n v="0"/>
    <n v="0"/>
    <n v="0"/>
    <m/>
    <m/>
    <m/>
    <m/>
    <n v="0"/>
    <m/>
    <m/>
    <n v="0"/>
    <m/>
    <m/>
    <m/>
    <m/>
    <m/>
    <m/>
    <n v="0"/>
    <n v="0"/>
  </r>
  <r>
    <x v="10"/>
    <x v="0"/>
    <s v="Kiamichi Technology Center-Atoka                  "/>
    <m/>
    <n v="375692"/>
    <x v="10"/>
    <m/>
    <m/>
    <m/>
    <m/>
    <m/>
    <m/>
    <m/>
    <m/>
    <n v="0"/>
    <m/>
    <m/>
    <n v="0"/>
    <n v="0"/>
    <n v="0"/>
    <m/>
    <m/>
    <m/>
    <m/>
    <n v="0"/>
    <m/>
    <m/>
    <n v="0"/>
    <m/>
    <m/>
    <m/>
    <m/>
    <m/>
    <m/>
    <n v="0"/>
    <n v="0"/>
  </r>
  <r>
    <x v="10"/>
    <x v="0"/>
    <s v="Kiamichi Technology Center-Durant                 "/>
    <m/>
    <n v="375708"/>
    <x v="10"/>
    <m/>
    <m/>
    <m/>
    <m/>
    <m/>
    <m/>
    <m/>
    <m/>
    <n v="0"/>
    <m/>
    <m/>
    <n v="0"/>
    <n v="0"/>
    <n v="0"/>
    <m/>
    <m/>
    <m/>
    <m/>
    <n v="0"/>
    <m/>
    <m/>
    <n v="0"/>
    <m/>
    <m/>
    <m/>
    <m/>
    <m/>
    <m/>
    <n v="0"/>
    <n v="0"/>
  </r>
  <r>
    <x v="10"/>
    <x v="0"/>
    <s v="Kiamichi Technology Center-Hugo                   "/>
    <m/>
    <n v="375717"/>
    <x v="10"/>
    <m/>
    <m/>
    <m/>
    <m/>
    <m/>
    <m/>
    <m/>
    <m/>
    <n v="0"/>
    <m/>
    <m/>
    <n v="0"/>
    <n v="0"/>
    <n v="0"/>
    <m/>
    <m/>
    <m/>
    <m/>
    <n v="0"/>
    <m/>
    <m/>
    <n v="0"/>
    <m/>
    <m/>
    <m/>
    <m/>
    <m/>
    <m/>
    <n v="0"/>
    <n v="0"/>
  </r>
  <r>
    <x v="10"/>
    <x v="0"/>
    <s v="Kiamichi Technology Center-Idabel                 "/>
    <m/>
    <n v="375735"/>
    <x v="10"/>
    <m/>
    <m/>
    <m/>
    <m/>
    <m/>
    <m/>
    <m/>
    <m/>
    <n v="0"/>
    <m/>
    <m/>
    <n v="0"/>
    <n v="0"/>
    <n v="0"/>
    <m/>
    <m/>
    <m/>
    <m/>
    <n v="0"/>
    <m/>
    <m/>
    <n v="0"/>
    <m/>
    <m/>
    <m/>
    <m/>
    <m/>
    <m/>
    <n v="0"/>
    <n v="0"/>
  </r>
  <r>
    <x v="10"/>
    <x v="0"/>
    <s v="Kiamichi Technology Center-McAlester              "/>
    <m/>
    <n v="375726"/>
    <x v="10"/>
    <m/>
    <m/>
    <m/>
    <m/>
    <m/>
    <m/>
    <m/>
    <m/>
    <n v="0"/>
    <m/>
    <m/>
    <n v="0"/>
    <n v="0"/>
    <n v="0"/>
    <m/>
    <m/>
    <m/>
    <m/>
    <n v="0"/>
    <m/>
    <m/>
    <n v="0"/>
    <m/>
    <m/>
    <m/>
    <m/>
    <m/>
    <m/>
    <n v="0"/>
    <n v="0"/>
  </r>
  <r>
    <x v="10"/>
    <x v="0"/>
    <s v="Kiamichi Technology Center-Poteau                 "/>
    <m/>
    <n v="375744"/>
    <x v="10"/>
    <m/>
    <m/>
    <m/>
    <m/>
    <m/>
    <m/>
    <m/>
    <m/>
    <n v="0"/>
    <m/>
    <m/>
    <n v="0"/>
    <n v="0"/>
    <n v="0"/>
    <m/>
    <m/>
    <m/>
    <m/>
    <n v="0"/>
    <m/>
    <m/>
    <n v="0"/>
    <m/>
    <m/>
    <m/>
    <m/>
    <m/>
    <m/>
    <n v="0"/>
    <n v="0"/>
  </r>
  <r>
    <x v="10"/>
    <x v="0"/>
    <s v="Kiamichi Technology Center-Spiro                  "/>
    <m/>
    <n v="375753"/>
    <x v="10"/>
    <m/>
    <m/>
    <m/>
    <m/>
    <m/>
    <m/>
    <m/>
    <m/>
    <n v="0"/>
    <m/>
    <m/>
    <n v="0"/>
    <n v="0"/>
    <n v="0"/>
    <m/>
    <m/>
    <m/>
    <m/>
    <n v="0"/>
    <m/>
    <m/>
    <n v="0"/>
    <m/>
    <m/>
    <m/>
    <m/>
    <m/>
    <m/>
    <n v="0"/>
    <n v="0"/>
  </r>
  <r>
    <x v="10"/>
    <x v="0"/>
    <s v="Kiamichi Technology Center-Stigler                "/>
    <m/>
    <n v="405748"/>
    <x v="10"/>
    <m/>
    <m/>
    <m/>
    <m/>
    <m/>
    <m/>
    <m/>
    <m/>
    <n v="0"/>
    <m/>
    <m/>
    <n v="0"/>
    <n v="0"/>
    <n v="0"/>
    <m/>
    <m/>
    <m/>
    <m/>
    <n v="0"/>
    <m/>
    <m/>
    <n v="0"/>
    <m/>
    <m/>
    <m/>
    <m/>
    <m/>
    <m/>
    <n v="0"/>
    <n v="0"/>
  </r>
  <r>
    <x v="10"/>
    <x v="0"/>
    <s v="Kiamichi Technology Center-Talihina               "/>
    <m/>
    <n v="375762"/>
    <x v="10"/>
    <m/>
    <m/>
    <m/>
    <m/>
    <m/>
    <m/>
    <m/>
    <m/>
    <n v="0"/>
    <m/>
    <m/>
    <n v="0"/>
    <n v="0"/>
    <n v="0"/>
    <m/>
    <m/>
    <m/>
    <m/>
    <n v="0"/>
    <m/>
    <m/>
    <n v="0"/>
    <m/>
    <m/>
    <m/>
    <m/>
    <m/>
    <m/>
    <n v="0"/>
    <n v="0"/>
  </r>
  <r>
    <x v="10"/>
    <x v="0"/>
    <s v="Meridian Technology Center                        "/>
    <m/>
    <n v="365480"/>
    <x v="10"/>
    <n v="3415289"/>
    <n v="3364961"/>
    <m/>
    <m/>
    <m/>
    <m/>
    <n v="779657"/>
    <m/>
    <n v="779657"/>
    <n v="950425"/>
    <m/>
    <n v="950425"/>
    <n v="4194946"/>
    <n v="4315386"/>
    <m/>
    <m/>
    <m/>
    <m/>
    <n v="0"/>
    <m/>
    <m/>
    <n v="0"/>
    <m/>
    <m/>
    <m/>
    <m/>
    <m/>
    <m/>
    <n v="4194946"/>
    <n v="4315386"/>
  </r>
  <r>
    <x v="10"/>
    <x v="0"/>
    <s v="Mid-America Technology Center                     "/>
    <m/>
    <n v="418320"/>
    <x v="10"/>
    <n v="2731752"/>
    <n v="2748703"/>
    <m/>
    <m/>
    <m/>
    <m/>
    <n v="485150"/>
    <m/>
    <n v="485150"/>
    <n v="639935"/>
    <m/>
    <n v="639935"/>
    <n v="3216902"/>
    <n v="3388638"/>
    <m/>
    <m/>
    <m/>
    <m/>
    <n v="0"/>
    <m/>
    <m/>
    <n v="0"/>
    <m/>
    <m/>
    <m/>
    <m/>
    <m/>
    <m/>
    <n v="3216902"/>
    <n v="3388638"/>
  </r>
  <r>
    <x v="10"/>
    <x v="0"/>
    <s v="Mid-Del Technology Center                         "/>
    <m/>
    <n v="431017"/>
    <x v="10"/>
    <n v="1880113"/>
    <n v="2029860"/>
    <m/>
    <m/>
    <m/>
    <m/>
    <n v="16229"/>
    <m/>
    <n v="16229"/>
    <n v="24893"/>
    <m/>
    <n v="24893"/>
    <n v="1896342"/>
    <n v="2054753"/>
    <m/>
    <m/>
    <m/>
    <m/>
    <n v="0"/>
    <m/>
    <m/>
    <n v="0"/>
    <m/>
    <m/>
    <m/>
    <m/>
    <m/>
    <m/>
    <n v="1896342"/>
    <n v="2054753"/>
  </r>
  <r>
    <x v="10"/>
    <x v="0"/>
    <s v="Moore Norman Technology Center                    "/>
    <m/>
    <n v="248606"/>
    <x v="10"/>
    <n v="3499213"/>
    <n v="3299846"/>
    <m/>
    <m/>
    <m/>
    <m/>
    <n v="1918605"/>
    <m/>
    <n v="1918605"/>
    <n v="1832723"/>
    <m/>
    <n v="1832723"/>
    <n v="5417818"/>
    <n v="5132569"/>
    <m/>
    <m/>
    <m/>
    <m/>
    <n v="0"/>
    <m/>
    <m/>
    <n v="0"/>
    <m/>
    <m/>
    <m/>
    <m/>
    <m/>
    <m/>
    <n v="5417818"/>
    <n v="5132569"/>
  </r>
  <r>
    <x v="10"/>
    <x v="0"/>
    <s v="Northeast Technology Center-Afton                 "/>
    <m/>
    <n v="420459"/>
    <x v="10"/>
    <m/>
    <m/>
    <m/>
    <m/>
    <m/>
    <m/>
    <m/>
    <m/>
    <n v="0"/>
    <m/>
    <m/>
    <n v="0"/>
    <n v="0"/>
    <n v="0"/>
    <m/>
    <m/>
    <m/>
    <m/>
    <n v="0"/>
    <m/>
    <m/>
    <n v="0"/>
    <m/>
    <m/>
    <m/>
    <m/>
    <m/>
    <m/>
    <n v="0"/>
    <n v="0"/>
  </r>
  <r>
    <x v="10"/>
    <x v="0"/>
    <s v="Northeast Technology Center-Claremore"/>
    <s v="New institution no longer in start up phase. "/>
    <s v="456560"/>
    <x v="10"/>
    <m/>
    <m/>
    <m/>
    <m/>
    <m/>
    <m/>
    <m/>
    <m/>
    <n v="0"/>
    <m/>
    <m/>
    <n v="0"/>
    <n v="0"/>
    <n v="0"/>
    <m/>
    <m/>
    <m/>
    <m/>
    <n v="0"/>
    <m/>
    <m/>
    <n v="0"/>
    <m/>
    <m/>
    <m/>
    <m/>
    <m/>
    <m/>
    <n v="0"/>
    <n v="0"/>
  </r>
  <r>
    <x v="10"/>
    <x v="0"/>
    <s v="Northeast Technology Center-Kansas                "/>
    <m/>
    <n v="432074"/>
    <x v="10"/>
    <m/>
    <m/>
    <m/>
    <m/>
    <m/>
    <m/>
    <m/>
    <m/>
    <n v="0"/>
    <m/>
    <m/>
    <n v="0"/>
    <n v="0"/>
    <n v="0"/>
    <m/>
    <m/>
    <m/>
    <m/>
    <n v="0"/>
    <m/>
    <m/>
    <n v="0"/>
    <m/>
    <m/>
    <m/>
    <m/>
    <m/>
    <m/>
    <n v="0"/>
    <n v="0"/>
  </r>
  <r>
    <x v="10"/>
    <x v="0"/>
    <s v="Northeast Technology Center-Pryor                 "/>
    <m/>
    <n v="418339"/>
    <x v="10"/>
    <m/>
    <m/>
    <m/>
    <m/>
    <m/>
    <m/>
    <m/>
    <m/>
    <n v="0"/>
    <m/>
    <m/>
    <n v="0"/>
    <n v="0"/>
    <n v="0"/>
    <m/>
    <m/>
    <m/>
    <m/>
    <n v="0"/>
    <m/>
    <m/>
    <n v="0"/>
    <m/>
    <m/>
    <m/>
    <m/>
    <m/>
    <m/>
    <n v="0"/>
    <n v="0"/>
  </r>
  <r>
    <x v="10"/>
    <x v="0"/>
    <s v="Northwest Technology Center-Alva                  "/>
    <m/>
    <n v="366623"/>
    <x v="10"/>
    <m/>
    <m/>
    <m/>
    <m/>
    <m/>
    <m/>
    <m/>
    <m/>
    <n v="0"/>
    <m/>
    <m/>
    <n v="0"/>
    <n v="0"/>
    <n v="0"/>
    <m/>
    <m/>
    <m/>
    <m/>
    <n v="0"/>
    <m/>
    <m/>
    <n v="0"/>
    <m/>
    <m/>
    <m/>
    <m/>
    <m/>
    <m/>
    <n v="0"/>
    <n v="0"/>
  </r>
  <r>
    <x v="10"/>
    <x v="0"/>
    <s v="Northwest Technology Center-Fairview              "/>
    <m/>
    <n v="407601"/>
    <x v="10"/>
    <m/>
    <m/>
    <m/>
    <m/>
    <m/>
    <m/>
    <m/>
    <m/>
    <n v="0"/>
    <m/>
    <m/>
    <n v="0"/>
    <n v="0"/>
    <n v="0"/>
    <m/>
    <m/>
    <m/>
    <m/>
    <n v="0"/>
    <m/>
    <m/>
    <n v="0"/>
    <m/>
    <m/>
    <m/>
    <m/>
    <m/>
    <m/>
    <n v="0"/>
    <n v="0"/>
  </r>
  <r>
    <x v="10"/>
    <x v="0"/>
    <s v="Pioneer Technology Center                         "/>
    <m/>
    <n v="364627"/>
    <x v="10"/>
    <n v="2585596"/>
    <n v="2309599"/>
    <m/>
    <m/>
    <m/>
    <m/>
    <n v="485409"/>
    <m/>
    <n v="485409"/>
    <n v="479821"/>
    <m/>
    <n v="479821"/>
    <n v="3071005"/>
    <n v="2789420"/>
    <m/>
    <m/>
    <m/>
    <m/>
    <n v="0"/>
    <m/>
    <m/>
    <n v="0"/>
    <m/>
    <m/>
    <m/>
    <m/>
    <m/>
    <m/>
    <n v="3071005"/>
    <n v="2789420"/>
  </r>
  <r>
    <x v="10"/>
    <x v="0"/>
    <s v="Pontotoc Technology Center                        "/>
    <m/>
    <n v="206905"/>
    <x v="10"/>
    <n v="1539214"/>
    <n v="1545317"/>
    <m/>
    <m/>
    <m/>
    <m/>
    <n v="604376"/>
    <m/>
    <n v="604376"/>
    <n v="507221"/>
    <m/>
    <n v="507221"/>
    <n v="2143590"/>
    <n v="2052538"/>
    <m/>
    <m/>
    <m/>
    <m/>
    <n v="0"/>
    <m/>
    <m/>
    <n v="0"/>
    <m/>
    <m/>
    <m/>
    <m/>
    <m/>
    <m/>
    <n v="2143590"/>
    <n v="2052538"/>
  </r>
  <r>
    <x v="10"/>
    <x v="0"/>
    <s v="Red River Technology Center                       "/>
    <m/>
    <n v="250993"/>
    <x v="10"/>
    <n v="2227992"/>
    <n v="2149555"/>
    <m/>
    <m/>
    <m/>
    <m/>
    <n v="292207"/>
    <m/>
    <n v="292207"/>
    <n v="274191"/>
    <m/>
    <n v="274191"/>
    <n v="2520199"/>
    <n v="2423746"/>
    <m/>
    <m/>
    <m/>
    <m/>
    <n v="0"/>
    <m/>
    <m/>
    <n v="0"/>
    <m/>
    <m/>
    <m/>
    <m/>
    <m/>
    <m/>
    <n v="2520199"/>
    <n v="2423746"/>
  </r>
  <r>
    <x v="10"/>
    <x v="0"/>
    <s v="Southern Oklahoma Technology Center               "/>
    <m/>
    <n v="365198"/>
    <x v="10"/>
    <n v="2103885"/>
    <n v="2255104"/>
    <m/>
    <m/>
    <m/>
    <m/>
    <n v="451160"/>
    <m/>
    <n v="451160"/>
    <n v="408904"/>
    <m/>
    <n v="408904"/>
    <n v="2555045"/>
    <n v="2664008"/>
    <m/>
    <m/>
    <m/>
    <m/>
    <n v="0"/>
    <m/>
    <m/>
    <n v="0"/>
    <m/>
    <m/>
    <m/>
    <m/>
    <m/>
    <m/>
    <n v="2555045"/>
    <n v="2664008"/>
  </r>
  <r>
    <x v="10"/>
    <x v="0"/>
    <s v="Southwest Technology Center                       "/>
    <m/>
    <n v="368364"/>
    <x v="10"/>
    <n v="2250579"/>
    <n v="2224925"/>
    <m/>
    <m/>
    <m/>
    <m/>
    <n v="312056"/>
    <m/>
    <n v="312056"/>
    <n v="286347"/>
    <m/>
    <n v="286347"/>
    <n v="2562635"/>
    <n v="2511272"/>
    <m/>
    <m/>
    <m/>
    <m/>
    <n v="0"/>
    <m/>
    <m/>
    <n v="0"/>
    <m/>
    <m/>
    <m/>
    <m/>
    <m/>
    <m/>
    <n v="2562635"/>
    <n v="2511272"/>
  </r>
  <r>
    <x v="10"/>
    <x v="0"/>
    <s v="Tri County Technology Center                      "/>
    <m/>
    <n v="418287"/>
    <x v="10"/>
    <n v="2835338"/>
    <n v="2673982"/>
    <m/>
    <m/>
    <m/>
    <m/>
    <n v="851024"/>
    <m/>
    <n v="851024"/>
    <n v="749973"/>
    <m/>
    <n v="749973"/>
    <n v="3686362"/>
    <n v="3423955"/>
    <m/>
    <m/>
    <m/>
    <m/>
    <n v="0"/>
    <m/>
    <m/>
    <n v="0"/>
    <m/>
    <m/>
    <m/>
    <m/>
    <m/>
    <m/>
    <n v="3686362"/>
    <n v="3423955"/>
  </r>
  <r>
    <x v="10"/>
    <x v="0"/>
    <s v="Tulsa County Area Voc Tech School Dist 18-Peoria  "/>
    <m/>
    <n v="207607"/>
    <x v="10"/>
    <m/>
    <m/>
    <m/>
    <m/>
    <m/>
    <m/>
    <m/>
    <m/>
    <n v="0"/>
    <m/>
    <m/>
    <n v="0"/>
    <n v="0"/>
    <n v="0"/>
    <m/>
    <m/>
    <m/>
    <m/>
    <n v="0"/>
    <m/>
    <m/>
    <n v="0"/>
    <m/>
    <m/>
    <m/>
    <m/>
    <m/>
    <m/>
    <n v="0"/>
    <n v="0"/>
  </r>
  <r>
    <x v="10"/>
    <x v="0"/>
    <s v="Tulsa Technology Center-Broken Arrow Campus       "/>
    <m/>
    <n v="261393"/>
    <x v="10"/>
    <m/>
    <m/>
    <m/>
    <m/>
    <m/>
    <m/>
    <m/>
    <m/>
    <n v="0"/>
    <m/>
    <m/>
    <n v="0"/>
    <n v="0"/>
    <n v="0"/>
    <m/>
    <m/>
    <m/>
    <m/>
    <n v="0"/>
    <m/>
    <m/>
    <n v="0"/>
    <m/>
    <m/>
    <m/>
    <m/>
    <m/>
    <m/>
    <n v="0"/>
    <n v="0"/>
  </r>
  <r>
    <x v="10"/>
    <x v="0"/>
    <s v="Tulsa Technology Center-Lemley Campus             "/>
    <m/>
    <n v="261375"/>
    <x v="10"/>
    <m/>
    <m/>
    <m/>
    <m/>
    <m/>
    <m/>
    <m/>
    <m/>
    <n v="0"/>
    <m/>
    <m/>
    <n v="0"/>
    <n v="0"/>
    <n v="0"/>
    <m/>
    <m/>
    <m/>
    <m/>
    <n v="0"/>
    <m/>
    <m/>
    <n v="0"/>
    <m/>
    <m/>
    <m/>
    <m/>
    <m/>
    <m/>
    <n v="0"/>
    <n v="0"/>
  </r>
  <r>
    <x v="10"/>
    <x v="0"/>
    <s v="Tulsa Technology Center-Riverside Campus          "/>
    <m/>
    <n v="261384"/>
    <x v="10"/>
    <m/>
    <m/>
    <m/>
    <m/>
    <m/>
    <m/>
    <m/>
    <m/>
    <n v="0"/>
    <m/>
    <m/>
    <n v="0"/>
    <n v="0"/>
    <n v="0"/>
    <m/>
    <m/>
    <m/>
    <m/>
    <n v="0"/>
    <m/>
    <m/>
    <n v="0"/>
    <m/>
    <m/>
    <m/>
    <m/>
    <m/>
    <m/>
    <n v="0"/>
    <n v="0"/>
  </r>
  <r>
    <x v="10"/>
    <x v="0"/>
    <s v="Wes Watkins Technology Center                     "/>
    <m/>
    <n v="418357"/>
    <x v="10"/>
    <n v="2432587"/>
    <n v="2442523"/>
    <m/>
    <m/>
    <m/>
    <m/>
    <n v="151912"/>
    <m/>
    <n v="151912"/>
    <n v="160179"/>
    <m/>
    <n v="160179"/>
    <n v="2584499"/>
    <n v="2602702"/>
    <m/>
    <m/>
    <m/>
    <m/>
    <n v="0"/>
    <m/>
    <m/>
    <n v="0"/>
    <m/>
    <m/>
    <m/>
    <m/>
    <m/>
    <m/>
    <n v="2584499"/>
    <n v="2602702"/>
  </r>
  <r>
    <x v="10"/>
    <x v="0"/>
    <s v="Western Technology Center                         "/>
    <m/>
    <n v="418302"/>
    <x v="10"/>
    <n v="2635824"/>
    <n v="2453560"/>
    <m/>
    <m/>
    <m/>
    <m/>
    <n v="535004"/>
    <m/>
    <n v="535004"/>
    <n v="541743"/>
    <m/>
    <n v="541743"/>
    <n v="3170828"/>
    <n v="2995303"/>
    <m/>
    <m/>
    <m/>
    <m/>
    <n v="0"/>
    <m/>
    <m/>
    <n v="0"/>
    <m/>
    <m/>
    <m/>
    <m/>
    <m/>
    <m/>
    <n v="3170828"/>
    <n v="2995303"/>
  </r>
  <r>
    <x v="10"/>
    <x v="0"/>
    <s v="Indian Capital……..All Campuses"/>
    <m/>
    <m/>
    <x v="10"/>
    <n v="4347714"/>
    <n v="4534920"/>
    <m/>
    <m/>
    <m/>
    <m/>
    <n v="877689"/>
    <m/>
    <n v="877689"/>
    <n v="836901"/>
    <m/>
    <n v="836901"/>
    <n v="5225403"/>
    <n v="5371821"/>
    <m/>
    <m/>
    <m/>
    <m/>
    <n v="0"/>
    <m/>
    <m/>
    <n v="0"/>
    <m/>
    <m/>
    <m/>
    <m/>
    <m/>
    <m/>
    <n v="5225403"/>
    <n v="5371821"/>
  </r>
  <r>
    <x v="10"/>
    <x v="0"/>
    <s v="Kiamichi………All Campuses"/>
    <m/>
    <m/>
    <x v="10"/>
    <n v="8393798"/>
    <n v="7923241"/>
    <m/>
    <m/>
    <m/>
    <m/>
    <n v="1639751"/>
    <m/>
    <n v="1639751"/>
    <n v="1244898"/>
    <m/>
    <n v="1244898"/>
    <n v="10033549"/>
    <n v="9168139"/>
    <m/>
    <m/>
    <m/>
    <m/>
    <n v="0"/>
    <m/>
    <m/>
    <n v="0"/>
    <m/>
    <m/>
    <m/>
    <m/>
    <m/>
    <m/>
    <n v="10033549"/>
    <n v="9168139"/>
  </r>
  <r>
    <x v="10"/>
    <x v="0"/>
    <s v="Northeast………..All Campuses"/>
    <m/>
    <m/>
    <x v="10"/>
    <n v="3407008"/>
    <n v="2922446"/>
    <m/>
    <m/>
    <m/>
    <m/>
    <n v="793451"/>
    <m/>
    <n v="793451"/>
    <n v="773377"/>
    <m/>
    <n v="773377"/>
    <n v="4200459"/>
    <n v="3695823"/>
    <m/>
    <m/>
    <m/>
    <m/>
    <n v="0"/>
    <m/>
    <m/>
    <n v="0"/>
    <m/>
    <m/>
    <m/>
    <m/>
    <m/>
    <m/>
    <n v="4200459"/>
    <n v="3695823"/>
  </r>
  <r>
    <x v="10"/>
    <x v="0"/>
    <s v="Northwest………..All Campuses"/>
    <m/>
    <m/>
    <x v="10"/>
    <n v="1743710"/>
    <n v="1808112"/>
    <m/>
    <m/>
    <m/>
    <m/>
    <n v="211465"/>
    <m/>
    <n v="211465"/>
    <n v="241953"/>
    <m/>
    <n v="241953"/>
    <n v="1955175"/>
    <n v="2050065"/>
    <m/>
    <m/>
    <m/>
    <m/>
    <n v="0"/>
    <m/>
    <m/>
    <n v="0"/>
    <m/>
    <m/>
    <m/>
    <m/>
    <m/>
    <m/>
    <n v="1955175"/>
    <n v="2050065"/>
  </r>
  <r>
    <x v="10"/>
    <x v="0"/>
    <s v="Tulsa County Dist 18………..All Campuses"/>
    <m/>
    <m/>
    <x v="10"/>
    <n v="7734909"/>
    <n v="7267189"/>
    <m/>
    <m/>
    <m/>
    <m/>
    <n v="4615348"/>
    <m/>
    <n v="4615348"/>
    <n v="5161240"/>
    <m/>
    <n v="5161240"/>
    <n v="12350257"/>
    <n v="12428429"/>
    <m/>
    <m/>
    <m/>
    <m/>
    <n v="0"/>
    <m/>
    <m/>
    <n v="0"/>
    <m/>
    <m/>
    <m/>
    <m/>
    <m/>
    <m/>
    <n v="12350257"/>
    <n v="12428429"/>
  </r>
  <r>
    <x v="10"/>
    <x v="14"/>
    <s v="Statewide System Operations"/>
    <m/>
    <m/>
    <x v="12"/>
    <m/>
    <m/>
    <m/>
    <m/>
    <m/>
    <m/>
    <m/>
    <m/>
    <n v="0"/>
    <m/>
    <m/>
    <n v="0"/>
    <n v="0"/>
    <n v="0"/>
    <m/>
    <m/>
    <m/>
    <m/>
    <n v="0"/>
    <m/>
    <m/>
    <n v="0"/>
    <m/>
    <m/>
    <m/>
    <m/>
    <m/>
    <m/>
    <n v="0"/>
    <n v="0"/>
  </r>
  <r>
    <x v="10"/>
    <x v="16"/>
    <s v="Two-year system(s), if any"/>
    <m/>
    <m/>
    <x v="12"/>
    <m/>
    <m/>
    <m/>
    <m/>
    <m/>
    <m/>
    <m/>
    <m/>
    <n v="0"/>
    <m/>
    <m/>
    <n v="0"/>
    <n v="0"/>
    <n v="0"/>
    <m/>
    <m/>
    <m/>
    <m/>
    <n v="0"/>
    <m/>
    <m/>
    <n v="0"/>
    <m/>
    <m/>
    <m/>
    <m/>
    <m/>
    <m/>
    <n v="0"/>
    <n v="0"/>
  </r>
  <r>
    <x v="10"/>
    <x v="16"/>
    <s v="State Board "/>
    <m/>
    <m/>
    <x v="12"/>
    <m/>
    <m/>
    <m/>
    <m/>
    <m/>
    <m/>
    <m/>
    <m/>
    <n v="0"/>
    <m/>
    <m/>
    <n v="0"/>
    <n v="0"/>
    <n v="0"/>
    <m/>
    <m/>
    <m/>
    <m/>
    <n v="0"/>
    <m/>
    <m/>
    <n v="0"/>
    <m/>
    <m/>
    <m/>
    <m/>
    <m/>
    <m/>
    <n v="0"/>
    <n v="0"/>
  </r>
  <r>
    <x v="11"/>
    <x v="0"/>
    <s v="Clemson University"/>
    <m/>
    <n v="217882"/>
    <x v="0"/>
    <n v="50838312"/>
    <n v="52555948"/>
    <m/>
    <m/>
    <m/>
    <m/>
    <n v="312495728"/>
    <n v="22108389"/>
    <n v="334604117"/>
    <n v="312495728"/>
    <n v="22108389"/>
    <n v="334604117"/>
    <n v="363334040"/>
    <n v="365051676"/>
    <m/>
    <m/>
    <m/>
    <m/>
    <n v="0"/>
    <m/>
    <m/>
    <n v="0"/>
    <m/>
    <m/>
    <m/>
    <m/>
    <m/>
    <m/>
    <n v="363334040"/>
    <n v="365051676"/>
  </r>
  <r>
    <x v="11"/>
    <x v="0"/>
    <s v="Fringe Benefits"/>
    <m/>
    <n v="217882"/>
    <x v="0"/>
    <n v="8863058"/>
    <n v="10003751"/>
    <m/>
    <m/>
    <m/>
    <m/>
    <m/>
    <m/>
    <n v="0"/>
    <m/>
    <m/>
    <n v="0"/>
    <n v="8863058"/>
    <n v="10003751"/>
    <m/>
    <m/>
    <m/>
    <m/>
    <n v="0"/>
    <m/>
    <m/>
    <n v="0"/>
    <m/>
    <m/>
    <m/>
    <m/>
    <m/>
    <m/>
    <n v="8863058"/>
    <n v="10003751"/>
  </r>
  <r>
    <x v="11"/>
    <x v="3"/>
    <s v="Community or public service units"/>
    <m/>
    <n v="217882"/>
    <x v="0"/>
    <m/>
    <m/>
    <m/>
    <m/>
    <m/>
    <m/>
    <m/>
    <m/>
    <n v="0"/>
    <m/>
    <m/>
    <n v="0"/>
    <n v="0"/>
    <n v="0"/>
    <m/>
    <m/>
    <m/>
    <m/>
    <n v="0"/>
    <m/>
    <m/>
    <n v="0"/>
    <m/>
    <m/>
    <m/>
    <m/>
    <m/>
    <m/>
    <n v="0"/>
    <n v="0"/>
  </r>
  <r>
    <x v="11"/>
    <x v="5"/>
    <s v="Ag Cooperative Extension Service"/>
    <m/>
    <n v="217882"/>
    <x v="0"/>
    <m/>
    <m/>
    <m/>
    <m/>
    <m/>
    <m/>
    <m/>
    <m/>
    <n v="0"/>
    <m/>
    <m/>
    <n v="0"/>
    <n v="0"/>
    <n v="0"/>
    <m/>
    <m/>
    <m/>
    <m/>
    <n v="0"/>
    <m/>
    <m/>
    <n v="0"/>
    <m/>
    <m/>
    <m/>
    <m/>
    <m/>
    <m/>
    <n v="0"/>
    <n v="0"/>
  </r>
  <r>
    <x v="11"/>
    <x v="5"/>
    <s v="Ag Research, Extension Service, and Inspection"/>
    <m/>
    <n v="217882"/>
    <x v="0"/>
    <m/>
    <m/>
    <n v="27995827"/>
    <n v="29284647"/>
    <m/>
    <m/>
    <m/>
    <m/>
    <n v="0"/>
    <m/>
    <m/>
    <n v="0"/>
    <n v="27995827"/>
    <n v="29284647"/>
    <m/>
    <m/>
    <m/>
    <m/>
    <n v="0"/>
    <m/>
    <m/>
    <n v="0"/>
    <m/>
    <m/>
    <m/>
    <m/>
    <m/>
    <m/>
    <n v="27995827"/>
    <n v="29284647"/>
  </r>
  <r>
    <x v="11"/>
    <x v="5"/>
    <s v="Ag Research, Ext. Svc, &amp; Insp. Supplemental for Other Op.Exp. (NR)"/>
    <m/>
    <n v="217882"/>
    <x v="0"/>
    <m/>
    <m/>
    <m/>
    <m/>
    <m/>
    <m/>
    <m/>
    <m/>
    <n v="0"/>
    <m/>
    <m/>
    <n v="0"/>
    <n v="0"/>
    <n v="0"/>
    <m/>
    <m/>
    <m/>
    <m/>
    <n v="0"/>
    <m/>
    <m/>
    <n v="0"/>
    <m/>
    <m/>
    <m/>
    <m/>
    <m/>
    <m/>
    <n v="0"/>
    <n v="0"/>
  </r>
  <r>
    <x v="11"/>
    <x v="7"/>
    <s v="Research Centers/institutes"/>
    <m/>
    <n v="217882"/>
    <x v="0"/>
    <m/>
    <m/>
    <m/>
    <m/>
    <m/>
    <m/>
    <m/>
    <m/>
    <n v="0"/>
    <m/>
    <m/>
    <n v="0"/>
    <n v="0"/>
    <n v="0"/>
    <m/>
    <m/>
    <m/>
    <m/>
    <n v="0"/>
    <m/>
    <m/>
    <n v="0"/>
    <m/>
    <m/>
    <m/>
    <m/>
    <m/>
    <m/>
    <n v="0"/>
    <n v="0"/>
  </r>
  <r>
    <x v="11"/>
    <x v="8"/>
    <s v="Special Line items for education operations"/>
    <m/>
    <n v="217882"/>
    <x v="0"/>
    <m/>
    <m/>
    <m/>
    <m/>
    <m/>
    <m/>
    <m/>
    <m/>
    <n v="0"/>
    <m/>
    <m/>
    <n v="0"/>
    <n v="0"/>
    <n v="0"/>
    <m/>
    <m/>
    <m/>
    <m/>
    <n v="0"/>
    <m/>
    <m/>
    <n v="0"/>
    <m/>
    <m/>
    <m/>
    <m/>
    <m/>
    <m/>
    <n v="0"/>
    <n v="0"/>
  </r>
  <r>
    <x v="11"/>
    <x v="8"/>
    <s v="Deferred Maintenance (NR &amp; Lottery)"/>
    <m/>
    <n v="217882"/>
    <x v="0"/>
    <m/>
    <m/>
    <m/>
    <n v="4499221"/>
    <m/>
    <m/>
    <m/>
    <m/>
    <n v="0"/>
    <m/>
    <m/>
    <n v="0"/>
    <n v="0"/>
    <n v="4499221"/>
    <m/>
    <m/>
    <m/>
    <m/>
    <n v="0"/>
    <m/>
    <m/>
    <n v="0"/>
    <m/>
    <m/>
    <m/>
    <m/>
    <m/>
    <m/>
    <n v="0"/>
    <n v="4499221"/>
  </r>
  <r>
    <x v="11"/>
    <x v="8"/>
    <s v="Academic Endowment"/>
    <m/>
    <n v="217882"/>
    <x v="0"/>
    <m/>
    <m/>
    <n v="28514"/>
    <n v="30282"/>
    <m/>
    <m/>
    <m/>
    <m/>
    <n v="0"/>
    <m/>
    <m/>
    <n v="0"/>
    <n v="28514"/>
    <n v="30282"/>
    <m/>
    <m/>
    <m/>
    <m/>
    <n v="0"/>
    <m/>
    <m/>
    <n v="0"/>
    <m/>
    <m/>
    <m/>
    <m/>
    <m/>
    <m/>
    <n v="28514"/>
    <n v="30282"/>
  </r>
  <r>
    <x v="11"/>
    <x v="0"/>
    <s v="University of South Carolina-Columbia"/>
    <m/>
    <n v="218663"/>
    <x v="0"/>
    <n v="67011632"/>
    <n v="68852227"/>
    <m/>
    <m/>
    <m/>
    <m/>
    <n v="427321182.59438437"/>
    <n v="21120443.685124017"/>
    <n v="448441626.27950841"/>
    <n v="427321182.59438437"/>
    <n v="21120443.685124017"/>
    <n v="448441626.27950841"/>
    <n v="494332814.59438437"/>
    <n v="496173409.59438437"/>
    <m/>
    <m/>
    <m/>
    <m/>
    <n v="0"/>
    <m/>
    <m/>
    <n v="0"/>
    <m/>
    <m/>
    <m/>
    <m/>
    <m/>
    <m/>
    <n v="494332814.59438437"/>
    <n v="496173409.59438437"/>
  </r>
  <r>
    <x v="11"/>
    <x v="0"/>
    <s v="Fringe Benefits"/>
    <m/>
    <n v="218663"/>
    <x v="0"/>
    <n v="15960036"/>
    <n v="18079504"/>
    <m/>
    <m/>
    <m/>
    <m/>
    <m/>
    <m/>
    <n v="0"/>
    <m/>
    <m/>
    <n v="0"/>
    <n v="15960036"/>
    <n v="18079504"/>
    <m/>
    <m/>
    <m/>
    <m/>
    <n v="0"/>
    <m/>
    <m/>
    <n v="0"/>
    <m/>
    <m/>
    <m/>
    <m/>
    <m/>
    <m/>
    <n v="15960036"/>
    <n v="18079504"/>
  </r>
  <r>
    <x v="11"/>
    <x v="3"/>
    <s v="Community or public service units"/>
    <m/>
    <n v="218663"/>
    <x v="0"/>
    <m/>
    <m/>
    <m/>
    <m/>
    <m/>
    <m/>
    <m/>
    <m/>
    <n v="0"/>
    <m/>
    <m/>
    <n v="0"/>
    <n v="0"/>
    <n v="0"/>
    <m/>
    <m/>
    <m/>
    <m/>
    <n v="0"/>
    <m/>
    <m/>
    <n v="0"/>
    <m/>
    <m/>
    <m/>
    <m/>
    <m/>
    <m/>
    <n v="0"/>
    <n v="0"/>
  </r>
  <r>
    <x v="11"/>
    <x v="3"/>
    <s v="Palmetto Poison Center"/>
    <m/>
    <n v="218663"/>
    <x v="0"/>
    <m/>
    <m/>
    <n v="176763"/>
    <n v="248625"/>
    <m/>
    <m/>
    <m/>
    <m/>
    <n v="0"/>
    <m/>
    <m/>
    <n v="0"/>
    <n v="176763"/>
    <n v="248625"/>
    <m/>
    <m/>
    <m/>
    <m/>
    <n v="0"/>
    <m/>
    <m/>
    <n v="0"/>
    <m/>
    <m/>
    <m/>
    <m/>
    <m/>
    <m/>
    <n v="176763"/>
    <n v="248625"/>
  </r>
  <r>
    <x v="11"/>
    <x v="3"/>
    <s v="Palmetto College (Recurring &amp; NR)"/>
    <m/>
    <n v="218663"/>
    <x v="0"/>
    <m/>
    <m/>
    <m/>
    <n v="5000000"/>
    <m/>
    <m/>
    <m/>
    <m/>
    <n v="0"/>
    <m/>
    <m/>
    <n v="0"/>
    <n v="0"/>
    <n v="5000000"/>
    <m/>
    <m/>
    <m/>
    <m/>
    <n v="0"/>
    <m/>
    <m/>
    <n v="0"/>
    <m/>
    <m/>
    <m/>
    <m/>
    <m/>
    <m/>
    <n v="0"/>
    <n v="5000000"/>
  </r>
  <r>
    <x v="11"/>
    <x v="3"/>
    <s v="School Improvement Council"/>
    <m/>
    <n v="218663"/>
    <x v="0"/>
    <m/>
    <m/>
    <m/>
    <n v="100000"/>
    <m/>
    <m/>
    <m/>
    <m/>
    <n v="0"/>
    <m/>
    <m/>
    <n v="0"/>
    <n v="0"/>
    <n v="100000"/>
    <m/>
    <m/>
    <m/>
    <m/>
    <n v="0"/>
    <m/>
    <m/>
    <n v="0"/>
    <m/>
    <m/>
    <m/>
    <m/>
    <m/>
    <m/>
    <n v="0"/>
    <n v="100000"/>
  </r>
  <r>
    <x v="11"/>
    <x v="3"/>
    <s v="Small Business Development Center"/>
    <m/>
    <n v="218663"/>
    <x v="0"/>
    <m/>
    <m/>
    <m/>
    <n v="491734"/>
    <m/>
    <m/>
    <m/>
    <m/>
    <n v="0"/>
    <m/>
    <m/>
    <n v="0"/>
    <n v="0"/>
    <n v="491734"/>
    <m/>
    <m/>
    <m/>
    <m/>
    <n v="0"/>
    <m/>
    <m/>
    <n v="0"/>
    <m/>
    <m/>
    <m/>
    <m/>
    <m/>
    <m/>
    <n v="0"/>
    <n v="491734"/>
  </r>
  <r>
    <x v="11"/>
    <x v="7"/>
    <s v="Research centers/institutes"/>
    <m/>
    <n v="218663"/>
    <x v="0"/>
    <m/>
    <m/>
    <m/>
    <m/>
    <m/>
    <m/>
    <m/>
    <m/>
    <n v="0"/>
    <m/>
    <m/>
    <n v="0"/>
    <n v="0"/>
    <n v="0"/>
    <m/>
    <m/>
    <m/>
    <m/>
    <n v="0"/>
    <m/>
    <m/>
    <n v="0"/>
    <m/>
    <m/>
    <m/>
    <m/>
    <m/>
    <m/>
    <n v="0"/>
    <n v="0"/>
  </r>
  <r>
    <x v="11"/>
    <x v="8"/>
    <s v="Special Line items for education operations"/>
    <m/>
    <n v="218663"/>
    <x v="0"/>
    <m/>
    <m/>
    <m/>
    <m/>
    <m/>
    <m/>
    <m/>
    <m/>
    <n v="0"/>
    <m/>
    <m/>
    <n v="0"/>
    <n v="0"/>
    <n v="0"/>
    <m/>
    <m/>
    <m/>
    <m/>
    <n v="0"/>
    <m/>
    <m/>
    <n v="0"/>
    <m/>
    <m/>
    <m/>
    <m/>
    <m/>
    <m/>
    <n v="0"/>
    <n v="0"/>
  </r>
  <r>
    <x v="11"/>
    <x v="8"/>
    <s v="Deferred Maintenance (Lottery)"/>
    <m/>
    <n v="218663"/>
    <x v="0"/>
    <m/>
    <m/>
    <m/>
    <n v="4687733"/>
    <m/>
    <m/>
    <m/>
    <m/>
    <n v="0"/>
    <m/>
    <m/>
    <n v="0"/>
    <n v="0"/>
    <n v="4687733"/>
    <m/>
    <m/>
    <m/>
    <m/>
    <n v="0"/>
    <m/>
    <m/>
    <n v="0"/>
    <m/>
    <m/>
    <m/>
    <m/>
    <m/>
    <m/>
    <n v="0"/>
    <n v="4687733"/>
  </r>
  <r>
    <x v="11"/>
    <x v="8"/>
    <s v="Academic Endowment"/>
    <m/>
    <n v="218663"/>
    <x v="0"/>
    <m/>
    <m/>
    <n v="26787"/>
    <n v="27271"/>
    <m/>
    <m/>
    <m/>
    <m/>
    <n v="0"/>
    <m/>
    <m/>
    <n v="0"/>
    <n v="26787"/>
    <n v="27271"/>
    <m/>
    <m/>
    <m/>
    <m/>
    <n v="0"/>
    <m/>
    <m/>
    <n v="0"/>
    <m/>
    <m/>
    <m/>
    <m/>
    <m/>
    <m/>
    <n v="26787"/>
    <n v="27271"/>
  </r>
  <r>
    <x v="11"/>
    <x v="8"/>
    <s v="Law Library"/>
    <m/>
    <n v="218663"/>
    <x v="0"/>
    <m/>
    <m/>
    <n v="344074"/>
    <n v="344074"/>
    <m/>
    <m/>
    <m/>
    <m/>
    <n v="0"/>
    <m/>
    <m/>
    <n v="0"/>
    <n v="344074"/>
    <n v="344074"/>
    <m/>
    <m/>
    <m/>
    <m/>
    <n v="0"/>
    <m/>
    <m/>
    <n v="0"/>
    <m/>
    <m/>
    <m/>
    <m/>
    <m/>
    <m/>
    <n v="344074"/>
    <n v="344074"/>
  </r>
  <r>
    <x v="11"/>
    <x v="1"/>
    <s v="Health professions education"/>
    <m/>
    <n v="218663"/>
    <x v="0"/>
    <m/>
    <m/>
    <m/>
    <m/>
    <m/>
    <m/>
    <m/>
    <m/>
    <n v="0"/>
    <m/>
    <m/>
    <n v="0"/>
    <n v="0"/>
    <n v="0"/>
    <m/>
    <m/>
    <m/>
    <m/>
    <n v="0"/>
    <m/>
    <m/>
    <n v="0"/>
    <m/>
    <m/>
    <m/>
    <m/>
    <m/>
    <m/>
    <n v="0"/>
    <n v="0"/>
  </r>
  <r>
    <x v="11"/>
    <x v="1"/>
    <s v="Medical School-E&amp;G"/>
    <m/>
    <n v="218663"/>
    <x v="0"/>
    <m/>
    <m/>
    <m/>
    <m/>
    <m/>
    <m/>
    <m/>
    <m/>
    <n v="0"/>
    <m/>
    <m/>
    <n v="0"/>
    <n v="0"/>
    <n v="0"/>
    <m/>
    <m/>
    <m/>
    <m/>
    <n v="0"/>
    <m/>
    <m/>
    <n v="0"/>
    <n v="10200000"/>
    <n v="9999646"/>
    <n v="12872393.486458845"/>
    <n v="823156.06030937959"/>
    <n v="12872393.486458845"/>
    <n v="823156.06030937959"/>
    <n v="23072393.486458845"/>
    <n v="22872039.486458845"/>
  </r>
  <r>
    <x v="11"/>
    <x v="1"/>
    <s v="Medical School-Fringe Benefits"/>
    <m/>
    <n v="218663"/>
    <x v="0"/>
    <m/>
    <m/>
    <m/>
    <m/>
    <m/>
    <m/>
    <m/>
    <m/>
    <n v="0"/>
    <m/>
    <m/>
    <n v="0"/>
    <n v="0"/>
    <n v="0"/>
    <m/>
    <m/>
    <m/>
    <m/>
    <n v="0"/>
    <m/>
    <m/>
    <n v="0"/>
    <n v="2201943"/>
    <n v="2719428"/>
    <m/>
    <m/>
    <m/>
    <m/>
    <n v="2201943"/>
    <n v="2719428"/>
  </r>
  <r>
    <x v="11"/>
    <x v="1"/>
    <s v="Medical School-Child Abuse"/>
    <m/>
    <n v="218663"/>
    <x v="0"/>
    <m/>
    <m/>
    <m/>
    <m/>
    <m/>
    <m/>
    <m/>
    <m/>
    <n v="0"/>
    <m/>
    <m/>
    <n v="0"/>
    <n v="0"/>
    <n v="0"/>
    <m/>
    <m/>
    <m/>
    <m/>
    <n v="0"/>
    <m/>
    <m/>
    <n v="0"/>
    <n v="0"/>
    <n v="826160"/>
    <m/>
    <m/>
    <m/>
    <m/>
    <n v="0"/>
    <n v="826160"/>
  </r>
  <r>
    <x v="11"/>
    <x v="0"/>
    <s v="College of Charleston"/>
    <m/>
    <n v="217819"/>
    <x v="2"/>
    <n v="14629793"/>
    <n v="15170116"/>
    <m/>
    <m/>
    <m/>
    <m/>
    <n v="147662000.22378978"/>
    <n v="5860278.7762102094"/>
    <n v="153522279"/>
    <n v="147662000.22378978"/>
    <n v="5860278.7762102094"/>
    <n v="153522279"/>
    <n v="162291793.22378978"/>
    <n v="162832116.22378978"/>
    <m/>
    <m/>
    <m/>
    <m/>
    <n v="0"/>
    <m/>
    <m/>
    <n v="0"/>
    <m/>
    <m/>
    <m/>
    <m/>
    <m/>
    <m/>
    <n v="162291793.22378978"/>
    <n v="162832116.22378978"/>
  </r>
  <r>
    <x v="11"/>
    <x v="0"/>
    <s v="Fringe Benefits"/>
    <m/>
    <n v="217819"/>
    <x v="2"/>
    <n v="3448111"/>
    <n v="3818543"/>
    <m/>
    <m/>
    <m/>
    <m/>
    <m/>
    <m/>
    <n v="0"/>
    <m/>
    <m/>
    <n v="0"/>
    <n v="3448111"/>
    <n v="3818543"/>
    <m/>
    <m/>
    <m/>
    <m/>
    <n v="0"/>
    <m/>
    <m/>
    <n v="0"/>
    <m/>
    <m/>
    <m/>
    <m/>
    <m/>
    <m/>
    <n v="3448111"/>
    <n v="3818543"/>
  </r>
  <r>
    <x v="11"/>
    <x v="3"/>
    <s v="Community or public service units"/>
    <m/>
    <n v="217819"/>
    <x v="2"/>
    <m/>
    <m/>
    <m/>
    <m/>
    <m/>
    <m/>
    <m/>
    <m/>
    <n v="0"/>
    <m/>
    <m/>
    <n v="0"/>
    <n v="0"/>
    <n v="0"/>
    <m/>
    <m/>
    <m/>
    <m/>
    <n v="0"/>
    <m/>
    <m/>
    <n v="0"/>
    <m/>
    <m/>
    <m/>
    <m/>
    <m/>
    <m/>
    <n v="0"/>
    <n v="0"/>
  </r>
  <r>
    <x v="11"/>
    <x v="7"/>
    <s v="Research centers/institutes"/>
    <m/>
    <n v="217819"/>
    <x v="2"/>
    <m/>
    <m/>
    <m/>
    <m/>
    <m/>
    <m/>
    <m/>
    <m/>
    <n v="0"/>
    <m/>
    <m/>
    <n v="0"/>
    <n v="0"/>
    <n v="0"/>
    <m/>
    <m/>
    <m/>
    <m/>
    <n v="0"/>
    <m/>
    <m/>
    <n v="0"/>
    <m/>
    <m/>
    <m/>
    <m/>
    <m/>
    <m/>
    <n v="0"/>
    <n v="0"/>
  </r>
  <r>
    <x v="11"/>
    <x v="8"/>
    <s v="Special Line items for education operations"/>
    <m/>
    <n v="217819"/>
    <x v="2"/>
    <m/>
    <m/>
    <m/>
    <m/>
    <m/>
    <m/>
    <m/>
    <m/>
    <n v="0"/>
    <m/>
    <m/>
    <n v="0"/>
    <n v="0"/>
    <n v="0"/>
    <m/>
    <m/>
    <m/>
    <m/>
    <n v="0"/>
    <m/>
    <m/>
    <n v="0"/>
    <m/>
    <m/>
    <m/>
    <m/>
    <m/>
    <m/>
    <n v="0"/>
    <n v="0"/>
  </r>
  <r>
    <x v="11"/>
    <x v="8"/>
    <s v="Deferred Maintenance (Lottery)"/>
    <m/>
    <n v="217819"/>
    <x v="2"/>
    <m/>
    <m/>
    <m/>
    <n v="880383"/>
    <m/>
    <m/>
    <m/>
    <m/>
    <n v="0"/>
    <m/>
    <m/>
    <n v="0"/>
    <n v="0"/>
    <n v="880383"/>
    <m/>
    <m/>
    <m/>
    <m/>
    <n v="0"/>
    <m/>
    <m/>
    <n v="0"/>
    <m/>
    <m/>
    <m/>
    <m/>
    <m/>
    <m/>
    <n v="0"/>
    <n v="880383"/>
  </r>
  <r>
    <x v="11"/>
    <x v="8"/>
    <s v="Interactive Digital Technology Pilot Project"/>
    <m/>
    <n v="217819"/>
    <x v="2"/>
    <m/>
    <m/>
    <m/>
    <n v="2000000"/>
    <m/>
    <m/>
    <m/>
    <m/>
    <n v="0"/>
    <m/>
    <m/>
    <n v="0"/>
    <n v="0"/>
    <n v="2000000"/>
    <m/>
    <m/>
    <m/>
    <m/>
    <n v="0"/>
    <m/>
    <m/>
    <n v="0"/>
    <m/>
    <m/>
    <m/>
    <m/>
    <m/>
    <m/>
    <n v="0"/>
    <n v="2000000"/>
  </r>
  <r>
    <x v="11"/>
    <x v="8"/>
    <s v="Academic Endowment"/>
    <m/>
    <n v="217819"/>
    <x v="2"/>
    <m/>
    <m/>
    <n v="9337"/>
    <n v="8817"/>
    <m/>
    <m/>
    <m/>
    <m/>
    <n v="0"/>
    <m/>
    <m/>
    <n v="0"/>
    <n v="9337"/>
    <n v="8817"/>
    <m/>
    <m/>
    <m/>
    <m/>
    <n v="0"/>
    <m/>
    <m/>
    <n v="0"/>
    <m/>
    <m/>
    <m/>
    <m/>
    <m/>
    <m/>
    <n v="9337"/>
    <n v="8817"/>
  </r>
  <r>
    <x v="11"/>
    <x v="8"/>
    <s v="Lottery Technology (NR)"/>
    <m/>
    <n v="217819"/>
    <x v="2"/>
    <m/>
    <m/>
    <n v="392518"/>
    <n v="898392"/>
    <m/>
    <m/>
    <m/>
    <m/>
    <n v="0"/>
    <m/>
    <m/>
    <n v="0"/>
    <n v="392518"/>
    <n v="898392"/>
    <m/>
    <m/>
    <m/>
    <m/>
    <n v="0"/>
    <m/>
    <m/>
    <n v="0"/>
    <m/>
    <m/>
    <m/>
    <m/>
    <m/>
    <m/>
    <n v="392518"/>
    <n v="898392"/>
  </r>
  <r>
    <x v="11"/>
    <x v="0"/>
    <s v="Winthrop University "/>
    <m/>
    <n v="218964"/>
    <x v="2"/>
    <n v="10036432"/>
    <n v="10406563"/>
    <m/>
    <m/>
    <m/>
    <m/>
    <n v="64903190.944374822"/>
    <n v="6914839.0556251816"/>
    <n v="71818030"/>
    <n v="64903190.944374822"/>
    <n v="6914839.0556251816"/>
    <n v="71818030"/>
    <n v="74939622.94437483"/>
    <n v="75309753.94437483"/>
    <m/>
    <m/>
    <m/>
    <m/>
    <n v="0"/>
    <m/>
    <m/>
    <n v="0"/>
    <m/>
    <m/>
    <m/>
    <m/>
    <m/>
    <m/>
    <n v="74939622.94437483"/>
    <n v="75309753.94437483"/>
  </r>
  <r>
    <x v="11"/>
    <x v="0"/>
    <s v="Fringe Benefits"/>
    <m/>
    <n v="218964"/>
    <x v="2"/>
    <n v="2410414"/>
    <n v="2690166"/>
    <m/>
    <m/>
    <m/>
    <m/>
    <m/>
    <m/>
    <n v="0"/>
    <m/>
    <m/>
    <n v="0"/>
    <n v="2410414"/>
    <n v="2690166"/>
    <m/>
    <m/>
    <m/>
    <m/>
    <n v="0"/>
    <m/>
    <m/>
    <n v="0"/>
    <m/>
    <m/>
    <m/>
    <m/>
    <m/>
    <m/>
    <n v="2410414"/>
    <n v="2690166"/>
  </r>
  <r>
    <x v="11"/>
    <x v="8"/>
    <s v="Special Line items for education operations"/>
    <m/>
    <n v="218964"/>
    <x v="2"/>
    <m/>
    <m/>
    <m/>
    <m/>
    <m/>
    <m/>
    <m/>
    <m/>
    <n v="0"/>
    <m/>
    <m/>
    <n v="0"/>
    <n v="0"/>
    <n v="0"/>
    <m/>
    <m/>
    <m/>
    <m/>
    <n v="0"/>
    <m/>
    <m/>
    <n v="0"/>
    <m/>
    <m/>
    <m/>
    <m/>
    <m/>
    <m/>
    <n v="0"/>
    <n v="0"/>
  </r>
  <r>
    <x v="11"/>
    <x v="8"/>
    <s v="Deferred Maintenance (NR &amp; Lottery)"/>
    <m/>
    <n v="218964"/>
    <x v="2"/>
    <m/>
    <m/>
    <m/>
    <n v="1980415"/>
    <m/>
    <m/>
    <m/>
    <m/>
    <n v="0"/>
    <m/>
    <m/>
    <n v="0"/>
    <n v="0"/>
    <n v="1980415"/>
    <m/>
    <m/>
    <m/>
    <m/>
    <n v="0"/>
    <m/>
    <m/>
    <n v="0"/>
    <m/>
    <m/>
    <m/>
    <m/>
    <m/>
    <m/>
    <n v="0"/>
    <n v="1980415"/>
  </r>
  <r>
    <x v="11"/>
    <x v="8"/>
    <s v="Student Info. Technology Infrastructure Update (NR)"/>
    <m/>
    <n v="218964"/>
    <x v="2"/>
    <m/>
    <m/>
    <m/>
    <n v="500000"/>
    <m/>
    <m/>
    <m/>
    <m/>
    <n v="0"/>
    <m/>
    <m/>
    <n v="0"/>
    <n v="0"/>
    <n v="500000"/>
    <m/>
    <m/>
    <m/>
    <m/>
    <n v="0"/>
    <m/>
    <m/>
    <n v="0"/>
    <m/>
    <m/>
    <m/>
    <m/>
    <m/>
    <m/>
    <n v="0"/>
    <n v="500000"/>
  </r>
  <r>
    <x v="11"/>
    <x v="8"/>
    <s v="Academic Endowment"/>
    <m/>
    <n v="218964"/>
    <x v="2"/>
    <m/>
    <m/>
    <n v="8932"/>
    <n v="9146"/>
    <m/>
    <m/>
    <m/>
    <m/>
    <n v="0"/>
    <m/>
    <m/>
    <n v="0"/>
    <n v="8932"/>
    <n v="9146"/>
    <m/>
    <m/>
    <m/>
    <m/>
    <n v="0"/>
    <m/>
    <m/>
    <n v="0"/>
    <m/>
    <m/>
    <m/>
    <m/>
    <m/>
    <m/>
    <n v="8932"/>
    <n v="9146"/>
  </r>
  <r>
    <x v="11"/>
    <x v="8"/>
    <s v="Lottery Technology (NR)"/>
    <m/>
    <n v="218964"/>
    <x v="2"/>
    <m/>
    <m/>
    <n v="241457"/>
    <n v="544302"/>
    <m/>
    <m/>
    <m/>
    <m/>
    <n v="0"/>
    <m/>
    <m/>
    <n v="0"/>
    <n v="241457"/>
    <n v="544302"/>
    <m/>
    <m/>
    <m/>
    <m/>
    <n v="0"/>
    <m/>
    <m/>
    <n v="0"/>
    <m/>
    <m/>
    <m/>
    <m/>
    <m/>
    <m/>
    <n v="241457"/>
    <n v="544302"/>
  </r>
  <r>
    <x v="11"/>
    <x v="0"/>
    <s v="The Citadel, the Military College of South Carolina "/>
    <s v="Met the criteria for Four-Year 3 in 2011-12 and 2012-13."/>
    <n v="217864"/>
    <x v="3"/>
    <n v="6936018"/>
    <n v="7192163"/>
    <m/>
    <m/>
    <m/>
    <m/>
    <n v="44738572.123096488"/>
    <n v="725267.87690350844"/>
    <n v="45463840"/>
    <n v="44738572.123096488"/>
    <n v="725267.87690350844"/>
    <n v="45463840"/>
    <n v="51674590.123096488"/>
    <n v="51930735.123096488"/>
    <m/>
    <m/>
    <m/>
    <m/>
    <n v="0"/>
    <m/>
    <m/>
    <n v="0"/>
    <m/>
    <m/>
    <m/>
    <m/>
    <m/>
    <m/>
    <n v="51674590.123096488"/>
    <n v="51930735.123096488"/>
  </r>
  <r>
    <x v="11"/>
    <x v="0"/>
    <s v="Fringe Benefits"/>
    <m/>
    <n v="217864"/>
    <x v="3"/>
    <n v="1541989"/>
    <n v="1718729"/>
    <m/>
    <m/>
    <m/>
    <m/>
    <m/>
    <m/>
    <n v="0"/>
    <m/>
    <m/>
    <n v="0"/>
    <n v="1541989"/>
    <n v="1718729"/>
    <m/>
    <m/>
    <m/>
    <m/>
    <n v="0"/>
    <m/>
    <m/>
    <n v="0"/>
    <m/>
    <m/>
    <m/>
    <m/>
    <m/>
    <m/>
    <n v="1541989"/>
    <n v="1718729"/>
  </r>
  <r>
    <x v="11"/>
    <x v="8"/>
    <s v="Special Line items for education operations"/>
    <m/>
    <n v="217864"/>
    <x v="3"/>
    <m/>
    <m/>
    <m/>
    <m/>
    <m/>
    <m/>
    <m/>
    <m/>
    <n v="0"/>
    <m/>
    <m/>
    <n v="0"/>
    <n v="0"/>
    <n v="0"/>
    <m/>
    <m/>
    <m/>
    <m/>
    <n v="0"/>
    <m/>
    <m/>
    <n v="0"/>
    <m/>
    <m/>
    <m/>
    <m/>
    <m/>
    <m/>
    <n v="0"/>
    <n v="0"/>
  </r>
  <r>
    <x v="11"/>
    <x v="8"/>
    <s v="Deferred Maintenance (NR &amp; Lottery)"/>
    <m/>
    <n v="217864"/>
    <x v="3"/>
    <m/>
    <m/>
    <m/>
    <n v="1150610"/>
    <m/>
    <m/>
    <m/>
    <m/>
    <n v="0"/>
    <m/>
    <m/>
    <n v="0"/>
    <n v="0"/>
    <n v="1150610"/>
    <m/>
    <m/>
    <m/>
    <m/>
    <n v="0"/>
    <m/>
    <m/>
    <n v="0"/>
    <m/>
    <m/>
    <m/>
    <m/>
    <m/>
    <m/>
    <n v="0"/>
    <n v="1150610"/>
  </r>
  <r>
    <x v="11"/>
    <x v="8"/>
    <s v="Jenkins Hall Arms Room Upgrade (NR)"/>
    <m/>
    <n v="217864"/>
    <x v="3"/>
    <m/>
    <m/>
    <m/>
    <n v="200000"/>
    <m/>
    <m/>
    <m/>
    <m/>
    <n v="0"/>
    <m/>
    <m/>
    <n v="0"/>
    <n v="0"/>
    <n v="200000"/>
    <m/>
    <m/>
    <m/>
    <m/>
    <n v="0"/>
    <m/>
    <m/>
    <n v="0"/>
    <m/>
    <m/>
    <m/>
    <m/>
    <m/>
    <m/>
    <n v="0"/>
    <n v="200000"/>
  </r>
  <r>
    <x v="11"/>
    <x v="8"/>
    <s v="Academic Endowment"/>
    <m/>
    <n v="217864"/>
    <x v="3"/>
    <m/>
    <m/>
    <n v="10771"/>
    <n v="10418"/>
    <m/>
    <m/>
    <m/>
    <m/>
    <n v="0"/>
    <m/>
    <m/>
    <n v="0"/>
    <n v="10771"/>
    <n v="10418"/>
    <m/>
    <m/>
    <m/>
    <m/>
    <n v="0"/>
    <m/>
    <m/>
    <n v="0"/>
    <m/>
    <m/>
    <m/>
    <m/>
    <m/>
    <m/>
    <n v="10771"/>
    <n v="10418"/>
  </r>
  <r>
    <x v="11"/>
    <x v="8"/>
    <s v="Lottery Technology (NR)"/>
    <m/>
    <n v="217864"/>
    <x v="3"/>
    <m/>
    <m/>
    <n v="181409"/>
    <n v="414764"/>
    <m/>
    <m/>
    <m/>
    <m/>
    <n v="0"/>
    <m/>
    <m/>
    <n v="0"/>
    <n v="181409"/>
    <n v="414764"/>
    <m/>
    <m/>
    <m/>
    <m/>
    <n v="0"/>
    <m/>
    <m/>
    <n v="0"/>
    <m/>
    <m/>
    <m/>
    <m/>
    <m/>
    <m/>
    <n v="181409"/>
    <n v="414764"/>
  </r>
  <r>
    <x v="11"/>
    <x v="0"/>
    <s v="Coastal Carolina University"/>
    <m/>
    <n v="218724"/>
    <x v="4"/>
    <n v="6841364"/>
    <n v="7094200"/>
    <m/>
    <m/>
    <n v="313125"/>
    <n v="294580"/>
    <n v="116459395"/>
    <n v="7674531"/>
    <n v="124133926"/>
    <n v="116459395"/>
    <n v="7674531"/>
    <n v="124133926"/>
    <n v="123613884"/>
    <n v="123848175"/>
    <m/>
    <m/>
    <m/>
    <m/>
    <n v="0"/>
    <m/>
    <m/>
    <n v="0"/>
    <m/>
    <m/>
    <m/>
    <m/>
    <m/>
    <m/>
    <n v="123613884"/>
    <n v="123848175"/>
  </r>
  <r>
    <x v="11"/>
    <x v="0"/>
    <s v="Fringe Benefits"/>
    <m/>
    <n v="218724"/>
    <x v="4"/>
    <n v="1730005"/>
    <n v="1891725"/>
    <m/>
    <m/>
    <m/>
    <m/>
    <m/>
    <m/>
    <n v="0"/>
    <m/>
    <m/>
    <n v="0"/>
    <n v="1730005"/>
    <n v="1891725"/>
    <m/>
    <m/>
    <m/>
    <m/>
    <n v="0"/>
    <m/>
    <m/>
    <n v="0"/>
    <m/>
    <m/>
    <m/>
    <m/>
    <m/>
    <m/>
    <n v="1730005"/>
    <n v="1891725"/>
  </r>
  <r>
    <x v="11"/>
    <x v="8"/>
    <s v="Special Line items for education operations"/>
    <m/>
    <n v="218724"/>
    <x v="4"/>
    <m/>
    <m/>
    <m/>
    <m/>
    <m/>
    <m/>
    <m/>
    <m/>
    <n v="0"/>
    <m/>
    <m/>
    <n v="0"/>
    <n v="0"/>
    <n v="0"/>
    <m/>
    <m/>
    <m/>
    <m/>
    <n v="0"/>
    <m/>
    <m/>
    <n v="0"/>
    <m/>
    <m/>
    <m/>
    <m/>
    <m/>
    <m/>
    <n v="0"/>
    <n v="0"/>
  </r>
  <r>
    <x v="11"/>
    <x v="8"/>
    <s v="Deferred Maintenance (Lottery)"/>
    <m/>
    <n v="218724"/>
    <x v="4"/>
    <m/>
    <m/>
    <m/>
    <n v="417620"/>
    <m/>
    <m/>
    <m/>
    <m/>
    <n v="0"/>
    <m/>
    <m/>
    <n v="0"/>
    <n v="0"/>
    <n v="417620"/>
    <m/>
    <m/>
    <m/>
    <m/>
    <n v="0"/>
    <m/>
    <m/>
    <n v="0"/>
    <m/>
    <m/>
    <m/>
    <m/>
    <m/>
    <m/>
    <n v="0"/>
    <n v="417620"/>
  </r>
  <r>
    <x v="11"/>
    <x v="8"/>
    <s v="Research Vessel (NR)"/>
    <m/>
    <n v="218724"/>
    <x v="4"/>
    <m/>
    <m/>
    <m/>
    <n v="948366"/>
    <m/>
    <m/>
    <m/>
    <m/>
    <n v="0"/>
    <m/>
    <m/>
    <n v="0"/>
    <n v="0"/>
    <n v="948366"/>
    <m/>
    <m/>
    <m/>
    <m/>
    <n v="0"/>
    <m/>
    <m/>
    <n v="0"/>
    <m/>
    <m/>
    <m/>
    <m/>
    <m/>
    <m/>
    <n v="0"/>
    <n v="948366"/>
  </r>
  <r>
    <x v="11"/>
    <x v="8"/>
    <s v="Scientific Equipment for Research Vessel (NR)"/>
    <m/>
    <n v="218724"/>
    <x v="4"/>
    <m/>
    <m/>
    <m/>
    <n v="198000"/>
    <m/>
    <m/>
    <m/>
    <m/>
    <n v="0"/>
    <m/>
    <m/>
    <n v="0"/>
    <n v="0"/>
    <n v="198000"/>
    <m/>
    <m/>
    <m/>
    <m/>
    <n v="0"/>
    <m/>
    <m/>
    <n v="0"/>
    <m/>
    <m/>
    <m/>
    <m/>
    <m/>
    <m/>
    <n v="0"/>
    <n v="198000"/>
  </r>
  <r>
    <x v="11"/>
    <x v="8"/>
    <s v="Academic Endowment"/>
    <m/>
    <n v="218724"/>
    <x v="4"/>
    <m/>
    <m/>
    <n v="5881"/>
    <n v="5658"/>
    <m/>
    <m/>
    <m/>
    <m/>
    <n v="0"/>
    <m/>
    <m/>
    <n v="0"/>
    <n v="5881"/>
    <n v="5658"/>
    <m/>
    <m/>
    <m/>
    <m/>
    <n v="0"/>
    <m/>
    <m/>
    <n v="0"/>
    <m/>
    <m/>
    <m/>
    <m/>
    <m/>
    <m/>
    <n v="5881"/>
    <n v="5658"/>
  </r>
  <r>
    <x v="11"/>
    <x v="8"/>
    <s v="Lottery Technology (NR)"/>
    <m/>
    <n v="218724"/>
    <x v="4"/>
    <m/>
    <m/>
    <n v="323307"/>
    <n v="752122"/>
    <m/>
    <m/>
    <m/>
    <m/>
    <n v="0"/>
    <m/>
    <m/>
    <n v="0"/>
    <n v="323307"/>
    <n v="752122"/>
    <m/>
    <m/>
    <m/>
    <m/>
    <n v="0"/>
    <m/>
    <m/>
    <n v="0"/>
    <m/>
    <m/>
    <m/>
    <m/>
    <m/>
    <m/>
    <n v="323307"/>
    <n v="752122"/>
  </r>
  <r>
    <x v="11"/>
    <x v="0"/>
    <s v="Francis Marion University "/>
    <m/>
    <n v="218061"/>
    <x v="4"/>
    <n v="8339014"/>
    <n v="8665555"/>
    <m/>
    <m/>
    <m/>
    <m/>
    <n v="33796481"/>
    <n v="0"/>
    <n v="33796481"/>
    <n v="33796481"/>
    <n v="0"/>
    <n v="33796481"/>
    <n v="42135495"/>
    <n v="42462036"/>
    <m/>
    <m/>
    <m/>
    <m/>
    <n v="0"/>
    <m/>
    <m/>
    <n v="0"/>
    <m/>
    <m/>
    <m/>
    <m/>
    <m/>
    <m/>
    <n v="42135495"/>
    <n v="42462036"/>
  </r>
  <r>
    <x v="11"/>
    <x v="0"/>
    <s v="Fringe Benefits"/>
    <m/>
    <n v="218061"/>
    <x v="4"/>
    <n v="1974849"/>
    <n v="2201636"/>
    <m/>
    <m/>
    <m/>
    <m/>
    <m/>
    <m/>
    <n v="0"/>
    <m/>
    <m/>
    <n v="0"/>
    <n v="1974849"/>
    <n v="2201636"/>
    <m/>
    <m/>
    <m/>
    <m/>
    <n v="0"/>
    <m/>
    <m/>
    <n v="0"/>
    <m/>
    <m/>
    <m/>
    <m/>
    <m/>
    <m/>
    <n v="1974849"/>
    <n v="2201636"/>
  </r>
  <r>
    <x v="11"/>
    <x v="3"/>
    <s v="Community or public service units"/>
    <m/>
    <n v="218061"/>
    <x v="4"/>
    <m/>
    <m/>
    <m/>
    <m/>
    <m/>
    <m/>
    <m/>
    <m/>
    <n v="0"/>
    <m/>
    <m/>
    <n v="0"/>
    <n v="0"/>
    <n v="0"/>
    <m/>
    <m/>
    <m/>
    <m/>
    <n v="0"/>
    <m/>
    <m/>
    <n v="0"/>
    <m/>
    <m/>
    <m/>
    <m/>
    <m/>
    <m/>
    <n v="0"/>
    <n v="0"/>
  </r>
  <r>
    <x v="11"/>
    <x v="7"/>
    <s v="Research centers/institutes"/>
    <m/>
    <n v="218061"/>
    <x v="4"/>
    <m/>
    <m/>
    <m/>
    <m/>
    <m/>
    <m/>
    <m/>
    <m/>
    <n v="0"/>
    <m/>
    <m/>
    <n v="0"/>
    <n v="0"/>
    <n v="0"/>
    <m/>
    <m/>
    <m/>
    <m/>
    <n v="0"/>
    <m/>
    <m/>
    <n v="0"/>
    <m/>
    <m/>
    <m/>
    <m/>
    <m/>
    <m/>
    <n v="0"/>
    <n v="0"/>
  </r>
  <r>
    <x v="11"/>
    <x v="8"/>
    <s v="Special Line items for education operations"/>
    <m/>
    <n v="218061"/>
    <x v="4"/>
    <m/>
    <m/>
    <m/>
    <m/>
    <m/>
    <m/>
    <m/>
    <m/>
    <n v="0"/>
    <m/>
    <m/>
    <n v="0"/>
    <n v="0"/>
    <n v="0"/>
    <m/>
    <m/>
    <m/>
    <m/>
    <n v="0"/>
    <m/>
    <m/>
    <n v="0"/>
    <m/>
    <m/>
    <m/>
    <m/>
    <m/>
    <m/>
    <n v="0"/>
    <n v="0"/>
  </r>
  <r>
    <x v="11"/>
    <x v="8"/>
    <s v="Deferred Maintenance (NR &amp; Lottery)"/>
    <m/>
    <n v="218061"/>
    <x v="4"/>
    <m/>
    <m/>
    <m/>
    <n v="1643547"/>
    <m/>
    <m/>
    <m/>
    <m/>
    <n v="0"/>
    <m/>
    <m/>
    <n v="0"/>
    <n v="0"/>
    <n v="1643547"/>
    <m/>
    <m/>
    <m/>
    <m/>
    <n v="0"/>
    <m/>
    <m/>
    <n v="0"/>
    <m/>
    <m/>
    <m/>
    <m/>
    <m/>
    <m/>
    <n v="0"/>
    <n v="1643547"/>
  </r>
  <r>
    <x v="11"/>
    <x v="8"/>
    <s v="Nurse Practitioner Program"/>
    <m/>
    <n v="218061"/>
    <x v="4"/>
    <m/>
    <m/>
    <m/>
    <n v="600000"/>
    <m/>
    <m/>
    <m/>
    <m/>
    <n v="0"/>
    <m/>
    <m/>
    <n v="0"/>
    <n v="0"/>
    <n v="600000"/>
    <m/>
    <m/>
    <m/>
    <m/>
    <n v="0"/>
    <m/>
    <m/>
    <n v="0"/>
    <m/>
    <m/>
    <m/>
    <m/>
    <m/>
    <m/>
    <n v="0"/>
    <n v="600000"/>
  </r>
  <r>
    <x v="11"/>
    <x v="8"/>
    <s v="Academic Endowment"/>
    <m/>
    <n v="218061"/>
    <x v="4"/>
    <m/>
    <m/>
    <n v="4414"/>
    <n v="4676"/>
    <m/>
    <m/>
    <m/>
    <m/>
    <n v="0"/>
    <m/>
    <m/>
    <n v="0"/>
    <n v="4414"/>
    <n v="4676"/>
    <m/>
    <m/>
    <m/>
    <m/>
    <n v="0"/>
    <m/>
    <m/>
    <n v="0"/>
    <m/>
    <m/>
    <m/>
    <m/>
    <m/>
    <m/>
    <n v="4414"/>
    <n v="4676"/>
  </r>
  <r>
    <x v="11"/>
    <x v="8"/>
    <s v="Lottery Technology (NR)"/>
    <m/>
    <n v="218061"/>
    <x v="4"/>
    <m/>
    <m/>
    <n v="184884"/>
    <n v="423006"/>
    <m/>
    <m/>
    <m/>
    <m/>
    <n v="0"/>
    <m/>
    <m/>
    <n v="0"/>
    <n v="184884"/>
    <n v="423006"/>
    <m/>
    <m/>
    <m/>
    <m/>
    <n v="0"/>
    <m/>
    <m/>
    <n v="0"/>
    <m/>
    <m/>
    <m/>
    <m/>
    <m/>
    <m/>
    <n v="184884"/>
    <n v="423006"/>
  </r>
  <r>
    <x v="11"/>
    <x v="0"/>
    <s v="South Carolina State University "/>
    <m/>
    <n v="218733"/>
    <x v="4"/>
    <n v="8692378"/>
    <n v="9012510"/>
    <m/>
    <m/>
    <m/>
    <m/>
    <n v="41792925.111784898"/>
    <n v="2725784.888215106"/>
    <n v="44518710"/>
    <n v="41792925.111784898"/>
    <n v="2725784.888215106"/>
    <n v="44518710"/>
    <n v="50485303.111784898"/>
    <n v="50805435.111784898"/>
    <m/>
    <m/>
    <m/>
    <m/>
    <n v="0"/>
    <m/>
    <m/>
    <n v="0"/>
    <m/>
    <m/>
    <m/>
    <m/>
    <m/>
    <m/>
    <n v="50485303.111784898"/>
    <n v="50805435.111784898"/>
  </r>
  <r>
    <x v="11"/>
    <x v="0"/>
    <s v="Fringe Benefits"/>
    <m/>
    <n v="218733"/>
    <x v="4"/>
    <n v="2665995"/>
    <n v="2901394"/>
    <m/>
    <m/>
    <m/>
    <m/>
    <m/>
    <m/>
    <n v="0"/>
    <m/>
    <m/>
    <n v="0"/>
    <n v="2665995"/>
    <n v="2901394"/>
    <m/>
    <m/>
    <m/>
    <m/>
    <n v="0"/>
    <m/>
    <m/>
    <n v="0"/>
    <m/>
    <m/>
    <m/>
    <m/>
    <m/>
    <m/>
    <n v="2665995"/>
    <n v="2901394"/>
  </r>
  <r>
    <x v="11"/>
    <x v="3"/>
    <s v="Community or public service units"/>
    <m/>
    <n v="218733"/>
    <x v="4"/>
    <m/>
    <m/>
    <m/>
    <m/>
    <m/>
    <m/>
    <m/>
    <m/>
    <n v="0"/>
    <m/>
    <m/>
    <n v="0"/>
    <n v="0"/>
    <n v="0"/>
    <m/>
    <m/>
    <m/>
    <m/>
    <n v="0"/>
    <m/>
    <m/>
    <n v="0"/>
    <m/>
    <m/>
    <m/>
    <m/>
    <m/>
    <m/>
    <n v="0"/>
    <n v="0"/>
  </r>
  <r>
    <x v="11"/>
    <x v="5"/>
    <s v="Public Service Activities"/>
    <m/>
    <n v="218733"/>
    <x v="4"/>
    <m/>
    <m/>
    <n v="2021862"/>
    <m/>
    <m/>
    <m/>
    <m/>
    <m/>
    <n v="0"/>
    <m/>
    <m/>
    <n v="0"/>
    <n v="2021862"/>
    <n v="0"/>
    <m/>
    <m/>
    <m/>
    <m/>
    <n v="0"/>
    <m/>
    <m/>
    <n v="0"/>
    <m/>
    <m/>
    <m/>
    <m/>
    <m/>
    <m/>
    <n v="2021862"/>
    <n v="0"/>
  </r>
  <r>
    <x v="11"/>
    <x v="7"/>
    <s v="Research centers/institutes"/>
    <m/>
    <n v="218733"/>
    <x v="4"/>
    <m/>
    <m/>
    <m/>
    <m/>
    <m/>
    <m/>
    <m/>
    <m/>
    <n v="0"/>
    <m/>
    <m/>
    <n v="0"/>
    <n v="0"/>
    <n v="0"/>
    <m/>
    <m/>
    <m/>
    <m/>
    <n v="0"/>
    <m/>
    <m/>
    <n v="0"/>
    <m/>
    <m/>
    <m/>
    <m/>
    <m/>
    <m/>
    <n v="0"/>
    <n v="0"/>
  </r>
  <r>
    <x v="11"/>
    <x v="8"/>
    <s v="Special Line items for education operations"/>
    <m/>
    <n v="218733"/>
    <x v="4"/>
    <m/>
    <m/>
    <m/>
    <m/>
    <m/>
    <m/>
    <m/>
    <m/>
    <n v="0"/>
    <m/>
    <m/>
    <n v="0"/>
    <n v="0"/>
    <n v="0"/>
    <m/>
    <m/>
    <m/>
    <m/>
    <n v="0"/>
    <m/>
    <m/>
    <n v="0"/>
    <m/>
    <m/>
    <m/>
    <m/>
    <m/>
    <m/>
    <n v="0"/>
    <n v="0"/>
  </r>
  <r>
    <x v="11"/>
    <x v="8"/>
    <s v="Deferred Maintenance (NR &amp; Lottery)"/>
    <m/>
    <n v="218733"/>
    <x v="4"/>
    <m/>
    <m/>
    <m/>
    <n v="1809059"/>
    <m/>
    <m/>
    <m/>
    <m/>
    <n v="0"/>
    <m/>
    <m/>
    <n v="0"/>
    <n v="0"/>
    <n v="1809059"/>
    <m/>
    <m/>
    <m/>
    <m/>
    <n v="0"/>
    <m/>
    <m/>
    <n v="0"/>
    <m/>
    <m/>
    <m/>
    <m/>
    <m/>
    <m/>
    <n v="0"/>
    <n v="1809059"/>
  </r>
  <r>
    <x v="11"/>
    <x v="8"/>
    <s v="Academic Endowment"/>
    <m/>
    <n v="218733"/>
    <x v="4"/>
    <m/>
    <m/>
    <n v="1856"/>
    <n v="1898"/>
    <m/>
    <m/>
    <m/>
    <m/>
    <n v="0"/>
    <m/>
    <m/>
    <n v="0"/>
    <n v="1856"/>
    <n v="1898"/>
    <m/>
    <m/>
    <m/>
    <m/>
    <n v="0"/>
    <m/>
    <m/>
    <n v="0"/>
    <m/>
    <m/>
    <m/>
    <m/>
    <m/>
    <m/>
    <n v="1856"/>
    <n v="1898"/>
  </r>
  <r>
    <x v="11"/>
    <x v="8"/>
    <s v="S.C. State Univ. Business School "/>
    <m/>
    <n v="218733"/>
    <x v="4"/>
    <m/>
    <m/>
    <n v="279505"/>
    <n v="279504"/>
    <m/>
    <m/>
    <m/>
    <m/>
    <n v="0"/>
    <m/>
    <m/>
    <n v="0"/>
    <n v="279505"/>
    <n v="279504"/>
    <m/>
    <m/>
    <m/>
    <m/>
    <n v="0"/>
    <m/>
    <m/>
    <n v="0"/>
    <m/>
    <m/>
    <m/>
    <m/>
    <m/>
    <m/>
    <n v="279505"/>
    <n v="279504"/>
  </r>
  <r>
    <x v="11"/>
    <x v="8"/>
    <s v="Transportation Center Match"/>
    <m/>
    <n v="218733"/>
    <x v="4"/>
    <m/>
    <m/>
    <n v="0"/>
    <m/>
    <m/>
    <m/>
    <m/>
    <m/>
    <n v="0"/>
    <m/>
    <m/>
    <n v="0"/>
    <n v="0"/>
    <n v="0"/>
    <m/>
    <m/>
    <m/>
    <m/>
    <n v="0"/>
    <m/>
    <m/>
    <n v="0"/>
    <m/>
    <m/>
    <m/>
    <m/>
    <m/>
    <m/>
    <n v="0"/>
    <n v="0"/>
  </r>
  <r>
    <x v="11"/>
    <x v="8"/>
    <s v="South Carolina Alliance for Minority Participation (SCAMP)"/>
    <m/>
    <n v="218733"/>
    <x v="4"/>
    <m/>
    <m/>
    <m/>
    <m/>
    <m/>
    <m/>
    <m/>
    <m/>
    <n v="0"/>
    <m/>
    <m/>
    <n v="0"/>
    <n v="0"/>
    <n v="0"/>
    <m/>
    <m/>
    <m/>
    <m/>
    <n v="0"/>
    <m/>
    <m/>
    <n v="0"/>
    <m/>
    <m/>
    <m/>
    <m/>
    <m/>
    <m/>
    <n v="0"/>
    <n v="0"/>
  </r>
  <r>
    <x v="11"/>
    <x v="8"/>
    <s v="African American Loan Program"/>
    <m/>
    <n v="218733"/>
    <x v="4"/>
    <m/>
    <m/>
    <n v="87905"/>
    <n v="87905"/>
    <m/>
    <m/>
    <m/>
    <m/>
    <n v="0"/>
    <m/>
    <m/>
    <n v="0"/>
    <n v="87905"/>
    <n v="87905"/>
    <m/>
    <m/>
    <m/>
    <m/>
    <n v="0"/>
    <m/>
    <m/>
    <n v="0"/>
    <m/>
    <m/>
    <m/>
    <m/>
    <m/>
    <m/>
    <n v="87905"/>
    <n v="87905"/>
  </r>
  <r>
    <x v="11"/>
    <x v="8"/>
    <s v="Operating Funds (Lottery) (NR)"/>
    <m/>
    <n v="218733"/>
    <x v="4"/>
    <m/>
    <m/>
    <n v="2500000"/>
    <n v="2500000"/>
    <m/>
    <m/>
    <m/>
    <m/>
    <n v="0"/>
    <m/>
    <m/>
    <n v="0"/>
    <n v="2500000"/>
    <n v="2500000"/>
    <m/>
    <m/>
    <m/>
    <m/>
    <n v="0"/>
    <m/>
    <m/>
    <n v="0"/>
    <m/>
    <m/>
    <m/>
    <m/>
    <m/>
    <m/>
    <n v="2500000"/>
    <n v="2500000"/>
  </r>
  <r>
    <x v="11"/>
    <x v="8"/>
    <s v="Higher Education Excellence Enhancement Program (Lottery)(NR)"/>
    <m/>
    <n v="218733"/>
    <x v="4"/>
    <m/>
    <m/>
    <n v="375000"/>
    <n v="500000"/>
    <m/>
    <m/>
    <m/>
    <m/>
    <n v="0"/>
    <m/>
    <m/>
    <n v="0"/>
    <n v="375000"/>
    <n v="500000"/>
    <m/>
    <m/>
    <m/>
    <m/>
    <n v="0"/>
    <m/>
    <m/>
    <n v="0"/>
    <m/>
    <m/>
    <m/>
    <m/>
    <m/>
    <m/>
    <n v="375000"/>
    <n v="500000"/>
  </r>
  <r>
    <x v="11"/>
    <x v="8"/>
    <s v="Lottery Technology (NR)"/>
    <m/>
    <n v="218733"/>
    <x v="4"/>
    <m/>
    <m/>
    <n v="205873"/>
    <n v="457429"/>
    <m/>
    <m/>
    <m/>
    <m/>
    <n v="0"/>
    <m/>
    <m/>
    <n v="0"/>
    <n v="205873"/>
    <n v="457429"/>
    <m/>
    <m/>
    <m/>
    <m/>
    <n v="0"/>
    <m/>
    <m/>
    <n v="0"/>
    <m/>
    <m/>
    <m/>
    <m/>
    <m/>
    <m/>
    <n v="205873"/>
    <n v="457429"/>
  </r>
  <r>
    <x v="11"/>
    <x v="0"/>
    <s v="Lander University"/>
    <m/>
    <n v="218229"/>
    <x v="5"/>
    <n v="4535572"/>
    <n v="4703621"/>
    <m/>
    <m/>
    <m/>
    <m/>
    <n v="28814244"/>
    <n v="1627409"/>
    <n v="30441653"/>
    <n v="28814244"/>
    <n v="1627409"/>
    <n v="30441653"/>
    <n v="33349816"/>
    <n v="33517865"/>
    <m/>
    <m/>
    <m/>
    <m/>
    <n v="0"/>
    <m/>
    <m/>
    <n v="0"/>
    <m/>
    <m/>
    <m/>
    <m/>
    <m/>
    <m/>
    <n v="33349816"/>
    <n v="33517865"/>
  </r>
  <r>
    <x v="11"/>
    <x v="0"/>
    <s v="Fringe Benefits"/>
    <m/>
    <n v="218229"/>
    <x v="5"/>
    <n v="1295556"/>
    <n v="1415506"/>
    <m/>
    <m/>
    <m/>
    <m/>
    <m/>
    <m/>
    <n v="0"/>
    <m/>
    <m/>
    <n v="0"/>
    <n v="1295556"/>
    <n v="1415506"/>
    <m/>
    <m/>
    <m/>
    <m/>
    <n v="0"/>
    <m/>
    <m/>
    <n v="0"/>
    <m/>
    <m/>
    <m/>
    <m/>
    <m/>
    <m/>
    <n v="1295556"/>
    <n v="1415506"/>
  </r>
  <r>
    <x v="11"/>
    <x v="8"/>
    <s v="Special Line items for education operations"/>
    <m/>
    <n v="218229"/>
    <x v="5"/>
    <m/>
    <m/>
    <m/>
    <m/>
    <m/>
    <m/>
    <m/>
    <m/>
    <n v="0"/>
    <m/>
    <m/>
    <n v="0"/>
    <n v="0"/>
    <n v="0"/>
    <m/>
    <m/>
    <m/>
    <m/>
    <n v="0"/>
    <m/>
    <m/>
    <n v="0"/>
    <m/>
    <m/>
    <m/>
    <m/>
    <m/>
    <m/>
    <n v="0"/>
    <n v="0"/>
  </r>
  <r>
    <x v="11"/>
    <x v="8"/>
    <s v="Deferred Maintenance (NR &amp; Lottery)"/>
    <m/>
    <n v="218229"/>
    <x v="5"/>
    <m/>
    <m/>
    <m/>
    <n v="931072"/>
    <m/>
    <m/>
    <m/>
    <m/>
    <n v="0"/>
    <m/>
    <m/>
    <n v="0"/>
    <n v="0"/>
    <n v="931072"/>
    <m/>
    <m/>
    <m/>
    <m/>
    <n v="0"/>
    <m/>
    <m/>
    <n v="0"/>
    <m/>
    <m/>
    <m/>
    <m/>
    <m/>
    <m/>
    <n v="0"/>
    <n v="931072"/>
  </r>
  <r>
    <x v="11"/>
    <x v="8"/>
    <s v="Academic Endowment"/>
    <m/>
    <n v="218229"/>
    <x v="5"/>
    <m/>
    <m/>
    <n v="3870"/>
    <n v="3549"/>
    <m/>
    <m/>
    <m/>
    <m/>
    <n v="0"/>
    <m/>
    <m/>
    <n v="0"/>
    <n v="3870"/>
    <n v="3549"/>
    <m/>
    <m/>
    <m/>
    <m/>
    <n v="0"/>
    <m/>
    <m/>
    <n v="0"/>
    <m/>
    <m/>
    <m/>
    <m/>
    <m/>
    <m/>
    <n v="3870"/>
    <n v="3549"/>
  </r>
  <r>
    <x v="11"/>
    <x v="8"/>
    <s v="Lottery Technology (NR)"/>
    <m/>
    <n v="218229"/>
    <x v="5"/>
    <m/>
    <m/>
    <n v="161700"/>
    <n v="371124"/>
    <m/>
    <m/>
    <m/>
    <m/>
    <n v="0"/>
    <m/>
    <m/>
    <n v="0"/>
    <n v="161700"/>
    <n v="371124"/>
    <m/>
    <m/>
    <m/>
    <m/>
    <n v="0"/>
    <m/>
    <m/>
    <n v="0"/>
    <m/>
    <m/>
    <m/>
    <m/>
    <m/>
    <m/>
    <n v="161700"/>
    <n v="371124"/>
  </r>
  <r>
    <x v="11"/>
    <x v="0"/>
    <s v="University of South Carolina-Aiken"/>
    <m/>
    <n v="218645"/>
    <x v="5"/>
    <n v="4820000"/>
    <n v="4997592"/>
    <m/>
    <m/>
    <m/>
    <m/>
    <n v="27303397.708514806"/>
    <n v="1406304.4569199486"/>
    <n v="28709702.165434755"/>
    <n v="27303397.708514806"/>
    <n v="1406304.4569199486"/>
    <n v="28709702.165434755"/>
    <n v="32123397.708514806"/>
    <n v="32300989.708514806"/>
    <m/>
    <m/>
    <m/>
    <m/>
    <n v="0"/>
    <m/>
    <m/>
    <n v="0"/>
    <m/>
    <m/>
    <m/>
    <m/>
    <m/>
    <m/>
    <n v="32123397.708514806"/>
    <n v="32300989.708514806"/>
  </r>
  <r>
    <x v="11"/>
    <x v="0"/>
    <s v="Fringe Benefits"/>
    <m/>
    <n v="218645"/>
    <x v="5"/>
    <n v="1104243"/>
    <n v="1225703"/>
    <m/>
    <m/>
    <m/>
    <m/>
    <m/>
    <m/>
    <n v="0"/>
    <m/>
    <m/>
    <n v="0"/>
    <n v="1104243"/>
    <n v="1225703"/>
    <m/>
    <m/>
    <m/>
    <m/>
    <n v="0"/>
    <m/>
    <m/>
    <n v="0"/>
    <m/>
    <m/>
    <m/>
    <m/>
    <m/>
    <m/>
    <n v="1104243"/>
    <n v="1225703"/>
  </r>
  <r>
    <x v="11"/>
    <x v="8"/>
    <s v="Special Line items for education operations"/>
    <m/>
    <n v="218645"/>
    <x v="5"/>
    <m/>
    <m/>
    <m/>
    <m/>
    <m/>
    <m/>
    <m/>
    <m/>
    <n v="0"/>
    <m/>
    <m/>
    <n v="0"/>
    <n v="0"/>
    <n v="0"/>
    <m/>
    <m/>
    <m/>
    <m/>
    <n v="0"/>
    <m/>
    <m/>
    <n v="0"/>
    <m/>
    <m/>
    <m/>
    <m/>
    <m/>
    <m/>
    <n v="0"/>
    <n v="0"/>
  </r>
  <r>
    <x v="11"/>
    <x v="8"/>
    <s v="Deferred Maintenance (NR &amp; Lottery)"/>
    <m/>
    <n v="218645"/>
    <x v="5"/>
    <m/>
    <m/>
    <m/>
    <n v="841761"/>
    <m/>
    <m/>
    <m/>
    <m/>
    <n v="0"/>
    <m/>
    <m/>
    <n v="0"/>
    <n v="0"/>
    <n v="841761"/>
    <m/>
    <m/>
    <m/>
    <m/>
    <n v="0"/>
    <m/>
    <m/>
    <n v="0"/>
    <m/>
    <m/>
    <m/>
    <m/>
    <m/>
    <m/>
    <n v="0"/>
    <n v="841761"/>
  </r>
  <r>
    <x v="11"/>
    <x v="8"/>
    <s v="Academic Endowment"/>
    <m/>
    <n v="218645"/>
    <x v="5"/>
    <m/>
    <m/>
    <n v="4274"/>
    <n v="4223"/>
    <m/>
    <m/>
    <m/>
    <m/>
    <n v="0"/>
    <m/>
    <m/>
    <n v="0"/>
    <n v="4274"/>
    <n v="4223"/>
    <m/>
    <m/>
    <m/>
    <m/>
    <n v="0"/>
    <m/>
    <m/>
    <n v="0"/>
    <m/>
    <m/>
    <m/>
    <m/>
    <m/>
    <m/>
    <n v="4274"/>
    <n v="4223"/>
  </r>
  <r>
    <x v="11"/>
    <x v="8"/>
    <s v="Lottery Technology (NR)"/>
    <m/>
    <n v="218645"/>
    <x v="5"/>
    <m/>
    <m/>
    <n v="162524"/>
    <n v="367680"/>
    <m/>
    <m/>
    <m/>
    <m/>
    <n v="0"/>
    <m/>
    <m/>
    <n v="0"/>
    <n v="162524"/>
    <n v="367680"/>
    <m/>
    <m/>
    <m/>
    <m/>
    <n v="0"/>
    <m/>
    <m/>
    <n v="0"/>
    <m/>
    <m/>
    <m/>
    <m/>
    <m/>
    <m/>
    <n v="162524"/>
    <n v="367680"/>
  </r>
  <r>
    <x v="11"/>
    <x v="0"/>
    <s v="University of South Carolina-Beaufort"/>
    <m/>
    <n v="218654"/>
    <x v="5"/>
    <n v="1105000"/>
    <n v="1145720"/>
    <m/>
    <m/>
    <m/>
    <m/>
    <n v="14941541.621803027"/>
    <n v="350657.75146160892"/>
    <n v="15292199.373264635"/>
    <n v="14941541.621803027"/>
    <n v="350657.75146160892"/>
    <n v="15292199.373264635"/>
    <n v="16046541.621803027"/>
    <n v="16087261.621803027"/>
    <m/>
    <m/>
    <m/>
    <m/>
    <n v="0"/>
    <m/>
    <m/>
    <n v="0"/>
    <m/>
    <m/>
    <m/>
    <m/>
    <m/>
    <m/>
    <n v="16046541.621803027"/>
    <n v="16087261.621803027"/>
  </r>
  <r>
    <x v="11"/>
    <x v="0"/>
    <s v="Fringe Benefits"/>
    <m/>
    <n v="218654"/>
    <x v="5"/>
    <n v="255802"/>
    <n v="280447"/>
    <m/>
    <m/>
    <m/>
    <m/>
    <m/>
    <m/>
    <n v="0"/>
    <m/>
    <m/>
    <n v="0"/>
    <n v="255802"/>
    <n v="280447"/>
    <m/>
    <m/>
    <m/>
    <m/>
    <n v="0"/>
    <m/>
    <m/>
    <n v="0"/>
    <m/>
    <m/>
    <m/>
    <m/>
    <m/>
    <m/>
    <n v="255802"/>
    <n v="280447"/>
  </r>
  <r>
    <x v="11"/>
    <x v="3"/>
    <s v="Community or public service units"/>
    <m/>
    <n v="218654"/>
    <x v="5"/>
    <m/>
    <m/>
    <m/>
    <m/>
    <m/>
    <m/>
    <m/>
    <m/>
    <n v="0"/>
    <m/>
    <m/>
    <n v="0"/>
    <n v="0"/>
    <n v="0"/>
    <m/>
    <m/>
    <m/>
    <m/>
    <n v="0"/>
    <m/>
    <m/>
    <n v="0"/>
    <m/>
    <m/>
    <m/>
    <m/>
    <m/>
    <m/>
    <n v="0"/>
    <n v="0"/>
  </r>
  <r>
    <x v="11"/>
    <x v="8"/>
    <s v="Special Line items for education operations"/>
    <m/>
    <n v="218654"/>
    <x v="5"/>
    <m/>
    <m/>
    <m/>
    <m/>
    <m/>
    <m/>
    <m/>
    <m/>
    <n v="0"/>
    <m/>
    <m/>
    <n v="0"/>
    <n v="0"/>
    <n v="0"/>
    <m/>
    <m/>
    <m/>
    <m/>
    <n v="0"/>
    <m/>
    <m/>
    <n v="0"/>
    <m/>
    <m/>
    <m/>
    <m/>
    <m/>
    <m/>
    <n v="0"/>
    <n v="0"/>
  </r>
  <r>
    <x v="11"/>
    <x v="8"/>
    <s v="Deferred Maintenance (NR &amp; Lottery)"/>
    <m/>
    <n v="218654"/>
    <x v="5"/>
    <m/>
    <m/>
    <m/>
    <n v="393353"/>
    <m/>
    <m/>
    <m/>
    <m/>
    <n v="0"/>
    <m/>
    <m/>
    <n v="0"/>
    <n v="0"/>
    <n v="393353"/>
    <m/>
    <m/>
    <m/>
    <m/>
    <n v="0"/>
    <m/>
    <m/>
    <n v="0"/>
    <m/>
    <m/>
    <m/>
    <m/>
    <m/>
    <m/>
    <n v="0"/>
    <n v="393353"/>
  </r>
  <r>
    <x v="11"/>
    <x v="8"/>
    <s v="Academic Endowment"/>
    <m/>
    <n v="218654"/>
    <x v="5"/>
    <m/>
    <m/>
    <n v="1239"/>
    <n v="1157"/>
    <m/>
    <m/>
    <m/>
    <m/>
    <n v="0"/>
    <m/>
    <m/>
    <n v="0"/>
    <n v="1239"/>
    <n v="1157"/>
    <m/>
    <m/>
    <m/>
    <m/>
    <n v="0"/>
    <m/>
    <m/>
    <n v="0"/>
    <m/>
    <m/>
    <m/>
    <m/>
    <m/>
    <m/>
    <n v="1239"/>
    <n v="1157"/>
  </r>
  <r>
    <x v="11"/>
    <x v="8"/>
    <s v="Lottery Technology (NR)"/>
    <m/>
    <n v="218654"/>
    <x v="5"/>
    <m/>
    <m/>
    <n v="122424"/>
    <n v="283218"/>
    <m/>
    <m/>
    <m/>
    <m/>
    <n v="0"/>
    <m/>
    <m/>
    <n v="0"/>
    <n v="122424"/>
    <n v="283218"/>
    <m/>
    <m/>
    <m/>
    <m/>
    <n v="0"/>
    <m/>
    <m/>
    <n v="0"/>
    <m/>
    <m/>
    <m/>
    <m/>
    <m/>
    <m/>
    <n v="122424"/>
    <n v="283218"/>
  </r>
  <r>
    <x v="11"/>
    <x v="0"/>
    <s v="University of South Carolina-Upstate"/>
    <m/>
    <n v="218742"/>
    <x v="5"/>
    <n v="6339000"/>
    <n v="6572977"/>
    <m/>
    <m/>
    <m/>
    <m/>
    <n v="50577628.818753779"/>
    <n v="2858856.1211755211"/>
    <n v="53436484.939929299"/>
    <n v="50577628.818753779"/>
    <n v="2858856.1211755211"/>
    <n v="53436484.939929299"/>
    <n v="56916628.818753779"/>
    <n v="57150605.818753779"/>
    <m/>
    <m/>
    <m/>
    <m/>
    <n v="0"/>
    <m/>
    <m/>
    <n v="0"/>
    <m/>
    <m/>
    <m/>
    <m/>
    <m/>
    <m/>
    <n v="56916628.818753779"/>
    <n v="57150605.818753779"/>
  </r>
  <r>
    <x v="11"/>
    <x v="0"/>
    <s v="Fringe Benefits"/>
    <m/>
    <n v="218742"/>
    <x v="5"/>
    <n v="1449843"/>
    <n v="1605188"/>
    <m/>
    <m/>
    <m/>
    <m/>
    <m/>
    <m/>
    <n v="0"/>
    <m/>
    <m/>
    <n v="0"/>
    <n v="1449843"/>
    <n v="1605188"/>
    <m/>
    <m/>
    <m/>
    <m/>
    <n v="0"/>
    <m/>
    <m/>
    <n v="0"/>
    <m/>
    <m/>
    <m/>
    <m/>
    <m/>
    <m/>
    <n v="1449843"/>
    <n v="1605188"/>
  </r>
  <r>
    <x v="11"/>
    <x v="8"/>
    <s v="Special Line items for education operations"/>
    <m/>
    <n v="218742"/>
    <x v="5"/>
    <m/>
    <m/>
    <m/>
    <m/>
    <m/>
    <m/>
    <m/>
    <m/>
    <n v="0"/>
    <m/>
    <m/>
    <n v="0"/>
    <n v="0"/>
    <n v="0"/>
    <m/>
    <m/>
    <m/>
    <m/>
    <n v="0"/>
    <m/>
    <m/>
    <n v="0"/>
    <m/>
    <m/>
    <m/>
    <m/>
    <m/>
    <m/>
    <n v="0"/>
    <n v="0"/>
  </r>
  <r>
    <x v="11"/>
    <x v="8"/>
    <s v="Deferred Maintenance (NR &amp; Lottery)"/>
    <m/>
    <n v="218742"/>
    <x v="5"/>
    <m/>
    <m/>
    <m/>
    <n v="1108261"/>
    <m/>
    <m/>
    <m/>
    <m/>
    <n v="0"/>
    <m/>
    <m/>
    <n v="0"/>
    <n v="0"/>
    <n v="1108261"/>
    <m/>
    <m/>
    <m/>
    <m/>
    <n v="0"/>
    <m/>
    <m/>
    <n v="0"/>
    <m/>
    <m/>
    <m/>
    <m/>
    <m/>
    <m/>
    <n v="0"/>
    <n v="1108261"/>
  </r>
  <r>
    <x v="11"/>
    <x v="8"/>
    <s v="Academic Endowment"/>
    <m/>
    <n v="218742"/>
    <x v="5"/>
    <m/>
    <m/>
    <n v="1212"/>
    <n v="1095"/>
    <m/>
    <m/>
    <m/>
    <m/>
    <n v="0"/>
    <m/>
    <m/>
    <n v="0"/>
    <n v="1212"/>
    <n v="1095"/>
    <m/>
    <m/>
    <m/>
    <m/>
    <n v="0"/>
    <m/>
    <m/>
    <n v="0"/>
    <m/>
    <m/>
    <m/>
    <m/>
    <m/>
    <m/>
    <n v="1212"/>
    <n v="1095"/>
  </r>
  <r>
    <x v="11"/>
    <x v="8"/>
    <s v="Lottery Technology (NR)"/>
    <m/>
    <n v="218742"/>
    <x v="5"/>
    <m/>
    <m/>
    <n v="226255"/>
    <n v="513871"/>
    <m/>
    <m/>
    <m/>
    <m/>
    <n v="0"/>
    <m/>
    <m/>
    <n v="0"/>
    <n v="226255"/>
    <n v="513871"/>
    <m/>
    <m/>
    <m/>
    <m/>
    <n v="0"/>
    <m/>
    <m/>
    <n v="0"/>
    <m/>
    <m/>
    <m/>
    <m/>
    <m/>
    <m/>
    <n v="226255"/>
    <n v="513871"/>
  </r>
  <r>
    <x v="11"/>
    <x v="0"/>
    <s v="Greenville Technical College "/>
    <m/>
    <n v="218113"/>
    <x v="6"/>
    <n v="14829522"/>
    <n v="15441535"/>
    <m/>
    <m/>
    <n v="10547851"/>
    <n v="10515010"/>
    <n v="53610700"/>
    <n v="2652875"/>
    <n v="56263575"/>
    <n v="53610700"/>
    <n v="2652875"/>
    <n v="56263575"/>
    <n v="78988073"/>
    <n v="79567245"/>
    <m/>
    <m/>
    <m/>
    <m/>
    <n v="0"/>
    <m/>
    <m/>
    <n v="0"/>
    <m/>
    <m/>
    <m/>
    <m/>
    <m/>
    <m/>
    <n v="78988073"/>
    <n v="79567245"/>
  </r>
  <r>
    <x v="11"/>
    <x v="8"/>
    <s v="Special Line items for education operations"/>
    <m/>
    <n v="218113"/>
    <x v="6"/>
    <m/>
    <m/>
    <m/>
    <m/>
    <m/>
    <m/>
    <m/>
    <m/>
    <n v="0"/>
    <m/>
    <m/>
    <n v="0"/>
    <n v="0"/>
    <n v="0"/>
    <m/>
    <m/>
    <m/>
    <m/>
    <n v="0"/>
    <m/>
    <m/>
    <n v="0"/>
    <m/>
    <m/>
    <m/>
    <m/>
    <m/>
    <m/>
    <n v="0"/>
    <n v="0"/>
  </r>
  <r>
    <x v="11"/>
    <x v="8"/>
    <s v="Academic Endowment"/>
    <m/>
    <n v="218113"/>
    <x v="6"/>
    <m/>
    <m/>
    <m/>
    <n v="1765"/>
    <m/>
    <m/>
    <m/>
    <m/>
    <n v="0"/>
    <m/>
    <m/>
    <n v="0"/>
    <n v="0"/>
    <n v="1765"/>
    <m/>
    <m/>
    <m/>
    <m/>
    <n v="0"/>
    <m/>
    <m/>
    <n v="0"/>
    <m/>
    <m/>
    <m/>
    <m/>
    <m/>
    <m/>
    <n v="0"/>
    <n v="1765"/>
  </r>
  <r>
    <x v="11"/>
    <x v="8"/>
    <s v="Deferred Maintenance"/>
    <m/>
    <n v="218113"/>
    <x v="6"/>
    <m/>
    <m/>
    <m/>
    <n v="882812"/>
    <m/>
    <m/>
    <m/>
    <m/>
    <n v="0"/>
    <m/>
    <m/>
    <n v="0"/>
    <n v="0"/>
    <n v="882812"/>
    <m/>
    <m/>
    <m/>
    <m/>
    <n v="0"/>
    <m/>
    <m/>
    <n v="0"/>
    <m/>
    <m/>
    <m/>
    <m/>
    <m/>
    <m/>
    <n v="0"/>
    <n v="882812"/>
  </r>
  <r>
    <x v="11"/>
    <x v="8"/>
    <s v="Pathways to Prosperity"/>
    <m/>
    <n v="218113"/>
    <x v="6"/>
    <m/>
    <m/>
    <n v="37784"/>
    <n v="37784"/>
    <m/>
    <m/>
    <m/>
    <m/>
    <n v="0"/>
    <m/>
    <m/>
    <n v="0"/>
    <n v="37784"/>
    <n v="37784"/>
    <m/>
    <m/>
    <m/>
    <m/>
    <n v="0"/>
    <m/>
    <m/>
    <n v="0"/>
    <m/>
    <m/>
    <m/>
    <m/>
    <m/>
    <m/>
    <n v="37784"/>
    <n v="37784"/>
  </r>
  <r>
    <x v="11"/>
    <x v="8"/>
    <s v="Lottery Technology (NR)"/>
    <m/>
    <n v="218113"/>
    <x v="6"/>
    <m/>
    <m/>
    <n v="272528"/>
    <n v="578045"/>
    <m/>
    <m/>
    <m/>
    <m/>
    <n v="0"/>
    <m/>
    <m/>
    <n v="0"/>
    <n v="272528"/>
    <n v="578045"/>
    <m/>
    <m/>
    <m/>
    <m/>
    <n v="0"/>
    <m/>
    <m/>
    <n v="0"/>
    <m/>
    <m/>
    <m/>
    <m/>
    <m/>
    <m/>
    <n v="272528"/>
    <n v="578045"/>
  </r>
  <r>
    <x v="11"/>
    <x v="0"/>
    <s v="Horry-Georgetown Technical College "/>
    <m/>
    <n v="218140"/>
    <x v="6"/>
    <n v="6645120"/>
    <n v="6923404"/>
    <m/>
    <m/>
    <n v="3880000"/>
    <n v="3811000"/>
    <n v="26745905"/>
    <n v="223406"/>
    <n v="26969311"/>
    <n v="26745905"/>
    <n v="223406"/>
    <n v="26969311"/>
    <n v="37271025"/>
    <n v="37480309"/>
    <m/>
    <m/>
    <m/>
    <m/>
    <n v="0"/>
    <m/>
    <m/>
    <n v="0"/>
    <m/>
    <m/>
    <m/>
    <m/>
    <m/>
    <m/>
    <n v="37271025"/>
    <n v="37480309"/>
  </r>
  <r>
    <x v="11"/>
    <x v="8"/>
    <s v="Special Line items for education operations"/>
    <m/>
    <n v="218140"/>
    <x v="6"/>
    <m/>
    <m/>
    <m/>
    <m/>
    <m/>
    <m/>
    <m/>
    <m/>
    <n v="0"/>
    <m/>
    <m/>
    <n v="0"/>
    <n v="0"/>
    <n v="0"/>
    <m/>
    <m/>
    <m/>
    <m/>
    <n v="0"/>
    <m/>
    <m/>
    <n v="0"/>
    <m/>
    <m/>
    <m/>
    <m/>
    <m/>
    <m/>
    <n v="0"/>
    <n v="0"/>
  </r>
  <r>
    <x v="11"/>
    <x v="8"/>
    <s v="Academic Endowment"/>
    <m/>
    <n v="218140"/>
    <x v="6"/>
    <m/>
    <m/>
    <m/>
    <n v="46"/>
    <m/>
    <m/>
    <m/>
    <m/>
    <n v="0"/>
    <m/>
    <m/>
    <n v="0"/>
    <n v="0"/>
    <n v="46"/>
    <m/>
    <m/>
    <m/>
    <m/>
    <n v="0"/>
    <m/>
    <m/>
    <n v="0"/>
    <m/>
    <m/>
    <m/>
    <m/>
    <m/>
    <m/>
    <n v="0"/>
    <n v="46"/>
  </r>
  <r>
    <x v="11"/>
    <x v="8"/>
    <s v="Deferred Maintenance"/>
    <m/>
    <n v="218140"/>
    <x v="6"/>
    <m/>
    <m/>
    <m/>
    <n v="360320"/>
    <m/>
    <m/>
    <m/>
    <m/>
    <n v="0"/>
    <m/>
    <m/>
    <n v="0"/>
    <n v="0"/>
    <n v="360320"/>
    <m/>
    <m/>
    <m/>
    <m/>
    <n v="0"/>
    <m/>
    <m/>
    <n v="0"/>
    <m/>
    <m/>
    <m/>
    <m/>
    <m/>
    <m/>
    <n v="0"/>
    <n v="360320"/>
  </r>
  <r>
    <x v="11"/>
    <x v="8"/>
    <s v="Capital Reserve and Surplus 90.20"/>
    <m/>
    <n v="218140"/>
    <x v="6"/>
    <m/>
    <m/>
    <m/>
    <n v="200000"/>
    <m/>
    <m/>
    <m/>
    <m/>
    <n v="0"/>
    <m/>
    <m/>
    <n v="0"/>
    <n v="0"/>
    <n v="200000"/>
    <m/>
    <m/>
    <m/>
    <m/>
    <n v="0"/>
    <m/>
    <m/>
    <n v="0"/>
    <m/>
    <m/>
    <m/>
    <m/>
    <m/>
    <m/>
    <n v="0"/>
    <n v="200000"/>
  </r>
  <r>
    <x v="11"/>
    <x v="8"/>
    <s v="Pathways to Prosperity"/>
    <m/>
    <n v="218140"/>
    <x v="6"/>
    <m/>
    <m/>
    <n v="37784"/>
    <n v="37784"/>
    <m/>
    <m/>
    <m/>
    <m/>
    <n v="0"/>
    <m/>
    <m/>
    <n v="0"/>
    <n v="37784"/>
    <n v="37784"/>
    <m/>
    <m/>
    <m/>
    <m/>
    <n v="0"/>
    <m/>
    <m/>
    <n v="0"/>
    <m/>
    <m/>
    <m/>
    <m/>
    <m/>
    <m/>
    <n v="37784"/>
    <n v="37784"/>
  </r>
  <r>
    <x v="11"/>
    <x v="8"/>
    <s v="Lottery Technology (NR)"/>
    <m/>
    <n v="218140"/>
    <x v="6"/>
    <m/>
    <m/>
    <n v="122080"/>
    <n v="258934"/>
    <m/>
    <m/>
    <m/>
    <m/>
    <n v="0"/>
    <m/>
    <m/>
    <n v="0"/>
    <n v="122080"/>
    <n v="258934"/>
    <m/>
    <m/>
    <m/>
    <m/>
    <n v="0"/>
    <m/>
    <m/>
    <n v="0"/>
    <m/>
    <m/>
    <m/>
    <m/>
    <m/>
    <m/>
    <n v="122080"/>
    <n v="258934"/>
  </r>
  <r>
    <x v="11"/>
    <x v="0"/>
    <s v="Midlands Technical College "/>
    <m/>
    <n v="218353"/>
    <x v="6"/>
    <n v="12377849"/>
    <n v="12939485"/>
    <m/>
    <m/>
    <n v="8501897"/>
    <n v="8691390"/>
    <n v="52146899"/>
    <n v="1850025"/>
    <n v="53996924"/>
    <n v="52146899"/>
    <n v="1850025"/>
    <n v="53996924"/>
    <n v="73026645"/>
    <n v="73777774"/>
    <m/>
    <m/>
    <m/>
    <m/>
    <n v="0"/>
    <m/>
    <m/>
    <n v="0"/>
    <m/>
    <m/>
    <m/>
    <m/>
    <m/>
    <m/>
    <n v="73026645"/>
    <n v="73777774"/>
  </r>
  <r>
    <x v="11"/>
    <x v="8"/>
    <s v="Special Line items for education operations"/>
    <m/>
    <n v="218353"/>
    <x v="6"/>
    <m/>
    <m/>
    <m/>
    <m/>
    <m/>
    <m/>
    <m/>
    <m/>
    <n v="0"/>
    <m/>
    <m/>
    <n v="0"/>
    <n v="0"/>
    <n v="0"/>
    <m/>
    <m/>
    <m/>
    <m/>
    <n v="0"/>
    <m/>
    <m/>
    <n v="0"/>
    <m/>
    <m/>
    <m/>
    <m/>
    <m/>
    <m/>
    <n v="0"/>
    <n v="0"/>
  </r>
  <r>
    <x v="11"/>
    <x v="8"/>
    <s v="Academic Endowment"/>
    <m/>
    <n v="218353"/>
    <x v="6"/>
    <m/>
    <m/>
    <m/>
    <n v="650"/>
    <m/>
    <m/>
    <m/>
    <m/>
    <n v="0"/>
    <m/>
    <m/>
    <n v="0"/>
    <n v="0"/>
    <n v="650"/>
    <m/>
    <m/>
    <m/>
    <m/>
    <n v="0"/>
    <m/>
    <m/>
    <n v="0"/>
    <m/>
    <m/>
    <m/>
    <m/>
    <m/>
    <m/>
    <n v="0"/>
    <n v="650"/>
  </r>
  <r>
    <x v="11"/>
    <x v="8"/>
    <s v="Deferred Maintenance"/>
    <m/>
    <n v="218353"/>
    <x v="6"/>
    <m/>
    <m/>
    <m/>
    <n v="537494"/>
    <m/>
    <m/>
    <m/>
    <m/>
    <n v="0"/>
    <m/>
    <m/>
    <n v="0"/>
    <n v="0"/>
    <n v="537494"/>
    <m/>
    <m/>
    <m/>
    <m/>
    <n v="0"/>
    <m/>
    <m/>
    <n v="0"/>
    <m/>
    <m/>
    <m/>
    <m/>
    <m/>
    <m/>
    <n v="0"/>
    <n v="537494"/>
  </r>
  <r>
    <x v="11"/>
    <x v="8"/>
    <s v="Nursing Program"/>
    <m/>
    <n v="218353"/>
    <x v="6"/>
    <m/>
    <m/>
    <n v="370943"/>
    <n v="370943"/>
    <m/>
    <m/>
    <m/>
    <m/>
    <n v="0"/>
    <m/>
    <m/>
    <n v="0"/>
    <n v="370943"/>
    <n v="370943"/>
    <m/>
    <m/>
    <m/>
    <m/>
    <n v="0"/>
    <m/>
    <m/>
    <n v="0"/>
    <m/>
    <m/>
    <m/>
    <m/>
    <m/>
    <m/>
    <n v="370943"/>
    <n v="370943"/>
  </r>
  <r>
    <x v="11"/>
    <x v="8"/>
    <s v="Pathways to Prosperity"/>
    <m/>
    <n v="218353"/>
    <x v="6"/>
    <m/>
    <m/>
    <n v="37784"/>
    <n v="37784"/>
    <m/>
    <m/>
    <m/>
    <m/>
    <n v="0"/>
    <m/>
    <m/>
    <n v="0"/>
    <n v="37784"/>
    <n v="37784"/>
    <m/>
    <m/>
    <m/>
    <m/>
    <n v="0"/>
    <m/>
    <m/>
    <n v="0"/>
    <m/>
    <m/>
    <m/>
    <m/>
    <m/>
    <m/>
    <n v="37784"/>
    <n v="37784"/>
  </r>
  <r>
    <x v="11"/>
    <x v="8"/>
    <s v="Lottery Technology (NR)"/>
    <m/>
    <n v="218353"/>
    <x v="6"/>
    <m/>
    <m/>
    <n v="228585"/>
    <n v="483151"/>
    <m/>
    <m/>
    <m/>
    <m/>
    <n v="0"/>
    <m/>
    <m/>
    <n v="0"/>
    <n v="228585"/>
    <n v="483151"/>
    <m/>
    <m/>
    <m/>
    <m/>
    <n v="0"/>
    <m/>
    <m/>
    <n v="0"/>
    <m/>
    <m/>
    <m/>
    <m/>
    <m/>
    <m/>
    <n v="228585"/>
    <n v="483151"/>
  </r>
  <r>
    <x v="11"/>
    <x v="0"/>
    <s v="Tri-County Technical College "/>
    <m/>
    <n v="218885"/>
    <x v="6"/>
    <n v="6255121"/>
    <n v="6513225"/>
    <m/>
    <m/>
    <n v="3909984"/>
    <n v="2889507"/>
    <n v="27254670"/>
    <n v="1265470"/>
    <n v="28520140"/>
    <n v="27254670"/>
    <n v="1265470"/>
    <n v="28520140"/>
    <n v="37419775"/>
    <n v="36657402"/>
    <m/>
    <m/>
    <m/>
    <m/>
    <n v="0"/>
    <m/>
    <m/>
    <n v="0"/>
    <m/>
    <m/>
    <m/>
    <m/>
    <m/>
    <m/>
    <n v="37419775"/>
    <n v="36657402"/>
  </r>
  <r>
    <x v="11"/>
    <x v="8"/>
    <s v="Special Line items for education operations"/>
    <m/>
    <n v="218885"/>
    <x v="6"/>
    <m/>
    <m/>
    <m/>
    <m/>
    <m/>
    <m/>
    <m/>
    <m/>
    <n v="0"/>
    <m/>
    <m/>
    <n v="0"/>
    <n v="0"/>
    <n v="0"/>
    <m/>
    <m/>
    <m/>
    <m/>
    <n v="0"/>
    <m/>
    <m/>
    <n v="0"/>
    <m/>
    <m/>
    <m/>
    <m/>
    <m/>
    <m/>
    <n v="0"/>
    <n v="0"/>
  </r>
  <r>
    <x v="11"/>
    <x v="8"/>
    <s v="Academic Endowment"/>
    <m/>
    <n v="218885"/>
    <x v="6"/>
    <m/>
    <m/>
    <m/>
    <n v="2611"/>
    <m/>
    <m/>
    <m/>
    <m/>
    <n v="0"/>
    <m/>
    <m/>
    <n v="0"/>
    <n v="0"/>
    <n v="2611"/>
    <m/>
    <m/>
    <m/>
    <m/>
    <n v="0"/>
    <m/>
    <m/>
    <n v="0"/>
    <m/>
    <m/>
    <m/>
    <m/>
    <m/>
    <m/>
    <n v="0"/>
    <n v="2611"/>
  </r>
  <r>
    <x v="11"/>
    <x v="8"/>
    <s v="Deferred Maintenance"/>
    <m/>
    <n v="218885"/>
    <x v="6"/>
    <m/>
    <m/>
    <m/>
    <n v="290809"/>
    <m/>
    <m/>
    <m/>
    <m/>
    <n v="0"/>
    <m/>
    <m/>
    <n v="0"/>
    <n v="0"/>
    <n v="290809"/>
    <m/>
    <m/>
    <m/>
    <m/>
    <n v="0"/>
    <m/>
    <m/>
    <n v="0"/>
    <m/>
    <m/>
    <m/>
    <m/>
    <m/>
    <m/>
    <n v="0"/>
    <n v="290809"/>
  </r>
  <r>
    <x v="11"/>
    <x v="8"/>
    <s v="Capital Reserve and Surplus 90.20"/>
    <m/>
    <n v="218885"/>
    <x v="6"/>
    <m/>
    <m/>
    <m/>
    <n v="500000"/>
    <m/>
    <m/>
    <m/>
    <m/>
    <n v="0"/>
    <m/>
    <m/>
    <n v="0"/>
    <n v="0"/>
    <n v="500000"/>
    <m/>
    <m/>
    <m/>
    <m/>
    <n v="0"/>
    <m/>
    <m/>
    <n v="0"/>
    <m/>
    <m/>
    <m/>
    <m/>
    <m/>
    <m/>
    <n v="0"/>
    <n v="500000"/>
  </r>
  <r>
    <x v="11"/>
    <x v="8"/>
    <s v="Pathways to Prosperity"/>
    <m/>
    <n v="218885"/>
    <x v="6"/>
    <m/>
    <m/>
    <n v="37784"/>
    <n v="37784"/>
    <m/>
    <m/>
    <m/>
    <m/>
    <n v="0"/>
    <m/>
    <m/>
    <n v="0"/>
    <n v="37784"/>
    <n v="37784"/>
    <m/>
    <m/>
    <m/>
    <m/>
    <n v="0"/>
    <m/>
    <m/>
    <n v="0"/>
    <m/>
    <m/>
    <m/>
    <m/>
    <m/>
    <m/>
    <n v="37784"/>
    <n v="37784"/>
  </r>
  <r>
    <x v="11"/>
    <x v="8"/>
    <s v="Lottery Technology (NR)"/>
    <m/>
    <n v="218885"/>
    <x v="6"/>
    <m/>
    <m/>
    <n v="115566"/>
    <n v="245141"/>
    <m/>
    <m/>
    <m/>
    <m/>
    <n v="0"/>
    <m/>
    <m/>
    <n v="0"/>
    <n v="115566"/>
    <n v="245141"/>
    <m/>
    <m/>
    <m/>
    <m/>
    <n v="0"/>
    <m/>
    <m/>
    <n v="0"/>
    <m/>
    <m/>
    <m/>
    <m/>
    <m/>
    <m/>
    <n v="115566"/>
    <n v="245141"/>
  </r>
  <r>
    <x v="11"/>
    <x v="0"/>
    <s v="Trident Technical College "/>
    <m/>
    <n v="218894"/>
    <x v="6"/>
    <n v="13328039"/>
    <n v="13922375"/>
    <m/>
    <m/>
    <n v="10155622"/>
    <n v="10268017"/>
    <n v="59048016"/>
    <n v="5408367"/>
    <n v="64456383"/>
    <n v="59048016"/>
    <n v="5408367"/>
    <n v="64456383"/>
    <n v="82531677"/>
    <n v="83238408"/>
    <m/>
    <m/>
    <m/>
    <m/>
    <n v="0"/>
    <m/>
    <m/>
    <n v="0"/>
    <m/>
    <m/>
    <m/>
    <m/>
    <m/>
    <m/>
    <n v="82531677"/>
    <n v="83238408"/>
  </r>
  <r>
    <x v="11"/>
    <x v="8"/>
    <s v="Special Line items for education operations"/>
    <m/>
    <n v="218894"/>
    <x v="6"/>
    <m/>
    <m/>
    <m/>
    <m/>
    <m/>
    <m/>
    <m/>
    <m/>
    <n v="0"/>
    <m/>
    <m/>
    <n v="0"/>
    <n v="0"/>
    <n v="0"/>
    <m/>
    <m/>
    <m/>
    <m/>
    <n v="0"/>
    <m/>
    <m/>
    <n v="0"/>
    <m/>
    <m/>
    <m/>
    <m/>
    <m/>
    <m/>
    <n v="0"/>
    <n v="0"/>
  </r>
  <r>
    <x v="11"/>
    <x v="8"/>
    <s v="Academic Endowment"/>
    <m/>
    <n v="218894"/>
    <x v="6"/>
    <m/>
    <m/>
    <m/>
    <n v="559"/>
    <m/>
    <m/>
    <m/>
    <m/>
    <n v="0"/>
    <m/>
    <m/>
    <n v="0"/>
    <n v="0"/>
    <n v="559"/>
    <m/>
    <m/>
    <m/>
    <m/>
    <n v="0"/>
    <m/>
    <m/>
    <n v="0"/>
    <m/>
    <m/>
    <m/>
    <m/>
    <m/>
    <m/>
    <n v="0"/>
    <n v="559"/>
  </r>
  <r>
    <x v="11"/>
    <x v="8"/>
    <s v="Deferred Maintenance"/>
    <m/>
    <n v="218894"/>
    <x v="6"/>
    <m/>
    <m/>
    <m/>
    <n v="636739"/>
    <m/>
    <m/>
    <m/>
    <m/>
    <n v="0"/>
    <m/>
    <m/>
    <n v="0"/>
    <n v="0"/>
    <n v="636739"/>
    <m/>
    <m/>
    <m/>
    <m/>
    <n v="0"/>
    <m/>
    <m/>
    <n v="0"/>
    <m/>
    <m/>
    <m/>
    <m/>
    <m/>
    <m/>
    <n v="0"/>
    <n v="636739"/>
  </r>
  <r>
    <x v="11"/>
    <x v="8"/>
    <s v="Capital Reserve and Surplus 90.20"/>
    <m/>
    <n v="218894"/>
    <x v="6"/>
    <m/>
    <m/>
    <m/>
    <n v="500000"/>
    <m/>
    <m/>
    <m/>
    <m/>
    <n v="0"/>
    <m/>
    <m/>
    <n v="0"/>
    <n v="0"/>
    <n v="500000"/>
    <m/>
    <m/>
    <m/>
    <m/>
    <n v="0"/>
    <m/>
    <m/>
    <n v="0"/>
    <m/>
    <m/>
    <m/>
    <m/>
    <m/>
    <m/>
    <n v="0"/>
    <n v="500000"/>
  </r>
  <r>
    <x v="11"/>
    <x v="8"/>
    <s v="Culinary Arts"/>
    <m/>
    <n v="218894"/>
    <x v="6"/>
    <m/>
    <m/>
    <n v="468522"/>
    <n v="468522"/>
    <m/>
    <m/>
    <m/>
    <m/>
    <n v="0"/>
    <m/>
    <m/>
    <n v="0"/>
    <n v="468522"/>
    <n v="468522"/>
    <m/>
    <m/>
    <m/>
    <m/>
    <n v="0"/>
    <m/>
    <m/>
    <n v="0"/>
    <m/>
    <m/>
    <m/>
    <m/>
    <m/>
    <m/>
    <n v="468522"/>
    <n v="468522"/>
  </r>
  <r>
    <x v="11"/>
    <x v="8"/>
    <s v="Pathways to Prosperity"/>
    <m/>
    <n v="218894"/>
    <x v="6"/>
    <m/>
    <m/>
    <n v="37784"/>
    <n v="37784"/>
    <m/>
    <m/>
    <m/>
    <m/>
    <n v="0"/>
    <m/>
    <m/>
    <n v="0"/>
    <n v="37784"/>
    <n v="37784"/>
    <m/>
    <m/>
    <m/>
    <m/>
    <n v="0"/>
    <m/>
    <m/>
    <n v="0"/>
    <m/>
    <m/>
    <m/>
    <m/>
    <m/>
    <m/>
    <n v="37784"/>
    <n v="37784"/>
  </r>
  <r>
    <x v="11"/>
    <x v="8"/>
    <s v="Lottery Technology (NR)"/>
    <m/>
    <n v="218894"/>
    <x v="6"/>
    <m/>
    <m/>
    <n v="246007"/>
    <n v="520536"/>
    <m/>
    <m/>
    <m/>
    <m/>
    <n v="0"/>
    <m/>
    <m/>
    <n v="0"/>
    <n v="246007"/>
    <n v="520536"/>
    <m/>
    <m/>
    <m/>
    <m/>
    <n v="0"/>
    <m/>
    <m/>
    <n v="0"/>
    <m/>
    <m/>
    <m/>
    <m/>
    <m/>
    <m/>
    <n v="246007"/>
    <n v="520536"/>
  </r>
  <r>
    <x v="11"/>
    <x v="0"/>
    <s v="Aiken Technical College "/>
    <m/>
    <n v="217615"/>
    <x v="7"/>
    <n v="3488819"/>
    <n v="3632599"/>
    <m/>
    <m/>
    <n v="1720000"/>
    <n v="1878420"/>
    <n v="11311858"/>
    <n v="574124"/>
    <n v="11885982"/>
    <n v="11311858"/>
    <n v="574124"/>
    <n v="11885982"/>
    <n v="16520677"/>
    <n v="16822877"/>
    <m/>
    <m/>
    <m/>
    <m/>
    <n v="0"/>
    <m/>
    <m/>
    <n v="0"/>
    <m/>
    <m/>
    <m/>
    <m/>
    <m/>
    <m/>
    <n v="16520677"/>
    <n v="16822877"/>
  </r>
  <r>
    <x v="11"/>
    <x v="8"/>
    <s v="Special Line items for education operations"/>
    <m/>
    <n v="217615"/>
    <x v="7"/>
    <m/>
    <m/>
    <m/>
    <m/>
    <m/>
    <m/>
    <m/>
    <m/>
    <n v="0"/>
    <m/>
    <m/>
    <n v="0"/>
    <n v="0"/>
    <n v="0"/>
    <m/>
    <m/>
    <m/>
    <m/>
    <n v="0"/>
    <m/>
    <m/>
    <n v="0"/>
    <m/>
    <m/>
    <m/>
    <m/>
    <m/>
    <m/>
    <n v="0"/>
    <n v="0"/>
  </r>
  <r>
    <x v="11"/>
    <x v="8"/>
    <s v="Academic Endowment"/>
    <m/>
    <n v="217615"/>
    <x v="7"/>
    <m/>
    <m/>
    <m/>
    <n v="748"/>
    <m/>
    <m/>
    <m/>
    <m/>
    <n v="0"/>
    <m/>
    <m/>
    <n v="0"/>
    <n v="0"/>
    <n v="748"/>
    <m/>
    <m/>
    <m/>
    <m/>
    <n v="0"/>
    <m/>
    <m/>
    <n v="0"/>
    <m/>
    <m/>
    <m/>
    <m/>
    <m/>
    <m/>
    <n v="0"/>
    <n v="748"/>
  </r>
  <r>
    <x v="11"/>
    <x v="8"/>
    <s v="Deferred Maintenance"/>
    <m/>
    <n v="217615"/>
    <x v="7"/>
    <m/>
    <m/>
    <m/>
    <n v="201943"/>
    <m/>
    <m/>
    <m/>
    <m/>
    <n v="0"/>
    <m/>
    <m/>
    <n v="0"/>
    <n v="0"/>
    <n v="201943"/>
    <m/>
    <m/>
    <m/>
    <m/>
    <n v="0"/>
    <m/>
    <m/>
    <n v="0"/>
    <m/>
    <m/>
    <m/>
    <m/>
    <m/>
    <m/>
    <n v="0"/>
    <n v="201943"/>
  </r>
  <r>
    <x v="11"/>
    <x v="8"/>
    <s v="Capital Reserve and Surplus 90.20"/>
    <m/>
    <n v="217615"/>
    <x v="7"/>
    <m/>
    <m/>
    <m/>
    <n v="2445000"/>
    <m/>
    <m/>
    <m/>
    <m/>
    <n v="0"/>
    <m/>
    <m/>
    <n v="0"/>
    <n v="0"/>
    <n v="2445000"/>
    <m/>
    <m/>
    <m/>
    <m/>
    <n v="0"/>
    <m/>
    <m/>
    <n v="0"/>
    <m/>
    <m/>
    <m/>
    <m/>
    <m/>
    <m/>
    <n v="0"/>
    <n v="2445000"/>
  </r>
  <r>
    <x v="11"/>
    <x v="8"/>
    <s v="Pathways to Prosperity"/>
    <m/>
    <n v="217615"/>
    <x v="7"/>
    <m/>
    <m/>
    <n v="37784"/>
    <n v="37784"/>
    <m/>
    <m/>
    <m/>
    <m/>
    <n v="0"/>
    <m/>
    <m/>
    <n v="0"/>
    <n v="37784"/>
    <n v="37784"/>
    <m/>
    <m/>
    <m/>
    <m/>
    <n v="0"/>
    <m/>
    <m/>
    <n v="0"/>
    <m/>
    <m/>
    <m/>
    <m/>
    <m/>
    <m/>
    <n v="37784"/>
    <n v="37784"/>
  </r>
  <r>
    <x v="11"/>
    <x v="8"/>
    <s v="Lottery Technology (NR)"/>
    <m/>
    <n v="217615"/>
    <x v="7"/>
    <m/>
    <m/>
    <n v="64030"/>
    <n v="135825"/>
    <m/>
    <m/>
    <m/>
    <m/>
    <n v="0"/>
    <m/>
    <m/>
    <n v="0"/>
    <n v="64030"/>
    <n v="135825"/>
    <m/>
    <m/>
    <m/>
    <m/>
    <n v="0"/>
    <m/>
    <m/>
    <n v="0"/>
    <m/>
    <m/>
    <m/>
    <m/>
    <m/>
    <m/>
    <n v="64030"/>
    <n v="135825"/>
  </r>
  <r>
    <x v="11"/>
    <x v="0"/>
    <s v="Central Carolina Technical College "/>
    <m/>
    <n v="218858"/>
    <x v="7"/>
    <n v="3710572"/>
    <n v="3863388"/>
    <m/>
    <m/>
    <n v="1922441"/>
    <n v="2218907"/>
    <n v="13723143"/>
    <n v="238162"/>
    <n v="13961305"/>
    <n v="13723143"/>
    <n v="238162"/>
    <n v="13961305"/>
    <n v="19356156"/>
    <n v="19805438"/>
    <m/>
    <m/>
    <m/>
    <m/>
    <n v="0"/>
    <m/>
    <m/>
    <n v="0"/>
    <m/>
    <m/>
    <m/>
    <m/>
    <m/>
    <m/>
    <n v="19356156"/>
    <n v="19805438"/>
  </r>
  <r>
    <x v="11"/>
    <x v="8"/>
    <s v="Special Line items for education operations"/>
    <m/>
    <n v="218858"/>
    <x v="7"/>
    <m/>
    <m/>
    <m/>
    <m/>
    <m/>
    <m/>
    <m/>
    <m/>
    <n v="0"/>
    <m/>
    <m/>
    <n v="0"/>
    <n v="0"/>
    <n v="0"/>
    <m/>
    <m/>
    <m/>
    <m/>
    <n v="0"/>
    <m/>
    <m/>
    <n v="0"/>
    <m/>
    <m/>
    <m/>
    <m/>
    <m/>
    <m/>
    <n v="0"/>
    <n v="0"/>
  </r>
  <r>
    <x v="11"/>
    <x v="8"/>
    <s v="Academic Endowment"/>
    <m/>
    <n v="218858"/>
    <x v="7"/>
    <m/>
    <m/>
    <m/>
    <n v="52"/>
    <m/>
    <m/>
    <m/>
    <m/>
    <n v="0"/>
    <m/>
    <m/>
    <n v="0"/>
    <n v="0"/>
    <n v="52"/>
    <m/>
    <m/>
    <m/>
    <m/>
    <n v="0"/>
    <m/>
    <m/>
    <n v="0"/>
    <m/>
    <m/>
    <m/>
    <m/>
    <m/>
    <m/>
    <n v="0"/>
    <n v="52"/>
  </r>
  <r>
    <x v="11"/>
    <x v="8"/>
    <s v="Deferred Maintenance"/>
    <m/>
    <n v="218858"/>
    <x v="7"/>
    <m/>
    <m/>
    <m/>
    <n v="241455"/>
    <m/>
    <m/>
    <m/>
    <m/>
    <n v="0"/>
    <m/>
    <m/>
    <n v="0"/>
    <n v="0"/>
    <n v="241455"/>
    <m/>
    <m/>
    <m/>
    <m/>
    <n v="0"/>
    <m/>
    <m/>
    <n v="0"/>
    <m/>
    <m/>
    <m/>
    <m/>
    <m/>
    <m/>
    <n v="0"/>
    <n v="241455"/>
  </r>
  <r>
    <x v="11"/>
    <x v="8"/>
    <s v="Capital Reserve and Surplus 90.20"/>
    <m/>
    <n v="218858"/>
    <x v="7"/>
    <m/>
    <m/>
    <m/>
    <n v="3900000"/>
    <m/>
    <m/>
    <m/>
    <m/>
    <n v="0"/>
    <m/>
    <m/>
    <n v="0"/>
    <n v="0"/>
    <n v="3900000"/>
    <m/>
    <m/>
    <m/>
    <m/>
    <n v="0"/>
    <m/>
    <m/>
    <n v="0"/>
    <m/>
    <m/>
    <m/>
    <m/>
    <m/>
    <m/>
    <n v="0"/>
    <n v="3900000"/>
  </r>
  <r>
    <x v="11"/>
    <x v="8"/>
    <s v="Pathways to Prosperity"/>
    <m/>
    <n v="218858"/>
    <x v="7"/>
    <m/>
    <m/>
    <n v="37784"/>
    <n v="37784"/>
    <m/>
    <m/>
    <m/>
    <m/>
    <n v="0"/>
    <m/>
    <m/>
    <n v="0"/>
    <n v="37784"/>
    <n v="37784"/>
    <m/>
    <m/>
    <m/>
    <m/>
    <n v="0"/>
    <m/>
    <m/>
    <n v="0"/>
    <m/>
    <m/>
    <m/>
    <m/>
    <m/>
    <m/>
    <n v="37784"/>
    <n v="37784"/>
  </r>
  <r>
    <x v="11"/>
    <x v="8"/>
    <s v="Lottery Technology (NR)"/>
    <m/>
    <n v="218858"/>
    <x v="7"/>
    <m/>
    <m/>
    <n v="67957"/>
    <n v="144133"/>
    <m/>
    <m/>
    <m/>
    <m/>
    <n v="0"/>
    <m/>
    <m/>
    <n v="0"/>
    <n v="67957"/>
    <n v="144133"/>
    <m/>
    <m/>
    <m/>
    <m/>
    <n v="0"/>
    <m/>
    <m/>
    <n v="0"/>
    <m/>
    <m/>
    <m/>
    <m/>
    <m/>
    <m/>
    <n v="67957"/>
    <n v="144133"/>
  </r>
  <r>
    <x v="11"/>
    <x v="0"/>
    <s v="Florence-Darlington Technical College "/>
    <s v="Reclassified: met the criteria for Two-Year 1 in 2010-11, 2011-12, and 2012-13."/>
    <n v="218025"/>
    <x v="6"/>
    <n v="5604388"/>
    <n v="5840329"/>
    <m/>
    <m/>
    <n v="4989787"/>
    <n v="4885289"/>
    <n v="18793319"/>
    <n v="2926067"/>
    <n v="21719386"/>
    <n v="18793319"/>
    <n v="2926067"/>
    <n v="21719386"/>
    <n v="29387494"/>
    <n v="29518937"/>
    <m/>
    <m/>
    <m/>
    <m/>
    <n v="0"/>
    <m/>
    <m/>
    <n v="0"/>
    <m/>
    <m/>
    <m/>
    <m/>
    <m/>
    <m/>
    <n v="29387494"/>
    <n v="29518937"/>
  </r>
  <r>
    <x v="11"/>
    <x v="8"/>
    <s v="Special Line items for education operations"/>
    <m/>
    <n v="218025"/>
    <x v="6"/>
    <m/>
    <m/>
    <m/>
    <m/>
    <m/>
    <m/>
    <m/>
    <m/>
    <n v="0"/>
    <m/>
    <m/>
    <n v="0"/>
    <n v="0"/>
    <n v="0"/>
    <m/>
    <m/>
    <m/>
    <m/>
    <n v="0"/>
    <m/>
    <m/>
    <n v="0"/>
    <m/>
    <m/>
    <m/>
    <m/>
    <m/>
    <m/>
    <n v="0"/>
    <n v="0"/>
  </r>
  <r>
    <x v="11"/>
    <x v="8"/>
    <s v="Academic Endowment"/>
    <m/>
    <n v="218025"/>
    <x v="6"/>
    <m/>
    <m/>
    <m/>
    <n v="203"/>
    <m/>
    <m/>
    <m/>
    <m/>
    <n v="0"/>
    <m/>
    <m/>
    <n v="0"/>
    <n v="0"/>
    <n v="203"/>
    <m/>
    <m/>
    <m/>
    <m/>
    <n v="0"/>
    <m/>
    <m/>
    <n v="0"/>
    <m/>
    <m/>
    <m/>
    <m/>
    <m/>
    <m/>
    <n v="0"/>
    <n v="203"/>
  </r>
  <r>
    <x v="11"/>
    <x v="8"/>
    <s v="Deferred Maintenance"/>
    <m/>
    <n v="218025"/>
    <x v="6"/>
    <m/>
    <m/>
    <m/>
    <n v="410847"/>
    <m/>
    <m/>
    <m/>
    <m/>
    <n v="0"/>
    <m/>
    <m/>
    <n v="0"/>
    <n v="0"/>
    <n v="410847"/>
    <m/>
    <m/>
    <m/>
    <m/>
    <n v="0"/>
    <m/>
    <m/>
    <n v="0"/>
    <m/>
    <m/>
    <m/>
    <m/>
    <m/>
    <m/>
    <n v="0"/>
    <n v="410847"/>
  </r>
  <r>
    <x v="11"/>
    <x v="8"/>
    <s v="SIMT"/>
    <m/>
    <n v="218025"/>
    <x v="6"/>
    <m/>
    <m/>
    <n v="1209088"/>
    <n v="1209088"/>
    <m/>
    <m/>
    <m/>
    <m/>
    <n v="0"/>
    <m/>
    <m/>
    <n v="0"/>
    <n v="1209088"/>
    <n v="1209088"/>
    <m/>
    <m/>
    <m/>
    <m/>
    <n v="0"/>
    <m/>
    <m/>
    <n v="0"/>
    <m/>
    <m/>
    <m/>
    <m/>
    <m/>
    <m/>
    <n v="1209088"/>
    <n v="1209088"/>
  </r>
  <r>
    <x v="11"/>
    <x v="8"/>
    <s v="Pathways to Prosperity"/>
    <m/>
    <n v="218025"/>
    <x v="6"/>
    <m/>
    <m/>
    <n v="37784"/>
    <n v="37784"/>
    <m/>
    <m/>
    <m/>
    <m/>
    <n v="0"/>
    <m/>
    <m/>
    <n v="0"/>
    <n v="37784"/>
    <n v="37784"/>
    <m/>
    <m/>
    <m/>
    <m/>
    <n v="0"/>
    <m/>
    <m/>
    <n v="0"/>
    <m/>
    <m/>
    <m/>
    <m/>
    <m/>
    <m/>
    <n v="37784"/>
    <n v="37784"/>
  </r>
  <r>
    <x v="11"/>
    <x v="8"/>
    <s v="Lottery Technology (NR)"/>
    <m/>
    <n v="218025"/>
    <x v="6"/>
    <m/>
    <m/>
    <n v="103052"/>
    <n v="218489"/>
    <m/>
    <m/>
    <m/>
    <m/>
    <n v="0"/>
    <m/>
    <m/>
    <n v="0"/>
    <n v="103052"/>
    <n v="218489"/>
    <m/>
    <m/>
    <m/>
    <m/>
    <n v="0"/>
    <m/>
    <m/>
    <n v="0"/>
    <m/>
    <m/>
    <m/>
    <m/>
    <m/>
    <m/>
    <n v="103052"/>
    <n v="218489"/>
  </r>
  <r>
    <x v="11"/>
    <x v="0"/>
    <s v="Orangeburg-Calhoun Technical College "/>
    <m/>
    <n v="218487"/>
    <x v="7"/>
    <n v="3644499"/>
    <n v="3807018"/>
    <m/>
    <m/>
    <n v="1613231"/>
    <n v="1374948"/>
    <n v="10537141"/>
    <n v="0"/>
    <n v="10537141"/>
    <n v="10537141"/>
    <n v="0"/>
    <n v="10537141"/>
    <n v="15794871"/>
    <n v="15719107"/>
    <m/>
    <m/>
    <m/>
    <m/>
    <n v="0"/>
    <m/>
    <m/>
    <n v="0"/>
    <m/>
    <m/>
    <m/>
    <m/>
    <m/>
    <m/>
    <n v="15794871"/>
    <n v="15719107"/>
  </r>
  <r>
    <x v="11"/>
    <x v="8"/>
    <s v="Special Line items for education operations"/>
    <m/>
    <n v="218487"/>
    <x v="7"/>
    <m/>
    <m/>
    <m/>
    <m/>
    <m/>
    <m/>
    <m/>
    <m/>
    <n v="0"/>
    <m/>
    <m/>
    <n v="0"/>
    <n v="0"/>
    <n v="0"/>
    <m/>
    <m/>
    <m/>
    <m/>
    <n v="0"/>
    <m/>
    <m/>
    <n v="0"/>
    <m/>
    <m/>
    <m/>
    <m/>
    <m/>
    <m/>
    <n v="0"/>
    <n v="0"/>
  </r>
  <r>
    <x v="11"/>
    <x v="8"/>
    <s v="Academic Endowment"/>
    <m/>
    <n v="218487"/>
    <x v="7"/>
    <m/>
    <m/>
    <m/>
    <n v="67"/>
    <m/>
    <m/>
    <m/>
    <m/>
    <n v="0"/>
    <m/>
    <m/>
    <n v="0"/>
    <n v="0"/>
    <n v="67"/>
    <m/>
    <m/>
    <m/>
    <m/>
    <n v="0"/>
    <m/>
    <m/>
    <n v="0"/>
    <m/>
    <m/>
    <m/>
    <m/>
    <m/>
    <m/>
    <n v="0"/>
    <n v="67"/>
  </r>
  <r>
    <x v="11"/>
    <x v="8"/>
    <s v="Deferred Maintenance"/>
    <m/>
    <n v="218487"/>
    <x v="7"/>
    <m/>
    <m/>
    <m/>
    <n v="164322"/>
    <m/>
    <m/>
    <m/>
    <m/>
    <n v="0"/>
    <m/>
    <m/>
    <n v="0"/>
    <n v="0"/>
    <n v="164322"/>
    <m/>
    <m/>
    <m/>
    <m/>
    <n v="0"/>
    <m/>
    <m/>
    <n v="0"/>
    <m/>
    <m/>
    <m/>
    <m/>
    <m/>
    <m/>
    <n v="0"/>
    <n v="164322"/>
  </r>
  <r>
    <x v="11"/>
    <x v="8"/>
    <s v="Capital Reserve and Surplus 90.20"/>
    <m/>
    <n v="218487"/>
    <x v="7"/>
    <m/>
    <m/>
    <m/>
    <n v="500000"/>
    <m/>
    <m/>
    <m/>
    <m/>
    <n v="0"/>
    <m/>
    <m/>
    <n v="0"/>
    <n v="0"/>
    <n v="500000"/>
    <m/>
    <m/>
    <m/>
    <m/>
    <n v="0"/>
    <m/>
    <m/>
    <n v="0"/>
    <m/>
    <m/>
    <m/>
    <m/>
    <m/>
    <m/>
    <n v="0"/>
    <n v="500000"/>
  </r>
  <r>
    <x v="11"/>
    <x v="8"/>
    <s v="Pathways to Prosperity"/>
    <m/>
    <n v="218487"/>
    <x v="7"/>
    <m/>
    <m/>
    <n v="37784"/>
    <n v="37784"/>
    <m/>
    <m/>
    <m/>
    <m/>
    <n v="0"/>
    <m/>
    <m/>
    <n v="0"/>
    <n v="37784"/>
    <n v="37784"/>
    <m/>
    <m/>
    <m/>
    <m/>
    <n v="0"/>
    <m/>
    <m/>
    <n v="0"/>
    <m/>
    <m/>
    <m/>
    <m/>
    <m/>
    <m/>
    <n v="37784"/>
    <n v="37784"/>
  </r>
  <r>
    <x v="11"/>
    <x v="8"/>
    <s v="Lottery Technology (NR)"/>
    <m/>
    <n v="218487"/>
    <x v="7"/>
    <m/>
    <m/>
    <n v="67157"/>
    <n v="142062"/>
    <m/>
    <m/>
    <m/>
    <m/>
    <n v="0"/>
    <m/>
    <m/>
    <n v="0"/>
    <n v="67157"/>
    <n v="142062"/>
    <m/>
    <m/>
    <m/>
    <m/>
    <n v="0"/>
    <m/>
    <m/>
    <n v="0"/>
    <m/>
    <m/>
    <m/>
    <m/>
    <m/>
    <m/>
    <n v="67157"/>
    <n v="142062"/>
  </r>
  <r>
    <x v="11"/>
    <x v="0"/>
    <s v="Piedmont Technical College "/>
    <s v="Reclassified: met the criteria for Two-Year 1 in 2010-11, 2011-12, and 2012-13."/>
    <n v="218520"/>
    <x v="6"/>
    <n v="6118677"/>
    <n v="6370397"/>
    <m/>
    <m/>
    <n v="2497957"/>
    <n v="1968467"/>
    <n v="21409447"/>
    <n v="0"/>
    <n v="21409447"/>
    <n v="21409447"/>
    <n v="0"/>
    <n v="21409447"/>
    <n v="30026081"/>
    <n v="29748311"/>
    <m/>
    <m/>
    <m/>
    <m/>
    <n v="0"/>
    <m/>
    <m/>
    <n v="0"/>
    <m/>
    <m/>
    <m/>
    <m/>
    <m/>
    <m/>
    <n v="30026081"/>
    <n v="29748311"/>
  </r>
  <r>
    <x v="11"/>
    <x v="8"/>
    <s v="Special Line items for education operations"/>
    <m/>
    <n v="218520"/>
    <x v="6"/>
    <m/>
    <m/>
    <m/>
    <m/>
    <m/>
    <m/>
    <m/>
    <m/>
    <n v="0"/>
    <m/>
    <m/>
    <n v="0"/>
    <n v="0"/>
    <n v="0"/>
    <m/>
    <m/>
    <m/>
    <m/>
    <n v="0"/>
    <m/>
    <m/>
    <n v="0"/>
    <m/>
    <m/>
    <m/>
    <m/>
    <m/>
    <m/>
    <n v="0"/>
    <n v="0"/>
  </r>
  <r>
    <x v="11"/>
    <x v="8"/>
    <s v="Academic Endowment"/>
    <m/>
    <n v="218520"/>
    <x v="6"/>
    <m/>
    <m/>
    <m/>
    <n v="159"/>
    <m/>
    <m/>
    <m/>
    <m/>
    <n v="0"/>
    <m/>
    <m/>
    <n v="0"/>
    <n v="0"/>
    <n v="159"/>
    <m/>
    <m/>
    <m/>
    <m/>
    <n v="0"/>
    <m/>
    <m/>
    <n v="0"/>
    <m/>
    <m/>
    <m/>
    <m/>
    <m/>
    <m/>
    <n v="0"/>
    <n v="159"/>
  </r>
  <r>
    <x v="11"/>
    <x v="8"/>
    <s v="Deferred Maintenance"/>
    <m/>
    <n v="218520"/>
    <x v="6"/>
    <m/>
    <m/>
    <m/>
    <n v="325835"/>
    <m/>
    <m/>
    <m/>
    <m/>
    <n v="0"/>
    <m/>
    <m/>
    <n v="0"/>
    <n v="0"/>
    <n v="325835"/>
    <m/>
    <m/>
    <m/>
    <m/>
    <n v="0"/>
    <m/>
    <m/>
    <n v="0"/>
    <m/>
    <m/>
    <m/>
    <m/>
    <m/>
    <m/>
    <n v="0"/>
    <n v="325835"/>
  </r>
  <r>
    <x v="11"/>
    <x v="8"/>
    <s v="Pathways to Prosperity"/>
    <m/>
    <n v="218520"/>
    <x v="6"/>
    <m/>
    <m/>
    <n v="37784"/>
    <n v="37784"/>
    <m/>
    <m/>
    <m/>
    <m/>
    <n v="0"/>
    <m/>
    <m/>
    <n v="0"/>
    <n v="37784"/>
    <n v="37784"/>
    <m/>
    <m/>
    <m/>
    <m/>
    <n v="0"/>
    <m/>
    <m/>
    <n v="0"/>
    <m/>
    <m/>
    <m/>
    <m/>
    <m/>
    <m/>
    <n v="37784"/>
    <n v="37784"/>
  </r>
  <r>
    <x v="11"/>
    <x v="8"/>
    <s v="Lottery Technology (NR)"/>
    <m/>
    <n v="218520"/>
    <x v="6"/>
    <m/>
    <m/>
    <n v="111900"/>
    <n v="237342"/>
    <m/>
    <m/>
    <m/>
    <m/>
    <n v="0"/>
    <m/>
    <m/>
    <n v="0"/>
    <n v="111900"/>
    <n v="237342"/>
    <m/>
    <m/>
    <m/>
    <m/>
    <n v="0"/>
    <m/>
    <m/>
    <n v="0"/>
    <m/>
    <m/>
    <m/>
    <m/>
    <m/>
    <m/>
    <n v="111900"/>
    <n v="237342"/>
  </r>
  <r>
    <x v="11"/>
    <x v="0"/>
    <s v="Spartanburg Community College "/>
    <m/>
    <n v="218830"/>
    <x v="7"/>
    <n v="5737439"/>
    <n v="5974976"/>
    <m/>
    <m/>
    <n v="4872508"/>
    <n v="5182712"/>
    <n v="22372014"/>
    <n v="1919838"/>
    <n v="24291852"/>
    <n v="22372014"/>
    <n v="1919838"/>
    <n v="24291852"/>
    <n v="32981961"/>
    <n v="33529702"/>
    <m/>
    <m/>
    <m/>
    <m/>
    <n v="0"/>
    <m/>
    <m/>
    <n v="0"/>
    <m/>
    <m/>
    <m/>
    <m/>
    <m/>
    <m/>
    <n v="32981961"/>
    <n v="33529702"/>
  </r>
  <r>
    <x v="11"/>
    <x v="8"/>
    <s v="Special Line items for education operations"/>
    <m/>
    <n v="218830"/>
    <x v="7"/>
    <m/>
    <m/>
    <m/>
    <m/>
    <m/>
    <m/>
    <m/>
    <m/>
    <n v="0"/>
    <m/>
    <m/>
    <n v="0"/>
    <n v="0"/>
    <n v="0"/>
    <m/>
    <m/>
    <m/>
    <m/>
    <n v="0"/>
    <m/>
    <m/>
    <n v="0"/>
    <m/>
    <m/>
    <m/>
    <m/>
    <m/>
    <m/>
    <n v="0"/>
    <n v="0"/>
  </r>
  <r>
    <x v="11"/>
    <x v="8"/>
    <s v="Academic Endowment"/>
    <m/>
    <n v="218830"/>
    <x v="7"/>
    <m/>
    <m/>
    <m/>
    <n v="281"/>
    <m/>
    <m/>
    <m/>
    <m/>
    <n v="0"/>
    <m/>
    <m/>
    <n v="0"/>
    <n v="0"/>
    <n v="281"/>
    <m/>
    <m/>
    <m/>
    <m/>
    <n v="0"/>
    <m/>
    <m/>
    <n v="0"/>
    <m/>
    <m/>
    <m/>
    <m/>
    <m/>
    <m/>
    <n v="0"/>
    <n v="281"/>
  </r>
  <r>
    <x v="11"/>
    <x v="8"/>
    <s v="Deferred Maintenance"/>
    <m/>
    <n v="218830"/>
    <x v="7"/>
    <m/>
    <m/>
    <m/>
    <n v="416957"/>
    <m/>
    <m/>
    <m/>
    <m/>
    <n v="0"/>
    <m/>
    <m/>
    <n v="0"/>
    <n v="0"/>
    <n v="416957"/>
    <m/>
    <m/>
    <m/>
    <m/>
    <n v="0"/>
    <m/>
    <m/>
    <n v="0"/>
    <m/>
    <m/>
    <m/>
    <m/>
    <m/>
    <m/>
    <n v="0"/>
    <n v="416957"/>
  </r>
  <r>
    <x v="11"/>
    <x v="8"/>
    <s v="Capital Reserve and Surplus 90.20"/>
    <m/>
    <n v="218830"/>
    <x v="7"/>
    <m/>
    <m/>
    <m/>
    <n v="3500000"/>
    <m/>
    <m/>
    <m/>
    <m/>
    <n v="0"/>
    <m/>
    <m/>
    <n v="0"/>
    <n v="0"/>
    <n v="3500000"/>
    <m/>
    <m/>
    <m/>
    <m/>
    <n v="0"/>
    <m/>
    <m/>
    <n v="0"/>
    <m/>
    <m/>
    <m/>
    <m/>
    <m/>
    <m/>
    <n v="0"/>
    <n v="3500000"/>
  </r>
  <r>
    <x v="11"/>
    <x v="8"/>
    <s v="Spartanburg-Cherokee Expansion"/>
    <m/>
    <n v="218830"/>
    <x v="7"/>
    <m/>
    <m/>
    <n v="906816"/>
    <n v="906816"/>
    <m/>
    <m/>
    <m/>
    <m/>
    <n v="0"/>
    <m/>
    <m/>
    <n v="0"/>
    <n v="906816"/>
    <n v="906816"/>
    <m/>
    <m/>
    <m/>
    <m/>
    <n v="0"/>
    <m/>
    <m/>
    <n v="0"/>
    <m/>
    <m/>
    <m/>
    <m/>
    <m/>
    <m/>
    <n v="906816"/>
    <n v="906816"/>
  </r>
  <r>
    <x v="11"/>
    <x v="8"/>
    <s v="Pathways to Prosperity"/>
    <m/>
    <n v="218830"/>
    <x v="7"/>
    <m/>
    <m/>
    <n v="37784"/>
    <n v="37784"/>
    <m/>
    <m/>
    <m/>
    <m/>
    <n v="0"/>
    <m/>
    <m/>
    <n v="0"/>
    <n v="37784"/>
    <n v="37784"/>
    <m/>
    <m/>
    <m/>
    <m/>
    <n v="0"/>
    <m/>
    <m/>
    <n v="0"/>
    <m/>
    <m/>
    <m/>
    <m/>
    <m/>
    <m/>
    <n v="37784"/>
    <n v="37784"/>
  </r>
  <r>
    <x v="11"/>
    <x v="8"/>
    <s v="Lottery Technology (NR)"/>
    <m/>
    <n v="218830"/>
    <x v="7"/>
    <m/>
    <m/>
    <n v="105608"/>
    <n v="224001"/>
    <m/>
    <m/>
    <m/>
    <m/>
    <n v="0"/>
    <m/>
    <m/>
    <n v="0"/>
    <n v="105608"/>
    <n v="224001"/>
    <m/>
    <m/>
    <m/>
    <m/>
    <n v="0"/>
    <m/>
    <m/>
    <n v="0"/>
    <m/>
    <m/>
    <m/>
    <m/>
    <m/>
    <m/>
    <n v="105608"/>
    <n v="224001"/>
  </r>
  <r>
    <x v="11"/>
    <x v="0"/>
    <s v="York Technical College "/>
    <m/>
    <n v="218991"/>
    <x v="7"/>
    <n v="5386195"/>
    <n v="5608367"/>
    <m/>
    <m/>
    <n v="4235326"/>
    <n v="4357480"/>
    <n v="21710352"/>
    <n v="0"/>
    <n v="21710352"/>
    <n v="21710352"/>
    <n v="0"/>
    <n v="21710352"/>
    <n v="31331873"/>
    <n v="31676199"/>
    <m/>
    <m/>
    <m/>
    <m/>
    <n v="0"/>
    <m/>
    <m/>
    <n v="0"/>
    <m/>
    <m/>
    <m/>
    <m/>
    <m/>
    <m/>
    <n v="31331873"/>
    <n v="31676199"/>
  </r>
  <r>
    <x v="11"/>
    <x v="8"/>
    <s v="Special Line items for education operations"/>
    <m/>
    <n v="218991"/>
    <x v="7"/>
    <m/>
    <m/>
    <m/>
    <m/>
    <m/>
    <m/>
    <m/>
    <m/>
    <n v="0"/>
    <m/>
    <m/>
    <n v="0"/>
    <n v="0"/>
    <n v="0"/>
    <m/>
    <m/>
    <m/>
    <m/>
    <n v="0"/>
    <m/>
    <m/>
    <n v="0"/>
    <m/>
    <m/>
    <m/>
    <m/>
    <m/>
    <m/>
    <n v="0"/>
    <n v="0"/>
  </r>
  <r>
    <x v="11"/>
    <x v="8"/>
    <s v="Academic Endowment"/>
    <m/>
    <n v="218991"/>
    <x v="7"/>
    <m/>
    <m/>
    <m/>
    <n v="558"/>
    <m/>
    <m/>
    <m/>
    <m/>
    <n v="0"/>
    <m/>
    <m/>
    <n v="0"/>
    <n v="0"/>
    <n v="558"/>
    <m/>
    <m/>
    <m/>
    <m/>
    <n v="0"/>
    <m/>
    <m/>
    <n v="0"/>
    <m/>
    <m/>
    <m/>
    <m/>
    <m/>
    <m/>
    <n v="0"/>
    <n v="558"/>
  </r>
  <r>
    <x v="11"/>
    <x v="8"/>
    <s v="Deferred Maintenance"/>
    <m/>
    <n v="218991"/>
    <x v="7"/>
    <m/>
    <m/>
    <m/>
    <n v="288882"/>
    <m/>
    <m/>
    <m/>
    <m/>
    <n v="0"/>
    <m/>
    <m/>
    <n v="0"/>
    <n v="0"/>
    <n v="288882"/>
    <m/>
    <m/>
    <m/>
    <m/>
    <n v="0"/>
    <m/>
    <m/>
    <n v="0"/>
    <m/>
    <m/>
    <m/>
    <m/>
    <m/>
    <m/>
    <n v="0"/>
    <n v="288882"/>
  </r>
  <r>
    <x v="11"/>
    <x v="8"/>
    <s v="Pathways to Prosperity"/>
    <m/>
    <n v="218991"/>
    <x v="7"/>
    <m/>
    <m/>
    <n v="37784"/>
    <n v="37784"/>
    <m/>
    <m/>
    <m/>
    <m/>
    <n v="0"/>
    <m/>
    <m/>
    <n v="0"/>
    <n v="37784"/>
    <n v="37784"/>
    <m/>
    <m/>
    <m/>
    <m/>
    <n v="0"/>
    <m/>
    <m/>
    <n v="0"/>
    <m/>
    <m/>
    <m/>
    <m/>
    <m/>
    <m/>
    <n v="37784"/>
    <n v="37784"/>
  </r>
  <r>
    <x v="11"/>
    <x v="8"/>
    <s v="Lottery Technology (NR)"/>
    <m/>
    <n v="218991"/>
    <x v="7"/>
    <m/>
    <m/>
    <n v="99003"/>
    <n v="209974"/>
    <m/>
    <m/>
    <m/>
    <m/>
    <n v="0"/>
    <m/>
    <m/>
    <n v="0"/>
    <n v="99003"/>
    <n v="209974"/>
    <m/>
    <m/>
    <m/>
    <m/>
    <n v="0"/>
    <m/>
    <m/>
    <n v="0"/>
    <m/>
    <m/>
    <m/>
    <m/>
    <m/>
    <m/>
    <n v="99003"/>
    <n v="209974"/>
  </r>
  <r>
    <x v="11"/>
    <x v="0"/>
    <s v="Denmark Technical College "/>
    <s v="Met the criteria for Two-Year 2 in 2012-13."/>
    <n v="217989"/>
    <x v="8"/>
    <n v="2315598"/>
    <n v="2241916"/>
    <m/>
    <m/>
    <n v="3000"/>
    <n v="5500"/>
    <n v="2521606"/>
    <n v="0"/>
    <n v="2521606"/>
    <n v="2521606"/>
    <n v="0"/>
    <n v="2521606"/>
    <n v="4840204"/>
    <n v="4769022"/>
    <m/>
    <m/>
    <m/>
    <m/>
    <n v="0"/>
    <m/>
    <m/>
    <n v="0"/>
    <m/>
    <m/>
    <m/>
    <m/>
    <m/>
    <m/>
    <n v="4840204"/>
    <n v="4769022"/>
  </r>
  <r>
    <x v="11"/>
    <x v="8"/>
    <s v="Special Line items for education operations"/>
    <m/>
    <n v="217989"/>
    <x v="8"/>
    <m/>
    <m/>
    <m/>
    <m/>
    <m/>
    <m/>
    <m/>
    <m/>
    <n v="0"/>
    <m/>
    <m/>
    <n v="0"/>
    <n v="0"/>
    <n v="0"/>
    <m/>
    <m/>
    <m/>
    <m/>
    <n v="0"/>
    <m/>
    <m/>
    <n v="0"/>
    <m/>
    <m/>
    <m/>
    <m/>
    <m/>
    <m/>
    <n v="0"/>
    <n v="0"/>
  </r>
  <r>
    <x v="11"/>
    <x v="8"/>
    <s v="Deferred Maintenance"/>
    <m/>
    <n v="217989"/>
    <x v="8"/>
    <m/>
    <m/>
    <m/>
    <n v="154403"/>
    <m/>
    <m/>
    <m/>
    <m/>
    <n v="0"/>
    <m/>
    <m/>
    <n v="0"/>
    <n v="0"/>
    <n v="154403"/>
    <m/>
    <m/>
    <m/>
    <m/>
    <n v="0"/>
    <m/>
    <m/>
    <n v="0"/>
    <m/>
    <m/>
    <m/>
    <m/>
    <m/>
    <m/>
    <n v="0"/>
    <n v="154403"/>
  </r>
  <r>
    <x v="11"/>
    <x v="8"/>
    <s v="Capital Reserve and Surplus 90.20"/>
    <m/>
    <n v="217989"/>
    <x v="8"/>
    <m/>
    <m/>
    <m/>
    <n v="250000"/>
    <m/>
    <m/>
    <m/>
    <m/>
    <n v="0"/>
    <m/>
    <m/>
    <n v="0"/>
    <n v="0"/>
    <n v="250000"/>
    <m/>
    <m/>
    <m/>
    <m/>
    <n v="0"/>
    <m/>
    <m/>
    <n v="0"/>
    <m/>
    <m/>
    <m/>
    <m/>
    <m/>
    <m/>
    <n v="0"/>
    <n v="250000"/>
  </r>
  <r>
    <x v="11"/>
    <x v="8"/>
    <s v="Pathways to Prosperity"/>
    <m/>
    <n v="217989"/>
    <x v="8"/>
    <m/>
    <m/>
    <n v="37784"/>
    <n v="37784"/>
    <m/>
    <m/>
    <m/>
    <m/>
    <n v="0"/>
    <m/>
    <m/>
    <n v="0"/>
    <n v="37784"/>
    <n v="37784"/>
    <m/>
    <m/>
    <m/>
    <m/>
    <n v="0"/>
    <m/>
    <m/>
    <n v="0"/>
    <m/>
    <m/>
    <m/>
    <m/>
    <m/>
    <m/>
    <n v="37784"/>
    <n v="37784"/>
  </r>
  <r>
    <x v="11"/>
    <x v="8"/>
    <s v="Lottery Technology (NR)"/>
    <m/>
    <n v="217989"/>
    <x v="8"/>
    <m/>
    <m/>
    <n v="43278"/>
    <n v="95295"/>
    <m/>
    <m/>
    <m/>
    <m/>
    <n v="0"/>
    <m/>
    <m/>
    <n v="0"/>
    <n v="43278"/>
    <n v="95295"/>
    <m/>
    <m/>
    <m/>
    <m/>
    <n v="0"/>
    <m/>
    <m/>
    <n v="0"/>
    <m/>
    <m/>
    <m/>
    <m/>
    <m/>
    <m/>
    <n v="43278"/>
    <n v="95295"/>
  </r>
  <r>
    <x v="11"/>
    <x v="0"/>
    <s v="Northeastern Technical College"/>
    <m/>
    <n v="217837"/>
    <x v="8"/>
    <n v="1613520"/>
    <n v="1675221"/>
    <m/>
    <m/>
    <n v="703825"/>
    <n v="720680"/>
    <n v="3935478"/>
    <n v="0"/>
    <n v="3935478"/>
    <n v="3935478"/>
    <n v="0"/>
    <n v="3935478"/>
    <n v="6252823"/>
    <n v="6331379"/>
    <m/>
    <m/>
    <m/>
    <m/>
    <n v="0"/>
    <m/>
    <m/>
    <n v="0"/>
    <m/>
    <m/>
    <m/>
    <m/>
    <m/>
    <m/>
    <n v="6252823"/>
    <n v="6331379"/>
  </r>
  <r>
    <x v="11"/>
    <x v="8"/>
    <s v="Special Line items for education operations"/>
    <m/>
    <n v="217837"/>
    <x v="8"/>
    <m/>
    <m/>
    <m/>
    <m/>
    <m/>
    <m/>
    <m/>
    <m/>
    <n v="0"/>
    <m/>
    <m/>
    <n v="0"/>
    <n v="0"/>
    <n v="0"/>
    <m/>
    <m/>
    <m/>
    <m/>
    <n v="0"/>
    <m/>
    <m/>
    <n v="0"/>
    <m/>
    <m/>
    <m/>
    <m/>
    <m/>
    <m/>
    <n v="0"/>
    <n v="0"/>
  </r>
  <r>
    <x v="11"/>
    <x v="8"/>
    <s v="Academic Endowment"/>
    <m/>
    <n v="217837"/>
    <x v="8"/>
    <m/>
    <m/>
    <m/>
    <n v="13"/>
    <m/>
    <m/>
    <m/>
    <m/>
    <n v="0"/>
    <m/>
    <m/>
    <n v="0"/>
    <n v="0"/>
    <n v="13"/>
    <m/>
    <m/>
    <m/>
    <m/>
    <n v="0"/>
    <m/>
    <m/>
    <n v="0"/>
    <m/>
    <m/>
    <m/>
    <m/>
    <m/>
    <m/>
    <n v="0"/>
    <n v="13"/>
  </r>
  <r>
    <x v="11"/>
    <x v="8"/>
    <s v="Deferred Maintenance"/>
    <m/>
    <n v="217837"/>
    <x v="8"/>
    <m/>
    <m/>
    <m/>
    <n v="98699"/>
    <m/>
    <m/>
    <m/>
    <m/>
    <n v="0"/>
    <m/>
    <m/>
    <n v="0"/>
    <n v="0"/>
    <n v="98699"/>
    <m/>
    <m/>
    <m/>
    <m/>
    <n v="0"/>
    <m/>
    <m/>
    <n v="0"/>
    <m/>
    <m/>
    <m/>
    <m/>
    <m/>
    <m/>
    <n v="0"/>
    <n v="98699"/>
  </r>
  <r>
    <x v="11"/>
    <x v="8"/>
    <s v="Pathways to Prosperity"/>
    <m/>
    <n v="217837"/>
    <x v="8"/>
    <m/>
    <m/>
    <n v="37784"/>
    <n v="37784"/>
    <m/>
    <m/>
    <m/>
    <m/>
    <n v="0"/>
    <m/>
    <m/>
    <n v="0"/>
    <n v="37784"/>
    <n v="37784"/>
    <m/>
    <m/>
    <m/>
    <m/>
    <n v="0"/>
    <m/>
    <m/>
    <n v="0"/>
    <m/>
    <m/>
    <m/>
    <m/>
    <m/>
    <m/>
    <n v="37784"/>
    <n v="37784"/>
  </r>
  <r>
    <x v="11"/>
    <x v="8"/>
    <s v="Lottery Technology (NR)"/>
    <m/>
    <n v="217837"/>
    <x v="8"/>
    <m/>
    <m/>
    <n v="43278"/>
    <n v="95295"/>
    <m/>
    <m/>
    <m/>
    <m/>
    <n v="0"/>
    <m/>
    <m/>
    <n v="0"/>
    <n v="43278"/>
    <n v="95295"/>
    <m/>
    <m/>
    <m/>
    <m/>
    <n v="0"/>
    <m/>
    <m/>
    <n v="0"/>
    <m/>
    <m/>
    <m/>
    <m/>
    <m/>
    <m/>
    <n v="43278"/>
    <n v="95295"/>
  </r>
  <r>
    <x v="11"/>
    <x v="0"/>
    <s v="Technical College of the Lowcountry"/>
    <m/>
    <n v="217712"/>
    <x v="8"/>
    <n v="2809081"/>
    <n v="2769043"/>
    <m/>
    <m/>
    <n v="2490430"/>
    <n v="2069000"/>
    <n v="8561414"/>
    <n v="291665"/>
    <n v="8853079"/>
    <n v="8561414"/>
    <n v="291665"/>
    <n v="8853079"/>
    <n v="13860925"/>
    <n v="13399457"/>
    <m/>
    <m/>
    <m/>
    <m/>
    <n v="0"/>
    <m/>
    <m/>
    <n v="0"/>
    <m/>
    <m/>
    <m/>
    <m/>
    <m/>
    <m/>
    <n v="13860925"/>
    <n v="13399457"/>
  </r>
  <r>
    <x v="11"/>
    <x v="8"/>
    <s v="Special Line items for education operations"/>
    <m/>
    <n v="217712"/>
    <x v="8"/>
    <m/>
    <m/>
    <m/>
    <m/>
    <m/>
    <m/>
    <m/>
    <m/>
    <n v="0"/>
    <m/>
    <m/>
    <n v="0"/>
    <n v="0"/>
    <n v="0"/>
    <m/>
    <m/>
    <m/>
    <m/>
    <n v="0"/>
    <m/>
    <m/>
    <n v="0"/>
    <m/>
    <m/>
    <m/>
    <m/>
    <m/>
    <m/>
    <n v="0"/>
    <n v="0"/>
  </r>
  <r>
    <x v="11"/>
    <x v="8"/>
    <s v="Academic Endowment"/>
    <m/>
    <n v="217712"/>
    <x v="8"/>
    <m/>
    <m/>
    <m/>
    <n v="278"/>
    <m/>
    <m/>
    <m/>
    <m/>
    <n v="0"/>
    <m/>
    <m/>
    <n v="0"/>
    <n v="0"/>
    <n v="278"/>
    <m/>
    <m/>
    <m/>
    <m/>
    <n v="0"/>
    <m/>
    <m/>
    <n v="0"/>
    <m/>
    <m/>
    <m/>
    <m/>
    <m/>
    <m/>
    <n v="0"/>
    <n v="278"/>
  </r>
  <r>
    <x v="11"/>
    <x v="8"/>
    <s v="Deferred Maintenance"/>
    <m/>
    <n v="217712"/>
    <x v="8"/>
    <m/>
    <m/>
    <m/>
    <n v="156613"/>
    <m/>
    <m/>
    <m/>
    <m/>
    <n v="0"/>
    <m/>
    <m/>
    <n v="0"/>
    <n v="0"/>
    <n v="156613"/>
    <m/>
    <m/>
    <m/>
    <m/>
    <n v="0"/>
    <m/>
    <m/>
    <n v="0"/>
    <m/>
    <m/>
    <m/>
    <m/>
    <m/>
    <m/>
    <n v="0"/>
    <n v="156613"/>
  </r>
  <r>
    <x v="11"/>
    <x v="8"/>
    <s v="Capital Reserve and Surplus 90.20"/>
    <m/>
    <n v="217712"/>
    <x v="8"/>
    <m/>
    <m/>
    <m/>
    <n v="200000"/>
    <m/>
    <m/>
    <m/>
    <m/>
    <n v="0"/>
    <m/>
    <m/>
    <n v="0"/>
    <n v="0"/>
    <n v="200000"/>
    <m/>
    <m/>
    <m/>
    <m/>
    <n v="0"/>
    <m/>
    <m/>
    <n v="0"/>
    <m/>
    <m/>
    <m/>
    <m/>
    <m/>
    <m/>
    <n v="0"/>
    <n v="200000"/>
  </r>
  <r>
    <x v="11"/>
    <x v="8"/>
    <s v="Pathways to Prosperity"/>
    <m/>
    <n v="217712"/>
    <x v="8"/>
    <m/>
    <m/>
    <n v="37784"/>
    <n v="37784"/>
    <m/>
    <m/>
    <m/>
    <m/>
    <n v="0"/>
    <m/>
    <m/>
    <n v="0"/>
    <n v="37784"/>
    <n v="37784"/>
    <m/>
    <m/>
    <m/>
    <m/>
    <n v="0"/>
    <m/>
    <m/>
    <n v="0"/>
    <m/>
    <m/>
    <m/>
    <m/>
    <m/>
    <m/>
    <n v="37784"/>
    <n v="37784"/>
  </r>
  <r>
    <x v="11"/>
    <x v="8"/>
    <s v="Lottery Technology (NR)"/>
    <m/>
    <n v="217712"/>
    <x v="8"/>
    <m/>
    <m/>
    <n v="45932"/>
    <n v="103245"/>
    <m/>
    <m/>
    <m/>
    <m/>
    <n v="0"/>
    <m/>
    <m/>
    <n v="0"/>
    <n v="45932"/>
    <n v="103245"/>
    <m/>
    <m/>
    <m/>
    <m/>
    <n v="0"/>
    <m/>
    <m/>
    <n v="0"/>
    <m/>
    <m/>
    <m/>
    <m/>
    <m/>
    <m/>
    <n v="45932"/>
    <n v="103245"/>
  </r>
  <r>
    <x v="11"/>
    <x v="0"/>
    <s v="University of South Carolina-Lancaster"/>
    <m/>
    <n v="218672"/>
    <x v="8"/>
    <n v="1200000"/>
    <n v="1244208"/>
    <m/>
    <m/>
    <m/>
    <m/>
    <n v="7567698.3527076421"/>
    <n v="21076.359082559309"/>
    <n v="7588774.7117902013"/>
    <n v="7567698.3527076421"/>
    <n v="21076.359082559309"/>
    <n v="7588774.7117902013"/>
    <n v="8767698.3527076431"/>
    <n v="8811906.3527076431"/>
    <m/>
    <m/>
    <m/>
    <m/>
    <n v="0"/>
    <m/>
    <m/>
    <n v="0"/>
    <m/>
    <m/>
    <m/>
    <m/>
    <m/>
    <m/>
    <n v="8767698.3527076431"/>
    <n v="8811906.3527076431"/>
  </r>
  <r>
    <x v="11"/>
    <x v="0"/>
    <s v="Fringe Benefits"/>
    <m/>
    <n v="218672"/>
    <x v="8"/>
    <n v="268791"/>
    <n v="296526"/>
    <m/>
    <m/>
    <m/>
    <m/>
    <m/>
    <m/>
    <n v="0"/>
    <m/>
    <m/>
    <n v="0"/>
    <n v="268791"/>
    <n v="296526"/>
    <m/>
    <m/>
    <m/>
    <m/>
    <n v="0"/>
    <m/>
    <m/>
    <n v="0"/>
    <m/>
    <m/>
    <m/>
    <m/>
    <m/>
    <m/>
    <n v="268791"/>
    <n v="296526"/>
  </r>
  <r>
    <x v="11"/>
    <x v="8"/>
    <s v="Special Line items for education operations"/>
    <m/>
    <n v="218672"/>
    <x v="8"/>
    <m/>
    <m/>
    <m/>
    <m/>
    <m/>
    <m/>
    <m/>
    <m/>
    <n v="0"/>
    <m/>
    <m/>
    <n v="0"/>
    <n v="0"/>
    <n v="0"/>
    <m/>
    <m/>
    <m/>
    <m/>
    <n v="0"/>
    <m/>
    <m/>
    <n v="0"/>
    <m/>
    <m/>
    <m/>
    <m/>
    <m/>
    <m/>
    <n v="0"/>
    <n v="0"/>
  </r>
  <r>
    <x v="11"/>
    <x v="8"/>
    <s v="Deferred Maintenance (NR &amp; Lottery)"/>
    <m/>
    <n v="218672"/>
    <x v="8"/>
    <m/>
    <m/>
    <m/>
    <n v="208697"/>
    <m/>
    <m/>
    <m/>
    <m/>
    <n v="0"/>
    <m/>
    <m/>
    <n v="0"/>
    <n v="0"/>
    <n v="208697"/>
    <m/>
    <m/>
    <m/>
    <m/>
    <n v="0"/>
    <m/>
    <m/>
    <n v="0"/>
    <m/>
    <m/>
    <m/>
    <m/>
    <m/>
    <m/>
    <n v="0"/>
    <n v="208697"/>
  </r>
  <r>
    <x v="11"/>
    <x v="8"/>
    <s v="Academic Endowment"/>
    <m/>
    <n v="218672"/>
    <x v="8"/>
    <m/>
    <m/>
    <n v="3073"/>
    <n v="4223"/>
    <m/>
    <m/>
    <m/>
    <m/>
    <n v="0"/>
    <m/>
    <m/>
    <n v="0"/>
    <n v="3073"/>
    <n v="4223"/>
    <m/>
    <m/>
    <m/>
    <m/>
    <n v="0"/>
    <m/>
    <m/>
    <n v="0"/>
    <m/>
    <m/>
    <m/>
    <m/>
    <m/>
    <m/>
    <n v="3073"/>
    <n v="4223"/>
  </r>
  <r>
    <x v="11"/>
    <x v="8"/>
    <s v="Lottery Technology (NR)"/>
    <m/>
    <n v="218672"/>
    <x v="8"/>
    <m/>
    <m/>
    <n v="43278"/>
    <n v="102102"/>
    <m/>
    <m/>
    <m/>
    <m/>
    <n v="0"/>
    <m/>
    <m/>
    <n v="0"/>
    <n v="43278"/>
    <n v="102102"/>
    <m/>
    <m/>
    <m/>
    <m/>
    <n v="0"/>
    <m/>
    <m/>
    <n v="0"/>
    <m/>
    <m/>
    <m/>
    <m/>
    <m/>
    <m/>
    <n v="43278"/>
    <n v="102102"/>
  </r>
  <r>
    <x v="11"/>
    <x v="0"/>
    <s v="University of South Carolina-Salkehatchie"/>
    <m/>
    <n v="218681"/>
    <x v="8"/>
    <n v="940000"/>
    <n v="974631"/>
    <m/>
    <m/>
    <m/>
    <m/>
    <n v="6032661.4976320658"/>
    <n v="33870.175802553065"/>
    <n v="6066531.6734346189"/>
    <n v="6032661.4976320658"/>
    <n v="33870.175802553065"/>
    <n v="6066531.6734346189"/>
    <n v="6972661.4976320658"/>
    <n v="7007292.4976320658"/>
    <m/>
    <m/>
    <m/>
    <m/>
    <n v="0"/>
    <m/>
    <m/>
    <n v="0"/>
    <m/>
    <m/>
    <m/>
    <m/>
    <m/>
    <m/>
    <n v="6972661.4976320658"/>
    <n v="7007292.4976320658"/>
  </r>
  <r>
    <x v="11"/>
    <x v="0"/>
    <s v="Fringe Benefits"/>
    <m/>
    <n v="218681"/>
    <x v="8"/>
    <n v="210927"/>
    <n v="233366"/>
    <m/>
    <m/>
    <m/>
    <m/>
    <m/>
    <m/>
    <n v="0"/>
    <m/>
    <m/>
    <n v="0"/>
    <n v="210927"/>
    <n v="233366"/>
    <m/>
    <m/>
    <m/>
    <m/>
    <n v="0"/>
    <m/>
    <m/>
    <n v="0"/>
    <m/>
    <m/>
    <m/>
    <m/>
    <m/>
    <m/>
    <n v="210927"/>
    <n v="233366"/>
  </r>
  <r>
    <x v="11"/>
    <x v="3"/>
    <s v="Community or public service units"/>
    <m/>
    <n v="218681"/>
    <x v="8"/>
    <m/>
    <m/>
    <m/>
    <m/>
    <m/>
    <m/>
    <m/>
    <m/>
    <n v="0"/>
    <m/>
    <m/>
    <n v="0"/>
    <n v="0"/>
    <n v="0"/>
    <m/>
    <m/>
    <m/>
    <m/>
    <n v="0"/>
    <m/>
    <m/>
    <n v="0"/>
    <m/>
    <m/>
    <m/>
    <m/>
    <m/>
    <m/>
    <n v="0"/>
    <n v="0"/>
  </r>
  <r>
    <x v="11"/>
    <x v="3"/>
    <s v="  Salkehatchie Leadership Center"/>
    <m/>
    <n v="218681"/>
    <x v="8"/>
    <m/>
    <m/>
    <n v="100460"/>
    <n v="100460"/>
    <m/>
    <m/>
    <m/>
    <m/>
    <n v="0"/>
    <m/>
    <m/>
    <n v="0"/>
    <n v="100460"/>
    <n v="100460"/>
    <m/>
    <m/>
    <m/>
    <m/>
    <n v="0"/>
    <m/>
    <m/>
    <n v="0"/>
    <m/>
    <m/>
    <m/>
    <m/>
    <m/>
    <m/>
    <n v="100460"/>
    <n v="100460"/>
  </r>
  <r>
    <x v="11"/>
    <x v="8"/>
    <s v="Special Line items for education operations"/>
    <m/>
    <n v="218681"/>
    <x v="8"/>
    <m/>
    <m/>
    <m/>
    <m/>
    <m/>
    <m/>
    <m/>
    <m/>
    <n v="0"/>
    <m/>
    <m/>
    <n v="0"/>
    <n v="0"/>
    <n v="0"/>
    <m/>
    <m/>
    <m/>
    <m/>
    <n v="0"/>
    <m/>
    <m/>
    <n v="0"/>
    <m/>
    <m/>
    <m/>
    <m/>
    <m/>
    <m/>
    <n v="0"/>
    <n v="0"/>
  </r>
  <r>
    <x v="11"/>
    <x v="8"/>
    <s v="Deferred Maintenance (NR &amp; Lottery)"/>
    <m/>
    <n v="218681"/>
    <x v="8"/>
    <m/>
    <m/>
    <m/>
    <n v="377806"/>
    <m/>
    <m/>
    <m/>
    <m/>
    <n v="0"/>
    <m/>
    <m/>
    <n v="0"/>
    <n v="0"/>
    <n v="377806"/>
    <m/>
    <m/>
    <m/>
    <m/>
    <n v="0"/>
    <m/>
    <m/>
    <n v="0"/>
    <m/>
    <m/>
    <m/>
    <m/>
    <m/>
    <m/>
    <n v="0"/>
    <n v="377806"/>
  </r>
  <r>
    <x v="11"/>
    <x v="8"/>
    <s v="Academic Endowment"/>
    <m/>
    <n v="218681"/>
    <x v="8"/>
    <m/>
    <m/>
    <n v="238"/>
    <n v="227"/>
    <m/>
    <m/>
    <m/>
    <m/>
    <n v="0"/>
    <m/>
    <m/>
    <n v="0"/>
    <n v="238"/>
    <n v="227"/>
    <m/>
    <m/>
    <m/>
    <m/>
    <n v="0"/>
    <m/>
    <m/>
    <n v="0"/>
    <m/>
    <m/>
    <m/>
    <m/>
    <m/>
    <m/>
    <n v="238"/>
    <n v="227"/>
  </r>
  <r>
    <x v="11"/>
    <x v="8"/>
    <s v="Lottery Technology (NR)"/>
    <m/>
    <n v="218681"/>
    <x v="8"/>
    <m/>
    <m/>
    <n v="43278"/>
    <n v="102102"/>
    <m/>
    <m/>
    <m/>
    <m/>
    <n v="0"/>
    <m/>
    <m/>
    <n v="0"/>
    <n v="43278"/>
    <n v="102102"/>
    <m/>
    <m/>
    <m/>
    <m/>
    <n v="0"/>
    <m/>
    <m/>
    <n v="0"/>
    <m/>
    <m/>
    <m/>
    <m/>
    <m/>
    <m/>
    <n v="43278"/>
    <n v="102102"/>
  </r>
  <r>
    <x v="11"/>
    <x v="0"/>
    <s v="University of South Carolina-Sumter"/>
    <m/>
    <n v="218690"/>
    <x v="8"/>
    <n v="1885000"/>
    <n v="1954444"/>
    <m/>
    <m/>
    <m/>
    <m/>
    <n v="5808511.8723591417"/>
    <n v="78523.605089206234"/>
    <n v="5887035.477448348"/>
    <n v="5808511.8723591417"/>
    <n v="78523.605089206234"/>
    <n v="5887035.477448348"/>
    <n v="7693511.8723591417"/>
    <n v="7762955.8723591417"/>
    <m/>
    <m/>
    <m/>
    <m/>
    <n v="0"/>
    <m/>
    <m/>
    <n v="0"/>
    <m/>
    <m/>
    <m/>
    <m/>
    <m/>
    <m/>
    <n v="7693511.8723591417"/>
    <n v="7762955.8723591417"/>
  </r>
  <r>
    <x v="11"/>
    <x v="0"/>
    <s v="Fringe Benefits"/>
    <m/>
    <n v="218690"/>
    <x v="8"/>
    <n v="445655"/>
    <n v="492333"/>
    <m/>
    <m/>
    <m/>
    <m/>
    <m/>
    <m/>
    <n v="0"/>
    <m/>
    <m/>
    <n v="0"/>
    <n v="445655"/>
    <n v="492333"/>
    <m/>
    <m/>
    <m/>
    <m/>
    <n v="0"/>
    <m/>
    <m/>
    <n v="0"/>
    <m/>
    <m/>
    <m/>
    <m/>
    <m/>
    <m/>
    <n v="445655"/>
    <n v="492333"/>
  </r>
  <r>
    <x v="11"/>
    <x v="8"/>
    <s v="Special Line items for education operations"/>
    <m/>
    <n v="218690"/>
    <x v="8"/>
    <m/>
    <m/>
    <m/>
    <m/>
    <m/>
    <m/>
    <m/>
    <m/>
    <n v="0"/>
    <m/>
    <m/>
    <n v="0"/>
    <n v="0"/>
    <n v="0"/>
    <m/>
    <m/>
    <m/>
    <m/>
    <n v="0"/>
    <m/>
    <m/>
    <n v="0"/>
    <m/>
    <m/>
    <m/>
    <m/>
    <m/>
    <m/>
    <n v="0"/>
    <n v="0"/>
  </r>
  <r>
    <x v="11"/>
    <x v="8"/>
    <s v="Deferred Maintenance (NR &amp; Lottery)"/>
    <m/>
    <n v="218690"/>
    <x v="8"/>
    <m/>
    <m/>
    <m/>
    <n v="481157"/>
    <m/>
    <m/>
    <m/>
    <m/>
    <n v="0"/>
    <m/>
    <m/>
    <n v="0"/>
    <n v="0"/>
    <n v="481157"/>
    <m/>
    <m/>
    <m/>
    <m/>
    <n v="0"/>
    <m/>
    <m/>
    <n v="0"/>
    <m/>
    <m/>
    <m/>
    <m/>
    <m/>
    <m/>
    <n v="0"/>
    <n v="481157"/>
  </r>
  <r>
    <x v="11"/>
    <x v="8"/>
    <s v="Academic Endowment"/>
    <m/>
    <n v="218690"/>
    <x v="8"/>
    <m/>
    <m/>
    <n v="804"/>
    <n v="881"/>
    <m/>
    <m/>
    <m/>
    <m/>
    <n v="0"/>
    <m/>
    <m/>
    <n v="0"/>
    <n v="804"/>
    <n v="881"/>
    <m/>
    <m/>
    <m/>
    <m/>
    <n v="0"/>
    <m/>
    <m/>
    <n v="0"/>
    <m/>
    <m/>
    <m/>
    <m/>
    <m/>
    <m/>
    <n v="804"/>
    <n v="881"/>
  </r>
  <r>
    <x v="11"/>
    <x v="8"/>
    <s v="Lottery Technology (NR)"/>
    <m/>
    <n v="218690"/>
    <x v="8"/>
    <m/>
    <m/>
    <n v="43278"/>
    <n v="102102"/>
    <m/>
    <m/>
    <m/>
    <m/>
    <n v="0"/>
    <m/>
    <m/>
    <n v="0"/>
    <n v="43278"/>
    <n v="102102"/>
    <m/>
    <m/>
    <m/>
    <m/>
    <n v="0"/>
    <m/>
    <m/>
    <n v="0"/>
    <m/>
    <m/>
    <m/>
    <m/>
    <m/>
    <m/>
    <n v="43278"/>
    <n v="102102"/>
  </r>
  <r>
    <x v="11"/>
    <x v="0"/>
    <s v="University of South Carolina-Union"/>
    <m/>
    <n v="218706"/>
    <x v="8"/>
    <n v="470000"/>
    <n v="487317"/>
    <m/>
    <m/>
    <m/>
    <m/>
    <n v="2421679.293691908"/>
    <n v="25266.53872965441"/>
    <n v="2446945.8324215626"/>
    <n v="2421679.293691908"/>
    <n v="25266.53872965441"/>
    <n v="2446945.8324215626"/>
    <n v="2891679.293691908"/>
    <n v="2908996.293691908"/>
    <m/>
    <m/>
    <m/>
    <m/>
    <n v="0"/>
    <m/>
    <m/>
    <n v="0"/>
    <m/>
    <m/>
    <m/>
    <m/>
    <m/>
    <m/>
    <n v="2891679.293691908"/>
    <n v="2908996.293691908"/>
  </r>
  <r>
    <x v="11"/>
    <x v="0"/>
    <s v="Fringe Benefits"/>
    <m/>
    <n v="218706"/>
    <x v="8"/>
    <n v="100069"/>
    <n v="112435"/>
    <m/>
    <m/>
    <m/>
    <m/>
    <m/>
    <m/>
    <n v="0"/>
    <m/>
    <m/>
    <n v="0"/>
    <n v="100069"/>
    <n v="112435"/>
    <m/>
    <m/>
    <m/>
    <m/>
    <n v="0"/>
    <m/>
    <m/>
    <n v="0"/>
    <m/>
    <m/>
    <m/>
    <m/>
    <m/>
    <m/>
    <n v="100069"/>
    <n v="112435"/>
  </r>
  <r>
    <x v="11"/>
    <x v="8"/>
    <s v="Special Line items for education operations"/>
    <m/>
    <n v="218706"/>
    <x v="8"/>
    <m/>
    <m/>
    <m/>
    <m/>
    <m/>
    <m/>
    <m/>
    <m/>
    <n v="0"/>
    <m/>
    <m/>
    <n v="0"/>
    <n v="0"/>
    <n v="0"/>
    <m/>
    <m/>
    <m/>
    <m/>
    <n v="0"/>
    <m/>
    <m/>
    <n v="0"/>
    <m/>
    <m/>
    <m/>
    <m/>
    <m/>
    <m/>
    <n v="0"/>
    <n v="0"/>
  </r>
  <r>
    <x v="11"/>
    <x v="8"/>
    <s v="Deferred Maintenance (NR &amp; Lottery)"/>
    <m/>
    <n v="218706"/>
    <x v="8"/>
    <m/>
    <m/>
    <m/>
    <n v="81001"/>
    <m/>
    <m/>
    <m/>
    <m/>
    <n v="0"/>
    <m/>
    <m/>
    <n v="0"/>
    <n v="0"/>
    <n v="81001"/>
    <m/>
    <m/>
    <m/>
    <m/>
    <n v="0"/>
    <m/>
    <m/>
    <n v="0"/>
    <m/>
    <m/>
    <m/>
    <m/>
    <m/>
    <m/>
    <n v="0"/>
    <n v="81001"/>
  </r>
  <r>
    <x v="11"/>
    <x v="8"/>
    <s v="Academic Endowment"/>
    <m/>
    <n v="218706"/>
    <x v="8"/>
    <m/>
    <m/>
    <n v="271"/>
    <n v="277"/>
    <m/>
    <m/>
    <m/>
    <m/>
    <n v="0"/>
    <m/>
    <m/>
    <n v="0"/>
    <n v="271"/>
    <n v="277"/>
    <m/>
    <m/>
    <m/>
    <m/>
    <n v="0"/>
    <m/>
    <m/>
    <n v="0"/>
    <m/>
    <m/>
    <m/>
    <m/>
    <m/>
    <m/>
    <n v="271"/>
    <n v="277"/>
  </r>
  <r>
    <x v="11"/>
    <x v="8"/>
    <s v="Lottery Technology (NR)"/>
    <m/>
    <n v="218706"/>
    <x v="8"/>
    <m/>
    <m/>
    <n v="43278"/>
    <n v="102102"/>
    <m/>
    <m/>
    <m/>
    <m/>
    <n v="0"/>
    <m/>
    <m/>
    <n v="0"/>
    <n v="43278"/>
    <n v="102102"/>
    <m/>
    <m/>
    <m/>
    <m/>
    <n v="0"/>
    <m/>
    <m/>
    <n v="0"/>
    <m/>
    <m/>
    <m/>
    <m/>
    <m/>
    <m/>
    <n v="43278"/>
    <n v="102102"/>
  </r>
  <r>
    <x v="11"/>
    <x v="0"/>
    <s v="Willamsburg Technical College "/>
    <m/>
    <n v="218955"/>
    <x v="8"/>
    <n v="1403576"/>
    <n v="1371689"/>
    <m/>
    <m/>
    <n v="516712"/>
    <n v="976932"/>
    <n v="2079280"/>
    <n v="0"/>
    <n v="2079280"/>
    <n v="2079280"/>
    <n v="0"/>
    <n v="2079280"/>
    <n v="3999568"/>
    <n v="4427901"/>
    <m/>
    <m/>
    <m/>
    <m/>
    <n v="0"/>
    <m/>
    <m/>
    <n v="0"/>
    <m/>
    <m/>
    <m/>
    <m/>
    <m/>
    <m/>
    <n v="3999568"/>
    <n v="4427901"/>
  </r>
  <r>
    <x v="11"/>
    <x v="8"/>
    <s v="Special Line items for education operations"/>
    <m/>
    <n v="218955"/>
    <x v="8"/>
    <m/>
    <m/>
    <m/>
    <m/>
    <m/>
    <m/>
    <m/>
    <m/>
    <n v="0"/>
    <m/>
    <m/>
    <n v="0"/>
    <n v="0"/>
    <n v="0"/>
    <m/>
    <m/>
    <m/>
    <m/>
    <n v="0"/>
    <m/>
    <m/>
    <n v="0"/>
    <m/>
    <m/>
    <m/>
    <m/>
    <m/>
    <m/>
    <n v="0"/>
    <n v="0"/>
  </r>
  <r>
    <x v="11"/>
    <x v="8"/>
    <s v="Academic Endowment"/>
    <m/>
    <n v="218955"/>
    <x v="8"/>
    <m/>
    <m/>
    <m/>
    <n v="2"/>
    <m/>
    <m/>
    <m/>
    <m/>
    <n v="0"/>
    <m/>
    <m/>
    <n v="0"/>
    <n v="0"/>
    <n v="2"/>
    <m/>
    <m/>
    <m/>
    <m/>
    <n v="0"/>
    <m/>
    <m/>
    <n v="0"/>
    <m/>
    <m/>
    <m/>
    <m/>
    <m/>
    <m/>
    <n v="0"/>
    <n v="2"/>
  </r>
  <r>
    <x v="11"/>
    <x v="8"/>
    <s v="Deferred Maintenance"/>
    <m/>
    <n v="218955"/>
    <x v="8"/>
    <m/>
    <m/>
    <m/>
    <n v="66555"/>
    <m/>
    <m/>
    <m/>
    <m/>
    <n v="0"/>
    <m/>
    <m/>
    <n v="0"/>
    <n v="0"/>
    <n v="66555"/>
    <m/>
    <m/>
    <m/>
    <m/>
    <n v="0"/>
    <m/>
    <m/>
    <n v="0"/>
    <m/>
    <m/>
    <m/>
    <m/>
    <m/>
    <m/>
    <n v="0"/>
    <n v="66555"/>
  </r>
  <r>
    <x v="11"/>
    <x v="8"/>
    <s v="Pathways to Prosperity"/>
    <m/>
    <n v="218955"/>
    <x v="8"/>
    <m/>
    <m/>
    <n v="37784"/>
    <n v="37784"/>
    <m/>
    <m/>
    <m/>
    <m/>
    <n v="0"/>
    <m/>
    <m/>
    <n v="0"/>
    <n v="37784"/>
    <n v="37784"/>
    <m/>
    <m/>
    <m/>
    <m/>
    <n v="0"/>
    <m/>
    <m/>
    <n v="0"/>
    <m/>
    <m/>
    <m/>
    <m/>
    <m/>
    <m/>
    <n v="37784"/>
    <n v="37784"/>
  </r>
  <r>
    <x v="11"/>
    <x v="8"/>
    <s v="Lottery Technology (NR)"/>
    <m/>
    <n v="218955"/>
    <x v="8"/>
    <m/>
    <m/>
    <n v="43278"/>
    <n v="95295"/>
    <m/>
    <m/>
    <m/>
    <m/>
    <n v="0"/>
    <m/>
    <m/>
    <n v="0"/>
    <n v="43278"/>
    <n v="95295"/>
    <m/>
    <m/>
    <m/>
    <m/>
    <n v="0"/>
    <m/>
    <m/>
    <n v="0"/>
    <m/>
    <m/>
    <m/>
    <m/>
    <m/>
    <m/>
    <n v="43278"/>
    <n v="95295"/>
  </r>
  <r>
    <x v="11"/>
    <x v="41"/>
    <s v="Medical University of South Carolina"/>
    <m/>
    <n v="218335"/>
    <x v="11"/>
    <m/>
    <m/>
    <m/>
    <m/>
    <m/>
    <m/>
    <m/>
    <m/>
    <n v="0"/>
    <m/>
    <m/>
    <n v="0"/>
    <n v="0"/>
    <n v="0"/>
    <m/>
    <m/>
    <m/>
    <m/>
    <n v="0"/>
    <m/>
    <m/>
    <n v="0"/>
    <n v="39796766"/>
    <n v="41266046"/>
    <n v="61971854"/>
    <n v="10656001"/>
    <n v="61971854"/>
    <n v="10656001"/>
    <n v="101768620"/>
    <n v="103237900"/>
  </r>
  <r>
    <x v="11"/>
    <x v="41"/>
    <s v="Fringe Benefits"/>
    <m/>
    <n v="218335"/>
    <x v="11"/>
    <m/>
    <m/>
    <m/>
    <m/>
    <m/>
    <m/>
    <m/>
    <m/>
    <n v="0"/>
    <m/>
    <m/>
    <n v="0"/>
    <n v="0"/>
    <n v="0"/>
    <m/>
    <m/>
    <m/>
    <m/>
    <n v="0"/>
    <m/>
    <m/>
    <n v="0"/>
    <n v="11227330"/>
    <n v="12274811"/>
    <m/>
    <m/>
    <m/>
    <m/>
    <n v="11227330"/>
    <n v="12274811"/>
  </r>
  <r>
    <x v="11"/>
    <x v="8"/>
    <s v="Deferred Maintenance (NR &amp; Lottery)"/>
    <m/>
    <n v="218335"/>
    <x v="11"/>
    <m/>
    <m/>
    <m/>
    <m/>
    <m/>
    <m/>
    <m/>
    <m/>
    <n v="0"/>
    <m/>
    <m/>
    <n v="0"/>
    <n v="0"/>
    <n v="0"/>
    <m/>
    <m/>
    <m/>
    <m/>
    <n v="0"/>
    <m/>
    <m/>
    <n v="0"/>
    <m/>
    <n v="5710334"/>
    <m/>
    <m/>
    <m/>
    <m/>
    <n v="0"/>
    <n v="5710334"/>
  </r>
  <r>
    <x v="11"/>
    <x v="41"/>
    <s v="Academic Endowment"/>
    <m/>
    <n v="218335"/>
    <x v="11"/>
    <m/>
    <m/>
    <m/>
    <m/>
    <m/>
    <m/>
    <m/>
    <m/>
    <n v="0"/>
    <m/>
    <m/>
    <n v="0"/>
    <n v="0"/>
    <n v="0"/>
    <m/>
    <m/>
    <m/>
    <m/>
    <n v="0"/>
    <m/>
    <m/>
    <n v="0"/>
    <n v="41055"/>
    <n v="38802"/>
    <m/>
    <m/>
    <m/>
    <m/>
    <n v="41055"/>
    <n v="38802"/>
  </r>
  <r>
    <x v="11"/>
    <x v="41"/>
    <s v="Hypertension Initiative"/>
    <m/>
    <n v="218335"/>
    <x v="11"/>
    <m/>
    <m/>
    <m/>
    <m/>
    <m/>
    <m/>
    <m/>
    <m/>
    <n v="0"/>
    <m/>
    <m/>
    <n v="0"/>
    <n v="0"/>
    <n v="0"/>
    <m/>
    <m/>
    <m/>
    <m/>
    <n v="0"/>
    <m/>
    <m/>
    <n v="0"/>
    <n v="240433"/>
    <n v="240433"/>
    <m/>
    <m/>
    <m/>
    <m/>
    <n v="240433"/>
    <n v="240433"/>
  </r>
  <r>
    <x v="11"/>
    <x v="41"/>
    <s v="Diabetic Center (MUSC)"/>
    <m/>
    <n v="218335"/>
    <x v="11"/>
    <m/>
    <m/>
    <m/>
    <m/>
    <m/>
    <m/>
    <m/>
    <m/>
    <n v="0"/>
    <m/>
    <m/>
    <n v="0"/>
    <n v="0"/>
    <n v="0"/>
    <m/>
    <m/>
    <m/>
    <m/>
    <n v="0"/>
    <m/>
    <m/>
    <n v="0"/>
    <n v="123470"/>
    <n v="123470"/>
    <m/>
    <m/>
    <m/>
    <m/>
    <n v="123470"/>
    <n v="123470"/>
  </r>
  <r>
    <x v="11"/>
    <x v="41"/>
    <s v="Rural Dentist Incentive(MUSC)"/>
    <m/>
    <n v="218335"/>
    <x v="11"/>
    <m/>
    <m/>
    <m/>
    <m/>
    <m/>
    <m/>
    <m/>
    <m/>
    <n v="0"/>
    <m/>
    <m/>
    <n v="0"/>
    <n v="0"/>
    <n v="0"/>
    <m/>
    <m/>
    <m/>
    <m/>
    <n v="0"/>
    <m/>
    <m/>
    <n v="0"/>
    <n v="176101"/>
    <n v="176101"/>
    <m/>
    <m/>
    <m/>
    <m/>
    <n v="176101"/>
    <n v="176101"/>
  </r>
  <r>
    <x v="11"/>
    <x v="41"/>
    <s v="AHEC-Administration"/>
    <m/>
    <n v="218335"/>
    <x v="11"/>
    <m/>
    <m/>
    <m/>
    <m/>
    <m/>
    <m/>
    <m/>
    <m/>
    <n v="0"/>
    <m/>
    <m/>
    <n v="0"/>
    <n v="0"/>
    <n v="0"/>
    <m/>
    <m/>
    <m/>
    <m/>
    <n v="0"/>
    <m/>
    <m/>
    <n v="0"/>
    <n v="3789247"/>
    <n v="3922744"/>
    <m/>
    <m/>
    <m/>
    <m/>
    <n v="3789247"/>
    <n v="3922744"/>
  </r>
  <r>
    <x v="11"/>
    <x v="41"/>
    <s v="AHEC-Fringe Benefits"/>
    <m/>
    <n v="218335"/>
    <x v="11"/>
    <m/>
    <m/>
    <m/>
    <m/>
    <m/>
    <m/>
    <m/>
    <m/>
    <n v="0"/>
    <m/>
    <m/>
    <n v="0"/>
    <n v="0"/>
    <n v="0"/>
    <m/>
    <m/>
    <m/>
    <m/>
    <n v="0"/>
    <m/>
    <m/>
    <n v="0"/>
    <n v="976761"/>
    <n v="1050045"/>
    <m/>
    <m/>
    <m/>
    <m/>
    <n v="976761"/>
    <n v="1050045"/>
  </r>
  <r>
    <x v="11"/>
    <x v="41"/>
    <s v="AHEC-Operating Expenses"/>
    <m/>
    <n v="218335"/>
    <x v="11"/>
    <m/>
    <m/>
    <m/>
    <m/>
    <m/>
    <m/>
    <m/>
    <m/>
    <n v="0"/>
    <m/>
    <m/>
    <n v="0"/>
    <n v="0"/>
    <n v="0"/>
    <m/>
    <m/>
    <m/>
    <m/>
    <n v="0"/>
    <m/>
    <m/>
    <n v="0"/>
    <n v="3692360"/>
    <n v="3692360"/>
    <m/>
    <m/>
    <m/>
    <m/>
    <n v="3692360"/>
    <n v="3692360"/>
  </r>
  <r>
    <x v="11"/>
    <x v="41"/>
    <s v="AHEC-Rural Physicans Program"/>
    <m/>
    <n v="218335"/>
    <x v="11"/>
    <m/>
    <m/>
    <m/>
    <m/>
    <m/>
    <m/>
    <m/>
    <m/>
    <n v="0"/>
    <m/>
    <m/>
    <n v="0"/>
    <n v="0"/>
    <n v="0"/>
    <m/>
    <m/>
    <m/>
    <m/>
    <n v="0"/>
    <m/>
    <m/>
    <n v="0"/>
    <n v="0"/>
    <n v="500000"/>
    <m/>
    <m/>
    <m/>
    <m/>
    <n v="0"/>
    <n v="500000"/>
  </r>
  <r>
    <x v="11"/>
    <x v="41"/>
    <s v="AHEC-Nursing Recruitment"/>
    <m/>
    <n v="218335"/>
    <x v="11"/>
    <m/>
    <m/>
    <m/>
    <m/>
    <m/>
    <m/>
    <m/>
    <m/>
    <n v="0"/>
    <m/>
    <m/>
    <n v="0"/>
    <n v="0"/>
    <n v="0"/>
    <m/>
    <m/>
    <m/>
    <m/>
    <n v="0"/>
    <m/>
    <m/>
    <n v="0"/>
    <n v="20000"/>
    <n v="20000"/>
    <m/>
    <m/>
    <m/>
    <m/>
    <n v="20000"/>
    <n v="20000"/>
  </r>
  <r>
    <x v="11"/>
    <x v="13"/>
    <s v="Educational special purpose funds — all other"/>
    <m/>
    <m/>
    <x v="12"/>
    <m/>
    <m/>
    <m/>
    <m/>
    <m/>
    <m/>
    <m/>
    <m/>
    <n v="0"/>
    <m/>
    <m/>
    <n v="0"/>
    <n v="0"/>
    <n v="0"/>
    <m/>
    <m/>
    <m/>
    <m/>
    <n v="0"/>
    <m/>
    <m/>
    <n v="0"/>
    <m/>
    <m/>
    <m/>
    <m/>
    <m/>
    <m/>
    <n v="0"/>
    <n v="0"/>
  </r>
  <r>
    <x v="11"/>
    <x v="13"/>
    <s v="Greenville Tech-Univ Center"/>
    <m/>
    <m/>
    <x v="12"/>
    <m/>
    <m/>
    <n v="594390"/>
    <n v="594390"/>
    <m/>
    <m/>
    <m/>
    <m/>
    <n v="0"/>
    <m/>
    <m/>
    <n v="0"/>
    <n v="594390"/>
    <n v="594390"/>
    <m/>
    <m/>
    <m/>
    <m/>
    <n v="0"/>
    <m/>
    <m/>
    <n v="0"/>
    <m/>
    <m/>
    <m/>
    <m/>
    <m/>
    <m/>
    <n v="594390"/>
    <n v="594390"/>
  </r>
  <r>
    <x v="11"/>
    <x v="13"/>
    <s v="Greenville Center Operating Cost"/>
    <m/>
    <m/>
    <x v="12"/>
    <m/>
    <m/>
    <n v="1084899"/>
    <n v="1084899"/>
    <m/>
    <m/>
    <m/>
    <m/>
    <n v="0"/>
    <m/>
    <m/>
    <n v="0"/>
    <n v="1084899"/>
    <n v="1084899"/>
    <m/>
    <m/>
    <m/>
    <m/>
    <n v="0"/>
    <m/>
    <m/>
    <n v="0"/>
    <m/>
    <m/>
    <m/>
    <m/>
    <m/>
    <m/>
    <n v="1084899"/>
    <n v="1084899"/>
  </r>
  <r>
    <x v="11"/>
    <x v="13"/>
    <s v="Lowcountry Graduate Center"/>
    <m/>
    <m/>
    <x v="12"/>
    <m/>
    <m/>
    <n v="785099"/>
    <n v="785099"/>
    <m/>
    <m/>
    <m/>
    <m/>
    <n v="0"/>
    <m/>
    <m/>
    <n v="0"/>
    <n v="785099"/>
    <n v="785099"/>
    <m/>
    <m/>
    <m/>
    <m/>
    <n v="0"/>
    <m/>
    <m/>
    <n v="0"/>
    <m/>
    <m/>
    <m/>
    <m/>
    <m/>
    <m/>
    <n v="785099"/>
    <n v="785099"/>
  </r>
  <r>
    <x v="11"/>
    <x v="13"/>
    <s v=" National Foundation of Teaching Entrepreneurship (NFTE)"/>
    <m/>
    <m/>
    <x v="12"/>
    <m/>
    <m/>
    <n v="0"/>
    <m/>
    <m/>
    <m/>
    <m/>
    <m/>
    <n v="0"/>
    <m/>
    <m/>
    <n v="0"/>
    <n v="0"/>
    <n v="0"/>
    <m/>
    <m/>
    <m/>
    <m/>
    <n v="0"/>
    <m/>
    <m/>
    <n v="0"/>
    <m/>
    <m/>
    <m/>
    <m/>
    <m/>
    <m/>
    <n v="0"/>
    <n v="0"/>
  </r>
  <r>
    <x v="11"/>
    <x v="13"/>
    <s v="South Carolina Manufacturing Extension Program (SCMEP)"/>
    <m/>
    <m/>
    <x v="12"/>
    <m/>
    <m/>
    <n v="682049"/>
    <m/>
    <m/>
    <m/>
    <m/>
    <m/>
    <n v="0"/>
    <m/>
    <m/>
    <n v="0"/>
    <n v="682049"/>
    <n v="0"/>
    <m/>
    <m/>
    <m/>
    <m/>
    <n v="0"/>
    <m/>
    <m/>
    <n v="0"/>
    <m/>
    <m/>
    <m/>
    <m/>
    <m/>
    <m/>
    <n v="682049"/>
    <n v="0"/>
  </r>
  <r>
    <x v="11"/>
    <x v="13"/>
    <s v="GEARUP"/>
    <m/>
    <m/>
    <x v="12"/>
    <m/>
    <m/>
    <n v="177201"/>
    <n v="177201"/>
    <m/>
    <m/>
    <m/>
    <m/>
    <n v="0"/>
    <m/>
    <m/>
    <n v="0"/>
    <n v="177201"/>
    <n v="177201"/>
    <m/>
    <m/>
    <m/>
    <m/>
    <n v="0"/>
    <m/>
    <m/>
    <n v="0"/>
    <m/>
    <m/>
    <m/>
    <m/>
    <m/>
    <m/>
    <n v="177201"/>
    <n v="177201"/>
  </r>
  <r>
    <x v="11"/>
    <x v="13"/>
    <s v="Statewide Electronic Library Supplemental"/>
    <m/>
    <m/>
    <x v="12"/>
    <m/>
    <m/>
    <n v="148140"/>
    <n v="164289"/>
    <m/>
    <m/>
    <m/>
    <m/>
    <n v="0"/>
    <m/>
    <m/>
    <n v="0"/>
    <n v="148140"/>
    <n v="164289"/>
    <m/>
    <m/>
    <m/>
    <m/>
    <n v="0"/>
    <m/>
    <m/>
    <n v="0"/>
    <m/>
    <m/>
    <m/>
    <m/>
    <m/>
    <m/>
    <n v="148140"/>
    <n v="164289"/>
  </r>
  <r>
    <x v="11"/>
    <x v="13"/>
    <s v="Experimental Program for the Stimulation of Competitive Research (EPSCOR) Constorium"/>
    <m/>
    <m/>
    <x v="12"/>
    <m/>
    <m/>
    <n v="161314"/>
    <n v="161314"/>
    <m/>
    <m/>
    <m/>
    <m/>
    <n v="0"/>
    <m/>
    <m/>
    <n v="0"/>
    <n v="161314"/>
    <n v="161314"/>
    <m/>
    <m/>
    <m/>
    <m/>
    <n v="0"/>
    <m/>
    <m/>
    <n v="0"/>
    <m/>
    <m/>
    <m/>
    <m/>
    <m/>
    <m/>
    <n v="161314"/>
    <n v="161314"/>
  </r>
  <r>
    <x v="11"/>
    <x v="13"/>
    <s v="Charleston Transition Connection"/>
    <m/>
    <m/>
    <x v="12"/>
    <m/>
    <m/>
    <n v="179178"/>
    <n v="179178"/>
    <m/>
    <m/>
    <m/>
    <m/>
    <n v="0"/>
    <m/>
    <m/>
    <n v="0"/>
    <n v="179178"/>
    <n v="179178"/>
    <m/>
    <m/>
    <m/>
    <m/>
    <n v="0"/>
    <m/>
    <m/>
    <n v="0"/>
    <m/>
    <m/>
    <m/>
    <m/>
    <m/>
    <m/>
    <n v="179178"/>
    <n v="179178"/>
  </r>
  <r>
    <x v="11"/>
    <x v="13"/>
    <s v="African American Loan Program"/>
    <m/>
    <m/>
    <x v="12"/>
    <m/>
    <m/>
    <n v="87905"/>
    <n v="87905"/>
    <m/>
    <m/>
    <m/>
    <m/>
    <n v="0"/>
    <m/>
    <m/>
    <n v="0"/>
    <n v="87905"/>
    <n v="87905"/>
    <m/>
    <m/>
    <m/>
    <m/>
    <n v="0"/>
    <m/>
    <m/>
    <n v="0"/>
    <m/>
    <m/>
    <m/>
    <m/>
    <m/>
    <m/>
    <n v="87905"/>
    <n v="87905"/>
  </r>
  <r>
    <x v="11"/>
    <x v="14"/>
    <s v="Statewide System Operations"/>
    <m/>
    <m/>
    <x v="12"/>
    <m/>
    <m/>
    <m/>
    <m/>
    <m/>
    <m/>
    <m/>
    <m/>
    <n v="0"/>
    <m/>
    <m/>
    <n v="0"/>
    <n v="0"/>
    <n v="0"/>
    <m/>
    <m/>
    <m/>
    <m/>
    <n v="0"/>
    <m/>
    <m/>
    <n v="0"/>
    <m/>
    <m/>
    <m/>
    <m/>
    <m/>
    <m/>
    <n v="0"/>
    <n v="0"/>
  </r>
  <r>
    <x v="11"/>
    <x v="15"/>
    <s v="Colleges and universities"/>
    <m/>
    <m/>
    <x v="12"/>
    <m/>
    <m/>
    <m/>
    <m/>
    <m/>
    <m/>
    <m/>
    <m/>
    <n v="0"/>
    <m/>
    <m/>
    <n v="0"/>
    <n v="0"/>
    <n v="0"/>
    <m/>
    <m/>
    <m/>
    <m/>
    <n v="0"/>
    <m/>
    <m/>
    <n v="0"/>
    <m/>
    <m/>
    <m/>
    <m/>
    <m/>
    <m/>
    <n v="0"/>
    <n v="0"/>
  </r>
  <r>
    <x v="11"/>
    <x v="15"/>
    <s v="SC Commission on H.Ed."/>
    <m/>
    <m/>
    <x v="12"/>
    <m/>
    <m/>
    <m/>
    <m/>
    <m/>
    <m/>
    <m/>
    <m/>
    <n v="0"/>
    <m/>
    <m/>
    <n v="0"/>
    <n v="0"/>
    <n v="0"/>
    <n v="1869811"/>
    <n v="1939178"/>
    <m/>
    <m/>
    <n v="0"/>
    <m/>
    <m/>
    <n v="0"/>
    <m/>
    <m/>
    <m/>
    <m/>
    <m/>
    <m/>
    <n v="1869811"/>
    <n v="1939178"/>
  </r>
  <r>
    <x v="11"/>
    <x v="15"/>
    <s v="Education &amp; Economic Development Act"/>
    <m/>
    <m/>
    <x v="12"/>
    <m/>
    <m/>
    <m/>
    <m/>
    <m/>
    <m/>
    <m/>
    <m/>
    <n v="0"/>
    <m/>
    <m/>
    <n v="0"/>
    <n v="0"/>
    <n v="0"/>
    <n v="1180576"/>
    <n v="1180576"/>
    <m/>
    <m/>
    <n v="0"/>
    <m/>
    <m/>
    <n v="0"/>
    <m/>
    <m/>
    <m/>
    <m/>
    <m/>
    <m/>
    <n v="1180576"/>
    <n v="1180576"/>
  </r>
  <r>
    <x v="11"/>
    <x v="15"/>
    <s v="African American Loan Program"/>
    <m/>
    <m/>
    <x v="12"/>
    <m/>
    <m/>
    <m/>
    <m/>
    <m/>
    <m/>
    <m/>
    <m/>
    <n v="0"/>
    <m/>
    <m/>
    <n v="0"/>
    <n v="0"/>
    <n v="0"/>
    <n v="31395"/>
    <n v="31395"/>
    <m/>
    <m/>
    <n v="0"/>
    <m/>
    <m/>
    <n v="0"/>
    <m/>
    <m/>
    <m/>
    <m/>
    <m/>
    <m/>
    <n v="31395"/>
    <n v="31395"/>
  </r>
  <r>
    <x v="11"/>
    <x v="15"/>
    <s v="Statewide Electronic Library-Admin"/>
    <m/>
    <m/>
    <x v="12"/>
    <m/>
    <m/>
    <m/>
    <m/>
    <m/>
    <m/>
    <m/>
    <m/>
    <n v="0"/>
    <m/>
    <m/>
    <n v="0"/>
    <n v="0"/>
    <n v="0"/>
    <n v="16149"/>
    <m/>
    <m/>
    <m/>
    <n v="0"/>
    <m/>
    <m/>
    <n v="0"/>
    <m/>
    <m/>
    <m/>
    <m/>
    <m/>
    <m/>
    <n v="16149"/>
    <n v="0"/>
  </r>
  <r>
    <x v="11"/>
    <x v="15"/>
    <s v="National Guard Tuition"/>
    <m/>
    <m/>
    <x v="12"/>
    <m/>
    <m/>
    <m/>
    <m/>
    <m/>
    <m/>
    <m/>
    <m/>
    <n v="0"/>
    <m/>
    <m/>
    <n v="0"/>
    <n v="0"/>
    <n v="0"/>
    <n v="89968"/>
    <n v="89968"/>
    <m/>
    <m/>
    <n v="0"/>
    <m/>
    <m/>
    <n v="0"/>
    <m/>
    <m/>
    <m/>
    <m/>
    <m/>
    <m/>
    <n v="89968"/>
    <n v="89968"/>
  </r>
  <r>
    <x v="11"/>
    <x v="15"/>
    <s v="LIFE Scholarships Admin"/>
    <m/>
    <m/>
    <x v="12"/>
    <m/>
    <m/>
    <m/>
    <m/>
    <m/>
    <m/>
    <m/>
    <m/>
    <n v="0"/>
    <m/>
    <m/>
    <n v="0"/>
    <n v="0"/>
    <n v="0"/>
    <n v="260000"/>
    <n v="260000"/>
    <m/>
    <m/>
    <n v="0"/>
    <m/>
    <m/>
    <n v="0"/>
    <m/>
    <m/>
    <m/>
    <m/>
    <m/>
    <m/>
    <n v="260000"/>
    <n v="260000"/>
  </r>
  <r>
    <x v="11"/>
    <x v="16"/>
    <s v="Two-year system(s), if any"/>
    <m/>
    <m/>
    <x v="12"/>
    <m/>
    <m/>
    <m/>
    <m/>
    <m/>
    <m/>
    <m/>
    <m/>
    <n v="0"/>
    <m/>
    <m/>
    <n v="0"/>
    <n v="0"/>
    <n v="0"/>
    <m/>
    <m/>
    <m/>
    <m/>
    <n v="0"/>
    <m/>
    <m/>
    <n v="0"/>
    <m/>
    <m/>
    <m/>
    <m/>
    <m/>
    <m/>
    <n v="0"/>
    <n v="0"/>
  </r>
  <r>
    <x v="11"/>
    <x v="16"/>
    <s v="SC Tech College System"/>
    <m/>
    <m/>
    <x v="12"/>
    <m/>
    <m/>
    <m/>
    <m/>
    <m/>
    <m/>
    <m/>
    <m/>
    <n v="0"/>
    <m/>
    <m/>
    <n v="0"/>
    <n v="0"/>
    <n v="0"/>
    <n v="2817303"/>
    <n v="3151578"/>
    <m/>
    <m/>
    <n v="0"/>
    <m/>
    <m/>
    <n v="0"/>
    <m/>
    <m/>
    <m/>
    <m/>
    <m/>
    <m/>
    <n v="2817303"/>
    <n v="3151578"/>
  </r>
  <r>
    <x v="11"/>
    <x v="16"/>
    <s v="SC Tech College System-Fringe Benefits"/>
    <m/>
    <m/>
    <x v="12"/>
    <m/>
    <m/>
    <m/>
    <m/>
    <m/>
    <m/>
    <m/>
    <m/>
    <n v="0"/>
    <m/>
    <m/>
    <n v="0"/>
    <n v="0"/>
    <n v="0"/>
    <n v="142760"/>
    <n v="1711596"/>
    <m/>
    <m/>
    <n v="0"/>
    <m/>
    <m/>
    <n v="0"/>
    <m/>
    <m/>
    <m/>
    <m/>
    <m/>
    <m/>
    <n v="142760"/>
    <n v="1711596"/>
  </r>
  <r>
    <x v="11"/>
    <x v="16"/>
    <s v="SC Tech College System Data Processing Support"/>
    <m/>
    <m/>
    <x v="12"/>
    <m/>
    <m/>
    <m/>
    <m/>
    <m/>
    <m/>
    <m/>
    <m/>
    <n v="0"/>
    <m/>
    <m/>
    <n v="0"/>
    <n v="0"/>
    <n v="0"/>
    <n v="813646"/>
    <n v="813646"/>
    <m/>
    <m/>
    <n v="0"/>
    <m/>
    <m/>
    <n v="0"/>
    <m/>
    <m/>
    <m/>
    <m/>
    <m/>
    <m/>
    <n v="813646"/>
    <n v="813646"/>
  </r>
  <r>
    <x v="11"/>
    <x v="16"/>
    <s v="Innovative Technical Training"/>
    <m/>
    <m/>
    <x v="12"/>
    <m/>
    <m/>
    <m/>
    <m/>
    <m/>
    <m/>
    <m/>
    <m/>
    <n v="0"/>
    <m/>
    <m/>
    <n v="0"/>
    <n v="0"/>
    <n v="0"/>
    <n v="20571"/>
    <n v="20571"/>
    <m/>
    <m/>
    <n v="0"/>
    <m/>
    <m/>
    <n v="0"/>
    <m/>
    <m/>
    <m/>
    <m/>
    <m/>
    <m/>
    <n v="20571"/>
    <n v="20571"/>
  </r>
  <r>
    <x v="11"/>
    <x v="16"/>
    <s v="SBTCE Special Schools (Economic Development)"/>
    <m/>
    <m/>
    <x v="12"/>
    <m/>
    <m/>
    <m/>
    <m/>
    <m/>
    <m/>
    <m/>
    <m/>
    <n v="0"/>
    <m/>
    <m/>
    <n v="0"/>
    <n v="0"/>
    <n v="0"/>
    <n v="2354584"/>
    <n v="1134307"/>
    <m/>
    <m/>
    <n v="0"/>
    <m/>
    <m/>
    <n v="0"/>
    <m/>
    <m/>
    <m/>
    <m/>
    <m/>
    <m/>
    <n v="2354584"/>
    <n v="1134307"/>
  </r>
  <r>
    <x v="11"/>
    <x v="17"/>
    <s v="Other Direct Training Costs"/>
    <m/>
    <m/>
    <x v="12"/>
    <m/>
    <m/>
    <m/>
    <m/>
    <m/>
    <m/>
    <m/>
    <m/>
    <n v="0"/>
    <m/>
    <m/>
    <n v="0"/>
    <n v="0"/>
    <n v="0"/>
    <n v="1023916"/>
    <n v="1033566"/>
    <m/>
    <m/>
    <n v="0"/>
    <m/>
    <m/>
    <n v="0"/>
    <m/>
    <m/>
    <m/>
    <m/>
    <m/>
    <m/>
    <n v="1023916"/>
    <n v="1033566"/>
  </r>
  <r>
    <x v="11"/>
    <x v="16"/>
    <s v="SBTCE CATT (NR)"/>
    <m/>
    <m/>
    <x v="12"/>
    <m/>
    <m/>
    <m/>
    <m/>
    <m/>
    <m/>
    <m/>
    <m/>
    <n v="0"/>
    <m/>
    <m/>
    <n v="0"/>
    <n v="0"/>
    <n v="0"/>
    <n v="1000000"/>
    <n v="13250000"/>
    <m/>
    <m/>
    <n v="0"/>
    <m/>
    <m/>
    <n v="0"/>
    <m/>
    <m/>
    <m/>
    <m/>
    <m/>
    <m/>
    <n v="1000000"/>
    <n v="13250000"/>
  </r>
  <r>
    <x v="11"/>
    <x v="17"/>
    <s v="SBTCE CATT"/>
    <m/>
    <m/>
    <x v="12"/>
    <m/>
    <m/>
    <m/>
    <m/>
    <m/>
    <m/>
    <m/>
    <m/>
    <n v="0"/>
    <m/>
    <m/>
    <n v="0"/>
    <n v="0"/>
    <n v="0"/>
    <n v="1000000"/>
    <n v="7970379"/>
    <m/>
    <m/>
    <n v="0"/>
    <m/>
    <m/>
    <n v="0"/>
    <m/>
    <m/>
    <m/>
    <m/>
    <m/>
    <m/>
    <n v="1000000"/>
    <n v="7970379"/>
  </r>
  <r>
    <x v="11"/>
    <x v="17"/>
    <s v="National or regional associations, compacts or consortia"/>
    <m/>
    <m/>
    <x v="12"/>
    <m/>
    <m/>
    <m/>
    <m/>
    <m/>
    <m/>
    <m/>
    <m/>
    <n v="0"/>
    <m/>
    <m/>
    <n v="0"/>
    <n v="0"/>
    <n v="0"/>
    <m/>
    <m/>
    <m/>
    <m/>
    <n v="0"/>
    <m/>
    <m/>
    <n v="0"/>
    <m/>
    <m/>
    <m/>
    <m/>
    <m/>
    <m/>
    <n v="0"/>
    <n v="0"/>
  </r>
  <r>
    <x v="11"/>
    <x v="17"/>
    <s v="SREB"/>
    <m/>
    <m/>
    <x v="12"/>
    <m/>
    <m/>
    <m/>
    <m/>
    <m/>
    <m/>
    <m/>
    <m/>
    <n v="0"/>
    <m/>
    <m/>
    <n v="0"/>
    <n v="0"/>
    <n v="0"/>
    <n v="193550"/>
    <n v="193550"/>
    <m/>
    <m/>
    <n v="0"/>
    <m/>
    <m/>
    <n v="0"/>
    <m/>
    <m/>
    <m/>
    <m/>
    <m/>
    <m/>
    <n v="193550"/>
    <n v="193550"/>
  </r>
  <r>
    <x v="11"/>
    <x v="18"/>
    <s v="SREB - Technology Cooperative"/>
    <m/>
    <m/>
    <x v="12"/>
    <m/>
    <m/>
    <m/>
    <m/>
    <m/>
    <m/>
    <m/>
    <m/>
    <n v="0"/>
    <m/>
    <m/>
    <n v="0"/>
    <n v="0"/>
    <n v="0"/>
    <n v="8000"/>
    <n v="8000"/>
    <m/>
    <m/>
    <n v="0"/>
    <m/>
    <m/>
    <n v="0"/>
    <m/>
    <m/>
    <m/>
    <m/>
    <m/>
    <m/>
    <n v="8000"/>
    <n v="8000"/>
  </r>
  <r>
    <x v="11"/>
    <x v="18"/>
    <s v="Adm. of Statewide Student Aid Progs. (incldng centralized guaranteed student loans)"/>
    <m/>
    <m/>
    <x v="12"/>
    <m/>
    <m/>
    <m/>
    <m/>
    <m/>
    <m/>
    <m/>
    <m/>
    <n v="0"/>
    <m/>
    <m/>
    <n v="0"/>
    <n v="0"/>
    <n v="0"/>
    <m/>
    <m/>
    <m/>
    <m/>
    <n v="0"/>
    <m/>
    <m/>
    <n v="0"/>
    <m/>
    <m/>
    <m/>
    <m/>
    <m/>
    <m/>
    <n v="0"/>
    <n v="0"/>
  </r>
  <r>
    <x v="11"/>
    <x v="19"/>
    <s v="State Support to Private Colleges Other Than Student Aid"/>
    <m/>
    <m/>
    <x v="12"/>
    <m/>
    <m/>
    <m/>
    <m/>
    <m/>
    <m/>
    <m/>
    <m/>
    <n v="0"/>
    <m/>
    <m/>
    <n v="0"/>
    <n v="0"/>
    <n v="0"/>
    <m/>
    <m/>
    <m/>
    <m/>
    <n v="0"/>
    <m/>
    <m/>
    <n v="0"/>
    <m/>
    <m/>
    <m/>
    <m/>
    <m/>
    <m/>
    <n v="0"/>
    <n v="0"/>
  </r>
  <r>
    <x v="11"/>
    <x v="19"/>
    <s v="Higher Education Excellence Enhancement Program (Lottery)"/>
    <m/>
    <m/>
    <x v="12"/>
    <m/>
    <m/>
    <m/>
    <m/>
    <m/>
    <m/>
    <m/>
    <m/>
    <n v="0"/>
    <m/>
    <m/>
    <n v="0"/>
    <n v="0"/>
    <n v="0"/>
    <n v="3000000"/>
    <n v="3000000"/>
    <m/>
    <m/>
    <n v="0"/>
    <m/>
    <m/>
    <n v="0"/>
    <m/>
    <m/>
    <m/>
    <m/>
    <m/>
    <m/>
    <n v="3000000"/>
    <n v="3000000"/>
  </r>
  <r>
    <x v="11"/>
    <x v="20"/>
    <s v="Contract Education Programs"/>
    <m/>
    <m/>
    <x v="12"/>
    <m/>
    <m/>
    <m/>
    <m/>
    <m/>
    <m/>
    <m/>
    <m/>
    <n v="0"/>
    <m/>
    <m/>
    <n v="0"/>
    <n v="0"/>
    <n v="0"/>
    <m/>
    <m/>
    <m/>
    <m/>
    <n v="0"/>
    <m/>
    <m/>
    <n v="0"/>
    <m/>
    <m/>
    <m/>
    <m/>
    <m/>
    <m/>
    <n v="0"/>
    <n v="0"/>
  </r>
  <r>
    <x v="11"/>
    <x v="21"/>
    <s v="SREB contract program with private colleges"/>
    <m/>
    <m/>
    <x v="12"/>
    <m/>
    <m/>
    <m/>
    <m/>
    <m/>
    <m/>
    <m/>
    <m/>
    <n v="0"/>
    <m/>
    <m/>
    <n v="0"/>
    <n v="0"/>
    <n v="0"/>
    <m/>
    <m/>
    <m/>
    <m/>
    <n v="0"/>
    <m/>
    <m/>
    <n v="0"/>
    <m/>
    <m/>
    <m/>
    <m/>
    <m/>
    <m/>
    <n v="0"/>
    <n v="0"/>
  </r>
  <r>
    <x v="11"/>
    <x v="21"/>
    <s v="Tuskegee University (Veterinary Medicine)"/>
    <m/>
    <m/>
    <x v="12"/>
    <m/>
    <m/>
    <m/>
    <m/>
    <m/>
    <m/>
    <m/>
    <m/>
    <n v="0"/>
    <m/>
    <m/>
    <n v="0"/>
    <n v="0"/>
    <n v="0"/>
    <n v="400000"/>
    <n v="387000"/>
    <m/>
    <m/>
    <n v="0"/>
    <m/>
    <m/>
    <n v="0"/>
    <m/>
    <m/>
    <m/>
    <m/>
    <m/>
    <m/>
    <n v="400000"/>
    <n v="387000"/>
  </r>
  <r>
    <x v="11"/>
    <x v="21"/>
    <s v="Southern College of Optometry"/>
    <m/>
    <m/>
    <x v="12"/>
    <m/>
    <m/>
    <m/>
    <m/>
    <m/>
    <m/>
    <m/>
    <m/>
    <n v="0"/>
    <m/>
    <m/>
    <n v="0"/>
    <n v="0"/>
    <n v="0"/>
    <n v="171600"/>
    <n v="207200"/>
    <m/>
    <m/>
    <n v="0"/>
    <m/>
    <m/>
    <n v="0"/>
    <m/>
    <m/>
    <m/>
    <m/>
    <m/>
    <m/>
    <n v="171600"/>
    <n v="207200"/>
  </r>
  <r>
    <x v="11"/>
    <x v="22"/>
    <s v="SREB contract program with public colleges"/>
    <m/>
    <m/>
    <x v="12"/>
    <m/>
    <m/>
    <m/>
    <m/>
    <m/>
    <m/>
    <m/>
    <m/>
    <n v="0"/>
    <m/>
    <m/>
    <n v="0"/>
    <n v="0"/>
    <n v="0"/>
    <m/>
    <m/>
    <m/>
    <m/>
    <n v="0"/>
    <m/>
    <m/>
    <n v="0"/>
    <m/>
    <m/>
    <m/>
    <m/>
    <m/>
    <m/>
    <n v="0"/>
    <n v="0"/>
  </r>
  <r>
    <x v="11"/>
    <x v="22"/>
    <s v="University of Alabama at Birmingham (Optometry)"/>
    <m/>
    <m/>
    <x v="12"/>
    <m/>
    <m/>
    <m/>
    <m/>
    <m/>
    <m/>
    <m/>
    <m/>
    <n v="0"/>
    <m/>
    <m/>
    <n v="0"/>
    <n v="0"/>
    <n v="0"/>
    <n v="114400"/>
    <n v="59200"/>
    <m/>
    <m/>
    <n v="0"/>
    <m/>
    <m/>
    <n v="0"/>
    <m/>
    <m/>
    <m/>
    <m/>
    <m/>
    <m/>
    <n v="114400"/>
    <n v="59200"/>
  </r>
  <r>
    <x v="11"/>
    <x v="22"/>
    <s v="University of Georgia (Veterinary Medicine)"/>
    <m/>
    <m/>
    <x v="12"/>
    <m/>
    <m/>
    <m/>
    <m/>
    <m/>
    <m/>
    <m/>
    <m/>
    <n v="0"/>
    <m/>
    <m/>
    <n v="0"/>
    <n v="0"/>
    <n v="0"/>
    <n v="1675000"/>
    <n v="1728600"/>
    <m/>
    <m/>
    <n v="0"/>
    <m/>
    <m/>
    <n v="0"/>
    <m/>
    <m/>
    <m/>
    <m/>
    <m/>
    <m/>
    <n v="1675000"/>
    <n v="1728600"/>
  </r>
  <r>
    <x v="11"/>
    <x v="22"/>
    <s v="Mississippi State University (Veterinary Medicine)"/>
    <m/>
    <m/>
    <x v="12"/>
    <m/>
    <m/>
    <m/>
    <m/>
    <m/>
    <m/>
    <m/>
    <m/>
    <n v="0"/>
    <m/>
    <m/>
    <n v="0"/>
    <n v="0"/>
    <n v="0"/>
    <n v="500000"/>
    <n v="516000"/>
    <m/>
    <m/>
    <n v="0"/>
    <m/>
    <m/>
    <n v="0"/>
    <m/>
    <m/>
    <m/>
    <m/>
    <m/>
    <m/>
    <n v="500000"/>
    <n v="516000"/>
  </r>
  <r>
    <x v="11"/>
    <x v="23"/>
    <s v="Other contract education programs"/>
    <m/>
    <m/>
    <x v="12"/>
    <m/>
    <m/>
    <m/>
    <m/>
    <m/>
    <m/>
    <m/>
    <m/>
    <n v="0"/>
    <m/>
    <m/>
    <n v="0"/>
    <n v="0"/>
    <n v="0"/>
    <m/>
    <m/>
    <m/>
    <m/>
    <n v="0"/>
    <m/>
    <m/>
    <n v="0"/>
    <m/>
    <m/>
    <m/>
    <m/>
    <m/>
    <m/>
    <n v="0"/>
    <n v="0"/>
  </r>
  <r>
    <x v="11"/>
    <x v="23"/>
    <s v="Doctoral Scholars Program"/>
    <m/>
    <m/>
    <x v="12"/>
    <m/>
    <m/>
    <m/>
    <m/>
    <m/>
    <m/>
    <m/>
    <m/>
    <n v="0"/>
    <m/>
    <m/>
    <n v="0"/>
    <n v="0"/>
    <n v="0"/>
    <n v="300000"/>
    <n v="300000"/>
    <m/>
    <m/>
    <n v="0"/>
    <m/>
    <m/>
    <n v="0"/>
    <m/>
    <m/>
    <m/>
    <m/>
    <m/>
    <m/>
    <n v="300000"/>
    <n v="300000"/>
  </r>
  <r>
    <x v="11"/>
    <x v="23"/>
    <s v="North Carolina School of the Arts"/>
    <m/>
    <m/>
    <x v="12"/>
    <m/>
    <m/>
    <m/>
    <m/>
    <m/>
    <m/>
    <m/>
    <m/>
    <n v="0"/>
    <m/>
    <m/>
    <n v="0"/>
    <n v="0"/>
    <n v="0"/>
    <n v="7177"/>
    <n v="7177"/>
    <m/>
    <m/>
    <n v="0"/>
    <m/>
    <m/>
    <n v="0"/>
    <m/>
    <m/>
    <m/>
    <m/>
    <m/>
    <m/>
    <n v="7177"/>
    <n v="7177"/>
  </r>
  <r>
    <x v="11"/>
    <x v="24"/>
    <s v="Statewide Student Financial Aid Programs Administered Off Campus"/>
    <m/>
    <m/>
    <x v="12"/>
    <m/>
    <m/>
    <m/>
    <m/>
    <m/>
    <m/>
    <m/>
    <m/>
    <n v="0"/>
    <m/>
    <m/>
    <n v="0"/>
    <n v="0"/>
    <n v="0"/>
    <m/>
    <m/>
    <m/>
    <m/>
    <n v="0"/>
    <m/>
    <m/>
    <n v="0"/>
    <m/>
    <m/>
    <m/>
    <m/>
    <m/>
    <m/>
    <n v="0"/>
    <n v="0"/>
  </r>
  <r>
    <x v="11"/>
    <x v="25"/>
    <s v="Available to public &amp; private sector students"/>
    <m/>
    <m/>
    <x v="12"/>
    <m/>
    <m/>
    <m/>
    <m/>
    <m/>
    <m/>
    <m/>
    <m/>
    <n v="0"/>
    <m/>
    <m/>
    <n v="0"/>
    <n v="0"/>
    <n v="0"/>
    <m/>
    <m/>
    <m/>
    <m/>
    <n v="0"/>
    <m/>
    <m/>
    <n v="0"/>
    <m/>
    <m/>
    <m/>
    <m/>
    <m/>
    <m/>
    <n v="0"/>
    <n v="0"/>
  </r>
  <r>
    <x v="11"/>
    <x v="25"/>
    <s v="Life Scholarships"/>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140280693"/>
    <n v="142600786"/>
    <m/>
    <m/>
    <n v="0"/>
    <m/>
    <m/>
    <n v="0"/>
    <m/>
    <m/>
    <m/>
    <m/>
    <m/>
    <m/>
    <n v="140280693"/>
    <n v="142600786"/>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31609592"/>
    <n v="29529499"/>
    <m/>
    <m/>
    <n v="0"/>
    <m/>
    <m/>
    <n v="0"/>
    <m/>
    <m/>
    <m/>
    <m/>
    <m/>
    <m/>
    <n v="31609592"/>
    <n v="29529499"/>
  </r>
  <r>
    <x v="11"/>
    <x v="25"/>
    <s v="Lottery Tuition Assistance Program"/>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46297087"/>
    <n v="48499526"/>
    <m/>
    <m/>
    <n v="0"/>
    <m/>
    <m/>
    <n v="0"/>
    <m/>
    <m/>
    <m/>
    <m/>
    <m/>
    <m/>
    <n v="46297087"/>
    <n v="48499526"/>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702913"/>
    <n v="600474"/>
    <m/>
    <m/>
    <n v="0"/>
    <m/>
    <m/>
    <n v="0"/>
    <m/>
    <m/>
    <m/>
    <m/>
    <m/>
    <m/>
    <n v="702913"/>
    <n v="600474"/>
  </r>
  <r>
    <x v="11"/>
    <x v="25"/>
    <s v="  Palmetto Fellows Scholarships"/>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32308537"/>
    <n v="39182845"/>
    <m/>
    <m/>
    <n v="0"/>
    <m/>
    <m/>
    <n v="0"/>
    <m/>
    <m/>
    <m/>
    <m/>
    <m/>
    <m/>
    <n v="32308537"/>
    <n v="39182845"/>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9968703"/>
    <n v="10703822"/>
    <m/>
    <m/>
    <n v="0"/>
    <m/>
    <m/>
    <n v="0"/>
    <m/>
    <m/>
    <m/>
    <m/>
    <m/>
    <m/>
    <n v="9968703"/>
    <n v="10703822"/>
  </r>
  <r>
    <x v="11"/>
    <x v="25"/>
    <s v="SC HOPE"/>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6081326"/>
    <n v="5885114"/>
    <m/>
    <m/>
    <n v="0"/>
    <m/>
    <m/>
    <n v="0"/>
    <m/>
    <m/>
    <m/>
    <m/>
    <m/>
    <m/>
    <n v="6081326"/>
    <n v="5885114"/>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2173875"/>
    <n v="2126469"/>
    <m/>
    <m/>
    <n v="0"/>
    <m/>
    <m/>
    <n v="0"/>
    <m/>
    <m/>
    <m/>
    <m/>
    <m/>
    <m/>
    <n v="2173875"/>
    <n v="2126469"/>
  </r>
  <r>
    <x v="11"/>
    <x v="25"/>
    <s v="SC Need-Based Grants"/>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n v="19050328"/>
    <n v="22965949"/>
    <m/>
    <m/>
    <n v="0"/>
    <m/>
    <m/>
    <n v="0"/>
    <m/>
    <m/>
    <m/>
    <m/>
    <m/>
    <m/>
    <n v="19050328"/>
    <n v="22965949"/>
  </r>
  <r>
    <x v="11"/>
    <x v="30"/>
    <s v="Non need-based"/>
    <m/>
    <m/>
    <x v="12"/>
    <m/>
    <m/>
    <m/>
    <m/>
    <m/>
    <m/>
    <m/>
    <m/>
    <n v="0"/>
    <m/>
    <m/>
    <n v="0"/>
    <n v="0"/>
    <n v="0"/>
    <m/>
    <m/>
    <m/>
    <m/>
    <n v="0"/>
    <m/>
    <m/>
    <n v="0"/>
    <m/>
    <m/>
    <m/>
    <m/>
    <m/>
    <m/>
    <n v="0"/>
    <n v="0"/>
  </r>
  <r>
    <x v="11"/>
    <x v="31"/>
    <s v="Amount to private sector students"/>
    <m/>
    <m/>
    <x v="12"/>
    <m/>
    <m/>
    <m/>
    <m/>
    <m/>
    <m/>
    <m/>
    <m/>
    <n v="0"/>
    <m/>
    <m/>
    <n v="0"/>
    <n v="0"/>
    <n v="0"/>
    <m/>
    <m/>
    <m/>
    <m/>
    <n v="0"/>
    <m/>
    <m/>
    <n v="0"/>
    <m/>
    <m/>
    <m/>
    <m/>
    <m/>
    <m/>
    <n v="0"/>
    <n v="0"/>
  </r>
  <r>
    <x v="11"/>
    <x v="32"/>
    <s v="Need-based"/>
    <m/>
    <m/>
    <x v="12"/>
    <m/>
    <m/>
    <m/>
    <m/>
    <m/>
    <m/>
    <m/>
    <m/>
    <n v="0"/>
    <m/>
    <m/>
    <n v="0"/>
    <n v="0"/>
    <n v="0"/>
    <n v="4581238"/>
    <n v="4665617"/>
    <m/>
    <m/>
    <n v="0"/>
    <m/>
    <m/>
    <n v="0"/>
    <m/>
    <m/>
    <m/>
    <m/>
    <m/>
    <m/>
    <n v="4581238"/>
    <n v="4665617"/>
  </r>
  <r>
    <x v="11"/>
    <x v="33"/>
    <s v="Non need-based"/>
    <m/>
    <m/>
    <x v="12"/>
    <m/>
    <m/>
    <m/>
    <m/>
    <m/>
    <m/>
    <m/>
    <m/>
    <n v="0"/>
    <m/>
    <m/>
    <n v="0"/>
    <n v="0"/>
    <n v="0"/>
    <m/>
    <s v=" "/>
    <m/>
    <m/>
    <n v="0"/>
    <m/>
    <m/>
    <n v="0"/>
    <m/>
    <m/>
    <m/>
    <m/>
    <m/>
    <m/>
    <n v="0"/>
    <n v="0"/>
  </r>
  <r>
    <x v="11"/>
    <x v="25"/>
    <s v="National Guard College Assistance Program"/>
    <m/>
    <m/>
    <x v="12"/>
    <m/>
    <m/>
    <m/>
    <m/>
    <m/>
    <m/>
    <m/>
    <m/>
    <n v="0"/>
    <m/>
    <m/>
    <n v="0"/>
    <n v="0"/>
    <n v="0"/>
    <m/>
    <m/>
    <m/>
    <m/>
    <n v="0"/>
    <m/>
    <m/>
    <n v="0"/>
    <m/>
    <m/>
    <m/>
    <m/>
    <m/>
    <m/>
    <n v="0"/>
    <n v="0"/>
  </r>
  <r>
    <x v="11"/>
    <x v="26"/>
    <s v="Need-based"/>
    <m/>
    <m/>
    <x v="12"/>
    <m/>
    <m/>
    <m/>
    <m/>
    <m/>
    <m/>
    <m/>
    <m/>
    <n v="0"/>
    <m/>
    <m/>
    <n v="0"/>
    <n v="0"/>
    <n v="0"/>
    <m/>
    <m/>
    <m/>
    <m/>
    <n v="0"/>
    <m/>
    <m/>
    <n v="0"/>
    <m/>
    <m/>
    <m/>
    <m/>
    <m/>
    <m/>
    <n v="0"/>
    <n v="0"/>
  </r>
  <r>
    <x v="11"/>
    <x v="27"/>
    <s v="Non need-based"/>
    <m/>
    <m/>
    <x v="12"/>
    <m/>
    <m/>
    <m/>
    <m/>
    <m/>
    <m/>
    <m/>
    <m/>
    <n v="0"/>
    <m/>
    <m/>
    <n v="0"/>
    <n v="0"/>
    <n v="0"/>
    <n v="1700000"/>
    <n v="1700000"/>
    <m/>
    <m/>
    <n v="0"/>
    <m/>
    <m/>
    <n v="0"/>
    <m/>
    <m/>
    <m/>
    <m/>
    <m/>
    <m/>
    <n v="1700000"/>
    <n v="1700000"/>
  </r>
  <r>
    <x v="11"/>
    <x v="34"/>
    <s v="Limited to public college students"/>
    <m/>
    <m/>
    <x v="12"/>
    <m/>
    <m/>
    <m/>
    <m/>
    <m/>
    <m/>
    <m/>
    <m/>
    <n v="0"/>
    <m/>
    <m/>
    <n v="0"/>
    <n v="0"/>
    <n v="0"/>
    <m/>
    <m/>
    <m/>
    <m/>
    <n v="0"/>
    <m/>
    <m/>
    <n v="0"/>
    <m/>
    <m/>
    <m/>
    <m/>
    <m/>
    <m/>
    <n v="0"/>
    <n v="0"/>
  </r>
  <r>
    <x v="11"/>
    <x v="37"/>
    <s v="Limited to private college students"/>
    <m/>
    <m/>
    <x v="12"/>
    <m/>
    <m/>
    <m/>
    <m/>
    <m/>
    <m/>
    <m/>
    <m/>
    <n v="0"/>
    <m/>
    <m/>
    <n v="0"/>
    <n v="0"/>
    <n v="0"/>
    <m/>
    <m/>
    <m/>
    <m/>
    <n v="0"/>
    <m/>
    <m/>
    <n v="0"/>
    <m/>
    <m/>
    <m/>
    <m/>
    <m/>
    <m/>
    <n v="0"/>
    <n v="0"/>
  </r>
  <r>
    <x v="11"/>
    <x v="37"/>
    <s v="S.C. Tuition Grants"/>
    <m/>
    <m/>
    <x v="12"/>
    <m/>
    <m/>
    <m/>
    <m/>
    <m/>
    <m/>
    <m/>
    <m/>
    <n v="0"/>
    <m/>
    <m/>
    <n v="0"/>
    <n v="0"/>
    <n v="0"/>
    <m/>
    <m/>
    <m/>
    <m/>
    <n v="0"/>
    <m/>
    <m/>
    <n v="0"/>
    <m/>
    <m/>
    <m/>
    <m/>
    <m/>
    <m/>
    <n v="0"/>
    <n v="0"/>
  </r>
  <r>
    <x v="11"/>
    <x v="38"/>
    <s v="Need-based"/>
    <m/>
    <m/>
    <x v="12"/>
    <m/>
    <m/>
    <m/>
    <m/>
    <m/>
    <m/>
    <m/>
    <m/>
    <n v="0"/>
    <m/>
    <m/>
    <n v="0"/>
    <n v="0"/>
    <n v="0"/>
    <n v="29503042"/>
    <n v="29363042"/>
    <m/>
    <m/>
    <n v="0"/>
    <m/>
    <m/>
    <n v="0"/>
    <m/>
    <m/>
    <m/>
    <m/>
    <m/>
    <m/>
    <n v="29503042"/>
    <n v="29363042"/>
  </r>
  <r>
    <x v="11"/>
    <x v="39"/>
    <s v="Non need-based"/>
    <m/>
    <m/>
    <x v="12"/>
    <m/>
    <m/>
    <m/>
    <m/>
    <m/>
    <m/>
    <m/>
    <m/>
    <n v="0"/>
    <m/>
    <m/>
    <n v="0"/>
    <n v="0"/>
    <n v="0"/>
    <m/>
    <m/>
    <m/>
    <m/>
    <n v="0"/>
    <m/>
    <m/>
    <n v="0"/>
    <m/>
    <m/>
    <m/>
    <m/>
    <m/>
    <m/>
    <n v="0"/>
    <n v="0"/>
  </r>
  <r>
    <x v="12"/>
    <x v="0"/>
    <s v="University of Memphis"/>
    <m/>
    <n v="220862"/>
    <x v="0"/>
    <n v="97973472"/>
    <n v="99642860"/>
    <m/>
    <m/>
    <m/>
    <m/>
    <n v="151004967"/>
    <n v="4255136"/>
    <n v="155260103"/>
    <n v="159874741"/>
    <n v="4045100"/>
    <n v="163919841"/>
    <n v="248978439"/>
    <n v="259517601"/>
    <m/>
    <m/>
    <m/>
    <m/>
    <n v="0"/>
    <m/>
    <m/>
    <n v="0"/>
    <m/>
    <m/>
    <m/>
    <m/>
    <m/>
    <m/>
    <n v="248978439"/>
    <n v="259517601"/>
  </r>
  <r>
    <x v="12"/>
    <x v="0"/>
    <s v="University of Tennessee, Knoxville"/>
    <m/>
    <n v="221759"/>
    <x v="0"/>
    <n v="153760768"/>
    <n v="162203609.7920163"/>
    <m/>
    <m/>
    <m/>
    <m/>
    <n v="239257900"/>
    <n v="1100000"/>
    <n v="240357900"/>
    <n v="256774464"/>
    <n v="1100000"/>
    <n v="257874464"/>
    <n v="393018668"/>
    <n v="418978073.79201627"/>
    <m/>
    <m/>
    <m/>
    <m/>
    <n v="0"/>
    <m/>
    <m/>
    <n v="0"/>
    <m/>
    <m/>
    <m/>
    <m/>
    <m/>
    <m/>
    <n v="393018668"/>
    <n v="418978073.79201627"/>
  </r>
  <r>
    <x v="12"/>
    <x v="3"/>
    <s v="Community/Public Service Units"/>
    <m/>
    <n v="221759"/>
    <x v="0"/>
    <m/>
    <m/>
    <m/>
    <m/>
    <m/>
    <m/>
    <m/>
    <m/>
    <n v="0"/>
    <m/>
    <m/>
    <n v="0"/>
    <n v="0"/>
    <n v="0"/>
    <m/>
    <m/>
    <m/>
    <m/>
    <n v="0"/>
    <m/>
    <m/>
    <n v="0"/>
    <m/>
    <m/>
    <m/>
    <m/>
    <m/>
    <m/>
    <n v="0"/>
    <n v="0"/>
  </r>
  <r>
    <x v="12"/>
    <x v="3"/>
    <s v="Municipal Technology Advisory Service"/>
    <m/>
    <n v="221759"/>
    <x v="0"/>
    <m/>
    <m/>
    <n v="2571285"/>
    <n v="2737969"/>
    <m/>
    <m/>
    <m/>
    <m/>
    <n v="0"/>
    <m/>
    <m/>
    <n v="0"/>
    <n v="2571285"/>
    <n v="2737969"/>
    <m/>
    <m/>
    <m/>
    <m/>
    <n v="0"/>
    <m/>
    <m/>
    <n v="0"/>
    <m/>
    <m/>
    <m/>
    <m/>
    <m/>
    <m/>
    <n v="2571285"/>
    <n v="2737969"/>
  </r>
  <r>
    <x v="12"/>
    <x v="3"/>
    <s v="County Technology Advisory Service"/>
    <m/>
    <n v="221759"/>
    <x v="0"/>
    <m/>
    <m/>
    <n v="1534985"/>
    <n v="1650969"/>
    <m/>
    <m/>
    <m/>
    <m/>
    <n v="0"/>
    <m/>
    <m/>
    <n v="0"/>
    <n v="1534985"/>
    <n v="1650969"/>
    <m/>
    <m/>
    <m/>
    <m/>
    <n v="0"/>
    <m/>
    <m/>
    <n v="0"/>
    <m/>
    <m/>
    <m/>
    <m/>
    <m/>
    <m/>
    <n v="1534985"/>
    <n v="1650969"/>
  </r>
  <r>
    <x v="12"/>
    <x v="3"/>
    <s v="Institute for Public Service"/>
    <m/>
    <n v="221759"/>
    <x v="0"/>
    <m/>
    <m/>
    <n v="4371815"/>
    <n v="5058459"/>
    <m/>
    <m/>
    <m/>
    <m/>
    <n v="0"/>
    <m/>
    <m/>
    <n v="0"/>
    <n v="4371815"/>
    <n v="5058459"/>
    <m/>
    <m/>
    <m/>
    <m/>
    <n v="0"/>
    <m/>
    <m/>
    <n v="0"/>
    <m/>
    <m/>
    <m/>
    <m/>
    <m/>
    <m/>
    <n v="4371815"/>
    <n v="5058459"/>
  </r>
  <r>
    <x v="12"/>
    <x v="5"/>
    <s v="Agricultural cooperative extension"/>
    <m/>
    <n v="221759"/>
    <x v="0"/>
    <m/>
    <m/>
    <n v="28107881"/>
    <n v="29580016"/>
    <m/>
    <m/>
    <m/>
    <m/>
    <n v="0"/>
    <m/>
    <m/>
    <n v="0"/>
    <n v="28107881"/>
    <n v="29580016"/>
    <m/>
    <m/>
    <m/>
    <m/>
    <n v="0"/>
    <m/>
    <m/>
    <n v="0"/>
    <m/>
    <m/>
    <m/>
    <m/>
    <m/>
    <m/>
    <n v="28107881"/>
    <n v="29580016"/>
  </r>
  <r>
    <x v="12"/>
    <x v="6"/>
    <s v="Agricultural experiment stations"/>
    <m/>
    <n v="221759"/>
    <x v="0"/>
    <m/>
    <m/>
    <n v="23333760"/>
    <n v="24480573"/>
    <m/>
    <m/>
    <m/>
    <m/>
    <n v="0"/>
    <m/>
    <m/>
    <n v="0"/>
    <n v="23333760"/>
    <n v="24480573"/>
    <m/>
    <m/>
    <m/>
    <m/>
    <n v="0"/>
    <m/>
    <m/>
    <n v="0"/>
    <m/>
    <m/>
    <m/>
    <m/>
    <m/>
    <m/>
    <n v="23333760"/>
    <n v="24480573"/>
  </r>
  <r>
    <x v="12"/>
    <x v="0"/>
    <s v="Tennessee State University "/>
    <m/>
    <n v="221838"/>
    <x v="1"/>
    <n v="33047340"/>
    <n v="34167155"/>
    <m/>
    <m/>
    <m/>
    <m/>
    <n v="65744000"/>
    <n v="1576000"/>
    <n v="67320000"/>
    <n v="65496600"/>
    <n v="1500000"/>
    <n v="66996600"/>
    <n v="98791340"/>
    <n v="99663755"/>
    <m/>
    <m/>
    <m/>
    <m/>
    <n v="0"/>
    <m/>
    <m/>
    <n v="0"/>
    <m/>
    <m/>
    <m/>
    <m/>
    <m/>
    <m/>
    <n v="98791340"/>
    <n v="99663755"/>
  </r>
  <r>
    <x v="12"/>
    <x v="5"/>
    <s v="Agricultural experiment stations"/>
    <m/>
    <n v="221838"/>
    <x v="1"/>
    <m/>
    <m/>
    <m/>
    <m/>
    <m/>
    <m/>
    <m/>
    <m/>
    <n v="0"/>
    <m/>
    <m/>
    <n v="0"/>
    <n v="0"/>
    <n v="0"/>
    <m/>
    <m/>
    <m/>
    <m/>
    <n v="0"/>
    <m/>
    <m/>
    <n v="0"/>
    <m/>
    <m/>
    <m/>
    <m/>
    <m/>
    <m/>
    <n v="0"/>
    <n v="0"/>
  </r>
  <r>
    <x v="12"/>
    <x v="5"/>
    <s v="McMinnville Center Station"/>
    <m/>
    <n v="221838"/>
    <x v="1"/>
    <m/>
    <m/>
    <n v="528800"/>
    <n v="543600"/>
    <m/>
    <m/>
    <m/>
    <m/>
    <n v="0"/>
    <m/>
    <m/>
    <n v="0"/>
    <n v="528800"/>
    <n v="543600"/>
    <m/>
    <m/>
    <m/>
    <m/>
    <n v="0"/>
    <m/>
    <m/>
    <n v="0"/>
    <m/>
    <m/>
    <m/>
    <m/>
    <m/>
    <m/>
    <n v="528800"/>
    <n v="543600"/>
  </r>
  <r>
    <x v="12"/>
    <x v="5"/>
    <s v="TSU Institute of Agr and Environmental Research"/>
    <m/>
    <n v="221838"/>
    <x v="1"/>
    <m/>
    <m/>
    <n v="2145000"/>
    <n v="2208900"/>
    <m/>
    <m/>
    <m/>
    <m/>
    <n v="0"/>
    <m/>
    <m/>
    <n v="0"/>
    <n v="2145000"/>
    <n v="2208900"/>
    <m/>
    <m/>
    <m/>
    <m/>
    <n v="0"/>
    <m/>
    <m/>
    <n v="0"/>
    <m/>
    <m/>
    <m/>
    <m/>
    <m/>
    <m/>
    <n v="2145000"/>
    <n v="2208900"/>
  </r>
  <r>
    <x v="12"/>
    <x v="5"/>
    <s v="TSU Cooperative Education"/>
    <m/>
    <n v="221838"/>
    <x v="1"/>
    <m/>
    <m/>
    <n v="2918200"/>
    <n v="3010500"/>
    <m/>
    <m/>
    <m/>
    <m/>
    <n v="0"/>
    <m/>
    <m/>
    <n v="0"/>
    <n v="2918200"/>
    <n v="3010500"/>
    <m/>
    <m/>
    <m/>
    <m/>
    <n v="0"/>
    <m/>
    <m/>
    <n v="0"/>
    <m/>
    <m/>
    <m/>
    <m/>
    <m/>
    <m/>
    <n v="2918200"/>
    <n v="3010500"/>
  </r>
  <r>
    <x v="12"/>
    <x v="5"/>
    <s v="TSU McIntire-Stennis Forestry Research"/>
    <m/>
    <n v="221838"/>
    <x v="1"/>
    <m/>
    <m/>
    <n v="170600"/>
    <n v="174100"/>
    <m/>
    <m/>
    <m/>
    <m/>
    <n v="0"/>
    <m/>
    <m/>
    <n v="0"/>
    <n v="170600"/>
    <n v="174100"/>
    <m/>
    <m/>
    <m/>
    <m/>
    <n v="0"/>
    <m/>
    <m/>
    <n v="0"/>
    <m/>
    <m/>
    <m/>
    <m/>
    <m/>
    <m/>
    <n v="170600"/>
    <n v="174100"/>
  </r>
  <r>
    <x v="12"/>
    <x v="0"/>
    <s v="Austin Peay State University "/>
    <m/>
    <n v="219602"/>
    <x v="2"/>
    <n v="27676325"/>
    <n v="29936158.329999998"/>
    <m/>
    <m/>
    <m/>
    <m/>
    <n v="60710300"/>
    <n v="2300000"/>
    <n v="63010300"/>
    <n v="62016400"/>
    <n v="2370800"/>
    <n v="64387200"/>
    <n v="88386625"/>
    <n v="91952558.329999998"/>
    <m/>
    <m/>
    <m/>
    <m/>
    <n v="0"/>
    <m/>
    <m/>
    <n v="0"/>
    <m/>
    <m/>
    <m/>
    <m/>
    <m/>
    <m/>
    <n v="88386625"/>
    <n v="91952558.329999998"/>
  </r>
  <r>
    <x v="12"/>
    <x v="0"/>
    <s v="East Tennessee State University "/>
    <m/>
    <n v="220075"/>
    <x v="2"/>
    <n v="47591561"/>
    <n v="48191905.329999998"/>
    <m/>
    <m/>
    <m/>
    <m/>
    <n v="92047170"/>
    <n v="2641000"/>
    <n v="94688170"/>
    <n v="101066380"/>
    <n v="2641000"/>
    <n v="103707380"/>
    <n v="139638731"/>
    <n v="149258285.32999998"/>
    <m/>
    <m/>
    <m/>
    <m/>
    <n v="0"/>
    <m/>
    <m/>
    <n v="0"/>
    <m/>
    <m/>
    <m/>
    <m/>
    <m/>
    <m/>
    <n v="139638731"/>
    <n v="149258285.32999998"/>
  </r>
  <r>
    <x v="12"/>
    <x v="1"/>
    <s v="Medical School"/>
    <m/>
    <n v="220075"/>
    <x v="2"/>
    <m/>
    <m/>
    <m/>
    <m/>
    <m/>
    <m/>
    <m/>
    <m/>
    <n v="0"/>
    <m/>
    <m/>
    <n v="0"/>
    <n v="0"/>
    <n v="0"/>
    <m/>
    <m/>
    <m/>
    <m/>
    <n v="0"/>
    <m/>
    <m/>
    <n v="0"/>
    <n v="31519300"/>
    <n v="33277200"/>
    <n v="8332900"/>
    <n v="188300"/>
    <n v="8874700"/>
    <n v="166600"/>
    <n v="39852200"/>
    <n v="42151900"/>
  </r>
  <r>
    <x v="12"/>
    <x v="0"/>
    <s v="Middle Tennessee State University "/>
    <m/>
    <n v="220978"/>
    <x v="2"/>
    <n v="75977728"/>
    <n v="79109080"/>
    <m/>
    <m/>
    <m/>
    <m/>
    <n v="157353100"/>
    <n v="10153500"/>
    <n v="167506600"/>
    <n v="161137600"/>
    <n v="9587500"/>
    <n v="170725100"/>
    <n v="233330828"/>
    <n v="240246680"/>
    <m/>
    <m/>
    <m/>
    <m/>
    <n v="0"/>
    <m/>
    <m/>
    <n v="0"/>
    <m/>
    <m/>
    <m/>
    <m/>
    <m/>
    <m/>
    <n v="233330828"/>
    <n v="240246680"/>
  </r>
  <r>
    <x v="12"/>
    <x v="0"/>
    <s v="Tennessee Technological University "/>
    <m/>
    <n v="221847"/>
    <x v="2"/>
    <n v="40197840"/>
    <n v="41449740"/>
    <m/>
    <m/>
    <m/>
    <m/>
    <n v="65596300"/>
    <n v="568300"/>
    <n v="66164600"/>
    <n v="73123680"/>
    <n v="578300"/>
    <n v="73701980"/>
    <n v="105794140"/>
    <n v="114573420"/>
    <m/>
    <m/>
    <m/>
    <m/>
    <n v="0"/>
    <m/>
    <m/>
    <n v="0"/>
    <m/>
    <m/>
    <m/>
    <m/>
    <m/>
    <m/>
    <n v="105794140"/>
    <n v="114573420"/>
  </r>
  <r>
    <x v="12"/>
    <x v="0"/>
    <s v="University of Tennessee at Chattanooga"/>
    <m/>
    <n v="221740"/>
    <x v="2"/>
    <n v="36035946"/>
    <n v="36692961.896684311"/>
    <m/>
    <m/>
    <m/>
    <m/>
    <n v="62036210"/>
    <n v="2500000"/>
    <n v="64536210"/>
    <n v="69129303"/>
    <n v="3000000"/>
    <n v="72129303"/>
    <n v="98072156"/>
    <n v="105822264.89668432"/>
    <m/>
    <m/>
    <m/>
    <m/>
    <n v="0"/>
    <m/>
    <m/>
    <n v="0"/>
    <m/>
    <m/>
    <m/>
    <m/>
    <m/>
    <m/>
    <n v="98072156"/>
    <n v="105822264.89668432"/>
  </r>
  <r>
    <x v="12"/>
    <x v="0"/>
    <s v="University of Tennessee at Martin"/>
    <m/>
    <n v="221768"/>
    <x v="4"/>
    <n v="25588201"/>
    <n v="26633618.531082422"/>
    <m/>
    <m/>
    <m/>
    <m/>
    <n v="47601500"/>
    <n v="2500000"/>
    <n v="50101500"/>
    <n v="50002855"/>
    <n v="2500000"/>
    <n v="52502855"/>
    <n v="73189701"/>
    <n v="76636473.531082422"/>
    <m/>
    <m/>
    <m/>
    <m/>
    <n v="0"/>
    <m/>
    <m/>
    <n v="0"/>
    <m/>
    <m/>
    <m/>
    <m/>
    <m/>
    <m/>
    <n v="73189701"/>
    <n v="76636473.531082422"/>
  </r>
  <r>
    <x v="12"/>
    <x v="0"/>
    <s v="Chattanooga State Technical Community College "/>
    <m/>
    <n v="219824"/>
    <x v="6"/>
    <n v="20797342"/>
    <n v="22396107.111578938"/>
    <m/>
    <m/>
    <m/>
    <m/>
    <n v="30825000"/>
    <m/>
    <n v="30825000"/>
    <n v="31250000"/>
    <m/>
    <n v="31250000"/>
    <n v="51622342"/>
    <n v="53646107.111578941"/>
    <m/>
    <m/>
    <m/>
    <m/>
    <n v="0"/>
    <m/>
    <m/>
    <n v="0"/>
    <m/>
    <m/>
    <m/>
    <m/>
    <m/>
    <m/>
    <n v="51622342"/>
    <n v="53646107.111578941"/>
  </r>
  <r>
    <x v="12"/>
    <x v="0"/>
    <s v="Nashville State Technical Community College"/>
    <m/>
    <n v="221184"/>
    <x v="6"/>
    <n v="14125604"/>
    <n v="14678041.782376755"/>
    <m/>
    <m/>
    <m/>
    <m/>
    <n v="25410400"/>
    <m/>
    <n v="25410400"/>
    <n v="25124800"/>
    <m/>
    <n v="25124800"/>
    <n v="39536004"/>
    <n v="39802841.782376751"/>
    <m/>
    <m/>
    <m/>
    <m/>
    <n v="0"/>
    <m/>
    <m/>
    <n v="0"/>
    <m/>
    <m/>
    <m/>
    <m/>
    <m/>
    <m/>
    <n v="39536004"/>
    <n v="39802841.782376751"/>
  </r>
  <r>
    <x v="12"/>
    <x v="0"/>
    <s v="Pellissippi State Technical Community College"/>
    <m/>
    <n v="221643"/>
    <x v="6"/>
    <n v="19168340"/>
    <n v="20866585.360912781"/>
    <m/>
    <m/>
    <m/>
    <m/>
    <n v="33460000"/>
    <n v="330000"/>
    <n v="33790000"/>
    <n v="32420000"/>
    <n v="330000"/>
    <n v="32750000"/>
    <n v="52628340"/>
    <n v="53286585.360912785"/>
    <m/>
    <m/>
    <m/>
    <m/>
    <n v="0"/>
    <m/>
    <m/>
    <n v="0"/>
    <m/>
    <m/>
    <m/>
    <m/>
    <m/>
    <m/>
    <n v="52628340"/>
    <n v="53286585.360912785"/>
  </r>
  <r>
    <x v="12"/>
    <x v="0"/>
    <s v="Southwest Tennessee Community College"/>
    <m/>
    <n v="221485"/>
    <x v="6"/>
    <n v="32773596"/>
    <n v="32240883.349216558"/>
    <m/>
    <m/>
    <m/>
    <m/>
    <n v="39115900"/>
    <m/>
    <n v="39115900"/>
    <n v="38724700"/>
    <m/>
    <n v="38724700"/>
    <n v="71889496"/>
    <n v="70965583.349216551"/>
    <m/>
    <m/>
    <m/>
    <m/>
    <n v="0"/>
    <m/>
    <m/>
    <n v="0"/>
    <m/>
    <m/>
    <m/>
    <m/>
    <m/>
    <m/>
    <n v="71889496"/>
    <n v="70965583.349216551"/>
  </r>
  <r>
    <x v="12"/>
    <x v="0"/>
    <s v="Volunteer State Community College "/>
    <m/>
    <n v="222053"/>
    <x v="6"/>
    <n v="15807600"/>
    <n v="16105116.826886179"/>
    <m/>
    <m/>
    <m/>
    <m/>
    <n v="22114950"/>
    <m/>
    <n v="22114950"/>
    <n v="23279300"/>
    <m/>
    <n v="23279300"/>
    <n v="37922550"/>
    <n v="39384416.826886177"/>
    <m/>
    <m/>
    <m/>
    <m/>
    <n v="0"/>
    <m/>
    <m/>
    <n v="0"/>
    <m/>
    <m/>
    <m/>
    <m/>
    <m/>
    <m/>
    <n v="37922550"/>
    <n v="39384416.826886177"/>
  </r>
  <r>
    <x v="12"/>
    <x v="0"/>
    <s v="Cleveland State Community College "/>
    <m/>
    <n v="219879"/>
    <x v="7"/>
    <n v="9188135"/>
    <n v="9108168.1996789481"/>
    <m/>
    <m/>
    <m/>
    <m/>
    <n v="10832400"/>
    <m/>
    <n v="10832400"/>
    <n v="10611800"/>
    <m/>
    <n v="10611800"/>
    <n v="20020535"/>
    <n v="19719968.19967895"/>
    <m/>
    <m/>
    <m/>
    <m/>
    <n v="0"/>
    <m/>
    <m/>
    <n v="0"/>
    <m/>
    <m/>
    <m/>
    <m/>
    <m/>
    <m/>
    <n v="20020535"/>
    <n v="19719968.19967895"/>
  </r>
  <r>
    <x v="12"/>
    <x v="0"/>
    <s v="Columbia State Community College "/>
    <m/>
    <n v="219888"/>
    <x v="7"/>
    <n v="11733140"/>
    <n v="11768762.370349752"/>
    <m/>
    <m/>
    <m/>
    <m/>
    <n v="14047400"/>
    <m/>
    <n v="14047400"/>
    <n v="13650700"/>
    <m/>
    <n v="13650700"/>
    <n v="25780540"/>
    <n v="25419462.37034975"/>
    <m/>
    <m/>
    <m/>
    <m/>
    <n v="0"/>
    <m/>
    <m/>
    <n v="0"/>
    <m/>
    <m/>
    <m/>
    <m/>
    <m/>
    <m/>
    <n v="25780540"/>
    <n v="25419462.37034975"/>
  </r>
  <r>
    <x v="12"/>
    <x v="0"/>
    <s v="Dyersburg State Community College "/>
    <m/>
    <n v="220057"/>
    <x v="7"/>
    <n v="6743880"/>
    <n v="7143990.088208111"/>
    <m/>
    <m/>
    <m/>
    <m/>
    <n v="9394700"/>
    <m/>
    <n v="9394700"/>
    <n v="9358600"/>
    <m/>
    <n v="9358600"/>
    <n v="16138580"/>
    <n v="16502590.088208111"/>
    <m/>
    <m/>
    <m/>
    <m/>
    <n v="0"/>
    <m/>
    <m/>
    <n v="0"/>
    <m/>
    <m/>
    <m/>
    <m/>
    <m/>
    <m/>
    <n v="16138580"/>
    <n v="16502590.088208111"/>
  </r>
  <r>
    <x v="12"/>
    <x v="0"/>
    <s v="Jackson State Community College "/>
    <m/>
    <n v="220400"/>
    <x v="7"/>
    <n v="10819880"/>
    <n v="11304820.50162958"/>
    <m/>
    <m/>
    <m/>
    <m/>
    <n v="14290500"/>
    <m/>
    <n v="14290500"/>
    <n v="13568800"/>
    <m/>
    <n v="13568800"/>
    <n v="25110380"/>
    <n v="24873620.50162958"/>
    <m/>
    <m/>
    <m/>
    <m/>
    <n v="0"/>
    <m/>
    <m/>
    <n v="0"/>
    <m/>
    <m/>
    <m/>
    <m/>
    <m/>
    <m/>
    <n v="25110380"/>
    <n v="24873620.50162958"/>
  </r>
  <r>
    <x v="12"/>
    <x v="0"/>
    <s v="Motlow State Community College "/>
    <m/>
    <n v="221096"/>
    <x v="7"/>
    <n v="9928120"/>
    <n v="10485536.956333742"/>
    <m/>
    <m/>
    <m/>
    <m/>
    <n v="12716100"/>
    <m/>
    <n v="12716100"/>
    <n v="12463700"/>
    <m/>
    <n v="12463700"/>
    <n v="22644220"/>
    <n v="22949236.956333742"/>
    <m/>
    <m/>
    <m/>
    <m/>
    <n v="0"/>
    <m/>
    <m/>
    <n v="0"/>
    <m/>
    <m/>
    <m/>
    <m/>
    <m/>
    <m/>
    <n v="22644220"/>
    <n v="22949236.956333742"/>
  </r>
  <r>
    <x v="12"/>
    <x v="0"/>
    <s v="Northeast State Technical Community College"/>
    <m/>
    <n v="221908"/>
    <x v="7"/>
    <n v="12220620"/>
    <n v="13012122.194598334"/>
    <m/>
    <m/>
    <m/>
    <m/>
    <n v="18258800"/>
    <m/>
    <n v="18258800"/>
    <n v="18362900"/>
    <m/>
    <n v="18362900"/>
    <n v="30479420"/>
    <n v="31375022.194598332"/>
    <m/>
    <m/>
    <m/>
    <m/>
    <n v="0"/>
    <m/>
    <m/>
    <n v="0"/>
    <m/>
    <m/>
    <m/>
    <m/>
    <m/>
    <m/>
    <n v="30479420"/>
    <n v="31375022.194598332"/>
  </r>
  <r>
    <x v="12"/>
    <x v="0"/>
    <s v="Roane State Community College "/>
    <m/>
    <n v="221397"/>
    <x v="7"/>
    <n v="15994603.02"/>
    <n v="16173651.364684867"/>
    <m/>
    <m/>
    <m/>
    <m/>
    <n v="18413000"/>
    <m/>
    <n v="18413000"/>
    <n v="18423500"/>
    <m/>
    <n v="18423500"/>
    <n v="34407603.019999996"/>
    <n v="34597151.364684865"/>
    <m/>
    <m/>
    <m/>
    <m/>
    <n v="0"/>
    <m/>
    <m/>
    <n v="0"/>
    <m/>
    <m/>
    <m/>
    <m/>
    <m/>
    <m/>
    <n v="34407603.019999996"/>
    <n v="34597151.364684865"/>
  </r>
  <r>
    <x v="12"/>
    <x v="0"/>
    <s v="Walters State Community College "/>
    <m/>
    <n v="222062"/>
    <x v="7"/>
    <n v="16235860"/>
    <n v="17297582.593545459"/>
    <m/>
    <m/>
    <m/>
    <m/>
    <n v="20353600"/>
    <m/>
    <n v="20353600"/>
    <n v="20451700"/>
    <m/>
    <n v="20451700"/>
    <n v="36589460"/>
    <n v="37749282.593545459"/>
    <m/>
    <m/>
    <m/>
    <m/>
    <n v="0"/>
    <m/>
    <m/>
    <n v="0"/>
    <m/>
    <m/>
    <m/>
    <m/>
    <m/>
    <m/>
    <n v="36589460"/>
    <n v="37749282.593545459"/>
  </r>
  <r>
    <x v="12"/>
    <x v="0"/>
    <s v="Tennessee Technology Center at Chattanooga"/>
    <s v="Reclassified: Met the criteria for Technical Institute or College 1 in 2010-11, 2011-12, and 2012-13."/>
    <s v="219824B"/>
    <x v="9"/>
    <n v="3116500"/>
    <n v="3214800"/>
    <m/>
    <m/>
    <m/>
    <m/>
    <n v="2210100"/>
    <m/>
    <n v="2210100"/>
    <n v="2368000"/>
    <m/>
    <n v="2368000"/>
    <n v="5326600"/>
    <n v="5582800"/>
    <m/>
    <m/>
    <m/>
    <m/>
    <n v="0"/>
    <m/>
    <m/>
    <n v="0"/>
    <m/>
    <m/>
    <m/>
    <m/>
    <m/>
    <m/>
    <n v="5326600"/>
    <n v="5582800"/>
  </r>
  <r>
    <x v="12"/>
    <x v="0"/>
    <s v="Tennessee Technology Center at Athens"/>
    <m/>
    <n v="219596"/>
    <x v="10"/>
    <n v="1355800"/>
    <n v="1398600"/>
    <m/>
    <m/>
    <m/>
    <m/>
    <n v="546000"/>
    <m/>
    <n v="546000"/>
    <n v="553500"/>
    <m/>
    <n v="553500"/>
    <n v="1901800"/>
    <n v="1952100"/>
    <m/>
    <m/>
    <m/>
    <m/>
    <n v="0"/>
    <m/>
    <m/>
    <n v="0"/>
    <m/>
    <m/>
    <m/>
    <m/>
    <m/>
    <m/>
    <n v="1901800"/>
    <n v="1952100"/>
  </r>
  <r>
    <x v="12"/>
    <x v="0"/>
    <s v="Tennessee Technology Center at Covington"/>
    <m/>
    <n v="219921"/>
    <x v="10"/>
    <n v="1136900"/>
    <n v="1172700"/>
    <m/>
    <m/>
    <m/>
    <m/>
    <n v="324300"/>
    <m/>
    <n v="324300"/>
    <n v="496900"/>
    <m/>
    <n v="496900"/>
    <n v="1461200"/>
    <n v="1669600"/>
    <m/>
    <m/>
    <m/>
    <m/>
    <n v="0"/>
    <m/>
    <m/>
    <n v="0"/>
    <m/>
    <m/>
    <m/>
    <m/>
    <m/>
    <m/>
    <n v="1461200"/>
    <n v="1669600"/>
  </r>
  <r>
    <x v="12"/>
    <x v="0"/>
    <s v="Tennessee Technology Center at Crossville"/>
    <m/>
    <n v="221591"/>
    <x v="10"/>
    <n v="2274200"/>
    <n v="2346000"/>
    <m/>
    <m/>
    <m/>
    <m/>
    <n v="933000"/>
    <m/>
    <n v="933000"/>
    <n v="779000"/>
    <m/>
    <n v="779000"/>
    <n v="3207200"/>
    <n v="3125000"/>
    <m/>
    <m/>
    <m/>
    <m/>
    <n v="0"/>
    <m/>
    <m/>
    <n v="0"/>
    <m/>
    <m/>
    <m/>
    <m/>
    <m/>
    <m/>
    <n v="3207200"/>
    <n v="3125000"/>
  </r>
  <r>
    <x v="12"/>
    <x v="0"/>
    <s v="Tennessee Technology Center at Crump"/>
    <m/>
    <n v="221430"/>
    <x v="10"/>
    <n v="1565500"/>
    <n v="1614800"/>
    <m/>
    <m/>
    <m/>
    <m/>
    <n v="681000"/>
    <m/>
    <n v="681000"/>
    <n v="671600"/>
    <m/>
    <n v="671600"/>
    <n v="2246500"/>
    <n v="2286400"/>
    <m/>
    <m/>
    <m/>
    <m/>
    <n v="0"/>
    <m/>
    <m/>
    <n v="0"/>
    <m/>
    <m/>
    <m/>
    <m/>
    <m/>
    <m/>
    <n v="2246500"/>
    <n v="2286400"/>
  </r>
  <r>
    <x v="12"/>
    <x v="0"/>
    <s v="Tennessee Technology Center at Dickson"/>
    <m/>
    <n v="219994"/>
    <x v="10"/>
    <n v="2317300"/>
    <n v="2390400"/>
    <m/>
    <m/>
    <m/>
    <m/>
    <n v="1385000"/>
    <m/>
    <n v="1385000"/>
    <n v="1345000"/>
    <m/>
    <n v="1345000"/>
    <n v="3702300"/>
    <n v="3735400"/>
    <m/>
    <m/>
    <m/>
    <m/>
    <n v="0"/>
    <m/>
    <m/>
    <n v="0"/>
    <m/>
    <m/>
    <m/>
    <m/>
    <m/>
    <m/>
    <n v="3702300"/>
    <n v="3735400"/>
  </r>
  <r>
    <x v="12"/>
    <x v="0"/>
    <s v="Tennessee Technology Center at Elizabethton"/>
    <m/>
    <n v="220127"/>
    <x v="10"/>
    <n v="1499200"/>
    <n v="1546400"/>
    <m/>
    <m/>
    <m/>
    <m/>
    <n v="1275400"/>
    <m/>
    <n v="1275400"/>
    <n v="1401350"/>
    <m/>
    <n v="1401350"/>
    <n v="2774600"/>
    <n v="2947750"/>
    <m/>
    <m/>
    <m/>
    <m/>
    <n v="0"/>
    <m/>
    <m/>
    <n v="0"/>
    <m/>
    <m/>
    <m/>
    <m/>
    <m/>
    <m/>
    <n v="2774600"/>
    <n v="2947750"/>
  </r>
  <r>
    <x v="12"/>
    <x v="0"/>
    <s v="Tennessee Technology Center at Harriman"/>
    <m/>
    <n v="220251"/>
    <x v="10"/>
    <n v="1399200"/>
    <n v="1443300"/>
    <m/>
    <m/>
    <m/>
    <m/>
    <n v="618500"/>
    <m/>
    <n v="618500"/>
    <n v="647400"/>
    <m/>
    <n v="647400"/>
    <n v="2017700"/>
    <n v="2090700"/>
    <m/>
    <m/>
    <m/>
    <m/>
    <n v="0"/>
    <m/>
    <m/>
    <n v="0"/>
    <m/>
    <m/>
    <m/>
    <m/>
    <m/>
    <m/>
    <n v="2017700"/>
    <n v="2090700"/>
  </r>
  <r>
    <x v="12"/>
    <x v="0"/>
    <s v="Tennessee Technology Center at Hartsville"/>
    <m/>
    <n v="220279"/>
    <x v="10"/>
    <n v="1113000"/>
    <n v="1148100"/>
    <m/>
    <m/>
    <m/>
    <m/>
    <n v="942400"/>
    <m/>
    <n v="942400"/>
    <n v="935700"/>
    <m/>
    <n v="935700"/>
    <n v="2055400"/>
    <n v="2083800"/>
    <m/>
    <m/>
    <m/>
    <m/>
    <n v="0"/>
    <m/>
    <m/>
    <n v="0"/>
    <m/>
    <m/>
    <m/>
    <m/>
    <m/>
    <m/>
    <n v="2055400"/>
    <n v="2083800"/>
  </r>
  <r>
    <x v="12"/>
    <x v="0"/>
    <s v="Tennessee Technology Center at Hohenwald"/>
    <m/>
    <n v="220321"/>
    <x v="10"/>
    <n v="1522500"/>
    <n v="1570500"/>
    <m/>
    <m/>
    <m/>
    <m/>
    <n v="1055000"/>
    <m/>
    <n v="1055000"/>
    <n v="1052300"/>
    <m/>
    <n v="1052300"/>
    <n v="2577500"/>
    <n v="2622800"/>
    <m/>
    <m/>
    <m/>
    <m/>
    <n v="0"/>
    <m/>
    <m/>
    <n v="0"/>
    <m/>
    <m/>
    <m/>
    <m/>
    <m/>
    <m/>
    <n v="2577500"/>
    <n v="2622800"/>
  </r>
  <r>
    <x v="12"/>
    <x v="0"/>
    <s v="Tennessee Technology Center at Jacksboro"/>
    <m/>
    <n v="220394"/>
    <x v="10"/>
    <n v="1305700"/>
    <n v="1346800"/>
    <m/>
    <m/>
    <m/>
    <m/>
    <n v="370400"/>
    <m/>
    <n v="370400"/>
    <n v="403400"/>
    <m/>
    <n v="403400"/>
    <n v="1676100"/>
    <n v="1750200"/>
    <m/>
    <m/>
    <m/>
    <m/>
    <n v="0"/>
    <m/>
    <m/>
    <n v="0"/>
    <m/>
    <m/>
    <m/>
    <m/>
    <m/>
    <m/>
    <n v="1676100"/>
    <n v="1750200"/>
  </r>
  <r>
    <x v="12"/>
    <x v="0"/>
    <s v="Tennessee Technology Center at Jackson"/>
    <m/>
    <n v="221616"/>
    <x v="10"/>
    <n v="3008500"/>
    <n v="3103200"/>
    <m/>
    <m/>
    <m/>
    <m/>
    <n v="1293000"/>
    <m/>
    <n v="1293000"/>
    <n v="1348100"/>
    <m/>
    <n v="1348100"/>
    <n v="4301500"/>
    <n v="4451300"/>
    <m/>
    <m/>
    <m/>
    <m/>
    <n v="0"/>
    <m/>
    <m/>
    <n v="0"/>
    <m/>
    <m/>
    <m/>
    <m/>
    <m/>
    <m/>
    <n v="4301500"/>
    <n v="4451300"/>
  </r>
  <r>
    <x v="12"/>
    <x v="0"/>
    <s v="Tennessee Technology Center at Knoxville"/>
    <m/>
    <n v="221625"/>
    <x v="10"/>
    <n v="3150100"/>
    <n v="3249400"/>
    <m/>
    <m/>
    <m/>
    <m/>
    <n v="1563000"/>
    <m/>
    <n v="1563000"/>
    <n v="1747500"/>
    <m/>
    <n v="1747500"/>
    <n v="4713100"/>
    <n v="4996900"/>
    <m/>
    <m/>
    <m/>
    <m/>
    <n v="0"/>
    <m/>
    <m/>
    <n v="0"/>
    <m/>
    <m/>
    <m/>
    <m/>
    <m/>
    <m/>
    <n v="4713100"/>
    <n v="4996900"/>
  </r>
  <r>
    <x v="12"/>
    <x v="0"/>
    <s v="Tennessee Technology Center at Livingston"/>
    <m/>
    <n v="220640"/>
    <x v="10"/>
    <n v="2095800"/>
    <n v="2161900"/>
    <m/>
    <m/>
    <m/>
    <m/>
    <n v="982900"/>
    <m/>
    <n v="982900"/>
    <n v="948100"/>
    <m/>
    <n v="948100"/>
    <n v="3078700"/>
    <n v="3110000"/>
    <m/>
    <m/>
    <m/>
    <m/>
    <n v="0"/>
    <m/>
    <m/>
    <n v="0"/>
    <m/>
    <m/>
    <m/>
    <m/>
    <m/>
    <m/>
    <n v="3078700"/>
    <n v="3110000"/>
  </r>
  <r>
    <x v="12"/>
    <x v="0"/>
    <s v="Tennessee Technology Center at McKenzie"/>
    <m/>
    <n v="220756"/>
    <x v="10"/>
    <n v="1255500"/>
    <n v="1295100"/>
    <m/>
    <m/>
    <m/>
    <m/>
    <n v="587500"/>
    <m/>
    <n v="587500"/>
    <n v="658000"/>
    <m/>
    <n v="658000"/>
    <n v="1843000"/>
    <n v="1953100"/>
    <m/>
    <m/>
    <m/>
    <m/>
    <n v="0"/>
    <m/>
    <m/>
    <n v="0"/>
    <m/>
    <m/>
    <m/>
    <m/>
    <m/>
    <m/>
    <n v="1843000"/>
    <n v="1953100"/>
  </r>
  <r>
    <x v="12"/>
    <x v="0"/>
    <s v="Tennessee Technology Center at McMinnville"/>
    <m/>
    <n v="221607"/>
    <x v="10"/>
    <n v="1376100"/>
    <n v="1419500"/>
    <m/>
    <m/>
    <m/>
    <m/>
    <n v="589700"/>
    <m/>
    <n v="589700"/>
    <n v="612000"/>
    <m/>
    <n v="612000"/>
    <n v="1965800"/>
    <n v="2031500"/>
    <m/>
    <m/>
    <m/>
    <m/>
    <n v="0"/>
    <m/>
    <m/>
    <n v="0"/>
    <m/>
    <m/>
    <m/>
    <m/>
    <m/>
    <m/>
    <n v="1965800"/>
    <n v="2031500"/>
  </r>
  <r>
    <x v="12"/>
    <x v="0"/>
    <s v="Tennessee Technology Center at Memphis"/>
    <m/>
    <n v="220853"/>
    <x v="10"/>
    <n v="4165700"/>
    <n v="4296900"/>
    <m/>
    <m/>
    <m/>
    <m/>
    <n v="2027300"/>
    <m/>
    <n v="2027300"/>
    <n v="2358700"/>
    <m/>
    <n v="2358700"/>
    <n v="6193000"/>
    <n v="6655600"/>
    <m/>
    <m/>
    <m/>
    <m/>
    <n v="0"/>
    <m/>
    <m/>
    <n v="0"/>
    <m/>
    <m/>
    <m/>
    <m/>
    <m/>
    <m/>
    <n v="6193000"/>
    <n v="6655600"/>
  </r>
  <r>
    <x v="12"/>
    <x v="0"/>
    <s v="Tennessee Technology Center at Morristown"/>
    <m/>
    <n v="221050"/>
    <x v="10"/>
    <n v="3847000"/>
    <n v="3968200"/>
    <m/>
    <m/>
    <m/>
    <m/>
    <n v="1490300"/>
    <m/>
    <n v="1490300"/>
    <n v="1554000"/>
    <m/>
    <n v="1554000"/>
    <n v="5337300"/>
    <n v="5522200"/>
    <m/>
    <m/>
    <m/>
    <m/>
    <n v="0"/>
    <m/>
    <m/>
    <n v="0"/>
    <m/>
    <m/>
    <m/>
    <m/>
    <m/>
    <m/>
    <n v="5337300"/>
    <n v="5522200"/>
  </r>
  <r>
    <x v="12"/>
    <x v="0"/>
    <s v="Tennessee Technology Center at Murfreesboro"/>
    <m/>
    <n v="221102"/>
    <x v="10"/>
    <n v="1703800"/>
    <n v="1757400"/>
    <m/>
    <m/>
    <m/>
    <m/>
    <n v="898700"/>
    <m/>
    <n v="898700"/>
    <n v="1107900"/>
    <m/>
    <n v="1107900"/>
    <n v="2602500"/>
    <n v="2865300"/>
    <m/>
    <m/>
    <m/>
    <m/>
    <n v="0"/>
    <m/>
    <m/>
    <n v="0"/>
    <m/>
    <m/>
    <m/>
    <m/>
    <m/>
    <m/>
    <n v="2602500"/>
    <n v="2865300"/>
  </r>
  <r>
    <x v="12"/>
    <x v="0"/>
    <s v="Tennessee Technology Center at Nashville"/>
    <m/>
    <n v="248925"/>
    <x v="10"/>
    <n v="3606500"/>
    <n v="3720100"/>
    <m/>
    <m/>
    <m/>
    <m/>
    <n v="2005000"/>
    <m/>
    <n v="2005000"/>
    <n v="2323800"/>
    <m/>
    <n v="2323800"/>
    <n v="5611500"/>
    <n v="6043900"/>
    <m/>
    <m/>
    <m/>
    <m/>
    <n v="0"/>
    <m/>
    <m/>
    <n v="0"/>
    <m/>
    <m/>
    <m/>
    <m/>
    <m/>
    <m/>
    <n v="5611500"/>
    <n v="6043900"/>
  </r>
  <r>
    <x v="12"/>
    <x v="0"/>
    <s v="Tennessee Technology Center at Newbern"/>
    <m/>
    <n v="221236"/>
    <x v="10"/>
    <n v="1366100"/>
    <n v="1409200"/>
    <m/>
    <m/>
    <m/>
    <m/>
    <n v="594600"/>
    <m/>
    <n v="594600"/>
    <n v="722000"/>
    <m/>
    <n v="722000"/>
    <n v="1960700"/>
    <n v="2131200"/>
    <m/>
    <m/>
    <m/>
    <m/>
    <n v="0"/>
    <m/>
    <m/>
    <n v="0"/>
    <m/>
    <m/>
    <m/>
    <m/>
    <m/>
    <m/>
    <n v="1960700"/>
    <n v="2131200"/>
  </r>
  <r>
    <x v="12"/>
    <x v="0"/>
    <s v="Tennessee Technology Center at Oneida"/>
    <m/>
    <n v="221582"/>
    <x v="10"/>
    <n v="1305800"/>
    <n v="1346900"/>
    <m/>
    <m/>
    <m/>
    <m/>
    <n v="652100"/>
    <m/>
    <n v="652100"/>
    <n v="649000"/>
    <m/>
    <n v="649000"/>
    <n v="1957900"/>
    <n v="1995900"/>
    <m/>
    <m/>
    <m/>
    <m/>
    <n v="0"/>
    <m/>
    <m/>
    <n v="0"/>
    <m/>
    <m/>
    <m/>
    <m/>
    <m/>
    <m/>
    <n v="1957900"/>
    <n v="1995900"/>
  </r>
  <r>
    <x v="12"/>
    <x v="0"/>
    <s v="Tennessee Technology Center at Paris"/>
    <m/>
    <n v="221281"/>
    <x v="10"/>
    <n v="1748000"/>
    <n v="1803200"/>
    <m/>
    <m/>
    <m/>
    <m/>
    <n v="941600"/>
    <m/>
    <n v="941600"/>
    <n v="1008900"/>
    <m/>
    <n v="1008900"/>
    <n v="2689600"/>
    <n v="2812100"/>
    <m/>
    <m/>
    <m/>
    <m/>
    <n v="0"/>
    <m/>
    <m/>
    <n v="0"/>
    <m/>
    <m/>
    <m/>
    <m/>
    <m/>
    <m/>
    <n v="2689600"/>
    <n v="2812100"/>
  </r>
  <r>
    <x v="12"/>
    <x v="0"/>
    <s v="Tennessee Technology Center at Pulaski"/>
    <m/>
    <n v="221333"/>
    <x v="10"/>
    <n v="1386800"/>
    <n v="1430500"/>
    <m/>
    <m/>
    <m/>
    <m/>
    <n v="814100"/>
    <m/>
    <n v="814100"/>
    <n v="695700"/>
    <m/>
    <n v="695700"/>
    <n v="2200900"/>
    <n v="2126200"/>
    <m/>
    <m/>
    <m/>
    <m/>
    <n v="0"/>
    <m/>
    <m/>
    <n v="0"/>
    <m/>
    <m/>
    <m/>
    <m/>
    <m/>
    <m/>
    <n v="2200900"/>
    <n v="2126200"/>
  </r>
  <r>
    <x v="12"/>
    <x v="0"/>
    <s v="Tennessee Technology Center at Ripley"/>
    <m/>
    <n v="221388"/>
    <x v="10"/>
    <n v="1112300"/>
    <n v="1147400"/>
    <m/>
    <m/>
    <m/>
    <m/>
    <n v="361000"/>
    <m/>
    <n v="361000"/>
    <n v="399700"/>
    <m/>
    <n v="399700"/>
    <n v="1473300"/>
    <n v="1547100"/>
    <m/>
    <m/>
    <m/>
    <m/>
    <n v="0"/>
    <m/>
    <m/>
    <n v="0"/>
    <m/>
    <m/>
    <m/>
    <m/>
    <m/>
    <m/>
    <n v="1473300"/>
    <n v="1547100"/>
  </r>
  <r>
    <x v="12"/>
    <x v="0"/>
    <s v="Tennessee Technology Center at Shelbyville"/>
    <m/>
    <n v="221494"/>
    <x v="10"/>
    <n v="1958000"/>
    <n v="2019700"/>
    <m/>
    <m/>
    <m/>
    <m/>
    <n v="1284000"/>
    <m/>
    <n v="1284000"/>
    <n v="1303600"/>
    <m/>
    <n v="1303600"/>
    <n v="3242000"/>
    <n v="3323300"/>
    <m/>
    <m/>
    <m/>
    <m/>
    <n v="0"/>
    <m/>
    <m/>
    <n v="0"/>
    <m/>
    <m/>
    <m/>
    <m/>
    <m/>
    <m/>
    <n v="3242000"/>
    <n v="3323300"/>
  </r>
  <r>
    <x v="12"/>
    <x v="0"/>
    <s v="Tennessee Technology Center at Whiteville"/>
    <m/>
    <n v="221634"/>
    <x v="10"/>
    <n v="1278500"/>
    <n v="1318800"/>
    <m/>
    <m/>
    <m/>
    <m/>
    <n v="436700"/>
    <m/>
    <n v="436700"/>
    <n v="443000"/>
    <m/>
    <n v="443000"/>
    <n v="1715200"/>
    <n v="1761800"/>
    <m/>
    <m/>
    <m/>
    <m/>
    <n v="0"/>
    <m/>
    <m/>
    <n v="0"/>
    <m/>
    <m/>
    <m/>
    <m/>
    <m/>
    <m/>
    <n v="1715200"/>
    <n v="1761800"/>
  </r>
  <r>
    <x v="12"/>
    <x v="41"/>
    <s v="University of Tennessee Health Science Center"/>
    <m/>
    <n v="221704"/>
    <x v="11"/>
    <m/>
    <m/>
    <m/>
    <m/>
    <m/>
    <m/>
    <m/>
    <m/>
    <n v="0"/>
    <m/>
    <m/>
    <n v="0"/>
    <n v="0"/>
    <n v="0"/>
    <m/>
    <m/>
    <m/>
    <m/>
    <n v="0"/>
    <m/>
    <m/>
    <n v="0"/>
    <m/>
    <m/>
    <m/>
    <m/>
    <m/>
    <m/>
    <n v="0"/>
    <n v="0"/>
  </r>
  <r>
    <x v="12"/>
    <x v="41"/>
    <s v="Health professions education"/>
    <m/>
    <n v="221704"/>
    <x v="11"/>
    <m/>
    <m/>
    <m/>
    <m/>
    <m/>
    <m/>
    <m/>
    <m/>
    <n v="0"/>
    <m/>
    <m/>
    <n v="0"/>
    <n v="0"/>
    <n v="0"/>
    <m/>
    <m/>
    <m/>
    <m/>
    <n v="0"/>
    <m/>
    <m/>
    <n v="0"/>
    <n v="67061708"/>
    <n v="70689554.913460776"/>
    <n v="40924360"/>
    <n v="128000"/>
    <n v="42921860"/>
    <n v="157779"/>
    <n v="107986068"/>
    <n v="113611414.91346078"/>
  </r>
  <r>
    <x v="12"/>
    <x v="41"/>
    <s v="Medical School"/>
    <m/>
    <n v="221704"/>
    <x v="11"/>
    <m/>
    <m/>
    <m/>
    <m/>
    <m/>
    <m/>
    <m/>
    <m/>
    <n v="0"/>
    <m/>
    <m/>
    <n v="0"/>
    <n v="0"/>
    <n v="0"/>
    <m/>
    <m/>
    <m/>
    <m/>
    <n v="0"/>
    <m/>
    <m/>
    <n v="0"/>
    <n v="52373800"/>
    <n v="54816500"/>
    <n v="21515600"/>
    <m/>
    <n v="23242700"/>
    <m/>
    <n v="73889400"/>
    <n v="78059200"/>
  </r>
  <r>
    <x v="12"/>
    <x v="41"/>
    <s v="Veterinary School"/>
    <m/>
    <n v="221704"/>
    <x v="11"/>
    <m/>
    <m/>
    <m/>
    <m/>
    <m/>
    <m/>
    <m/>
    <m/>
    <n v="0"/>
    <m/>
    <m/>
    <n v="0"/>
    <n v="0"/>
    <n v="0"/>
    <m/>
    <m/>
    <m/>
    <m/>
    <n v="0"/>
    <m/>
    <m/>
    <n v="0"/>
    <n v="15620859.439999999"/>
    <n v="16225882.273752548"/>
    <n v="10488175"/>
    <m/>
    <n v="10624133"/>
    <m/>
    <n v="26109034.439999998"/>
    <n v="26850015.273752548"/>
  </r>
  <r>
    <x v="12"/>
    <x v="9"/>
    <s v="University of Tennessee Space Institute"/>
    <m/>
    <n v="221704"/>
    <x v="11"/>
    <m/>
    <m/>
    <m/>
    <m/>
    <m/>
    <m/>
    <m/>
    <m/>
    <n v="0"/>
    <m/>
    <m/>
    <n v="0"/>
    <n v="0"/>
    <n v="0"/>
    <n v="8270964"/>
    <n v="8589981.1774581838"/>
    <n v="1640415"/>
    <m/>
    <n v="1640415"/>
    <n v="1766048"/>
    <m/>
    <n v="1766048"/>
    <m/>
    <m/>
    <m/>
    <m/>
    <m/>
    <m/>
    <n v="9911379"/>
    <n v="10356029.177458184"/>
  </r>
  <r>
    <x v="12"/>
    <x v="13"/>
    <s v="Educational special purpose funds — all other"/>
    <m/>
    <m/>
    <x v="12"/>
    <m/>
    <m/>
    <m/>
    <m/>
    <m/>
    <m/>
    <m/>
    <m/>
    <n v="0"/>
    <m/>
    <m/>
    <n v="0"/>
    <n v="0"/>
    <n v="0"/>
    <m/>
    <m/>
    <m/>
    <m/>
    <n v="0"/>
    <m/>
    <m/>
    <n v="0"/>
    <m/>
    <m/>
    <m/>
    <m/>
    <m/>
    <m/>
    <n v="0"/>
    <n v="0"/>
  </r>
  <r>
    <x v="12"/>
    <x v="13"/>
    <s v="Foreign Language Institute"/>
    <m/>
    <m/>
    <x v="12"/>
    <m/>
    <m/>
    <n v="367900"/>
    <n v="394700"/>
    <m/>
    <m/>
    <m/>
    <m/>
    <n v="0"/>
    <m/>
    <m/>
    <n v="0"/>
    <n v="367900"/>
    <n v="394700"/>
    <m/>
    <m/>
    <m/>
    <m/>
    <n v="0"/>
    <m/>
    <m/>
    <n v="0"/>
    <m/>
    <m/>
    <m/>
    <m/>
    <m/>
    <m/>
    <n v="367900"/>
    <n v="394700"/>
  </r>
  <r>
    <x v="12"/>
    <x v="14"/>
    <s v="Statewide System Operations"/>
    <m/>
    <m/>
    <x v="12"/>
    <m/>
    <m/>
    <m/>
    <m/>
    <m/>
    <m/>
    <m/>
    <m/>
    <n v="0"/>
    <m/>
    <m/>
    <n v="0"/>
    <n v="0"/>
    <n v="0"/>
    <m/>
    <m/>
    <m/>
    <m/>
    <n v="0"/>
    <m/>
    <m/>
    <n v="0"/>
    <m/>
    <m/>
    <m/>
    <m/>
    <m/>
    <m/>
    <n v="0"/>
    <n v="0"/>
  </r>
  <r>
    <x v="12"/>
    <x v="15"/>
    <s v="Colleges and universities"/>
    <m/>
    <m/>
    <x v="12"/>
    <m/>
    <m/>
    <m/>
    <m/>
    <m/>
    <m/>
    <m/>
    <m/>
    <n v="0"/>
    <m/>
    <m/>
    <n v="0"/>
    <n v="0"/>
    <n v="0"/>
    <m/>
    <m/>
    <m/>
    <m/>
    <n v="0"/>
    <m/>
    <m/>
    <n v="0"/>
    <m/>
    <m/>
    <m/>
    <m/>
    <m/>
    <m/>
    <n v="0"/>
    <n v="0"/>
  </r>
  <r>
    <x v="12"/>
    <x v="15"/>
    <s v="TN H.Ed. Commission"/>
    <m/>
    <m/>
    <x v="12"/>
    <m/>
    <m/>
    <m/>
    <m/>
    <m/>
    <m/>
    <m/>
    <m/>
    <n v="0"/>
    <m/>
    <m/>
    <n v="0"/>
    <n v="0"/>
    <n v="0"/>
    <n v="2224100"/>
    <n v="2292100"/>
    <m/>
    <m/>
    <n v="0"/>
    <m/>
    <m/>
    <n v="0"/>
    <m/>
    <m/>
    <m/>
    <m/>
    <m/>
    <m/>
    <n v="2224100"/>
    <n v="2292100"/>
  </r>
  <r>
    <x v="12"/>
    <x v="15"/>
    <s v="Univ TN System Adm &amp; TN Board of Regents"/>
    <m/>
    <m/>
    <x v="12"/>
    <m/>
    <m/>
    <m/>
    <m/>
    <m/>
    <m/>
    <m/>
    <m/>
    <n v="0"/>
    <m/>
    <m/>
    <n v="0"/>
    <n v="0"/>
    <n v="0"/>
    <n v="9577573"/>
    <n v="9922878"/>
    <m/>
    <m/>
    <n v="0"/>
    <m/>
    <m/>
    <n v="0"/>
    <m/>
    <m/>
    <m/>
    <m/>
    <m/>
    <m/>
    <n v="9577573"/>
    <n v="9922878"/>
  </r>
  <r>
    <x v="12"/>
    <x v="17"/>
    <s v="National or regional associations, compacts or consortia"/>
    <m/>
    <m/>
    <x v="12"/>
    <m/>
    <m/>
    <m/>
    <m/>
    <m/>
    <m/>
    <m/>
    <m/>
    <n v="0"/>
    <m/>
    <m/>
    <n v="0"/>
    <n v="0"/>
    <n v="0"/>
    <m/>
    <m/>
    <m/>
    <m/>
    <n v="0"/>
    <m/>
    <m/>
    <n v="0"/>
    <m/>
    <m/>
    <m/>
    <m/>
    <m/>
    <m/>
    <n v="0"/>
    <n v="0"/>
  </r>
  <r>
    <x v="12"/>
    <x v="17"/>
    <s v="SREB"/>
    <m/>
    <m/>
    <x v="12"/>
    <m/>
    <m/>
    <m/>
    <m/>
    <m/>
    <m/>
    <m/>
    <m/>
    <n v="0"/>
    <m/>
    <m/>
    <n v="0"/>
    <n v="0"/>
    <n v="0"/>
    <m/>
    <m/>
    <m/>
    <m/>
    <n v="0"/>
    <m/>
    <m/>
    <n v="0"/>
    <m/>
    <m/>
    <m/>
    <m/>
    <m/>
    <m/>
    <n v="0"/>
    <n v="0"/>
  </r>
  <r>
    <x v="12"/>
    <x v="18"/>
    <s v="Adm. of Statewide Student Aid Progs. (incldng centralized guaranteed student loans)"/>
    <m/>
    <m/>
    <x v="12"/>
    <m/>
    <m/>
    <m/>
    <m/>
    <m/>
    <m/>
    <m/>
    <m/>
    <n v="0"/>
    <m/>
    <m/>
    <n v="0"/>
    <n v="0"/>
    <n v="0"/>
    <n v="1225000"/>
    <n v="1251900"/>
    <m/>
    <m/>
    <n v="0"/>
    <m/>
    <m/>
    <n v="0"/>
    <m/>
    <m/>
    <m/>
    <m/>
    <m/>
    <m/>
    <n v="1225000"/>
    <n v="1251900"/>
  </r>
  <r>
    <x v="12"/>
    <x v="19"/>
    <s v="State Support to Private Colleges Other Than Student Aid"/>
    <m/>
    <m/>
    <x v="12"/>
    <m/>
    <m/>
    <m/>
    <m/>
    <m/>
    <m/>
    <m/>
    <m/>
    <n v="0"/>
    <m/>
    <m/>
    <n v="0"/>
    <n v="0"/>
    <n v="0"/>
    <m/>
    <m/>
    <m/>
    <m/>
    <n v="0"/>
    <m/>
    <m/>
    <n v="0"/>
    <m/>
    <m/>
    <m/>
    <m/>
    <m/>
    <m/>
    <n v="0"/>
    <n v="0"/>
  </r>
  <r>
    <x v="12"/>
    <x v="20"/>
    <s v="Contract Education Programs"/>
    <m/>
    <m/>
    <x v="12"/>
    <m/>
    <m/>
    <m/>
    <m/>
    <m/>
    <m/>
    <m/>
    <m/>
    <n v="0"/>
    <m/>
    <m/>
    <n v="0"/>
    <n v="0"/>
    <n v="0"/>
    <m/>
    <m/>
    <m/>
    <m/>
    <n v="0"/>
    <m/>
    <m/>
    <n v="0"/>
    <m/>
    <m/>
    <m/>
    <m/>
    <m/>
    <m/>
    <n v="0"/>
    <n v="0"/>
  </r>
  <r>
    <x v="12"/>
    <x v="21"/>
    <s v="SREB contract program with private colleges"/>
    <m/>
    <m/>
    <x v="12"/>
    <m/>
    <m/>
    <m/>
    <m/>
    <m/>
    <m/>
    <m/>
    <m/>
    <n v="0"/>
    <m/>
    <m/>
    <n v="0"/>
    <n v="0"/>
    <n v="0"/>
    <n v="1986200"/>
    <n v="1966400"/>
    <m/>
    <m/>
    <n v="0"/>
    <m/>
    <m/>
    <n v="0"/>
    <m/>
    <m/>
    <m/>
    <m/>
    <m/>
    <m/>
    <n v="1986200"/>
    <n v="1966400"/>
  </r>
  <r>
    <x v="12"/>
    <x v="21"/>
    <s v="Meharry Medical College (Dentistry, Medicine, Special Aid)"/>
    <m/>
    <m/>
    <x v="12"/>
    <m/>
    <m/>
    <m/>
    <m/>
    <m/>
    <m/>
    <m/>
    <m/>
    <n v="0"/>
    <m/>
    <m/>
    <n v="0"/>
    <n v="0"/>
    <n v="0"/>
    <m/>
    <m/>
    <m/>
    <m/>
    <n v="0"/>
    <m/>
    <m/>
    <n v="0"/>
    <m/>
    <m/>
    <m/>
    <m/>
    <m/>
    <m/>
    <n v="0"/>
    <n v="0"/>
  </r>
  <r>
    <x v="12"/>
    <x v="21"/>
    <s v="Southern College of Optometry"/>
    <m/>
    <m/>
    <x v="12"/>
    <m/>
    <m/>
    <m/>
    <m/>
    <m/>
    <m/>
    <m/>
    <m/>
    <n v="0"/>
    <m/>
    <m/>
    <n v="0"/>
    <n v="0"/>
    <n v="0"/>
    <m/>
    <m/>
    <m/>
    <m/>
    <n v="0"/>
    <m/>
    <m/>
    <n v="0"/>
    <m/>
    <m/>
    <m/>
    <m/>
    <m/>
    <m/>
    <n v="0"/>
    <n v="0"/>
  </r>
  <r>
    <x v="12"/>
    <x v="22"/>
    <s v="SREB contract program with public colleges"/>
    <m/>
    <m/>
    <x v="12"/>
    <m/>
    <m/>
    <m/>
    <m/>
    <m/>
    <m/>
    <m/>
    <m/>
    <n v="0"/>
    <m/>
    <m/>
    <n v="0"/>
    <n v="0"/>
    <n v="0"/>
    <m/>
    <m/>
    <m/>
    <m/>
    <n v="0"/>
    <m/>
    <m/>
    <n v="0"/>
    <m/>
    <m/>
    <m/>
    <m/>
    <m/>
    <m/>
    <n v="0"/>
    <n v="0"/>
  </r>
  <r>
    <x v="12"/>
    <x v="23"/>
    <s v="Other contract education programs"/>
    <m/>
    <m/>
    <x v="12"/>
    <m/>
    <m/>
    <m/>
    <m/>
    <m/>
    <m/>
    <m/>
    <m/>
    <n v="0"/>
    <m/>
    <m/>
    <n v="0"/>
    <n v="0"/>
    <n v="0"/>
    <m/>
    <m/>
    <m/>
    <m/>
    <n v="0"/>
    <m/>
    <m/>
    <n v="0"/>
    <m/>
    <m/>
    <m/>
    <m/>
    <m/>
    <m/>
    <n v="0"/>
    <n v="0"/>
  </r>
  <r>
    <x v="12"/>
    <x v="24"/>
    <s v="Statewide Student Financial Aid Programs Administered Off Campus"/>
    <m/>
    <m/>
    <x v="12"/>
    <m/>
    <m/>
    <m/>
    <m/>
    <m/>
    <m/>
    <m/>
    <m/>
    <n v="0"/>
    <m/>
    <m/>
    <n v="0"/>
    <n v="0"/>
    <n v="0"/>
    <m/>
    <m/>
    <m/>
    <m/>
    <n v="0"/>
    <m/>
    <m/>
    <n v="0"/>
    <m/>
    <m/>
    <m/>
    <m/>
    <m/>
    <m/>
    <n v="0"/>
    <n v="0"/>
  </r>
  <r>
    <x v="12"/>
    <x v="25"/>
    <s v="Available to public &amp; private sector students"/>
    <m/>
    <m/>
    <x v="12"/>
    <m/>
    <m/>
    <m/>
    <m/>
    <m/>
    <m/>
    <m/>
    <m/>
    <n v="0"/>
    <m/>
    <m/>
    <n v="0"/>
    <n v="0"/>
    <n v="0"/>
    <m/>
    <m/>
    <m/>
    <m/>
    <n v="0"/>
    <m/>
    <m/>
    <n v="0"/>
    <m/>
    <m/>
    <m/>
    <m/>
    <m/>
    <m/>
    <n v="0"/>
    <n v="0"/>
  </r>
  <r>
    <x v="12"/>
    <x v="25"/>
    <s v="Academic Scholarships"/>
    <m/>
    <m/>
    <x v="12"/>
    <m/>
    <m/>
    <m/>
    <m/>
    <m/>
    <m/>
    <m/>
    <m/>
    <n v="0"/>
    <m/>
    <m/>
    <n v="0"/>
    <n v="0"/>
    <n v="0"/>
    <m/>
    <m/>
    <m/>
    <m/>
    <n v="0"/>
    <m/>
    <m/>
    <n v="0"/>
    <m/>
    <m/>
    <m/>
    <m/>
    <m/>
    <m/>
    <n v="0"/>
    <n v="0"/>
  </r>
  <r>
    <x v="12"/>
    <x v="28"/>
    <s v="Amount to public sector students"/>
    <m/>
    <m/>
    <x v="12"/>
    <m/>
    <m/>
    <m/>
    <m/>
    <m/>
    <m/>
    <m/>
    <m/>
    <n v="0"/>
    <m/>
    <m/>
    <n v="0"/>
    <n v="0"/>
    <n v="0"/>
    <m/>
    <m/>
    <m/>
    <m/>
    <n v="0"/>
    <m/>
    <m/>
    <n v="0"/>
    <m/>
    <m/>
    <m/>
    <m/>
    <m/>
    <m/>
    <n v="0"/>
    <n v="0"/>
  </r>
  <r>
    <x v="12"/>
    <x v="29"/>
    <s v="Need-based"/>
    <m/>
    <m/>
    <x v="12"/>
    <m/>
    <m/>
    <m/>
    <m/>
    <m/>
    <m/>
    <m/>
    <m/>
    <n v="0"/>
    <m/>
    <m/>
    <n v="0"/>
    <n v="0"/>
    <n v="0"/>
    <n v="115985175.75"/>
    <n v="120677649"/>
    <m/>
    <m/>
    <n v="0"/>
    <m/>
    <m/>
    <n v="0"/>
    <m/>
    <m/>
    <m/>
    <m/>
    <m/>
    <m/>
    <n v="115985175.75"/>
    <n v="120677649"/>
  </r>
  <r>
    <x v="12"/>
    <x v="30"/>
    <s v="Non need-based"/>
    <m/>
    <m/>
    <x v="12"/>
    <m/>
    <m/>
    <m/>
    <m/>
    <m/>
    <m/>
    <m/>
    <m/>
    <n v="0"/>
    <m/>
    <m/>
    <n v="0"/>
    <n v="0"/>
    <n v="0"/>
    <n v="168165303"/>
    <n v="167356454"/>
    <m/>
    <m/>
    <n v="0"/>
    <m/>
    <m/>
    <n v="0"/>
    <m/>
    <m/>
    <m/>
    <m/>
    <m/>
    <m/>
    <n v="168165303"/>
    <n v="167356454"/>
  </r>
  <r>
    <x v="12"/>
    <x v="31"/>
    <s v="Amount to private sector students"/>
    <m/>
    <m/>
    <x v="12"/>
    <m/>
    <m/>
    <m/>
    <m/>
    <m/>
    <m/>
    <m/>
    <m/>
    <n v="0"/>
    <m/>
    <m/>
    <n v="0"/>
    <n v="0"/>
    <n v="0"/>
    <m/>
    <m/>
    <m/>
    <m/>
    <n v="0"/>
    <m/>
    <m/>
    <n v="0"/>
    <m/>
    <m/>
    <m/>
    <m/>
    <m/>
    <m/>
    <n v="0"/>
    <n v="0"/>
  </r>
  <r>
    <x v="12"/>
    <x v="32"/>
    <s v="Need-based"/>
    <m/>
    <m/>
    <x v="12"/>
    <m/>
    <m/>
    <m/>
    <m/>
    <m/>
    <m/>
    <m/>
    <m/>
    <n v="0"/>
    <m/>
    <m/>
    <n v="0"/>
    <n v="0"/>
    <n v="0"/>
    <n v="44815632"/>
    <n v="47269831"/>
    <m/>
    <m/>
    <n v="0"/>
    <m/>
    <m/>
    <n v="0"/>
    <m/>
    <m/>
    <m/>
    <m/>
    <m/>
    <m/>
    <n v="44815632"/>
    <n v="47269831"/>
  </r>
  <r>
    <x v="12"/>
    <x v="33"/>
    <s v="Non need-based"/>
    <m/>
    <m/>
    <x v="12"/>
    <m/>
    <m/>
    <m/>
    <m/>
    <m/>
    <m/>
    <m/>
    <m/>
    <n v="0"/>
    <m/>
    <m/>
    <n v="0"/>
    <n v="0"/>
    <n v="0"/>
    <n v="40299034"/>
    <n v="40256143"/>
    <m/>
    <m/>
    <n v="0"/>
    <m/>
    <m/>
    <n v="0"/>
    <m/>
    <m/>
    <m/>
    <m/>
    <m/>
    <m/>
    <n v="40299034"/>
    <n v="40256143"/>
  </r>
  <r>
    <x v="12"/>
    <x v="34"/>
    <s v="Limited to public college students only"/>
    <m/>
    <m/>
    <x v="12"/>
    <m/>
    <m/>
    <m/>
    <m/>
    <m/>
    <m/>
    <m/>
    <m/>
    <n v="0"/>
    <m/>
    <m/>
    <n v="0"/>
    <n v="0"/>
    <n v="0"/>
    <m/>
    <m/>
    <m/>
    <m/>
    <n v="0"/>
    <m/>
    <m/>
    <n v="0"/>
    <m/>
    <m/>
    <m/>
    <m/>
    <m/>
    <m/>
    <n v="0"/>
    <n v="0"/>
  </r>
  <r>
    <x v="12"/>
    <x v="35"/>
    <s v="Need-based"/>
    <m/>
    <m/>
    <x v="12"/>
    <m/>
    <m/>
    <m/>
    <m/>
    <m/>
    <m/>
    <m/>
    <m/>
    <n v="0"/>
    <m/>
    <m/>
    <n v="0"/>
    <n v="0"/>
    <n v="0"/>
    <m/>
    <m/>
    <m/>
    <m/>
    <n v="0"/>
    <m/>
    <m/>
    <n v="0"/>
    <m/>
    <m/>
    <m/>
    <m/>
    <m/>
    <m/>
    <n v="0"/>
    <n v="0"/>
  </r>
  <r>
    <x v="12"/>
    <x v="36"/>
    <s v="Non need-based"/>
    <m/>
    <m/>
    <x v="12"/>
    <m/>
    <m/>
    <m/>
    <m/>
    <m/>
    <m/>
    <m/>
    <m/>
    <n v="0"/>
    <m/>
    <m/>
    <n v="0"/>
    <n v="0"/>
    <n v="0"/>
    <m/>
    <m/>
    <m/>
    <m/>
    <n v="0"/>
    <m/>
    <m/>
    <n v="0"/>
    <m/>
    <m/>
    <m/>
    <m/>
    <m/>
    <m/>
    <n v="0"/>
    <n v="0"/>
  </r>
  <r>
    <x v="12"/>
    <x v="37"/>
    <s v="Limited to private college students"/>
    <m/>
    <m/>
    <x v="12"/>
    <m/>
    <m/>
    <m/>
    <m/>
    <m/>
    <m/>
    <m/>
    <m/>
    <n v="0"/>
    <m/>
    <m/>
    <n v="0"/>
    <n v="0"/>
    <n v="0"/>
    <m/>
    <m/>
    <m/>
    <m/>
    <n v="0"/>
    <m/>
    <m/>
    <n v="0"/>
    <m/>
    <m/>
    <m/>
    <m/>
    <m/>
    <m/>
    <n v="0"/>
    <n v="0"/>
  </r>
  <r>
    <x v="12"/>
    <x v="38"/>
    <s v="Need-based"/>
    <m/>
    <m/>
    <x v="12"/>
    <m/>
    <m/>
    <m/>
    <m/>
    <m/>
    <m/>
    <m/>
    <m/>
    <n v="0"/>
    <m/>
    <m/>
    <n v="0"/>
    <n v="0"/>
    <n v="0"/>
    <m/>
    <m/>
    <m/>
    <m/>
    <n v="0"/>
    <m/>
    <m/>
    <n v="0"/>
    <m/>
    <m/>
    <m/>
    <m/>
    <m/>
    <m/>
    <n v="0"/>
    <n v="0"/>
  </r>
  <r>
    <x v="12"/>
    <x v="39"/>
    <s v="Non need-based"/>
    <m/>
    <m/>
    <x v="12"/>
    <m/>
    <m/>
    <m/>
    <m/>
    <m/>
    <m/>
    <m/>
    <m/>
    <n v="0"/>
    <m/>
    <m/>
    <n v="0"/>
    <n v="0"/>
    <n v="0"/>
    <m/>
    <m/>
    <m/>
    <m/>
    <n v="0"/>
    <m/>
    <m/>
    <n v="0"/>
    <m/>
    <m/>
    <m/>
    <m/>
    <m/>
    <m/>
    <n v="0"/>
    <n v="0"/>
  </r>
  <r>
    <x v="13"/>
    <x v="0"/>
    <s v="Texas A&amp;M University "/>
    <m/>
    <n v="228723"/>
    <x v="0"/>
    <n v="379571549"/>
    <n v="381192862"/>
    <m/>
    <m/>
    <m/>
    <m/>
    <n v="415160019"/>
    <m/>
    <n v="415160019"/>
    <n v="442787173"/>
    <m/>
    <n v="442787173"/>
    <n v="794731568"/>
    <n v="823980035"/>
    <m/>
    <m/>
    <m/>
    <m/>
    <n v="0"/>
    <m/>
    <m/>
    <n v="0"/>
    <n v="22450000"/>
    <n v="22450000"/>
    <n v="8080050"/>
    <m/>
    <n v="13464167.4"/>
    <m/>
    <n v="825261618"/>
    <n v="859894202.39999998"/>
  </r>
  <r>
    <x v="13"/>
    <x v="1"/>
    <s v="Health professions education"/>
    <m/>
    <n v="228723"/>
    <x v="0"/>
    <m/>
    <m/>
    <m/>
    <m/>
    <m/>
    <m/>
    <m/>
    <m/>
    <n v="0"/>
    <m/>
    <m/>
    <n v="0"/>
    <n v="0"/>
    <n v="0"/>
    <m/>
    <m/>
    <m/>
    <m/>
    <n v="0"/>
    <m/>
    <m/>
    <n v="0"/>
    <m/>
    <m/>
    <m/>
    <m/>
    <m/>
    <m/>
    <n v="0"/>
    <n v="0"/>
  </r>
  <r>
    <x v="13"/>
    <x v="1"/>
    <s v="Veterinary Medicine School"/>
    <m/>
    <n v="228723"/>
    <x v="0"/>
    <m/>
    <m/>
    <m/>
    <m/>
    <m/>
    <m/>
    <m/>
    <m/>
    <n v="0"/>
    <m/>
    <m/>
    <n v="0"/>
    <n v="0"/>
    <n v="0"/>
    <m/>
    <m/>
    <m/>
    <m/>
    <n v="0"/>
    <m/>
    <m/>
    <n v="0"/>
    <m/>
    <m/>
    <m/>
    <m/>
    <m/>
    <m/>
    <n v="0"/>
    <n v="0"/>
  </r>
  <r>
    <x v="13"/>
    <x v="6"/>
    <s v="Texas AgriLife Research"/>
    <m/>
    <n v="228723"/>
    <x v="0"/>
    <m/>
    <m/>
    <n v="64333816"/>
    <n v="64822451"/>
    <m/>
    <m/>
    <m/>
    <m/>
    <n v="0"/>
    <m/>
    <m/>
    <n v="0"/>
    <n v="64333816"/>
    <n v="64822451"/>
    <m/>
    <m/>
    <m/>
    <m/>
    <n v="0"/>
    <m/>
    <m/>
    <n v="0"/>
    <m/>
    <m/>
    <m/>
    <m/>
    <m/>
    <m/>
    <n v="64333816"/>
    <n v="64822451"/>
  </r>
  <r>
    <x v="13"/>
    <x v="5"/>
    <s v="Texas AgriLife Extension Service"/>
    <m/>
    <n v="228723"/>
    <x v="0"/>
    <m/>
    <m/>
    <n v="58587103"/>
    <n v="59332900"/>
    <m/>
    <m/>
    <m/>
    <m/>
    <n v="0"/>
    <m/>
    <m/>
    <n v="0"/>
    <n v="58587103"/>
    <n v="59332900"/>
    <m/>
    <m/>
    <m/>
    <m/>
    <n v="0"/>
    <m/>
    <m/>
    <n v="0"/>
    <m/>
    <m/>
    <m/>
    <m/>
    <m/>
    <m/>
    <n v="58587103"/>
    <n v="59332900"/>
  </r>
  <r>
    <x v="13"/>
    <x v="43"/>
    <s v="Texas Engineering Experiment Station"/>
    <m/>
    <n v="228723"/>
    <x v="0"/>
    <m/>
    <m/>
    <n v="18957656"/>
    <n v="17084455"/>
    <m/>
    <m/>
    <m/>
    <m/>
    <n v="0"/>
    <m/>
    <m/>
    <n v="0"/>
    <n v="18957656"/>
    <n v="17084455"/>
    <m/>
    <m/>
    <m/>
    <m/>
    <n v="0"/>
    <m/>
    <m/>
    <n v="0"/>
    <m/>
    <m/>
    <m/>
    <m/>
    <m/>
    <m/>
    <n v="18957656"/>
    <n v="17084455"/>
  </r>
  <r>
    <x v="13"/>
    <x v="3"/>
    <s v="Texas Transportation Institute"/>
    <m/>
    <n v="228723"/>
    <x v="0"/>
    <m/>
    <m/>
    <n v="1276756"/>
    <n v="1295411"/>
    <m/>
    <m/>
    <m/>
    <m/>
    <n v="0"/>
    <m/>
    <m/>
    <n v="0"/>
    <n v="1276756"/>
    <n v="1295411"/>
    <m/>
    <m/>
    <m/>
    <m/>
    <n v="0"/>
    <m/>
    <m/>
    <n v="0"/>
    <m/>
    <m/>
    <m/>
    <m/>
    <m/>
    <m/>
    <n v="1276756"/>
    <n v="1295411"/>
  </r>
  <r>
    <x v="13"/>
    <x v="45"/>
    <s v="Texas Engineering extension service"/>
    <m/>
    <n v="228723"/>
    <x v="0"/>
    <m/>
    <m/>
    <n v="7725359"/>
    <n v="7688729"/>
    <m/>
    <m/>
    <m/>
    <m/>
    <n v="0"/>
    <m/>
    <m/>
    <n v="0"/>
    <n v="7725359"/>
    <n v="7688729"/>
    <m/>
    <m/>
    <m/>
    <m/>
    <n v="0"/>
    <m/>
    <m/>
    <n v="0"/>
    <m/>
    <m/>
    <m/>
    <m/>
    <m/>
    <m/>
    <n v="7725359"/>
    <n v="7688729"/>
  </r>
  <r>
    <x v="13"/>
    <x v="3"/>
    <s v="Texas Forest Service"/>
    <m/>
    <n v="228723"/>
    <x v="0"/>
    <m/>
    <m/>
    <n v="143885981"/>
    <n v="22843909"/>
    <m/>
    <m/>
    <m/>
    <m/>
    <n v="0"/>
    <m/>
    <m/>
    <n v="0"/>
    <n v="143885981"/>
    <n v="22843909"/>
    <m/>
    <m/>
    <m/>
    <m/>
    <n v="0"/>
    <m/>
    <m/>
    <n v="0"/>
    <m/>
    <m/>
    <m/>
    <m/>
    <m/>
    <m/>
    <n v="143885981"/>
    <n v="22843909"/>
  </r>
  <r>
    <x v="13"/>
    <x v="3"/>
    <s v="Texas Vet Med Diagnostic Lab"/>
    <m/>
    <n v="228723"/>
    <x v="0"/>
    <m/>
    <m/>
    <n v="6911312"/>
    <n v="6727879"/>
    <m/>
    <m/>
    <m/>
    <m/>
    <n v="0"/>
    <m/>
    <m/>
    <n v="0"/>
    <n v="6911312"/>
    <n v="6727879"/>
    <m/>
    <m/>
    <m/>
    <m/>
    <n v="0"/>
    <m/>
    <m/>
    <n v="0"/>
    <m/>
    <m/>
    <m/>
    <m/>
    <m/>
    <m/>
    <n v="6911312"/>
    <n v="6727879"/>
  </r>
  <r>
    <x v="13"/>
    <x v="3"/>
    <s v="Community or public service units"/>
    <m/>
    <n v="228723"/>
    <x v="0"/>
    <m/>
    <m/>
    <m/>
    <m/>
    <m/>
    <m/>
    <m/>
    <m/>
    <n v="0"/>
    <m/>
    <m/>
    <n v="0"/>
    <n v="0"/>
    <n v="0"/>
    <m/>
    <m/>
    <m/>
    <m/>
    <n v="0"/>
    <m/>
    <m/>
    <n v="0"/>
    <m/>
    <m/>
    <m/>
    <m/>
    <m/>
    <m/>
    <n v="0"/>
    <n v="0"/>
  </r>
  <r>
    <x v="13"/>
    <x v="0"/>
    <s v="Texas Tech University "/>
    <m/>
    <n v="229115"/>
    <x v="0"/>
    <n v="157201067"/>
    <n v="152892441"/>
    <n v="3814941"/>
    <n v="3814941"/>
    <m/>
    <m/>
    <n v="288527847"/>
    <m/>
    <n v="288527847"/>
    <n v="315037437"/>
    <m/>
    <n v="315037437"/>
    <n v="449543855"/>
    <n v="471744819"/>
    <m/>
    <m/>
    <m/>
    <m/>
    <n v="0"/>
    <m/>
    <m/>
    <n v="0"/>
    <m/>
    <m/>
    <m/>
    <m/>
    <m/>
    <m/>
    <n v="449543855"/>
    <n v="471744819"/>
  </r>
  <r>
    <x v="13"/>
    <x v="0"/>
    <s v="University of Houston"/>
    <m/>
    <n v="225511"/>
    <x v="0"/>
    <n v="163690536"/>
    <n v="156557863"/>
    <n v="8177744"/>
    <n v="8177744"/>
    <m/>
    <m/>
    <n v="333863817"/>
    <m/>
    <n v="333863817"/>
    <n v="360783888"/>
    <m/>
    <n v="360783888"/>
    <n v="505732097"/>
    <n v="525519495"/>
    <m/>
    <m/>
    <m/>
    <m/>
    <n v="0"/>
    <m/>
    <m/>
    <n v="0"/>
    <m/>
    <m/>
    <m/>
    <m/>
    <m/>
    <m/>
    <n v="505732097"/>
    <n v="525519495"/>
  </r>
  <r>
    <x v="13"/>
    <x v="0"/>
    <s v="University of North Texas"/>
    <m/>
    <n v="227216"/>
    <x v="0"/>
    <n v="132577743"/>
    <n v="127640258"/>
    <n v="925382"/>
    <n v="925382"/>
    <m/>
    <m/>
    <n v="262046575"/>
    <m/>
    <n v="262046575"/>
    <n v="277608690"/>
    <m/>
    <n v="277608690"/>
    <n v="395549700"/>
    <n v="406174330"/>
    <m/>
    <m/>
    <m/>
    <m/>
    <n v="0"/>
    <m/>
    <m/>
    <n v="0"/>
    <m/>
    <m/>
    <m/>
    <m/>
    <m/>
    <m/>
    <n v="395549700"/>
    <n v="406174330"/>
  </r>
  <r>
    <x v="13"/>
    <x v="0"/>
    <s v="University of Texas at Arlington"/>
    <m/>
    <n v="228769"/>
    <x v="0"/>
    <n v="111744041"/>
    <n v="107623036"/>
    <n v="90663"/>
    <n v="90663"/>
    <m/>
    <m/>
    <n v="242995362"/>
    <m/>
    <n v="242995362"/>
    <n v="275609120"/>
    <m/>
    <n v="275609120"/>
    <n v="354830066"/>
    <n v="383322819"/>
    <m/>
    <m/>
    <m/>
    <m/>
    <n v="0"/>
    <m/>
    <m/>
    <n v="0"/>
    <m/>
    <m/>
    <m/>
    <m/>
    <m/>
    <m/>
    <n v="354830066"/>
    <n v="383322819"/>
  </r>
  <r>
    <x v="13"/>
    <x v="0"/>
    <s v="University of Texas at Austin"/>
    <m/>
    <n v="228778"/>
    <x v="0"/>
    <n v="479841652"/>
    <n v="479983244"/>
    <m/>
    <m/>
    <m/>
    <m/>
    <n v="545139599"/>
    <m/>
    <n v="545139599"/>
    <n v="555019935"/>
    <m/>
    <n v="555019935"/>
    <n v="1024981251"/>
    <n v="1035003179"/>
    <m/>
    <m/>
    <m/>
    <m/>
    <n v="0"/>
    <m/>
    <m/>
    <n v="0"/>
    <m/>
    <m/>
    <m/>
    <m/>
    <m/>
    <m/>
    <n v="1024981251"/>
    <n v="1035003179"/>
  </r>
  <r>
    <x v="13"/>
    <x v="0"/>
    <s v="University of Texas at Dallas"/>
    <m/>
    <n v="228787"/>
    <x v="0"/>
    <n v="91455556"/>
    <n v="88558530"/>
    <n v="1715388"/>
    <n v="1715388"/>
    <m/>
    <m/>
    <n v="175865287"/>
    <m/>
    <n v="175865287"/>
    <n v="212564536"/>
    <m/>
    <n v="212564536"/>
    <n v="269036231"/>
    <n v="302838454"/>
    <m/>
    <m/>
    <m/>
    <m/>
    <n v="0"/>
    <m/>
    <m/>
    <n v="0"/>
    <m/>
    <m/>
    <m/>
    <m/>
    <m/>
    <m/>
    <n v="269036231"/>
    <n v="302838454"/>
  </r>
  <r>
    <x v="13"/>
    <x v="0"/>
    <s v="Texas Woman's University"/>
    <m/>
    <n v="229179"/>
    <x v="1"/>
    <n v="56717555"/>
    <n v="54920298"/>
    <m/>
    <m/>
    <m/>
    <m/>
    <n v="83063104"/>
    <m/>
    <n v="83063104"/>
    <n v="90314341"/>
    <m/>
    <n v="90314341"/>
    <n v="139780659"/>
    <n v="145234639"/>
    <m/>
    <m/>
    <m/>
    <m/>
    <n v="0"/>
    <m/>
    <m/>
    <n v="0"/>
    <m/>
    <m/>
    <m/>
    <m/>
    <m/>
    <m/>
    <n v="139780659"/>
    <n v="145234639"/>
  </r>
  <r>
    <x v="13"/>
    <x v="0"/>
    <s v="University of Texas at El Paso"/>
    <m/>
    <n v="228796"/>
    <x v="1"/>
    <n v="84475179"/>
    <n v="85444716"/>
    <n v="1996498"/>
    <n v="1996498"/>
    <m/>
    <m/>
    <n v="118907200"/>
    <m/>
    <n v="118907200"/>
    <n v="127133198"/>
    <m/>
    <n v="127133198"/>
    <n v="205378877"/>
    <n v="214574412"/>
    <m/>
    <m/>
    <m/>
    <m/>
    <n v="0"/>
    <m/>
    <m/>
    <n v="0"/>
    <m/>
    <m/>
    <m/>
    <m/>
    <m/>
    <m/>
    <n v="205378877"/>
    <n v="214574412"/>
  </r>
  <r>
    <x v="13"/>
    <x v="0"/>
    <s v="University of Texas at San Antonio"/>
    <m/>
    <n v="229027"/>
    <x v="1"/>
    <n v="101644704"/>
    <n v="102569480"/>
    <n v="1091884"/>
    <n v="1091884"/>
    <m/>
    <m/>
    <n v="210358709"/>
    <m/>
    <n v="210358709"/>
    <n v="218060141"/>
    <m/>
    <n v="218060141"/>
    <n v="313095297"/>
    <n v="321721505"/>
    <m/>
    <m/>
    <m/>
    <m/>
    <n v="0"/>
    <m/>
    <m/>
    <n v="0"/>
    <m/>
    <m/>
    <m/>
    <m/>
    <m/>
    <m/>
    <n v="313095297"/>
    <n v="321721505"/>
  </r>
  <r>
    <x v="13"/>
    <x v="0"/>
    <s v="Angelo State University"/>
    <m/>
    <n v="222831"/>
    <x v="2"/>
    <n v="26802599"/>
    <n v="26349487"/>
    <m/>
    <m/>
    <m/>
    <m/>
    <n v="36549404"/>
    <m/>
    <n v="36549404"/>
    <n v="42723540"/>
    <m/>
    <n v="42723540"/>
    <n v="63352003"/>
    <n v="69073027"/>
    <m/>
    <m/>
    <m/>
    <m/>
    <n v="0"/>
    <m/>
    <m/>
    <n v="0"/>
    <m/>
    <m/>
    <m/>
    <m/>
    <m/>
    <m/>
    <n v="63352003"/>
    <n v="69073027"/>
  </r>
  <r>
    <x v="13"/>
    <x v="0"/>
    <s v="Lamar University"/>
    <m/>
    <n v="226091"/>
    <x v="2"/>
    <n v="47278482"/>
    <n v="45769417"/>
    <m/>
    <m/>
    <m/>
    <m/>
    <n v="69523516"/>
    <m/>
    <n v="69523516"/>
    <n v="81842454"/>
    <m/>
    <n v="81842454"/>
    <n v="116801998"/>
    <n v="127611871"/>
    <m/>
    <m/>
    <m/>
    <m/>
    <n v="0"/>
    <m/>
    <m/>
    <n v="0"/>
    <m/>
    <m/>
    <m/>
    <m/>
    <m/>
    <m/>
    <n v="116801998"/>
    <n v="127611871"/>
  </r>
  <r>
    <x v="13"/>
    <x v="0"/>
    <s v="Midwestern State University  "/>
    <m/>
    <n v="226833"/>
    <x v="2"/>
    <n v="20817697"/>
    <n v="20129999"/>
    <m/>
    <m/>
    <m/>
    <m/>
    <n v="40158869"/>
    <m/>
    <n v="40158869"/>
    <n v="40365031"/>
    <m/>
    <n v="40365031"/>
    <n v="60976566"/>
    <n v="60495030"/>
    <m/>
    <m/>
    <m/>
    <m/>
    <n v="0"/>
    <m/>
    <m/>
    <n v="0"/>
    <m/>
    <m/>
    <m/>
    <m/>
    <m/>
    <m/>
    <n v="60976566"/>
    <n v="60495030"/>
  </r>
  <r>
    <x v="13"/>
    <x v="0"/>
    <s v="Prairie View A&amp;M University"/>
    <m/>
    <n v="227526"/>
    <x v="2"/>
    <n v="67924910"/>
    <n v="68136581"/>
    <m/>
    <m/>
    <m/>
    <m/>
    <n v="52962797"/>
    <m/>
    <n v="52962797"/>
    <n v="55695827"/>
    <m/>
    <n v="55695827"/>
    <n v="120887707"/>
    <n v="123832408"/>
    <m/>
    <m/>
    <m/>
    <m/>
    <n v="0"/>
    <m/>
    <m/>
    <n v="0"/>
    <m/>
    <m/>
    <m/>
    <m/>
    <m/>
    <m/>
    <n v="120887707"/>
    <n v="123832408"/>
  </r>
  <r>
    <x v="13"/>
    <x v="0"/>
    <s v="Sam Houston State University "/>
    <m/>
    <n v="227881"/>
    <x v="2"/>
    <n v="52913913"/>
    <n v="50885369"/>
    <m/>
    <m/>
    <m/>
    <m/>
    <n v="101615112"/>
    <m/>
    <n v="101615112"/>
    <n v="118629043"/>
    <m/>
    <n v="118629043"/>
    <n v="154529025"/>
    <n v="169514412"/>
    <m/>
    <m/>
    <m/>
    <m/>
    <n v="0"/>
    <m/>
    <m/>
    <n v="0"/>
    <m/>
    <m/>
    <m/>
    <m/>
    <m/>
    <m/>
    <n v="154529025"/>
    <n v="169514412"/>
  </r>
  <r>
    <x v="13"/>
    <x v="0"/>
    <s v="Stephen F. Austin State University"/>
    <m/>
    <n v="228431"/>
    <x v="2"/>
    <n v="48666441"/>
    <n v="47457074"/>
    <m/>
    <m/>
    <m/>
    <m/>
    <n v="79762927"/>
    <m/>
    <n v="79762927"/>
    <n v="84986347"/>
    <m/>
    <n v="84986347"/>
    <n v="128429368"/>
    <n v="132443421"/>
    <m/>
    <m/>
    <m/>
    <m/>
    <n v="0"/>
    <m/>
    <m/>
    <n v="0"/>
    <m/>
    <m/>
    <m/>
    <m/>
    <m/>
    <m/>
    <n v="128429368"/>
    <n v="132443421"/>
  </r>
  <r>
    <x v="13"/>
    <x v="0"/>
    <s v="Sul Ross State University "/>
    <m/>
    <n v="228501"/>
    <x v="2"/>
    <n v="20713251"/>
    <n v="13505143"/>
    <m/>
    <m/>
    <m/>
    <m/>
    <n v="16470361"/>
    <m/>
    <n v="16470361"/>
    <n v="15640621"/>
    <m/>
    <n v="15640621"/>
    <n v="37183612"/>
    <n v="29145764"/>
    <m/>
    <m/>
    <m/>
    <m/>
    <n v="0"/>
    <m/>
    <m/>
    <n v="0"/>
    <m/>
    <m/>
    <m/>
    <m/>
    <m/>
    <m/>
    <n v="37183612"/>
    <n v="29145764"/>
  </r>
  <r>
    <x v="13"/>
    <x v="0"/>
    <s v="Tarleton State University  "/>
    <m/>
    <n v="228529"/>
    <x v="2"/>
    <n v="32171194"/>
    <n v="32388194"/>
    <m/>
    <m/>
    <m/>
    <m/>
    <n v="44746641"/>
    <m/>
    <n v="44746641"/>
    <n v="50395189"/>
    <m/>
    <n v="50395189"/>
    <n v="76917835"/>
    <n v="82783383"/>
    <m/>
    <m/>
    <m/>
    <m/>
    <n v="0"/>
    <m/>
    <m/>
    <n v="0"/>
    <m/>
    <m/>
    <m/>
    <m/>
    <m/>
    <m/>
    <n v="76917835"/>
    <n v="82783383"/>
  </r>
  <r>
    <x v="13"/>
    <x v="0"/>
    <s v="Texas A&amp;M International University"/>
    <m/>
    <n v="226152"/>
    <x v="2"/>
    <n v="26822830"/>
    <n v="26131971"/>
    <m/>
    <m/>
    <m/>
    <m/>
    <n v="30818512"/>
    <m/>
    <n v="30818512"/>
    <n v="31275502"/>
    <m/>
    <n v="31275502"/>
    <n v="57641342"/>
    <n v="57407473"/>
    <m/>
    <m/>
    <m/>
    <m/>
    <n v="0"/>
    <m/>
    <m/>
    <n v="0"/>
    <m/>
    <m/>
    <m/>
    <m/>
    <m/>
    <m/>
    <n v="57641342"/>
    <n v="57407473"/>
  </r>
  <r>
    <x v="13"/>
    <x v="0"/>
    <s v="Texas A&amp;M University-Commerce"/>
    <m/>
    <n v="224554"/>
    <x v="2"/>
    <n v="41600082"/>
    <n v="40822145"/>
    <m/>
    <m/>
    <m/>
    <m/>
    <n v="51926039"/>
    <m/>
    <n v="51926039"/>
    <n v="63897294"/>
    <m/>
    <n v="63897294"/>
    <n v="93526121"/>
    <n v="104719439"/>
    <m/>
    <m/>
    <m/>
    <m/>
    <n v="0"/>
    <m/>
    <m/>
    <n v="0"/>
    <m/>
    <m/>
    <m/>
    <m/>
    <m/>
    <m/>
    <n v="93526121"/>
    <n v="104719439"/>
  </r>
  <r>
    <x v="13"/>
    <x v="0"/>
    <s v="Texas A&amp;M University-Corpus Christi "/>
    <m/>
    <n v="224147"/>
    <x v="2"/>
    <n v="44969756"/>
    <n v="43277425"/>
    <m/>
    <m/>
    <m/>
    <m/>
    <n v="51875036"/>
    <m/>
    <n v="51875036"/>
    <n v="57496755"/>
    <m/>
    <n v="57496755"/>
    <n v="96844792"/>
    <n v="100774180"/>
    <m/>
    <m/>
    <m/>
    <m/>
    <n v="0"/>
    <m/>
    <m/>
    <n v="0"/>
    <m/>
    <m/>
    <m/>
    <m/>
    <m/>
    <m/>
    <n v="96844792"/>
    <n v="100774180"/>
  </r>
  <r>
    <x v="13"/>
    <x v="0"/>
    <s v="Texas A&amp;M University-Kingsville"/>
    <m/>
    <n v="228705"/>
    <x v="2"/>
    <n v="34172958"/>
    <n v="33264727"/>
    <m/>
    <m/>
    <m/>
    <m/>
    <n v="32679438"/>
    <m/>
    <n v="32679438"/>
    <n v="35270243"/>
    <m/>
    <n v="35270243"/>
    <n v="66852396"/>
    <n v="68534970"/>
    <m/>
    <m/>
    <m/>
    <m/>
    <n v="0"/>
    <m/>
    <m/>
    <n v="0"/>
    <m/>
    <m/>
    <m/>
    <m/>
    <m/>
    <m/>
    <n v="66852396"/>
    <n v="68534970"/>
  </r>
  <r>
    <x v="13"/>
    <x v="0"/>
    <s v="Texas Southern University "/>
    <m/>
    <n v="229063"/>
    <x v="2"/>
    <n v="55202673"/>
    <n v="53320399"/>
    <m/>
    <m/>
    <m/>
    <m/>
    <n v="75302740"/>
    <m/>
    <n v="75302740"/>
    <n v="75116720"/>
    <m/>
    <n v="75116720"/>
    <n v="130505413"/>
    <n v="128437119"/>
    <m/>
    <m/>
    <m/>
    <m/>
    <n v="0"/>
    <m/>
    <m/>
    <n v="0"/>
    <m/>
    <m/>
    <m/>
    <m/>
    <m/>
    <m/>
    <n v="130505413"/>
    <n v="128437119"/>
  </r>
  <r>
    <x v="13"/>
    <x v="0"/>
    <s v="Texas State University - San Marcos"/>
    <m/>
    <n v="228459"/>
    <x v="2"/>
    <n v="101343012"/>
    <n v="97874062"/>
    <m/>
    <m/>
    <m/>
    <m/>
    <n v="199384599"/>
    <m/>
    <n v="199384599"/>
    <n v="225107175"/>
    <m/>
    <n v="225107175"/>
    <n v="300727611"/>
    <n v="322981237"/>
    <m/>
    <m/>
    <m/>
    <m/>
    <n v="0"/>
    <m/>
    <m/>
    <n v="0"/>
    <m/>
    <m/>
    <m/>
    <m/>
    <m/>
    <m/>
    <n v="300727611"/>
    <n v="322981237"/>
  </r>
  <r>
    <x v="13"/>
    <x v="0"/>
    <s v="University of Houston-Clear Lake "/>
    <m/>
    <n v="225414"/>
    <x v="2"/>
    <n v="28586429"/>
    <n v="27569666"/>
    <m/>
    <m/>
    <m/>
    <m/>
    <n v="46244981"/>
    <m/>
    <n v="46244981"/>
    <n v="46663944"/>
    <m/>
    <n v="46663944"/>
    <n v="74831410"/>
    <n v="74233610"/>
    <m/>
    <m/>
    <m/>
    <m/>
    <n v="0"/>
    <m/>
    <m/>
    <n v="0"/>
    <m/>
    <m/>
    <m/>
    <m/>
    <m/>
    <m/>
    <n v="74831410"/>
    <n v="74233610"/>
  </r>
  <r>
    <x v="13"/>
    <x v="0"/>
    <s v="University of Texas at Brownsville"/>
    <m/>
    <n v="227377"/>
    <x v="2"/>
    <n v="26764895"/>
    <n v="26041686"/>
    <m/>
    <m/>
    <m/>
    <m/>
    <n v="23364815"/>
    <m/>
    <n v="23364815"/>
    <n v="25199806"/>
    <m/>
    <n v="25199806"/>
    <n v="50129710"/>
    <n v="51241492"/>
    <m/>
    <m/>
    <m/>
    <m/>
    <n v="0"/>
    <m/>
    <m/>
    <n v="0"/>
    <m/>
    <m/>
    <m/>
    <m/>
    <m/>
    <m/>
    <n v="50129710"/>
    <n v="51241492"/>
  </r>
  <r>
    <x v="13"/>
    <x v="0"/>
    <s v="University of Texas at Tyler"/>
    <m/>
    <n v="228802"/>
    <x v="2"/>
    <n v="27419501"/>
    <n v="27682370"/>
    <m/>
    <m/>
    <m/>
    <m/>
    <n v="35842301"/>
    <m/>
    <n v="35842301"/>
    <n v="38730781"/>
    <m/>
    <n v="38730781"/>
    <n v="63261802"/>
    <n v="66413151"/>
    <m/>
    <m/>
    <m/>
    <m/>
    <n v="0"/>
    <m/>
    <m/>
    <n v="0"/>
    <m/>
    <m/>
    <m/>
    <m/>
    <m/>
    <m/>
    <n v="63261802"/>
    <n v="66413151"/>
  </r>
  <r>
    <x v="13"/>
    <x v="0"/>
    <s v="University of Texas of the Permian Basin"/>
    <m/>
    <n v="229018"/>
    <x v="2"/>
    <n v="20843540"/>
    <n v="19293448"/>
    <m/>
    <m/>
    <m/>
    <m/>
    <n v="16940715"/>
    <m/>
    <n v="16940715"/>
    <n v="15799442"/>
    <m/>
    <n v="15799442"/>
    <n v="37784255"/>
    <n v="35092890"/>
    <m/>
    <m/>
    <m/>
    <m/>
    <n v="0"/>
    <m/>
    <m/>
    <n v="0"/>
    <m/>
    <m/>
    <m/>
    <m/>
    <m/>
    <m/>
    <n v="37784255"/>
    <n v="35092890"/>
  </r>
  <r>
    <x v="13"/>
    <x v="0"/>
    <s v="University of Texas-Pan American"/>
    <m/>
    <n v="227368"/>
    <x v="2"/>
    <n v="67022328"/>
    <n v="64945648"/>
    <m/>
    <m/>
    <m/>
    <m/>
    <n v="95716420"/>
    <m/>
    <n v="95716420"/>
    <n v="99490730"/>
    <m/>
    <n v="99490730"/>
    <n v="162738748"/>
    <n v="164436378"/>
    <m/>
    <m/>
    <m/>
    <m/>
    <n v="0"/>
    <m/>
    <m/>
    <n v="0"/>
    <m/>
    <m/>
    <m/>
    <m/>
    <m/>
    <m/>
    <n v="162738748"/>
    <n v="164436378"/>
  </r>
  <r>
    <x v="13"/>
    <x v="0"/>
    <s v="West Texas A&amp;M University"/>
    <m/>
    <n v="229814"/>
    <x v="2"/>
    <n v="31913247"/>
    <n v="31019675"/>
    <m/>
    <m/>
    <m/>
    <m/>
    <n v="37860864"/>
    <m/>
    <n v="37860864"/>
    <n v="41305024"/>
    <m/>
    <n v="41305024"/>
    <n v="69774111"/>
    <n v="72324699"/>
    <m/>
    <m/>
    <m/>
    <m/>
    <n v="0"/>
    <m/>
    <m/>
    <n v="0"/>
    <m/>
    <m/>
    <m/>
    <m/>
    <m/>
    <m/>
    <n v="69774111"/>
    <n v="72324699"/>
  </r>
  <r>
    <x v="13"/>
    <x v="0"/>
    <s v="Texas A&amp;M -Texarkana"/>
    <m/>
    <n v="224545"/>
    <x v="3"/>
    <n v="11871556"/>
    <n v="11561613"/>
    <m/>
    <m/>
    <m/>
    <m/>
    <n v="7116279"/>
    <m/>
    <n v="7116279"/>
    <n v="7925050"/>
    <m/>
    <n v="7925050"/>
    <n v="18987835"/>
    <n v="19486663"/>
    <m/>
    <m/>
    <m/>
    <m/>
    <n v="0"/>
    <m/>
    <m/>
    <n v="0"/>
    <m/>
    <m/>
    <m/>
    <m/>
    <m/>
    <m/>
    <n v="18987835"/>
    <n v="19486663"/>
  </r>
  <r>
    <x v="13"/>
    <x v="0"/>
    <s v="TEXAS A&amp;M UNIV-CENTRAL TEXAS"/>
    <s v="Reclassified: Met the criteria for Four-Year 4 in 2010-11, 2011-12, and 2012-13."/>
    <s v="???"/>
    <x v="3"/>
    <n v="12534852"/>
    <n v="12522361"/>
    <m/>
    <m/>
    <m/>
    <m/>
    <n v="9562519"/>
    <m/>
    <n v="9562519"/>
    <n v="10441918"/>
    <m/>
    <n v="10441918"/>
    <n v="22097371"/>
    <n v="22964279"/>
    <m/>
    <m/>
    <m/>
    <m/>
    <n v="0"/>
    <m/>
    <m/>
    <n v="0"/>
    <m/>
    <m/>
    <m/>
    <m/>
    <m/>
    <m/>
    <n v="22097371"/>
    <n v="22964279"/>
  </r>
  <r>
    <x v="13"/>
    <x v="0"/>
    <s v="University of Houston-Victoria"/>
    <m/>
    <n v="225502"/>
    <x v="3"/>
    <n v="13591205"/>
    <n v="13483764"/>
    <m/>
    <m/>
    <m/>
    <m/>
    <n v="18871708"/>
    <m/>
    <n v="18871708"/>
    <n v="20038361"/>
    <m/>
    <n v="20038361"/>
    <n v="32462913"/>
    <n v="33522125"/>
    <m/>
    <m/>
    <m/>
    <m/>
    <n v="0"/>
    <m/>
    <m/>
    <n v="0"/>
    <m/>
    <m/>
    <m/>
    <m/>
    <m/>
    <m/>
    <n v="32462913"/>
    <n v="33522125"/>
  </r>
  <r>
    <x v="13"/>
    <x v="0"/>
    <s v="Sul Ross State University-Rio Grande College"/>
    <m/>
    <n v="227924"/>
    <x v="4"/>
    <n v="5750249"/>
    <n v="5700083"/>
    <m/>
    <m/>
    <m/>
    <m/>
    <m/>
    <m/>
    <n v="0"/>
    <m/>
    <m/>
    <n v="0"/>
    <n v="5750249"/>
    <n v="5700083"/>
    <m/>
    <m/>
    <m/>
    <m/>
    <n v="0"/>
    <m/>
    <m/>
    <n v="0"/>
    <m/>
    <m/>
    <m/>
    <m/>
    <m/>
    <m/>
    <n v="5750249"/>
    <n v="5700083"/>
  </r>
  <r>
    <x v="13"/>
    <x v="0"/>
    <s v="TEXAS A&amp;M UNIV-SAN ANTONIO"/>
    <s v="Reclassified: Met the criteria for Four-Year 5 in 2010-11, 2011-12, and 2012-13."/>
    <n v="870501"/>
    <x v="4"/>
    <n v="13904319"/>
    <n v="13971199"/>
    <m/>
    <m/>
    <m/>
    <m/>
    <n v="14586641"/>
    <m/>
    <n v="14586641"/>
    <n v="18423459"/>
    <m/>
    <n v="18423459"/>
    <n v="28490960"/>
    <n v="32394658"/>
    <m/>
    <m/>
    <m/>
    <m/>
    <n v="0"/>
    <m/>
    <m/>
    <n v="0"/>
    <m/>
    <m/>
    <m/>
    <m/>
    <m/>
    <m/>
    <n v="28490960"/>
    <n v="32394658"/>
  </r>
  <r>
    <x v="13"/>
    <x v="0"/>
    <s v="University of Houston-Downtown"/>
    <m/>
    <n v="225432"/>
    <x v="4"/>
    <n v="22085536"/>
    <n v="20683584"/>
    <m/>
    <m/>
    <m/>
    <m/>
    <n v="55336538"/>
    <m/>
    <n v="55336538"/>
    <n v="59516036"/>
    <m/>
    <n v="59516036"/>
    <n v="77422074"/>
    <n v="80199620"/>
    <m/>
    <m/>
    <m/>
    <m/>
    <n v="0"/>
    <m/>
    <m/>
    <n v="0"/>
    <m/>
    <m/>
    <m/>
    <m/>
    <m/>
    <m/>
    <n v="77422074"/>
    <n v="80199620"/>
  </r>
  <r>
    <x v="13"/>
    <x v="0"/>
    <s v="Texas A&amp;M University at Galveston"/>
    <m/>
    <n v="228714"/>
    <x v="5"/>
    <n v="14663930"/>
    <n v="14735656"/>
    <m/>
    <m/>
    <m/>
    <m/>
    <n v="16125426"/>
    <m/>
    <n v="16125426"/>
    <n v="17599987"/>
    <m/>
    <n v="17599987"/>
    <n v="30789356"/>
    <n v="32335643"/>
    <m/>
    <m/>
    <m/>
    <m/>
    <n v="0"/>
    <m/>
    <m/>
    <n v="0"/>
    <m/>
    <m/>
    <m/>
    <m/>
    <m/>
    <m/>
    <n v="30789356"/>
    <n v="32335643"/>
  </r>
  <r>
    <x v="13"/>
    <x v="0"/>
    <s v="Brazosport College "/>
    <m/>
    <n v="223506"/>
    <x v="14"/>
    <n v="6005626"/>
    <n v="6059177"/>
    <m/>
    <m/>
    <n v="11713488"/>
    <n v="14704892"/>
    <n v="7979619"/>
    <m/>
    <n v="7979619"/>
    <n v="9490189"/>
    <m/>
    <n v="9490189"/>
    <n v="25698733"/>
    <n v="30254258"/>
    <m/>
    <m/>
    <m/>
    <m/>
    <n v="0"/>
    <m/>
    <m/>
    <n v="0"/>
    <m/>
    <m/>
    <m/>
    <m/>
    <m/>
    <m/>
    <n v="25698733"/>
    <n v="30254258"/>
  </r>
  <r>
    <x v="13"/>
    <x v="0"/>
    <s v="Midland College "/>
    <m/>
    <n v="226806"/>
    <x v="14"/>
    <n v="10537630"/>
    <n v="10615032"/>
    <m/>
    <m/>
    <n v="20004552"/>
    <n v="21180225"/>
    <n v="13560751"/>
    <m/>
    <n v="13560751"/>
    <n v="14517694"/>
    <m/>
    <n v="14517694"/>
    <n v="44102933"/>
    <n v="46312951"/>
    <m/>
    <m/>
    <m/>
    <m/>
    <n v="0"/>
    <m/>
    <m/>
    <n v="0"/>
    <m/>
    <m/>
    <m/>
    <m/>
    <m/>
    <m/>
    <n v="44102933"/>
    <n v="46312951"/>
  </r>
  <r>
    <x v="13"/>
    <x v="0"/>
    <s v="South Texas College"/>
    <m/>
    <n v="409315"/>
    <x v="14"/>
    <n v="37191291"/>
    <n v="37410347"/>
    <m/>
    <m/>
    <n v="45985951"/>
    <n v="45520883"/>
    <n v="69135753"/>
    <m/>
    <n v="69135753"/>
    <n v="74839161"/>
    <m/>
    <n v="74839161"/>
    <n v="152312995"/>
    <n v="157770391"/>
    <m/>
    <m/>
    <m/>
    <m/>
    <n v="0"/>
    <m/>
    <m/>
    <n v="0"/>
    <m/>
    <m/>
    <m/>
    <m/>
    <m/>
    <m/>
    <n v="152312995"/>
    <n v="157770391"/>
  </r>
  <r>
    <x v="13"/>
    <x v="0"/>
    <s v="Amarillo College "/>
    <m/>
    <n v="222576"/>
    <x v="6"/>
    <n v="18279492"/>
    <n v="18419591"/>
    <m/>
    <m/>
    <n v="14075247"/>
    <n v="14428247"/>
    <n v="19007211"/>
    <m/>
    <n v="19007211"/>
    <n v="22679768"/>
    <m/>
    <n v="22679768"/>
    <n v="51361950"/>
    <n v="55527606"/>
    <m/>
    <m/>
    <m/>
    <m/>
    <n v="0"/>
    <m/>
    <m/>
    <n v="0"/>
    <m/>
    <m/>
    <m/>
    <m/>
    <m/>
    <m/>
    <n v="51361950"/>
    <n v="55527606"/>
  </r>
  <r>
    <x v="13"/>
    <x v="0"/>
    <s v="Austin Community College "/>
    <m/>
    <n v="222992"/>
    <x v="6"/>
    <n v="53154443"/>
    <n v="53508371"/>
    <m/>
    <m/>
    <n v="100785060"/>
    <n v="106213851"/>
    <n v="80521915"/>
    <m/>
    <n v="80521915"/>
    <n v="93222548"/>
    <m/>
    <n v="93222548"/>
    <n v="234461418"/>
    <n v="252944770"/>
    <m/>
    <m/>
    <m/>
    <m/>
    <n v="0"/>
    <m/>
    <m/>
    <n v="0"/>
    <m/>
    <m/>
    <m/>
    <m/>
    <m/>
    <m/>
    <n v="234461418"/>
    <n v="252944770"/>
  </r>
  <r>
    <x v="13"/>
    <x v="0"/>
    <s v="Blinn College "/>
    <m/>
    <n v="223427"/>
    <x v="6"/>
    <n v="24002920"/>
    <n v="24148326"/>
    <m/>
    <m/>
    <n v="1428819"/>
    <n v="1470887"/>
    <n v="40820388"/>
    <m/>
    <n v="40820388"/>
    <n v="47810017"/>
    <m/>
    <n v="47810017"/>
    <n v="66252127"/>
    <n v="73429230"/>
    <m/>
    <m/>
    <m/>
    <m/>
    <n v="0"/>
    <m/>
    <m/>
    <n v="0"/>
    <m/>
    <m/>
    <m/>
    <m/>
    <m/>
    <m/>
    <n v="66252127"/>
    <n v="73429230"/>
  </r>
  <r>
    <x v="13"/>
    <x v="0"/>
    <s v="Brookhaven College  (DCCCD)"/>
    <m/>
    <n v="223524"/>
    <x v="6"/>
    <m/>
    <n v="0"/>
    <m/>
    <m/>
    <m/>
    <m/>
    <m/>
    <m/>
    <n v="0"/>
    <m/>
    <m/>
    <n v="0"/>
    <n v="0"/>
    <n v="0"/>
    <m/>
    <m/>
    <m/>
    <m/>
    <n v="0"/>
    <m/>
    <m/>
    <n v="0"/>
    <m/>
    <m/>
    <m/>
    <m/>
    <m/>
    <m/>
    <n v="0"/>
    <n v="0"/>
  </r>
  <r>
    <x v="13"/>
    <x v="0"/>
    <s v="Central Texas College "/>
    <m/>
    <n v="223816"/>
    <x v="6"/>
    <n v="22572922"/>
    <n v="22693502"/>
    <m/>
    <m/>
    <n v="10954001"/>
    <n v="11314027"/>
    <n v="63366551"/>
    <m/>
    <n v="63366551"/>
    <n v="63485149"/>
    <m/>
    <n v="63485149"/>
    <n v="96893474"/>
    <n v="97492678"/>
    <m/>
    <m/>
    <m/>
    <m/>
    <n v="0"/>
    <m/>
    <m/>
    <n v="0"/>
    <m/>
    <m/>
    <m/>
    <m/>
    <m/>
    <m/>
    <n v="96893474"/>
    <n v="97492678"/>
  </r>
  <r>
    <x v="13"/>
    <x v="0"/>
    <s v="Collin County Community College District"/>
    <m/>
    <n v="247834"/>
    <x v="6"/>
    <n v="34293421"/>
    <n v="34479711"/>
    <m/>
    <m/>
    <n v="57333833"/>
    <n v="58695932"/>
    <n v="29755975"/>
    <m/>
    <n v="29755975"/>
    <n v="30517661"/>
    <m/>
    <n v="30517661"/>
    <n v="121383229"/>
    <n v="123693304"/>
    <m/>
    <m/>
    <m/>
    <m/>
    <n v="0"/>
    <m/>
    <m/>
    <n v="0"/>
    <m/>
    <m/>
    <m/>
    <m/>
    <m/>
    <m/>
    <n v="121383229"/>
    <n v="123693304"/>
  </r>
  <r>
    <x v="13"/>
    <x v="0"/>
    <s v="Del Mar College "/>
    <m/>
    <n v="224350"/>
    <x v="6"/>
    <n v="19913765"/>
    <n v="20070755"/>
    <m/>
    <m/>
    <n v="43767128"/>
    <n v="44521137"/>
    <n v="25362609"/>
    <m/>
    <n v="25362609"/>
    <n v="26446055"/>
    <m/>
    <n v="26446055"/>
    <n v="89043502"/>
    <n v="91037947"/>
    <m/>
    <m/>
    <m/>
    <m/>
    <n v="0"/>
    <m/>
    <m/>
    <n v="0"/>
    <m/>
    <m/>
    <m/>
    <m/>
    <m/>
    <m/>
    <n v="89043502"/>
    <n v="91037947"/>
  </r>
  <r>
    <x v="13"/>
    <x v="0"/>
    <s v="Eastfield College  (DCCCD)"/>
    <m/>
    <n v="224572"/>
    <x v="6"/>
    <m/>
    <n v="0"/>
    <m/>
    <m/>
    <m/>
    <m/>
    <m/>
    <m/>
    <n v="0"/>
    <m/>
    <m/>
    <n v="0"/>
    <n v="0"/>
    <n v="0"/>
    <m/>
    <m/>
    <m/>
    <m/>
    <n v="0"/>
    <m/>
    <m/>
    <n v="0"/>
    <m/>
    <m/>
    <m/>
    <m/>
    <m/>
    <m/>
    <n v="0"/>
    <n v="0"/>
  </r>
  <r>
    <x v="13"/>
    <x v="0"/>
    <s v="El Centro College  (DCCCD)"/>
    <m/>
    <n v="224615"/>
    <x v="6"/>
    <m/>
    <n v="0"/>
    <m/>
    <m/>
    <m/>
    <m/>
    <m/>
    <m/>
    <n v="0"/>
    <m/>
    <m/>
    <n v="0"/>
    <n v="0"/>
    <n v="0"/>
    <m/>
    <m/>
    <m/>
    <m/>
    <n v="0"/>
    <m/>
    <m/>
    <n v="0"/>
    <m/>
    <m/>
    <m/>
    <m/>
    <m/>
    <m/>
    <n v="0"/>
    <n v="0"/>
  </r>
  <r>
    <x v="13"/>
    <x v="0"/>
    <s v="El Paso County Community College District"/>
    <m/>
    <n v="224642"/>
    <x v="6"/>
    <n v="36698542"/>
    <n v="36958895"/>
    <m/>
    <m/>
    <n v="37689872"/>
    <n v="42055081"/>
    <n v="47850733"/>
    <m/>
    <n v="47850733"/>
    <n v="55859205"/>
    <m/>
    <n v="55859205"/>
    <n v="122239147"/>
    <n v="134873181"/>
    <m/>
    <m/>
    <m/>
    <m/>
    <n v="0"/>
    <m/>
    <m/>
    <n v="0"/>
    <m/>
    <m/>
    <m/>
    <m/>
    <m/>
    <m/>
    <n v="122239147"/>
    <n v="134873181"/>
  </r>
  <r>
    <x v="13"/>
    <x v="0"/>
    <s v="Houston Community College"/>
    <m/>
    <n v="225423"/>
    <x v="6"/>
    <n v="82178404"/>
    <n v="82719005"/>
    <m/>
    <m/>
    <n v="115820065"/>
    <n v="123638019"/>
    <n v="116421467"/>
    <m/>
    <n v="116421467"/>
    <n v="130214267"/>
    <m/>
    <n v="130214267"/>
    <n v="314419936"/>
    <n v="336571291"/>
    <m/>
    <m/>
    <m/>
    <m/>
    <n v="0"/>
    <m/>
    <m/>
    <n v="0"/>
    <m/>
    <m/>
    <m/>
    <m/>
    <m/>
    <m/>
    <n v="314419936"/>
    <n v="336571291"/>
  </r>
  <r>
    <x v="13"/>
    <x v="0"/>
    <s v="Kilgore College "/>
    <m/>
    <n v="226019"/>
    <x v="6"/>
    <n v="13157601"/>
    <n v="13245567"/>
    <m/>
    <m/>
    <n v="5900201"/>
    <n v="6006097"/>
    <n v="14758719"/>
    <m/>
    <n v="14758719"/>
    <n v="15395755"/>
    <m/>
    <n v="15395755"/>
    <n v="33816521"/>
    <n v="34647419"/>
    <m/>
    <m/>
    <m/>
    <m/>
    <n v="0"/>
    <m/>
    <m/>
    <n v="0"/>
    <m/>
    <m/>
    <m/>
    <m/>
    <m/>
    <m/>
    <n v="33816521"/>
    <n v="34647419"/>
  </r>
  <r>
    <x v="13"/>
    <x v="0"/>
    <s v="Laredo Community College "/>
    <m/>
    <n v="226134"/>
    <x v="6"/>
    <n v="13611942"/>
    <n v="13734760"/>
    <m/>
    <m/>
    <n v="21143950"/>
    <n v="23505136"/>
    <n v="18985866"/>
    <m/>
    <n v="18985866"/>
    <n v="20870691"/>
    <m/>
    <n v="20870691"/>
    <n v="53741758"/>
    <n v="58110587"/>
    <m/>
    <m/>
    <m/>
    <m/>
    <n v="0"/>
    <m/>
    <m/>
    <n v="0"/>
    <m/>
    <m/>
    <m/>
    <m/>
    <m/>
    <m/>
    <n v="53741758"/>
    <n v="58110587"/>
  </r>
  <r>
    <x v="13"/>
    <x v="0"/>
    <s v="Lone Star College System District"/>
    <m/>
    <n v="227182"/>
    <x v="6"/>
    <n v="72829601"/>
    <n v="73252471"/>
    <m/>
    <m/>
    <n v="96232370"/>
    <n v="101461010"/>
    <n v="82865009"/>
    <m/>
    <n v="82865009"/>
    <n v="95469310"/>
    <m/>
    <n v="95469310"/>
    <n v="251926980"/>
    <n v="270182791"/>
    <m/>
    <m/>
    <m/>
    <m/>
    <n v="0"/>
    <m/>
    <m/>
    <n v="0"/>
    <m/>
    <m/>
    <m/>
    <m/>
    <m/>
    <m/>
    <n v="251926980"/>
    <n v="270182791"/>
  </r>
  <r>
    <x v="13"/>
    <x v="0"/>
    <s v="McLennan Community College "/>
    <m/>
    <n v="226578"/>
    <x v="6"/>
    <n v="16327154"/>
    <n v="16439044"/>
    <m/>
    <m/>
    <n v="17770718"/>
    <n v="18282635"/>
    <n v="25132982"/>
    <m/>
    <n v="25132982"/>
    <n v="28267960"/>
    <m/>
    <n v="28267960"/>
    <n v="59230854"/>
    <n v="62989639"/>
    <m/>
    <m/>
    <m/>
    <m/>
    <n v="0"/>
    <m/>
    <m/>
    <n v="0"/>
    <m/>
    <m/>
    <m/>
    <m/>
    <m/>
    <m/>
    <n v="59230854"/>
    <n v="62989639"/>
  </r>
  <r>
    <x v="13"/>
    <x v="0"/>
    <s v="Navarro College "/>
    <m/>
    <n v="227146"/>
    <x v="6"/>
    <n v="17466008"/>
    <n v="17543562"/>
    <m/>
    <m/>
    <n v="3122756"/>
    <n v="3228761"/>
    <n v="20587347"/>
    <m/>
    <n v="20587347"/>
    <n v="21083365"/>
    <m/>
    <n v="21083365"/>
    <n v="41176111"/>
    <n v="41855688"/>
    <m/>
    <m/>
    <m/>
    <m/>
    <n v="0"/>
    <m/>
    <m/>
    <n v="0"/>
    <m/>
    <m/>
    <m/>
    <m/>
    <m/>
    <m/>
    <n v="41176111"/>
    <n v="41855688"/>
  </r>
  <r>
    <x v="13"/>
    <x v="0"/>
    <s v="North Central Texas Community College"/>
    <m/>
    <n v="224110"/>
    <x v="6"/>
    <n v="11075985"/>
    <n v="11142109"/>
    <m/>
    <m/>
    <n v="2162218"/>
    <n v="2182708"/>
    <n v="16366796"/>
    <m/>
    <n v="16366796"/>
    <n v="18776603"/>
    <m/>
    <n v="18776603"/>
    <n v="29604999"/>
    <n v="32101420"/>
    <m/>
    <m/>
    <m/>
    <m/>
    <n v="0"/>
    <m/>
    <m/>
    <n v="0"/>
    <m/>
    <m/>
    <m/>
    <m/>
    <m/>
    <m/>
    <n v="29604999"/>
    <n v="32101420"/>
  </r>
  <r>
    <x v="13"/>
    <x v="0"/>
    <s v="North Lake College  (DCCCD)"/>
    <m/>
    <n v="227191"/>
    <x v="6"/>
    <m/>
    <n v="0"/>
    <m/>
    <m/>
    <m/>
    <m/>
    <m/>
    <m/>
    <n v="0"/>
    <m/>
    <m/>
    <n v="0"/>
    <n v="0"/>
    <n v="0"/>
    <m/>
    <m/>
    <m/>
    <m/>
    <n v="0"/>
    <m/>
    <m/>
    <n v="0"/>
    <m/>
    <m/>
    <m/>
    <m/>
    <m/>
    <m/>
    <n v="0"/>
    <n v="0"/>
  </r>
  <r>
    <x v="13"/>
    <x v="0"/>
    <s v="Northwest Vista College (ACCD)"/>
    <m/>
    <n v="420398"/>
    <x v="6"/>
    <m/>
    <n v="0"/>
    <m/>
    <m/>
    <m/>
    <m/>
    <m/>
    <m/>
    <n v="0"/>
    <m/>
    <m/>
    <n v="0"/>
    <n v="0"/>
    <n v="0"/>
    <m/>
    <m/>
    <m/>
    <m/>
    <n v="0"/>
    <m/>
    <m/>
    <n v="0"/>
    <m/>
    <m/>
    <m/>
    <m/>
    <m/>
    <m/>
    <n v="0"/>
    <n v="0"/>
  </r>
  <r>
    <x v="13"/>
    <x v="0"/>
    <s v="Palo Alto College  (ACCD)"/>
    <m/>
    <n v="246354"/>
    <x v="6"/>
    <m/>
    <n v="0"/>
    <m/>
    <m/>
    <m/>
    <m/>
    <m/>
    <m/>
    <n v="0"/>
    <m/>
    <m/>
    <n v="0"/>
    <n v="0"/>
    <n v="0"/>
    <m/>
    <m/>
    <m/>
    <m/>
    <n v="0"/>
    <m/>
    <m/>
    <n v="0"/>
    <m/>
    <m/>
    <m/>
    <m/>
    <m/>
    <m/>
    <n v="0"/>
    <n v="0"/>
  </r>
  <r>
    <x v="13"/>
    <x v="0"/>
    <s v="Richland College  (DCCCD)"/>
    <m/>
    <n v="227766"/>
    <x v="6"/>
    <m/>
    <n v="0"/>
    <m/>
    <m/>
    <m/>
    <m/>
    <m/>
    <m/>
    <n v="0"/>
    <m/>
    <m/>
    <n v="0"/>
    <n v="0"/>
    <n v="0"/>
    <m/>
    <m/>
    <m/>
    <m/>
    <n v="0"/>
    <m/>
    <m/>
    <n v="0"/>
    <m/>
    <m/>
    <m/>
    <m/>
    <m/>
    <m/>
    <n v="0"/>
    <n v="0"/>
  </r>
  <r>
    <x v="13"/>
    <x v="0"/>
    <s v="San Antonio College (ACCD)"/>
    <m/>
    <n v="227924"/>
    <x v="6"/>
    <m/>
    <n v="0"/>
    <m/>
    <m/>
    <m/>
    <m/>
    <m/>
    <m/>
    <n v="0"/>
    <m/>
    <m/>
    <n v="0"/>
    <n v="0"/>
    <n v="0"/>
    <m/>
    <m/>
    <m/>
    <m/>
    <n v="0"/>
    <m/>
    <m/>
    <n v="0"/>
    <m/>
    <m/>
    <m/>
    <m/>
    <m/>
    <m/>
    <n v="0"/>
    <n v="0"/>
  </r>
  <r>
    <x v="13"/>
    <x v="0"/>
    <s v="San Jacinto College (SJCDS)"/>
    <m/>
    <n v="227979"/>
    <x v="6"/>
    <n v="42586182"/>
    <n v="42883972"/>
    <m/>
    <m/>
    <n v="64805667"/>
    <n v="68648794"/>
    <n v="50728190"/>
    <m/>
    <n v="50728190"/>
    <n v="51438419"/>
    <m/>
    <n v="51438419"/>
    <n v="158120039"/>
    <n v="162971185"/>
    <m/>
    <m/>
    <m/>
    <m/>
    <n v="0"/>
    <m/>
    <m/>
    <n v="0"/>
    <m/>
    <m/>
    <m/>
    <m/>
    <m/>
    <m/>
    <n v="158120039"/>
    <n v="162971185"/>
  </r>
  <r>
    <x v="13"/>
    <x v="0"/>
    <s v="South Plains College "/>
    <m/>
    <n v="228158"/>
    <x v="6"/>
    <n v="16354879"/>
    <n v="16484392"/>
    <m/>
    <m/>
    <n v="10651591"/>
    <n v="10657240"/>
    <n v="13024576"/>
    <m/>
    <n v="13024576"/>
    <n v="24666121"/>
    <m/>
    <n v="24666121"/>
    <n v="40031046"/>
    <n v="51807753"/>
    <m/>
    <m/>
    <m/>
    <m/>
    <n v="0"/>
    <m/>
    <m/>
    <n v="0"/>
    <m/>
    <m/>
    <m/>
    <m/>
    <m/>
    <m/>
    <n v="40031046"/>
    <n v="51807753"/>
  </r>
  <r>
    <x v="13"/>
    <x v="0"/>
    <s v="St. Philip's College  (ACCD)"/>
    <m/>
    <n v="227854"/>
    <x v="6"/>
    <m/>
    <n v="0"/>
    <m/>
    <m/>
    <m/>
    <m/>
    <m/>
    <m/>
    <n v="0"/>
    <m/>
    <m/>
    <n v="0"/>
    <n v="0"/>
    <n v="0"/>
    <m/>
    <m/>
    <m/>
    <m/>
    <n v="0"/>
    <m/>
    <m/>
    <n v="0"/>
    <m/>
    <m/>
    <m/>
    <m/>
    <m/>
    <m/>
    <n v="0"/>
    <n v="0"/>
  </r>
  <r>
    <x v="13"/>
    <x v="0"/>
    <s v="Tarrant County College (TCJCD)"/>
    <m/>
    <n v="228547"/>
    <x v="6"/>
    <n v="61513152"/>
    <n v="61964956"/>
    <m/>
    <m/>
    <n v="163339387"/>
    <n v="180009933"/>
    <n v="60673789"/>
    <m/>
    <n v="60673789"/>
    <n v="60283702"/>
    <m/>
    <n v="60283702"/>
    <n v="285526328"/>
    <n v="302258591"/>
    <m/>
    <m/>
    <m/>
    <m/>
    <n v="0"/>
    <m/>
    <m/>
    <n v="0"/>
    <m/>
    <m/>
    <m/>
    <m/>
    <m/>
    <m/>
    <n v="285526328"/>
    <n v="302258591"/>
  </r>
  <r>
    <x v="13"/>
    <x v="0"/>
    <s v="Texas Southmost College "/>
    <s v="Met criteria for Two-Year 2 in 2012-13."/>
    <n v="229072"/>
    <x v="6"/>
    <n v="13544455"/>
    <n v="13645409"/>
    <m/>
    <m/>
    <n v="17049071"/>
    <n v="17459754"/>
    <n v="38321948"/>
    <m/>
    <n v="38321948"/>
    <n v="36827695"/>
    <m/>
    <n v="36827695"/>
    <n v="68915474"/>
    <n v="67932858"/>
    <m/>
    <m/>
    <m/>
    <m/>
    <n v="0"/>
    <m/>
    <m/>
    <n v="0"/>
    <m/>
    <m/>
    <m/>
    <m/>
    <m/>
    <m/>
    <n v="68915474"/>
    <n v="67932858"/>
  </r>
  <r>
    <x v="13"/>
    <x v="0"/>
    <s v="Texas State Technical College-Waco"/>
    <s v="Met criteria for Two-Year 2 in 2012-13."/>
    <n v="228680"/>
    <x v="6"/>
    <n v="32032772"/>
    <n v="30239291"/>
    <m/>
    <m/>
    <m/>
    <m/>
    <n v="19424522"/>
    <m/>
    <n v="19424522"/>
    <n v="21531561"/>
    <m/>
    <n v="21531561"/>
    <n v="51457294"/>
    <n v="51770852"/>
    <m/>
    <m/>
    <m/>
    <m/>
    <n v="0"/>
    <m/>
    <m/>
    <n v="0"/>
    <m/>
    <m/>
    <m/>
    <m/>
    <m/>
    <m/>
    <n v="51457294"/>
    <n v="51770852"/>
  </r>
  <r>
    <x v="13"/>
    <x v="0"/>
    <s v="Trinity Valley Community College"/>
    <m/>
    <n v="225308"/>
    <x v="6"/>
    <n v="12860729"/>
    <n v="12938340"/>
    <m/>
    <m/>
    <n v="7670212"/>
    <n v="7983304"/>
    <n v="11163125"/>
    <m/>
    <n v="11163125"/>
    <n v="13581347"/>
    <m/>
    <n v="13581347"/>
    <n v="31694066"/>
    <n v="34502991"/>
    <m/>
    <m/>
    <m/>
    <m/>
    <n v="0"/>
    <m/>
    <m/>
    <n v="0"/>
    <m/>
    <m/>
    <m/>
    <m/>
    <m/>
    <m/>
    <n v="31694066"/>
    <n v="34502991"/>
  </r>
  <r>
    <x v="13"/>
    <x v="0"/>
    <s v="Tyler Junior College "/>
    <m/>
    <n v="229355"/>
    <x v="6"/>
    <n v="20454648"/>
    <n v="20592403"/>
    <m/>
    <m/>
    <n v="18638057"/>
    <n v="18937231"/>
    <n v="28457147"/>
    <m/>
    <n v="28457147"/>
    <n v="29509022"/>
    <m/>
    <n v="29509022"/>
    <n v="67549852"/>
    <n v="69038656"/>
    <m/>
    <m/>
    <m/>
    <m/>
    <n v="0"/>
    <m/>
    <m/>
    <n v="0"/>
    <m/>
    <m/>
    <m/>
    <m/>
    <m/>
    <m/>
    <n v="67549852"/>
    <n v="69038656"/>
  </r>
  <r>
    <x v="13"/>
    <x v="0"/>
    <s v="Alvin Community College "/>
    <m/>
    <n v="222567"/>
    <x v="7"/>
    <n v="8675792"/>
    <n v="8736742"/>
    <m/>
    <m/>
    <n v="11574914"/>
    <n v="11886948"/>
    <n v="10517449"/>
    <m/>
    <n v="10517449"/>
    <n v="11270172"/>
    <m/>
    <n v="11270172"/>
    <n v="30768155"/>
    <n v="31893862"/>
    <m/>
    <m/>
    <m/>
    <m/>
    <n v="0"/>
    <m/>
    <m/>
    <n v="0"/>
    <m/>
    <m/>
    <m/>
    <m/>
    <m/>
    <m/>
    <n v="30768155"/>
    <n v="31893862"/>
  </r>
  <r>
    <x v="13"/>
    <x v="0"/>
    <s v="Angelina College "/>
    <m/>
    <n v="222822"/>
    <x v="7"/>
    <n v="9055731"/>
    <n v="9112960"/>
    <m/>
    <m/>
    <n v="5855381"/>
    <n v="6217240"/>
    <n v="7460325"/>
    <m/>
    <n v="7460325"/>
    <n v="8988316"/>
    <m/>
    <n v="8988316"/>
    <n v="22371437"/>
    <n v="24318516"/>
    <m/>
    <m/>
    <m/>
    <m/>
    <n v="0"/>
    <m/>
    <m/>
    <n v="0"/>
    <m/>
    <m/>
    <m/>
    <m/>
    <m/>
    <m/>
    <n v="22371437"/>
    <n v="24318516"/>
  </r>
  <r>
    <x v="13"/>
    <x v="0"/>
    <s v="Cedar Valley College  (DCCCD)"/>
    <m/>
    <n v="223773"/>
    <x v="7"/>
    <m/>
    <n v="0"/>
    <m/>
    <m/>
    <m/>
    <m/>
    <m/>
    <m/>
    <n v="0"/>
    <m/>
    <m/>
    <n v="0"/>
    <n v="0"/>
    <n v="0"/>
    <m/>
    <m/>
    <m/>
    <m/>
    <n v="0"/>
    <m/>
    <m/>
    <n v="0"/>
    <m/>
    <m/>
    <m/>
    <m/>
    <m/>
    <m/>
    <n v="0"/>
    <n v="0"/>
  </r>
  <r>
    <x v="13"/>
    <x v="0"/>
    <s v="Cisco Junior College "/>
    <m/>
    <n v="223898"/>
    <x v="7"/>
    <n v="6366473"/>
    <n v="6403939"/>
    <m/>
    <m/>
    <n v="505261"/>
    <n v="541405"/>
    <n v="9633517"/>
    <m/>
    <n v="9633517"/>
    <n v="9769294"/>
    <m/>
    <n v="9769294"/>
    <n v="16505251"/>
    <n v="16714638"/>
    <m/>
    <m/>
    <m/>
    <m/>
    <n v="0"/>
    <m/>
    <m/>
    <n v="0"/>
    <m/>
    <m/>
    <m/>
    <m/>
    <m/>
    <m/>
    <n v="16505251"/>
    <n v="16714638"/>
  </r>
  <r>
    <x v="13"/>
    <x v="0"/>
    <s v="Coastal Bend College"/>
    <m/>
    <n v="223320"/>
    <x v="7"/>
    <n v="7693912"/>
    <n v="7749789"/>
    <m/>
    <m/>
    <n v="1812993"/>
    <n v="1767948"/>
    <n v="9958376"/>
    <m/>
    <n v="9958376"/>
    <n v="8876007"/>
    <m/>
    <n v="8876007"/>
    <n v="19465281"/>
    <n v="18393744"/>
    <m/>
    <m/>
    <m/>
    <m/>
    <n v="0"/>
    <m/>
    <m/>
    <n v="0"/>
    <m/>
    <m/>
    <m/>
    <m/>
    <m/>
    <m/>
    <n v="19465281"/>
    <n v="18393744"/>
  </r>
  <r>
    <x v="13"/>
    <x v="0"/>
    <s v="College of the Mainland"/>
    <m/>
    <n v="226408"/>
    <x v="7"/>
    <n v="7591941"/>
    <n v="7668700"/>
    <m/>
    <m/>
    <n v="20556458"/>
    <n v="20772062"/>
    <n v="6300965"/>
    <m/>
    <n v="6300965"/>
    <n v="7916817"/>
    <m/>
    <n v="7916817"/>
    <n v="34449364"/>
    <n v="36357579"/>
    <m/>
    <m/>
    <m/>
    <m/>
    <n v="0"/>
    <m/>
    <m/>
    <n v="0"/>
    <m/>
    <m/>
    <m/>
    <m/>
    <m/>
    <m/>
    <n v="34449364"/>
    <n v="36357579"/>
  </r>
  <r>
    <x v="13"/>
    <x v="0"/>
    <s v="Grayson County College "/>
    <m/>
    <n v="225070"/>
    <x v="7"/>
    <n v="8853764"/>
    <n v="8911824"/>
    <m/>
    <m/>
    <n v="9208795"/>
    <n v="9445550"/>
    <n v="8528537"/>
    <m/>
    <n v="8528537"/>
    <n v="8921304"/>
    <m/>
    <n v="8921304"/>
    <n v="26591096"/>
    <n v="27278678"/>
    <m/>
    <m/>
    <m/>
    <m/>
    <n v="0"/>
    <m/>
    <m/>
    <n v="0"/>
    <m/>
    <m/>
    <m/>
    <m/>
    <m/>
    <m/>
    <n v="26591096"/>
    <n v="27278678"/>
  </r>
  <r>
    <x v="13"/>
    <x v="0"/>
    <s v="Hill College"/>
    <m/>
    <n v="225371"/>
    <x v="7"/>
    <n v="7969394"/>
    <n v="8014842"/>
    <m/>
    <m/>
    <n v="3993303"/>
    <n v="4307633"/>
    <n v="6270053"/>
    <m/>
    <n v="6270053"/>
    <n v="6839940"/>
    <m/>
    <n v="6839940"/>
    <n v="18232750"/>
    <n v="19162415"/>
    <m/>
    <m/>
    <m/>
    <m/>
    <n v="0"/>
    <m/>
    <m/>
    <n v="0"/>
    <m/>
    <m/>
    <m/>
    <m/>
    <m/>
    <m/>
    <n v="18232750"/>
    <n v="19162415"/>
  </r>
  <r>
    <x v="13"/>
    <x v="0"/>
    <s v="Howard College (HCJCD)"/>
    <m/>
    <n v="225520"/>
    <x v="7"/>
    <n v="12170711"/>
    <n v="12237388"/>
    <m/>
    <m/>
    <n v="6113570"/>
    <n v="6031636"/>
    <n v="6940275"/>
    <m/>
    <n v="6940275"/>
    <n v="8407908"/>
    <m/>
    <n v="8407908"/>
    <n v="25224556"/>
    <n v="26676932"/>
    <m/>
    <m/>
    <m/>
    <m/>
    <n v="0"/>
    <m/>
    <m/>
    <n v="0"/>
    <m/>
    <m/>
    <m/>
    <m/>
    <m/>
    <m/>
    <n v="25224556"/>
    <n v="26676932"/>
  </r>
  <r>
    <x v="13"/>
    <x v="0"/>
    <s v="Lamar Institute of Technology"/>
    <m/>
    <n v="441760"/>
    <x v="7"/>
    <n v="15191153"/>
    <n v="9775712"/>
    <m/>
    <m/>
    <m/>
    <m/>
    <n v="9110779"/>
    <m/>
    <n v="9110779"/>
    <n v="9106033"/>
    <m/>
    <n v="9106033"/>
    <n v="24301932"/>
    <n v="18881745"/>
    <m/>
    <m/>
    <m/>
    <m/>
    <n v="0"/>
    <m/>
    <m/>
    <n v="0"/>
    <m/>
    <m/>
    <m/>
    <m/>
    <m/>
    <m/>
    <n v="24301932"/>
    <n v="18881745"/>
  </r>
  <r>
    <x v="13"/>
    <x v="0"/>
    <s v="Lamar State College-Port Arthur"/>
    <s v="Reclassified: Met the criteria for Two-Year 2 in 2010-11, 2011-12, and 2012-13."/>
    <n v="226116"/>
    <x v="7"/>
    <n v="9793250"/>
    <n v="9608340"/>
    <m/>
    <m/>
    <m/>
    <m/>
    <n v="6303208"/>
    <m/>
    <n v="6303208"/>
    <n v="6744419"/>
    <m/>
    <n v="6744419"/>
    <n v="16096458"/>
    <n v="16352759"/>
    <m/>
    <m/>
    <m/>
    <m/>
    <n v="0"/>
    <m/>
    <m/>
    <n v="0"/>
    <m/>
    <m/>
    <m/>
    <m/>
    <m/>
    <m/>
    <n v="16096458"/>
    <n v="16352759"/>
  </r>
  <r>
    <x v="13"/>
    <x v="0"/>
    <s v="Lee College "/>
    <m/>
    <n v="226204"/>
    <x v="7"/>
    <n v="11043022"/>
    <n v="11123200"/>
    <m/>
    <m/>
    <n v="17881845"/>
    <n v="18657446"/>
    <n v="11128840"/>
    <m/>
    <n v="11128840"/>
    <n v="11796136"/>
    <m/>
    <n v="11796136"/>
    <n v="40053707"/>
    <n v="41576782"/>
    <m/>
    <m/>
    <m/>
    <m/>
    <n v="0"/>
    <m/>
    <m/>
    <n v="0"/>
    <m/>
    <m/>
    <m/>
    <m/>
    <m/>
    <m/>
    <n v="40053707"/>
    <n v="41576782"/>
  </r>
  <r>
    <x v="13"/>
    <x v="0"/>
    <s v="Mountain View College  (DCCCD)"/>
    <m/>
    <n v="226930"/>
    <x v="7"/>
    <m/>
    <n v="0"/>
    <m/>
    <m/>
    <m/>
    <m/>
    <m/>
    <m/>
    <n v="0"/>
    <m/>
    <m/>
    <n v="0"/>
    <n v="0"/>
    <n v="0"/>
    <m/>
    <m/>
    <m/>
    <m/>
    <n v="0"/>
    <m/>
    <m/>
    <n v="0"/>
    <m/>
    <m/>
    <m/>
    <m/>
    <m/>
    <m/>
    <n v="0"/>
    <n v="0"/>
  </r>
  <r>
    <x v="13"/>
    <x v="0"/>
    <s v="Northeast Texas Community College "/>
    <m/>
    <n v="227225"/>
    <x v="7"/>
    <n v="5002735"/>
    <n v="5035086"/>
    <m/>
    <m/>
    <n v="3610446"/>
    <n v="3458064"/>
    <n v="6435108"/>
    <m/>
    <n v="6435108"/>
    <n v="7289241"/>
    <m/>
    <n v="7289241"/>
    <n v="15048289"/>
    <n v="15782391"/>
    <m/>
    <m/>
    <m/>
    <m/>
    <n v="0"/>
    <m/>
    <m/>
    <n v="0"/>
    <m/>
    <m/>
    <m/>
    <m/>
    <m/>
    <m/>
    <n v="15048289"/>
    <n v="15782391"/>
  </r>
  <r>
    <x v="13"/>
    <x v="0"/>
    <s v="Odessa College "/>
    <m/>
    <n v="227304"/>
    <x v="7"/>
    <n v="8300638"/>
    <n v="8373993"/>
    <m/>
    <m/>
    <n v="16026859"/>
    <n v="20975634"/>
    <n v="9243946"/>
    <m/>
    <n v="9243946"/>
    <n v="10769824"/>
    <m/>
    <n v="10769824"/>
    <n v="33571443"/>
    <n v="40119451"/>
    <m/>
    <m/>
    <m/>
    <m/>
    <n v="0"/>
    <m/>
    <m/>
    <n v="0"/>
    <m/>
    <m/>
    <m/>
    <m/>
    <m/>
    <m/>
    <n v="33571443"/>
    <n v="40119451"/>
  </r>
  <r>
    <x v="13"/>
    <x v="0"/>
    <s v="Paris Junior College"/>
    <m/>
    <n v="227401"/>
    <x v="7"/>
    <n v="10184047"/>
    <n v="10240573"/>
    <m/>
    <m/>
    <n v="2898389"/>
    <n v="2900541"/>
    <n v="11872465"/>
    <m/>
    <n v="11872465"/>
    <n v="12771912"/>
    <m/>
    <n v="12771912"/>
    <n v="24954901"/>
    <n v="25913026"/>
    <m/>
    <m/>
    <m/>
    <m/>
    <n v="0"/>
    <m/>
    <m/>
    <n v="0"/>
    <m/>
    <m/>
    <m/>
    <m/>
    <m/>
    <m/>
    <n v="24954901"/>
    <n v="25913026"/>
  </r>
  <r>
    <x v="13"/>
    <x v="0"/>
    <s v="Southwest Texas Junior College "/>
    <m/>
    <n v="228316"/>
    <x v="7"/>
    <n v="8562698"/>
    <n v="8621420"/>
    <m/>
    <m/>
    <n v="2486117"/>
    <n v="2572349"/>
    <n v="13831100"/>
    <m/>
    <n v="13831100"/>
    <n v="13959178"/>
    <m/>
    <n v="13959178"/>
    <n v="24879915"/>
    <n v="25152947"/>
    <m/>
    <m/>
    <m/>
    <m/>
    <n v="0"/>
    <m/>
    <m/>
    <n v="0"/>
    <m/>
    <m/>
    <m/>
    <m/>
    <m/>
    <m/>
    <n v="24879915"/>
    <n v="25152947"/>
  </r>
  <r>
    <x v="13"/>
    <x v="0"/>
    <s v="Temple College "/>
    <m/>
    <n v="228608"/>
    <x v="7"/>
    <n v="9111737"/>
    <n v="9170367"/>
    <m/>
    <m/>
    <n v="7090970"/>
    <n v="7168855"/>
    <n v="16669210"/>
    <m/>
    <n v="16669210"/>
    <n v="18556015"/>
    <m/>
    <n v="18556015"/>
    <n v="32871917"/>
    <n v="34895237"/>
    <m/>
    <m/>
    <m/>
    <m/>
    <n v="0"/>
    <m/>
    <m/>
    <n v="0"/>
    <m/>
    <m/>
    <m/>
    <m/>
    <m/>
    <m/>
    <n v="32871917"/>
    <n v="34895237"/>
  </r>
  <r>
    <x v="13"/>
    <x v="0"/>
    <s v="Texarkana College "/>
    <m/>
    <n v="228699"/>
    <x v="7"/>
    <n v="9060745"/>
    <n v="9124890"/>
    <m/>
    <m/>
    <n v="1245710"/>
    <n v="1354269"/>
    <n v="6760062"/>
    <m/>
    <n v="6760062"/>
    <n v="8609627"/>
    <m/>
    <n v="8609627"/>
    <n v="17066517"/>
    <n v="19088786"/>
    <m/>
    <m/>
    <m/>
    <m/>
    <n v="0"/>
    <m/>
    <m/>
    <n v="0"/>
    <m/>
    <m/>
    <m/>
    <m/>
    <m/>
    <m/>
    <n v="17066517"/>
    <n v="19088786"/>
  </r>
  <r>
    <x v="13"/>
    <x v="0"/>
    <s v="Texas State Technical College-Harlingen "/>
    <m/>
    <n v="229319"/>
    <x v="7"/>
    <n v="21496347"/>
    <n v="21639600"/>
    <m/>
    <m/>
    <m/>
    <m/>
    <n v="15103936"/>
    <m/>
    <n v="15103936"/>
    <n v="16570893"/>
    <m/>
    <n v="16570893"/>
    <n v="36600283"/>
    <n v="38210493"/>
    <m/>
    <m/>
    <m/>
    <m/>
    <n v="0"/>
    <m/>
    <m/>
    <n v="0"/>
    <m/>
    <m/>
    <m/>
    <m/>
    <m/>
    <m/>
    <n v="36600283"/>
    <n v="38210493"/>
  </r>
  <r>
    <x v="13"/>
    <x v="0"/>
    <s v="Vernon College "/>
    <m/>
    <n v="229504"/>
    <x v="7"/>
    <n v="6785444"/>
    <n v="6828118"/>
    <m/>
    <m/>
    <n v="2038823"/>
    <n v="2167943"/>
    <n v="9028075"/>
    <m/>
    <n v="9028075"/>
    <n v="9918595"/>
    <m/>
    <n v="9918595"/>
    <n v="17852342"/>
    <n v="18914656"/>
    <m/>
    <m/>
    <m/>
    <m/>
    <n v="0"/>
    <m/>
    <m/>
    <n v="0"/>
    <m/>
    <m/>
    <m/>
    <m/>
    <m/>
    <m/>
    <n v="17852342"/>
    <n v="18914656"/>
  </r>
  <r>
    <x v="13"/>
    <x v="0"/>
    <s v="Victoria College "/>
    <m/>
    <n v="229540"/>
    <x v="7"/>
    <n v="7081615"/>
    <n v="7137980"/>
    <m/>
    <m/>
    <n v="6006111"/>
    <n v="6588399"/>
    <n v="13130240"/>
    <m/>
    <n v="13130240"/>
    <n v="14389531"/>
    <m/>
    <n v="14389531"/>
    <n v="26217966"/>
    <n v="28115910"/>
    <m/>
    <m/>
    <m/>
    <m/>
    <n v="0"/>
    <m/>
    <m/>
    <n v="0"/>
    <m/>
    <m/>
    <m/>
    <m/>
    <m/>
    <m/>
    <n v="26217966"/>
    <n v="28115910"/>
  </r>
  <r>
    <x v="13"/>
    <x v="0"/>
    <s v="Weatherford College "/>
    <m/>
    <n v="229799"/>
    <x v="7"/>
    <n v="9008802"/>
    <n v="9069994"/>
    <m/>
    <m/>
    <n v="10070929"/>
    <n v="10271040"/>
    <n v="11494480"/>
    <m/>
    <n v="11494480"/>
    <n v="11836950"/>
    <m/>
    <n v="11836950"/>
    <n v="30574211"/>
    <n v="31177984"/>
    <m/>
    <m/>
    <m/>
    <m/>
    <n v="0"/>
    <m/>
    <m/>
    <n v="0"/>
    <m/>
    <m/>
    <m/>
    <m/>
    <m/>
    <m/>
    <n v="30574211"/>
    <n v="31177984"/>
  </r>
  <r>
    <x v="13"/>
    <x v="0"/>
    <s v="Wharton County Junior College "/>
    <m/>
    <n v="229841"/>
    <x v="7"/>
    <n v="10075147"/>
    <n v="10146747"/>
    <m/>
    <m/>
    <n v="5171594"/>
    <n v="5169609"/>
    <n v="17976465"/>
    <m/>
    <n v="17976465"/>
    <n v="19710836"/>
    <m/>
    <n v="19710836"/>
    <n v="33223206"/>
    <n v="35027192"/>
    <m/>
    <m/>
    <m/>
    <m/>
    <n v="0"/>
    <m/>
    <m/>
    <n v="0"/>
    <m/>
    <m/>
    <m/>
    <m/>
    <m/>
    <m/>
    <n v="33223206"/>
    <n v="35027192"/>
  </r>
  <r>
    <x v="13"/>
    <x v="0"/>
    <s v="Clarendon College "/>
    <m/>
    <n v="223922"/>
    <x v="8"/>
    <n v="2973439"/>
    <n v="2992787"/>
    <m/>
    <m/>
    <n v="442331"/>
    <n v="410816"/>
    <n v="3646518"/>
    <m/>
    <n v="3646518"/>
    <n v="3570983"/>
    <m/>
    <n v="3570983"/>
    <n v="7062288"/>
    <n v="6974586"/>
    <m/>
    <m/>
    <m/>
    <m/>
    <n v="0"/>
    <m/>
    <m/>
    <n v="0"/>
    <m/>
    <m/>
    <m/>
    <m/>
    <m/>
    <m/>
    <n v="7062288"/>
    <n v="6974586"/>
  </r>
  <r>
    <x v="13"/>
    <x v="0"/>
    <s v="Frank Phillips College "/>
    <m/>
    <n v="224891"/>
    <x v="8"/>
    <n v="2490454"/>
    <n v="2511021"/>
    <m/>
    <m/>
    <n v="1376499"/>
    <n v="1382564"/>
    <n v="3002646"/>
    <m/>
    <n v="3002646"/>
    <n v="2765134"/>
    <m/>
    <n v="2765134"/>
    <n v="6869599"/>
    <n v="6658719"/>
    <m/>
    <m/>
    <m/>
    <m/>
    <n v="0"/>
    <m/>
    <m/>
    <n v="0"/>
    <m/>
    <m/>
    <m/>
    <m/>
    <m/>
    <m/>
    <n v="6869599"/>
    <n v="6658719"/>
  </r>
  <r>
    <x v="13"/>
    <x v="0"/>
    <s v="Galveston College "/>
    <m/>
    <n v="224961"/>
    <x v="8"/>
    <n v="4027969"/>
    <n v="4059276"/>
    <m/>
    <m/>
    <n v="8962451"/>
    <n v="9483072"/>
    <n v="3554771"/>
    <m/>
    <n v="3554771"/>
    <n v="4270434"/>
    <m/>
    <n v="4270434"/>
    <n v="16545191"/>
    <n v="17812782"/>
    <m/>
    <m/>
    <m/>
    <m/>
    <n v="0"/>
    <m/>
    <m/>
    <n v="0"/>
    <m/>
    <m/>
    <m/>
    <m/>
    <m/>
    <m/>
    <n v="16545191"/>
    <n v="17812782"/>
  </r>
  <r>
    <x v="13"/>
    <x v="0"/>
    <s v="Lamar State College-Orange"/>
    <m/>
    <n v="226107"/>
    <x v="8"/>
    <n v="8086718"/>
    <n v="7874646"/>
    <m/>
    <m/>
    <m/>
    <m/>
    <n v="7568718"/>
    <m/>
    <n v="7568718"/>
    <n v="6846094"/>
    <m/>
    <n v="6846094"/>
    <n v="15655436"/>
    <n v="14720740"/>
    <m/>
    <m/>
    <m/>
    <m/>
    <n v="0"/>
    <m/>
    <m/>
    <n v="0"/>
    <m/>
    <m/>
    <m/>
    <m/>
    <m/>
    <m/>
    <n v="15655436"/>
    <n v="14720740"/>
  </r>
  <r>
    <x v="13"/>
    <x v="0"/>
    <s v="Northeast Lakeview College (ACCD)"/>
    <m/>
    <s v="???"/>
    <x v="8"/>
    <m/>
    <n v="0"/>
    <m/>
    <m/>
    <m/>
    <m/>
    <m/>
    <m/>
    <n v="0"/>
    <m/>
    <m/>
    <n v="0"/>
    <n v="0"/>
    <n v="0"/>
    <m/>
    <m/>
    <m/>
    <m/>
    <n v="0"/>
    <m/>
    <m/>
    <n v="0"/>
    <m/>
    <m/>
    <m/>
    <m/>
    <m/>
    <m/>
    <n v="0"/>
    <n v="0"/>
  </r>
  <r>
    <x v="13"/>
    <x v="0"/>
    <s v="Panola College"/>
    <m/>
    <n v="227386"/>
    <x v="8"/>
    <n v="4109903"/>
    <n v="4143837"/>
    <m/>
    <m/>
    <n v="5661200"/>
    <n v="5750320"/>
    <n v="5615366"/>
    <m/>
    <n v="5615366"/>
    <n v="6757863"/>
    <m/>
    <n v="6757863"/>
    <n v="15386469"/>
    <n v="16652020"/>
    <m/>
    <m/>
    <m/>
    <m/>
    <n v="0"/>
    <m/>
    <m/>
    <n v="0"/>
    <m/>
    <m/>
    <m/>
    <m/>
    <m/>
    <m/>
    <n v="15386469"/>
    <n v="16652020"/>
  </r>
  <r>
    <x v="13"/>
    <x v="0"/>
    <s v="Ranger College "/>
    <m/>
    <n v="227687"/>
    <x v="8"/>
    <n v="2596094"/>
    <n v="2612936"/>
    <m/>
    <m/>
    <n v="237348"/>
    <n v="252523"/>
    <n v="3048836"/>
    <m/>
    <n v="3048836"/>
    <n v="4477181"/>
    <m/>
    <n v="4477181"/>
    <n v="5882278"/>
    <n v="7342640"/>
    <m/>
    <m/>
    <m/>
    <m/>
    <n v="0"/>
    <m/>
    <m/>
    <n v="0"/>
    <m/>
    <m/>
    <m/>
    <m/>
    <m/>
    <m/>
    <n v="5882278"/>
    <n v="7342640"/>
  </r>
  <r>
    <x v="13"/>
    <x v="0"/>
    <s v="Southwest Collegiate Institute for the Deaf (HCJCD)"/>
    <m/>
    <n v="382911"/>
    <x v="8"/>
    <m/>
    <n v="0"/>
    <m/>
    <m/>
    <m/>
    <m/>
    <m/>
    <m/>
    <n v="0"/>
    <m/>
    <m/>
    <n v="0"/>
    <n v="0"/>
    <n v="0"/>
    <m/>
    <m/>
    <m/>
    <m/>
    <n v="0"/>
    <m/>
    <m/>
    <n v="0"/>
    <m/>
    <m/>
    <m/>
    <m/>
    <m/>
    <m/>
    <n v="0"/>
    <n v="0"/>
  </r>
  <r>
    <x v="13"/>
    <x v="0"/>
    <s v="Texas State Technical College-Marshall"/>
    <m/>
    <n v="408394"/>
    <x v="8"/>
    <n v="6543455"/>
    <n v="6579112"/>
    <m/>
    <m/>
    <m/>
    <m/>
    <n v="3284460"/>
    <m/>
    <n v="3284460"/>
    <n v="3167042"/>
    <m/>
    <n v="3167042"/>
    <n v="9827915"/>
    <n v="9746154"/>
    <m/>
    <m/>
    <m/>
    <m/>
    <n v="0"/>
    <m/>
    <m/>
    <n v="0"/>
    <m/>
    <m/>
    <m/>
    <m/>
    <m/>
    <m/>
    <n v="9827915"/>
    <n v="9746154"/>
  </r>
  <r>
    <x v="13"/>
    <x v="0"/>
    <s v="Texas State Technical College-West Texas"/>
    <m/>
    <n v="229328"/>
    <x v="8"/>
    <n v="12422600"/>
    <n v="12515590"/>
    <m/>
    <m/>
    <m/>
    <m/>
    <n v="3381581"/>
    <m/>
    <n v="3381581"/>
    <n v="3355277"/>
    <m/>
    <n v="3355277"/>
    <n v="15804181"/>
    <n v="15870867"/>
    <m/>
    <m/>
    <m/>
    <m/>
    <n v="0"/>
    <m/>
    <m/>
    <n v="0"/>
    <m/>
    <m/>
    <m/>
    <m/>
    <m/>
    <m/>
    <n v="15804181"/>
    <n v="15870867"/>
  </r>
  <r>
    <x v="13"/>
    <x v="0"/>
    <s v="Western Texas College "/>
    <m/>
    <n v="229832"/>
    <x v="8"/>
    <n v="4223161"/>
    <n v="4253834"/>
    <m/>
    <m/>
    <n v="4066974"/>
    <n v="5686282"/>
    <n v="5615366"/>
    <m/>
    <n v="5615366"/>
    <n v="4739150"/>
    <m/>
    <n v="4739150"/>
    <n v="13905501"/>
    <n v="14679266"/>
    <m/>
    <m/>
    <m/>
    <m/>
    <n v="0"/>
    <m/>
    <m/>
    <n v="0"/>
    <m/>
    <m/>
    <m/>
    <m/>
    <m/>
    <m/>
    <n v="13905501"/>
    <n v="14679266"/>
  </r>
  <r>
    <x v="13"/>
    <x v="0"/>
    <s v="Alamo Community College District (ACCD)"/>
    <m/>
    <m/>
    <x v="15"/>
    <n v="77621368"/>
    <n v="78158475"/>
    <m/>
    <m/>
    <n v="136712543"/>
    <n v="139159943"/>
    <n v="3048836"/>
    <m/>
    <n v="3048836"/>
    <n v="118269682"/>
    <m/>
    <n v="118269682"/>
    <n v="217382747"/>
    <n v="335588100"/>
    <m/>
    <m/>
    <m/>
    <m/>
    <n v="0"/>
    <m/>
    <m/>
    <n v="0"/>
    <m/>
    <m/>
    <m/>
    <m/>
    <m/>
    <m/>
    <n v="217382747"/>
    <n v="335588100"/>
  </r>
  <r>
    <x v="13"/>
    <x v="0"/>
    <s v="Dallas County Community College District (DCCD)"/>
    <m/>
    <m/>
    <x v="15"/>
    <n v="106506726"/>
    <n v="107171623"/>
    <m/>
    <m/>
    <n v="158309361"/>
    <n v="156741112"/>
    <n v="96794829"/>
    <m/>
    <n v="96794829"/>
    <n v="97648888"/>
    <m/>
    <n v="97648888"/>
    <n v="361610916"/>
    <n v="361561623"/>
    <m/>
    <m/>
    <m/>
    <m/>
    <n v="0"/>
    <m/>
    <m/>
    <n v="0"/>
    <m/>
    <m/>
    <m/>
    <m/>
    <m/>
    <m/>
    <n v="361610916"/>
    <n v="361561623"/>
  </r>
  <r>
    <x v="13"/>
    <x v="0"/>
    <s v="Howard College (HCJCD)"/>
    <m/>
    <m/>
    <x v="15"/>
    <m/>
    <n v="0"/>
    <m/>
    <m/>
    <m/>
    <m/>
    <m/>
    <m/>
    <n v="0"/>
    <m/>
    <m/>
    <n v="0"/>
    <n v="0"/>
    <n v="0"/>
    <m/>
    <m/>
    <m/>
    <m/>
    <n v="0"/>
    <m/>
    <m/>
    <n v="0"/>
    <m/>
    <m/>
    <m/>
    <m/>
    <m/>
    <m/>
    <n v="0"/>
    <n v="0"/>
  </r>
  <r>
    <x v="13"/>
    <x v="1"/>
    <s v="Texas A&amp;M Health Science Center"/>
    <m/>
    <n v="223214"/>
    <x v="11"/>
    <m/>
    <m/>
    <m/>
    <m/>
    <m/>
    <m/>
    <m/>
    <m/>
    <n v="0"/>
    <m/>
    <m/>
    <n v="0"/>
    <n v="0"/>
    <n v="0"/>
    <m/>
    <m/>
    <m/>
    <m/>
    <n v="0"/>
    <m/>
    <m/>
    <n v="0"/>
    <n v="111006858"/>
    <n v="101565161"/>
    <n v="25311287"/>
    <m/>
    <n v="29184204"/>
    <m/>
    <n v="136318145"/>
    <n v="130749365"/>
  </r>
  <r>
    <x v="13"/>
    <x v="1"/>
    <s v="Texas Tech University Health Sciences Center"/>
    <m/>
    <n v="229337"/>
    <x v="11"/>
    <m/>
    <m/>
    <m/>
    <m/>
    <m/>
    <m/>
    <m/>
    <m/>
    <n v="0"/>
    <m/>
    <m/>
    <n v="0"/>
    <n v="0"/>
    <n v="0"/>
    <m/>
    <m/>
    <m/>
    <m/>
    <n v="0"/>
    <m/>
    <m/>
    <n v="0"/>
    <n v="182939413"/>
    <n v="163433831"/>
    <n v="37371215"/>
    <m/>
    <n v="44311665"/>
    <m/>
    <n v="220310628"/>
    <n v="207745496"/>
  </r>
  <r>
    <x v="13"/>
    <x v="1"/>
    <s v="University of North Texas Health Science Center at Fort Worth"/>
    <m/>
    <n v="228909"/>
    <x v="11"/>
    <m/>
    <m/>
    <m/>
    <m/>
    <m/>
    <m/>
    <m/>
    <m/>
    <n v="0"/>
    <m/>
    <m/>
    <n v="0"/>
    <n v="0"/>
    <n v="0"/>
    <m/>
    <m/>
    <m/>
    <m/>
    <n v="0"/>
    <m/>
    <m/>
    <n v="0"/>
    <n v="70365140"/>
    <n v="59091971"/>
    <n v="16344909"/>
    <m/>
    <n v="21616750"/>
    <m/>
    <n v="86710049"/>
    <n v="80708721"/>
  </r>
  <r>
    <x v="13"/>
    <x v="1"/>
    <s v="University of Texas Health Science Center at Houston"/>
    <m/>
    <n v="229300"/>
    <x v="11"/>
    <m/>
    <m/>
    <m/>
    <m/>
    <m/>
    <m/>
    <m/>
    <m/>
    <n v="0"/>
    <m/>
    <m/>
    <n v="0"/>
    <n v="0"/>
    <n v="0"/>
    <m/>
    <m/>
    <m/>
    <m/>
    <n v="0"/>
    <m/>
    <m/>
    <n v="0"/>
    <n v="180698573"/>
    <n v="157905130"/>
    <n v="31552995"/>
    <m/>
    <n v="37304922"/>
    <m/>
    <n v="212251568"/>
    <n v="195210052"/>
  </r>
  <r>
    <x v="13"/>
    <x v="1"/>
    <s v="University of Texas Health Science Center at San Antonio"/>
    <m/>
    <n v="228644"/>
    <x v="11"/>
    <m/>
    <m/>
    <m/>
    <m/>
    <m/>
    <m/>
    <m/>
    <m/>
    <n v="0"/>
    <m/>
    <m/>
    <n v="0"/>
    <n v="0"/>
    <n v="0"/>
    <m/>
    <m/>
    <m/>
    <m/>
    <n v="0"/>
    <m/>
    <m/>
    <n v="0"/>
    <n v="186446102"/>
    <n v="156158066"/>
    <n v="32390794"/>
    <m/>
    <n v="35567379"/>
    <m/>
    <n v="218836896"/>
    <n v="191725445"/>
  </r>
  <r>
    <x v="13"/>
    <x v="1"/>
    <s v="University of Texas M.D. Anderson Cancer Center"/>
    <m/>
    <n v="416801"/>
    <x v="11"/>
    <m/>
    <m/>
    <m/>
    <m/>
    <m/>
    <m/>
    <m/>
    <m/>
    <n v="0"/>
    <m/>
    <m/>
    <n v="0"/>
    <n v="0"/>
    <n v="0"/>
    <m/>
    <m/>
    <m/>
    <m/>
    <n v="0"/>
    <m/>
    <m/>
    <n v="0"/>
    <n v="212539878"/>
    <n v="197958544"/>
    <n v="1097748"/>
    <m/>
    <n v="1294519"/>
    <m/>
    <n v="213637626"/>
    <n v="199253063"/>
  </r>
  <r>
    <x v="13"/>
    <x v="1"/>
    <s v="University of Texas Medical Branch at Galveston"/>
    <m/>
    <n v="228653"/>
    <x v="11"/>
    <m/>
    <m/>
    <m/>
    <m/>
    <m/>
    <m/>
    <m/>
    <m/>
    <n v="0"/>
    <m/>
    <m/>
    <n v="0"/>
    <n v="0"/>
    <n v="0"/>
    <m/>
    <m/>
    <m/>
    <m/>
    <n v="0"/>
    <m/>
    <m/>
    <n v="0"/>
    <n v="342767552"/>
    <n v="324663239"/>
    <n v="28920990"/>
    <m/>
    <n v="30910391"/>
    <m/>
    <n v="371688542"/>
    <n v="355573630"/>
  </r>
  <r>
    <x v="13"/>
    <x v="1"/>
    <s v="University of Texas Southwestern Medical Center at Dallas"/>
    <m/>
    <n v="228635"/>
    <x v="11"/>
    <m/>
    <m/>
    <m/>
    <m/>
    <m/>
    <m/>
    <m/>
    <m/>
    <n v="0"/>
    <m/>
    <m/>
    <n v="0"/>
    <n v="0"/>
    <n v="0"/>
    <m/>
    <m/>
    <m/>
    <m/>
    <n v="0"/>
    <m/>
    <m/>
    <n v="0"/>
    <n v="153236562"/>
    <n v="141738226"/>
    <n v="19674547"/>
    <m/>
    <n v="24680849"/>
    <m/>
    <n v="172911109"/>
    <n v="166419075"/>
  </r>
  <r>
    <x v="13"/>
    <x v="42"/>
    <s v="University of Texas Health Center at Tyler"/>
    <m/>
    <m/>
    <x v="11"/>
    <m/>
    <m/>
    <m/>
    <m/>
    <m/>
    <m/>
    <m/>
    <m/>
    <n v="0"/>
    <m/>
    <m/>
    <n v="0"/>
    <n v="0"/>
    <n v="0"/>
    <m/>
    <m/>
    <m/>
    <m/>
    <n v="0"/>
    <m/>
    <m/>
    <n v="0"/>
    <n v="46863887"/>
    <n v="38368698"/>
    <m/>
    <m/>
    <m/>
    <m/>
    <n v="46863887"/>
    <n v="38368698"/>
  </r>
  <r>
    <x v="13"/>
    <x v="0"/>
    <s v="UNIV. OF NORTH TEXAS AT DALLAS"/>
    <s v="New fall 2009. No degrees yet granted."/>
    <s v="???"/>
    <x v="13"/>
    <n v="11617131"/>
    <n v="11672435"/>
    <m/>
    <m/>
    <m/>
    <m/>
    <n v="8256208"/>
    <m/>
    <n v="8256208"/>
    <n v="8956837"/>
    <m/>
    <n v="8956837"/>
    <n v="19873339"/>
    <n v="20629272"/>
    <m/>
    <m/>
    <m/>
    <m/>
    <n v="0"/>
    <m/>
    <m/>
    <n v="0"/>
    <m/>
    <m/>
    <m/>
    <m/>
    <m/>
    <m/>
    <n v="19873339"/>
    <n v="20629272"/>
  </r>
  <r>
    <x v="13"/>
    <x v="10"/>
    <s v="Statewide Special-Purpose Units"/>
    <m/>
    <m/>
    <x v="12"/>
    <m/>
    <n v="0"/>
    <m/>
    <m/>
    <m/>
    <m/>
    <m/>
    <m/>
    <n v="0"/>
    <m/>
    <m/>
    <n v="0"/>
    <n v="0"/>
    <n v="0"/>
    <m/>
    <m/>
    <m/>
    <m/>
    <n v="0"/>
    <m/>
    <m/>
    <n v="0"/>
    <m/>
    <m/>
    <m/>
    <m/>
    <m/>
    <m/>
    <n v="0"/>
    <n v="0"/>
  </r>
  <r>
    <x v="13"/>
    <x v="12"/>
    <s v="Family practice residency "/>
    <m/>
    <m/>
    <x v="12"/>
    <m/>
    <m/>
    <m/>
    <m/>
    <m/>
    <m/>
    <m/>
    <m/>
    <n v="0"/>
    <m/>
    <m/>
    <n v="0"/>
    <n v="0"/>
    <n v="0"/>
    <m/>
    <m/>
    <m/>
    <m/>
    <n v="0"/>
    <m/>
    <m/>
    <n v="0"/>
    <n v="2800000"/>
    <n v="2800000"/>
    <m/>
    <m/>
    <m/>
    <m/>
    <n v="2800000"/>
    <n v="2800000"/>
  </r>
  <r>
    <x v="13"/>
    <x v="12"/>
    <s v="Other Health Related- Tobacco Settle-Minority Health Res. &amp; Ed."/>
    <m/>
    <m/>
    <x v="12"/>
    <m/>
    <m/>
    <m/>
    <m/>
    <m/>
    <m/>
    <m/>
    <m/>
    <n v="0"/>
    <m/>
    <m/>
    <n v="0"/>
    <n v="0"/>
    <n v="0"/>
    <m/>
    <m/>
    <m/>
    <m/>
    <n v="0"/>
    <m/>
    <m/>
    <n v="0"/>
    <n v="3149018"/>
    <n v="1649017"/>
    <m/>
    <m/>
    <m/>
    <m/>
    <n v="3149018"/>
    <n v="1649017"/>
  </r>
  <r>
    <x v="13"/>
    <x v="12"/>
    <s v="Other Health Related- Tobacco Settle-Nursing, Allied Health, etc."/>
    <m/>
    <m/>
    <x v="12"/>
    <m/>
    <m/>
    <m/>
    <m/>
    <m/>
    <m/>
    <m/>
    <m/>
    <n v="0"/>
    <m/>
    <m/>
    <n v="0"/>
    <n v="0"/>
    <n v="0"/>
    <m/>
    <m/>
    <m/>
    <m/>
    <n v="0"/>
    <m/>
    <m/>
    <n v="0"/>
    <n v="4600789"/>
    <n v="2700788"/>
    <m/>
    <m/>
    <m/>
    <m/>
    <n v="4600789"/>
    <n v="2700788"/>
  </r>
  <r>
    <x v="13"/>
    <x v="12"/>
    <s v="Nursing Shortage Reduction Program"/>
    <m/>
    <m/>
    <x v="12"/>
    <m/>
    <m/>
    <m/>
    <m/>
    <m/>
    <m/>
    <m/>
    <m/>
    <n v="0"/>
    <m/>
    <m/>
    <n v="0"/>
    <n v="0"/>
    <n v="0"/>
    <m/>
    <m/>
    <m/>
    <m/>
    <n v="0"/>
    <m/>
    <m/>
    <n v="0"/>
    <n v="15000000"/>
    <n v="15000000"/>
    <m/>
    <m/>
    <m/>
    <m/>
    <n v="15000000"/>
    <n v="15000000"/>
  </r>
  <r>
    <x v="13"/>
    <x v="13"/>
    <s v="Educational special purpose funds — all other"/>
    <m/>
    <m/>
    <x v="12"/>
    <m/>
    <m/>
    <m/>
    <m/>
    <m/>
    <m/>
    <m/>
    <m/>
    <n v="0"/>
    <m/>
    <m/>
    <n v="0"/>
    <n v="0"/>
    <n v="0"/>
    <m/>
    <m/>
    <m/>
    <m/>
    <n v="0"/>
    <m/>
    <m/>
    <n v="0"/>
    <m/>
    <m/>
    <m/>
    <m/>
    <m/>
    <m/>
    <n v="0"/>
    <n v="0"/>
  </r>
  <r>
    <x v="13"/>
    <x v="13"/>
    <s v="African American Museum"/>
    <m/>
    <m/>
    <x v="12"/>
    <m/>
    <m/>
    <n v="66716"/>
    <n v="66716"/>
    <m/>
    <m/>
    <m/>
    <m/>
    <n v="0"/>
    <m/>
    <m/>
    <n v="0"/>
    <n v="66716"/>
    <n v="66716"/>
    <m/>
    <m/>
    <m/>
    <m/>
    <n v="0"/>
    <m/>
    <m/>
    <n v="0"/>
    <m/>
    <m/>
    <m/>
    <m/>
    <m/>
    <m/>
    <n v="66716"/>
    <n v="66716"/>
  </r>
  <r>
    <x v="13"/>
    <x v="14"/>
    <s v="Statewide System Operations"/>
    <m/>
    <m/>
    <x v="12"/>
    <m/>
    <m/>
    <m/>
    <m/>
    <m/>
    <m/>
    <m/>
    <m/>
    <n v="0"/>
    <m/>
    <m/>
    <n v="0"/>
    <n v="0"/>
    <n v="0"/>
    <m/>
    <m/>
    <m/>
    <m/>
    <n v="0"/>
    <m/>
    <m/>
    <n v="0"/>
    <m/>
    <m/>
    <m/>
    <m/>
    <m/>
    <m/>
    <n v="0"/>
    <n v="0"/>
  </r>
  <r>
    <x v="13"/>
    <x v="15"/>
    <s v="Colleges and universities System Admin."/>
    <m/>
    <m/>
    <x v="12"/>
    <m/>
    <m/>
    <m/>
    <m/>
    <m/>
    <m/>
    <m/>
    <m/>
    <n v="0"/>
    <m/>
    <m/>
    <n v="0"/>
    <n v="0"/>
    <n v="0"/>
    <n v="52211700"/>
    <n v="50540802"/>
    <m/>
    <m/>
    <n v="0"/>
    <m/>
    <m/>
    <n v="0"/>
    <m/>
    <m/>
    <m/>
    <m/>
    <m/>
    <m/>
    <n v="52211700"/>
    <n v="50540802"/>
  </r>
  <r>
    <x v="13"/>
    <x v="15"/>
    <s v="Texas Higher Education Coordinating Board"/>
    <m/>
    <m/>
    <x v="12"/>
    <m/>
    <m/>
    <m/>
    <m/>
    <m/>
    <m/>
    <m/>
    <m/>
    <n v="0"/>
    <m/>
    <m/>
    <n v="0"/>
    <n v="0"/>
    <n v="0"/>
    <n v="52804152"/>
    <n v="42752455"/>
    <m/>
    <m/>
    <n v="0"/>
    <m/>
    <m/>
    <n v="0"/>
    <m/>
    <m/>
    <m/>
    <m/>
    <m/>
    <m/>
    <n v="52804152"/>
    <n v="42752455"/>
  </r>
  <r>
    <x v="13"/>
    <x v="16"/>
    <s v="Two-year system(s), if any"/>
    <m/>
    <m/>
    <x v="12"/>
    <m/>
    <m/>
    <m/>
    <m/>
    <m/>
    <m/>
    <m/>
    <m/>
    <n v="0"/>
    <m/>
    <m/>
    <n v="0"/>
    <n v="0"/>
    <n v="0"/>
    <m/>
    <m/>
    <m/>
    <m/>
    <n v="0"/>
    <m/>
    <m/>
    <n v="0"/>
    <m/>
    <m/>
    <m/>
    <m/>
    <m/>
    <m/>
    <n v="0"/>
    <n v="0"/>
  </r>
  <r>
    <x v="13"/>
    <x v="16"/>
    <s v="Texas State Technical College System Office"/>
    <m/>
    <m/>
    <x v="12"/>
    <m/>
    <m/>
    <m/>
    <m/>
    <m/>
    <m/>
    <m/>
    <m/>
    <n v="0"/>
    <m/>
    <m/>
    <n v="0"/>
    <n v="0"/>
    <n v="0"/>
    <n v="6655294"/>
    <n v="5603862"/>
    <m/>
    <m/>
    <n v="0"/>
    <m/>
    <m/>
    <n v="0"/>
    <m/>
    <m/>
    <m/>
    <m/>
    <m/>
    <m/>
    <n v="6655294"/>
    <n v="5603862"/>
  </r>
  <r>
    <x v="13"/>
    <x v="18"/>
    <s v="Adm. of Statewide Student Aid Progs. (including centralized guaranteed student loans)"/>
    <m/>
    <m/>
    <x v="12"/>
    <m/>
    <m/>
    <m/>
    <m/>
    <m/>
    <m/>
    <m/>
    <m/>
    <n v="0"/>
    <m/>
    <m/>
    <n v="0"/>
    <n v="0"/>
    <n v="0"/>
    <m/>
    <m/>
    <m/>
    <m/>
    <n v="0"/>
    <m/>
    <m/>
    <n v="0"/>
    <m/>
    <m/>
    <m/>
    <m/>
    <m/>
    <m/>
    <n v="0"/>
    <n v="0"/>
  </r>
  <r>
    <x v="13"/>
    <x v="19"/>
    <s v="State Support to Private Colleges Other Than Student Aid"/>
    <m/>
    <m/>
    <x v="12"/>
    <m/>
    <m/>
    <m/>
    <m/>
    <m/>
    <m/>
    <m/>
    <m/>
    <n v="0"/>
    <m/>
    <m/>
    <n v="0"/>
    <n v="0"/>
    <n v="0"/>
    <m/>
    <m/>
    <m/>
    <m/>
    <n v="0"/>
    <m/>
    <m/>
    <n v="0"/>
    <m/>
    <m/>
    <m/>
    <m/>
    <m/>
    <m/>
    <n v="0"/>
    <n v="0"/>
  </r>
  <r>
    <x v="13"/>
    <x v="19"/>
    <s v="Baylor College of Medicine"/>
    <s v="Funding for 11-12 Moved to Part C: Medical Education"/>
    <m/>
    <x v="12"/>
    <m/>
    <m/>
    <m/>
    <m/>
    <m/>
    <m/>
    <m/>
    <m/>
    <n v="0"/>
    <m/>
    <m/>
    <n v="0"/>
    <n v="0"/>
    <n v="0"/>
    <m/>
    <m/>
    <m/>
    <m/>
    <n v="0"/>
    <m/>
    <m/>
    <n v="0"/>
    <n v="48440962"/>
    <n v="43958524"/>
    <m/>
    <m/>
    <m/>
    <m/>
    <n v="48440962"/>
    <n v="43958524"/>
  </r>
  <r>
    <x v="13"/>
    <x v="19"/>
    <s v="Centers for Teacher Education"/>
    <m/>
    <m/>
    <x v="12"/>
    <m/>
    <m/>
    <m/>
    <m/>
    <m/>
    <m/>
    <m/>
    <m/>
    <n v="0"/>
    <m/>
    <m/>
    <n v="0"/>
    <n v="0"/>
    <n v="0"/>
    <n v="1520353"/>
    <n v="1520353"/>
    <m/>
    <m/>
    <n v="0"/>
    <m/>
    <m/>
    <n v="0"/>
    <m/>
    <m/>
    <m/>
    <m/>
    <m/>
    <m/>
    <n v="1520353"/>
    <n v="1520353"/>
  </r>
  <r>
    <x v="13"/>
    <x v="24"/>
    <s v="Statewide Student Financial Aid Programs Administered Off Campus"/>
    <m/>
    <m/>
    <x v="12"/>
    <m/>
    <m/>
    <m/>
    <m/>
    <m/>
    <m/>
    <m/>
    <m/>
    <n v="0"/>
    <m/>
    <m/>
    <n v="0"/>
    <n v="0"/>
    <n v="0"/>
    <m/>
    <m/>
    <m/>
    <m/>
    <n v="0"/>
    <m/>
    <m/>
    <n v="0"/>
    <m/>
    <m/>
    <m/>
    <m/>
    <m/>
    <m/>
    <n v="0"/>
    <n v="0"/>
  </r>
  <r>
    <x v="13"/>
    <x v="25"/>
    <s v="Available to public &amp; private sector students"/>
    <m/>
    <m/>
    <x v="12"/>
    <m/>
    <m/>
    <m/>
    <m/>
    <m/>
    <m/>
    <m/>
    <m/>
    <n v="0"/>
    <m/>
    <m/>
    <n v="0"/>
    <n v="0"/>
    <n v="0"/>
    <m/>
    <m/>
    <m/>
    <m/>
    <n v="0"/>
    <m/>
    <m/>
    <n v="0"/>
    <m/>
    <m/>
    <m/>
    <m/>
    <m/>
    <m/>
    <n v="0"/>
    <n v="0"/>
  </r>
  <r>
    <x v="13"/>
    <x v="25"/>
    <s v="TX Student Aid"/>
    <m/>
    <m/>
    <x v="12"/>
    <m/>
    <m/>
    <m/>
    <m/>
    <m/>
    <m/>
    <m/>
    <m/>
    <n v="0"/>
    <m/>
    <m/>
    <n v="0"/>
    <n v="0"/>
    <n v="0"/>
    <n v="446451527"/>
    <n v="352460831"/>
    <m/>
    <m/>
    <n v="0"/>
    <m/>
    <m/>
    <n v="0"/>
    <m/>
    <m/>
    <m/>
    <m/>
    <m/>
    <m/>
    <n v="446451527"/>
    <n v="352460831"/>
  </r>
  <r>
    <x v="13"/>
    <x v="27"/>
    <s v="Non need-based"/>
    <m/>
    <m/>
    <x v="12"/>
    <m/>
    <m/>
    <m/>
    <m/>
    <m/>
    <m/>
    <m/>
    <m/>
    <n v="0"/>
    <m/>
    <m/>
    <n v="0"/>
    <n v="0"/>
    <n v="0"/>
    <n v="20864000"/>
    <n v="17664000"/>
    <m/>
    <m/>
    <n v="0"/>
    <m/>
    <m/>
    <n v="0"/>
    <m/>
    <m/>
    <m/>
    <m/>
    <m/>
    <m/>
    <n v="20864000"/>
    <n v="17664000"/>
  </r>
  <r>
    <x v="13"/>
    <x v="25"/>
    <s v="Teach for TX Conditional Grants"/>
    <m/>
    <m/>
    <x v="12"/>
    <m/>
    <m/>
    <m/>
    <m/>
    <m/>
    <m/>
    <m/>
    <m/>
    <n v="0"/>
    <m/>
    <m/>
    <n v="0"/>
    <n v="0"/>
    <n v="0"/>
    <n v="500000"/>
    <n v="500000"/>
    <m/>
    <m/>
    <n v="0"/>
    <m/>
    <m/>
    <n v="0"/>
    <m/>
    <m/>
    <m/>
    <m/>
    <m/>
    <m/>
    <n v="500000"/>
    <n v="500000"/>
  </r>
  <r>
    <x v="13"/>
    <x v="25"/>
    <s v="Joint Admission Medical Program"/>
    <m/>
    <m/>
    <x v="12"/>
    <m/>
    <m/>
    <m/>
    <m/>
    <m/>
    <m/>
    <m/>
    <m/>
    <n v="0"/>
    <m/>
    <m/>
    <n v="0"/>
    <n v="0"/>
    <n v="0"/>
    <n v="7006794"/>
    <n v="0"/>
    <m/>
    <m/>
    <n v="0"/>
    <m/>
    <m/>
    <n v="0"/>
    <m/>
    <m/>
    <m/>
    <m/>
    <m/>
    <m/>
    <n v="7006794"/>
    <n v="0"/>
  </r>
  <r>
    <x v="13"/>
    <x v="25"/>
    <s v="Border Faculty Loan Repayment Program"/>
    <m/>
    <m/>
    <x v="12"/>
    <m/>
    <m/>
    <m/>
    <m/>
    <m/>
    <m/>
    <m/>
    <m/>
    <n v="0"/>
    <m/>
    <m/>
    <n v="0"/>
    <n v="0"/>
    <n v="0"/>
    <n v="187813"/>
    <n v="187813"/>
    <m/>
    <m/>
    <n v="0"/>
    <m/>
    <m/>
    <n v="0"/>
    <m/>
    <m/>
    <m/>
    <m/>
    <m/>
    <m/>
    <n v="187813"/>
    <n v="187813"/>
  </r>
  <r>
    <x v="14"/>
    <x v="0"/>
    <s v="George Mason University "/>
    <m/>
    <n v="232186"/>
    <x v="0"/>
    <n v="107701785"/>
    <n v="112149834"/>
    <n v="956250"/>
    <n v="956250"/>
    <m/>
    <m/>
    <n v="293642073"/>
    <n v="1819170"/>
    <n v="295461243"/>
    <n v="292258478"/>
    <n v="2281257"/>
    <n v="294539735"/>
    <n v="402300108"/>
    <n v="405364562"/>
    <m/>
    <m/>
    <m/>
    <m/>
    <n v="0"/>
    <m/>
    <m/>
    <n v="0"/>
    <m/>
    <m/>
    <m/>
    <m/>
    <m/>
    <m/>
    <n v="402300108"/>
    <n v="405364562"/>
  </r>
  <r>
    <x v="14"/>
    <x v="0"/>
    <s v="Old Dominion University "/>
    <m/>
    <n v="232982"/>
    <x v="0"/>
    <n v="91185656"/>
    <n v="97649766"/>
    <n v="2349838"/>
    <n v="3099838"/>
    <m/>
    <m/>
    <n v="127804777"/>
    <n v="886050"/>
    <n v="128690827"/>
    <n v="124638183"/>
    <n v="1063161"/>
    <n v="125701344"/>
    <n v="221340271"/>
    <n v="225387787"/>
    <m/>
    <m/>
    <m/>
    <m/>
    <n v="0"/>
    <m/>
    <m/>
    <n v="0"/>
    <m/>
    <m/>
    <m/>
    <m/>
    <m/>
    <m/>
    <n v="221340271"/>
    <n v="225387787"/>
  </r>
  <r>
    <x v="14"/>
    <x v="0"/>
    <s v="University of Virginia"/>
    <m/>
    <n v="234076"/>
    <x v="0"/>
    <n v="95875598"/>
    <n v="99331142"/>
    <n v="2482332"/>
    <n v="4732332"/>
    <m/>
    <m/>
    <n v="372329385"/>
    <n v="4304700"/>
    <n v="376634085"/>
    <n v="459701000"/>
    <n v="4768632"/>
    <n v="464469632"/>
    <n v="470687315"/>
    <n v="563764474"/>
    <m/>
    <m/>
    <m/>
    <m/>
    <n v="0"/>
    <m/>
    <m/>
    <n v="0"/>
    <m/>
    <m/>
    <m/>
    <m/>
    <m/>
    <m/>
    <n v="470687315"/>
    <n v="563764474"/>
  </r>
  <r>
    <x v="14"/>
    <x v="1"/>
    <s v="Medical School"/>
    <m/>
    <n v="234076"/>
    <x v="0"/>
    <m/>
    <m/>
    <m/>
    <m/>
    <m/>
    <m/>
    <m/>
    <m/>
    <n v="0"/>
    <m/>
    <m/>
    <n v="0"/>
    <n v="0"/>
    <n v="0"/>
    <m/>
    <m/>
    <m/>
    <m/>
    <n v="0"/>
    <m/>
    <m/>
    <n v="0"/>
    <n v="14468917"/>
    <n v="16414805"/>
    <n v="40768615"/>
    <m/>
    <m/>
    <m/>
    <n v="55237532"/>
    <n v="16414805"/>
  </r>
  <r>
    <x v="14"/>
    <x v="0"/>
    <s v="Virginia Tech "/>
    <m/>
    <n v="233921"/>
    <x v="0"/>
    <n v="122014085"/>
    <n v="126674291"/>
    <n v="2388544"/>
    <n v="3138544"/>
    <m/>
    <m/>
    <n v="359286138"/>
    <n v="4053330"/>
    <n v="363339468"/>
    <n v="371133106"/>
    <n v="4625280"/>
    <n v="375758386"/>
    <n v="483688767"/>
    <n v="500945941"/>
    <m/>
    <m/>
    <m/>
    <m/>
    <n v="0"/>
    <m/>
    <m/>
    <n v="0"/>
    <m/>
    <m/>
    <m/>
    <m/>
    <m/>
    <m/>
    <n v="483688767"/>
    <n v="500945941"/>
  </r>
  <r>
    <x v="14"/>
    <x v="1"/>
    <s v="Veterinary School"/>
    <m/>
    <n v="233921"/>
    <x v="0"/>
    <m/>
    <m/>
    <m/>
    <m/>
    <m/>
    <m/>
    <m/>
    <m/>
    <n v="0"/>
    <m/>
    <m/>
    <n v="0"/>
    <n v="0"/>
    <n v="0"/>
    <m/>
    <m/>
    <m/>
    <m/>
    <n v="0"/>
    <m/>
    <m/>
    <n v="0"/>
    <n v="10704795"/>
    <n v="11273617"/>
    <n v="11349922"/>
    <m/>
    <m/>
    <m/>
    <n v="22054717"/>
    <n v="11273617"/>
  </r>
  <r>
    <x v="14"/>
    <x v="5"/>
    <s v="Agricultural &amp; Foresty Research"/>
    <m/>
    <n v="233921"/>
    <x v="0"/>
    <m/>
    <m/>
    <n v="29690260"/>
    <n v="30461149"/>
    <m/>
    <m/>
    <m/>
    <m/>
    <n v="0"/>
    <m/>
    <m/>
    <n v="0"/>
    <n v="29690260"/>
    <n v="30461149"/>
    <m/>
    <m/>
    <m/>
    <m/>
    <n v="0"/>
    <m/>
    <m/>
    <n v="0"/>
    <m/>
    <m/>
    <m/>
    <m/>
    <m/>
    <m/>
    <n v="29690260"/>
    <n v="30461149"/>
  </r>
  <r>
    <x v="14"/>
    <x v="6"/>
    <s v="Cooperative Extension"/>
    <m/>
    <n v="233921"/>
    <x v="0"/>
    <m/>
    <m/>
    <n v="29847594"/>
    <n v="30030646"/>
    <m/>
    <m/>
    <m/>
    <m/>
    <n v="0"/>
    <m/>
    <m/>
    <n v="0"/>
    <n v="29847594"/>
    <n v="30030646"/>
    <m/>
    <m/>
    <m/>
    <m/>
    <n v="0"/>
    <m/>
    <m/>
    <n v="0"/>
    <m/>
    <m/>
    <m/>
    <m/>
    <m/>
    <m/>
    <n v="29847594"/>
    <n v="30030646"/>
  </r>
  <r>
    <x v="14"/>
    <x v="0"/>
    <s v="College of William &amp; Mary"/>
    <m/>
    <n v="231624"/>
    <x v="1"/>
    <n v="35455479"/>
    <n v="36843298"/>
    <n v="75000"/>
    <n v="75000"/>
    <m/>
    <m/>
    <n v="111185873"/>
    <n v="1256580"/>
    <n v="112442453"/>
    <n v="112748169"/>
    <n v="1412532"/>
    <n v="114160701"/>
    <n v="146716352"/>
    <n v="149666467"/>
    <m/>
    <m/>
    <m/>
    <m/>
    <n v="0"/>
    <m/>
    <m/>
    <n v="0"/>
    <m/>
    <m/>
    <m/>
    <m/>
    <m/>
    <m/>
    <n v="146716352"/>
    <n v="149666467"/>
  </r>
  <r>
    <x v="14"/>
    <x v="7"/>
    <s v="Research centers/institutes"/>
    <m/>
    <n v="231624"/>
    <x v="1"/>
    <m/>
    <m/>
    <m/>
    <m/>
    <m/>
    <m/>
    <m/>
    <m/>
    <n v="0"/>
    <m/>
    <m/>
    <n v="0"/>
    <n v="0"/>
    <n v="0"/>
    <m/>
    <m/>
    <m/>
    <m/>
    <n v="0"/>
    <m/>
    <m/>
    <n v="0"/>
    <m/>
    <m/>
    <m/>
    <m/>
    <m/>
    <m/>
    <n v="0"/>
    <n v="0"/>
  </r>
  <r>
    <x v="14"/>
    <x v="7"/>
    <s v="Va Inst of Marine Science"/>
    <m/>
    <n v="231624"/>
    <x v="1"/>
    <m/>
    <m/>
    <n v="16450327"/>
    <n v="17160545"/>
    <m/>
    <m/>
    <m/>
    <m/>
    <n v="0"/>
    <m/>
    <m/>
    <n v="0"/>
    <n v="16450327"/>
    <n v="17160545"/>
    <m/>
    <m/>
    <m/>
    <m/>
    <n v="0"/>
    <m/>
    <m/>
    <n v="0"/>
    <m/>
    <m/>
    <m/>
    <m/>
    <m/>
    <m/>
    <n v="16450327"/>
    <n v="17160545"/>
  </r>
  <r>
    <x v="14"/>
    <x v="0"/>
    <s v="Virginia Commonwealth University"/>
    <m/>
    <n v="234030"/>
    <x v="1"/>
    <n v="103705767"/>
    <n v="112508868"/>
    <n v="7162500"/>
    <n v="8912500"/>
    <m/>
    <m/>
    <n v="322880207"/>
    <n v="1906560"/>
    <n v="324786767"/>
    <n v="313162213"/>
    <n v="1714383"/>
    <n v="314876596"/>
    <n v="433748474"/>
    <n v="434583581"/>
    <m/>
    <m/>
    <m/>
    <m/>
    <n v="0"/>
    <m/>
    <m/>
    <n v="0"/>
    <m/>
    <m/>
    <m/>
    <m/>
    <m/>
    <m/>
    <n v="433748474"/>
    <n v="434583581"/>
  </r>
  <r>
    <x v="14"/>
    <x v="1"/>
    <s v="Medical School"/>
    <m/>
    <n v="234030"/>
    <x v="1"/>
    <m/>
    <m/>
    <m/>
    <m/>
    <m/>
    <m/>
    <m/>
    <m/>
    <n v="0"/>
    <m/>
    <m/>
    <n v="0"/>
    <n v="0"/>
    <n v="0"/>
    <m/>
    <m/>
    <m/>
    <m/>
    <n v="0"/>
    <m/>
    <m/>
    <n v="0"/>
    <n v="38682686"/>
    <n v="38041247"/>
    <n v="39736200"/>
    <m/>
    <m/>
    <m/>
    <n v="78418886"/>
    <n v="38041247"/>
  </r>
  <r>
    <x v="14"/>
    <x v="0"/>
    <s v="James Madison University  "/>
    <m/>
    <n v="232423"/>
    <x v="2"/>
    <n v="62612561"/>
    <n v="66728837"/>
    <m/>
    <m/>
    <m/>
    <m/>
    <n v="168461428"/>
    <n v="2443140"/>
    <n v="170904568"/>
    <n v="174002043"/>
    <n v="2672109"/>
    <n v="176674152"/>
    <n v="231073989"/>
    <n v="240730880"/>
    <m/>
    <m/>
    <m/>
    <m/>
    <n v="0"/>
    <m/>
    <m/>
    <n v="0"/>
    <m/>
    <m/>
    <m/>
    <m/>
    <m/>
    <m/>
    <n v="231073989"/>
    <n v="240730880"/>
  </r>
  <r>
    <x v="14"/>
    <x v="0"/>
    <s v="Norfolk State University "/>
    <m/>
    <n v="232937"/>
    <x v="2"/>
    <n v="37768961"/>
    <n v="39740782"/>
    <m/>
    <m/>
    <m/>
    <m/>
    <n v="34288090"/>
    <n v="459990"/>
    <n v="34748080"/>
    <n v="36221177"/>
    <n v="499356"/>
    <n v="36720533"/>
    <n v="72057051"/>
    <n v="75961959"/>
    <m/>
    <m/>
    <m/>
    <m/>
    <n v="0"/>
    <m/>
    <m/>
    <n v="0"/>
    <m/>
    <m/>
    <m/>
    <m/>
    <m/>
    <m/>
    <n v="72057051"/>
    <n v="75961959"/>
  </r>
  <r>
    <x v="14"/>
    <x v="0"/>
    <s v="Longwood University "/>
    <s v="Met the criteria for Four-Year 3 in 2011-12 and 2012-13."/>
    <n v="232566"/>
    <x v="3"/>
    <n v="22022029"/>
    <n v="23038180"/>
    <m/>
    <m/>
    <m/>
    <m/>
    <n v="31657984"/>
    <n v="120600"/>
    <n v="31778584"/>
    <n v="31364011"/>
    <n v="118701"/>
    <n v="31482712"/>
    <n v="53680013"/>
    <n v="54402191"/>
    <m/>
    <m/>
    <m/>
    <m/>
    <n v="0"/>
    <m/>
    <m/>
    <n v="0"/>
    <m/>
    <m/>
    <m/>
    <m/>
    <m/>
    <m/>
    <n v="53680013"/>
    <n v="54402191"/>
  </r>
  <r>
    <x v="14"/>
    <x v="0"/>
    <s v="Radford University"/>
    <s v="Met the criteria for Four-Year 3 in 2011-12 and 2012-13."/>
    <n v="233277"/>
    <x v="3"/>
    <n v="39655799"/>
    <n v="42168708"/>
    <m/>
    <m/>
    <m/>
    <m/>
    <n v="59187010"/>
    <n v="266040"/>
    <n v="59453050"/>
    <n v="57411711"/>
    <n v="277002"/>
    <n v="57688713"/>
    <n v="98842809"/>
    <n v="99580419"/>
    <m/>
    <m/>
    <m/>
    <m/>
    <n v="0"/>
    <m/>
    <m/>
    <n v="0"/>
    <m/>
    <m/>
    <m/>
    <m/>
    <m/>
    <m/>
    <n v="98842809"/>
    <n v="99580419"/>
  </r>
  <r>
    <x v="14"/>
    <x v="0"/>
    <s v="Virginia State University "/>
    <s v="Met the criteria for Four-Year 3 in 2011-12 and 2012-13."/>
    <n v="234155"/>
    <x v="3"/>
    <n v="27994002"/>
    <n v="29672881"/>
    <m/>
    <m/>
    <m/>
    <m/>
    <n v="42842784"/>
    <n v="765990"/>
    <n v="43608774"/>
    <n v="42881727"/>
    <n v="858726"/>
    <n v="43740453"/>
    <n v="70836786"/>
    <n v="72554608"/>
    <m/>
    <m/>
    <m/>
    <m/>
    <n v="0"/>
    <m/>
    <m/>
    <n v="0"/>
    <m/>
    <m/>
    <m/>
    <m/>
    <m/>
    <m/>
    <n v="70836786"/>
    <n v="72554608"/>
  </r>
  <r>
    <x v="14"/>
    <x v="5"/>
    <s v="Agricultural cooperative extension"/>
    <m/>
    <n v="234155"/>
    <x v="3"/>
    <m/>
    <m/>
    <n v="5110671"/>
    <n v="5136690"/>
    <m/>
    <m/>
    <m/>
    <m/>
    <n v="0"/>
    <m/>
    <m/>
    <n v="0"/>
    <n v="5110671"/>
    <n v="5136690"/>
    <m/>
    <m/>
    <m/>
    <m/>
    <n v="0"/>
    <m/>
    <m/>
    <n v="0"/>
    <m/>
    <m/>
    <m/>
    <m/>
    <m/>
    <m/>
    <n v="5110671"/>
    <n v="5136690"/>
  </r>
  <r>
    <x v="14"/>
    <x v="0"/>
    <s v="Christopher Newport University"/>
    <s v="Met the criteria for Four-Year 4 in 2011-12 and 2012-13."/>
    <n v="231712"/>
    <x v="4"/>
    <n v="22294146"/>
    <n v="23779417"/>
    <m/>
    <m/>
    <m/>
    <m/>
    <n v="31606662"/>
    <n v="118800"/>
    <n v="31725462"/>
    <n v="32896824"/>
    <n v="119097"/>
    <n v="33015921"/>
    <n v="53900808"/>
    <n v="56676241"/>
    <m/>
    <m/>
    <m/>
    <m/>
    <n v="0"/>
    <m/>
    <m/>
    <n v="0"/>
    <m/>
    <m/>
    <m/>
    <m/>
    <m/>
    <m/>
    <n v="53900808"/>
    <n v="56676241"/>
  </r>
  <r>
    <x v="14"/>
    <x v="0"/>
    <s v="University of Mary Washington"/>
    <s v="Met the criteria for Four-Year 3 in 2011-12 and 2012-13."/>
    <n v="232681"/>
    <x v="4"/>
    <n v="18009108"/>
    <n v="19195775"/>
    <m/>
    <n v="1900000"/>
    <m/>
    <m/>
    <n v="39883236"/>
    <n v="373500"/>
    <n v="40256736"/>
    <n v="40124236"/>
    <n v="339669"/>
    <n v="40463905"/>
    <n v="57892344"/>
    <n v="61220011"/>
    <n v="1250000"/>
    <m/>
    <m/>
    <m/>
    <n v="0"/>
    <m/>
    <m/>
    <n v="0"/>
    <m/>
    <m/>
    <m/>
    <m/>
    <m/>
    <m/>
    <n v="59142344"/>
    <n v="61220011"/>
  </r>
  <r>
    <x v="14"/>
    <x v="0"/>
    <s v="University of Virginia's College at Wise "/>
    <m/>
    <n v="233897"/>
    <x v="5"/>
    <n v="11317374"/>
    <n v="12560895"/>
    <m/>
    <m/>
    <m/>
    <m/>
    <n v="8284639"/>
    <n v="34650"/>
    <n v="8319289"/>
    <n v="7603241"/>
    <n v="41085"/>
    <n v="7644326"/>
    <n v="19602013"/>
    <n v="20164136"/>
    <m/>
    <m/>
    <m/>
    <m/>
    <n v="0"/>
    <m/>
    <m/>
    <n v="0"/>
    <m/>
    <m/>
    <m/>
    <m/>
    <m/>
    <m/>
    <n v="19602013"/>
    <n v="20164136"/>
  </r>
  <r>
    <x v="14"/>
    <x v="0"/>
    <s v="J.S. Reynolds Community College"/>
    <m/>
    <n v="232414"/>
    <x v="6"/>
    <m/>
    <m/>
    <m/>
    <m/>
    <m/>
    <m/>
    <m/>
    <m/>
    <n v="0"/>
    <m/>
    <m/>
    <n v="0"/>
    <n v="0"/>
    <n v="0"/>
    <m/>
    <m/>
    <m/>
    <m/>
    <n v="0"/>
    <m/>
    <m/>
    <n v="0"/>
    <m/>
    <m/>
    <m/>
    <m/>
    <m/>
    <m/>
    <n v="0"/>
    <n v="0"/>
  </r>
  <r>
    <x v="14"/>
    <x v="0"/>
    <s v="Northern Virginia Community College "/>
    <m/>
    <n v="232946"/>
    <x v="6"/>
    <m/>
    <m/>
    <m/>
    <m/>
    <m/>
    <m/>
    <m/>
    <m/>
    <n v="0"/>
    <m/>
    <m/>
    <n v="0"/>
    <n v="0"/>
    <n v="0"/>
    <m/>
    <m/>
    <m/>
    <m/>
    <n v="0"/>
    <m/>
    <m/>
    <n v="0"/>
    <m/>
    <m/>
    <m/>
    <m/>
    <m/>
    <m/>
    <n v="0"/>
    <n v="0"/>
  </r>
  <r>
    <x v="14"/>
    <x v="0"/>
    <s v="Thomas Nelson Community College "/>
    <m/>
    <n v="233754"/>
    <x v="6"/>
    <m/>
    <m/>
    <m/>
    <m/>
    <m/>
    <m/>
    <m/>
    <m/>
    <n v="0"/>
    <m/>
    <m/>
    <n v="0"/>
    <n v="0"/>
    <n v="0"/>
    <m/>
    <m/>
    <m/>
    <m/>
    <n v="0"/>
    <m/>
    <m/>
    <n v="0"/>
    <m/>
    <m/>
    <m/>
    <m/>
    <m/>
    <m/>
    <n v="0"/>
    <n v="0"/>
  </r>
  <r>
    <x v="14"/>
    <x v="0"/>
    <s v="Tidewater Community College "/>
    <m/>
    <n v="233772"/>
    <x v="6"/>
    <m/>
    <m/>
    <m/>
    <m/>
    <m/>
    <m/>
    <m/>
    <m/>
    <n v="0"/>
    <m/>
    <m/>
    <n v="0"/>
    <n v="0"/>
    <n v="0"/>
    <m/>
    <m/>
    <m/>
    <m/>
    <n v="0"/>
    <m/>
    <m/>
    <n v="0"/>
    <m/>
    <m/>
    <m/>
    <m/>
    <m/>
    <m/>
    <n v="0"/>
    <n v="0"/>
  </r>
  <r>
    <x v="14"/>
    <x v="0"/>
    <s v="Blue Ridge Community College "/>
    <m/>
    <n v="231536"/>
    <x v="7"/>
    <m/>
    <m/>
    <m/>
    <m/>
    <m/>
    <m/>
    <m/>
    <m/>
    <n v="0"/>
    <m/>
    <m/>
    <n v="0"/>
    <n v="0"/>
    <n v="0"/>
    <m/>
    <m/>
    <m/>
    <m/>
    <n v="0"/>
    <m/>
    <m/>
    <n v="0"/>
    <m/>
    <m/>
    <m/>
    <m/>
    <m/>
    <m/>
    <n v="0"/>
    <n v="0"/>
  </r>
  <r>
    <x v="14"/>
    <x v="0"/>
    <s v="Central Virginia Community College "/>
    <m/>
    <n v="231697"/>
    <x v="7"/>
    <m/>
    <m/>
    <m/>
    <m/>
    <m/>
    <m/>
    <m/>
    <m/>
    <n v="0"/>
    <m/>
    <m/>
    <n v="0"/>
    <n v="0"/>
    <n v="0"/>
    <m/>
    <m/>
    <m/>
    <m/>
    <n v="0"/>
    <m/>
    <m/>
    <n v="0"/>
    <m/>
    <m/>
    <m/>
    <m/>
    <m/>
    <m/>
    <n v="0"/>
    <n v="0"/>
  </r>
  <r>
    <x v="14"/>
    <x v="0"/>
    <s v="Danville Community College "/>
    <m/>
    <n v="231882"/>
    <x v="7"/>
    <m/>
    <m/>
    <m/>
    <m/>
    <m/>
    <m/>
    <m/>
    <m/>
    <n v="0"/>
    <m/>
    <m/>
    <n v="0"/>
    <n v="0"/>
    <n v="0"/>
    <m/>
    <m/>
    <m/>
    <m/>
    <n v="0"/>
    <m/>
    <m/>
    <n v="0"/>
    <m/>
    <m/>
    <m/>
    <m/>
    <m/>
    <m/>
    <n v="0"/>
    <n v="0"/>
  </r>
  <r>
    <x v="14"/>
    <x v="0"/>
    <s v="Germanna Community College"/>
    <m/>
    <n v="232195"/>
    <x v="7"/>
    <m/>
    <m/>
    <m/>
    <m/>
    <m/>
    <m/>
    <m/>
    <m/>
    <n v="0"/>
    <m/>
    <m/>
    <n v="0"/>
    <n v="0"/>
    <n v="0"/>
    <m/>
    <m/>
    <m/>
    <m/>
    <n v="0"/>
    <m/>
    <m/>
    <n v="0"/>
    <m/>
    <m/>
    <m/>
    <m/>
    <m/>
    <m/>
    <n v="0"/>
    <n v="0"/>
  </r>
  <r>
    <x v="14"/>
    <x v="0"/>
    <s v="John Tyler Community College"/>
    <s v="Met the criteria for Two-Year 1 in 2011-12 and 2012-13."/>
    <n v="232450"/>
    <x v="7"/>
    <m/>
    <m/>
    <m/>
    <m/>
    <m/>
    <m/>
    <m/>
    <m/>
    <n v="0"/>
    <m/>
    <m/>
    <n v="0"/>
    <n v="0"/>
    <n v="0"/>
    <m/>
    <m/>
    <m/>
    <m/>
    <n v="0"/>
    <m/>
    <m/>
    <n v="0"/>
    <m/>
    <m/>
    <m/>
    <m/>
    <m/>
    <m/>
    <n v="0"/>
    <n v="0"/>
  </r>
  <r>
    <x v="14"/>
    <x v="0"/>
    <s v="Lord Fairfax Community College  "/>
    <m/>
    <n v="232575"/>
    <x v="7"/>
    <m/>
    <m/>
    <m/>
    <m/>
    <m/>
    <m/>
    <m/>
    <m/>
    <n v="0"/>
    <m/>
    <m/>
    <n v="0"/>
    <n v="0"/>
    <n v="0"/>
    <m/>
    <m/>
    <m/>
    <m/>
    <n v="0"/>
    <m/>
    <m/>
    <n v="0"/>
    <m/>
    <m/>
    <m/>
    <m/>
    <m/>
    <m/>
    <n v="0"/>
    <n v="0"/>
  </r>
  <r>
    <x v="14"/>
    <x v="0"/>
    <s v="Mountain Empire Community College"/>
    <s v="Reclassified: Met the criteria for Two-Year 2 in 2010-11, 2011-12, and 2012-13."/>
    <n v="232788"/>
    <x v="7"/>
    <m/>
    <m/>
    <m/>
    <m/>
    <m/>
    <m/>
    <m/>
    <m/>
    <n v="0"/>
    <m/>
    <m/>
    <n v="0"/>
    <n v="0"/>
    <n v="0"/>
    <m/>
    <m/>
    <m/>
    <m/>
    <n v="0"/>
    <m/>
    <m/>
    <n v="0"/>
    <m/>
    <m/>
    <m/>
    <m/>
    <m/>
    <m/>
    <n v="0"/>
    <n v="0"/>
  </r>
  <r>
    <x v="14"/>
    <x v="0"/>
    <s v="New River Community College "/>
    <m/>
    <n v="232867"/>
    <x v="7"/>
    <m/>
    <m/>
    <m/>
    <m/>
    <m/>
    <m/>
    <m/>
    <m/>
    <n v="0"/>
    <m/>
    <m/>
    <n v="0"/>
    <n v="0"/>
    <n v="0"/>
    <m/>
    <m/>
    <m/>
    <m/>
    <n v="0"/>
    <m/>
    <m/>
    <n v="0"/>
    <m/>
    <m/>
    <m/>
    <m/>
    <m/>
    <m/>
    <n v="0"/>
    <n v="0"/>
  </r>
  <r>
    <x v="14"/>
    <x v="0"/>
    <s v="Patrick Henry Community College "/>
    <m/>
    <n v="233019"/>
    <x v="7"/>
    <m/>
    <m/>
    <m/>
    <m/>
    <m/>
    <m/>
    <m/>
    <m/>
    <n v="0"/>
    <m/>
    <m/>
    <n v="0"/>
    <n v="0"/>
    <n v="0"/>
    <m/>
    <m/>
    <m/>
    <m/>
    <n v="0"/>
    <m/>
    <m/>
    <n v="0"/>
    <m/>
    <m/>
    <m/>
    <m/>
    <m/>
    <m/>
    <n v="0"/>
    <n v="0"/>
  </r>
  <r>
    <x v="14"/>
    <x v="0"/>
    <s v="Piedmont Virginia Community College "/>
    <m/>
    <n v="233116"/>
    <x v="7"/>
    <m/>
    <m/>
    <m/>
    <m/>
    <m/>
    <m/>
    <m/>
    <m/>
    <n v="0"/>
    <m/>
    <m/>
    <n v="0"/>
    <n v="0"/>
    <n v="0"/>
    <m/>
    <m/>
    <m/>
    <m/>
    <n v="0"/>
    <m/>
    <m/>
    <n v="0"/>
    <m/>
    <m/>
    <m/>
    <m/>
    <m/>
    <m/>
    <n v="0"/>
    <n v="0"/>
  </r>
  <r>
    <x v="14"/>
    <x v="0"/>
    <s v="Southside Virginia Community College  "/>
    <m/>
    <n v="233639"/>
    <x v="7"/>
    <m/>
    <m/>
    <m/>
    <m/>
    <m/>
    <m/>
    <m/>
    <m/>
    <n v="0"/>
    <m/>
    <m/>
    <n v="0"/>
    <n v="0"/>
    <n v="0"/>
    <m/>
    <m/>
    <m/>
    <m/>
    <n v="0"/>
    <m/>
    <m/>
    <n v="0"/>
    <m/>
    <m/>
    <m/>
    <m/>
    <m/>
    <m/>
    <n v="0"/>
    <n v="0"/>
  </r>
  <r>
    <x v="14"/>
    <x v="0"/>
    <s v="Southwest Virginia Community College "/>
    <s v="Met the criteria for Two-Year 3 in 2012-13."/>
    <n v="233648"/>
    <x v="7"/>
    <m/>
    <m/>
    <m/>
    <m/>
    <m/>
    <m/>
    <m/>
    <m/>
    <n v="0"/>
    <m/>
    <m/>
    <n v="0"/>
    <n v="0"/>
    <n v="0"/>
    <m/>
    <m/>
    <m/>
    <m/>
    <n v="0"/>
    <m/>
    <m/>
    <n v="0"/>
    <m/>
    <m/>
    <m/>
    <m/>
    <m/>
    <m/>
    <n v="0"/>
    <n v="0"/>
  </r>
  <r>
    <x v="14"/>
    <x v="0"/>
    <s v="Virginia Western Community College "/>
    <m/>
    <n v="233949"/>
    <x v="7"/>
    <m/>
    <m/>
    <m/>
    <m/>
    <m/>
    <m/>
    <m/>
    <m/>
    <n v="0"/>
    <m/>
    <m/>
    <n v="0"/>
    <n v="0"/>
    <n v="0"/>
    <m/>
    <m/>
    <m/>
    <m/>
    <n v="0"/>
    <m/>
    <m/>
    <n v="0"/>
    <m/>
    <m/>
    <m/>
    <m/>
    <m/>
    <m/>
    <n v="0"/>
    <n v="0"/>
  </r>
  <r>
    <x v="14"/>
    <x v="0"/>
    <s v="Wytheville Community College "/>
    <m/>
    <n v="234377"/>
    <x v="7"/>
    <m/>
    <m/>
    <m/>
    <m/>
    <m/>
    <m/>
    <m/>
    <m/>
    <n v="0"/>
    <m/>
    <m/>
    <n v="0"/>
    <n v="0"/>
    <n v="0"/>
    <m/>
    <m/>
    <m/>
    <m/>
    <n v="0"/>
    <m/>
    <m/>
    <n v="0"/>
    <m/>
    <m/>
    <m/>
    <m/>
    <m/>
    <m/>
    <n v="0"/>
    <n v="0"/>
  </r>
  <r>
    <x v="14"/>
    <x v="0"/>
    <s v="D.S. Lancaster Community College "/>
    <m/>
    <n v="231873"/>
    <x v="8"/>
    <m/>
    <m/>
    <m/>
    <m/>
    <m/>
    <m/>
    <m/>
    <m/>
    <n v="0"/>
    <m/>
    <m/>
    <n v="0"/>
    <n v="0"/>
    <n v="0"/>
    <m/>
    <m/>
    <m/>
    <m/>
    <n v="0"/>
    <m/>
    <m/>
    <n v="0"/>
    <m/>
    <m/>
    <m/>
    <m/>
    <m/>
    <m/>
    <n v="0"/>
    <n v="0"/>
  </r>
  <r>
    <x v="14"/>
    <x v="0"/>
    <s v="Eastern Shore Community College  "/>
    <m/>
    <n v="232052"/>
    <x v="8"/>
    <m/>
    <m/>
    <m/>
    <m/>
    <m/>
    <m/>
    <m/>
    <m/>
    <n v="0"/>
    <m/>
    <m/>
    <n v="0"/>
    <n v="0"/>
    <n v="0"/>
    <m/>
    <m/>
    <m/>
    <m/>
    <n v="0"/>
    <m/>
    <m/>
    <n v="0"/>
    <m/>
    <m/>
    <m/>
    <m/>
    <m/>
    <m/>
    <n v="0"/>
    <n v="0"/>
  </r>
  <r>
    <x v="14"/>
    <x v="0"/>
    <s v="Paul D. Camp Community College  "/>
    <m/>
    <n v="233037"/>
    <x v="8"/>
    <m/>
    <m/>
    <m/>
    <m/>
    <m/>
    <m/>
    <m/>
    <m/>
    <n v="0"/>
    <m/>
    <m/>
    <n v="0"/>
    <n v="0"/>
    <n v="0"/>
    <m/>
    <m/>
    <m/>
    <m/>
    <n v="0"/>
    <m/>
    <m/>
    <n v="0"/>
    <m/>
    <m/>
    <m/>
    <m/>
    <m/>
    <m/>
    <n v="0"/>
    <n v="0"/>
  </r>
  <r>
    <x v="14"/>
    <x v="0"/>
    <s v="Rappahannock Community College  "/>
    <s v="Met the criteria for Two-Year 2 in 2011-12 and 2012-13."/>
    <n v="233310"/>
    <x v="8"/>
    <m/>
    <m/>
    <m/>
    <m/>
    <m/>
    <m/>
    <m/>
    <m/>
    <n v="0"/>
    <m/>
    <m/>
    <n v="0"/>
    <n v="0"/>
    <n v="0"/>
    <m/>
    <m/>
    <m/>
    <m/>
    <n v="0"/>
    <m/>
    <m/>
    <n v="0"/>
    <m/>
    <m/>
    <m/>
    <m/>
    <m/>
    <m/>
    <n v="0"/>
    <n v="0"/>
  </r>
  <r>
    <x v="14"/>
    <x v="0"/>
    <s v="Richard Bland College "/>
    <m/>
    <n v="233338"/>
    <x v="8"/>
    <n v="4951071"/>
    <n v="5238116"/>
    <m/>
    <m/>
    <m/>
    <m/>
    <n v="4254500"/>
    <n v="4950"/>
    <n v="4259450"/>
    <n v="3998500"/>
    <n v="6930"/>
    <n v="4005430"/>
    <n v="9205571"/>
    <n v="9236616"/>
    <m/>
    <m/>
    <m/>
    <m/>
    <n v="0"/>
    <m/>
    <m/>
    <n v="0"/>
    <m/>
    <m/>
    <m/>
    <m/>
    <m/>
    <m/>
    <n v="9205571"/>
    <n v="9236616"/>
  </r>
  <r>
    <x v="14"/>
    <x v="0"/>
    <s v="Virginia Highlands Community College "/>
    <m/>
    <n v="233903"/>
    <x v="8"/>
    <m/>
    <m/>
    <m/>
    <m/>
    <m/>
    <m/>
    <m/>
    <m/>
    <n v="0"/>
    <m/>
    <m/>
    <n v="0"/>
    <n v="0"/>
    <n v="0"/>
    <m/>
    <m/>
    <m/>
    <m/>
    <n v="0"/>
    <m/>
    <m/>
    <n v="0"/>
    <m/>
    <m/>
    <m/>
    <m/>
    <m/>
    <m/>
    <n v="0"/>
    <n v="0"/>
  </r>
  <r>
    <x v="14"/>
    <x v="0"/>
    <s v="All Community Colleges except R.Bland"/>
    <m/>
    <m/>
    <x v="15"/>
    <n v="302908157"/>
    <n v="316706416"/>
    <n v="4211982"/>
    <n v="0"/>
    <n v="14697584"/>
    <n v="10779805"/>
    <n v="496771296"/>
    <n v="2758500"/>
    <n v="499529796"/>
    <n v="550201661"/>
    <n v="3406095"/>
    <n v="553607756"/>
    <n v="818589019"/>
    <n v="877687882"/>
    <m/>
    <m/>
    <m/>
    <m/>
    <n v="0"/>
    <m/>
    <m/>
    <n v="0"/>
    <m/>
    <m/>
    <m/>
    <m/>
    <m/>
    <m/>
    <n v="818589019"/>
    <n v="877687882"/>
  </r>
  <r>
    <x v="14"/>
    <x v="9"/>
    <s v="Virginia Military Institute"/>
    <m/>
    <n v="234085"/>
    <x v="11"/>
    <m/>
    <m/>
    <m/>
    <m/>
    <m/>
    <m/>
    <m/>
    <m/>
    <n v="0"/>
    <m/>
    <m/>
    <n v="0"/>
    <n v="0"/>
    <n v="0"/>
    <n v="10569011"/>
    <n v="11359955"/>
    <n v="24670717"/>
    <n v="311400"/>
    <n v="24982117"/>
    <n v="25590717"/>
    <n v="347490"/>
    <n v="25938207"/>
    <m/>
    <m/>
    <m/>
    <m/>
    <m/>
    <m/>
    <n v="35239728"/>
    <n v="36950672"/>
  </r>
  <r>
    <x v="14"/>
    <x v="10"/>
    <s v="Statewide Special-Purpose Units"/>
    <m/>
    <m/>
    <x v="12"/>
    <m/>
    <m/>
    <m/>
    <m/>
    <m/>
    <m/>
    <m/>
    <m/>
    <n v="0"/>
    <m/>
    <m/>
    <n v="0"/>
    <n v="0"/>
    <n v="0"/>
    <m/>
    <m/>
    <m/>
    <m/>
    <n v="0"/>
    <m/>
    <m/>
    <n v="0"/>
    <m/>
    <m/>
    <m/>
    <m/>
    <m/>
    <m/>
    <n v="0"/>
    <n v="0"/>
  </r>
  <r>
    <x v="14"/>
    <x v="11"/>
    <s v="Research centers/institutes"/>
    <m/>
    <m/>
    <x v="12"/>
    <m/>
    <m/>
    <m/>
    <m/>
    <m/>
    <m/>
    <m/>
    <m/>
    <n v="0"/>
    <m/>
    <m/>
    <n v="0"/>
    <n v="0"/>
    <n v="0"/>
    <m/>
    <m/>
    <m/>
    <m/>
    <n v="0"/>
    <m/>
    <m/>
    <n v="0"/>
    <m/>
    <m/>
    <m/>
    <m/>
    <m/>
    <m/>
    <n v="0"/>
    <n v="0"/>
  </r>
  <r>
    <x v="14"/>
    <x v="11"/>
    <s v="Innovative Technology Authority"/>
    <m/>
    <m/>
    <x v="12"/>
    <m/>
    <m/>
    <n v="4973750"/>
    <n v="4973750"/>
    <m/>
    <m/>
    <m/>
    <m/>
    <n v="0"/>
    <m/>
    <m/>
    <n v="0"/>
    <n v="4973750"/>
    <n v="4973750"/>
    <m/>
    <m/>
    <m/>
    <m/>
    <n v="0"/>
    <m/>
    <m/>
    <n v="0"/>
    <m/>
    <m/>
    <m/>
    <m/>
    <m/>
    <m/>
    <n v="4973750"/>
    <n v="4973750"/>
  </r>
  <r>
    <x v="14"/>
    <x v="11"/>
    <s v="Jefferson Science Associates"/>
    <m/>
    <m/>
    <x v="12"/>
    <m/>
    <m/>
    <n v="1149891"/>
    <n v="1149891"/>
    <m/>
    <m/>
    <m/>
    <m/>
    <n v="0"/>
    <m/>
    <m/>
    <n v="0"/>
    <n v="1149891"/>
    <n v="1149891"/>
    <m/>
    <m/>
    <m/>
    <m/>
    <n v="0"/>
    <m/>
    <m/>
    <n v="0"/>
    <m/>
    <m/>
    <m/>
    <m/>
    <m/>
    <m/>
    <n v="1149891"/>
    <n v="1149891"/>
  </r>
  <r>
    <x v="14"/>
    <x v="11"/>
    <s v="Higher Education Research Initiatives"/>
    <m/>
    <m/>
    <x v="12"/>
    <m/>
    <m/>
    <n v="510000"/>
    <n v="2980000"/>
    <m/>
    <m/>
    <m/>
    <m/>
    <n v="0"/>
    <m/>
    <m/>
    <n v="0"/>
    <n v="510000"/>
    <n v="2980000"/>
    <m/>
    <m/>
    <m/>
    <m/>
    <n v="0"/>
    <m/>
    <m/>
    <n v="0"/>
    <m/>
    <m/>
    <m/>
    <m/>
    <m/>
    <m/>
    <n v="510000"/>
    <n v="2980000"/>
  </r>
  <r>
    <x v="14"/>
    <x v="12"/>
    <s v="Special Line items for education operations"/>
    <m/>
    <m/>
    <x v="12"/>
    <m/>
    <m/>
    <m/>
    <m/>
    <m/>
    <m/>
    <m/>
    <m/>
    <n v="0"/>
    <m/>
    <m/>
    <n v="0"/>
    <n v="0"/>
    <n v="0"/>
    <m/>
    <m/>
    <m/>
    <m/>
    <n v="0"/>
    <m/>
    <m/>
    <n v="0"/>
    <m/>
    <m/>
    <m/>
    <m/>
    <m/>
    <m/>
    <n v="0"/>
    <n v="0"/>
  </r>
  <r>
    <x v="14"/>
    <x v="12"/>
    <s v="New College Institute"/>
    <m/>
    <m/>
    <x v="12"/>
    <m/>
    <m/>
    <n v="1464107"/>
    <n v="1471039"/>
    <m/>
    <m/>
    <m/>
    <m/>
    <n v="0"/>
    <m/>
    <m/>
    <n v="0"/>
    <n v="1464107"/>
    <n v="1471039"/>
    <m/>
    <m/>
    <m/>
    <m/>
    <n v="0"/>
    <m/>
    <m/>
    <n v="0"/>
    <m/>
    <m/>
    <m/>
    <m/>
    <m/>
    <m/>
    <n v="1464107"/>
    <n v="1471039"/>
  </r>
  <r>
    <x v="14"/>
    <x v="13"/>
    <s v="Educational special purpose funds — all other"/>
    <m/>
    <m/>
    <x v="12"/>
    <m/>
    <m/>
    <m/>
    <m/>
    <m/>
    <m/>
    <m/>
    <m/>
    <n v="0"/>
    <m/>
    <m/>
    <n v="0"/>
    <n v="0"/>
    <n v="0"/>
    <m/>
    <m/>
    <m/>
    <m/>
    <n v="0"/>
    <m/>
    <m/>
    <n v="0"/>
    <m/>
    <m/>
    <m/>
    <m/>
    <m/>
    <m/>
    <n v="0"/>
    <n v="0"/>
  </r>
  <r>
    <x v="14"/>
    <x v="13"/>
    <s v="Eminent Scholars"/>
    <m/>
    <m/>
    <x v="12"/>
    <m/>
    <m/>
    <n v="1707499"/>
    <n v="0"/>
    <m/>
    <m/>
    <m/>
    <m/>
    <n v="0"/>
    <m/>
    <m/>
    <n v="0"/>
    <n v="1707499"/>
    <n v="0"/>
    <m/>
    <m/>
    <m/>
    <m/>
    <n v="0"/>
    <m/>
    <m/>
    <n v="0"/>
    <m/>
    <m/>
    <m/>
    <m/>
    <m/>
    <m/>
    <n v="1707499"/>
    <n v="0"/>
  </r>
  <r>
    <x v="14"/>
    <x v="13"/>
    <s v="Library Sharing"/>
    <m/>
    <m/>
    <x v="12"/>
    <m/>
    <m/>
    <n v="6003177"/>
    <n v="7403177"/>
    <m/>
    <m/>
    <m/>
    <m/>
    <n v="0"/>
    <m/>
    <m/>
    <n v="0"/>
    <n v="6003177"/>
    <n v="7403177"/>
    <m/>
    <m/>
    <m/>
    <m/>
    <n v="0"/>
    <m/>
    <m/>
    <n v="0"/>
    <m/>
    <m/>
    <m/>
    <m/>
    <m/>
    <m/>
    <n v="6003177"/>
    <n v="7403177"/>
  </r>
  <r>
    <x v="14"/>
    <x v="13"/>
    <s v="VMI/MBC Contract"/>
    <m/>
    <m/>
    <x v="12"/>
    <m/>
    <m/>
    <n v="307899"/>
    <n v="307899"/>
    <m/>
    <m/>
    <m/>
    <m/>
    <n v="0"/>
    <m/>
    <m/>
    <n v="0"/>
    <n v="307899"/>
    <n v="307899"/>
    <m/>
    <m/>
    <m/>
    <m/>
    <n v="0"/>
    <m/>
    <m/>
    <n v="0"/>
    <m/>
    <m/>
    <m/>
    <m/>
    <m/>
    <m/>
    <n v="307899"/>
    <n v="307899"/>
  </r>
  <r>
    <x v="14"/>
    <x v="13"/>
    <s v="Space Grant"/>
    <m/>
    <m/>
    <x v="12"/>
    <m/>
    <m/>
    <n v="595000"/>
    <n v="695000"/>
    <m/>
    <m/>
    <m/>
    <m/>
    <n v="0"/>
    <m/>
    <m/>
    <n v="0"/>
    <n v="595000"/>
    <n v="695000"/>
    <m/>
    <m/>
    <m/>
    <m/>
    <n v="0"/>
    <m/>
    <m/>
    <n v="0"/>
    <m/>
    <m/>
    <m/>
    <m/>
    <m/>
    <m/>
    <n v="595000"/>
    <n v="695000"/>
  </r>
  <r>
    <x v="14"/>
    <x v="13"/>
    <s v="Melcher's-Monroe Memorials"/>
    <m/>
    <m/>
    <x v="12"/>
    <m/>
    <m/>
    <n v="664969"/>
    <n v="664969"/>
    <m/>
    <m/>
    <m/>
    <m/>
    <n v="0"/>
    <m/>
    <m/>
    <n v="0"/>
    <n v="664969"/>
    <n v="664969"/>
    <m/>
    <m/>
    <m/>
    <m/>
    <n v="0"/>
    <m/>
    <m/>
    <n v="0"/>
    <m/>
    <m/>
    <m/>
    <m/>
    <m/>
    <m/>
    <n v="664969"/>
    <n v="664969"/>
  </r>
  <r>
    <x v="14"/>
    <x v="13"/>
    <s v="Medical College Hampton Rds./Eastern VA Medical Auth."/>
    <m/>
    <m/>
    <x v="12"/>
    <m/>
    <m/>
    <m/>
    <m/>
    <m/>
    <m/>
    <m/>
    <m/>
    <n v="0"/>
    <m/>
    <m/>
    <n v="0"/>
    <n v="0"/>
    <n v="0"/>
    <m/>
    <m/>
    <m/>
    <m/>
    <n v="0"/>
    <m/>
    <m/>
    <n v="0"/>
    <n v="20582978"/>
    <n v="24145660"/>
    <m/>
    <m/>
    <m/>
    <m/>
    <n v="20582978"/>
    <n v="24145660"/>
  </r>
  <r>
    <x v="14"/>
    <x v="13"/>
    <s v="VCBA-Eq Trust Fund"/>
    <m/>
    <m/>
    <x v="12"/>
    <m/>
    <m/>
    <n v="49351490"/>
    <n v="38491738"/>
    <m/>
    <m/>
    <m/>
    <m/>
    <n v="0"/>
    <m/>
    <m/>
    <n v="0"/>
    <n v="49351490"/>
    <n v="38491738"/>
    <m/>
    <m/>
    <m/>
    <m/>
    <n v="0"/>
    <m/>
    <m/>
    <n v="0"/>
    <m/>
    <m/>
    <m/>
    <m/>
    <m/>
    <m/>
    <n v="49351490"/>
    <n v="38491738"/>
  </r>
  <r>
    <x v="14"/>
    <x v="13"/>
    <s v="Southern Virginia Higher Education Center"/>
    <m/>
    <m/>
    <x v="12"/>
    <m/>
    <m/>
    <n v="1930643"/>
    <n v="2158993"/>
    <m/>
    <m/>
    <m/>
    <m/>
    <n v="0"/>
    <m/>
    <m/>
    <n v="0"/>
    <n v="1930643"/>
    <n v="2158993"/>
    <m/>
    <m/>
    <m/>
    <m/>
    <n v="0"/>
    <m/>
    <m/>
    <n v="0"/>
    <m/>
    <m/>
    <m/>
    <m/>
    <m/>
    <m/>
    <n v="1930643"/>
    <n v="2158993"/>
  </r>
  <r>
    <x v="14"/>
    <x v="13"/>
    <s v="SW Va Higher Education Center"/>
    <m/>
    <m/>
    <x v="12"/>
    <m/>
    <m/>
    <n v="1804919"/>
    <n v="1815339"/>
    <m/>
    <m/>
    <m/>
    <m/>
    <n v="0"/>
    <m/>
    <m/>
    <n v="0"/>
    <n v="1804919"/>
    <n v="1815339"/>
    <m/>
    <m/>
    <m/>
    <m/>
    <n v="0"/>
    <m/>
    <m/>
    <n v="0"/>
    <m/>
    <m/>
    <m/>
    <m/>
    <m/>
    <m/>
    <n v="1804919"/>
    <n v="1815339"/>
  </r>
  <r>
    <x v="14"/>
    <x v="13"/>
    <s v="Roanoke H. Ed. Authority"/>
    <m/>
    <m/>
    <x v="12"/>
    <m/>
    <m/>
    <n v="1121896"/>
    <n v="1121896"/>
    <m/>
    <m/>
    <m/>
    <m/>
    <n v="0"/>
    <m/>
    <m/>
    <n v="0"/>
    <n v="1121896"/>
    <n v="1121896"/>
    <m/>
    <m/>
    <m/>
    <m/>
    <n v="0"/>
    <m/>
    <m/>
    <n v="0"/>
    <m/>
    <m/>
    <m/>
    <m/>
    <m/>
    <m/>
    <n v="1121896"/>
    <n v="1121896"/>
  </r>
  <r>
    <x v="14"/>
    <x v="13"/>
    <s v="Institute of Advanced Learning and Research"/>
    <m/>
    <m/>
    <x v="12"/>
    <m/>
    <m/>
    <n v="5525061"/>
    <n v="6122968"/>
    <m/>
    <m/>
    <m/>
    <m/>
    <n v="0"/>
    <m/>
    <m/>
    <n v="0"/>
    <n v="5525061"/>
    <n v="6122968"/>
    <m/>
    <m/>
    <m/>
    <m/>
    <n v="0"/>
    <m/>
    <m/>
    <n v="0"/>
    <m/>
    <m/>
    <m/>
    <m/>
    <m/>
    <m/>
    <n v="5525061"/>
    <n v="6122968"/>
  </r>
  <r>
    <x v="14"/>
    <x v="14"/>
    <s v="Statewide System Operations"/>
    <m/>
    <m/>
    <x v="12"/>
    <m/>
    <m/>
    <m/>
    <m/>
    <m/>
    <m/>
    <m/>
    <m/>
    <n v="0"/>
    <m/>
    <m/>
    <n v="0"/>
    <n v="0"/>
    <n v="0"/>
    <m/>
    <m/>
    <m/>
    <m/>
    <n v="0"/>
    <m/>
    <m/>
    <n v="0"/>
    <m/>
    <m/>
    <m/>
    <m/>
    <m/>
    <m/>
    <n v="0"/>
    <n v="0"/>
  </r>
  <r>
    <x v="14"/>
    <x v="15"/>
    <s v="Colleges and universities"/>
    <m/>
    <m/>
    <x v="12"/>
    <m/>
    <m/>
    <m/>
    <m/>
    <m/>
    <m/>
    <m/>
    <m/>
    <n v="0"/>
    <m/>
    <m/>
    <n v="0"/>
    <n v="0"/>
    <n v="0"/>
    <n v="3728391"/>
    <n v="3863369"/>
    <m/>
    <m/>
    <n v="0"/>
    <m/>
    <m/>
    <n v="0"/>
    <m/>
    <m/>
    <m/>
    <m/>
    <m/>
    <m/>
    <n v="3728391"/>
    <n v="3863369"/>
  </r>
  <r>
    <x v="14"/>
    <x v="16"/>
    <s v="Two-year system(s), if any"/>
    <m/>
    <m/>
    <x v="12"/>
    <m/>
    <m/>
    <m/>
    <m/>
    <m/>
    <m/>
    <m/>
    <m/>
    <n v="0"/>
    <m/>
    <m/>
    <n v="0"/>
    <n v="0"/>
    <n v="0"/>
    <n v="15940124"/>
    <n v="15943079"/>
    <m/>
    <m/>
    <n v="0"/>
    <m/>
    <m/>
    <n v="0"/>
    <m/>
    <m/>
    <m/>
    <m/>
    <m/>
    <m/>
    <n v="15940124"/>
    <n v="15943079"/>
  </r>
  <r>
    <x v="14"/>
    <x v="16"/>
    <s v="interest earnings"/>
    <m/>
    <m/>
    <x v="12"/>
    <m/>
    <m/>
    <m/>
    <n v="3233293"/>
    <m/>
    <m/>
    <m/>
    <m/>
    <n v="0"/>
    <m/>
    <m/>
    <n v="0"/>
    <n v="0"/>
    <n v="3233293"/>
    <m/>
    <m/>
    <m/>
    <m/>
    <n v="0"/>
    <m/>
    <m/>
    <n v="0"/>
    <m/>
    <m/>
    <m/>
    <m/>
    <m/>
    <m/>
    <n v="0"/>
    <n v="3233293"/>
  </r>
  <r>
    <x v="14"/>
    <x v="16"/>
    <s v="VCCS economic development"/>
    <m/>
    <m/>
    <x v="12"/>
    <m/>
    <m/>
    <m/>
    <n v="8992017"/>
    <m/>
    <m/>
    <m/>
    <m/>
    <n v="0"/>
    <m/>
    <m/>
    <n v="0"/>
    <n v="0"/>
    <n v="8992017"/>
    <m/>
    <m/>
    <m/>
    <m/>
    <n v="0"/>
    <m/>
    <m/>
    <n v="0"/>
    <m/>
    <m/>
    <m/>
    <m/>
    <m/>
    <m/>
    <n v="0"/>
    <n v="8992017"/>
  </r>
  <r>
    <x v="14"/>
    <x v="16"/>
    <s v="VCU state health service"/>
    <m/>
    <m/>
    <x v="12"/>
    <m/>
    <m/>
    <m/>
    <n v="250000"/>
    <m/>
    <m/>
    <m/>
    <m/>
    <n v="0"/>
    <m/>
    <m/>
    <n v="0"/>
    <n v="0"/>
    <n v="250000"/>
    <m/>
    <m/>
    <m/>
    <m/>
    <n v="0"/>
    <m/>
    <m/>
    <n v="0"/>
    <m/>
    <m/>
    <m/>
    <m/>
    <m/>
    <m/>
    <n v="0"/>
    <n v="250000"/>
  </r>
  <r>
    <x v="14"/>
    <x v="17"/>
    <s v="SREB"/>
    <m/>
    <m/>
    <x v="12"/>
    <m/>
    <m/>
    <m/>
    <m/>
    <m/>
    <m/>
    <m/>
    <m/>
    <n v="0"/>
    <m/>
    <m/>
    <n v="0"/>
    <n v="0"/>
    <n v="0"/>
    <m/>
    <m/>
    <m/>
    <m/>
    <n v="0"/>
    <m/>
    <m/>
    <n v="0"/>
    <m/>
    <m/>
    <m/>
    <m/>
    <m/>
    <m/>
    <n v="0"/>
    <n v="0"/>
  </r>
  <r>
    <x v="14"/>
    <x v="18"/>
    <s v="Adm. of Statewide Student Aid Progs. (incldng centralized guaranteed student loans)"/>
    <m/>
    <m/>
    <x v="12"/>
    <m/>
    <m/>
    <m/>
    <m/>
    <m/>
    <m/>
    <m/>
    <m/>
    <n v="0"/>
    <m/>
    <m/>
    <n v="0"/>
    <n v="0"/>
    <n v="0"/>
    <m/>
    <m/>
    <m/>
    <m/>
    <n v="0"/>
    <m/>
    <m/>
    <n v="0"/>
    <m/>
    <m/>
    <m/>
    <m/>
    <m/>
    <m/>
    <n v="0"/>
    <n v="0"/>
  </r>
  <r>
    <x v="14"/>
    <x v="19"/>
    <s v="State Support to Private Colleges Other Than Student Aid"/>
    <m/>
    <m/>
    <x v="12"/>
    <m/>
    <m/>
    <m/>
    <m/>
    <m/>
    <m/>
    <m/>
    <m/>
    <n v="0"/>
    <m/>
    <m/>
    <n v="0"/>
    <n v="0"/>
    <n v="0"/>
    <m/>
    <m/>
    <m/>
    <m/>
    <n v="0"/>
    <m/>
    <m/>
    <n v="0"/>
    <m/>
    <m/>
    <m/>
    <m/>
    <m/>
    <m/>
    <n v="0"/>
    <n v="0"/>
  </r>
  <r>
    <x v="14"/>
    <x v="20"/>
    <s v="Contract Education Programs"/>
    <m/>
    <m/>
    <x v="12"/>
    <m/>
    <m/>
    <m/>
    <m/>
    <m/>
    <m/>
    <m/>
    <m/>
    <n v="0"/>
    <m/>
    <m/>
    <n v="0"/>
    <n v="0"/>
    <n v="0"/>
    <m/>
    <m/>
    <m/>
    <m/>
    <n v="0"/>
    <m/>
    <m/>
    <n v="0"/>
    <m/>
    <m/>
    <m/>
    <m/>
    <m/>
    <m/>
    <n v="0"/>
    <n v="0"/>
  </r>
  <r>
    <x v="14"/>
    <x v="21"/>
    <s v="SREB contract program with private colleges"/>
    <m/>
    <m/>
    <x v="12"/>
    <m/>
    <m/>
    <m/>
    <m/>
    <m/>
    <m/>
    <m/>
    <m/>
    <n v="0"/>
    <m/>
    <m/>
    <n v="0"/>
    <n v="0"/>
    <n v="0"/>
    <m/>
    <m/>
    <m/>
    <m/>
    <n v="0"/>
    <m/>
    <m/>
    <n v="0"/>
    <m/>
    <m/>
    <m/>
    <m/>
    <m/>
    <m/>
    <n v="0"/>
    <n v="0"/>
  </r>
  <r>
    <x v="14"/>
    <x v="21"/>
    <s v="Southern College of Optometry"/>
    <m/>
    <m/>
    <x v="12"/>
    <m/>
    <m/>
    <m/>
    <m/>
    <m/>
    <m/>
    <m/>
    <m/>
    <n v="0"/>
    <m/>
    <m/>
    <n v="0"/>
    <n v="0"/>
    <n v="0"/>
    <n v="20000"/>
    <n v="20000"/>
    <m/>
    <m/>
    <n v="0"/>
    <m/>
    <m/>
    <n v="0"/>
    <m/>
    <m/>
    <m/>
    <m/>
    <m/>
    <m/>
    <n v="20000"/>
    <n v="20000"/>
  </r>
  <r>
    <x v="14"/>
    <x v="22"/>
    <s v="SREB contract program with public colleges"/>
    <m/>
    <m/>
    <x v="12"/>
    <m/>
    <m/>
    <m/>
    <m/>
    <m/>
    <m/>
    <m/>
    <m/>
    <n v="0"/>
    <m/>
    <m/>
    <n v="0"/>
    <n v="0"/>
    <n v="0"/>
    <m/>
    <m/>
    <m/>
    <m/>
    <n v="0"/>
    <m/>
    <m/>
    <n v="0"/>
    <m/>
    <m/>
    <m/>
    <m/>
    <m/>
    <m/>
    <n v="0"/>
    <n v="0"/>
  </r>
  <r>
    <x v="14"/>
    <x v="22"/>
    <s v="University of North Carolina at Chapel Hill (Library Science)"/>
    <m/>
    <m/>
    <x v="12"/>
    <m/>
    <m/>
    <m/>
    <m/>
    <m/>
    <m/>
    <m/>
    <m/>
    <n v="0"/>
    <m/>
    <m/>
    <n v="0"/>
    <n v="0"/>
    <n v="0"/>
    <m/>
    <m/>
    <m/>
    <m/>
    <n v="0"/>
    <m/>
    <m/>
    <n v="0"/>
    <m/>
    <m/>
    <m/>
    <m/>
    <m/>
    <m/>
    <n v="0"/>
    <n v="0"/>
  </r>
  <r>
    <x v="14"/>
    <x v="22"/>
    <s v="North Carolina State University (Pulp/Paper)"/>
    <m/>
    <m/>
    <x v="12"/>
    <m/>
    <m/>
    <m/>
    <m/>
    <m/>
    <m/>
    <m/>
    <m/>
    <n v="0"/>
    <m/>
    <m/>
    <n v="0"/>
    <n v="0"/>
    <n v="0"/>
    <m/>
    <m/>
    <m/>
    <m/>
    <n v="0"/>
    <m/>
    <m/>
    <n v="0"/>
    <m/>
    <m/>
    <m/>
    <m/>
    <m/>
    <m/>
    <n v="0"/>
    <n v="0"/>
  </r>
  <r>
    <x v="14"/>
    <x v="22"/>
    <s v="University of Alabama at Birmingham (Optometry)"/>
    <m/>
    <m/>
    <x v="12"/>
    <m/>
    <m/>
    <m/>
    <m/>
    <m/>
    <m/>
    <m/>
    <m/>
    <n v="0"/>
    <m/>
    <m/>
    <n v="0"/>
    <n v="0"/>
    <n v="0"/>
    <m/>
    <m/>
    <m/>
    <m/>
    <n v="0"/>
    <m/>
    <m/>
    <n v="0"/>
    <m/>
    <m/>
    <m/>
    <m/>
    <m/>
    <m/>
    <n v="0"/>
    <n v="0"/>
  </r>
  <r>
    <x v="14"/>
    <x v="22"/>
    <s v="North Carolina Central University (Library Science)"/>
    <m/>
    <m/>
    <x v="12"/>
    <m/>
    <m/>
    <m/>
    <m/>
    <m/>
    <m/>
    <m/>
    <m/>
    <n v="0"/>
    <m/>
    <m/>
    <n v="0"/>
    <n v="0"/>
    <n v="0"/>
    <m/>
    <m/>
    <m/>
    <m/>
    <n v="0"/>
    <m/>
    <m/>
    <n v="0"/>
    <m/>
    <m/>
    <m/>
    <m/>
    <m/>
    <m/>
    <n v="0"/>
    <n v="0"/>
  </r>
  <r>
    <x v="14"/>
    <x v="23"/>
    <s v="Other contract education programs"/>
    <m/>
    <m/>
    <x v="12"/>
    <m/>
    <m/>
    <m/>
    <m/>
    <m/>
    <m/>
    <m/>
    <m/>
    <n v="0"/>
    <m/>
    <m/>
    <n v="0"/>
    <n v="0"/>
    <n v="0"/>
    <n v="170000"/>
    <n v="170000"/>
    <m/>
    <m/>
    <n v="0"/>
    <m/>
    <m/>
    <n v="0"/>
    <m/>
    <m/>
    <m/>
    <m/>
    <m/>
    <m/>
    <n v="170000"/>
    <n v="170000"/>
  </r>
  <r>
    <x v="14"/>
    <x v="24"/>
    <s v="Statewide Student Financial Aid Programs Administered Off Campus"/>
    <m/>
    <m/>
    <x v="12"/>
    <m/>
    <m/>
    <m/>
    <m/>
    <m/>
    <m/>
    <m/>
    <m/>
    <n v="0"/>
    <m/>
    <m/>
    <n v="0"/>
    <n v="0"/>
    <n v="0"/>
    <m/>
    <m/>
    <m/>
    <m/>
    <n v="0"/>
    <m/>
    <m/>
    <n v="0"/>
    <m/>
    <m/>
    <m/>
    <m/>
    <m/>
    <m/>
    <n v="0"/>
    <n v="0"/>
  </r>
  <r>
    <x v="14"/>
    <x v="25"/>
    <s v="Available to public &amp; private sector students"/>
    <m/>
    <m/>
    <x v="12"/>
    <m/>
    <m/>
    <m/>
    <m/>
    <m/>
    <m/>
    <m/>
    <m/>
    <n v="0"/>
    <m/>
    <m/>
    <n v="0"/>
    <n v="0"/>
    <n v="0"/>
    <m/>
    <m/>
    <m/>
    <m/>
    <n v="0"/>
    <m/>
    <m/>
    <n v="0"/>
    <m/>
    <m/>
    <m/>
    <m/>
    <m/>
    <m/>
    <n v="0"/>
    <n v="0"/>
  </r>
  <r>
    <x v="14"/>
    <x v="25"/>
    <s v="Program name(s)???"/>
    <m/>
    <m/>
    <x v="12"/>
    <m/>
    <m/>
    <m/>
    <m/>
    <m/>
    <m/>
    <m/>
    <m/>
    <n v="0"/>
    <m/>
    <m/>
    <n v="0"/>
    <n v="0"/>
    <n v="0"/>
    <m/>
    <m/>
    <m/>
    <m/>
    <n v="0"/>
    <m/>
    <m/>
    <n v="0"/>
    <m/>
    <m/>
    <m/>
    <m/>
    <m/>
    <m/>
    <n v="0"/>
    <n v="0"/>
  </r>
  <r>
    <x v="14"/>
    <x v="28"/>
    <s v="Amount to public sector students"/>
    <m/>
    <m/>
    <x v="12"/>
    <m/>
    <m/>
    <m/>
    <m/>
    <m/>
    <m/>
    <m/>
    <m/>
    <n v="0"/>
    <m/>
    <m/>
    <n v="0"/>
    <n v="0"/>
    <n v="0"/>
    <m/>
    <m/>
    <m/>
    <m/>
    <n v="0"/>
    <m/>
    <m/>
    <n v="0"/>
    <m/>
    <m/>
    <m/>
    <m/>
    <m/>
    <m/>
    <n v="0"/>
    <n v="0"/>
  </r>
  <r>
    <x v="14"/>
    <x v="29"/>
    <s v="Need-based"/>
    <m/>
    <m/>
    <x v="12"/>
    <m/>
    <m/>
    <m/>
    <m/>
    <m/>
    <m/>
    <m/>
    <m/>
    <n v="0"/>
    <m/>
    <m/>
    <n v="0"/>
    <n v="0"/>
    <n v="0"/>
    <n v="3372105"/>
    <n v="3372105"/>
    <m/>
    <m/>
    <n v="0"/>
    <m/>
    <m/>
    <n v="0"/>
    <m/>
    <m/>
    <m/>
    <m/>
    <m/>
    <m/>
    <n v="3372105"/>
    <n v="3372105"/>
  </r>
  <r>
    <x v="14"/>
    <x v="30"/>
    <s v="(Military tuition waiver) Non need-based"/>
    <m/>
    <m/>
    <x v="12"/>
    <m/>
    <m/>
    <m/>
    <m/>
    <m/>
    <m/>
    <m/>
    <m/>
    <n v="0"/>
    <m/>
    <m/>
    <n v="0"/>
    <n v="0"/>
    <n v="0"/>
    <n v="1250000"/>
    <n v="1250000"/>
    <m/>
    <m/>
    <n v="0"/>
    <m/>
    <m/>
    <n v="0"/>
    <m/>
    <m/>
    <m/>
    <m/>
    <m/>
    <m/>
    <n v="1250000"/>
    <n v="1250000"/>
  </r>
  <r>
    <x v="14"/>
    <x v="31"/>
    <s v="Amount to private sector students"/>
    <m/>
    <m/>
    <x v="12"/>
    <m/>
    <m/>
    <m/>
    <m/>
    <m/>
    <m/>
    <m/>
    <m/>
    <n v="0"/>
    <m/>
    <m/>
    <n v="0"/>
    <n v="0"/>
    <n v="0"/>
    <m/>
    <m/>
    <m/>
    <m/>
    <n v="0"/>
    <m/>
    <m/>
    <n v="0"/>
    <m/>
    <m/>
    <m/>
    <m/>
    <m/>
    <m/>
    <n v="0"/>
    <n v="0"/>
  </r>
  <r>
    <x v="14"/>
    <x v="32"/>
    <s v="Need-based"/>
    <m/>
    <m/>
    <x v="12"/>
    <m/>
    <m/>
    <m/>
    <m/>
    <m/>
    <m/>
    <m/>
    <m/>
    <n v="0"/>
    <m/>
    <m/>
    <n v="0"/>
    <n v="0"/>
    <n v="0"/>
    <n v="1041645"/>
    <n v="1041645"/>
    <m/>
    <m/>
    <n v="0"/>
    <m/>
    <m/>
    <n v="0"/>
    <m/>
    <m/>
    <m/>
    <m/>
    <m/>
    <m/>
    <n v="1041645"/>
    <n v="1041645"/>
  </r>
  <r>
    <x v="14"/>
    <x v="33"/>
    <s v="Non need-based"/>
    <m/>
    <m/>
    <x v="12"/>
    <m/>
    <m/>
    <m/>
    <m/>
    <m/>
    <m/>
    <m/>
    <m/>
    <n v="0"/>
    <m/>
    <m/>
    <n v="0"/>
    <n v="0"/>
    <n v="0"/>
    <m/>
    <m/>
    <m/>
    <m/>
    <n v="0"/>
    <m/>
    <m/>
    <n v="0"/>
    <m/>
    <m/>
    <m/>
    <m/>
    <m/>
    <m/>
    <n v="0"/>
    <n v="0"/>
  </r>
  <r>
    <x v="14"/>
    <x v="34"/>
    <s v="Limited to public college students only"/>
    <m/>
    <m/>
    <x v="12"/>
    <m/>
    <m/>
    <m/>
    <m/>
    <m/>
    <m/>
    <m/>
    <m/>
    <n v="0"/>
    <m/>
    <m/>
    <n v="0"/>
    <n v="0"/>
    <n v="0"/>
    <m/>
    <m/>
    <m/>
    <m/>
    <n v="0"/>
    <m/>
    <m/>
    <n v="0"/>
    <m/>
    <m/>
    <m/>
    <m/>
    <m/>
    <m/>
    <n v="0"/>
    <n v="0"/>
  </r>
  <r>
    <x v="14"/>
    <x v="34"/>
    <s v="Program name(s)???"/>
    <m/>
    <m/>
    <x v="12"/>
    <m/>
    <m/>
    <m/>
    <m/>
    <m/>
    <m/>
    <m/>
    <m/>
    <n v="0"/>
    <m/>
    <m/>
    <n v="0"/>
    <n v="0"/>
    <n v="0"/>
    <m/>
    <m/>
    <m/>
    <m/>
    <n v="0"/>
    <m/>
    <m/>
    <n v="0"/>
    <m/>
    <m/>
    <m/>
    <m/>
    <m/>
    <m/>
    <n v="0"/>
    <n v="0"/>
  </r>
  <r>
    <x v="14"/>
    <x v="35"/>
    <s v="Need-based"/>
    <m/>
    <m/>
    <x v="12"/>
    <m/>
    <m/>
    <m/>
    <m/>
    <m/>
    <m/>
    <m/>
    <m/>
    <n v="0"/>
    <m/>
    <m/>
    <n v="0"/>
    <n v="0"/>
    <n v="0"/>
    <n v="146433668"/>
    <n v="154794742"/>
    <m/>
    <m/>
    <n v="0"/>
    <m/>
    <m/>
    <n v="0"/>
    <m/>
    <m/>
    <m/>
    <m/>
    <m/>
    <m/>
    <n v="146433668"/>
    <n v="154794742"/>
  </r>
  <r>
    <x v="14"/>
    <x v="36"/>
    <s v="Non need-based"/>
    <m/>
    <m/>
    <x v="12"/>
    <m/>
    <m/>
    <m/>
    <m/>
    <m/>
    <m/>
    <m/>
    <m/>
    <n v="0"/>
    <m/>
    <m/>
    <n v="0"/>
    <n v="0"/>
    <n v="0"/>
    <n v="12359822"/>
    <n v="12359822"/>
    <m/>
    <m/>
    <n v="0"/>
    <m/>
    <m/>
    <n v="0"/>
    <m/>
    <m/>
    <m/>
    <m/>
    <m/>
    <m/>
    <n v="12359822"/>
    <n v="12359822"/>
  </r>
  <r>
    <x v="14"/>
    <x v="34"/>
    <s v="Transfer grant"/>
    <m/>
    <m/>
    <x v="12"/>
    <m/>
    <m/>
    <m/>
    <m/>
    <m/>
    <m/>
    <m/>
    <m/>
    <n v="0"/>
    <m/>
    <m/>
    <n v="0"/>
    <n v="0"/>
    <n v="0"/>
    <n v="1050000"/>
    <n v="1650000"/>
    <m/>
    <m/>
    <n v="0"/>
    <m/>
    <m/>
    <n v="0"/>
    <m/>
    <m/>
    <m/>
    <m/>
    <m/>
    <m/>
    <n v="1050000"/>
    <n v="1650000"/>
  </r>
  <r>
    <x v="14"/>
    <x v="37"/>
    <s v="Limited to private college students"/>
    <m/>
    <m/>
    <x v="12"/>
    <m/>
    <m/>
    <m/>
    <m/>
    <m/>
    <m/>
    <m/>
    <m/>
    <n v="0"/>
    <m/>
    <m/>
    <n v="0"/>
    <n v="0"/>
    <n v="0"/>
    <m/>
    <m/>
    <m/>
    <m/>
    <n v="0"/>
    <m/>
    <m/>
    <n v="0"/>
    <m/>
    <m/>
    <m/>
    <m/>
    <m/>
    <m/>
    <n v="0"/>
    <n v="0"/>
  </r>
  <r>
    <x v="14"/>
    <x v="37"/>
    <s v="Student Tuition Aid Grant"/>
    <m/>
    <m/>
    <x v="12"/>
    <m/>
    <m/>
    <m/>
    <m/>
    <m/>
    <m/>
    <m/>
    <m/>
    <n v="0"/>
    <m/>
    <m/>
    <n v="0"/>
    <n v="0"/>
    <n v="0"/>
    <m/>
    <m/>
    <m/>
    <m/>
    <n v="0"/>
    <m/>
    <m/>
    <n v="0"/>
    <m/>
    <m/>
    <m/>
    <m/>
    <m/>
    <m/>
    <n v="0"/>
    <n v="0"/>
  </r>
  <r>
    <x v="14"/>
    <x v="38"/>
    <s v="Need-based"/>
    <m/>
    <m/>
    <x v="12"/>
    <m/>
    <m/>
    <m/>
    <m/>
    <m/>
    <m/>
    <m/>
    <m/>
    <n v="0"/>
    <m/>
    <m/>
    <n v="0"/>
    <n v="0"/>
    <n v="0"/>
    <m/>
    <m/>
    <m/>
    <m/>
    <n v="0"/>
    <m/>
    <m/>
    <n v="0"/>
    <m/>
    <m/>
    <m/>
    <m/>
    <m/>
    <m/>
    <n v="0"/>
    <n v="0"/>
  </r>
  <r>
    <x v="14"/>
    <x v="39"/>
    <s v="Non need-based"/>
    <m/>
    <m/>
    <x v="12"/>
    <m/>
    <m/>
    <m/>
    <m/>
    <m/>
    <m/>
    <m/>
    <m/>
    <n v="0"/>
    <m/>
    <m/>
    <n v="0"/>
    <n v="0"/>
    <n v="0"/>
    <n v="55956233"/>
    <n v="61812665"/>
    <m/>
    <m/>
    <n v="0"/>
    <m/>
    <m/>
    <n v="0"/>
    <m/>
    <m/>
    <m/>
    <m/>
    <m/>
    <m/>
    <n v="55956233"/>
    <n v="61812665"/>
  </r>
  <r>
    <x v="14"/>
    <x v="37"/>
    <s v="Other Student Financial Aid"/>
    <m/>
    <m/>
    <x v="12"/>
    <m/>
    <m/>
    <m/>
    <m/>
    <m/>
    <m/>
    <m/>
    <m/>
    <n v="0"/>
    <m/>
    <m/>
    <n v="0"/>
    <n v="0"/>
    <n v="0"/>
    <m/>
    <m/>
    <m/>
    <m/>
    <n v="0"/>
    <m/>
    <m/>
    <n v="0"/>
    <m/>
    <m/>
    <m/>
    <m/>
    <m/>
    <m/>
    <n v="0"/>
    <n v="0"/>
  </r>
  <r>
    <x v="14"/>
    <x v="38"/>
    <s v="Need-based"/>
    <m/>
    <m/>
    <x v="12"/>
    <m/>
    <m/>
    <m/>
    <m/>
    <m/>
    <m/>
    <m/>
    <m/>
    <n v="0"/>
    <m/>
    <m/>
    <n v="0"/>
    <n v="0"/>
    <n v="0"/>
    <m/>
    <m/>
    <m/>
    <m/>
    <n v="0"/>
    <m/>
    <m/>
    <n v="0"/>
    <m/>
    <m/>
    <m/>
    <m/>
    <m/>
    <m/>
    <n v="0"/>
    <n v="0"/>
  </r>
  <r>
    <x v="14"/>
    <x v="39"/>
    <s v="Non need-based"/>
    <m/>
    <m/>
    <x v="12"/>
    <m/>
    <m/>
    <m/>
    <m/>
    <m/>
    <m/>
    <m/>
    <m/>
    <n v="0"/>
    <m/>
    <m/>
    <n v="0"/>
    <n v="0"/>
    <n v="0"/>
    <n v="3139170"/>
    <n v="3139944"/>
    <m/>
    <m/>
    <n v="0"/>
    <m/>
    <m/>
    <n v="0"/>
    <m/>
    <m/>
    <m/>
    <m/>
    <m/>
    <m/>
    <n v="3139170"/>
    <n v="3139944"/>
  </r>
  <r>
    <x v="15"/>
    <x v="0"/>
    <s v="West Virginia University"/>
    <m/>
    <n v="238032"/>
    <x v="0"/>
    <n v="80553201"/>
    <n v="78213821"/>
    <m/>
    <m/>
    <m/>
    <m/>
    <n v="258550401"/>
    <n v="10006022"/>
    <n v="268556423"/>
    <n v="273315032"/>
    <n v="10768759"/>
    <n v="284083791"/>
    <n v="339103602"/>
    <n v="351528853"/>
    <m/>
    <m/>
    <m/>
    <m/>
    <n v="0"/>
    <m/>
    <m/>
    <n v="0"/>
    <m/>
    <m/>
    <m/>
    <m/>
    <m/>
    <m/>
    <n v="339103602"/>
    <n v="351528853"/>
  </r>
  <r>
    <x v="15"/>
    <x v="1"/>
    <s v="Health professions education"/>
    <m/>
    <n v="238032"/>
    <x v="0"/>
    <m/>
    <m/>
    <m/>
    <m/>
    <m/>
    <m/>
    <m/>
    <m/>
    <n v="0"/>
    <m/>
    <m/>
    <n v="0"/>
    <n v="0"/>
    <n v="0"/>
    <m/>
    <m/>
    <m/>
    <m/>
    <n v="0"/>
    <m/>
    <m/>
    <n v="0"/>
    <m/>
    <m/>
    <m/>
    <m/>
    <m/>
    <m/>
    <n v="0"/>
    <n v="0"/>
  </r>
  <r>
    <x v="15"/>
    <x v="1"/>
    <s v="School of Health Sciences"/>
    <m/>
    <n v="238032"/>
    <x v="0"/>
    <m/>
    <m/>
    <m/>
    <m/>
    <m/>
    <m/>
    <m/>
    <m/>
    <n v="0"/>
    <m/>
    <m/>
    <n v="0"/>
    <n v="0"/>
    <n v="0"/>
    <m/>
    <m/>
    <m/>
    <m/>
    <n v="0"/>
    <m/>
    <m/>
    <n v="0"/>
    <n v="68296925"/>
    <n v="69527816"/>
    <n v="41990933"/>
    <m/>
    <n v="45880496"/>
    <m/>
    <n v="110287858"/>
    <n v="115408312"/>
  </r>
  <r>
    <x v="15"/>
    <x v="1"/>
    <s v="BRIM insurance subsidy"/>
    <m/>
    <n v="238032"/>
    <x v="0"/>
    <m/>
    <m/>
    <m/>
    <m/>
    <m/>
    <m/>
    <m/>
    <m/>
    <n v="0"/>
    <m/>
    <m/>
    <n v="0"/>
    <n v="0"/>
    <n v="0"/>
    <m/>
    <m/>
    <m/>
    <m/>
    <n v="0"/>
    <m/>
    <m/>
    <n v="0"/>
    <n v="1400038"/>
    <n v="1400038"/>
    <m/>
    <m/>
    <m/>
    <m/>
    <n v="1400038"/>
    <n v="1400038"/>
  </r>
  <r>
    <x v="15"/>
    <x v="13"/>
    <s v="HSTA Program"/>
    <m/>
    <n v="238032"/>
    <x v="0"/>
    <m/>
    <m/>
    <n v="1539068"/>
    <n v="1543868"/>
    <m/>
    <m/>
    <m/>
    <m/>
    <n v="0"/>
    <m/>
    <m/>
    <n v="0"/>
    <n v="1539068"/>
    <n v="1543868"/>
    <m/>
    <m/>
    <m/>
    <m/>
    <n v="0"/>
    <m/>
    <m/>
    <n v="0"/>
    <m/>
    <n v="0"/>
    <m/>
    <m/>
    <m/>
    <m/>
    <n v="1539068"/>
    <n v="1543868"/>
  </r>
  <r>
    <x v="15"/>
    <x v="13"/>
    <s v="Health Sciences Career Opportunities"/>
    <m/>
    <n v="238032"/>
    <x v="0"/>
    <m/>
    <m/>
    <n v="376992"/>
    <n v="378192"/>
    <m/>
    <m/>
    <m/>
    <m/>
    <n v="0"/>
    <m/>
    <m/>
    <n v="0"/>
    <n v="376992"/>
    <n v="378192"/>
    <m/>
    <m/>
    <m/>
    <m/>
    <n v="0"/>
    <m/>
    <m/>
    <n v="0"/>
    <m/>
    <n v="0"/>
    <m/>
    <m/>
    <m/>
    <m/>
    <n v="376992"/>
    <n v="378192"/>
  </r>
  <r>
    <x v="15"/>
    <x v="1"/>
    <s v="Community or public service units"/>
    <m/>
    <n v="238032"/>
    <x v="0"/>
    <m/>
    <m/>
    <n v="2353246"/>
    <n v="2267147"/>
    <m/>
    <m/>
    <m/>
    <m/>
    <n v="0"/>
    <m/>
    <m/>
    <n v="0"/>
    <n v="2353246"/>
    <n v="2267147"/>
    <m/>
    <m/>
    <m/>
    <m/>
    <n v="0"/>
    <m/>
    <m/>
    <n v="0"/>
    <m/>
    <n v="0"/>
    <m/>
    <m/>
    <m/>
    <m/>
    <n v="2353246"/>
    <n v="2267147"/>
  </r>
  <r>
    <x v="15"/>
    <x v="1"/>
    <s v="WVU HSC - Blanchette Rockefeller Neuroligical Institute"/>
    <m/>
    <n v="238032"/>
    <x v="0"/>
    <m/>
    <m/>
    <m/>
    <m/>
    <m/>
    <m/>
    <m/>
    <m/>
    <n v="0"/>
    <m/>
    <m/>
    <n v="0"/>
    <n v="0"/>
    <n v="0"/>
    <m/>
    <m/>
    <m/>
    <m/>
    <n v="0"/>
    <m/>
    <m/>
    <n v="0"/>
    <n v="1000000"/>
    <n v="1000000"/>
    <m/>
    <m/>
    <m/>
    <m/>
    <n v="1000000"/>
    <n v="1000000"/>
  </r>
  <r>
    <x v="15"/>
    <x v="13"/>
    <s v="Public Health Program &amp; Health Science Technology"/>
    <m/>
    <n v="238032"/>
    <x v="0"/>
    <m/>
    <m/>
    <n v="62291"/>
    <n v="62483"/>
    <m/>
    <m/>
    <m/>
    <m/>
    <n v="0"/>
    <m/>
    <m/>
    <n v="0"/>
    <n v="62291"/>
    <n v="62483"/>
    <m/>
    <m/>
    <m/>
    <m/>
    <n v="0"/>
    <m/>
    <m/>
    <n v="0"/>
    <m/>
    <n v="0"/>
    <m/>
    <m/>
    <m/>
    <m/>
    <n v="62291"/>
    <n v="62483"/>
  </r>
  <r>
    <x v="15"/>
    <x v="1"/>
    <s v="WVUHSC - Graduate Medical Education"/>
    <m/>
    <n v="238032"/>
    <x v="0"/>
    <m/>
    <m/>
    <m/>
    <m/>
    <m/>
    <m/>
    <m/>
    <m/>
    <n v="0"/>
    <m/>
    <m/>
    <n v="0"/>
    <n v="0"/>
    <n v="0"/>
    <m/>
    <m/>
    <m/>
    <m/>
    <n v="0"/>
    <m/>
    <m/>
    <n v="0"/>
    <n v="943080"/>
    <n v="943080"/>
    <m/>
    <m/>
    <m/>
    <m/>
    <n v="943080"/>
    <n v="943080"/>
  </r>
  <r>
    <x v="15"/>
    <x v="1"/>
    <s v="WVU Health Sciences Center - Academy of Family Physicians Doc of the Day Program"/>
    <m/>
    <n v="238032"/>
    <x v="0"/>
    <m/>
    <m/>
    <m/>
    <m/>
    <m/>
    <m/>
    <m/>
    <m/>
    <n v="0"/>
    <m/>
    <m/>
    <n v="0"/>
    <n v="0"/>
    <n v="0"/>
    <m/>
    <m/>
    <m/>
    <m/>
    <n v="0"/>
    <m/>
    <m/>
    <n v="0"/>
    <n v="5000"/>
    <n v="5000"/>
    <m/>
    <m/>
    <m/>
    <m/>
    <n v="5000"/>
    <n v="5000"/>
  </r>
  <r>
    <x v="15"/>
    <x v="5"/>
    <s v="Agricultural cooperative extension"/>
    <m/>
    <n v="238032"/>
    <x v="0"/>
    <m/>
    <m/>
    <n v="16720323"/>
    <n v="17735741"/>
    <m/>
    <m/>
    <m/>
    <m/>
    <n v="0"/>
    <m/>
    <m/>
    <n v="0"/>
    <n v="16720323"/>
    <n v="17735741"/>
    <m/>
    <m/>
    <m/>
    <m/>
    <n v="0"/>
    <m/>
    <m/>
    <n v="0"/>
    <m/>
    <n v="0"/>
    <m/>
    <m/>
    <m/>
    <m/>
    <n v="16720323"/>
    <n v="17735741"/>
  </r>
  <r>
    <x v="15"/>
    <x v="6"/>
    <s v="Agricultural experiment stations"/>
    <m/>
    <n v="238032"/>
    <x v="0"/>
    <m/>
    <m/>
    <n v="7812386"/>
    <n v="8785626"/>
    <m/>
    <m/>
    <m/>
    <m/>
    <n v="0"/>
    <m/>
    <m/>
    <n v="0"/>
    <n v="7812386"/>
    <n v="8785626"/>
    <m/>
    <m/>
    <m/>
    <m/>
    <n v="0"/>
    <m/>
    <m/>
    <n v="0"/>
    <m/>
    <n v="0"/>
    <m/>
    <m/>
    <m/>
    <m/>
    <n v="7812386"/>
    <n v="8785626"/>
  </r>
  <r>
    <x v="15"/>
    <x v="43"/>
    <s v="Engineering experiment stations"/>
    <m/>
    <n v="238032"/>
    <x v="0"/>
    <m/>
    <m/>
    <n v="3061480"/>
    <n v="3285798"/>
    <m/>
    <m/>
    <m/>
    <m/>
    <n v="0"/>
    <m/>
    <m/>
    <n v="0"/>
    <n v="3061480"/>
    <n v="3285798"/>
    <m/>
    <m/>
    <m/>
    <m/>
    <n v="0"/>
    <m/>
    <m/>
    <n v="0"/>
    <m/>
    <n v="0"/>
    <m/>
    <m/>
    <m/>
    <m/>
    <n v="3061480"/>
    <n v="3285798"/>
  </r>
  <r>
    <x v="15"/>
    <x v="7"/>
    <s v="Research centers/institutes"/>
    <m/>
    <n v="238032"/>
    <x v="0"/>
    <m/>
    <m/>
    <n v="2641096"/>
    <n v="2748978"/>
    <m/>
    <m/>
    <m/>
    <m/>
    <n v="0"/>
    <m/>
    <m/>
    <n v="0"/>
    <n v="2641096"/>
    <n v="2748978"/>
    <m/>
    <m/>
    <m/>
    <m/>
    <n v="0"/>
    <m/>
    <m/>
    <n v="0"/>
    <m/>
    <n v="0"/>
    <m/>
    <m/>
    <m/>
    <m/>
    <n v="2641096"/>
    <n v="2748978"/>
  </r>
  <r>
    <x v="15"/>
    <x v="7"/>
    <s v="WVU - PRT"/>
    <m/>
    <n v="238032"/>
    <x v="0"/>
    <m/>
    <m/>
    <n v="2029624"/>
    <n v="2134245"/>
    <m/>
    <m/>
    <m/>
    <m/>
    <n v="0"/>
    <m/>
    <m/>
    <n v="0"/>
    <n v="2029624"/>
    <n v="2134245"/>
    <m/>
    <m/>
    <m/>
    <m/>
    <n v="0"/>
    <m/>
    <m/>
    <n v="0"/>
    <m/>
    <n v="0"/>
    <m/>
    <m/>
    <m/>
    <m/>
    <n v="2029624"/>
    <n v="2134245"/>
  </r>
  <r>
    <x v="15"/>
    <x v="8"/>
    <s v="Special Line items for education operations"/>
    <m/>
    <n v="238032"/>
    <x v="0"/>
    <m/>
    <m/>
    <n v="1853728"/>
    <n v="2155508"/>
    <m/>
    <m/>
    <m/>
    <m/>
    <n v="0"/>
    <m/>
    <m/>
    <n v="0"/>
    <n v="1853728"/>
    <n v="2155508"/>
    <m/>
    <m/>
    <m/>
    <m/>
    <n v="0"/>
    <m/>
    <m/>
    <n v="0"/>
    <m/>
    <n v="0"/>
    <m/>
    <m/>
    <m/>
    <m/>
    <n v="1853728"/>
    <n v="2155508"/>
  </r>
  <r>
    <x v="15"/>
    <x v="8"/>
    <s v="Center for Excellence in Disabilities"/>
    <m/>
    <n v="238032"/>
    <x v="0"/>
    <m/>
    <m/>
    <n v="320000"/>
    <n v="350000"/>
    <m/>
    <m/>
    <m/>
    <m/>
    <n v="0"/>
    <m/>
    <m/>
    <n v="0"/>
    <n v="320000"/>
    <n v="350000"/>
    <m/>
    <m/>
    <m/>
    <m/>
    <n v="0"/>
    <m/>
    <m/>
    <n v="0"/>
    <m/>
    <n v="0"/>
    <m/>
    <m/>
    <m/>
    <m/>
    <n v="320000"/>
    <n v="350000"/>
  </r>
  <r>
    <x v="15"/>
    <x v="0"/>
    <s v="Marshall University "/>
    <m/>
    <n v="237525"/>
    <x v="2"/>
    <n v="50657146"/>
    <n v="51457526"/>
    <m/>
    <m/>
    <m/>
    <m/>
    <n v="79942727"/>
    <n v="4310369"/>
    <n v="84253096"/>
    <n v="86387548"/>
    <n v="2492352"/>
    <n v="88879900"/>
    <n v="130599873"/>
    <n v="137845074"/>
    <m/>
    <m/>
    <m/>
    <m/>
    <n v="0"/>
    <m/>
    <m/>
    <n v="0"/>
    <m/>
    <m/>
    <m/>
    <m/>
    <m/>
    <m/>
    <n v="130599873"/>
    <n v="137845074"/>
  </r>
  <r>
    <x v="15"/>
    <x v="7"/>
    <s v="Research centers/institutes"/>
    <m/>
    <n v="237525"/>
    <x v="2"/>
    <m/>
    <m/>
    <m/>
    <m/>
    <m/>
    <m/>
    <m/>
    <m/>
    <n v="0"/>
    <m/>
    <m/>
    <n v="0"/>
    <n v="0"/>
    <n v="0"/>
    <m/>
    <m/>
    <m/>
    <m/>
    <n v="0"/>
    <m/>
    <m/>
    <n v="0"/>
    <m/>
    <m/>
    <m/>
    <m/>
    <m/>
    <m/>
    <n v="0"/>
    <n v="0"/>
  </r>
  <r>
    <x v="15"/>
    <x v="8"/>
    <s v="MU/SWVVCTC 2+2 Program"/>
    <m/>
    <n v="237525"/>
    <x v="2"/>
    <m/>
    <m/>
    <n v="181280"/>
    <n v="181280"/>
    <m/>
    <m/>
    <m/>
    <m/>
    <n v="0"/>
    <m/>
    <m/>
    <n v="0"/>
    <n v="181280"/>
    <n v="181280"/>
    <m/>
    <m/>
    <m/>
    <m/>
    <n v="0"/>
    <m/>
    <m/>
    <n v="0"/>
    <m/>
    <m/>
    <m/>
    <m/>
    <m/>
    <m/>
    <n v="181280"/>
    <n v="181280"/>
  </r>
  <r>
    <x v="15"/>
    <x v="7"/>
    <s v="Autism Training Center"/>
    <m/>
    <n v="237525"/>
    <x v="2"/>
    <m/>
    <m/>
    <n v="2105796"/>
    <n v="2111572"/>
    <m/>
    <m/>
    <m/>
    <m/>
    <n v="0"/>
    <m/>
    <m/>
    <n v="0"/>
    <n v="2105796"/>
    <n v="2111572"/>
    <m/>
    <m/>
    <m/>
    <m/>
    <n v="0"/>
    <m/>
    <m/>
    <n v="0"/>
    <m/>
    <m/>
    <m/>
    <m/>
    <m/>
    <m/>
    <n v="2105796"/>
    <n v="2111572"/>
  </r>
  <r>
    <x v="15"/>
    <x v="8"/>
    <s v="Special Line items for education operations"/>
    <m/>
    <n v="237525"/>
    <x v="2"/>
    <m/>
    <m/>
    <n v="702799"/>
    <n v="703099"/>
    <m/>
    <m/>
    <m/>
    <m/>
    <n v="0"/>
    <m/>
    <m/>
    <n v="0"/>
    <n v="702799"/>
    <n v="703099"/>
    <m/>
    <m/>
    <m/>
    <m/>
    <n v="0"/>
    <m/>
    <m/>
    <n v="0"/>
    <m/>
    <m/>
    <m/>
    <m/>
    <m/>
    <m/>
    <n v="702799"/>
    <n v="703099"/>
  </r>
  <r>
    <x v="15"/>
    <x v="1"/>
    <s v="Medical School"/>
    <m/>
    <n v="237525"/>
    <x v="2"/>
    <m/>
    <m/>
    <m/>
    <m/>
    <m/>
    <m/>
    <m/>
    <m/>
    <n v="0"/>
    <m/>
    <m/>
    <n v="0"/>
    <n v="0"/>
    <n v="0"/>
    <m/>
    <m/>
    <m/>
    <m/>
    <n v="0"/>
    <m/>
    <m/>
    <n v="0"/>
    <n v="18933328"/>
    <n v="19286846"/>
    <n v="8282990"/>
    <m/>
    <n v="8855321"/>
    <m/>
    <n v="27216318"/>
    <n v="28142167"/>
  </r>
  <r>
    <x v="15"/>
    <x v="1"/>
    <s v="MU SOM- Graduate Medical Education"/>
    <m/>
    <n v="237525"/>
    <x v="2"/>
    <m/>
    <m/>
    <m/>
    <m/>
    <m/>
    <m/>
    <m/>
    <m/>
    <n v="0"/>
    <m/>
    <m/>
    <n v="0"/>
    <n v="0"/>
    <n v="0"/>
    <m/>
    <m/>
    <m/>
    <m/>
    <n v="0"/>
    <m/>
    <m/>
    <n v="0"/>
    <n v="295477"/>
    <n v="295477"/>
    <m/>
    <m/>
    <m/>
    <m/>
    <n v="295477"/>
    <n v="295477"/>
  </r>
  <r>
    <x v="15"/>
    <x v="1"/>
    <s v="MU SOM- Academy of Family Physicians Doc of the Day Program"/>
    <m/>
    <n v="237525"/>
    <x v="2"/>
    <m/>
    <m/>
    <m/>
    <m/>
    <m/>
    <m/>
    <m/>
    <m/>
    <n v="0"/>
    <m/>
    <m/>
    <n v="0"/>
    <n v="0"/>
    <n v="0"/>
    <m/>
    <m/>
    <m/>
    <m/>
    <n v="0"/>
    <m/>
    <m/>
    <n v="0"/>
    <n v="5000"/>
    <n v="5000"/>
    <m/>
    <m/>
    <m/>
    <m/>
    <n v="5000"/>
    <n v="5000"/>
  </r>
  <r>
    <x v="15"/>
    <x v="1"/>
    <s v="MUSOM - Center for Rural Health"/>
    <m/>
    <n v="237525"/>
    <x v="2"/>
    <m/>
    <m/>
    <m/>
    <m/>
    <m/>
    <m/>
    <m/>
    <m/>
    <n v="0"/>
    <m/>
    <m/>
    <n v="0"/>
    <n v="0"/>
    <n v="0"/>
    <m/>
    <m/>
    <m/>
    <m/>
    <n v="0"/>
    <m/>
    <m/>
    <n v="0"/>
    <n v="275061"/>
    <n v="275061"/>
    <m/>
    <m/>
    <m/>
    <m/>
    <n v="275061"/>
    <n v="275061"/>
  </r>
  <r>
    <x v="15"/>
    <x v="7"/>
    <s v="Forensic Lab"/>
    <m/>
    <n v="237525"/>
    <x v="2"/>
    <m/>
    <m/>
    <m/>
    <m/>
    <m/>
    <m/>
    <m/>
    <m/>
    <n v="0"/>
    <m/>
    <m/>
    <n v="0"/>
    <n v="0"/>
    <n v="0"/>
    <m/>
    <m/>
    <m/>
    <m/>
    <n v="0"/>
    <m/>
    <m/>
    <n v="0"/>
    <n v="417351"/>
    <n v="417351"/>
    <m/>
    <m/>
    <m/>
    <m/>
    <n v="417351"/>
    <n v="417351"/>
  </r>
  <r>
    <x v="15"/>
    <x v="8"/>
    <s v="BRIM insurance subsidy"/>
    <m/>
    <n v="237525"/>
    <x v="2"/>
    <m/>
    <m/>
    <m/>
    <m/>
    <m/>
    <m/>
    <m/>
    <m/>
    <n v="0"/>
    <m/>
    <m/>
    <n v="0"/>
    <n v="0"/>
    <n v="0"/>
    <m/>
    <m/>
    <m/>
    <m/>
    <n v="0"/>
    <m/>
    <m/>
    <n v="0"/>
    <n v="1015462"/>
    <n v="1015462"/>
    <m/>
    <m/>
    <m/>
    <m/>
    <n v="1015462"/>
    <n v="1015462"/>
  </r>
  <r>
    <x v="15"/>
    <x v="0"/>
    <s v="Fairmont State University"/>
    <m/>
    <n v="237367"/>
    <x v="4"/>
    <n v="17803627"/>
    <n v="17880671"/>
    <m/>
    <m/>
    <m/>
    <m/>
    <n v="21131248"/>
    <n v="1873783.82"/>
    <n v="23005031.82"/>
    <n v="21427663"/>
    <n v="1577369"/>
    <n v="23005032"/>
    <n v="38934875"/>
    <n v="39308334"/>
    <m/>
    <m/>
    <m/>
    <m/>
    <n v="0"/>
    <m/>
    <m/>
    <n v="0"/>
    <m/>
    <m/>
    <m/>
    <m/>
    <m/>
    <m/>
    <n v="38934875"/>
    <n v="39308334"/>
  </r>
  <r>
    <x v="15"/>
    <x v="0"/>
    <s v="Shepherd University "/>
    <m/>
    <n v="237792"/>
    <x v="4"/>
    <n v="11102798"/>
    <n v="11128474"/>
    <m/>
    <m/>
    <m/>
    <m/>
    <n v="26156317"/>
    <n v="905948"/>
    <n v="27062265"/>
    <n v="27740613"/>
    <n v="674765"/>
    <n v="28415378"/>
    <n v="37259115"/>
    <n v="38869087"/>
    <m/>
    <m/>
    <m/>
    <m/>
    <n v="0"/>
    <m/>
    <m/>
    <n v="0"/>
    <m/>
    <m/>
    <m/>
    <m/>
    <m/>
    <m/>
    <n v="37259115"/>
    <n v="38869087"/>
  </r>
  <r>
    <x v="15"/>
    <x v="8"/>
    <s v="Special Line items for education operations"/>
    <m/>
    <n v="237792"/>
    <x v="4"/>
    <m/>
    <n v="0"/>
    <n v="100000"/>
    <n v="100000"/>
    <m/>
    <m/>
    <m/>
    <m/>
    <n v="0"/>
    <m/>
    <m/>
    <n v="0"/>
    <n v="100000"/>
    <n v="100000"/>
    <m/>
    <m/>
    <m/>
    <m/>
    <n v="0"/>
    <m/>
    <m/>
    <n v="0"/>
    <m/>
    <m/>
    <m/>
    <m/>
    <m/>
    <m/>
    <n v="100000"/>
    <n v="100000"/>
  </r>
  <r>
    <x v="15"/>
    <x v="0"/>
    <s v="Bluefield State College "/>
    <m/>
    <n v="237215"/>
    <x v="5"/>
    <n v="6570942"/>
    <n v="6593442"/>
    <m/>
    <m/>
    <m/>
    <m/>
    <n v="10254909"/>
    <n v="12728"/>
    <n v="10267637"/>
    <n v="10830565"/>
    <n v="1792"/>
    <n v="10832357"/>
    <n v="16825851"/>
    <n v="17424007"/>
    <m/>
    <m/>
    <m/>
    <m/>
    <n v="0"/>
    <m/>
    <m/>
    <n v="0"/>
    <m/>
    <m/>
    <m/>
    <m/>
    <m/>
    <m/>
    <n v="16825851"/>
    <n v="17424007"/>
  </r>
  <r>
    <x v="15"/>
    <x v="0"/>
    <s v="Concord University "/>
    <m/>
    <n v="237330"/>
    <x v="5"/>
    <n v="10064340"/>
    <n v="10106804"/>
    <m/>
    <m/>
    <m/>
    <m/>
    <n v="15007382"/>
    <n v="161969"/>
    <n v="15169351"/>
    <n v="15905008"/>
    <n v="22811"/>
    <n v="15927819"/>
    <n v="25071722"/>
    <n v="26011812"/>
    <m/>
    <m/>
    <m/>
    <m/>
    <n v="0"/>
    <m/>
    <m/>
    <n v="0"/>
    <m/>
    <m/>
    <m/>
    <m/>
    <m/>
    <m/>
    <n v="25071722"/>
    <n v="26011812"/>
  </r>
  <r>
    <x v="15"/>
    <x v="8"/>
    <s v="Special Line items for education operations"/>
    <m/>
    <n v="237330"/>
    <x v="5"/>
    <m/>
    <m/>
    <n v="100000"/>
    <n v="100000"/>
    <m/>
    <m/>
    <m/>
    <m/>
    <n v="0"/>
    <m/>
    <m/>
    <n v="0"/>
    <n v="100000"/>
    <n v="100000"/>
    <m/>
    <m/>
    <m/>
    <m/>
    <n v="0"/>
    <m/>
    <m/>
    <n v="0"/>
    <m/>
    <m/>
    <m/>
    <m/>
    <m/>
    <m/>
    <n v="100000"/>
    <n v="100000"/>
  </r>
  <r>
    <x v="15"/>
    <x v="0"/>
    <s v="Glenville State College "/>
    <m/>
    <n v="237385"/>
    <x v="5"/>
    <n v="6497804"/>
    <n v="6606804"/>
    <m/>
    <m/>
    <m/>
    <m/>
    <n v="7732430"/>
    <n v="430680.12"/>
    <n v="8163110.1200000001"/>
    <n v="8575966"/>
    <n v="362639"/>
    <n v="8938605"/>
    <n v="14230234"/>
    <n v="15182770"/>
    <m/>
    <m/>
    <m/>
    <m/>
    <n v="0"/>
    <m/>
    <m/>
    <n v="0"/>
    <m/>
    <m/>
    <m/>
    <m/>
    <m/>
    <m/>
    <n v="14230234"/>
    <n v="15182770"/>
  </r>
  <r>
    <x v="15"/>
    <x v="8"/>
    <s v="Special Line items for education operations"/>
    <m/>
    <n v="237385"/>
    <x v="5"/>
    <m/>
    <m/>
    <n v="700000"/>
    <n v="600000"/>
    <m/>
    <m/>
    <m/>
    <m/>
    <n v="0"/>
    <m/>
    <m/>
    <n v="0"/>
    <n v="700000"/>
    <n v="600000"/>
    <m/>
    <m/>
    <m/>
    <m/>
    <n v="0"/>
    <m/>
    <m/>
    <n v="0"/>
    <m/>
    <m/>
    <m/>
    <m/>
    <m/>
    <m/>
    <n v="700000"/>
    <n v="600000"/>
  </r>
  <r>
    <x v="15"/>
    <x v="0"/>
    <s v="West Liberty University"/>
    <m/>
    <n v="237932"/>
    <x v="5"/>
    <n v="9299524"/>
    <n v="9322524"/>
    <m/>
    <m/>
    <m/>
    <m/>
    <n v="17014146"/>
    <n v="746908"/>
    <n v="17761054"/>
    <n v="18088410"/>
    <n v="560697"/>
    <n v="18649107"/>
    <n v="26313670"/>
    <n v="27410934"/>
    <m/>
    <m/>
    <m/>
    <m/>
    <n v="0"/>
    <m/>
    <m/>
    <n v="0"/>
    <m/>
    <m/>
    <m/>
    <m/>
    <m/>
    <m/>
    <n v="26313670"/>
    <n v="27410934"/>
  </r>
  <r>
    <x v="15"/>
    <x v="0"/>
    <s v="West Virginia State University "/>
    <m/>
    <n v="237899"/>
    <x v="5"/>
    <n v="12835589"/>
    <n v="13612389"/>
    <m/>
    <m/>
    <m/>
    <m/>
    <n v="12078135"/>
    <n v="135337"/>
    <n v="12213472"/>
    <n v="13171490"/>
    <n v="19060"/>
    <n v="13190550"/>
    <n v="24913724"/>
    <n v="26783879"/>
    <m/>
    <m/>
    <m/>
    <m/>
    <n v="0"/>
    <m/>
    <m/>
    <n v="0"/>
    <m/>
    <m/>
    <m/>
    <m/>
    <m/>
    <m/>
    <n v="24913724"/>
    <n v="26783879"/>
  </r>
  <r>
    <x v="15"/>
    <x v="0"/>
    <s v="West Virginia University Institute of Technology"/>
    <m/>
    <n v="237950"/>
    <x v="5"/>
    <n v="8686192"/>
    <n v="9467640"/>
    <m/>
    <m/>
    <m/>
    <m/>
    <n v="6173738"/>
    <n v="90286"/>
    <n v="6264024"/>
    <n v="6564509"/>
    <n v="12716"/>
    <n v="6577225"/>
    <n v="14859930"/>
    <n v="16032149"/>
    <m/>
    <m/>
    <m/>
    <m/>
    <n v="0"/>
    <m/>
    <m/>
    <n v="0"/>
    <m/>
    <m/>
    <m/>
    <m/>
    <m/>
    <m/>
    <n v="14859930"/>
    <n v="16032149"/>
  </r>
  <r>
    <x v="15"/>
    <x v="8"/>
    <s v="Accreditation supplement"/>
    <m/>
    <n v="237950"/>
    <x v="5"/>
    <m/>
    <m/>
    <m/>
    <m/>
    <m/>
    <m/>
    <s v=" "/>
    <s v=" "/>
    <n v="0"/>
    <s v=" "/>
    <s v=" "/>
    <n v="0"/>
    <n v="0"/>
    <n v="0"/>
    <m/>
    <m/>
    <m/>
    <m/>
    <n v="0"/>
    <m/>
    <m/>
    <n v="0"/>
    <m/>
    <m/>
    <m/>
    <m/>
    <m/>
    <m/>
    <n v="0"/>
    <n v="0"/>
  </r>
  <r>
    <x v="15"/>
    <x v="0"/>
    <s v="Potomac State College of West Virginia University"/>
    <m/>
    <n v="237701"/>
    <x v="14"/>
    <n v="4482109"/>
    <n v="4482689"/>
    <m/>
    <m/>
    <m/>
    <m/>
    <n v="5009672"/>
    <n v="84793"/>
    <n v="5094465"/>
    <n v="5347083"/>
    <n v="2105"/>
    <n v="5349188"/>
    <n v="9491781"/>
    <n v="9829772"/>
    <m/>
    <m/>
    <m/>
    <m/>
    <n v="0"/>
    <m/>
    <m/>
    <n v="0"/>
    <m/>
    <m/>
    <m/>
    <m/>
    <m/>
    <m/>
    <n v="9491781"/>
    <n v="9829772"/>
  </r>
  <r>
    <x v="15"/>
    <x v="8"/>
    <s v="Special Line items for education operations"/>
    <m/>
    <n v="237701"/>
    <x v="14"/>
    <m/>
    <m/>
    <n v="207500"/>
    <n v="207500"/>
    <m/>
    <m/>
    <m/>
    <m/>
    <n v="0"/>
    <m/>
    <m/>
    <n v="0"/>
    <n v="207500"/>
    <n v="207500"/>
    <m/>
    <m/>
    <m/>
    <m/>
    <n v="0"/>
    <m/>
    <m/>
    <n v="0"/>
    <m/>
    <m/>
    <m/>
    <m/>
    <m/>
    <m/>
    <n v="207500"/>
    <n v="207500"/>
  </r>
  <r>
    <x v="15"/>
    <x v="0"/>
    <s v="West Virginia University at Parkersburg"/>
    <m/>
    <n v="237686"/>
    <x v="14"/>
    <n v="10416188"/>
    <n v="10916188"/>
    <m/>
    <m/>
    <m/>
    <m/>
    <n v="9913811"/>
    <n v="127189"/>
    <n v="10041000"/>
    <n v="11008807"/>
    <n v="3158"/>
    <n v="11011965"/>
    <n v="20329999"/>
    <n v="21924995"/>
    <m/>
    <m/>
    <m/>
    <m/>
    <n v="0"/>
    <m/>
    <m/>
    <n v="0"/>
    <m/>
    <m/>
    <m/>
    <m/>
    <m/>
    <m/>
    <n v="20329999"/>
    <n v="21924995"/>
  </r>
  <r>
    <x v="15"/>
    <x v="8"/>
    <s v="Special Line items for education operations"/>
    <m/>
    <n v="237686"/>
    <x v="14"/>
    <m/>
    <m/>
    <m/>
    <m/>
    <m/>
    <m/>
    <m/>
    <m/>
    <n v="0"/>
    <m/>
    <m/>
    <n v="0"/>
    <n v="0"/>
    <n v="0"/>
    <m/>
    <m/>
    <m/>
    <m/>
    <n v="0"/>
    <m/>
    <m/>
    <n v="0"/>
    <m/>
    <m/>
    <m/>
    <m/>
    <m/>
    <m/>
    <n v="0"/>
    <n v="0"/>
  </r>
  <r>
    <x v="15"/>
    <x v="0"/>
    <s v="New River Community &amp; Technical College"/>
    <s v="Reclassified: met criteria for Two-Year 2 in 2010-11, 2011-12, and 2012-13."/>
    <n v="447582"/>
    <x v="7"/>
    <n v="5778627"/>
    <n v="6305522"/>
    <m/>
    <m/>
    <m/>
    <m/>
    <n v="9094756"/>
    <n v="11009"/>
    <n v="9105765"/>
    <n v="9559503"/>
    <n v="1550"/>
    <n v="9561053"/>
    <n v="14873383"/>
    <n v="15865025"/>
    <m/>
    <m/>
    <m/>
    <m/>
    <n v="0"/>
    <m/>
    <m/>
    <n v="0"/>
    <m/>
    <m/>
    <m/>
    <m/>
    <m/>
    <m/>
    <n v="14873383"/>
    <n v="15865025"/>
  </r>
  <r>
    <x v="15"/>
    <x v="8"/>
    <s v="Special Line items for education operations"/>
    <m/>
    <n v="447582"/>
    <x v="7"/>
    <m/>
    <m/>
    <m/>
    <m/>
    <m/>
    <m/>
    <m/>
    <m/>
    <n v="0"/>
    <m/>
    <m/>
    <n v="0"/>
    <n v="0"/>
    <n v="0"/>
    <m/>
    <m/>
    <m/>
    <m/>
    <n v="0"/>
    <m/>
    <m/>
    <n v="0"/>
    <m/>
    <m/>
    <m/>
    <m/>
    <m/>
    <m/>
    <n v="0"/>
    <n v="0"/>
  </r>
  <r>
    <x v="15"/>
    <x v="0"/>
    <s v="Pierpont Community &amp; Technical College"/>
    <s v="Reclassified: met criteria for Two-Year 2 in 2010-11, 2011-12, and 2012-13."/>
    <n v="443492"/>
    <x v="7"/>
    <n v="8421177"/>
    <n v="8443703"/>
    <m/>
    <m/>
    <m/>
    <m/>
    <n v="9241337"/>
    <m/>
    <n v="9241337"/>
    <n v="9588811"/>
    <m/>
    <n v="9588811"/>
    <n v="17662514"/>
    <n v="18032514"/>
    <m/>
    <m/>
    <m/>
    <m/>
    <n v="0"/>
    <m/>
    <m/>
    <n v="0"/>
    <m/>
    <m/>
    <m/>
    <m/>
    <m/>
    <m/>
    <n v="17662514"/>
    <n v="18032514"/>
  </r>
  <r>
    <x v="15"/>
    <x v="8"/>
    <s v="Special Line items for education operations"/>
    <m/>
    <n v="443492"/>
    <x v="7"/>
    <m/>
    <m/>
    <m/>
    <m/>
    <m/>
    <m/>
    <m/>
    <m/>
    <n v="0"/>
    <m/>
    <m/>
    <n v="0"/>
    <n v="0"/>
    <n v="0"/>
    <m/>
    <m/>
    <m/>
    <m/>
    <n v="0"/>
    <m/>
    <m/>
    <n v="0"/>
    <m/>
    <m/>
    <m/>
    <m/>
    <m/>
    <m/>
    <n v="0"/>
    <n v="0"/>
  </r>
  <r>
    <x v="15"/>
    <x v="0"/>
    <s v="West Virginia Northern Community College"/>
    <s v="Met the criteria for Two-Year 3 in 2012-13."/>
    <n v="238014"/>
    <x v="7"/>
    <n v="7859711"/>
    <n v="7893643"/>
    <m/>
    <m/>
    <m/>
    <m/>
    <n v="6736134"/>
    <n v="16028"/>
    <n v="6752162"/>
    <n v="6934914"/>
    <n v="2257"/>
    <n v="6937171"/>
    <n v="14595845"/>
    <n v="14828557"/>
    <m/>
    <m/>
    <m/>
    <m/>
    <n v="0"/>
    <m/>
    <m/>
    <n v="0"/>
    <m/>
    <m/>
    <m/>
    <m/>
    <m/>
    <m/>
    <n v="14595845"/>
    <n v="14828557"/>
  </r>
  <r>
    <x v="15"/>
    <x v="8"/>
    <s v="Special Line items for education operations"/>
    <m/>
    <n v="238014"/>
    <x v="7"/>
    <m/>
    <m/>
    <m/>
    <m/>
    <m/>
    <m/>
    <m/>
    <m/>
    <n v="0"/>
    <m/>
    <m/>
    <n v="0"/>
    <n v="0"/>
    <n v="0"/>
    <m/>
    <m/>
    <m/>
    <m/>
    <n v="0"/>
    <m/>
    <m/>
    <n v="0"/>
    <m/>
    <m/>
    <m/>
    <m/>
    <m/>
    <m/>
    <n v="0"/>
    <n v="0"/>
  </r>
  <r>
    <x v="15"/>
    <x v="0"/>
    <s v="Blue Ridge Community &amp; Technical College"/>
    <m/>
    <n v="446774"/>
    <x v="8"/>
    <n v="3514578"/>
    <n v="5138415"/>
    <m/>
    <m/>
    <m/>
    <m/>
    <n v="6650684"/>
    <n v="59386"/>
    <n v="6710070"/>
    <n v="6701706"/>
    <n v="8364"/>
    <n v="6710070"/>
    <n v="10165262"/>
    <n v="11840121"/>
    <m/>
    <m/>
    <m/>
    <m/>
    <n v="0"/>
    <m/>
    <m/>
    <n v="0"/>
    <m/>
    <m/>
    <m/>
    <m/>
    <m/>
    <m/>
    <n v="10165262"/>
    <n v="11840121"/>
  </r>
  <r>
    <x v="15"/>
    <x v="8"/>
    <s v="Special Line items for education operations"/>
    <m/>
    <n v="446774"/>
    <x v="8"/>
    <m/>
    <m/>
    <m/>
    <m/>
    <m/>
    <m/>
    <m/>
    <m/>
    <n v="0"/>
    <m/>
    <m/>
    <n v="0"/>
    <n v="0"/>
    <n v="0"/>
    <m/>
    <m/>
    <m/>
    <m/>
    <n v="0"/>
    <m/>
    <m/>
    <n v="0"/>
    <m/>
    <m/>
    <m/>
    <m/>
    <m/>
    <m/>
    <n v="0"/>
    <n v="0"/>
  </r>
  <r>
    <x v="15"/>
    <x v="0"/>
    <s v="Bridgemont Community &amp; Technical College"/>
    <m/>
    <n v="445674"/>
    <x v="8"/>
    <n v="3959682"/>
    <n v="3973597"/>
    <m/>
    <m/>
    <m/>
    <m/>
    <n v="2115328"/>
    <n v="35716"/>
    <n v="2151044"/>
    <n v="2146014"/>
    <n v="5030"/>
    <n v="2151044"/>
    <n v="6075010"/>
    <n v="6119611"/>
    <m/>
    <m/>
    <m/>
    <m/>
    <n v="0"/>
    <m/>
    <m/>
    <n v="0"/>
    <m/>
    <m/>
    <m/>
    <m/>
    <m/>
    <m/>
    <n v="6075010"/>
    <n v="6119611"/>
  </r>
  <r>
    <x v="15"/>
    <x v="8"/>
    <s v="Special Line items for education operations"/>
    <m/>
    <n v="445674"/>
    <x v="8"/>
    <m/>
    <m/>
    <m/>
    <m/>
    <m/>
    <m/>
    <m/>
    <m/>
    <n v="0"/>
    <m/>
    <m/>
    <n v="0"/>
    <n v="0"/>
    <n v="0"/>
    <m/>
    <m/>
    <m/>
    <m/>
    <n v="0"/>
    <m/>
    <m/>
    <n v="0"/>
    <m/>
    <m/>
    <m/>
    <m/>
    <m/>
    <m/>
    <n v="0"/>
    <n v="0"/>
  </r>
  <r>
    <x v="15"/>
    <x v="0"/>
    <s v="Eastern West Virginia Community &amp; Technical College"/>
    <m/>
    <n v="438708"/>
    <x v="8"/>
    <n v="2094052"/>
    <n v="2100509"/>
    <m/>
    <m/>
    <m/>
    <m/>
    <n v="1363546"/>
    <m/>
    <n v="1363546"/>
    <n v="1513400"/>
    <m/>
    <n v="1513400"/>
    <n v="3457598"/>
    <n v="3613909"/>
    <m/>
    <m/>
    <m/>
    <m/>
    <n v="0"/>
    <m/>
    <m/>
    <n v="0"/>
    <m/>
    <m/>
    <m/>
    <m/>
    <m/>
    <m/>
    <n v="3457598"/>
    <n v="3613909"/>
  </r>
  <r>
    <x v="15"/>
    <x v="8"/>
    <s v="Special Line items for education operations"/>
    <m/>
    <n v="438708"/>
    <x v="8"/>
    <m/>
    <m/>
    <m/>
    <m/>
    <m/>
    <m/>
    <m/>
    <m/>
    <n v="0"/>
    <m/>
    <m/>
    <n v="0"/>
    <n v="0"/>
    <n v="0"/>
    <m/>
    <m/>
    <m/>
    <m/>
    <n v="0"/>
    <m/>
    <m/>
    <n v="0"/>
    <m/>
    <m/>
    <m/>
    <m/>
    <m/>
    <m/>
    <n v="0"/>
    <n v="0"/>
  </r>
  <r>
    <x v="15"/>
    <x v="0"/>
    <s v="Kanawha Valley Community &amp; Technical College"/>
    <m/>
    <n v="237899"/>
    <x v="8"/>
    <n v="4112421"/>
    <n v="4125664"/>
    <m/>
    <m/>
    <m/>
    <m/>
    <n v="4334941"/>
    <n v="59338"/>
    <n v="4394279"/>
    <n v="4605636"/>
    <n v="8357"/>
    <n v="4613993"/>
    <n v="8447362"/>
    <n v="8731300"/>
    <m/>
    <m/>
    <m/>
    <m/>
    <n v="0"/>
    <m/>
    <m/>
    <n v="0"/>
    <m/>
    <m/>
    <m/>
    <m/>
    <m/>
    <m/>
    <n v="8447362"/>
    <n v="8731300"/>
  </r>
  <r>
    <x v="15"/>
    <x v="8"/>
    <s v="Special Line items for education operations"/>
    <m/>
    <n v="237899"/>
    <x v="8"/>
    <m/>
    <m/>
    <m/>
    <m/>
    <m/>
    <m/>
    <m/>
    <m/>
    <n v="0"/>
    <m/>
    <m/>
    <n v="0"/>
    <n v="0"/>
    <n v="0"/>
    <m/>
    <m/>
    <m/>
    <m/>
    <n v="0"/>
    <m/>
    <m/>
    <n v="0"/>
    <m/>
    <m/>
    <m/>
    <m/>
    <m/>
    <m/>
    <n v="0"/>
    <n v="0"/>
  </r>
  <r>
    <x v="15"/>
    <x v="0"/>
    <s v="Mountwest Community &amp; Technical College"/>
    <m/>
    <n v="444954"/>
    <x v="8"/>
    <n v="6020983"/>
    <n v="6352577"/>
    <m/>
    <m/>
    <m/>
    <m/>
    <n v="7040158"/>
    <n v="434757"/>
    <n v="7474915"/>
    <n v="7499470"/>
    <n v="218380"/>
    <n v="7717850"/>
    <n v="13061141"/>
    <n v="13852047"/>
    <m/>
    <m/>
    <m/>
    <m/>
    <n v="0"/>
    <m/>
    <m/>
    <n v="0"/>
    <m/>
    <m/>
    <m/>
    <m/>
    <m/>
    <m/>
    <n v="13061141"/>
    <n v="13852047"/>
  </r>
  <r>
    <x v="15"/>
    <x v="8"/>
    <s v="Special Line items for education operations"/>
    <m/>
    <n v="444954"/>
    <x v="8"/>
    <m/>
    <m/>
    <m/>
    <m/>
    <m/>
    <m/>
    <m/>
    <m/>
    <n v="0"/>
    <m/>
    <m/>
    <n v="0"/>
    <n v="0"/>
    <n v="0"/>
    <m/>
    <m/>
    <m/>
    <m/>
    <n v="0"/>
    <m/>
    <m/>
    <n v="0"/>
    <m/>
    <m/>
    <m/>
    <m/>
    <m/>
    <m/>
    <n v="0"/>
    <n v="0"/>
  </r>
  <r>
    <x v="15"/>
    <x v="0"/>
    <s v="Southern West Virginia Community &amp; Technical College "/>
    <m/>
    <n v="237817"/>
    <x v="8"/>
    <n v="8781588"/>
    <n v="8748731"/>
    <m/>
    <m/>
    <m/>
    <m/>
    <n v="5563671"/>
    <m/>
    <n v="5563671"/>
    <n v="6085543"/>
    <m/>
    <n v="6085543"/>
    <n v="14345259"/>
    <n v="14834274"/>
    <m/>
    <m/>
    <m/>
    <m/>
    <n v="0"/>
    <m/>
    <m/>
    <n v="0"/>
    <m/>
    <m/>
    <m/>
    <m/>
    <m/>
    <m/>
    <n v="14345259"/>
    <n v="14834274"/>
  </r>
  <r>
    <x v="15"/>
    <x v="8"/>
    <s v="Special Line items for education operations"/>
    <m/>
    <n v="237817"/>
    <x v="8"/>
    <m/>
    <m/>
    <n v="480000"/>
    <n v="480000"/>
    <m/>
    <m/>
    <m/>
    <m/>
    <n v="0"/>
    <m/>
    <m/>
    <n v="0"/>
    <n v="480000"/>
    <n v="480000"/>
    <m/>
    <m/>
    <m/>
    <m/>
    <n v="0"/>
    <m/>
    <m/>
    <n v="0"/>
    <m/>
    <m/>
    <m/>
    <m/>
    <m/>
    <m/>
    <n v="480000"/>
    <n v="480000"/>
  </r>
  <r>
    <x v="15"/>
    <x v="41"/>
    <s v="West Virginia School of Osteopathic Medicine"/>
    <m/>
    <n v="237880"/>
    <x v="11"/>
    <m/>
    <m/>
    <m/>
    <m/>
    <m/>
    <m/>
    <m/>
    <m/>
    <n v="0"/>
    <s v=" "/>
    <m/>
    <n v="0"/>
    <n v="0"/>
    <n v="0"/>
    <m/>
    <m/>
    <m/>
    <m/>
    <n v="0"/>
    <m/>
    <m/>
    <n v="0"/>
    <n v="7555531"/>
    <n v="7978095"/>
    <n v="32761617"/>
    <m/>
    <n v="32851617"/>
    <m/>
    <n v="40317148"/>
    <n v="40829712"/>
  </r>
  <r>
    <x v="15"/>
    <x v="8"/>
    <s v="Special Line items for education operations"/>
    <m/>
    <n v="237880"/>
    <x v="11"/>
    <m/>
    <m/>
    <m/>
    <m/>
    <m/>
    <m/>
    <m/>
    <m/>
    <n v="0"/>
    <m/>
    <m/>
    <n v="0"/>
    <n v="0"/>
    <n v="0"/>
    <m/>
    <m/>
    <m/>
    <m/>
    <n v="0"/>
    <m/>
    <m/>
    <n v="0"/>
    <m/>
    <m/>
    <m/>
    <m/>
    <m/>
    <m/>
    <n v="0"/>
    <n v="0"/>
  </r>
  <r>
    <x v="15"/>
    <x v="8"/>
    <s v="BRIM insurance subsidy"/>
    <m/>
    <n v="237880"/>
    <x v="11"/>
    <m/>
    <m/>
    <m/>
    <m/>
    <m/>
    <m/>
    <m/>
    <m/>
    <n v="0"/>
    <m/>
    <m/>
    <n v="0"/>
    <n v="0"/>
    <n v="0"/>
    <m/>
    <m/>
    <m/>
    <m/>
    <n v="0"/>
    <m/>
    <m/>
    <n v="0"/>
    <n v="174475"/>
    <n v="174476"/>
    <m/>
    <m/>
    <m/>
    <m/>
    <n v="174475"/>
    <n v="174476"/>
  </r>
  <r>
    <x v="15"/>
    <x v="10"/>
    <s v="Statewide Special-Purpose Units"/>
    <m/>
    <m/>
    <x v="12"/>
    <m/>
    <m/>
    <m/>
    <m/>
    <m/>
    <m/>
    <m/>
    <m/>
    <n v="0"/>
    <m/>
    <m/>
    <n v="0"/>
    <n v="0"/>
    <n v="0"/>
    <m/>
    <m/>
    <m/>
    <m/>
    <n v="0"/>
    <m/>
    <m/>
    <n v="0"/>
    <m/>
    <m/>
    <m/>
    <m/>
    <m/>
    <m/>
    <n v="0"/>
    <n v="0"/>
  </r>
  <r>
    <x v="15"/>
    <x v="42"/>
    <s v="Community or public service units"/>
    <m/>
    <m/>
    <x v="12"/>
    <m/>
    <m/>
    <m/>
    <m/>
    <m/>
    <m/>
    <m/>
    <m/>
    <n v="0"/>
    <m/>
    <m/>
    <n v="0"/>
    <n v="0"/>
    <n v="0"/>
    <m/>
    <m/>
    <m/>
    <m/>
    <n v="0"/>
    <m/>
    <m/>
    <n v="0"/>
    <m/>
    <m/>
    <m/>
    <m/>
    <m/>
    <m/>
    <n v="0"/>
    <n v="0"/>
  </r>
  <r>
    <x v="15"/>
    <x v="42"/>
    <s v="Rural Health Initiative"/>
    <m/>
    <m/>
    <x v="12"/>
    <m/>
    <m/>
    <m/>
    <m/>
    <m/>
    <m/>
    <m/>
    <m/>
    <n v="0"/>
    <m/>
    <m/>
    <n v="0"/>
    <n v="0"/>
    <n v="0"/>
    <n v="2844993"/>
    <n v="2819700"/>
    <m/>
    <m/>
    <n v="0"/>
    <m/>
    <m/>
    <n v="0"/>
    <m/>
    <m/>
    <m/>
    <m/>
    <m/>
    <m/>
    <n v="2844993"/>
    <n v="2819700"/>
  </r>
  <r>
    <x v="15"/>
    <x v="42"/>
    <s v="RHI Program and Site Support - Gradutate Medical Education Fiscal Oversight"/>
    <m/>
    <m/>
    <x v="12"/>
    <m/>
    <m/>
    <m/>
    <m/>
    <m/>
    <m/>
    <m/>
    <m/>
    <n v="0"/>
    <m/>
    <m/>
    <n v="0"/>
    <n v="0"/>
    <n v="0"/>
    <n v="98709"/>
    <n v="98709"/>
    <m/>
    <m/>
    <n v="0"/>
    <m/>
    <m/>
    <n v="0"/>
    <m/>
    <m/>
    <m/>
    <m/>
    <m/>
    <m/>
    <n v="98709"/>
    <n v="98709"/>
  </r>
  <r>
    <x v="15"/>
    <x v="42"/>
    <s v="RHI Program and Site Support - District Consortia"/>
    <m/>
    <m/>
    <x v="12"/>
    <m/>
    <m/>
    <m/>
    <m/>
    <m/>
    <m/>
    <m/>
    <m/>
    <n v="0"/>
    <m/>
    <m/>
    <n v="0"/>
    <n v="0"/>
    <n v="0"/>
    <n v="2383200"/>
    <n v="2416972"/>
    <m/>
    <m/>
    <n v="0"/>
    <m/>
    <m/>
    <n v="0"/>
    <m/>
    <m/>
    <m/>
    <m/>
    <m/>
    <m/>
    <n v="2383200"/>
    <n v="2416972"/>
  </r>
  <r>
    <x v="15"/>
    <x v="44"/>
    <s v="Vice Chancellor for Health Sciences/Rural Health Program Support"/>
    <m/>
    <m/>
    <x v="12"/>
    <m/>
    <m/>
    <m/>
    <m/>
    <m/>
    <m/>
    <m/>
    <m/>
    <n v="0"/>
    <m/>
    <m/>
    <n v="0"/>
    <n v="0"/>
    <n v="0"/>
    <n v="267532"/>
    <n v="267882"/>
    <m/>
    <m/>
    <n v="0"/>
    <m/>
    <m/>
    <n v="0"/>
    <m/>
    <m/>
    <m/>
    <m/>
    <m/>
    <m/>
    <n v="267532"/>
    <n v="267882"/>
  </r>
  <r>
    <x v="15"/>
    <x v="13"/>
    <s v="Educational special purpose funds — all other"/>
    <m/>
    <m/>
    <x v="12"/>
    <m/>
    <m/>
    <m/>
    <m/>
    <m/>
    <m/>
    <m/>
    <m/>
    <n v="0"/>
    <m/>
    <m/>
    <n v="0"/>
    <n v="0"/>
    <n v="0"/>
    <m/>
    <m/>
    <m/>
    <m/>
    <n v="0"/>
    <m/>
    <m/>
    <n v="0"/>
    <m/>
    <m/>
    <m/>
    <m/>
    <m/>
    <m/>
    <n v="0"/>
    <n v="0"/>
  </r>
  <r>
    <x v="15"/>
    <x v="13"/>
    <s v="College Transition Program"/>
    <m/>
    <m/>
    <x v="12"/>
    <m/>
    <m/>
    <n v="333500"/>
    <n v="333500"/>
    <m/>
    <m/>
    <m/>
    <m/>
    <n v="0"/>
    <m/>
    <m/>
    <n v="0"/>
    <n v="333500"/>
    <n v="333500"/>
    <m/>
    <m/>
    <m/>
    <m/>
    <n v="0"/>
    <m/>
    <m/>
    <n v="0"/>
    <m/>
    <m/>
    <m/>
    <m/>
    <m/>
    <m/>
    <n v="333500"/>
    <n v="333500"/>
  </r>
  <r>
    <x v="15"/>
    <x v="13"/>
    <s v="Transit Training Partnership"/>
    <m/>
    <m/>
    <x v="12"/>
    <m/>
    <m/>
    <m/>
    <m/>
    <m/>
    <m/>
    <m/>
    <m/>
    <n v="0"/>
    <m/>
    <m/>
    <n v="0"/>
    <n v="0"/>
    <n v="0"/>
    <m/>
    <n v="80000"/>
    <m/>
    <m/>
    <n v="0"/>
    <m/>
    <m/>
    <n v="0"/>
    <m/>
    <m/>
    <m/>
    <m/>
    <m/>
    <m/>
    <n v="0"/>
    <n v="80000"/>
  </r>
  <r>
    <x v="15"/>
    <x v="13"/>
    <s v="WV Advanced Workforce Development &amp; Technical  Programs"/>
    <m/>
    <m/>
    <x v="12"/>
    <m/>
    <m/>
    <m/>
    <m/>
    <m/>
    <m/>
    <m/>
    <m/>
    <n v="0"/>
    <m/>
    <m/>
    <n v="0"/>
    <n v="0"/>
    <n v="0"/>
    <n v="6823120"/>
    <n v="6823120"/>
    <m/>
    <m/>
    <n v="0"/>
    <m/>
    <m/>
    <n v="0"/>
    <m/>
    <m/>
    <m/>
    <m/>
    <m/>
    <m/>
    <n v="6823120"/>
    <n v="6823120"/>
  </r>
  <r>
    <x v="15"/>
    <x v="14"/>
    <s v="Statewide System Operations"/>
    <m/>
    <m/>
    <x v="12"/>
    <m/>
    <m/>
    <m/>
    <m/>
    <m/>
    <m/>
    <m/>
    <m/>
    <n v="0"/>
    <m/>
    <m/>
    <n v="0"/>
    <n v="0"/>
    <n v="0"/>
    <m/>
    <m/>
    <m/>
    <m/>
    <n v="0"/>
    <m/>
    <m/>
    <n v="0"/>
    <m/>
    <m/>
    <m/>
    <m/>
    <m/>
    <m/>
    <n v="0"/>
    <n v="0"/>
  </r>
  <r>
    <x v="15"/>
    <x v="15"/>
    <s v="Colleges and universities"/>
    <m/>
    <m/>
    <x v="12"/>
    <m/>
    <m/>
    <m/>
    <m/>
    <m/>
    <m/>
    <m/>
    <m/>
    <n v="0"/>
    <m/>
    <m/>
    <n v="0"/>
    <n v="0"/>
    <n v="0"/>
    <m/>
    <m/>
    <m/>
    <m/>
    <n v="0"/>
    <m/>
    <m/>
    <n v="0"/>
    <m/>
    <m/>
    <m/>
    <m/>
    <m/>
    <m/>
    <n v="0"/>
    <n v="0"/>
  </r>
  <r>
    <x v="15"/>
    <x v="15"/>
    <s v="Higher Education Policy Commission"/>
    <m/>
    <m/>
    <x v="12"/>
    <m/>
    <m/>
    <m/>
    <m/>
    <m/>
    <m/>
    <m/>
    <m/>
    <n v="0"/>
    <m/>
    <m/>
    <n v="0"/>
    <n v="0"/>
    <n v="0"/>
    <n v="3105885"/>
    <n v="3110997"/>
    <m/>
    <m/>
    <n v="0"/>
    <m/>
    <m/>
    <n v="0"/>
    <m/>
    <m/>
    <m/>
    <m/>
    <m/>
    <m/>
    <n v="3105885"/>
    <n v="3110997"/>
  </r>
  <r>
    <x v="15"/>
    <x v="15"/>
    <s v="WV Network for Education Telecommunications Computer Center"/>
    <m/>
    <m/>
    <x v="12"/>
    <m/>
    <m/>
    <m/>
    <m/>
    <m/>
    <m/>
    <m/>
    <m/>
    <n v="0"/>
    <m/>
    <m/>
    <n v="0"/>
    <n v="0"/>
    <n v="0"/>
    <n v="1941501"/>
    <n v="1948443"/>
    <m/>
    <m/>
    <n v="0"/>
    <m/>
    <m/>
    <n v="0"/>
    <m/>
    <m/>
    <m/>
    <m/>
    <m/>
    <m/>
    <n v="1941501"/>
    <n v="1948443"/>
  </r>
  <r>
    <x v="15"/>
    <x v="16"/>
    <s v="Two-year system(s), if any"/>
    <m/>
    <m/>
    <x v="12"/>
    <m/>
    <m/>
    <m/>
    <m/>
    <m/>
    <m/>
    <m/>
    <m/>
    <n v="0"/>
    <m/>
    <m/>
    <n v="0"/>
    <n v="0"/>
    <n v="0"/>
    <m/>
    <m/>
    <m/>
    <m/>
    <n v="0"/>
    <m/>
    <m/>
    <n v="0"/>
    <m/>
    <m/>
    <m/>
    <m/>
    <m/>
    <m/>
    <n v="0"/>
    <n v="0"/>
  </r>
  <r>
    <x v="15"/>
    <x v="16"/>
    <s v="WV Council for Community &amp; Technical Education"/>
    <m/>
    <m/>
    <x v="12"/>
    <m/>
    <m/>
    <m/>
    <m/>
    <m/>
    <m/>
    <m/>
    <m/>
    <n v="0"/>
    <m/>
    <m/>
    <n v="0"/>
    <n v="0"/>
    <n v="0"/>
    <n v="862294"/>
    <n v="863576"/>
    <m/>
    <m/>
    <n v="0"/>
    <m/>
    <m/>
    <n v="0"/>
    <m/>
    <m/>
    <m/>
    <m/>
    <m/>
    <m/>
    <n v="862294"/>
    <n v="863576"/>
  </r>
  <r>
    <x v="15"/>
    <x v="17"/>
    <s v="National or regional associations, compacts or consortia"/>
    <m/>
    <m/>
    <x v="12"/>
    <m/>
    <m/>
    <m/>
    <m/>
    <m/>
    <m/>
    <m/>
    <m/>
    <n v="0"/>
    <m/>
    <m/>
    <n v="0"/>
    <n v="0"/>
    <n v="0"/>
    <m/>
    <m/>
    <m/>
    <m/>
    <n v="0"/>
    <m/>
    <m/>
    <n v="0"/>
    <m/>
    <m/>
    <m/>
    <m/>
    <m/>
    <m/>
    <n v="0"/>
    <n v="0"/>
  </r>
  <r>
    <x v="15"/>
    <x v="18"/>
    <s v="Adm. of Statewide Student Aid Progs. (incldng centralized guaranteed student loans)"/>
    <m/>
    <m/>
    <x v="12"/>
    <m/>
    <m/>
    <m/>
    <m/>
    <m/>
    <m/>
    <m/>
    <m/>
    <n v="0"/>
    <m/>
    <m/>
    <n v="0"/>
    <n v="0"/>
    <n v="0"/>
    <n v="1417067"/>
    <n v="1544258"/>
    <m/>
    <m/>
    <n v="0"/>
    <m/>
    <m/>
    <n v="0"/>
    <m/>
    <m/>
    <m/>
    <m/>
    <m/>
    <m/>
    <n v="1417067"/>
    <n v="1544258"/>
  </r>
  <r>
    <x v="15"/>
    <x v="19"/>
    <s v="State Support to Private Colleges Other Than Student Aid"/>
    <m/>
    <m/>
    <x v="12"/>
    <m/>
    <m/>
    <m/>
    <m/>
    <m/>
    <m/>
    <m/>
    <m/>
    <n v="0"/>
    <m/>
    <m/>
    <n v="0"/>
    <n v="0"/>
    <n v="0"/>
    <m/>
    <m/>
    <m/>
    <m/>
    <n v="0"/>
    <m/>
    <m/>
    <n v="0"/>
    <m/>
    <m/>
    <m/>
    <m/>
    <m/>
    <m/>
    <n v="0"/>
    <n v="0"/>
  </r>
  <r>
    <x v="15"/>
    <x v="20"/>
    <s v="Contract Education Programs"/>
    <m/>
    <m/>
    <x v="12"/>
    <m/>
    <m/>
    <m/>
    <m/>
    <m/>
    <m/>
    <m/>
    <m/>
    <n v="0"/>
    <m/>
    <m/>
    <n v="0"/>
    <n v="0"/>
    <n v="0"/>
    <m/>
    <m/>
    <m/>
    <m/>
    <n v="0"/>
    <m/>
    <m/>
    <n v="0"/>
    <m/>
    <m/>
    <m/>
    <m/>
    <m/>
    <m/>
    <n v="0"/>
    <n v="0"/>
  </r>
  <r>
    <x v="15"/>
    <x v="21"/>
    <s v="SREB contract program with private colleges"/>
    <m/>
    <m/>
    <x v="12"/>
    <m/>
    <m/>
    <m/>
    <m/>
    <m/>
    <m/>
    <m/>
    <m/>
    <n v="0"/>
    <m/>
    <m/>
    <n v="0"/>
    <n v="0"/>
    <n v="0"/>
    <m/>
    <m/>
    <m/>
    <m/>
    <n v="0"/>
    <m/>
    <m/>
    <n v="0"/>
    <m/>
    <m/>
    <m/>
    <m/>
    <m/>
    <m/>
    <n v="0"/>
    <n v="0"/>
  </r>
  <r>
    <x v="15"/>
    <x v="21"/>
    <s v="Ohio College of Podiatric Medicine"/>
    <m/>
    <m/>
    <x v="12"/>
    <m/>
    <m/>
    <m/>
    <m/>
    <m/>
    <m/>
    <m/>
    <m/>
    <n v="0"/>
    <m/>
    <m/>
    <n v="0"/>
    <n v="0"/>
    <n v="0"/>
    <n v="21188"/>
    <n v="19831"/>
    <m/>
    <m/>
    <n v="0"/>
    <m/>
    <m/>
    <n v="0"/>
    <m/>
    <m/>
    <m/>
    <m/>
    <m/>
    <m/>
    <n v="21188"/>
    <n v="19831"/>
  </r>
  <r>
    <x v="15"/>
    <x v="21"/>
    <s v="Tuskegee University (Veterinary Medicine)"/>
    <m/>
    <m/>
    <x v="12"/>
    <m/>
    <m/>
    <m/>
    <m/>
    <m/>
    <m/>
    <m/>
    <m/>
    <n v="0"/>
    <m/>
    <m/>
    <n v="0"/>
    <n v="0"/>
    <n v="0"/>
    <n v="54051"/>
    <m/>
    <m/>
    <m/>
    <n v="0"/>
    <m/>
    <m/>
    <n v="0"/>
    <m/>
    <m/>
    <m/>
    <m/>
    <m/>
    <m/>
    <n v="54051"/>
    <n v="0"/>
  </r>
  <r>
    <x v="15"/>
    <x v="21"/>
    <s v="Southern College of Optometry"/>
    <m/>
    <m/>
    <x v="12"/>
    <m/>
    <m/>
    <m/>
    <m/>
    <m/>
    <m/>
    <m/>
    <m/>
    <n v="0"/>
    <m/>
    <m/>
    <n v="0"/>
    <n v="0"/>
    <n v="0"/>
    <n v="61835"/>
    <n v="101702"/>
    <m/>
    <m/>
    <n v="0"/>
    <m/>
    <m/>
    <n v="0"/>
    <m/>
    <m/>
    <m/>
    <m/>
    <m/>
    <m/>
    <n v="61835"/>
    <n v="101702"/>
  </r>
  <r>
    <x v="15"/>
    <x v="22"/>
    <s v="SREB contract program with public colleges"/>
    <m/>
    <m/>
    <x v="12"/>
    <m/>
    <m/>
    <m/>
    <m/>
    <m/>
    <m/>
    <m/>
    <m/>
    <n v="0"/>
    <m/>
    <m/>
    <n v="0"/>
    <n v="0"/>
    <n v="0"/>
    <m/>
    <m/>
    <m/>
    <m/>
    <n v="0"/>
    <m/>
    <m/>
    <n v="0"/>
    <m/>
    <m/>
    <m/>
    <m/>
    <m/>
    <m/>
    <n v="0"/>
    <n v="0"/>
  </r>
  <r>
    <x v="15"/>
    <x v="22"/>
    <s v="University of Georgia (Veterinary Medicine)"/>
    <m/>
    <m/>
    <x v="12"/>
    <m/>
    <m/>
    <m/>
    <m/>
    <m/>
    <m/>
    <m/>
    <m/>
    <n v="0"/>
    <m/>
    <m/>
    <n v="0"/>
    <n v="0"/>
    <n v="0"/>
    <n v="621595"/>
    <n v="405235"/>
    <m/>
    <m/>
    <n v="0"/>
    <m/>
    <m/>
    <n v="0"/>
    <m/>
    <m/>
    <m/>
    <m/>
    <m/>
    <m/>
    <n v="621595"/>
    <n v="405235"/>
  </r>
  <r>
    <x v="15"/>
    <x v="22"/>
    <s v="Auburn University"/>
    <m/>
    <m/>
    <x v="12"/>
    <m/>
    <m/>
    <m/>
    <m/>
    <m/>
    <m/>
    <m/>
    <m/>
    <n v="0"/>
    <m/>
    <m/>
    <n v="0"/>
    <n v="0"/>
    <n v="0"/>
    <n v="162155"/>
    <n v="202618"/>
    <m/>
    <m/>
    <n v="0"/>
    <m/>
    <m/>
    <n v="0"/>
    <m/>
    <m/>
    <m/>
    <m/>
    <m/>
    <m/>
    <n v="162155"/>
    <n v="202618"/>
  </r>
  <r>
    <x v="15"/>
    <x v="22"/>
    <s v="Mississippi State University"/>
    <m/>
    <m/>
    <x v="12"/>
    <m/>
    <m/>
    <m/>
    <m/>
    <m/>
    <m/>
    <m/>
    <m/>
    <n v="0"/>
    <m/>
    <m/>
    <n v="0"/>
    <n v="0"/>
    <n v="0"/>
    <n v="405388"/>
    <n v="506544"/>
    <m/>
    <m/>
    <n v="0"/>
    <m/>
    <m/>
    <n v="0"/>
    <m/>
    <m/>
    <m/>
    <m/>
    <m/>
    <m/>
    <n v="405388"/>
    <n v="506544"/>
  </r>
  <r>
    <x v="15"/>
    <x v="22"/>
    <s v="UAB Birmingham (IL)"/>
    <m/>
    <m/>
    <x v="12"/>
    <m/>
    <m/>
    <m/>
    <m/>
    <m/>
    <m/>
    <m/>
    <m/>
    <n v="0"/>
    <m/>
    <m/>
    <n v="0"/>
    <n v="0"/>
    <n v="0"/>
    <n v="30918"/>
    <n v="14529"/>
    <m/>
    <m/>
    <n v="0"/>
    <m/>
    <m/>
    <n v="0"/>
    <m/>
    <m/>
    <m/>
    <m/>
    <m/>
    <m/>
    <n v="30918"/>
    <n v="14529"/>
  </r>
  <r>
    <x v="15"/>
    <x v="23"/>
    <s v="Other contract education programs"/>
    <m/>
    <m/>
    <x v="12"/>
    <m/>
    <m/>
    <m/>
    <m/>
    <m/>
    <m/>
    <m/>
    <m/>
    <n v="0"/>
    <m/>
    <m/>
    <n v="0"/>
    <n v="0"/>
    <n v="0"/>
    <n v="88860"/>
    <n v="195549"/>
    <m/>
    <m/>
    <n v="0"/>
    <m/>
    <m/>
    <n v="0"/>
    <m/>
    <m/>
    <m/>
    <m/>
    <m/>
    <m/>
    <n v="88860"/>
    <n v="195549"/>
  </r>
  <r>
    <x v="15"/>
    <x v="24"/>
    <s v="Statewide Student Financial Aid Programs Administered Off Campus"/>
    <m/>
    <m/>
    <x v="12"/>
    <m/>
    <m/>
    <m/>
    <m/>
    <m/>
    <m/>
    <m/>
    <m/>
    <n v="0"/>
    <m/>
    <m/>
    <n v="0"/>
    <n v="0"/>
    <n v="0"/>
    <m/>
    <m/>
    <m/>
    <m/>
    <n v="0"/>
    <m/>
    <m/>
    <n v="0"/>
    <m/>
    <m/>
    <m/>
    <m/>
    <m/>
    <m/>
    <n v="0"/>
    <n v="0"/>
  </r>
  <r>
    <x v="15"/>
    <x v="25"/>
    <s v="Available to public &amp; private sector students"/>
    <m/>
    <m/>
    <x v="12"/>
    <m/>
    <m/>
    <m/>
    <m/>
    <m/>
    <m/>
    <m/>
    <m/>
    <n v="0"/>
    <m/>
    <m/>
    <n v="0"/>
    <n v="0"/>
    <n v="0"/>
    <m/>
    <m/>
    <m/>
    <m/>
    <n v="0"/>
    <m/>
    <m/>
    <n v="0"/>
    <m/>
    <m/>
    <m/>
    <m/>
    <m/>
    <m/>
    <n v="0"/>
    <n v="0"/>
  </r>
  <r>
    <x v="15"/>
    <x v="25"/>
    <s v="Higher Education Grant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n v="32338634"/>
    <n v="33365503"/>
    <m/>
    <m/>
    <n v="0"/>
    <m/>
    <m/>
    <n v="0"/>
    <m/>
    <m/>
    <m/>
    <m/>
    <m/>
    <m/>
    <n v="32338634"/>
    <n v="33365503"/>
  </r>
  <r>
    <x v="15"/>
    <x v="30"/>
    <s v="Non need-based"/>
    <m/>
    <m/>
    <x v="12"/>
    <m/>
    <m/>
    <m/>
    <m/>
    <m/>
    <m/>
    <m/>
    <m/>
    <n v="0"/>
    <m/>
    <m/>
    <n v="0"/>
    <n v="0"/>
    <n v="0"/>
    <m/>
    <m/>
    <m/>
    <m/>
    <n v="0"/>
    <m/>
    <m/>
    <n v="0"/>
    <m/>
    <m/>
    <m/>
    <m/>
    <m/>
    <m/>
    <n v="0"/>
    <n v="0"/>
  </r>
  <r>
    <x v="15"/>
    <x v="31"/>
    <s v="Amount to private sector students"/>
    <m/>
    <m/>
    <x v="12"/>
    <m/>
    <m/>
    <m/>
    <m/>
    <m/>
    <m/>
    <m/>
    <m/>
    <n v="0"/>
    <m/>
    <m/>
    <n v="0"/>
    <n v="0"/>
    <n v="0"/>
    <m/>
    <m/>
    <m/>
    <m/>
    <n v="0"/>
    <m/>
    <m/>
    <n v="0"/>
    <m/>
    <m/>
    <m/>
    <m/>
    <m/>
    <m/>
    <n v="0"/>
    <n v="0"/>
  </r>
  <r>
    <x v="15"/>
    <x v="32"/>
    <s v="Need-based"/>
    <m/>
    <m/>
    <x v="12"/>
    <m/>
    <m/>
    <m/>
    <m/>
    <m/>
    <m/>
    <m/>
    <m/>
    <n v="0"/>
    <m/>
    <m/>
    <n v="0"/>
    <n v="0"/>
    <n v="0"/>
    <n v="5935502"/>
    <n v="4838293"/>
    <m/>
    <m/>
    <n v="0"/>
    <m/>
    <m/>
    <n v="0"/>
    <m/>
    <m/>
    <m/>
    <m/>
    <m/>
    <m/>
    <n v="5935502"/>
    <n v="4838293"/>
  </r>
  <r>
    <x v="15"/>
    <x v="33"/>
    <s v="Non need-based"/>
    <m/>
    <m/>
    <x v="12"/>
    <m/>
    <m/>
    <m/>
    <m/>
    <m/>
    <m/>
    <m/>
    <m/>
    <n v="0"/>
    <m/>
    <m/>
    <n v="0"/>
    <n v="0"/>
    <n v="0"/>
    <m/>
    <m/>
    <m/>
    <m/>
    <n v="0"/>
    <m/>
    <m/>
    <n v="0"/>
    <m/>
    <m/>
    <m/>
    <m/>
    <m/>
    <m/>
    <n v="0"/>
    <n v="0"/>
  </r>
  <r>
    <x v="15"/>
    <x v="25"/>
    <s v="PROMISE Scholarship"/>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42415285"/>
    <n v="42442641"/>
    <m/>
    <m/>
    <n v="0"/>
    <m/>
    <m/>
    <n v="0"/>
    <m/>
    <m/>
    <m/>
    <m/>
    <m/>
    <m/>
    <n v="42415285"/>
    <n v="42442641"/>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4601151"/>
    <n v="4529854"/>
    <m/>
    <m/>
    <n v="0"/>
    <m/>
    <m/>
    <n v="0"/>
    <m/>
    <m/>
    <m/>
    <m/>
    <m/>
    <m/>
    <n v="4601151"/>
    <n v="4529854"/>
  </r>
  <r>
    <x v="15"/>
    <x v="25"/>
    <s v="SREB Minority Doctoral Fellows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n v="150000"/>
    <n v="150000"/>
    <m/>
    <m/>
    <n v="0"/>
    <m/>
    <m/>
    <n v="0"/>
    <m/>
    <m/>
    <m/>
    <m/>
    <m/>
    <m/>
    <n v="150000"/>
    <n v="150000"/>
  </r>
  <r>
    <x v="15"/>
    <x v="30"/>
    <s v="Non need-based"/>
    <m/>
    <m/>
    <x v="12"/>
    <m/>
    <m/>
    <m/>
    <m/>
    <m/>
    <m/>
    <m/>
    <m/>
    <n v="0"/>
    <m/>
    <m/>
    <n v="0"/>
    <n v="0"/>
    <n v="0"/>
    <m/>
    <m/>
    <m/>
    <m/>
    <n v="0"/>
    <m/>
    <m/>
    <n v="0"/>
    <m/>
    <m/>
    <m/>
    <m/>
    <m/>
    <m/>
    <n v="0"/>
    <n v="0"/>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m/>
    <m/>
    <m/>
    <m/>
    <n v="0"/>
    <m/>
    <m/>
    <n v="0"/>
    <m/>
    <m/>
    <m/>
    <m/>
    <m/>
    <m/>
    <n v="0"/>
    <n v="0"/>
  </r>
  <r>
    <x v="15"/>
    <x v="25"/>
    <s v="Underwood-Smith Teacher Scholarship Fund"/>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133295"/>
    <n v="125883"/>
    <m/>
    <m/>
    <n v="0"/>
    <m/>
    <m/>
    <n v="0"/>
    <m/>
    <m/>
    <m/>
    <m/>
    <m/>
    <m/>
    <n v="133295"/>
    <n v="125883"/>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7847"/>
    <n v="15259"/>
    <m/>
    <m/>
    <n v="0"/>
    <m/>
    <m/>
    <n v="0"/>
    <m/>
    <m/>
    <m/>
    <m/>
    <m/>
    <m/>
    <n v="7847"/>
    <n v="15259"/>
  </r>
  <r>
    <x v="15"/>
    <x v="25"/>
    <s v="WV Engineering Science Technology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428413"/>
    <n v="431711"/>
    <m/>
    <m/>
    <n v="0"/>
    <m/>
    <m/>
    <n v="0"/>
    <m/>
    <m/>
    <m/>
    <m/>
    <m/>
    <m/>
    <n v="428413"/>
    <n v="431711"/>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42060"/>
    <n v="38762"/>
    <m/>
    <m/>
    <n v="0"/>
    <m/>
    <m/>
    <n v="0"/>
    <m/>
    <m/>
    <m/>
    <m/>
    <m/>
    <m/>
    <n v="42060"/>
    <n v="38762"/>
  </r>
  <r>
    <x v="15"/>
    <x v="25"/>
    <s v="Health Sciences Scholarship Fund"/>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191109"/>
    <n v="251542"/>
    <m/>
    <m/>
    <n v="0"/>
    <m/>
    <m/>
    <n v="0"/>
    <m/>
    <m/>
    <m/>
    <m/>
    <m/>
    <m/>
    <n v="191109"/>
    <n v="251542"/>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60350"/>
    <n v="0"/>
    <m/>
    <m/>
    <n v="0"/>
    <m/>
    <m/>
    <n v="0"/>
    <m/>
    <m/>
    <m/>
    <m/>
    <m/>
    <m/>
    <n v="60350"/>
    <n v="0"/>
  </r>
  <r>
    <x v="15"/>
    <x v="25"/>
    <s v="HEAPS Grant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n v="3725686"/>
    <n v="3753334"/>
    <m/>
    <m/>
    <n v="0"/>
    <m/>
    <m/>
    <n v="0"/>
    <m/>
    <m/>
    <m/>
    <m/>
    <m/>
    <m/>
    <n v="3725686"/>
    <n v="3753334"/>
  </r>
  <r>
    <x v="15"/>
    <x v="30"/>
    <s v="Non need-based"/>
    <m/>
    <m/>
    <x v="12"/>
    <m/>
    <m/>
    <m/>
    <m/>
    <m/>
    <m/>
    <m/>
    <m/>
    <n v="0"/>
    <m/>
    <m/>
    <n v="0"/>
    <n v="0"/>
    <n v="0"/>
    <m/>
    <m/>
    <m/>
    <m/>
    <n v="0"/>
    <m/>
    <m/>
    <n v="0"/>
    <m/>
    <m/>
    <m/>
    <m/>
    <m/>
    <m/>
    <n v="0"/>
    <n v="0"/>
  </r>
  <r>
    <x v="15"/>
    <x v="31"/>
    <s v="Amount to private sector students"/>
    <m/>
    <m/>
    <x v="12"/>
    <m/>
    <m/>
    <m/>
    <m/>
    <m/>
    <m/>
    <m/>
    <m/>
    <n v="0"/>
    <m/>
    <m/>
    <n v="0"/>
    <n v="0"/>
    <n v="0"/>
    <m/>
    <m/>
    <m/>
    <m/>
    <n v="0"/>
    <m/>
    <m/>
    <n v="0"/>
    <m/>
    <m/>
    <m/>
    <m/>
    <m/>
    <m/>
    <n v="0"/>
    <n v="0"/>
  </r>
  <r>
    <x v="15"/>
    <x v="32"/>
    <s v="Need-based"/>
    <m/>
    <m/>
    <x v="12"/>
    <m/>
    <m/>
    <m/>
    <m/>
    <m/>
    <m/>
    <m/>
    <m/>
    <n v="0"/>
    <m/>
    <m/>
    <n v="0"/>
    <n v="0"/>
    <n v="0"/>
    <n v="1091964"/>
    <n v="1051668"/>
    <m/>
    <m/>
    <n v="0"/>
    <m/>
    <m/>
    <n v="0"/>
    <m/>
    <m/>
    <m/>
    <m/>
    <m/>
    <m/>
    <n v="1091964"/>
    <n v="1051668"/>
  </r>
  <r>
    <x v="15"/>
    <x v="33"/>
    <s v="Non need-based"/>
    <m/>
    <m/>
    <x v="12"/>
    <m/>
    <m/>
    <m/>
    <m/>
    <m/>
    <m/>
    <m/>
    <m/>
    <n v="0"/>
    <m/>
    <m/>
    <n v="0"/>
    <n v="0"/>
    <n v="0"/>
    <m/>
    <m/>
    <m/>
    <m/>
    <n v="0"/>
    <m/>
    <m/>
    <n v="0"/>
    <m/>
    <m/>
    <m/>
    <m/>
    <m/>
    <m/>
    <n v="0"/>
    <n v="0"/>
  </r>
  <r>
    <x v="15"/>
    <x v="34"/>
    <s v="Limited to public college students only"/>
    <m/>
    <m/>
    <x v="12"/>
    <m/>
    <m/>
    <m/>
    <m/>
    <m/>
    <m/>
    <m/>
    <m/>
    <n v="0"/>
    <m/>
    <m/>
    <n v="0"/>
    <n v="0"/>
    <n v="0"/>
    <m/>
    <m/>
    <m/>
    <m/>
    <n v="0"/>
    <m/>
    <m/>
    <n v="0"/>
    <m/>
    <m/>
    <m/>
    <m/>
    <m/>
    <m/>
    <n v="0"/>
    <n v="0"/>
  </r>
  <r>
    <x v="15"/>
    <x v="35"/>
    <s v="Need-based"/>
    <m/>
    <m/>
    <x v="12"/>
    <m/>
    <m/>
    <m/>
    <m/>
    <m/>
    <m/>
    <m/>
    <m/>
    <n v="0"/>
    <m/>
    <m/>
    <n v="0"/>
    <n v="0"/>
    <n v="0"/>
    <m/>
    <m/>
    <m/>
    <m/>
    <n v="0"/>
    <m/>
    <m/>
    <n v="0"/>
    <m/>
    <m/>
    <m/>
    <m/>
    <m/>
    <m/>
    <n v="0"/>
    <n v="0"/>
  </r>
  <r>
    <x v="15"/>
    <x v="36"/>
    <s v="Non need-based"/>
    <m/>
    <m/>
    <x v="12"/>
    <m/>
    <m/>
    <m/>
    <m/>
    <m/>
    <m/>
    <m/>
    <m/>
    <n v="0"/>
    <m/>
    <m/>
    <n v="0"/>
    <n v="0"/>
    <n v="0"/>
    <m/>
    <m/>
    <m/>
    <m/>
    <n v="0"/>
    <m/>
    <m/>
    <n v="0"/>
    <m/>
    <m/>
    <m/>
    <m/>
    <m/>
    <m/>
    <n v="0"/>
    <n v="0"/>
  </r>
  <r>
    <x v="15"/>
    <x v="34"/>
    <s v="Limited to private college students only"/>
    <m/>
    <m/>
    <x v="12"/>
    <m/>
    <m/>
    <m/>
    <m/>
    <m/>
    <m/>
    <m/>
    <m/>
    <n v="0"/>
    <m/>
    <m/>
    <n v="0"/>
    <n v="0"/>
    <n v="0"/>
    <m/>
    <m/>
    <m/>
    <m/>
    <n v="0"/>
    <m/>
    <m/>
    <n v="0"/>
    <m/>
    <m/>
    <m/>
    <m/>
    <m/>
    <m/>
    <n v="0"/>
    <n v="0"/>
  </r>
  <r>
    <x v="15"/>
    <x v="35"/>
    <s v="Need-based"/>
    <m/>
    <m/>
    <x v="12"/>
    <m/>
    <m/>
    <m/>
    <m/>
    <m/>
    <m/>
    <m/>
    <m/>
    <n v="0"/>
    <m/>
    <m/>
    <n v="0"/>
    <n v="0"/>
    <n v="0"/>
    <m/>
    <m/>
    <m/>
    <m/>
    <n v="0"/>
    <m/>
    <m/>
    <n v="0"/>
    <m/>
    <m/>
    <m/>
    <m/>
    <m/>
    <m/>
    <n v="0"/>
    <n v="0"/>
  </r>
  <r>
    <x v="15"/>
    <x v="36"/>
    <s v="Non need-based"/>
    <m/>
    <m/>
    <x v="12"/>
    <m/>
    <m/>
    <m/>
    <m/>
    <m/>
    <m/>
    <m/>
    <m/>
    <n v="0"/>
    <m/>
    <m/>
    <n v="0"/>
    <n v="0"/>
    <n v="0"/>
    <m/>
    <m/>
    <m/>
    <m/>
    <n v="0"/>
    <m/>
    <m/>
    <n v="0"/>
    <m/>
    <m/>
    <m/>
    <m/>
    <m/>
    <m/>
    <n v="0"/>
    <n v="0"/>
  </r>
</pivotCacheRecords>
</file>

<file path=xl/pivotCache/pivotCacheRecords2.xml><?xml version="1.0" encoding="utf-8"?>
<pivotCacheRecords xmlns="http://schemas.openxmlformats.org/spreadsheetml/2006/main" xmlns:r="http://schemas.openxmlformats.org/officeDocument/2006/relationships" count="3274">
  <r>
    <x v="0"/>
    <x v="0"/>
    <s v="Auburn University  "/>
    <m/>
    <n v="100858"/>
    <x v="0"/>
    <n v="139723512"/>
    <n v="139188769"/>
    <m/>
    <m/>
    <m/>
    <m/>
    <n v="357523761"/>
    <n v="26470480"/>
    <n v="383994241"/>
    <n v="329087976"/>
    <n v="25910152"/>
    <n v="354998128"/>
    <n v="497247273"/>
    <n v="468276745"/>
    <m/>
    <m/>
    <m/>
    <m/>
    <n v="0"/>
    <m/>
    <m/>
    <n v="0"/>
    <m/>
    <m/>
    <m/>
    <m/>
    <m/>
    <m/>
    <n v="497247273"/>
    <n v="468276745"/>
  </r>
  <r>
    <x v="0"/>
    <x v="1"/>
    <s v="Health Professions Education"/>
    <m/>
    <n v="100858"/>
    <x v="0"/>
    <m/>
    <m/>
    <m/>
    <m/>
    <m/>
    <m/>
    <m/>
    <m/>
    <n v="0"/>
    <m/>
    <m/>
    <n v="0"/>
    <n v="0"/>
    <n v="0"/>
    <m/>
    <m/>
    <m/>
    <m/>
    <n v="0"/>
    <m/>
    <m/>
    <n v="0"/>
    <m/>
    <m/>
    <m/>
    <m/>
    <m/>
    <m/>
    <n v="0"/>
    <n v="0"/>
  </r>
  <r>
    <x v="0"/>
    <x v="1"/>
    <s v="Veterinary School"/>
    <m/>
    <n v="100858"/>
    <x v="0"/>
    <m/>
    <m/>
    <m/>
    <m/>
    <m/>
    <m/>
    <m/>
    <m/>
    <n v="0"/>
    <m/>
    <m/>
    <n v="0"/>
    <n v="0"/>
    <n v="0"/>
    <m/>
    <m/>
    <m/>
    <m/>
    <n v="0"/>
    <m/>
    <m/>
    <n v="0"/>
    <n v="18233022"/>
    <n v="19697682"/>
    <n v="19858692"/>
    <m/>
    <n v="24000000"/>
    <m/>
    <n v="38091714"/>
    <n v="43697682"/>
  </r>
  <r>
    <x v="0"/>
    <x v="2"/>
    <s v="Educational Special-Purpose funds to public campuses"/>
    <m/>
    <n v="100858"/>
    <x v="0"/>
    <m/>
    <m/>
    <m/>
    <m/>
    <m/>
    <m/>
    <m/>
    <m/>
    <n v="0"/>
    <m/>
    <m/>
    <n v="0"/>
    <n v="0"/>
    <n v="0"/>
    <m/>
    <m/>
    <m/>
    <m/>
    <n v="0"/>
    <m/>
    <m/>
    <n v="0"/>
    <m/>
    <m/>
    <m/>
    <m/>
    <m/>
    <m/>
    <n v="0"/>
    <n v="0"/>
  </r>
  <r>
    <x v="0"/>
    <x v="3"/>
    <s v="Community or public service units"/>
    <m/>
    <n v="100858"/>
    <x v="0"/>
    <m/>
    <m/>
    <m/>
    <m/>
    <m/>
    <m/>
    <m/>
    <m/>
    <n v="0"/>
    <m/>
    <m/>
    <n v="0"/>
    <n v="0"/>
    <n v="0"/>
    <m/>
    <m/>
    <m/>
    <m/>
    <n v="0"/>
    <m/>
    <m/>
    <n v="0"/>
    <m/>
    <m/>
    <m/>
    <m/>
    <m/>
    <m/>
    <n v="0"/>
    <n v="0"/>
  </r>
  <r>
    <x v="0"/>
    <x v="4"/>
    <s v="Non-credit continuing education"/>
    <m/>
    <n v="100858"/>
    <x v="0"/>
    <m/>
    <m/>
    <m/>
    <m/>
    <m/>
    <m/>
    <m/>
    <m/>
    <n v="0"/>
    <m/>
    <m/>
    <n v="0"/>
    <n v="0"/>
    <n v="0"/>
    <m/>
    <m/>
    <m/>
    <m/>
    <n v="0"/>
    <m/>
    <m/>
    <n v="0"/>
    <m/>
    <m/>
    <m/>
    <m/>
    <m/>
    <m/>
    <n v="0"/>
    <n v="0"/>
  </r>
  <r>
    <x v="0"/>
    <x v="4"/>
    <s v="Teacher In-service Center"/>
    <m/>
    <n v="100858"/>
    <x v="0"/>
    <m/>
    <m/>
    <n v="223264"/>
    <n v="223264"/>
    <m/>
    <m/>
    <m/>
    <m/>
    <n v="0"/>
    <m/>
    <m/>
    <n v="0"/>
    <n v="223264"/>
    <n v="223264"/>
    <m/>
    <m/>
    <m/>
    <m/>
    <n v="0"/>
    <m/>
    <m/>
    <n v="0"/>
    <m/>
    <m/>
    <m/>
    <m/>
    <m/>
    <m/>
    <n v="223264"/>
    <n v="223264"/>
  </r>
  <r>
    <x v="0"/>
    <x v="5"/>
    <s v="Agricultural cooperative extension"/>
    <m/>
    <n v="100858"/>
    <x v="0"/>
    <m/>
    <m/>
    <n v="31621552"/>
    <n v="32044401"/>
    <m/>
    <m/>
    <m/>
    <m/>
    <n v="0"/>
    <m/>
    <m/>
    <n v="0"/>
    <n v="31621552"/>
    <n v="32044401"/>
    <m/>
    <m/>
    <m/>
    <m/>
    <n v="0"/>
    <m/>
    <m/>
    <n v="0"/>
    <m/>
    <m/>
    <m/>
    <m/>
    <m/>
    <m/>
    <n v="31621552"/>
    <n v="32044401"/>
  </r>
  <r>
    <x v="0"/>
    <x v="6"/>
    <s v="Agricultural experiment stations"/>
    <m/>
    <n v="100858"/>
    <x v="0"/>
    <m/>
    <m/>
    <n v="30622954"/>
    <n v="30634258"/>
    <m/>
    <m/>
    <m/>
    <m/>
    <n v="0"/>
    <m/>
    <m/>
    <n v="0"/>
    <n v="30622954"/>
    <n v="30634258"/>
    <m/>
    <m/>
    <m/>
    <m/>
    <n v="0"/>
    <m/>
    <m/>
    <n v="0"/>
    <m/>
    <m/>
    <m/>
    <m/>
    <m/>
    <m/>
    <n v="30622954"/>
    <n v="30634258"/>
  </r>
  <r>
    <x v="0"/>
    <x v="7"/>
    <s v="Research centers/institutes"/>
    <m/>
    <n v="100858"/>
    <x v="0"/>
    <m/>
    <m/>
    <m/>
    <m/>
    <m/>
    <m/>
    <m/>
    <m/>
    <n v="0"/>
    <m/>
    <m/>
    <n v="0"/>
    <n v="0"/>
    <n v="0"/>
    <m/>
    <m/>
    <m/>
    <m/>
    <n v="0"/>
    <m/>
    <m/>
    <n v="0"/>
    <m/>
    <m/>
    <m/>
    <m/>
    <m/>
    <m/>
    <n v="0"/>
    <n v="0"/>
  </r>
  <r>
    <x v="0"/>
    <x v="7"/>
    <s v="Cyber Security Center"/>
    <m/>
    <n v="100858"/>
    <x v="0"/>
    <m/>
    <m/>
    <m/>
    <n v="1000000"/>
    <m/>
    <m/>
    <m/>
    <m/>
    <n v="0"/>
    <m/>
    <m/>
    <n v="0"/>
    <n v="0"/>
    <n v="1000000"/>
    <m/>
    <m/>
    <m/>
    <m/>
    <n v="0"/>
    <m/>
    <m/>
    <n v="0"/>
    <m/>
    <m/>
    <m/>
    <m/>
    <m/>
    <m/>
    <n v="0"/>
    <n v="1000000"/>
  </r>
  <r>
    <x v="0"/>
    <x v="0"/>
    <s v="University of Alabama "/>
    <m/>
    <n v="100751"/>
    <x v="0"/>
    <n v="132149947"/>
    <n v="132891068"/>
    <m/>
    <m/>
    <m/>
    <m/>
    <n v="567384459"/>
    <n v="3029139"/>
    <n v="570413598"/>
    <n v="542956564"/>
    <n v="3029139"/>
    <n v="545985703"/>
    <n v="699534406"/>
    <n v="675847632"/>
    <m/>
    <m/>
    <m/>
    <m/>
    <n v="0"/>
    <m/>
    <m/>
    <n v="0"/>
    <m/>
    <m/>
    <m/>
    <m/>
    <m/>
    <m/>
    <n v="699534406"/>
    <n v="675847632"/>
  </r>
  <r>
    <x v="0"/>
    <x v="1"/>
    <s v="Health Center"/>
    <m/>
    <n v="100751"/>
    <x v="0"/>
    <m/>
    <m/>
    <m/>
    <m/>
    <m/>
    <m/>
    <m/>
    <m/>
    <n v="0"/>
    <m/>
    <m/>
    <n v="0"/>
    <n v="0"/>
    <n v="0"/>
    <m/>
    <m/>
    <m/>
    <m/>
    <n v="0"/>
    <m/>
    <m/>
    <n v="0"/>
    <n v="9453297"/>
    <n v="9900246"/>
    <n v="1606920"/>
    <m/>
    <n v="1683130"/>
    <m/>
    <n v="11060217"/>
    <n v="11583376"/>
  </r>
  <r>
    <x v="0"/>
    <x v="3"/>
    <s v="Community or public service units"/>
    <m/>
    <n v="100751"/>
    <x v="0"/>
    <m/>
    <m/>
    <m/>
    <m/>
    <m/>
    <m/>
    <m/>
    <m/>
    <n v="0"/>
    <m/>
    <m/>
    <n v="0"/>
    <n v="0"/>
    <n v="0"/>
    <m/>
    <m/>
    <m/>
    <m/>
    <n v="0"/>
    <m/>
    <m/>
    <n v="0"/>
    <m/>
    <m/>
    <m/>
    <m/>
    <m/>
    <m/>
    <n v="0"/>
    <n v="0"/>
  </r>
  <r>
    <x v="0"/>
    <x v="3"/>
    <s v="AL Center for Civic Life"/>
    <m/>
    <n v="100751"/>
    <x v="0"/>
    <m/>
    <m/>
    <n v="95000"/>
    <n v="95000"/>
    <m/>
    <m/>
    <m/>
    <m/>
    <n v="0"/>
    <m/>
    <m/>
    <n v="0"/>
    <n v="95000"/>
    <n v="95000"/>
    <m/>
    <m/>
    <m/>
    <m/>
    <n v="0"/>
    <m/>
    <m/>
    <n v="0"/>
    <m/>
    <m/>
    <m/>
    <m/>
    <m/>
    <m/>
    <n v="95000"/>
    <n v="95000"/>
  </r>
  <r>
    <x v="0"/>
    <x v="3"/>
    <s v="Small Business Institute of Commerce"/>
    <m/>
    <n v="100751"/>
    <x v="0"/>
    <m/>
    <m/>
    <n v="596600"/>
    <n v="786600"/>
    <m/>
    <m/>
    <m/>
    <m/>
    <n v="0"/>
    <m/>
    <m/>
    <n v="0"/>
    <n v="596600"/>
    <n v="786600"/>
    <m/>
    <m/>
    <m/>
    <m/>
    <n v="0"/>
    <m/>
    <m/>
    <n v="0"/>
    <m/>
    <m/>
    <m/>
    <m/>
    <m/>
    <m/>
    <n v="596600"/>
    <n v="786600"/>
  </r>
  <r>
    <x v="0"/>
    <x v="3"/>
    <s v="Special Outreach PGM"/>
    <m/>
    <n v="100751"/>
    <x v="0"/>
    <m/>
    <m/>
    <n v="95000"/>
    <n v="95000"/>
    <m/>
    <m/>
    <m/>
    <m/>
    <n v="0"/>
    <m/>
    <m/>
    <n v="0"/>
    <n v="95000"/>
    <n v="95000"/>
    <m/>
    <m/>
    <m/>
    <m/>
    <n v="0"/>
    <m/>
    <m/>
    <n v="0"/>
    <m/>
    <m/>
    <m/>
    <m/>
    <m/>
    <m/>
    <n v="95000"/>
    <n v="95000"/>
  </r>
  <r>
    <x v="0"/>
    <x v="7"/>
    <s v="Institute for Automotive Eng"/>
    <m/>
    <n v="100751"/>
    <x v="0"/>
    <m/>
    <m/>
    <n v="500000"/>
    <n v="1000000"/>
    <m/>
    <m/>
    <m/>
    <m/>
    <n v="0"/>
    <m/>
    <m/>
    <n v="0"/>
    <n v="500000"/>
    <n v="1000000"/>
    <m/>
    <m/>
    <m/>
    <m/>
    <n v="0"/>
    <m/>
    <m/>
    <n v="0"/>
    <m/>
    <m/>
    <m/>
    <m/>
    <m/>
    <m/>
    <n v="500000"/>
    <n v="1000000"/>
  </r>
  <r>
    <x v="0"/>
    <x v="3"/>
    <s v="Trails Commission"/>
    <m/>
    <n v="100751"/>
    <x v="0"/>
    <m/>
    <m/>
    <n v="95000"/>
    <n v="95000"/>
    <m/>
    <m/>
    <m/>
    <m/>
    <n v="0"/>
    <m/>
    <m/>
    <n v="0"/>
    <n v="95000"/>
    <n v="95000"/>
    <m/>
    <m/>
    <m/>
    <m/>
    <n v="0"/>
    <m/>
    <m/>
    <n v="0"/>
    <m/>
    <m/>
    <m/>
    <m/>
    <m/>
    <m/>
    <n v="95000"/>
    <n v="95000"/>
  </r>
  <r>
    <x v="0"/>
    <x v="3"/>
    <s v="Ctr fot Ethics &amp; Social Responsibility"/>
    <m/>
    <n v="100751"/>
    <x v="0"/>
    <m/>
    <m/>
    <n v="250000"/>
    <m/>
    <m/>
    <m/>
    <m/>
    <m/>
    <n v="0"/>
    <m/>
    <m/>
    <n v="0"/>
    <n v="250000"/>
    <n v="0"/>
    <m/>
    <m/>
    <m/>
    <m/>
    <n v="0"/>
    <m/>
    <m/>
    <n v="0"/>
    <m/>
    <m/>
    <m/>
    <m/>
    <m/>
    <m/>
    <n v="250000"/>
    <n v="0"/>
  </r>
  <r>
    <x v="0"/>
    <x v="4"/>
    <s v="Non-credit continuing education"/>
    <m/>
    <n v="100751"/>
    <x v="0"/>
    <m/>
    <m/>
    <m/>
    <m/>
    <m/>
    <m/>
    <m/>
    <m/>
    <n v="0"/>
    <m/>
    <m/>
    <n v="0"/>
    <n v="0"/>
    <n v="0"/>
    <m/>
    <m/>
    <m/>
    <m/>
    <n v="0"/>
    <m/>
    <m/>
    <n v="0"/>
    <m/>
    <m/>
    <m/>
    <m/>
    <m/>
    <m/>
    <n v="0"/>
    <n v="0"/>
  </r>
  <r>
    <x v="0"/>
    <x v="4"/>
    <s v="Teacher In-service Center"/>
    <m/>
    <n v="100751"/>
    <x v="0"/>
    <m/>
    <m/>
    <n v="203625"/>
    <n v="203625"/>
    <m/>
    <m/>
    <m/>
    <m/>
    <n v="0"/>
    <m/>
    <m/>
    <n v="0"/>
    <n v="203625"/>
    <n v="203625"/>
    <m/>
    <m/>
    <m/>
    <m/>
    <n v="0"/>
    <m/>
    <m/>
    <n v="0"/>
    <m/>
    <m/>
    <m/>
    <m/>
    <m/>
    <m/>
    <n v="203625"/>
    <n v="203625"/>
  </r>
  <r>
    <x v="0"/>
    <x v="7"/>
    <s v="Research centers/institutes"/>
    <m/>
    <n v="100751"/>
    <x v="0"/>
    <m/>
    <m/>
    <m/>
    <m/>
    <m/>
    <m/>
    <m/>
    <m/>
    <n v="0"/>
    <m/>
    <m/>
    <n v="0"/>
    <n v="0"/>
    <n v="0"/>
    <m/>
    <m/>
    <m/>
    <m/>
    <n v="0"/>
    <m/>
    <m/>
    <n v="0"/>
    <m/>
    <m/>
    <m/>
    <m/>
    <m/>
    <m/>
    <n v="0"/>
    <n v="0"/>
  </r>
  <r>
    <x v="0"/>
    <x v="7"/>
    <s v="Insurance Info &amp; Res Ctr"/>
    <m/>
    <n v="100751"/>
    <x v="0"/>
    <m/>
    <m/>
    <n v="1000000"/>
    <n v="1000000"/>
    <m/>
    <m/>
    <m/>
    <m/>
    <n v="0"/>
    <m/>
    <m/>
    <n v="0"/>
    <n v="1000000"/>
    <n v="1000000"/>
    <m/>
    <m/>
    <m/>
    <m/>
    <n v="0"/>
    <m/>
    <m/>
    <n v="0"/>
    <m/>
    <m/>
    <m/>
    <m/>
    <m/>
    <m/>
    <n v="1000000"/>
    <n v="1000000"/>
  </r>
  <r>
    <x v="0"/>
    <x v="7"/>
    <s v="Water Resource Center"/>
    <m/>
    <n v="100751"/>
    <x v="0"/>
    <m/>
    <m/>
    <m/>
    <n v="360000"/>
    <m/>
    <m/>
    <m/>
    <m/>
    <n v="0"/>
    <m/>
    <m/>
    <n v="0"/>
    <n v="0"/>
    <n v="360000"/>
    <m/>
    <m/>
    <m/>
    <m/>
    <n v="0"/>
    <m/>
    <m/>
    <n v="0"/>
    <m/>
    <m/>
    <m/>
    <m/>
    <m/>
    <m/>
    <n v="0"/>
    <n v="360000"/>
  </r>
  <r>
    <x v="0"/>
    <x v="0"/>
    <s v="University of Alabama at Birmingham"/>
    <s v="Met the criteria for Four-Year 1 in 2014-15."/>
    <n v="100663"/>
    <x v="1"/>
    <n v="30702789"/>
    <n v="44257019"/>
    <m/>
    <m/>
    <m/>
    <m/>
    <n v="127796790"/>
    <m/>
    <n v="127796790"/>
    <n v="128174096"/>
    <m/>
    <n v="128174096"/>
    <n v="158499579"/>
    <n v="172431115"/>
    <m/>
    <m/>
    <m/>
    <m/>
    <n v="0"/>
    <m/>
    <m/>
    <n v="0"/>
    <m/>
    <m/>
    <m/>
    <m/>
    <m/>
    <m/>
    <n v="158499579"/>
    <n v="172431115"/>
  </r>
  <r>
    <x v="0"/>
    <x v="1"/>
    <s v="Health Professions Education"/>
    <m/>
    <n v="100663"/>
    <x v="1"/>
    <m/>
    <m/>
    <m/>
    <m/>
    <m/>
    <m/>
    <m/>
    <m/>
    <n v="0"/>
    <m/>
    <m/>
    <n v="0"/>
    <n v="0"/>
    <n v="0"/>
    <m/>
    <m/>
    <m/>
    <m/>
    <n v="0"/>
    <m/>
    <m/>
    <n v="0"/>
    <m/>
    <m/>
    <m/>
    <m/>
    <m/>
    <m/>
    <n v="0"/>
    <n v="0"/>
  </r>
  <r>
    <x v="0"/>
    <x v="1"/>
    <s v="Medical Center"/>
    <m/>
    <n v="100663"/>
    <x v="1"/>
    <m/>
    <m/>
    <m/>
    <m/>
    <m/>
    <m/>
    <m/>
    <m/>
    <n v="0"/>
    <m/>
    <m/>
    <n v="0"/>
    <n v="0"/>
    <n v="0"/>
    <m/>
    <m/>
    <m/>
    <m/>
    <n v="0"/>
    <m/>
    <m/>
    <n v="0"/>
    <n v="227720713"/>
    <n v="216336429"/>
    <n v="85711372"/>
    <m/>
    <n v="88825904"/>
    <m/>
    <n v="313432085"/>
    <n v="305162333"/>
  </r>
  <r>
    <x v="0"/>
    <x v="1"/>
    <s v="Chauncey-Sparks Mental Health Center"/>
    <m/>
    <n v="100663"/>
    <x v="1"/>
    <m/>
    <m/>
    <m/>
    <m/>
    <m/>
    <m/>
    <m/>
    <m/>
    <n v="0"/>
    <m/>
    <m/>
    <n v="0"/>
    <n v="0"/>
    <n v="0"/>
    <m/>
    <m/>
    <m/>
    <m/>
    <n v="0"/>
    <m/>
    <m/>
    <n v="0"/>
    <n v="3236628"/>
    <n v="3236628"/>
    <m/>
    <m/>
    <m/>
    <m/>
    <n v="3236628"/>
    <n v="3236628"/>
  </r>
  <r>
    <x v="0"/>
    <x v="1"/>
    <s v="James Cystic Fibrosis Ctr"/>
    <m/>
    <n v="100663"/>
    <x v="1"/>
    <m/>
    <m/>
    <m/>
    <m/>
    <m/>
    <m/>
    <m/>
    <m/>
    <n v="0"/>
    <m/>
    <m/>
    <n v="0"/>
    <n v="0"/>
    <n v="0"/>
    <m/>
    <m/>
    <m/>
    <m/>
    <n v="0"/>
    <m/>
    <m/>
    <n v="0"/>
    <m/>
    <m/>
    <m/>
    <m/>
    <m/>
    <m/>
    <n v="0"/>
    <n v="0"/>
  </r>
  <r>
    <x v="0"/>
    <x v="1"/>
    <s v="Diabetes Res Ctr"/>
    <m/>
    <n v="100663"/>
    <x v="1"/>
    <m/>
    <m/>
    <m/>
    <m/>
    <m/>
    <m/>
    <m/>
    <m/>
    <n v="0"/>
    <m/>
    <m/>
    <n v="0"/>
    <n v="0"/>
    <n v="0"/>
    <m/>
    <m/>
    <m/>
    <m/>
    <n v="0"/>
    <m/>
    <m/>
    <n v="0"/>
    <n v="500000"/>
    <n v="500000"/>
    <m/>
    <m/>
    <m/>
    <m/>
    <n v="500000"/>
    <n v="500000"/>
  </r>
  <r>
    <x v="0"/>
    <x v="1"/>
    <s v="T.J. Atchison Spinal Cord Inj Res"/>
    <m/>
    <n v="100663"/>
    <x v="1"/>
    <m/>
    <m/>
    <m/>
    <m/>
    <m/>
    <m/>
    <m/>
    <m/>
    <n v="0"/>
    <m/>
    <m/>
    <n v="0"/>
    <n v="0"/>
    <n v="0"/>
    <m/>
    <m/>
    <m/>
    <m/>
    <n v="0"/>
    <m/>
    <m/>
    <n v="0"/>
    <n v="400000"/>
    <m/>
    <m/>
    <m/>
    <m/>
    <m/>
    <n v="400000"/>
    <n v="0"/>
  </r>
  <r>
    <x v="0"/>
    <x v="3"/>
    <s v="Community or public service units"/>
    <m/>
    <n v="100663"/>
    <x v="1"/>
    <m/>
    <m/>
    <m/>
    <m/>
    <m/>
    <m/>
    <m/>
    <m/>
    <n v="0"/>
    <m/>
    <m/>
    <n v="0"/>
    <n v="0"/>
    <n v="0"/>
    <m/>
    <m/>
    <m/>
    <m/>
    <n v="0"/>
    <m/>
    <m/>
    <n v="0"/>
    <m/>
    <m/>
    <m/>
    <m/>
    <m/>
    <m/>
    <n v="0"/>
    <n v="0"/>
  </r>
  <r>
    <x v="0"/>
    <x v="3"/>
    <s v="Minority Bus Training Econ Dev Pgm"/>
    <m/>
    <n v="100663"/>
    <x v="1"/>
    <m/>
    <m/>
    <n v="376473"/>
    <n v="376473"/>
    <m/>
    <m/>
    <m/>
    <m/>
    <n v="0"/>
    <m/>
    <m/>
    <n v="0"/>
    <n v="376473"/>
    <n v="376473"/>
    <m/>
    <m/>
    <m/>
    <m/>
    <n v="0"/>
    <m/>
    <m/>
    <n v="0"/>
    <m/>
    <m/>
    <m/>
    <m/>
    <m/>
    <m/>
    <n v="376473"/>
    <n v="376473"/>
  </r>
  <r>
    <x v="0"/>
    <x v="4"/>
    <s v="Non-credit continuing education"/>
    <m/>
    <n v="100663"/>
    <x v="1"/>
    <m/>
    <m/>
    <m/>
    <m/>
    <m/>
    <m/>
    <m/>
    <m/>
    <n v="0"/>
    <m/>
    <m/>
    <n v="0"/>
    <n v="0"/>
    <n v="0"/>
    <m/>
    <m/>
    <m/>
    <m/>
    <n v="0"/>
    <m/>
    <m/>
    <n v="0"/>
    <m/>
    <m/>
    <m/>
    <m/>
    <m/>
    <m/>
    <n v="0"/>
    <n v="0"/>
  </r>
  <r>
    <x v="0"/>
    <x v="4"/>
    <s v="Teacher In-service Center"/>
    <m/>
    <n v="100663"/>
    <x v="1"/>
    <m/>
    <m/>
    <n v="281923"/>
    <n v="281923"/>
    <m/>
    <m/>
    <m/>
    <m/>
    <n v="0"/>
    <m/>
    <m/>
    <n v="0"/>
    <n v="281923"/>
    <n v="281923"/>
    <m/>
    <m/>
    <m/>
    <m/>
    <n v="0"/>
    <m/>
    <m/>
    <n v="0"/>
    <m/>
    <m/>
    <m/>
    <m/>
    <m/>
    <m/>
    <n v="281923"/>
    <n v="281923"/>
  </r>
  <r>
    <x v="0"/>
    <x v="0"/>
    <s v="University of Alabama in Huntsville"/>
    <m/>
    <n v="100706"/>
    <x v="1"/>
    <n v="42852390"/>
    <n v="43147235"/>
    <m/>
    <m/>
    <m/>
    <m/>
    <n v="70913243"/>
    <n v="1800000"/>
    <n v="72713243"/>
    <n v="75485797"/>
    <n v="1800000"/>
    <n v="77285797"/>
    <n v="113765633"/>
    <n v="118633032"/>
    <m/>
    <m/>
    <m/>
    <m/>
    <n v="0"/>
    <m/>
    <m/>
    <n v="0"/>
    <m/>
    <m/>
    <m/>
    <m/>
    <m/>
    <m/>
    <n v="113765633"/>
    <n v="118633032"/>
  </r>
  <r>
    <x v="0"/>
    <x v="3"/>
    <s v="Community or public service units"/>
    <m/>
    <n v="100706"/>
    <x v="1"/>
    <m/>
    <m/>
    <m/>
    <m/>
    <m/>
    <m/>
    <m/>
    <m/>
    <n v="0"/>
    <m/>
    <m/>
    <n v="0"/>
    <n v="0"/>
    <n v="0"/>
    <m/>
    <m/>
    <m/>
    <m/>
    <n v="0"/>
    <m/>
    <m/>
    <n v="0"/>
    <m/>
    <m/>
    <m/>
    <m/>
    <m/>
    <m/>
    <n v="0"/>
    <n v="0"/>
  </r>
  <r>
    <x v="0"/>
    <x v="3"/>
    <s v="Climatology Prg"/>
    <m/>
    <n v="100706"/>
    <x v="1"/>
    <m/>
    <m/>
    <n v="250000"/>
    <n v="850000"/>
    <m/>
    <m/>
    <m/>
    <m/>
    <n v="0"/>
    <m/>
    <m/>
    <n v="0"/>
    <n v="250000"/>
    <n v="850000"/>
    <m/>
    <m/>
    <m/>
    <m/>
    <n v="0"/>
    <m/>
    <m/>
    <n v="0"/>
    <m/>
    <m/>
    <m/>
    <m/>
    <m/>
    <m/>
    <n v="250000"/>
    <n v="850000"/>
  </r>
  <r>
    <x v="0"/>
    <x v="0"/>
    <s v="Alabama Agricultural &amp; Mechanical University"/>
    <m/>
    <n v="100654"/>
    <x v="2"/>
    <n v="32115942"/>
    <n v="32236649"/>
    <m/>
    <m/>
    <m/>
    <m/>
    <n v="48446422"/>
    <n v="1295544"/>
    <n v="49741966"/>
    <n v="49748713"/>
    <n v="1389522"/>
    <n v="51138235"/>
    <n v="80562364"/>
    <n v="81985362"/>
    <m/>
    <m/>
    <m/>
    <m/>
    <n v="0"/>
    <m/>
    <m/>
    <n v="0"/>
    <m/>
    <m/>
    <m/>
    <m/>
    <m/>
    <m/>
    <n v="80562364"/>
    <n v="81985362"/>
  </r>
  <r>
    <x v="0"/>
    <x v="3"/>
    <s v="Community or public service units"/>
    <m/>
    <n v="100654"/>
    <x v="2"/>
    <m/>
    <m/>
    <m/>
    <m/>
    <m/>
    <m/>
    <m/>
    <m/>
    <n v="0"/>
    <m/>
    <m/>
    <n v="0"/>
    <n v="0"/>
    <n v="0"/>
    <m/>
    <m/>
    <m/>
    <m/>
    <n v="0"/>
    <m/>
    <m/>
    <n v="0"/>
    <m/>
    <m/>
    <m/>
    <m/>
    <m/>
    <m/>
    <n v="0"/>
    <n v="0"/>
  </r>
  <r>
    <x v="0"/>
    <x v="3"/>
    <s v="Black Archives Museum"/>
    <m/>
    <n v="100654"/>
    <x v="2"/>
    <m/>
    <m/>
    <m/>
    <m/>
    <m/>
    <m/>
    <m/>
    <m/>
    <n v="0"/>
    <m/>
    <m/>
    <n v="0"/>
    <n v="0"/>
    <n v="0"/>
    <m/>
    <m/>
    <m/>
    <m/>
    <n v="0"/>
    <m/>
    <m/>
    <n v="0"/>
    <m/>
    <m/>
    <m/>
    <m/>
    <m/>
    <m/>
    <n v="0"/>
    <n v="0"/>
  </r>
  <r>
    <x v="0"/>
    <x v="3"/>
    <s v="Huntsville Network for Urban School Renewal"/>
    <m/>
    <n v="100654"/>
    <x v="2"/>
    <m/>
    <m/>
    <m/>
    <n v="100000"/>
    <m/>
    <m/>
    <m/>
    <m/>
    <n v="0"/>
    <m/>
    <m/>
    <n v="0"/>
    <n v="0"/>
    <n v="100000"/>
    <m/>
    <m/>
    <m/>
    <m/>
    <n v="0"/>
    <m/>
    <m/>
    <n v="0"/>
    <m/>
    <m/>
    <m/>
    <m/>
    <m/>
    <m/>
    <n v="0"/>
    <n v="100000"/>
  </r>
  <r>
    <x v="0"/>
    <x v="4"/>
    <s v="Non-credit continuing education"/>
    <m/>
    <n v="100654"/>
    <x v="2"/>
    <m/>
    <m/>
    <m/>
    <m/>
    <m/>
    <m/>
    <m/>
    <m/>
    <n v="0"/>
    <m/>
    <m/>
    <n v="0"/>
    <n v="0"/>
    <n v="0"/>
    <m/>
    <m/>
    <m/>
    <m/>
    <n v="0"/>
    <m/>
    <m/>
    <n v="0"/>
    <m/>
    <m/>
    <m/>
    <m/>
    <m/>
    <m/>
    <n v="0"/>
    <n v="0"/>
  </r>
  <r>
    <x v="0"/>
    <x v="4"/>
    <s v="Teacher In-service Center"/>
    <m/>
    <n v="100654"/>
    <x v="2"/>
    <m/>
    <m/>
    <n v="256858"/>
    <n v="256858"/>
    <m/>
    <m/>
    <m/>
    <m/>
    <n v="0"/>
    <m/>
    <m/>
    <n v="0"/>
    <n v="256858"/>
    <n v="256858"/>
    <m/>
    <m/>
    <m/>
    <m/>
    <n v="0"/>
    <m/>
    <m/>
    <n v="0"/>
    <m/>
    <m/>
    <m/>
    <m/>
    <m/>
    <m/>
    <n v="256858"/>
    <n v="256858"/>
  </r>
  <r>
    <x v="0"/>
    <x v="5"/>
    <s v="Agricultural"/>
    <m/>
    <n v="100654"/>
    <x v="2"/>
    <m/>
    <m/>
    <n v="5215567"/>
    <n v="5215567"/>
    <m/>
    <m/>
    <m/>
    <m/>
    <n v="0"/>
    <m/>
    <m/>
    <n v="0"/>
    <n v="5215567"/>
    <n v="5215567"/>
    <m/>
    <m/>
    <m/>
    <m/>
    <n v="0"/>
    <m/>
    <m/>
    <n v="0"/>
    <m/>
    <m/>
    <m/>
    <m/>
    <m/>
    <m/>
    <n v="5215567"/>
    <n v="5215567"/>
  </r>
  <r>
    <x v="0"/>
    <x v="5"/>
    <s v="AL Agricultural LG Alliance"/>
    <m/>
    <n v="100654"/>
    <x v="2"/>
    <m/>
    <m/>
    <n v="2153416"/>
    <n v="2153416"/>
    <m/>
    <m/>
    <m/>
    <m/>
    <n v="0"/>
    <m/>
    <m/>
    <n v="0"/>
    <n v="2153416"/>
    <n v="2153416"/>
    <m/>
    <m/>
    <m/>
    <m/>
    <n v="0"/>
    <m/>
    <m/>
    <n v="0"/>
    <m/>
    <m/>
    <m/>
    <m/>
    <m/>
    <m/>
    <n v="2153416"/>
    <n v="2153416"/>
  </r>
  <r>
    <x v="0"/>
    <x v="0"/>
    <s v="Jacksonville State University "/>
    <m/>
    <n v="101480"/>
    <x v="2"/>
    <n v="35444357"/>
    <n v="35753125"/>
    <m/>
    <m/>
    <m/>
    <m/>
    <n v="59477467"/>
    <n v="6144129"/>
    <n v="65621596"/>
    <n v="59878219"/>
    <n v="6130656"/>
    <n v="66008875"/>
    <n v="94921824"/>
    <n v="95631344"/>
    <m/>
    <m/>
    <m/>
    <m/>
    <n v="0"/>
    <m/>
    <m/>
    <n v="0"/>
    <m/>
    <m/>
    <m/>
    <m/>
    <m/>
    <m/>
    <n v="94921824"/>
    <n v="95631344"/>
  </r>
  <r>
    <x v="0"/>
    <x v="3"/>
    <s v="Community or public service units"/>
    <m/>
    <n v="101480"/>
    <x v="2"/>
    <m/>
    <m/>
    <m/>
    <m/>
    <m/>
    <m/>
    <m/>
    <m/>
    <n v="0"/>
    <m/>
    <m/>
    <n v="0"/>
    <n v="0"/>
    <n v="0"/>
    <m/>
    <m/>
    <m/>
    <m/>
    <n v="0"/>
    <m/>
    <m/>
    <n v="0"/>
    <m/>
    <m/>
    <m/>
    <m/>
    <m/>
    <m/>
    <n v="0"/>
    <n v="0"/>
  </r>
  <r>
    <x v="0"/>
    <x v="3"/>
    <s v="Little River Canyon Field School"/>
    <m/>
    <n v="101480"/>
    <x v="2"/>
    <m/>
    <m/>
    <n v="188233"/>
    <n v="251334"/>
    <m/>
    <m/>
    <m/>
    <m/>
    <n v="0"/>
    <m/>
    <m/>
    <n v="0"/>
    <n v="188233"/>
    <n v="251334"/>
    <m/>
    <m/>
    <m/>
    <m/>
    <n v="0"/>
    <m/>
    <m/>
    <n v="0"/>
    <m/>
    <m/>
    <m/>
    <m/>
    <m/>
    <m/>
    <n v="188233"/>
    <n v="251334"/>
  </r>
  <r>
    <x v="0"/>
    <x v="3"/>
    <s v="AL Film Initiative"/>
    <m/>
    <n v="101480"/>
    <x v="2"/>
    <m/>
    <m/>
    <n v="226194"/>
    <n v="100000"/>
    <m/>
    <m/>
    <m/>
    <m/>
    <n v="0"/>
    <m/>
    <m/>
    <n v="0"/>
    <n v="226194"/>
    <n v="100000"/>
    <m/>
    <m/>
    <m/>
    <m/>
    <n v="0"/>
    <m/>
    <m/>
    <n v="0"/>
    <m/>
    <m/>
    <m/>
    <m/>
    <m/>
    <m/>
    <n v="226194"/>
    <n v="100000"/>
  </r>
  <r>
    <x v="0"/>
    <x v="3"/>
    <s v="AL Scenic River Trail"/>
    <m/>
    <n v="101480"/>
    <x v="2"/>
    <m/>
    <m/>
    <n v="100000"/>
    <n v="100000"/>
    <m/>
    <m/>
    <m/>
    <m/>
    <n v="0"/>
    <m/>
    <m/>
    <n v="0"/>
    <n v="100000"/>
    <n v="100000"/>
    <m/>
    <m/>
    <m/>
    <m/>
    <n v="0"/>
    <m/>
    <m/>
    <n v="0"/>
    <m/>
    <m/>
    <m/>
    <m/>
    <m/>
    <m/>
    <n v="100000"/>
    <n v="100000"/>
  </r>
  <r>
    <x v="0"/>
    <x v="4"/>
    <s v="Non-credit continuing education"/>
    <m/>
    <n v="101480"/>
    <x v="2"/>
    <m/>
    <m/>
    <m/>
    <m/>
    <m/>
    <m/>
    <m/>
    <m/>
    <n v="0"/>
    <m/>
    <m/>
    <n v="0"/>
    <n v="0"/>
    <n v="0"/>
    <m/>
    <m/>
    <m/>
    <m/>
    <n v="0"/>
    <m/>
    <m/>
    <n v="0"/>
    <m/>
    <m/>
    <m/>
    <m/>
    <m/>
    <m/>
    <n v="0"/>
    <n v="0"/>
  </r>
  <r>
    <x v="0"/>
    <x v="4"/>
    <s v="Teacher In-service Center"/>
    <m/>
    <n v="101480"/>
    <x v="2"/>
    <m/>
    <m/>
    <n v="218872"/>
    <n v="218872"/>
    <m/>
    <m/>
    <m/>
    <m/>
    <n v="0"/>
    <m/>
    <m/>
    <n v="0"/>
    <n v="218872"/>
    <n v="218872"/>
    <m/>
    <m/>
    <m/>
    <m/>
    <n v="0"/>
    <m/>
    <m/>
    <n v="0"/>
    <m/>
    <m/>
    <m/>
    <m/>
    <m/>
    <m/>
    <n v="218872"/>
    <n v="218872"/>
  </r>
  <r>
    <x v="0"/>
    <x v="0"/>
    <s v="Troy University"/>
    <m/>
    <n v="102368"/>
    <x v="2"/>
    <n v="45411069"/>
    <n v="45580458"/>
    <m/>
    <m/>
    <m/>
    <m/>
    <n v="69901605"/>
    <n v="9919270"/>
    <n v="79820875"/>
    <n v="72028950"/>
    <n v="11350000"/>
    <n v="83378950"/>
    <n v="115312674"/>
    <n v="117609408"/>
    <m/>
    <m/>
    <m/>
    <m/>
    <n v="0"/>
    <m/>
    <m/>
    <n v="0"/>
    <m/>
    <m/>
    <m/>
    <m/>
    <m/>
    <m/>
    <n v="115312674"/>
    <n v="117609408"/>
  </r>
  <r>
    <x v="0"/>
    <x v="3"/>
    <s v="Community or public service units"/>
    <m/>
    <n v="102368"/>
    <x v="2"/>
    <m/>
    <m/>
    <m/>
    <m/>
    <m/>
    <m/>
    <m/>
    <m/>
    <n v="0"/>
    <m/>
    <m/>
    <n v="0"/>
    <n v="0"/>
    <n v="0"/>
    <m/>
    <m/>
    <m/>
    <m/>
    <n v="0"/>
    <m/>
    <m/>
    <n v="0"/>
    <m/>
    <m/>
    <m/>
    <m/>
    <m/>
    <m/>
    <n v="0"/>
    <n v="0"/>
  </r>
  <r>
    <x v="0"/>
    <x v="3"/>
    <s v="Ctr for International Bus &amp; Econ Development"/>
    <m/>
    <n v="102368"/>
    <x v="2"/>
    <m/>
    <m/>
    <n v="37647"/>
    <n v="37647"/>
    <m/>
    <m/>
    <m/>
    <m/>
    <n v="0"/>
    <m/>
    <m/>
    <n v="0"/>
    <n v="37647"/>
    <n v="37647"/>
    <m/>
    <m/>
    <m/>
    <m/>
    <n v="0"/>
    <m/>
    <m/>
    <n v="0"/>
    <m/>
    <m/>
    <m/>
    <m/>
    <m/>
    <m/>
    <n v="37647"/>
    <n v="37647"/>
  </r>
  <r>
    <x v="0"/>
    <x v="3"/>
    <s v="Transfer Ag Center Board"/>
    <m/>
    <n v="102368"/>
    <x v="2"/>
    <m/>
    <m/>
    <n v="250000"/>
    <n v="250000"/>
    <m/>
    <m/>
    <m/>
    <m/>
    <n v="0"/>
    <m/>
    <m/>
    <n v="0"/>
    <n v="250000"/>
    <n v="250000"/>
    <m/>
    <m/>
    <m/>
    <m/>
    <n v="0"/>
    <m/>
    <m/>
    <n v="0"/>
    <m/>
    <m/>
    <m/>
    <m/>
    <m/>
    <m/>
    <n v="250000"/>
    <n v="250000"/>
  </r>
  <r>
    <x v="0"/>
    <x v="4"/>
    <s v="Non-credit continuing education"/>
    <m/>
    <n v="102368"/>
    <x v="2"/>
    <m/>
    <m/>
    <m/>
    <m/>
    <m/>
    <m/>
    <m/>
    <m/>
    <n v="0"/>
    <m/>
    <m/>
    <n v="0"/>
    <n v="0"/>
    <n v="0"/>
    <m/>
    <m/>
    <m/>
    <m/>
    <n v="0"/>
    <m/>
    <m/>
    <n v="0"/>
    <m/>
    <m/>
    <m/>
    <m/>
    <m/>
    <m/>
    <n v="0"/>
    <n v="0"/>
  </r>
  <r>
    <x v="0"/>
    <x v="4"/>
    <s v="Teacher In-service Center"/>
    <m/>
    <n v="102368"/>
    <x v="2"/>
    <m/>
    <m/>
    <n v="232309"/>
    <n v="232309"/>
    <m/>
    <m/>
    <m/>
    <m/>
    <n v="0"/>
    <m/>
    <m/>
    <n v="0"/>
    <n v="232309"/>
    <n v="232309"/>
    <m/>
    <m/>
    <m/>
    <m/>
    <n v="0"/>
    <m/>
    <m/>
    <n v="0"/>
    <m/>
    <m/>
    <m/>
    <m/>
    <m/>
    <m/>
    <n v="232309"/>
    <n v="232309"/>
  </r>
  <r>
    <x v="0"/>
    <x v="0"/>
    <s v="University of South Alabama"/>
    <m/>
    <n v="102094"/>
    <x v="2"/>
    <n v="19414513"/>
    <n v="21248256"/>
    <m/>
    <m/>
    <m/>
    <m/>
    <n v="61886631"/>
    <n v="16208583"/>
    <n v="78095214"/>
    <n v="62415327"/>
    <n v="16347052"/>
    <n v="78762379"/>
    <n v="81301144"/>
    <n v="83663583"/>
    <m/>
    <m/>
    <m/>
    <m/>
    <n v="0"/>
    <m/>
    <m/>
    <n v="0"/>
    <m/>
    <m/>
    <m/>
    <m/>
    <m/>
    <m/>
    <n v="81301144"/>
    <n v="83663583"/>
  </r>
  <r>
    <x v="0"/>
    <x v="1"/>
    <s v="Health Professions Education"/>
    <m/>
    <n v="102094"/>
    <x v="2"/>
    <m/>
    <m/>
    <m/>
    <m/>
    <m/>
    <m/>
    <m/>
    <m/>
    <n v="0"/>
    <m/>
    <m/>
    <n v="0"/>
    <n v="0"/>
    <n v="0"/>
    <m/>
    <m/>
    <m/>
    <m/>
    <n v="0"/>
    <m/>
    <m/>
    <n v="0"/>
    <m/>
    <m/>
    <m/>
    <m/>
    <m/>
    <m/>
    <n v="0"/>
    <n v="0"/>
  </r>
  <r>
    <x v="0"/>
    <x v="1"/>
    <s v="Medical Center"/>
    <m/>
    <n v="102094"/>
    <x v="2"/>
    <m/>
    <m/>
    <m/>
    <m/>
    <m/>
    <m/>
    <m/>
    <m/>
    <n v="0"/>
    <m/>
    <m/>
    <n v="0"/>
    <n v="0"/>
    <n v="0"/>
    <m/>
    <m/>
    <m/>
    <m/>
    <n v="0"/>
    <m/>
    <m/>
    <n v="0"/>
    <n v="83280987"/>
    <n v="82175328"/>
    <n v="51803744"/>
    <m/>
    <n v="52246300"/>
    <m/>
    <n v="135084731"/>
    <n v="134421628"/>
  </r>
  <r>
    <x v="0"/>
    <x v="4"/>
    <s v="Non-credit continuing education"/>
    <m/>
    <n v="102094"/>
    <x v="2"/>
    <m/>
    <m/>
    <m/>
    <m/>
    <m/>
    <m/>
    <m/>
    <m/>
    <n v="0"/>
    <m/>
    <m/>
    <n v="0"/>
    <n v="0"/>
    <n v="0"/>
    <m/>
    <m/>
    <m/>
    <m/>
    <n v="0"/>
    <m/>
    <m/>
    <n v="0"/>
    <m/>
    <m/>
    <m/>
    <m/>
    <m/>
    <m/>
    <n v="0"/>
    <n v="0"/>
  </r>
  <r>
    <x v="0"/>
    <x v="4"/>
    <s v="Teacher In-service Center"/>
    <m/>
    <n v="102094"/>
    <x v="2"/>
    <m/>
    <m/>
    <n v="302337"/>
    <n v="302337"/>
    <m/>
    <m/>
    <m/>
    <m/>
    <n v="0"/>
    <m/>
    <m/>
    <n v="0"/>
    <n v="302337"/>
    <n v="302337"/>
    <m/>
    <m/>
    <m/>
    <m/>
    <n v="0"/>
    <m/>
    <m/>
    <n v="0"/>
    <m/>
    <m/>
    <m/>
    <m/>
    <m/>
    <m/>
    <n v="302337"/>
    <n v="302337"/>
  </r>
  <r>
    <x v="0"/>
    <x v="0"/>
    <s v="Alabama State University "/>
    <m/>
    <n v="100724"/>
    <x v="3"/>
    <n v="41590224"/>
    <n v="41880782"/>
    <m/>
    <m/>
    <m/>
    <m/>
    <n v="44669096"/>
    <n v="15997710"/>
    <n v="60666806"/>
    <n v="39311852"/>
    <n v="16290000"/>
    <n v="55601852"/>
    <n v="86259320"/>
    <n v="81192634"/>
    <m/>
    <m/>
    <m/>
    <m/>
    <n v="0"/>
    <m/>
    <m/>
    <n v="0"/>
    <m/>
    <m/>
    <m/>
    <m/>
    <m/>
    <m/>
    <n v="86259320"/>
    <n v="81192634"/>
  </r>
  <r>
    <x v="0"/>
    <x v="3"/>
    <s v="Community or public service units"/>
    <m/>
    <n v="100724"/>
    <x v="3"/>
    <m/>
    <m/>
    <m/>
    <m/>
    <m/>
    <m/>
    <m/>
    <m/>
    <n v="0"/>
    <m/>
    <m/>
    <n v="0"/>
    <n v="0"/>
    <n v="0"/>
    <m/>
    <m/>
    <m/>
    <m/>
    <n v="0"/>
    <m/>
    <m/>
    <n v="0"/>
    <m/>
    <m/>
    <m/>
    <m/>
    <m/>
    <m/>
    <n v="0"/>
    <n v="0"/>
  </r>
  <r>
    <x v="0"/>
    <x v="4"/>
    <s v="Non-credit continuing education"/>
    <m/>
    <n v="100724"/>
    <x v="3"/>
    <m/>
    <m/>
    <m/>
    <m/>
    <m/>
    <m/>
    <m/>
    <m/>
    <n v="0"/>
    <m/>
    <m/>
    <n v="0"/>
    <n v="0"/>
    <n v="0"/>
    <m/>
    <m/>
    <m/>
    <m/>
    <n v="0"/>
    <m/>
    <m/>
    <n v="0"/>
    <m/>
    <m/>
    <m/>
    <m/>
    <m/>
    <m/>
    <n v="0"/>
    <n v="0"/>
  </r>
  <r>
    <x v="0"/>
    <x v="4"/>
    <s v="Teacher In-service Center"/>
    <m/>
    <n v="100724"/>
    <x v="3"/>
    <m/>
    <m/>
    <n v="221456"/>
    <n v="221456"/>
    <m/>
    <m/>
    <m/>
    <m/>
    <n v="0"/>
    <m/>
    <m/>
    <n v="0"/>
    <n v="221456"/>
    <n v="221456"/>
    <m/>
    <m/>
    <m/>
    <m/>
    <n v="0"/>
    <m/>
    <m/>
    <n v="0"/>
    <m/>
    <m/>
    <m/>
    <m/>
    <m/>
    <m/>
    <n v="221456"/>
    <n v="221456"/>
  </r>
  <r>
    <x v="0"/>
    <x v="0"/>
    <s v="Auburn University at Montgomery"/>
    <m/>
    <n v="100830"/>
    <x v="3"/>
    <n v="22143812"/>
    <n v="22298886"/>
    <m/>
    <m/>
    <m/>
    <m/>
    <n v="36126432"/>
    <n v="5537085"/>
    <n v="41663517"/>
    <n v="31173024"/>
    <n v="6575444"/>
    <n v="37748468"/>
    <n v="58270244"/>
    <n v="53471910"/>
    <m/>
    <m/>
    <m/>
    <m/>
    <n v="0"/>
    <m/>
    <m/>
    <n v="0"/>
    <m/>
    <m/>
    <m/>
    <m/>
    <m/>
    <m/>
    <n v="58270244"/>
    <n v="53471910"/>
  </r>
  <r>
    <x v="0"/>
    <x v="3"/>
    <s v="Community or public service units"/>
    <m/>
    <n v="100830"/>
    <x v="3"/>
    <m/>
    <m/>
    <m/>
    <m/>
    <m/>
    <m/>
    <m/>
    <m/>
    <n v="0"/>
    <m/>
    <m/>
    <n v="0"/>
    <n v="0"/>
    <n v="0"/>
    <m/>
    <m/>
    <m/>
    <m/>
    <n v="0"/>
    <m/>
    <m/>
    <n v="0"/>
    <m/>
    <m/>
    <m/>
    <m/>
    <m/>
    <m/>
    <n v="0"/>
    <n v="0"/>
  </r>
  <r>
    <x v="0"/>
    <x v="3"/>
    <s v="Institute for Accoutability &amp; Governement Efficiency"/>
    <m/>
    <n v="100830"/>
    <x v="3"/>
    <m/>
    <m/>
    <n v="299000"/>
    <n v="250000"/>
    <m/>
    <m/>
    <m/>
    <m/>
    <n v="0"/>
    <m/>
    <m/>
    <n v="0"/>
    <n v="299000"/>
    <n v="250000"/>
    <m/>
    <m/>
    <m/>
    <m/>
    <n v="0"/>
    <m/>
    <m/>
    <n v="0"/>
    <m/>
    <m/>
    <m/>
    <m/>
    <m/>
    <m/>
    <n v="299000"/>
    <n v="250000"/>
  </r>
  <r>
    <x v="0"/>
    <x v="3"/>
    <s v="Senior Resource Center"/>
    <m/>
    <n v="100830"/>
    <x v="3"/>
    <m/>
    <m/>
    <n v="114915"/>
    <n v="114915"/>
    <m/>
    <m/>
    <m/>
    <m/>
    <n v="0"/>
    <m/>
    <m/>
    <n v="0"/>
    <n v="114915"/>
    <n v="114915"/>
    <m/>
    <m/>
    <m/>
    <m/>
    <n v="0"/>
    <m/>
    <m/>
    <n v="0"/>
    <m/>
    <m/>
    <m/>
    <m/>
    <m/>
    <m/>
    <n v="114915"/>
    <n v="114915"/>
  </r>
  <r>
    <x v="0"/>
    <x v="0"/>
    <s v="University of North Alabama"/>
    <s v="Met the criteria for Four-Year 3 in 2014-15."/>
    <n v="101879"/>
    <x v="3"/>
    <n v="25917319"/>
    <n v="26351275"/>
    <m/>
    <m/>
    <m/>
    <m/>
    <n v="47811765"/>
    <n v="1957541"/>
    <n v="49769306"/>
    <n v="45746859"/>
    <n v="1957541"/>
    <n v="47704400"/>
    <n v="73729084"/>
    <n v="72098134"/>
    <m/>
    <m/>
    <m/>
    <m/>
    <n v="0"/>
    <m/>
    <m/>
    <n v="0"/>
    <m/>
    <m/>
    <m/>
    <m/>
    <m/>
    <m/>
    <n v="73729084"/>
    <n v="72098134"/>
  </r>
  <r>
    <x v="0"/>
    <x v="4"/>
    <s v="Non-credit continuing education"/>
    <m/>
    <n v="101879"/>
    <x v="3"/>
    <m/>
    <m/>
    <m/>
    <m/>
    <m/>
    <m/>
    <m/>
    <m/>
    <n v="0"/>
    <m/>
    <m/>
    <n v="0"/>
    <n v="0"/>
    <n v="0"/>
    <m/>
    <m/>
    <m/>
    <m/>
    <n v="0"/>
    <m/>
    <m/>
    <n v="0"/>
    <m/>
    <m/>
    <m/>
    <m/>
    <m/>
    <m/>
    <n v="0"/>
    <n v="0"/>
  </r>
  <r>
    <x v="0"/>
    <x v="4"/>
    <s v="Teacher In-service Center"/>
    <m/>
    <n v="101879"/>
    <x v="3"/>
    <m/>
    <m/>
    <n v="198974"/>
    <n v="198974"/>
    <m/>
    <m/>
    <m/>
    <m/>
    <n v="0"/>
    <m/>
    <m/>
    <n v="0"/>
    <n v="198974"/>
    <n v="198974"/>
    <m/>
    <m/>
    <m/>
    <m/>
    <n v="0"/>
    <m/>
    <m/>
    <n v="0"/>
    <m/>
    <m/>
    <m/>
    <m/>
    <m/>
    <m/>
    <n v="198974"/>
    <n v="198974"/>
  </r>
  <r>
    <x v="0"/>
    <x v="0"/>
    <s v="University of Montevallo"/>
    <m/>
    <n v="101709"/>
    <x v="4"/>
    <n v="17801513"/>
    <n v="18176178"/>
    <m/>
    <m/>
    <m/>
    <m/>
    <n v="30416724"/>
    <m/>
    <n v="30416724"/>
    <n v="32334072"/>
    <m/>
    <n v="32334072"/>
    <n v="48218237"/>
    <n v="50510250"/>
    <m/>
    <m/>
    <m/>
    <m/>
    <n v="0"/>
    <m/>
    <m/>
    <n v="0"/>
    <m/>
    <m/>
    <m/>
    <m/>
    <m/>
    <m/>
    <n v="48218237"/>
    <n v="50510250"/>
  </r>
  <r>
    <x v="0"/>
    <x v="3"/>
    <s v="American Village"/>
    <m/>
    <n v="101709"/>
    <x v="4"/>
    <m/>
    <m/>
    <n v="25000"/>
    <n v="25000"/>
    <m/>
    <m/>
    <m/>
    <m/>
    <n v="0"/>
    <m/>
    <m/>
    <n v="0"/>
    <n v="25000"/>
    <n v="25000"/>
    <m/>
    <m/>
    <m/>
    <m/>
    <n v="0"/>
    <m/>
    <m/>
    <n v="0"/>
    <m/>
    <m/>
    <m/>
    <m/>
    <m/>
    <m/>
    <n v="25000"/>
    <n v="25000"/>
  </r>
  <r>
    <x v="0"/>
    <x v="4"/>
    <s v="Non-credit continuing education"/>
    <m/>
    <n v="101709"/>
    <x v="4"/>
    <m/>
    <m/>
    <m/>
    <m/>
    <m/>
    <m/>
    <m/>
    <m/>
    <n v="0"/>
    <m/>
    <m/>
    <n v="0"/>
    <n v="0"/>
    <n v="0"/>
    <m/>
    <m/>
    <m/>
    <m/>
    <n v="0"/>
    <m/>
    <m/>
    <n v="0"/>
    <m/>
    <m/>
    <m/>
    <m/>
    <m/>
    <m/>
    <n v="0"/>
    <n v="0"/>
  </r>
  <r>
    <x v="0"/>
    <x v="4"/>
    <s v="Teacher In-service Center"/>
    <m/>
    <n v="101709"/>
    <x v="4"/>
    <m/>
    <m/>
    <n v="229983"/>
    <n v="229983"/>
    <m/>
    <m/>
    <m/>
    <m/>
    <n v="0"/>
    <m/>
    <m/>
    <n v="0"/>
    <n v="229983"/>
    <n v="229983"/>
    <m/>
    <m/>
    <m/>
    <m/>
    <n v="0"/>
    <m/>
    <m/>
    <n v="0"/>
    <m/>
    <m/>
    <m/>
    <m/>
    <m/>
    <m/>
    <n v="229983"/>
    <n v="229983"/>
  </r>
  <r>
    <x v="0"/>
    <x v="0"/>
    <s v="University of West Alabama"/>
    <m/>
    <n v="101587"/>
    <x v="4"/>
    <n v="12547410"/>
    <n v="12633529"/>
    <m/>
    <m/>
    <m/>
    <m/>
    <n v="14547970"/>
    <m/>
    <n v="14547970"/>
    <n v="15049875"/>
    <m/>
    <n v="15049875"/>
    <n v="27095380"/>
    <n v="27683404"/>
    <m/>
    <m/>
    <m/>
    <m/>
    <n v="0"/>
    <m/>
    <m/>
    <n v="0"/>
    <m/>
    <m/>
    <m/>
    <m/>
    <m/>
    <m/>
    <n v="27095380"/>
    <n v="27683404"/>
  </r>
  <r>
    <x v="0"/>
    <x v="3"/>
    <s v="Community or public service units"/>
    <m/>
    <n v="101587"/>
    <x v="4"/>
    <m/>
    <m/>
    <m/>
    <m/>
    <m/>
    <m/>
    <m/>
    <m/>
    <n v="0"/>
    <m/>
    <m/>
    <n v="0"/>
    <n v="0"/>
    <n v="0"/>
    <m/>
    <m/>
    <m/>
    <m/>
    <n v="0"/>
    <m/>
    <m/>
    <n v="0"/>
    <m/>
    <m/>
    <m/>
    <m/>
    <m/>
    <m/>
    <n v="0"/>
    <n v="0"/>
  </r>
  <r>
    <x v="0"/>
    <x v="3"/>
    <s v="AL Medical Ed Consortium"/>
    <m/>
    <n v="101587"/>
    <x v="4"/>
    <m/>
    <m/>
    <n v="690652"/>
    <n v="810652"/>
    <m/>
    <m/>
    <m/>
    <m/>
    <n v="0"/>
    <m/>
    <m/>
    <n v="0"/>
    <n v="690652"/>
    <n v="810652"/>
    <m/>
    <m/>
    <m/>
    <m/>
    <n v="0"/>
    <m/>
    <m/>
    <n v="0"/>
    <m/>
    <m/>
    <m/>
    <m/>
    <m/>
    <m/>
    <n v="690652"/>
    <n v="810652"/>
  </r>
  <r>
    <x v="0"/>
    <x v="3"/>
    <s v="Econ &amp; Small Bus Devel Prm"/>
    <m/>
    <n v="101587"/>
    <x v="4"/>
    <m/>
    <m/>
    <n v="188236"/>
    <n v="400000"/>
    <m/>
    <m/>
    <m/>
    <m/>
    <n v="0"/>
    <m/>
    <m/>
    <n v="0"/>
    <n v="188236"/>
    <n v="400000"/>
    <m/>
    <m/>
    <m/>
    <m/>
    <n v="0"/>
    <m/>
    <m/>
    <n v="0"/>
    <m/>
    <m/>
    <m/>
    <m/>
    <m/>
    <m/>
    <n v="188236"/>
    <n v="400000"/>
  </r>
  <r>
    <x v="0"/>
    <x v="3"/>
    <s v="National Young Farmers Ed Assoc"/>
    <m/>
    <n v="101587"/>
    <x v="4"/>
    <m/>
    <m/>
    <n v="50000"/>
    <n v="50000"/>
    <m/>
    <m/>
    <m/>
    <m/>
    <n v="0"/>
    <m/>
    <m/>
    <n v="0"/>
    <n v="50000"/>
    <n v="50000"/>
    <m/>
    <m/>
    <m/>
    <m/>
    <n v="0"/>
    <m/>
    <m/>
    <n v="0"/>
    <m/>
    <m/>
    <m/>
    <m/>
    <m/>
    <m/>
    <n v="50000"/>
    <n v="50000"/>
  </r>
  <r>
    <x v="0"/>
    <x v="0"/>
    <s v="Athens State University"/>
    <m/>
    <n v="100812"/>
    <x v="5"/>
    <n v="11264712"/>
    <n v="11343599"/>
    <m/>
    <m/>
    <m/>
    <m/>
    <n v="15847044"/>
    <n v="1153379"/>
    <n v="17000423"/>
    <n v="15926145"/>
    <n v="1568719"/>
    <n v="17494864"/>
    <n v="27111756"/>
    <n v="27269744"/>
    <m/>
    <m/>
    <m/>
    <m/>
    <n v="0"/>
    <m/>
    <m/>
    <n v="0"/>
    <m/>
    <m/>
    <m/>
    <m/>
    <m/>
    <m/>
    <n v="27111756"/>
    <n v="27269744"/>
  </r>
  <r>
    <x v="0"/>
    <x v="4"/>
    <s v="Non-credit continuing education"/>
    <m/>
    <n v="100812"/>
    <x v="5"/>
    <m/>
    <m/>
    <m/>
    <m/>
    <m/>
    <m/>
    <m/>
    <m/>
    <n v="0"/>
    <m/>
    <m/>
    <n v="0"/>
    <n v="0"/>
    <n v="0"/>
    <m/>
    <m/>
    <m/>
    <m/>
    <n v="0"/>
    <m/>
    <m/>
    <n v="0"/>
    <m/>
    <m/>
    <m/>
    <m/>
    <m/>
    <m/>
    <n v="0"/>
    <n v="0"/>
  </r>
  <r>
    <x v="0"/>
    <x v="4"/>
    <s v="Teacher In-service Center"/>
    <m/>
    <n v="100812"/>
    <x v="5"/>
    <m/>
    <m/>
    <n v="214479"/>
    <n v="214479"/>
    <m/>
    <m/>
    <m/>
    <m/>
    <n v="0"/>
    <m/>
    <m/>
    <n v="0"/>
    <n v="214479"/>
    <n v="214479"/>
    <m/>
    <m/>
    <m/>
    <m/>
    <n v="0"/>
    <m/>
    <m/>
    <n v="0"/>
    <m/>
    <m/>
    <m/>
    <m/>
    <m/>
    <m/>
    <n v="214479"/>
    <n v="214479"/>
  </r>
  <r>
    <x v="0"/>
    <x v="0"/>
    <s v="Gadsden State Community College"/>
    <s v="Met the criteria for Two-Year 2 in 2013-14 and 2014-15."/>
    <n v="101240"/>
    <x v="6"/>
    <n v="22261228"/>
    <n v="22266732"/>
    <m/>
    <m/>
    <n v="761070"/>
    <n v="740000"/>
    <n v="16847161"/>
    <n v="1280928"/>
    <n v="18128089"/>
    <n v="16866805"/>
    <n v="1190195"/>
    <n v="18057000"/>
    <n v="39869459"/>
    <n v="39873537"/>
    <m/>
    <m/>
    <m/>
    <m/>
    <n v="0"/>
    <m/>
    <m/>
    <n v="0"/>
    <m/>
    <m/>
    <m/>
    <m/>
    <m/>
    <m/>
    <n v="39869459"/>
    <n v="39873537"/>
  </r>
  <r>
    <x v="0"/>
    <x v="8"/>
    <s v="Special line items for education operations"/>
    <m/>
    <n v="101240"/>
    <x v="6"/>
    <m/>
    <m/>
    <m/>
    <m/>
    <m/>
    <m/>
    <m/>
    <m/>
    <n v="0"/>
    <m/>
    <m/>
    <n v="0"/>
    <n v="0"/>
    <n v="0"/>
    <m/>
    <m/>
    <m/>
    <m/>
    <n v="0"/>
    <m/>
    <m/>
    <n v="0"/>
    <m/>
    <m/>
    <m/>
    <m/>
    <m/>
    <m/>
    <n v="0"/>
    <n v="0"/>
  </r>
  <r>
    <x v="0"/>
    <x v="8"/>
    <s v="Special Population Training"/>
    <m/>
    <n v="101240"/>
    <x v="6"/>
    <m/>
    <m/>
    <n v="230307"/>
    <n v="106255"/>
    <m/>
    <m/>
    <m/>
    <m/>
    <n v="0"/>
    <m/>
    <m/>
    <n v="0"/>
    <n v="230307"/>
    <n v="106255"/>
    <m/>
    <m/>
    <m/>
    <m/>
    <n v="0"/>
    <m/>
    <m/>
    <n v="0"/>
    <m/>
    <m/>
    <m/>
    <m/>
    <m/>
    <m/>
    <n v="230307"/>
    <n v="106255"/>
  </r>
  <r>
    <x v="0"/>
    <x v="8"/>
    <s v="Adult Basic Education"/>
    <m/>
    <n v="101240"/>
    <x v="6"/>
    <m/>
    <m/>
    <n v="690214"/>
    <n v="696720"/>
    <m/>
    <m/>
    <m/>
    <m/>
    <n v="0"/>
    <m/>
    <m/>
    <n v="0"/>
    <n v="690214"/>
    <n v="696720"/>
    <m/>
    <m/>
    <m/>
    <m/>
    <n v="0"/>
    <m/>
    <m/>
    <n v="0"/>
    <m/>
    <m/>
    <m/>
    <m/>
    <m/>
    <m/>
    <n v="690214"/>
    <n v="696720"/>
  </r>
  <r>
    <x v="0"/>
    <x v="8"/>
    <s v="Workforce Development"/>
    <m/>
    <n v="101240"/>
    <x v="6"/>
    <m/>
    <m/>
    <n v="197041"/>
    <n v="127510"/>
    <m/>
    <m/>
    <m/>
    <m/>
    <n v="0"/>
    <m/>
    <m/>
    <n v="0"/>
    <n v="197041"/>
    <n v="127510"/>
    <m/>
    <m/>
    <m/>
    <m/>
    <n v="0"/>
    <m/>
    <m/>
    <n v="0"/>
    <m/>
    <m/>
    <m/>
    <m/>
    <m/>
    <m/>
    <n v="197041"/>
    <n v="127510"/>
  </r>
  <r>
    <x v="0"/>
    <x v="8"/>
    <s v="Dual Enrollment"/>
    <m/>
    <n v="101240"/>
    <x v="6"/>
    <m/>
    <m/>
    <m/>
    <n v="275000"/>
    <m/>
    <m/>
    <m/>
    <m/>
    <n v="0"/>
    <m/>
    <m/>
    <n v="0"/>
    <n v="0"/>
    <n v="275000"/>
    <m/>
    <m/>
    <m/>
    <m/>
    <n v="0"/>
    <m/>
    <m/>
    <n v="0"/>
    <m/>
    <m/>
    <m/>
    <m/>
    <m/>
    <m/>
    <n v="0"/>
    <n v="275000"/>
  </r>
  <r>
    <x v="0"/>
    <x v="0"/>
    <s v="Jefferson State Community College"/>
    <m/>
    <n v="101505"/>
    <x v="6"/>
    <n v="19277983"/>
    <n v="19955750"/>
    <m/>
    <m/>
    <n v="0"/>
    <n v="870000"/>
    <n v="21302108"/>
    <n v="4614198"/>
    <n v="25916306"/>
    <n v="21975791"/>
    <n v="4617022"/>
    <n v="26592813"/>
    <n v="40580091"/>
    <n v="42801541"/>
    <m/>
    <m/>
    <m/>
    <m/>
    <n v="0"/>
    <m/>
    <m/>
    <n v="0"/>
    <m/>
    <m/>
    <m/>
    <m/>
    <m/>
    <m/>
    <n v="40580091"/>
    <n v="42801541"/>
  </r>
  <r>
    <x v="0"/>
    <x v="8"/>
    <s v="Special Population Training"/>
    <m/>
    <n v="101505"/>
    <x v="6"/>
    <m/>
    <m/>
    <n v="27363"/>
    <n v="45000"/>
    <m/>
    <m/>
    <m/>
    <m/>
    <n v="0"/>
    <m/>
    <m/>
    <n v="0"/>
    <n v="27363"/>
    <n v="45000"/>
    <m/>
    <m/>
    <m/>
    <m/>
    <n v="0"/>
    <m/>
    <m/>
    <n v="0"/>
    <m/>
    <m/>
    <m/>
    <m/>
    <m/>
    <m/>
    <n v="27363"/>
    <n v="45000"/>
  </r>
  <r>
    <x v="0"/>
    <x v="8"/>
    <s v="Adult Basic Education"/>
    <m/>
    <n v="101505"/>
    <x v="6"/>
    <m/>
    <m/>
    <n v="701960"/>
    <n v="708073"/>
    <m/>
    <m/>
    <m/>
    <m/>
    <n v="0"/>
    <m/>
    <m/>
    <n v="0"/>
    <n v="701960"/>
    <n v="708073"/>
    <m/>
    <m/>
    <m/>
    <m/>
    <n v="0"/>
    <m/>
    <m/>
    <n v="0"/>
    <m/>
    <m/>
    <m/>
    <m/>
    <m/>
    <m/>
    <n v="701960"/>
    <n v="708073"/>
  </r>
  <r>
    <x v="0"/>
    <x v="8"/>
    <s v="Workforce Development"/>
    <m/>
    <n v="101505"/>
    <x v="6"/>
    <m/>
    <m/>
    <n v="227428.73"/>
    <n v="322991"/>
    <m/>
    <m/>
    <m/>
    <m/>
    <n v="0"/>
    <m/>
    <m/>
    <n v="0"/>
    <n v="227428.73"/>
    <n v="322991"/>
    <m/>
    <m/>
    <m/>
    <m/>
    <n v="0"/>
    <m/>
    <m/>
    <n v="0"/>
    <m/>
    <m/>
    <m/>
    <m/>
    <m/>
    <m/>
    <n v="227428.73"/>
    <n v="322991"/>
  </r>
  <r>
    <x v="0"/>
    <x v="8"/>
    <s v="Dual Enrollment"/>
    <m/>
    <n v="101505"/>
    <x v="6"/>
    <m/>
    <m/>
    <m/>
    <n v="195000"/>
    <m/>
    <m/>
    <m/>
    <m/>
    <n v="0"/>
    <m/>
    <m/>
    <n v="0"/>
    <n v="0"/>
    <n v="195000"/>
    <m/>
    <m/>
    <m/>
    <m/>
    <n v="0"/>
    <m/>
    <m/>
    <n v="0"/>
    <m/>
    <m/>
    <m/>
    <m/>
    <m/>
    <m/>
    <n v="0"/>
    <n v="195000"/>
  </r>
  <r>
    <x v="0"/>
    <x v="0"/>
    <s v="John C. Calhoun State Community College "/>
    <m/>
    <n v="101514"/>
    <x v="6"/>
    <n v="22211649"/>
    <n v="22973322"/>
    <m/>
    <m/>
    <m/>
    <m/>
    <n v="32260335"/>
    <n v="2773200"/>
    <n v="35033535"/>
    <n v="31722066"/>
    <n v="2778050"/>
    <n v="34500116"/>
    <n v="54471984"/>
    <n v="54695388"/>
    <m/>
    <m/>
    <m/>
    <m/>
    <n v="0"/>
    <m/>
    <m/>
    <n v="0"/>
    <m/>
    <m/>
    <m/>
    <m/>
    <m/>
    <m/>
    <n v="54471984"/>
    <n v="54695388"/>
  </r>
  <r>
    <x v="0"/>
    <x v="8"/>
    <s v="Special line items for education operations"/>
    <m/>
    <n v="101514"/>
    <x v="6"/>
    <m/>
    <m/>
    <m/>
    <m/>
    <m/>
    <m/>
    <m/>
    <m/>
    <n v="0"/>
    <m/>
    <m/>
    <n v="0"/>
    <n v="0"/>
    <n v="0"/>
    <m/>
    <m/>
    <m/>
    <m/>
    <n v="0"/>
    <m/>
    <m/>
    <n v="0"/>
    <m/>
    <m/>
    <m/>
    <m/>
    <m/>
    <m/>
    <n v="0"/>
    <n v="0"/>
  </r>
  <r>
    <x v="0"/>
    <x v="8"/>
    <s v="Special Population Training"/>
    <m/>
    <n v="101514"/>
    <x v="6"/>
    <m/>
    <m/>
    <m/>
    <n v="197303"/>
    <m/>
    <m/>
    <m/>
    <m/>
    <n v="0"/>
    <m/>
    <m/>
    <n v="0"/>
    <n v="0"/>
    <n v="197303"/>
    <m/>
    <m/>
    <m/>
    <m/>
    <n v="0"/>
    <m/>
    <m/>
    <n v="0"/>
    <m/>
    <m/>
    <m/>
    <m/>
    <m/>
    <m/>
    <n v="0"/>
    <n v="197303"/>
  </r>
  <r>
    <x v="0"/>
    <x v="8"/>
    <s v="Adult Basic Education"/>
    <m/>
    <n v="101514"/>
    <x v="6"/>
    <m/>
    <m/>
    <n v="827264"/>
    <n v="777081"/>
    <m/>
    <m/>
    <m/>
    <m/>
    <n v="0"/>
    <m/>
    <m/>
    <n v="0"/>
    <n v="827264"/>
    <n v="777081"/>
    <m/>
    <m/>
    <m/>
    <m/>
    <n v="0"/>
    <m/>
    <m/>
    <n v="0"/>
    <m/>
    <m/>
    <m/>
    <m/>
    <m/>
    <m/>
    <n v="827264"/>
    <n v="777081"/>
  </r>
  <r>
    <x v="0"/>
    <x v="8"/>
    <s v="Workforce Development"/>
    <m/>
    <n v="101514"/>
    <x v="6"/>
    <m/>
    <m/>
    <n v="192175"/>
    <n v="240340"/>
    <m/>
    <m/>
    <m/>
    <m/>
    <n v="0"/>
    <m/>
    <m/>
    <n v="0"/>
    <n v="192175"/>
    <n v="240340"/>
    <m/>
    <m/>
    <m/>
    <m/>
    <n v="0"/>
    <m/>
    <m/>
    <n v="0"/>
    <m/>
    <m/>
    <m/>
    <m/>
    <m/>
    <m/>
    <n v="192175"/>
    <n v="240340"/>
  </r>
  <r>
    <x v="0"/>
    <x v="8"/>
    <s v="Dual Enrollment"/>
    <m/>
    <n v="101514"/>
    <x v="6"/>
    <m/>
    <m/>
    <m/>
    <n v="301200"/>
    <m/>
    <m/>
    <m/>
    <m/>
    <n v="0"/>
    <m/>
    <m/>
    <n v="0"/>
    <n v="0"/>
    <n v="301200"/>
    <m/>
    <m/>
    <m/>
    <m/>
    <n v="0"/>
    <m/>
    <m/>
    <n v="0"/>
    <m/>
    <m/>
    <m/>
    <m/>
    <m/>
    <m/>
    <n v="0"/>
    <n v="301200"/>
  </r>
  <r>
    <x v="0"/>
    <x v="0"/>
    <s v="Wallace Community College - Hanceville"/>
    <s v="Reclassified: Met the criteria for Two-Year 2 in 2012-13, 2013-14, and 2014-15."/>
    <n v="101295"/>
    <x v="7"/>
    <n v="18328943"/>
    <n v="18511168"/>
    <m/>
    <m/>
    <m/>
    <m/>
    <n v="15228692"/>
    <n v="3657088"/>
    <n v="18885780"/>
    <n v="14734195"/>
    <n v="3651000"/>
    <n v="18385195"/>
    <n v="33557635"/>
    <n v="33245363"/>
    <m/>
    <m/>
    <m/>
    <m/>
    <n v="0"/>
    <m/>
    <m/>
    <n v="0"/>
    <m/>
    <m/>
    <m/>
    <m/>
    <m/>
    <m/>
    <n v="33557635"/>
    <n v="33245363"/>
  </r>
  <r>
    <x v="0"/>
    <x v="8"/>
    <s v="Special line items for education operations"/>
    <m/>
    <n v="101295"/>
    <x v="7"/>
    <m/>
    <m/>
    <m/>
    <m/>
    <m/>
    <m/>
    <m/>
    <m/>
    <n v="0"/>
    <m/>
    <m/>
    <n v="0"/>
    <n v="0"/>
    <n v="0"/>
    <m/>
    <m/>
    <m/>
    <m/>
    <n v="0"/>
    <m/>
    <m/>
    <n v="0"/>
    <m/>
    <m/>
    <m/>
    <m/>
    <m/>
    <m/>
    <n v="0"/>
    <n v="0"/>
  </r>
  <r>
    <x v="0"/>
    <x v="8"/>
    <s v="Special Population Training"/>
    <m/>
    <n v="101295"/>
    <x v="7"/>
    <m/>
    <m/>
    <n v="245774"/>
    <n v="215366"/>
    <m/>
    <m/>
    <m/>
    <m/>
    <n v="0"/>
    <m/>
    <m/>
    <n v="0"/>
    <n v="245774"/>
    <n v="215366"/>
    <m/>
    <m/>
    <m/>
    <m/>
    <n v="0"/>
    <m/>
    <m/>
    <n v="0"/>
    <m/>
    <m/>
    <m/>
    <m/>
    <m/>
    <m/>
    <n v="245774"/>
    <n v="215366"/>
  </r>
  <r>
    <x v="0"/>
    <x v="8"/>
    <s v="Adult Basic Education"/>
    <m/>
    <n v="101295"/>
    <x v="7"/>
    <m/>
    <m/>
    <n v="401399"/>
    <n v="355980"/>
    <m/>
    <m/>
    <m/>
    <m/>
    <n v="0"/>
    <m/>
    <m/>
    <n v="0"/>
    <n v="401399"/>
    <n v="355980"/>
    <m/>
    <m/>
    <m/>
    <m/>
    <n v="0"/>
    <m/>
    <m/>
    <n v="0"/>
    <m/>
    <m/>
    <m/>
    <m/>
    <m/>
    <m/>
    <n v="401399"/>
    <n v="355980"/>
  </r>
  <r>
    <x v="0"/>
    <x v="8"/>
    <s v="Workforce Development"/>
    <m/>
    <n v="101295"/>
    <x v="7"/>
    <m/>
    <m/>
    <n v="134580"/>
    <n v="30000"/>
    <m/>
    <m/>
    <m/>
    <m/>
    <n v="0"/>
    <m/>
    <m/>
    <n v="0"/>
    <n v="134580"/>
    <n v="30000"/>
    <m/>
    <m/>
    <m/>
    <m/>
    <n v="0"/>
    <m/>
    <m/>
    <n v="0"/>
    <m/>
    <m/>
    <m/>
    <m/>
    <m/>
    <m/>
    <n v="134580"/>
    <n v="30000"/>
  </r>
  <r>
    <x v="0"/>
    <x v="8"/>
    <s v="Dual Enrollment"/>
    <m/>
    <n v="101295"/>
    <x v="7"/>
    <m/>
    <m/>
    <m/>
    <n v="225000"/>
    <m/>
    <m/>
    <m/>
    <m/>
    <n v="0"/>
    <m/>
    <m/>
    <n v="0"/>
    <n v="0"/>
    <n v="225000"/>
    <m/>
    <m/>
    <m/>
    <m/>
    <n v="0"/>
    <m/>
    <m/>
    <n v="0"/>
    <m/>
    <m/>
    <m/>
    <m/>
    <m/>
    <m/>
    <n v="0"/>
    <n v="225000"/>
  </r>
  <r>
    <x v="0"/>
    <x v="0"/>
    <s v="Bevill State Community College"/>
    <m/>
    <n v="102429"/>
    <x v="7"/>
    <n v="15634641"/>
    <n v="15390019"/>
    <m/>
    <m/>
    <m/>
    <m/>
    <n v="10388097"/>
    <n v="1628103"/>
    <n v="12016200"/>
    <n v="10301118"/>
    <n v="1630033"/>
    <n v="11931151"/>
    <n v="26022738"/>
    <n v="25691137"/>
    <m/>
    <m/>
    <m/>
    <m/>
    <n v="0"/>
    <m/>
    <m/>
    <n v="0"/>
    <m/>
    <m/>
    <m/>
    <m/>
    <m/>
    <m/>
    <n v="26022738"/>
    <n v="25691137"/>
  </r>
  <r>
    <x v="0"/>
    <x v="8"/>
    <s v="Special line items for education operations"/>
    <m/>
    <n v="102429"/>
    <x v="7"/>
    <m/>
    <m/>
    <m/>
    <m/>
    <m/>
    <m/>
    <m/>
    <m/>
    <n v="0"/>
    <m/>
    <m/>
    <n v="0"/>
    <n v="0"/>
    <n v="0"/>
    <m/>
    <m/>
    <m/>
    <m/>
    <n v="0"/>
    <m/>
    <m/>
    <n v="0"/>
    <m/>
    <m/>
    <m/>
    <m/>
    <m/>
    <m/>
    <n v="0"/>
    <n v="0"/>
  </r>
  <r>
    <x v="0"/>
    <x v="8"/>
    <s v="Special Population Training"/>
    <m/>
    <n v="102429"/>
    <x v="7"/>
    <m/>
    <m/>
    <n v="194848"/>
    <n v="276368"/>
    <m/>
    <m/>
    <m/>
    <m/>
    <n v="0"/>
    <m/>
    <m/>
    <n v="0"/>
    <n v="194848"/>
    <n v="276368"/>
    <m/>
    <m/>
    <m/>
    <m/>
    <n v="0"/>
    <m/>
    <m/>
    <n v="0"/>
    <m/>
    <m/>
    <m/>
    <m/>
    <m/>
    <m/>
    <n v="194848"/>
    <n v="276368"/>
  </r>
  <r>
    <x v="0"/>
    <x v="8"/>
    <s v="Adult Basic Education"/>
    <m/>
    <n v="102429"/>
    <x v="7"/>
    <m/>
    <m/>
    <n v="439068"/>
    <n v="414978"/>
    <m/>
    <m/>
    <m/>
    <m/>
    <n v="0"/>
    <m/>
    <m/>
    <n v="0"/>
    <n v="439068"/>
    <n v="414978"/>
    <m/>
    <m/>
    <m/>
    <m/>
    <n v="0"/>
    <m/>
    <m/>
    <n v="0"/>
    <m/>
    <m/>
    <m/>
    <m/>
    <m/>
    <m/>
    <n v="439068"/>
    <n v="414978"/>
  </r>
  <r>
    <x v="0"/>
    <x v="8"/>
    <s v="Workforce Development"/>
    <m/>
    <n v="102429"/>
    <x v="7"/>
    <m/>
    <m/>
    <n v="80653"/>
    <n v="183568"/>
    <m/>
    <m/>
    <m/>
    <m/>
    <n v="0"/>
    <m/>
    <m/>
    <n v="0"/>
    <n v="80653"/>
    <n v="183568"/>
    <m/>
    <m/>
    <m/>
    <m/>
    <n v="0"/>
    <m/>
    <m/>
    <n v="0"/>
    <m/>
    <m/>
    <m/>
    <m/>
    <m/>
    <m/>
    <n v="80653"/>
    <n v="183568"/>
  </r>
  <r>
    <x v="0"/>
    <x v="8"/>
    <s v="Dual Enrollment"/>
    <m/>
    <n v="102429"/>
    <x v="7"/>
    <m/>
    <m/>
    <m/>
    <n v="199989"/>
    <m/>
    <m/>
    <m/>
    <m/>
    <n v="0"/>
    <m/>
    <m/>
    <n v="0"/>
    <n v="0"/>
    <n v="199989"/>
    <m/>
    <m/>
    <m/>
    <m/>
    <n v="0"/>
    <m/>
    <m/>
    <n v="0"/>
    <m/>
    <m/>
    <m/>
    <m/>
    <m/>
    <m/>
    <n v="0"/>
    <n v="199989"/>
  </r>
  <r>
    <x v="0"/>
    <x v="0"/>
    <s v="Bishop State Community College"/>
    <m/>
    <n v="102030"/>
    <x v="7"/>
    <n v="13812655"/>
    <n v="13550464"/>
    <m/>
    <m/>
    <n v="20596"/>
    <n v="18000"/>
    <n v="11353099"/>
    <n v="589291"/>
    <n v="11942390"/>
    <n v="12007840"/>
    <n v="596735"/>
    <n v="12604575"/>
    <n v="25186350"/>
    <n v="25576304"/>
    <m/>
    <m/>
    <m/>
    <m/>
    <n v="0"/>
    <m/>
    <m/>
    <n v="0"/>
    <m/>
    <m/>
    <m/>
    <m/>
    <m/>
    <m/>
    <n v="25186350"/>
    <n v="25576304"/>
  </r>
  <r>
    <x v="0"/>
    <x v="8"/>
    <s v="Special line items for education operations"/>
    <m/>
    <n v="102030"/>
    <x v="7"/>
    <m/>
    <m/>
    <m/>
    <m/>
    <m/>
    <m/>
    <m/>
    <m/>
    <n v="0"/>
    <m/>
    <m/>
    <n v="0"/>
    <n v="0"/>
    <n v="0"/>
    <m/>
    <m/>
    <m/>
    <m/>
    <n v="0"/>
    <m/>
    <m/>
    <n v="0"/>
    <m/>
    <m/>
    <m/>
    <m/>
    <m/>
    <m/>
    <n v="0"/>
    <n v="0"/>
  </r>
  <r>
    <x v="0"/>
    <x v="8"/>
    <s v="Special Population Training"/>
    <m/>
    <n v="102030"/>
    <x v="7"/>
    <m/>
    <m/>
    <n v="189516"/>
    <n v="178700"/>
    <m/>
    <m/>
    <m/>
    <m/>
    <n v="0"/>
    <m/>
    <m/>
    <n v="0"/>
    <n v="189516"/>
    <n v="178700"/>
    <m/>
    <m/>
    <m/>
    <m/>
    <n v="0"/>
    <m/>
    <m/>
    <n v="0"/>
    <m/>
    <m/>
    <m/>
    <m/>
    <m/>
    <m/>
    <n v="189516"/>
    <n v="178700"/>
  </r>
  <r>
    <x v="0"/>
    <x v="8"/>
    <s v="Adult Basic Education"/>
    <m/>
    <n v="102030"/>
    <x v="7"/>
    <m/>
    <m/>
    <n v="470302"/>
    <n v="443731"/>
    <m/>
    <m/>
    <m/>
    <m/>
    <n v="0"/>
    <m/>
    <m/>
    <n v="0"/>
    <n v="470302"/>
    <n v="443731"/>
    <m/>
    <m/>
    <m/>
    <m/>
    <n v="0"/>
    <m/>
    <m/>
    <n v="0"/>
    <m/>
    <m/>
    <m/>
    <m/>
    <m/>
    <m/>
    <n v="470302"/>
    <n v="443731"/>
  </r>
  <r>
    <x v="0"/>
    <x v="8"/>
    <s v="Workforce Development"/>
    <m/>
    <n v="102030"/>
    <x v="7"/>
    <m/>
    <m/>
    <n v="9673"/>
    <n v="30000"/>
    <m/>
    <m/>
    <m/>
    <m/>
    <n v="0"/>
    <m/>
    <m/>
    <n v="0"/>
    <n v="9673"/>
    <n v="30000"/>
    <m/>
    <m/>
    <m/>
    <m/>
    <n v="0"/>
    <m/>
    <m/>
    <n v="0"/>
    <m/>
    <m/>
    <m/>
    <m/>
    <m/>
    <m/>
    <n v="9673"/>
    <n v="30000"/>
  </r>
  <r>
    <x v="0"/>
    <x v="8"/>
    <s v="Dual Enrollment"/>
    <m/>
    <n v="102030"/>
    <x v="7"/>
    <m/>
    <m/>
    <m/>
    <n v="225000"/>
    <m/>
    <m/>
    <m/>
    <m/>
    <n v="0"/>
    <m/>
    <m/>
    <n v="0"/>
    <n v="0"/>
    <n v="225000"/>
    <m/>
    <m/>
    <m/>
    <m/>
    <n v="0"/>
    <m/>
    <m/>
    <n v="0"/>
    <m/>
    <m/>
    <m/>
    <m/>
    <m/>
    <m/>
    <n v="0"/>
    <n v="225000"/>
  </r>
  <r>
    <x v="0"/>
    <x v="0"/>
    <s v="Central Alabama Community College"/>
    <s v="Reclassified: Met the criteria for Two-Year 3 in 2012-13, 2013-14, and 2014-15."/>
    <n v="100760"/>
    <x v="8"/>
    <n v="8165944"/>
    <n v="8622249"/>
    <m/>
    <m/>
    <m/>
    <m/>
    <n v="5740406"/>
    <n v="683919"/>
    <n v="6424325"/>
    <n v="5934120"/>
    <n v="669704"/>
    <n v="6603824"/>
    <n v="13906350"/>
    <n v="14556369"/>
    <m/>
    <m/>
    <m/>
    <m/>
    <n v="0"/>
    <m/>
    <m/>
    <n v="0"/>
    <m/>
    <m/>
    <m/>
    <m/>
    <m/>
    <m/>
    <n v="13906350"/>
    <n v="14556369"/>
  </r>
  <r>
    <x v="0"/>
    <x v="8"/>
    <s v="Special line items for education operations"/>
    <m/>
    <n v="100760"/>
    <x v="8"/>
    <m/>
    <m/>
    <m/>
    <m/>
    <m/>
    <m/>
    <m/>
    <m/>
    <n v="0"/>
    <m/>
    <m/>
    <n v="0"/>
    <n v="0"/>
    <n v="0"/>
    <m/>
    <m/>
    <m/>
    <m/>
    <n v="0"/>
    <m/>
    <m/>
    <n v="0"/>
    <m/>
    <m/>
    <m/>
    <m/>
    <m/>
    <m/>
    <n v="0"/>
    <n v="0"/>
  </r>
  <r>
    <x v="0"/>
    <x v="8"/>
    <s v="Special Population Training"/>
    <m/>
    <n v="100760"/>
    <x v="8"/>
    <m/>
    <m/>
    <n v="140144"/>
    <n v="399966"/>
    <m/>
    <m/>
    <m/>
    <m/>
    <n v="0"/>
    <m/>
    <m/>
    <n v="0"/>
    <n v="140144"/>
    <n v="399966"/>
    <m/>
    <m/>
    <m/>
    <m/>
    <n v="0"/>
    <m/>
    <m/>
    <n v="0"/>
    <m/>
    <m/>
    <m/>
    <m/>
    <m/>
    <m/>
    <n v="140144"/>
    <n v="399966"/>
  </r>
  <r>
    <x v="0"/>
    <x v="8"/>
    <s v="Adult Basic Education"/>
    <m/>
    <n v="100760"/>
    <x v="8"/>
    <m/>
    <m/>
    <n v="484698"/>
    <n v="464386"/>
    <m/>
    <m/>
    <m/>
    <m/>
    <n v="0"/>
    <m/>
    <m/>
    <n v="0"/>
    <n v="484698"/>
    <n v="464386"/>
    <m/>
    <m/>
    <m/>
    <m/>
    <n v="0"/>
    <m/>
    <m/>
    <n v="0"/>
    <m/>
    <m/>
    <m/>
    <m/>
    <m/>
    <m/>
    <n v="484698"/>
    <n v="464386"/>
  </r>
  <r>
    <x v="0"/>
    <x v="8"/>
    <s v="Workforce Development"/>
    <m/>
    <n v="100760"/>
    <x v="8"/>
    <m/>
    <m/>
    <n v="30858"/>
    <n v="117431"/>
    <m/>
    <m/>
    <m/>
    <m/>
    <n v="0"/>
    <m/>
    <m/>
    <n v="0"/>
    <n v="30858"/>
    <n v="117431"/>
    <m/>
    <m/>
    <m/>
    <m/>
    <n v="0"/>
    <m/>
    <m/>
    <n v="0"/>
    <m/>
    <m/>
    <m/>
    <m/>
    <m/>
    <m/>
    <n v="30858"/>
    <n v="117431"/>
  </r>
  <r>
    <x v="0"/>
    <x v="8"/>
    <s v="Dual Enrollment"/>
    <m/>
    <n v="100760"/>
    <x v="8"/>
    <m/>
    <m/>
    <m/>
    <n v="200000"/>
    <m/>
    <m/>
    <m/>
    <m/>
    <n v="0"/>
    <m/>
    <m/>
    <n v="0"/>
    <n v="0"/>
    <n v="200000"/>
    <m/>
    <m/>
    <m/>
    <m/>
    <n v="0"/>
    <m/>
    <m/>
    <n v="0"/>
    <m/>
    <m/>
    <m/>
    <m/>
    <m/>
    <m/>
    <n v="0"/>
    <n v="200000"/>
  </r>
  <r>
    <x v="0"/>
    <x v="0"/>
    <s v="Enterprise State Community College"/>
    <s v="Met the criteria for Two-Year 3 in 2014-15."/>
    <n v="101143"/>
    <x v="7"/>
    <n v="9704499"/>
    <n v="9517875"/>
    <m/>
    <m/>
    <m/>
    <m/>
    <n v="7594950"/>
    <n v="734851"/>
    <n v="8329801"/>
    <n v="8628982"/>
    <n v="437482"/>
    <n v="9066464"/>
    <n v="17299449"/>
    <n v="18146857"/>
    <m/>
    <m/>
    <m/>
    <m/>
    <n v="0"/>
    <m/>
    <m/>
    <n v="0"/>
    <m/>
    <m/>
    <m/>
    <m/>
    <m/>
    <m/>
    <n v="17299449"/>
    <n v="18146857"/>
  </r>
  <r>
    <x v="0"/>
    <x v="8"/>
    <s v="Special line items for education operations"/>
    <m/>
    <n v="101143"/>
    <x v="7"/>
    <m/>
    <m/>
    <m/>
    <m/>
    <m/>
    <m/>
    <m/>
    <m/>
    <n v="0"/>
    <m/>
    <m/>
    <n v="0"/>
    <n v="0"/>
    <n v="0"/>
    <m/>
    <m/>
    <m/>
    <m/>
    <n v="0"/>
    <m/>
    <m/>
    <n v="0"/>
    <m/>
    <m/>
    <m/>
    <m/>
    <m/>
    <m/>
    <n v="0"/>
    <n v="0"/>
  </r>
  <r>
    <x v="0"/>
    <x v="8"/>
    <s v="Special Population Training"/>
    <m/>
    <n v="101143"/>
    <x v="7"/>
    <m/>
    <m/>
    <n v="349243"/>
    <m/>
    <m/>
    <m/>
    <m/>
    <m/>
    <n v="0"/>
    <m/>
    <m/>
    <n v="0"/>
    <n v="349243"/>
    <n v="0"/>
    <m/>
    <m/>
    <m/>
    <m/>
    <n v="0"/>
    <m/>
    <m/>
    <n v="0"/>
    <m/>
    <m/>
    <m/>
    <m/>
    <m/>
    <m/>
    <n v="349243"/>
    <n v="0"/>
  </r>
  <r>
    <x v="0"/>
    <x v="8"/>
    <s v="Adult Basic Education"/>
    <m/>
    <n v="101143"/>
    <x v="7"/>
    <m/>
    <m/>
    <n v="355446"/>
    <n v="344287"/>
    <m/>
    <m/>
    <m/>
    <m/>
    <n v="0"/>
    <m/>
    <m/>
    <n v="0"/>
    <n v="355446"/>
    <n v="344287"/>
    <m/>
    <m/>
    <m/>
    <m/>
    <n v="0"/>
    <m/>
    <m/>
    <n v="0"/>
    <m/>
    <m/>
    <m/>
    <m/>
    <m/>
    <m/>
    <n v="355446"/>
    <n v="344287"/>
  </r>
  <r>
    <x v="0"/>
    <x v="8"/>
    <s v="Workforce Development"/>
    <m/>
    <n v="101143"/>
    <x v="7"/>
    <m/>
    <m/>
    <n v="296494"/>
    <n v="115518"/>
    <m/>
    <m/>
    <m/>
    <m/>
    <n v="0"/>
    <m/>
    <m/>
    <n v="0"/>
    <n v="296494"/>
    <n v="115518"/>
    <m/>
    <m/>
    <m/>
    <m/>
    <n v="0"/>
    <m/>
    <m/>
    <n v="0"/>
    <m/>
    <m/>
    <m/>
    <m/>
    <m/>
    <m/>
    <n v="296494"/>
    <n v="115518"/>
  </r>
  <r>
    <x v="0"/>
    <x v="8"/>
    <s v="Dual Enrollment"/>
    <m/>
    <n v="101143"/>
    <x v="7"/>
    <m/>
    <m/>
    <m/>
    <n v="398800"/>
    <m/>
    <m/>
    <m/>
    <m/>
    <n v="0"/>
    <m/>
    <m/>
    <n v="0"/>
    <n v="0"/>
    <n v="398800"/>
    <m/>
    <m/>
    <m/>
    <m/>
    <n v="0"/>
    <m/>
    <m/>
    <n v="0"/>
    <m/>
    <m/>
    <m/>
    <m/>
    <m/>
    <m/>
    <n v="0"/>
    <n v="398800"/>
  </r>
  <r>
    <x v="0"/>
    <x v="0"/>
    <s v="George C. Wallace Community College - Dothan"/>
    <m/>
    <n v="101286"/>
    <x v="7"/>
    <n v="14881674"/>
    <n v="15025307"/>
    <m/>
    <m/>
    <m/>
    <m/>
    <n v="14035135"/>
    <n v="848911"/>
    <n v="14884046"/>
    <n v="13533986"/>
    <n v="849129"/>
    <n v="14383115"/>
    <n v="28916809"/>
    <n v="28559293"/>
    <m/>
    <m/>
    <m/>
    <m/>
    <n v="0"/>
    <m/>
    <m/>
    <n v="0"/>
    <m/>
    <m/>
    <m/>
    <m/>
    <m/>
    <m/>
    <n v="28916809"/>
    <n v="28559293"/>
  </r>
  <r>
    <x v="0"/>
    <x v="8"/>
    <s v="Special line items for education operations"/>
    <m/>
    <n v="101286"/>
    <x v="7"/>
    <m/>
    <m/>
    <m/>
    <m/>
    <m/>
    <m/>
    <m/>
    <m/>
    <n v="0"/>
    <m/>
    <m/>
    <n v="0"/>
    <n v="0"/>
    <n v="0"/>
    <m/>
    <m/>
    <m/>
    <m/>
    <n v="0"/>
    <m/>
    <m/>
    <n v="0"/>
    <m/>
    <m/>
    <m/>
    <m/>
    <m/>
    <m/>
    <n v="0"/>
    <n v="0"/>
  </r>
  <r>
    <x v="0"/>
    <x v="8"/>
    <s v="Special Population Training"/>
    <m/>
    <n v="101286"/>
    <x v="7"/>
    <m/>
    <m/>
    <n v="194112"/>
    <n v="148136"/>
    <m/>
    <m/>
    <m/>
    <m/>
    <n v="0"/>
    <m/>
    <m/>
    <n v="0"/>
    <n v="194112"/>
    <n v="148136"/>
    <m/>
    <m/>
    <m/>
    <m/>
    <n v="0"/>
    <m/>
    <m/>
    <n v="0"/>
    <m/>
    <m/>
    <m/>
    <m/>
    <m/>
    <m/>
    <n v="194112"/>
    <n v="148136"/>
  </r>
  <r>
    <x v="0"/>
    <x v="8"/>
    <s v="Adult Basic Education"/>
    <m/>
    <n v="101286"/>
    <x v="7"/>
    <m/>
    <m/>
    <n v="552230"/>
    <n v="2305574"/>
    <m/>
    <m/>
    <m/>
    <m/>
    <n v="0"/>
    <m/>
    <m/>
    <n v="0"/>
    <n v="552230"/>
    <n v="2305574"/>
    <m/>
    <m/>
    <m/>
    <m/>
    <n v="0"/>
    <m/>
    <m/>
    <n v="0"/>
    <m/>
    <m/>
    <m/>
    <m/>
    <m/>
    <m/>
    <n v="552230"/>
    <n v="2305574"/>
  </r>
  <r>
    <x v="0"/>
    <x v="8"/>
    <s v="Workforce Development"/>
    <m/>
    <n v="101286"/>
    <x v="7"/>
    <m/>
    <m/>
    <n v="85688"/>
    <n v="173507"/>
    <m/>
    <m/>
    <m/>
    <m/>
    <n v="0"/>
    <m/>
    <m/>
    <n v="0"/>
    <n v="85688"/>
    <n v="173507"/>
    <m/>
    <m/>
    <m/>
    <m/>
    <n v="0"/>
    <m/>
    <m/>
    <n v="0"/>
    <m/>
    <m/>
    <m/>
    <m/>
    <m/>
    <m/>
    <n v="85688"/>
    <n v="173507"/>
  </r>
  <r>
    <x v="0"/>
    <x v="8"/>
    <s v="Dual Enrollment"/>
    <m/>
    <n v="101286"/>
    <x v="7"/>
    <m/>
    <m/>
    <m/>
    <n v="197106"/>
    <m/>
    <m/>
    <m/>
    <m/>
    <n v="0"/>
    <m/>
    <m/>
    <n v="0"/>
    <n v="0"/>
    <n v="197106"/>
    <m/>
    <m/>
    <m/>
    <m/>
    <n v="0"/>
    <m/>
    <m/>
    <n v="0"/>
    <m/>
    <m/>
    <m/>
    <m/>
    <m/>
    <m/>
    <n v="0"/>
    <n v="197106"/>
  </r>
  <r>
    <x v="0"/>
    <x v="0"/>
    <s v="James H. Faulkner State Community College"/>
    <m/>
    <n v="101161"/>
    <x v="7"/>
    <n v="11374947"/>
    <n v="11799099"/>
    <m/>
    <m/>
    <n v="1385432"/>
    <n v="950000"/>
    <n v="15263955"/>
    <n v="1989785"/>
    <n v="17253740"/>
    <n v="13251324"/>
    <n v="1888693"/>
    <n v="15140017"/>
    <n v="28024334"/>
    <n v="26000423"/>
    <m/>
    <m/>
    <m/>
    <m/>
    <n v="0"/>
    <m/>
    <m/>
    <n v="0"/>
    <m/>
    <m/>
    <m/>
    <m/>
    <m/>
    <m/>
    <n v="28024334"/>
    <n v="26000423"/>
  </r>
  <r>
    <x v="0"/>
    <x v="8"/>
    <s v="Special line items for education operations"/>
    <m/>
    <n v="101161"/>
    <x v="7"/>
    <m/>
    <m/>
    <m/>
    <m/>
    <m/>
    <m/>
    <m/>
    <m/>
    <n v="0"/>
    <m/>
    <m/>
    <n v="0"/>
    <n v="0"/>
    <n v="0"/>
    <m/>
    <m/>
    <m/>
    <m/>
    <n v="0"/>
    <m/>
    <m/>
    <n v="0"/>
    <m/>
    <m/>
    <m/>
    <m/>
    <m/>
    <m/>
    <n v="0"/>
    <n v="0"/>
  </r>
  <r>
    <x v="0"/>
    <x v="8"/>
    <s v="Special Population Training"/>
    <m/>
    <n v="101161"/>
    <x v="7"/>
    <m/>
    <m/>
    <n v="32045"/>
    <n v="25049"/>
    <m/>
    <m/>
    <m/>
    <m/>
    <n v="0"/>
    <m/>
    <m/>
    <n v="0"/>
    <n v="32045"/>
    <n v="25049"/>
    <m/>
    <m/>
    <m/>
    <m/>
    <n v="0"/>
    <m/>
    <m/>
    <n v="0"/>
    <m/>
    <m/>
    <m/>
    <m/>
    <m/>
    <m/>
    <n v="32045"/>
    <n v="25049"/>
  </r>
  <r>
    <x v="0"/>
    <x v="8"/>
    <s v="Adult Basic Education"/>
    <m/>
    <n v="101161"/>
    <x v="7"/>
    <m/>
    <m/>
    <n v="385877"/>
    <n v="385843"/>
    <m/>
    <m/>
    <m/>
    <m/>
    <n v="0"/>
    <m/>
    <m/>
    <n v="0"/>
    <n v="385877"/>
    <n v="385843"/>
    <m/>
    <m/>
    <m/>
    <m/>
    <n v="0"/>
    <m/>
    <m/>
    <n v="0"/>
    <m/>
    <m/>
    <m/>
    <m/>
    <m/>
    <m/>
    <n v="385877"/>
    <n v="385843"/>
  </r>
  <r>
    <x v="0"/>
    <x v="8"/>
    <s v="Workforce Development"/>
    <m/>
    <n v="101161"/>
    <x v="7"/>
    <m/>
    <m/>
    <n v="221122"/>
    <n v="222935"/>
    <m/>
    <m/>
    <m/>
    <m/>
    <n v="0"/>
    <m/>
    <m/>
    <n v="0"/>
    <n v="221122"/>
    <n v="222935"/>
    <m/>
    <m/>
    <m/>
    <m/>
    <n v="0"/>
    <m/>
    <m/>
    <n v="0"/>
    <m/>
    <m/>
    <m/>
    <m/>
    <m/>
    <m/>
    <n v="221122"/>
    <n v="222935"/>
  </r>
  <r>
    <x v="0"/>
    <x v="8"/>
    <s v="Dual Enrollment"/>
    <m/>
    <n v="101161"/>
    <x v="7"/>
    <m/>
    <m/>
    <m/>
    <n v="367359"/>
    <m/>
    <m/>
    <m/>
    <m/>
    <n v="0"/>
    <m/>
    <m/>
    <n v="0"/>
    <n v="0"/>
    <n v="367359"/>
    <m/>
    <m/>
    <m/>
    <m/>
    <n v="0"/>
    <m/>
    <m/>
    <n v="0"/>
    <m/>
    <m/>
    <m/>
    <m/>
    <m/>
    <m/>
    <n v="0"/>
    <n v="367359"/>
  </r>
  <r>
    <x v="0"/>
    <x v="0"/>
    <s v="Lawson State Community College "/>
    <m/>
    <n v="101569"/>
    <x v="7"/>
    <n v="13909345"/>
    <n v="13750317"/>
    <m/>
    <m/>
    <n v="0"/>
    <n v="50000"/>
    <n v="9578096"/>
    <n v="1227429"/>
    <n v="10805525"/>
    <n v="10089738"/>
    <n v="957359"/>
    <n v="11047097"/>
    <n v="23487441"/>
    <n v="23890055"/>
    <m/>
    <m/>
    <m/>
    <m/>
    <n v="0"/>
    <m/>
    <m/>
    <n v="0"/>
    <m/>
    <m/>
    <m/>
    <m/>
    <m/>
    <m/>
    <n v="23487441"/>
    <n v="23890055"/>
  </r>
  <r>
    <x v="0"/>
    <x v="8"/>
    <s v="Special line items for education operations"/>
    <m/>
    <n v="101569"/>
    <x v="7"/>
    <m/>
    <m/>
    <m/>
    <m/>
    <m/>
    <m/>
    <m/>
    <m/>
    <n v="0"/>
    <m/>
    <m/>
    <n v="0"/>
    <n v="0"/>
    <n v="0"/>
    <m/>
    <m/>
    <m/>
    <m/>
    <n v="0"/>
    <m/>
    <m/>
    <n v="0"/>
    <m/>
    <m/>
    <m/>
    <m/>
    <m/>
    <m/>
    <n v="0"/>
    <n v="0"/>
  </r>
  <r>
    <x v="0"/>
    <x v="8"/>
    <s v="Special Population Training"/>
    <m/>
    <n v="101569"/>
    <x v="7"/>
    <m/>
    <m/>
    <n v="112873"/>
    <n v="207655"/>
    <m/>
    <m/>
    <m/>
    <m/>
    <n v="0"/>
    <m/>
    <m/>
    <n v="0"/>
    <n v="112873"/>
    <n v="207655"/>
    <m/>
    <m/>
    <m/>
    <m/>
    <n v="0"/>
    <m/>
    <m/>
    <n v="0"/>
    <m/>
    <m/>
    <m/>
    <m/>
    <m/>
    <m/>
    <n v="112873"/>
    <n v="207655"/>
  </r>
  <r>
    <x v="0"/>
    <x v="8"/>
    <s v="Adult Basic Education"/>
    <m/>
    <n v="101569"/>
    <x v="7"/>
    <m/>
    <m/>
    <n v="371764"/>
    <n v="357287"/>
    <m/>
    <m/>
    <m/>
    <m/>
    <n v="0"/>
    <m/>
    <m/>
    <n v="0"/>
    <n v="371764"/>
    <n v="357287"/>
    <m/>
    <m/>
    <m/>
    <m/>
    <n v="0"/>
    <m/>
    <m/>
    <n v="0"/>
    <m/>
    <m/>
    <m/>
    <m/>
    <m/>
    <m/>
    <n v="371764"/>
    <n v="357287"/>
  </r>
  <r>
    <x v="0"/>
    <x v="8"/>
    <s v="Workforce Development"/>
    <m/>
    <n v="101569"/>
    <x v="7"/>
    <m/>
    <m/>
    <n v="25013"/>
    <n v="30000"/>
    <m/>
    <m/>
    <m/>
    <m/>
    <n v="0"/>
    <m/>
    <m/>
    <n v="0"/>
    <n v="25013"/>
    <n v="30000"/>
    <m/>
    <m/>
    <m/>
    <m/>
    <n v="0"/>
    <m/>
    <m/>
    <n v="0"/>
    <m/>
    <m/>
    <m/>
    <m/>
    <m/>
    <m/>
    <n v="25013"/>
    <n v="30000"/>
  </r>
  <r>
    <x v="0"/>
    <x v="8"/>
    <s v="Dual Enrollment"/>
    <m/>
    <n v="101569"/>
    <x v="7"/>
    <m/>
    <m/>
    <m/>
    <n v="150000"/>
    <m/>
    <m/>
    <m/>
    <m/>
    <n v="0"/>
    <m/>
    <m/>
    <n v="0"/>
    <n v="0"/>
    <n v="150000"/>
    <m/>
    <m/>
    <m/>
    <m/>
    <n v="0"/>
    <m/>
    <m/>
    <n v="0"/>
    <m/>
    <m/>
    <m/>
    <m/>
    <m/>
    <m/>
    <n v="0"/>
    <n v="150000"/>
  </r>
  <r>
    <x v="0"/>
    <x v="0"/>
    <s v="Northeast Alabama State Community College "/>
    <m/>
    <n v="101897"/>
    <x v="7"/>
    <n v="7337886"/>
    <n v="7627169"/>
    <m/>
    <m/>
    <m/>
    <m/>
    <n v="7981327"/>
    <n v="786897"/>
    <n v="8768224"/>
    <n v="8483053"/>
    <n v="785907"/>
    <n v="9268960"/>
    <n v="15319213"/>
    <n v="16110222"/>
    <m/>
    <m/>
    <m/>
    <m/>
    <n v="0"/>
    <m/>
    <m/>
    <n v="0"/>
    <m/>
    <m/>
    <m/>
    <m/>
    <m/>
    <m/>
    <n v="15319213"/>
    <n v="16110222"/>
  </r>
  <r>
    <x v="0"/>
    <x v="8"/>
    <s v="Special line items for education operations"/>
    <m/>
    <n v="101897"/>
    <x v="7"/>
    <m/>
    <m/>
    <m/>
    <m/>
    <m/>
    <m/>
    <m/>
    <m/>
    <n v="0"/>
    <m/>
    <m/>
    <n v="0"/>
    <n v="0"/>
    <n v="0"/>
    <m/>
    <m/>
    <m/>
    <m/>
    <n v="0"/>
    <m/>
    <m/>
    <n v="0"/>
    <m/>
    <m/>
    <m/>
    <m/>
    <m/>
    <m/>
    <n v="0"/>
    <n v="0"/>
  </r>
  <r>
    <x v="0"/>
    <x v="8"/>
    <s v="Special Population Training"/>
    <m/>
    <n v="101897"/>
    <x v="7"/>
    <m/>
    <m/>
    <n v="159116"/>
    <n v="85025"/>
    <m/>
    <m/>
    <m/>
    <m/>
    <n v="0"/>
    <m/>
    <m/>
    <n v="0"/>
    <n v="159116"/>
    <n v="85025"/>
    <m/>
    <m/>
    <m/>
    <m/>
    <n v="0"/>
    <m/>
    <m/>
    <n v="0"/>
    <m/>
    <m/>
    <m/>
    <m/>
    <m/>
    <m/>
    <n v="159116"/>
    <n v="85025"/>
  </r>
  <r>
    <x v="0"/>
    <x v="8"/>
    <s v="Adult Basic Education"/>
    <m/>
    <n v="101897"/>
    <x v="7"/>
    <m/>
    <m/>
    <n v="858032"/>
    <n v="741088"/>
    <m/>
    <m/>
    <m/>
    <m/>
    <n v="0"/>
    <m/>
    <m/>
    <n v="0"/>
    <n v="858032"/>
    <n v="741088"/>
    <m/>
    <m/>
    <m/>
    <m/>
    <n v="0"/>
    <m/>
    <m/>
    <n v="0"/>
    <m/>
    <m/>
    <m/>
    <m/>
    <m/>
    <m/>
    <n v="858032"/>
    <n v="741088"/>
  </r>
  <r>
    <x v="0"/>
    <x v="8"/>
    <s v="Workforce Development"/>
    <m/>
    <n v="101897"/>
    <x v="7"/>
    <m/>
    <m/>
    <n v="104362"/>
    <n v="30000"/>
    <m/>
    <m/>
    <m/>
    <m/>
    <n v="0"/>
    <m/>
    <m/>
    <n v="0"/>
    <n v="104362"/>
    <n v="30000"/>
    <m/>
    <m/>
    <m/>
    <m/>
    <n v="0"/>
    <m/>
    <m/>
    <n v="0"/>
    <m/>
    <m/>
    <m/>
    <m/>
    <m/>
    <m/>
    <n v="104362"/>
    <n v="30000"/>
  </r>
  <r>
    <x v="0"/>
    <x v="8"/>
    <s v="Dual Enrollment"/>
    <m/>
    <n v="101897"/>
    <x v="7"/>
    <m/>
    <m/>
    <m/>
    <n v="274998"/>
    <m/>
    <m/>
    <m/>
    <m/>
    <n v="0"/>
    <m/>
    <m/>
    <n v="0"/>
    <n v="0"/>
    <n v="274998"/>
    <m/>
    <m/>
    <m/>
    <m/>
    <n v="0"/>
    <m/>
    <m/>
    <n v="0"/>
    <m/>
    <m/>
    <m/>
    <m/>
    <m/>
    <m/>
    <n v="0"/>
    <n v="274998"/>
  </r>
  <r>
    <x v="0"/>
    <x v="0"/>
    <s v="Northwest-Shoals Community College "/>
    <m/>
    <n v="101736"/>
    <x v="7"/>
    <n v="11329268"/>
    <n v="11497552"/>
    <m/>
    <m/>
    <m/>
    <m/>
    <n v="11102713"/>
    <n v="879823"/>
    <n v="11982536"/>
    <n v="11148396"/>
    <n v="545637"/>
    <n v="11694033"/>
    <n v="22431981"/>
    <n v="22645948"/>
    <m/>
    <m/>
    <m/>
    <m/>
    <n v="0"/>
    <m/>
    <m/>
    <n v="0"/>
    <m/>
    <m/>
    <m/>
    <m/>
    <m/>
    <m/>
    <n v="22431981"/>
    <n v="22645948"/>
  </r>
  <r>
    <x v="0"/>
    <x v="8"/>
    <s v="Special line items for education operations"/>
    <m/>
    <n v="101736"/>
    <x v="7"/>
    <m/>
    <m/>
    <m/>
    <m/>
    <m/>
    <m/>
    <m/>
    <m/>
    <n v="0"/>
    <m/>
    <m/>
    <n v="0"/>
    <n v="0"/>
    <n v="0"/>
    <m/>
    <m/>
    <m/>
    <m/>
    <n v="0"/>
    <m/>
    <m/>
    <n v="0"/>
    <m/>
    <m/>
    <m/>
    <m/>
    <m/>
    <m/>
    <n v="0"/>
    <n v="0"/>
  </r>
  <r>
    <x v="0"/>
    <x v="8"/>
    <s v="Special Population Training"/>
    <m/>
    <n v="101736"/>
    <x v="7"/>
    <m/>
    <m/>
    <n v="640821"/>
    <n v="133710"/>
    <m/>
    <m/>
    <m/>
    <m/>
    <n v="0"/>
    <m/>
    <m/>
    <n v="0"/>
    <n v="640821"/>
    <n v="133710"/>
    <m/>
    <m/>
    <m/>
    <m/>
    <n v="0"/>
    <m/>
    <m/>
    <n v="0"/>
    <m/>
    <m/>
    <m/>
    <m/>
    <m/>
    <m/>
    <n v="640821"/>
    <n v="133710"/>
  </r>
  <r>
    <x v="0"/>
    <x v="8"/>
    <s v="Adult Basic Education"/>
    <m/>
    <n v="101736"/>
    <x v="7"/>
    <m/>
    <m/>
    <n v="460895"/>
    <n v="498592"/>
    <m/>
    <m/>
    <m/>
    <m/>
    <n v="0"/>
    <m/>
    <m/>
    <n v="0"/>
    <n v="460895"/>
    <n v="498592"/>
    <m/>
    <m/>
    <m/>
    <m/>
    <n v="0"/>
    <m/>
    <m/>
    <n v="0"/>
    <m/>
    <m/>
    <m/>
    <m/>
    <m/>
    <m/>
    <n v="460895"/>
    <n v="498592"/>
  </r>
  <r>
    <x v="0"/>
    <x v="8"/>
    <s v="Workforce Development"/>
    <m/>
    <n v="101736"/>
    <x v="7"/>
    <m/>
    <m/>
    <n v="226149"/>
    <n v="90470"/>
    <m/>
    <m/>
    <m/>
    <m/>
    <n v="0"/>
    <m/>
    <m/>
    <n v="0"/>
    <n v="226149"/>
    <n v="90470"/>
    <m/>
    <m/>
    <m/>
    <m/>
    <n v="0"/>
    <m/>
    <m/>
    <n v="0"/>
    <m/>
    <m/>
    <m/>
    <m/>
    <m/>
    <m/>
    <n v="226149"/>
    <n v="90470"/>
  </r>
  <r>
    <x v="0"/>
    <x v="8"/>
    <s v="Dual Enrollment"/>
    <m/>
    <n v="101736"/>
    <x v="7"/>
    <m/>
    <m/>
    <m/>
    <n v="403710"/>
    <m/>
    <m/>
    <m/>
    <m/>
    <n v="0"/>
    <m/>
    <m/>
    <n v="0"/>
    <n v="0"/>
    <n v="403710"/>
    <m/>
    <m/>
    <m/>
    <m/>
    <n v="0"/>
    <m/>
    <m/>
    <n v="0"/>
    <m/>
    <m/>
    <m/>
    <m/>
    <m/>
    <m/>
    <n v="0"/>
    <n v="403710"/>
  </r>
  <r>
    <x v="0"/>
    <x v="0"/>
    <s v="Shelton State Community College"/>
    <m/>
    <n v="102067"/>
    <x v="7"/>
    <n v="17239491"/>
    <n v="16986787"/>
    <m/>
    <m/>
    <m/>
    <m/>
    <n v="16256949"/>
    <m/>
    <n v="16256949"/>
    <n v="17191184"/>
    <m/>
    <n v="17191184"/>
    <n v="33496440"/>
    <n v="34177971"/>
    <m/>
    <m/>
    <m/>
    <m/>
    <n v="0"/>
    <m/>
    <m/>
    <n v="0"/>
    <m/>
    <m/>
    <m/>
    <m/>
    <m/>
    <m/>
    <n v="33496440"/>
    <n v="34177971"/>
  </r>
  <r>
    <x v="0"/>
    <x v="3"/>
    <s v="Community or public service units"/>
    <m/>
    <n v="102067"/>
    <x v="7"/>
    <m/>
    <m/>
    <m/>
    <m/>
    <m/>
    <m/>
    <m/>
    <m/>
    <n v="0"/>
    <m/>
    <m/>
    <n v="0"/>
    <n v="0"/>
    <n v="0"/>
    <m/>
    <m/>
    <m/>
    <m/>
    <n v="0"/>
    <m/>
    <m/>
    <n v="0"/>
    <m/>
    <m/>
    <m/>
    <m/>
    <m/>
    <m/>
    <n v="0"/>
    <n v="0"/>
  </r>
  <r>
    <x v="0"/>
    <x v="8"/>
    <s v="Special line items for education operations"/>
    <m/>
    <n v="102067"/>
    <x v="7"/>
    <m/>
    <m/>
    <m/>
    <m/>
    <m/>
    <m/>
    <m/>
    <m/>
    <n v="0"/>
    <m/>
    <m/>
    <n v="0"/>
    <n v="0"/>
    <n v="0"/>
    <m/>
    <m/>
    <m/>
    <m/>
    <n v="0"/>
    <m/>
    <m/>
    <n v="0"/>
    <m/>
    <m/>
    <m/>
    <m/>
    <m/>
    <m/>
    <n v="0"/>
    <n v="0"/>
  </r>
  <r>
    <x v="0"/>
    <x v="8"/>
    <s v="Special Population Training"/>
    <m/>
    <n v="102067"/>
    <x v="7"/>
    <m/>
    <m/>
    <n v="332238"/>
    <n v="318952"/>
    <m/>
    <m/>
    <m/>
    <m/>
    <n v="0"/>
    <m/>
    <m/>
    <n v="0"/>
    <n v="332238"/>
    <n v="318952"/>
    <m/>
    <m/>
    <m/>
    <m/>
    <n v="0"/>
    <m/>
    <m/>
    <n v="0"/>
    <m/>
    <m/>
    <m/>
    <m/>
    <m/>
    <m/>
    <n v="332238"/>
    <n v="318952"/>
  </r>
  <r>
    <x v="0"/>
    <x v="8"/>
    <s v="Adult Basic Education"/>
    <m/>
    <n v="102067"/>
    <x v="7"/>
    <m/>
    <m/>
    <n v="558830"/>
    <n v="509971"/>
    <m/>
    <m/>
    <m/>
    <m/>
    <n v="0"/>
    <m/>
    <m/>
    <n v="0"/>
    <n v="558830"/>
    <n v="509971"/>
    <m/>
    <m/>
    <m/>
    <m/>
    <n v="0"/>
    <m/>
    <m/>
    <n v="0"/>
    <m/>
    <m/>
    <m/>
    <m/>
    <m/>
    <m/>
    <n v="558830"/>
    <n v="509971"/>
  </r>
  <r>
    <x v="0"/>
    <x v="8"/>
    <s v="Workforce Development"/>
    <m/>
    <n v="102067"/>
    <x v="7"/>
    <m/>
    <m/>
    <n v="45000"/>
    <n v="25000"/>
    <m/>
    <m/>
    <m/>
    <m/>
    <n v="0"/>
    <m/>
    <m/>
    <n v="0"/>
    <n v="45000"/>
    <n v="25000"/>
    <m/>
    <m/>
    <m/>
    <m/>
    <n v="0"/>
    <m/>
    <m/>
    <n v="0"/>
    <m/>
    <m/>
    <m/>
    <m/>
    <m/>
    <m/>
    <n v="45000"/>
    <n v="25000"/>
  </r>
  <r>
    <x v="0"/>
    <x v="8"/>
    <s v="Dual Enrollment"/>
    <m/>
    <n v="102067"/>
    <x v="7"/>
    <m/>
    <m/>
    <m/>
    <n v="75000"/>
    <m/>
    <m/>
    <m/>
    <m/>
    <n v="0"/>
    <m/>
    <m/>
    <n v="0"/>
    <n v="0"/>
    <n v="75000"/>
    <m/>
    <m/>
    <m/>
    <m/>
    <n v="0"/>
    <m/>
    <m/>
    <n v="0"/>
    <m/>
    <m/>
    <m/>
    <m/>
    <m/>
    <m/>
    <n v="0"/>
    <n v="75000"/>
  </r>
  <r>
    <x v="0"/>
    <x v="0"/>
    <s v="Southern Union State Community College"/>
    <m/>
    <n v="251260"/>
    <x v="7"/>
    <n v="13873887"/>
    <n v="14137942"/>
    <m/>
    <m/>
    <m/>
    <m/>
    <n v="13651395"/>
    <n v="2411407"/>
    <n v="16062802"/>
    <n v="13016539"/>
    <n v="2760071"/>
    <n v="15776610"/>
    <n v="27525282"/>
    <n v="27154481"/>
    <m/>
    <m/>
    <m/>
    <m/>
    <n v="0"/>
    <m/>
    <m/>
    <n v="0"/>
    <m/>
    <m/>
    <m/>
    <m/>
    <m/>
    <m/>
    <n v="27525282"/>
    <n v="27154481"/>
  </r>
  <r>
    <x v="0"/>
    <x v="8"/>
    <s v="Special line items for education operations"/>
    <m/>
    <n v="251260"/>
    <x v="7"/>
    <m/>
    <m/>
    <m/>
    <m/>
    <m/>
    <m/>
    <m/>
    <m/>
    <n v="0"/>
    <m/>
    <m/>
    <n v="0"/>
    <n v="0"/>
    <n v="0"/>
    <m/>
    <m/>
    <m/>
    <m/>
    <n v="0"/>
    <m/>
    <m/>
    <n v="0"/>
    <m/>
    <m/>
    <m/>
    <m/>
    <m/>
    <m/>
    <n v="0"/>
    <n v="0"/>
  </r>
  <r>
    <x v="0"/>
    <x v="8"/>
    <s v="Special Population Training"/>
    <m/>
    <n v="251260"/>
    <x v="7"/>
    <m/>
    <m/>
    <n v="26950"/>
    <n v="574219"/>
    <m/>
    <m/>
    <m/>
    <m/>
    <n v="0"/>
    <m/>
    <m/>
    <n v="0"/>
    <n v="26950"/>
    <n v="574219"/>
    <m/>
    <m/>
    <m/>
    <m/>
    <n v="0"/>
    <m/>
    <m/>
    <n v="0"/>
    <m/>
    <m/>
    <m/>
    <m/>
    <m/>
    <m/>
    <n v="26950"/>
    <n v="574219"/>
  </r>
  <r>
    <x v="0"/>
    <x v="8"/>
    <s v="Adult Basic Education"/>
    <m/>
    <n v="251260"/>
    <x v="7"/>
    <m/>
    <m/>
    <n v="1396883"/>
    <n v="220259"/>
    <m/>
    <m/>
    <m/>
    <m/>
    <n v="0"/>
    <m/>
    <m/>
    <n v="0"/>
    <n v="1396883"/>
    <n v="220259"/>
    <m/>
    <m/>
    <m/>
    <m/>
    <n v="0"/>
    <m/>
    <m/>
    <n v="0"/>
    <m/>
    <m/>
    <m/>
    <m/>
    <m/>
    <m/>
    <n v="1396883"/>
    <n v="220259"/>
  </r>
  <r>
    <x v="0"/>
    <x v="8"/>
    <s v="Workforce Development"/>
    <m/>
    <n v="251260"/>
    <x v="7"/>
    <m/>
    <m/>
    <n v="34064"/>
    <n v="30000"/>
    <m/>
    <m/>
    <m/>
    <m/>
    <n v="0"/>
    <m/>
    <m/>
    <n v="0"/>
    <n v="34064"/>
    <n v="30000"/>
    <m/>
    <m/>
    <m/>
    <m/>
    <n v="0"/>
    <m/>
    <m/>
    <n v="0"/>
    <m/>
    <m/>
    <m/>
    <m/>
    <m/>
    <m/>
    <n v="34064"/>
    <n v="30000"/>
  </r>
  <r>
    <x v="0"/>
    <x v="8"/>
    <s v="Dual Enrollment"/>
    <m/>
    <n v="251260"/>
    <x v="7"/>
    <m/>
    <m/>
    <m/>
    <n v="69150"/>
    <m/>
    <m/>
    <m/>
    <m/>
    <n v="0"/>
    <m/>
    <m/>
    <n v="0"/>
    <n v="0"/>
    <n v="69150"/>
    <m/>
    <m/>
    <m/>
    <m/>
    <n v="0"/>
    <m/>
    <m/>
    <n v="0"/>
    <m/>
    <m/>
    <m/>
    <m/>
    <m/>
    <m/>
    <n v="0"/>
    <n v="69150"/>
  </r>
  <r>
    <x v="0"/>
    <x v="0"/>
    <s v="Alabama Southern Community College"/>
    <m/>
    <n v="101949"/>
    <x v="8"/>
    <n v="6176730"/>
    <n v="6235135"/>
    <m/>
    <m/>
    <m/>
    <m/>
    <n v="4779857"/>
    <n v="218056"/>
    <n v="4997913"/>
    <n v="4723333"/>
    <n v="217725"/>
    <n v="4941058"/>
    <n v="10956587"/>
    <n v="10958468"/>
    <m/>
    <m/>
    <m/>
    <m/>
    <n v="0"/>
    <m/>
    <m/>
    <n v="0"/>
    <m/>
    <m/>
    <m/>
    <m/>
    <m/>
    <m/>
    <n v="10956587"/>
    <n v="10958468"/>
  </r>
  <r>
    <x v="0"/>
    <x v="8"/>
    <s v="Special line items for education operations"/>
    <m/>
    <n v="101949"/>
    <x v="8"/>
    <m/>
    <m/>
    <m/>
    <m/>
    <m/>
    <m/>
    <m/>
    <m/>
    <n v="0"/>
    <m/>
    <m/>
    <n v="0"/>
    <n v="0"/>
    <n v="0"/>
    <m/>
    <m/>
    <m/>
    <m/>
    <n v="0"/>
    <m/>
    <m/>
    <n v="0"/>
    <m/>
    <m/>
    <m/>
    <m/>
    <m/>
    <m/>
    <n v="0"/>
    <n v="0"/>
  </r>
  <r>
    <x v="0"/>
    <x v="8"/>
    <s v="Special Population Training"/>
    <m/>
    <n v="101949"/>
    <x v="8"/>
    <m/>
    <m/>
    <n v="26140"/>
    <n v="54018"/>
    <m/>
    <m/>
    <m/>
    <m/>
    <n v="0"/>
    <m/>
    <m/>
    <n v="0"/>
    <n v="26140"/>
    <n v="54018"/>
    <m/>
    <m/>
    <m/>
    <m/>
    <n v="0"/>
    <m/>
    <m/>
    <n v="0"/>
    <m/>
    <m/>
    <m/>
    <m/>
    <m/>
    <m/>
    <n v="26140"/>
    <n v="54018"/>
  </r>
  <r>
    <x v="0"/>
    <x v="8"/>
    <s v="Adult Basic Education"/>
    <m/>
    <n v="101949"/>
    <x v="8"/>
    <m/>
    <m/>
    <n v="337859"/>
    <n v="356585"/>
    <m/>
    <m/>
    <m/>
    <m/>
    <n v="0"/>
    <m/>
    <m/>
    <n v="0"/>
    <n v="337859"/>
    <n v="356585"/>
    <m/>
    <m/>
    <m/>
    <m/>
    <n v="0"/>
    <m/>
    <m/>
    <n v="0"/>
    <m/>
    <m/>
    <m/>
    <m/>
    <m/>
    <m/>
    <n v="337859"/>
    <n v="356585"/>
  </r>
  <r>
    <x v="0"/>
    <x v="8"/>
    <s v="Workforce Development"/>
    <m/>
    <n v="101949"/>
    <x v="8"/>
    <m/>
    <m/>
    <n v="90000"/>
    <m/>
    <m/>
    <m/>
    <m/>
    <m/>
    <n v="0"/>
    <m/>
    <m/>
    <n v="0"/>
    <n v="90000"/>
    <n v="0"/>
    <m/>
    <m/>
    <m/>
    <m/>
    <n v="0"/>
    <m/>
    <m/>
    <n v="0"/>
    <m/>
    <m/>
    <m/>
    <m/>
    <m/>
    <m/>
    <n v="90000"/>
    <n v="0"/>
  </r>
  <r>
    <x v="0"/>
    <x v="8"/>
    <s v="Dual Enrollment"/>
    <m/>
    <n v="101949"/>
    <x v="8"/>
    <m/>
    <m/>
    <m/>
    <n v="138000"/>
    <m/>
    <m/>
    <m/>
    <m/>
    <n v="0"/>
    <m/>
    <m/>
    <n v="0"/>
    <n v="0"/>
    <n v="138000"/>
    <m/>
    <m/>
    <m/>
    <m/>
    <n v="0"/>
    <m/>
    <m/>
    <n v="0"/>
    <m/>
    <m/>
    <m/>
    <m/>
    <m/>
    <m/>
    <n v="0"/>
    <n v="138000"/>
  </r>
  <r>
    <x v="0"/>
    <x v="0"/>
    <s v="Chattahoochee Valley State Community College "/>
    <m/>
    <n v="101028"/>
    <x v="8"/>
    <n v="5568270"/>
    <n v="5765606"/>
    <m/>
    <m/>
    <n v="0"/>
    <n v="90000"/>
    <n v="5916751"/>
    <n v="615088"/>
    <n v="6531839"/>
    <n v="5985117"/>
    <n v="612348"/>
    <n v="6597465"/>
    <n v="11485021"/>
    <n v="11840723"/>
    <m/>
    <m/>
    <m/>
    <m/>
    <n v="0"/>
    <m/>
    <m/>
    <n v="0"/>
    <m/>
    <m/>
    <m/>
    <m/>
    <m/>
    <m/>
    <n v="11485021"/>
    <n v="11840723"/>
  </r>
  <r>
    <x v="0"/>
    <x v="8"/>
    <s v="Special line items for education operations"/>
    <m/>
    <n v="101028"/>
    <x v="8"/>
    <m/>
    <m/>
    <m/>
    <m/>
    <m/>
    <m/>
    <m/>
    <m/>
    <n v="0"/>
    <m/>
    <m/>
    <n v="0"/>
    <n v="0"/>
    <n v="0"/>
    <m/>
    <m/>
    <m/>
    <m/>
    <n v="0"/>
    <m/>
    <m/>
    <n v="0"/>
    <m/>
    <m/>
    <m/>
    <m/>
    <m/>
    <m/>
    <n v="0"/>
    <n v="0"/>
  </r>
  <r>
    <x v="0"/>
    <x v="8"/>
    <s v="Special Population Training"/>
    <m/>
    <n v="101028"/>
    <x v="8"/>
    <m/>
    <m/>
    <n v="141023"/>
    <n v="16127"/>
    <m/>
    <m/>
    <m/>
    <m/>
    <n v="0"/>
    <m/>
    <m/>
    <n v="0"/>
    <n v="141023"/>
    <n v="16127"/>
    <m/>
    <m/>
    <m/>
    <m/>
    <n v="0"/>
    <m/>
    <m/>
    <n v="0"/>
    <m/>
    <m/>
    <m/>
    <m/>
    <m/>
    <m/>
    <n v="141023"/>
    <n v="16127"/>
  </r>
  <r>
    <x v="0"/>
    <x v="8"/>
    <s v="Adult Basic Education"/>
    <m/>
    <n v="101028"/>
    <x v="8"/>
    <m/>
    <m/>
    <n v="121576"/>
    <n v="146476"/>
    <m/>
    <m/>
    <m/>
    <m/>
    <n v="0"/>
    <m/>
    <m/>
    <n v="0"/>
    <n v="121576"/>
    <n v="146476"/>
    <m/>
    <m/>
    <m/>
    <m/>
    <n v="0"/>
    <m/>
    <m/>
    <n v="0"/>
    <m/>
    <m/>
    <m/>
    <m/>
    <m/>
    <m/>
    <n v="121576"/>
    <n v="146476"/>
  </r>
  <r>
    <x v="0"/>
    <x v="8"/>
    <s v="Workforce Development"/>
    <m/>
    <n v="101028"/>
    <x v="8"/>
    <m/>
    <m/>
    <n v="24151"/>
    <n v="93609"/>
    <m/>
    <m/>
    <m/>
    <m/>
    <n v="0"/>
    <m/>
    <m/>
    <n v="0"/>
    <n v="24151"/>
    <n v="93609"/>
    <m/>
    <m/>
    <m/>
    <m/>
    <n v="0"/>
    <m/>
    <m/>
    <n v="0"/>
    <m/>
    <m/>
    <m/>
    <m/>
    <m/>
    <m/>
    <n v="24151"/>
    <n v="93609"/>
  </r>
  <r>
    <x v="0"/>
    <x v="8"/>
    <s v="Dual Enrollment"/>
    <m/>
    <n v="101028"/>
    <x v="8"/>
    <m/>
    <m/>
    <m/>
    <n v="45000"/>
    <m/>
    <m/>
    <m/>
    <m/>
    <n v="0"/>
    <m/>
    <m/>
    <n v="0"/>
    <n v="0"/>
    <n v="45000"/>
    <m/>
    <m/>
    <m/>
    <m/>
    <n v="0"/>
    <m/>
    <m/>
    <n v="0"/>
    <m/>
    <m/>
    <m/>
    <m/>
    <m/>
    <m/>
    <n v="0"/>
    <n v="45000"/>
  </r>
  <r>
    <x v="0"/>
    <x v="0"/>
    <s v="George Corley Wallace State Community College - Selma"/>
    <m/>
    <n v="101301"/>
    <x v="8"/>
    <n v="7815790"/>
    <n v="7912529"/>
    <m/>
    <m/>
    <m/>
    <m/>
    <n v="5890360"/>
    <m/>
    <n v="5890360"/>
    <n v="6335556"/>
    <m/>
    <n v="6335556"/>
    <n v="13706150"/>
    <n v="14248085"/>
    <m/>
    <m/>
    <m/>
    <m/>
    <n v="0"/>
    <m/>
    <m/>
    <n v="0"/>
    <m/>
    <m/>
    <m/>
    <m/>
    <m/>
    <m/>
    <n v="13706150"/>
    <n v="14248085"/>
  </r>
  <r>
    <x v="0"/>
    <x v="8"/>
    <s v="Special line items for education operations"/>
    <m/>
    <n v="101301"/>
    <x v="8"/>
    <m/>
    <m/>
    <m/>
    <m/>
    <m/>
    <m/>
    <m/>
    <m/>
    <n v="0"/>
    <m/>
    <m/>
    <n v="0"/>
    <n v="0"/>
    <n v="0"/>
    <m/>
    <m/>
    <m/>
    <m/>
    <n v="0"/>
    <m/>
    <m/>
    <n v="0"/>
    <m/>
    <m/>
    <m/>
    <m/>
    <m/>
    <m/>
    <n v="0"/>
    <n v="0"/>
  </r>
  <r>
    <x v="0"/>
    <x v="8"/>
    <s v="Special Population Training"/>
    <m/>
    <n v="101301"/>
    <x v="8"/>
    <m/>
    <m/>
    <n v="44955"/>
    <n v="46913"/>
    <m/>
    <m/>
    <m/>
    <m/>
    <n v="0"/>
    <m/>
    <m/>
    <n v="0"/>
    <n v="44955"/>
    <n v="46913"/>
    <m/>
    <m/>
    <m/>
    <m/>
    <n v="0"/>
    <m/>
    <m/>
    <n v="0"/>
    <m/>
    <m/>
    <m/>
    <m/>
    <m/>
    <m/>
    <n v="44955"/>
    <n v="46913"/>
  </r>
  <r>
    <x v="0"/>
    <x v="8"/>
    <s v="Adult Basic Education"/>
    <m/>
    <n v="101301"/>
    <x v="8"/>
    <m/>
    <m/>
    <n v="197317"/>
    <n v="178558"/>
    <m/>
    <m/>
    <m/>
    <m/>
    <n v="0"/>
    <m/>
    <m/>
    <n v="0"/>
    <n v="197317"/>
    <n v="178558"/>
    <m/>
    <m/>
    <m/>
    <m/>
    <n v="0"/>
    <m/>
    <m/>
    <n v="0"/>
    <m/>
    <m/>
    <m/>
    <m/>
    <m/>
    <m/>
    <n v="197317"/>
    <n v="178558"/>
  </r>
  <r>
    <x v="0"/>
    <x v="8"/>
    <s v="Workforce Development"/>
    <m/>
    <n v="101301"/>
    <x v="8"/>
    <m/>
    <m/>
    <n v="31499.96"/>
    <n v="30000"/>
    <m/>
    <m/>
    <m/>
    <m/>
    <n v="0"/>
    <m/>
    <m/>
    <n v="0"/>
    <n v="31499.96"/>
    <n v="30000"/>
    <m/>
    <m/>
    <m/>
    <m/>
    <n v="0"/>
    <m/>
    <m/>
    <n v="0"/>
    <m/>
    <m/>
    <m/>
    <m/>
    <m/>
    <m/>
    <n v="31499.96"/>
    <n v="30000"/>
  </r>
  <r>
    <x v="0"/>
    <x v="8"/>
    <s v="Dual Enrollment"/>
    <m/>
    <n v="101301"/>
    <x v="8"/>
    <m/>
    <m/>
    <m/>
    <n v="175000"/>
    <m/>
    <m/>
    <m/>
    <m/>
    <n v="0"/>
    <m/>
    <m/>
    <n v="0"/>
    <n v="0"/>
    <n v="175000"/>
    <m/>
    <m/>
    <m/>
    <m/>
    <n v="0"/>
    <m/>
    <m/>
    <n v="0"/>
    <m/>
    <m/>
    <m/>
    <m/>
    <m/>
    <m/>
    <n v="0"/>
    <n v="175000"/>
  </r>
  <r>
    <x v="0"/>
    <x v="0"/>
    <s v="Jefferson Davis Community College"/>
    <m/>
    <n v="101499"/>
    <x v="8"/>
    <n v="5936091"/>
    <n v="5954284"/>
    <m/>
    <m/>
    <m/>
    <m/>
    <n v="3696780"/>
    <n v="10784"/>
    <n v="3707564"/>
    <n v="3749467"/>
    <m/>
    <n v="3749467"/>
    <n v="9632871"/>
    <n v="9703751"/>
    <m/>
    <m/>
    <m/>
    <m/>
    <n v="0"/>
    <m/>
    <m/>
    <n v="0"/>
    <m/>
    <m/>
    <m/>
    <m/>
    <m/>
    <m/>
    <n v="9632871"/>
    <n v="9703751"/>
  </r>
  <r>
    <x v="0"/>
    <x v="8"/>
    <s v="Special line items for education operations"/>
    <m/>
    <n v="101499"/>
    <x v="8"/>
    <m/>
    <m/>
    <m/>
    <m/>
    <m/>
    <m/>
    <m/>
    <m/>
    <n v="0"/>
    <m/>
    <m/>
    <n v="0"/>
    <n v="0"/>
    <n v="0"/>
    <m/>
    <m/>
    <m/>
    <m/>
    <n v="0"/>
    <m/>
    <m/>
    <n v="0"/>
    <m/>
    <m/>
    <m/>
    <m/>
    <m/>
    <m/>
    <n v="0"/>
    <n v="0"/>
  </r>
  <r>
    <x v="0"/>
    <x v="8"/>
    <s v="Special Population Training"/>
    <m/>
    <n v="101499"/>
    <x v="8"/>
    <m/>
    <m/>
    <n v="33694"/>
    <n v="170000"/>
    <m/>
    <m/>
    <m/>
    <m/>
    <n v="0"/>
    <m/>
    <m/>
    <n v="0"/>
    <n v="33694"/>
    <n v="170000"/>
    <m/>
    <m/>
    <m/>
    <m/>
    <n v="0"/>
    <m/>
    <m/>
    <n v="0"/>
    <m/>
    <m/>
    <m/>
    <m/>
    <m/>
    <m/>
    <n v="33694"/>
    <n v="170000"/>
  </r>
  <r>
    <x v="0"/>
    <x v="8"/>
    <s v="Adult Basic Education"/>
    <m/>
    <n v="101499"/>
    <x v="8"/>
    <m/>
    <m/>
    <n v="248034"/>
    <n v="231236"/>
    <m/>
    <m/>
    <m/>
    <m/>
    <n v="0"/>
    <m/>
    <m/>
    <n v="0"/>
    <n v="248034"/>
    <n v="231236"/>
    <m/>
    <m/>
    <m/>
    <m/>
    <n v="0"/>
    <m/>
    <m/>
    <n v="0"/>
    <m/>
    <m/>
    <m/>
    <m/>
    <m/>
    <m/>
    <n v="248034"/>
    <n v="231236"/>
  </r>
  <r>
    <x v="0"/>
    <x v="8"/>
    <s v="Workforce Development"/>
    <m/>
    <n v="101499"/>
    <x v="8"/>
    <m/>
    <m/>
    <m/>
    <m/>
    <m/>
    <m/>
    <m/>
    <m/>
    <n v="0"/>
    <m/>
    <m/>
    <n v="0"/>
    <n v="0"/>
    <n v="0"/>
    <m/>
    <m/>
    <m/>
    <m/>
    <n v="0"/>
    <m/>
    <m/>
    <n v="0"/>
    <m/>
    <m/>
    <m/>
    <m/>
    <m/>
    <m/>
    <n v="0"/>
    <n v="0"/>
  </r>
  <r>
    <x v="0"/>
    <x v="8"/>
    <s v="Dual Enrollment"/>
    <m/>
    <n v="101499"/>
    <x v="8"/>
    <m/>
    <m/>
    <m/>
    <n v="40778"/>
    <m/>
    <m/>
    <m/>
    <m/>
    <n v="0"/>
    <m/>
    <m/>
    <n v="0"/>
    <n v="0"/>
    <n v="40778"/>
    <m/>
    <m/>
    <m/>
    <m/>
    <n v="0"/>
    <m/>
    <m/>
    <n v="0"/>
    <m/>
    <m/>
    <m/>
    <m/>
    <m/>
    <m/>
    <n v="0"/>
    <n v="40778"/>
  </r>
  <r>
    <x v="0"/>
    <x v="0"/>
    <s v="Lurleen B. Wallace Community College "/>
    <m/>
    <n v="101602"/>
    <x v="8"/>
    <n v="6900659"/>
    <n v="6929285"/>
    <m/>
    <m/>
    <n v="229019"/>
    <n v="219000"/>
    <n v="5319962"/>
    <n v="355113"/>
    <n v="5675075"/>
    <n v="5364659"/>
    <n v="366403"/>
    <n v="5731062"/>
    <n v="12449640"/>
    <n v="12512944"/>
    <m/>
    <m/>
    <m/>
    <m/>
    <n v="0"/>
    <m/>
    <m/>
    <n v="0"/>
    <m/>
    <m/>
    <m/>
    <m/>
    <m/>
    <m/>
    <n v="12449640"/>
    <n v="12512944"/>
  </r>
  <r>
    <x v="0"/>
    <x v="8"/>
    <s v="Special line items for education operations"/>
    <m/>
    <n v="101602"/>
    <x v="8"/>
    <m/>
    <m/>
    <m/>
    <m/>
    <m/>
    <m/>
    <m/>
    <m/>
    <n v="0"/>
    <m/>
    <m/>
    <n v="0"/>
    <n v="0"/>
    <n v="0"/>
    <m/>
    <m/>
    <m/>
    <m/>
    <n v="0"/>
    <m/>
    <m/>
    <n v="0"/>
    <m/>
    <m/>
    <m/>
    <m/>
    <m/>
    <m/>
    <n v="0"/>
    <n v="0"/>
  </r>
  <r>
    <x v="0"/>
    <x v="8"/>
    <s v="Special Population Training"/>
    <m/>
    <n v="101602"/>
    <x v="8"/>
    <m/>
    <m/>
    <n v="19674"/>
    <n v="107885"/>
    <m/>
    <m/>
    <m/>
    <m/>
    <n v="0"/>
    <m/>
    <m/>
    <n v="0"/>
    <n v="19674"/>
    <n v="107885"/>
    <m/>
    <m/>
    <m/>
    <m/>
    <n v="0"/>
    <m/>
    <m/>
    <n v="0"/>
    <m/>
    <m/>
    <m/>
    <m/>
    <m/>
    <m/>
    <n v="19674"/>
    <n v="107885"/>
  </r>
  <r>
    <x v="0"/>
    <x v="8"/>
    <s v="Adult Basic Education"/>
    <m/>
    <n v="101602"/>
    <x v="8"/>
    <m/>
    <m/>
    <n v="278706"/>
    <n v="167271"/>
    <m/>
    <m/>
    <m/>
    <m/>
    <n v="0"/>
    <m/>
    <m/>
    <n v="0"/>
    <n v="278706"/>
    <n v="167271"/>
    <m/>
    <m/>
    <m/>
    <m/>
    <n v="0"/>
    <m/>
    <m/>
    <n v="0"/>
    <m/>
    <m/>
    <m/>
    <m/>
    <m/>
    <m/>
    <n v="278706"/>
    <n v="167271"/>
  </r>
  <r>
    <x v="0"/>
    <x v="8"/>
    <s v="Workforce Development"/>
    <m/>
    <n v="101602"/>
    <x v="8"/>
    <m/>
    <m/>
    <n v="131391"/>
    <n v="99019"/>
    <m/>
    <m/>
    <m/>
    <m/>
    <n v="0"/>
    <m/>
    <m/>
    <n v="0"/>
    <n v="131391"/>
    <n v="99019"/>
    <m/>
    <m/>
    <m/>
    <m/>
    <n v="0"/>
    <m/>
    <m/>
    <n v="0"/>
    <m/>
    <m/>
    <m/>
    <m/>
    <m/>
    <m/>
    <n v="131391"/>
    <n v="99019"/>
  </r>
  <r>
    <x v="0"/>
    <x v="8"/>
    <s v="Dual Enrollment"/>
    <m/>
    <n v="101602"/>
    <x v="8"/>
    <m/>
    <m/>
    <m/>
    <n v="175000"/>
    <m/>
    <m/>
    <m/>
    <m/>
    <n v="0"/>
    <m/>
    <m/>
    <n v="0"/>
    <n v="0"/>
    <n v="175000"/>
    <m/>
    <m/>
    <m/>
    <m/>
    <n v="0"/>
    <m/>
    <m/>
    <n v="0"/>
    <m/>
    <m/>
    <m/>
    <m/>
    <m/>
    <m/>
    <n v="0"/>
    <n v="175000"/>
  </r>
  <r>
    <x v="0"/>
    <x v="0"/>
    <s v="Snead State Community College "/>
    <m/>
    <n v="102076"/>
    <x v="8"/>
    <n v="6524636"/>
    <n v="6873406"/>
    <m/>
    <m/>
    <m/>
    <m/>
    <n v="8016711"/>
    <n v="886256"/>
    <n v="8902967"/>
    <n v="7504899"/>
    <n v="1386701"/>
    <n v="8891600"/>
    <n v="14541347"/>
    <n v="14378305"/>
    <m/>
    <m/>
    <m/>
    <m/>
    <n v="0"/>
    <m/>
    <m/>
    <n v="0"/>
    <m/>
    <m/>
    <m/>
    <m/>
    <m/>
    <m/>
    <n v="14541347"/>
    <n v="14378305"/>
  </r>
  <r>
    <x v="0"/>
    <x v="8"/>
    <s v="Special line items for education operations"/>
    <m/>
    <n v="102076"/>
    <x v="8"/>
    <m/>
    <m/>
    <m/>
    <m/>
    <m/>
    <m/>
    <m/>
    <m/>
    <n v="0"/>
    <m/>
    <m/>
    <n v="0"/>
    <n v="0"/>
    <n v="0"/>
    <m/>
    <m/>
    <m/>
    <m/>
    <n v="0"/>
    <m/>
    <m/>
    <n v="0"/>
    <m/>
    <m/>
    <m/>
    <m/>
    <m/>
    <m/>
    <n v="0"/>
    <n v="0"/>
  </r>
  <r>
    <x v="0"/>
    <x v="8"/>
    <s v="Special Population Training"/>
    <m/>
    <n v="102076"/>
    <x v="8"/>
    <m/>
    <m/>
    <n v="151900"/>
    <n v="48818"/>
    <m/>
    <m/>
    <m/>
    <m/>
    <n v="0"/>
    <m/>
    <m/>
    <n v="0"/>
    <n v="151900"/>
    <n v="48818"/>
    <m/>
    <m/>
    <m/>
    <m/>
    <n v="0"/>
    <m/>
    <m/>
    <n v="0"/>
    <m/>
    <m/>
    <m/>
    <m/>
    <m/>
    <m/>
    <n v="151900"/>
    <n v="48818"/>
  </r>
  <r>
    <x v="0"/>
    <x v="8"/>
    <s v="Adult Basic Education"/>
    <m/>
    <n v="102076"/>
    <x v="8"/>
    <m/>
    <m/>
    <n v="400"/>
    <m/>
    <m/>
    <m/>
    <m/>
    <m/>
    <n v="0"/>
    <m/>
    <m/>
    <n v="0"/>
    <n v="400"/>
    <n v="0"/>
    <m/>
    <m/>
    <m/>
    <m/>
    <n v="0"/>
    <m/>
    <m/>
    <n v="0"/>
    <m/>
    <m/>
    <m/>
    <m/>
    <m/>
    <m/>
    <n v="400"/>
    <n v="0"/>
  </r>
  <r>
    <x v="0"/>
    <x v="8"/>
    <s v="Workforce Development"/>
    <m/>
    <n v="102076"/>
    <x v="8"/>
    <m/>
    <m/>
    <n v="146175.32"/>
    <n v="63274"/>
    <m/>
    <m/>
    <m/>
    <m/>
    <n v="0"/>
    <m/>
    <m/>
    <n v="0"/>
    <n v="146175.32"/>
    <n v="63274"/>
    <m/>
    <m/>
    <m/>
    <m/>
    <n v="0"/>
    <m/>
    <m/>
    <n v="0"/>
    <m/>
    <m/>
    <m/>
    <m/>
    <m/>
    <m/>
    <n v="146175.32"/>
    <n v="63274"/>
  </r>
  <r>
    <x v="0"/>
    <x v="8"/>
    <s v="Dual Enrollment"/>
    <m/>
    <n v="102076"/>
    <x v="8"/>
    <m/>
    <m/>
    <m/>
    <n v="85000"/>
    <m/>
    <m/>
    <m/>
    <m/>
    <n v="0"/>
    <m/>
    <m/>
    <n v="0"/>
    <n v="0"/>
    <n v="85000"/>
    <m/>
    <m/>
    <m/>
    <m/>
    <n v="0"/>
    <m/>
    <m/>
    <n v="0"/>
    <m/>
    <m/>
    <m/>
    <m/>
    <m/>
    <m/>
    <n v="0"/>
    <n v="85000"/>
  </r>
  <r>
    <x v="0"/>
    <x v="0"/>
    <s v="Trenholm State Technical College"/>
    <m/>
    <n v="102313"/>
    <x v="9"/>
    <n v="9155363"/>
    <n v="8797160"/>
    <m/>
    <m/>
    <m/>
    <m/>
    <n v="4474072"/>
    <n v="512611"/>
    <n v="4986683"/>
    <n v="4682194"/>
    <n v="506439"/>
    <n v="5188633"/>
    <n v="13629435"/>
    <n v="13479354"/>
    <m/>
    <m/>
    <m/>
    <m/>
    <n v="0"/>
    <m/>
    <m/>
    <n v="0"/>
    <m/>
    <m/>
    <m/>
    <m/>
    <m/>
    <m/>
    <n v="13629435"/>
    <n v="13479354"/>
  </r>
  <r>
    <x v="0"/>
    <x v="8"/>
    <s v="Special line items for education operations"/>
    <m/>
    <n v="102313"/>
    <x v="9"/>
    <m/>
    <m/>
    <m/>
    <m/>
    <m/>
    <m/>
    <m/>
    <m/>
    <n v="0"/>
    <m/>
    <m/>
    <n v="0"/>
    <n v="0"/>
    <n v="0"/>
    <m/>
    <m/>
    <m/>
    <m/>
    <n v="0"/>
    <m/>
    <m/>
    <n v="0"/>
    <m/>
    <m/>
    <m/>
    <m/>
    <m/>
    <m/>
    <n v="0"/>
    <n v="0"/>
  </r>
  <r>
    <x v="0"/>
    <x v="8"/>
    <s v="Special Population Training"/>
    <m/>
    <n v="102313"/>
    <x v="9"/>
    <m/>
    <m/>
    <n v="111593"/>
    <n v="286729"/>
    <m/>
    <m/>
    <m/>
    <m/>
    <n v="0"/>
    <m/>
    <m/>
    <n v="0"/>
    <n v="111593"/>
    <n v="286729"/>
    <m/>
    <m/>
    <m/>
    <m/>
    <n v="0"/>
    <m/>
    <m/>
    <n v="0"/>
    <m/>
    <m/>
    <m/>
    <m/>
    <m/>
    <m/>
    <n v="111593"/>
    <n v="286729"/>
  </r>
  <r>
    <x v="0"/>
    <x v="8"/>
    <s v="Adult Basic Education"/>
    <m/>
    <n v="102313"/>
    <x v="9"/>
    <m/>
    <m/>
    <n v="466506"/>
    <n v="397622"/>
    <m/>
    <m/>
    <m/>
    <m/>
    <n v="0"/>
    <m/>
    <m/>
    <n v="0"/>
    <n v="466506"/>
    <n v="397622"/>
    <m/>
    <m/>
    <m/>
    <m/>
    <n v="0"/>
    <m/>
    <m/>
    <n v="0"/>
    <m/>
    <m/>
    <m/>
    <m/>
    <m/>
    <m/>
    <n v="466506"/>
    <n v="397622"/>
  </r>
  <r>
    <x v="0"/>
    <x v="8"/>
    <s v="Workforce Development"/>
    <m/>
    <n v="102313"/>
    <x v="9"/>
    <m/>
    <m/>
    <n v="33119"/>
    <n v="30000"/>
    <m/>
    <m/>
    <m/>
    <m/>
    <n v="0"/>
    <m/>
    <m/>
    <n v="0"/>
    <n v="33119"/>
    <n v="30000"/>
    <m/>
    <m/>
    <m/>
    <m/>
    <n v="0"/>
    <m/>
    <m/>
    <n v="0"/>
    <m/>
    <m/>
    <m/>
    <m/>
    <m/>
    <m/>
    <n v="33119"/>
    <n v="30000"/>
  </r>
  <r>
    <x v="0"/>
    <x v="8"/>
    <s v="Dual Enrollment"/>
    <m/>
    <n v="102313"/>
    <x v="9"/>
    <m/>
    <m/>
    <m/>
    <n v="150000"/>
    <m/>
    <m/>
    <m/>
    <m/>
    <n v="0"/>
    <m/>
    <m/>
    <n v="0"/>
    <n v="0"/>
    <n v="150000"/>
    <m/>
    <m/>
    <m/>
    <m/>
    <n v="0"/>
    <m/>
    <m/>
    <n v="0"/>
    <m/>
    <m/>
    <m/>
    <m/>
    <m/>
    <m/>
    <n v="0"/>
    <n v="150000"/>
  </r>
  <r>
    <x v="0"/>
    <x v="0"/>
    <s v="J.F. Drake State Technical College "/>
    <m/>
    <n v="101462"/>
    <x v="10"/>
    <n v="4724658"/>
    <n v="4874181"/>
    <m/>
    <m/>
    <m/>
    <m/>
    <n v="3680328"/>
    <n v="295750"/>
    <n v="3976078"/>
    <n v="3651615"/>
    <n v="293242"/>
    <n v="3944857"/>
    <n v="8404986"/>
    <n v="8525796"/>
    <m/>
    <m/>
    <m/>
    <m/>
    <n v="0"/>
    <m/>
    <m/>
    <n v="0"/>
    <m/>
    <m/>
    <m/>
    <m/>
    <m/>
    <m/>
    <n v="8404986"/>
    <n v="8525796"/>
  </r>
  <r>
    <x v="0"/>
    <x v="8"/>
    <s v="Special line items for education operations"/>
    <m/>
    <n v="101462"/>
    <x v="10"/>
    <m/>
    <m/>
    <m/>
    <m/>
    <m/>
    <m/>
    <m/>
    <m/>
    <n v="0"/>
    <m/>
    <m/>
    <n v="0"/>
    <n v="0"/>
    <n v="0"/>
    <m/>
    <m/>
    <m/>
    <m/>
    <n v="0"/>
    <m/>
    <m/>
    <n v="0"/>
    <m/>
    <m/>
    <m/>
    <m/>
    <m/>
    <m/>
    <n v="0"/>
    <n v="0"/>
  </r>
  <r>
    <x v="0"/>
    <x v="8"/>
    <s v="Special Population Training"/>
    <m/>
    <n v="101462"/>
    <x v="10"/>
    <m/>
    <m/>
    <n v="105201"/>
    <n v="42288"/>
    <m/>
    <m/>
    <m/>
    <m/>
    <n v="0"/>
    <m/>
    <m/>
    <n v="0"/>
    <n v="105201"/>
    <n v="42288"/>
    <m/>
    <m/>
    <m/>
    <m/>
    <n v="0"/>
    <m/>
    <m/>
    <n v="0"/>
    <m/>
    <m/>
    <m/>
    <m/>
    <m/>
    <m/>
    <n v="105201"/>
    <n v="42288"/>
  </r>
  <r>
    <x v="0"/>
    <x v="8"/>
    <s v="Adult Basic Education"/>
    <m/>
    <n v="101462"/>
    <x v="10"/>
    <m/>
    <m/>
    <n v="149153"/>
    <n v="156745"/>
    <m/>
    <m/>
    <m/>
    <m/>
    <n v="0"/>
    <m/>
    <m/>
    <n v="0"/>
    <n v="149153"/>
    <n v="156745"/>
    <m/>
    <m/>
    <m/>
    <m/>
    <n v="0"/>
    <m/>
    <m/>
    <n v="0"/>
    <m/>
    <m/>
    <m/>
    <m/>
    <m/>
    <m/>
    <n v="149153"/>
    <n v="156745"/>
  </r>
  <r>
    <x v="0"/>
    <x v="8"/>
    <s v="Workforce Development"/>
    <m/>
    <n v="101462"/>
    <x v="10"/>
    <m/>
    <m/>
    <n v="30170"/>
    <n v="30000"/>
    <m/>
    <m/>
    <m/>
    <m/>
    <n v="0"/>
    <m/>
    <m/>
    <n v="0"/>
    <n v="30170"/>
    <n v="30000"/>
    <m/>
    <m/>
    <m/>
    <m/>
    <n v="0"/>
    <m/>
    <m/>
    <n v="0"/>
    <m/>
    <m/>
    <m/>
    <m/>
    <m/>
    <m/>
    <n v="30170"/>
    <n v="30000"/>
  </r>
  <r>
    <x v="0"/>
    <x v="8"/>
    <s v="Dual Enrollment"/>
    <m/>
    <n v="101462"/>
    <x v="10"/>
    <m/>
    <m/>
    <m/>
    <n v="117870"/>
    <m/>
    <m/>
    <m/>
    <m/>
    <n v="0"/>
    <m/>
    <m/>
    <n v="0"/>
    <n v="0"/>
    <n v="117870"/>
    <m/>
    <m/>
    <m/>
    <m/>
    <n v="0"/>
    <m/>
    <m/>
    <n v="0"/>
    <m/>
    <m/>
    <m/>
    <m/>
    <m/>
    <m/>
    <n v="0"/>
    <n v="117870"/>
  </r>
  <r>
    <x v="0"/>
    <x v="0"/>
    <s v="J.F. Ingram State Technical College "/>
    <m/>
    <n v="101471"/>
    <x v="10"/>
    <n v="6785543"/>
    <n v="6824537"/>
    <m/>
    <m/>
    <n v="0"/>
    <m/>
    <n v="2333194"/>
    <n v="10445"/>
    <n v="2343639"/>
    <n v="2205324"/>
    <m/>
    <n v="2205324"/>
    <n v="9118737"/>
    <n v="9029861"/>
    <m/>
    <m/>
    <m/>
    <m/>
    <n v="0"/>
    <m/>
    <m/>
    <n v="0"/>
    <m/>
    <m/>
    <m/>
    <m/>
    <m/>
    <m/>
    <n v="9118737"/>
    <n v="9029861"/>
  </r>
  <r>
    <x v="0"/>
    <x v="8"/>
    <s v="Special line items for education operations"/>
    <m/>
    <n v="101471"/>
    <x v="10"/>
    <m/>
    <m/>
    <m/>
    <m/>
    <m/>
    <m/>
    <m/>
    <m/>
    <n v="0"/>
    <m/>
    <m/>
    <n v="0"/>
    <n v="0"/>
    <n v="0"/>
    <m/>
    <m/>
    <m/>
    <m/>
    <n v="0"/>
    <m/>
    <m/>
    <n v="0"/>
    <m/>
    <m/>
    <m/>
    <m/>
    <m/>
    <m/>
    <n v="0"/>
    <n v="0"/>
  </r>
  <r>
    <x v="0"/>
    <x v="8"/>
    <s v="Special Population Training"/>
    <m/>
    <n v="101471"/>
    <x v="10"/>
    <m/>
    <m/>
    <m/>
    <n v="83358"/>
    <m/>
    <m/>
    <m/>
    <m/>
    <n v="0"/>
    <m/>
    <m/>
    <n v="0"/>
    <n v="0"/>
    <n v="83358"/>
    <m/>
    <m/>
    <m/>
    <m/>
    <n v="0"/>
    <m/>
    <m/>
    <n v="0"/>
    <m/>
    <m/>
    <m/>
    <m/>
    <m/>
    <m/>
    <n v="0"/>
    <n v="83358"/>
  </r>
  <r>
    <x v="0"/>
    <x v="8"/>
    <s v="Adult Basic Education"/>
    <m/>
    <n v="101471"/>
    <x v="10"/>
    <m/>
    <m/>
    <n v="554044"/>
    <n v="545296"/>
    <m/>
    <m/>
    <m/>
    <m/>
    <n v="0"/>
    <m/>
    <m/>
    <n v="0"/>
    <n v="554044"/>
    <n v="545296"/>
    <m/>
    <m/>
    <m/>
    <m/>
    <n v="0"/>
    <m/>
    <m/>
    <n v="0"/>
    <m/>
    <m/>
    <m/>
    <m/>
    <m/>
    <m/>
    <n v="554044"/>
    <n v="545296"/>
  </r>
  <r>
    <x v="0"/>
    <x v="8"/>
    <s v="Workforce Development"/>
    <m/>
    <n v="101471"/>
    <x v="10"/>
    <m/>
    <m/>
    <n v="31499"/>
    <m/>
    <m/>
    <m/>
    <m/>
    <m/>
    <n v="0"/>
    <m/>
    <m/>
    <n v="0"/>
    <n v="31499"/>
    <n v="0"/>
    <m/>
    <m/>
    <m/>
    <m/>
    <n v="0"/>
    <m/>
    <m/>
    <n v="0"/>
    <m/>
    <m/>
    <m/>
    <m/>
    <m/>
    <m/>
    <n v="31499"/>
    <n v="0"/>
  </r>
  <r>
    <x v="0"/>
    <x v="0"/>
    <s v="Reid State Technical College "/>
    <m/>
    <n v="101994"/>
    <x v="10"/>
    <n v="4310779"/>
    <n v="4313612"/>
    <m/>
    <m/>
    <m/>
    <m/>
    <n v="1904480"/>
    <n v="127148"/>
    <n v="2031628"/>
    <n v="1914915"/>
    <n v="250235"/>
    <n v="2165150"/>
    <n v="6215259"/>
    <n v="6228527"/>
    <m/>
    <m/>
    <m/>
    <m/>
    <n v="0"/>
    <m/>
    <m/>
    <n v="0"/>
    <m/>
    <m/>
    <m/>
    <m/>
    <m/>
    <m/>
    <n v="6215259"/>
    <n v="6228527"/>
  </r>
  <r>
    <x v="0"/>
    <x v="8"/>
    <s v="Special line items for education operations"/>
    <m/>
    <n v="101994"/>
    <x v="10"/>
    <m/>
    <m/>
    <m/>
    <m/>
    <m/>
    <m/>
    <m/>
    <m/>
    <n v="0"/>
    <m/>
    <m/>
    <n v="0"/>
    <n v="0"/>
    <n v="0"/>
    <m/>
    <m/>
    <m/>
    <m/>
    <n v="0"/>
    <m/>
    <m/>
    <n v="0"/>
    <m/>
    <m/>
    <m/>
    <m/>
    <m/>
    <m/>
    <n v="0"/>
    <n v="0"/>
  </r>
  <r>
    <x v="0"/>
    <x v="8"/>
    <s v="Special Population Training"/>
    <m/>
    <n v="101994"/>
    <x v="10"/>
    <m/>
    <m/>
    <n v="186247"/>
    <n v="84102"/>
    <m/>
    <m/>
    <m/>
    <m/>
    <n v="0"/>
    <m/>
    <m/>
    <n v="0"/>
    <n v="186247"/>
    <n v="84102"/>
    <m/>
    <m/>
    <m/>
    <m/>
    <n v="0"/>
    <m/>
    <m/>
    <n v="0"/>
    <m/>
    <m/>
    <m/>
    <m/>
    <m/>
    <m/>
    <n v="186247"/>
    <n v="84102"/>
  </r>
  <r>
    <x v="0"/>
    <x v="8"/>
    <s v="Adult Basic Education"/>
    <m/>
    <n v="101994"/>
    <x v="10"/>
    <m/>
    <m/>
    <n v="153385"/>
    <n v="122321"/>
    <m/>
    <m/>
    <m/>
    <m/>
    <n v="0"/>
    <m/>
    <m/>
    <n v="0"/>
    <n v="153385"/>
    <n v="122321"/>
    <m/>
    <m/>
    <m/>
    <m/>
    <n v="0"/>
    <m/>
    <m/>
    <n v="0"/>
    <m/>
    <m/>
    <m/>
    <m/>
    <m/>
    <m/>
    <n v="153385"/>
    <n v="122321"/>
  </r>
  <r>
    <x v="0"/>
    <x v="8"/>
    <s v="Workforce Development"/>
    <m/>
    <n v="101994"/>
    <x v="10"/>
    <m/>
    <m/>
    <m/>
    <n v="25619"/>
    <m/>
    <m/>
    <m/>
    <m/>
    <n v="0"/>
    <m/>
    <m/>
    <n v="0"/>
    <n v="0"/>
    <n v="25619"/>
    <m/>
    <m/>
    <m/>
    <m/>
    <n v="0"/>
    <m/>
    <m/>
    <n v="0"/>
    <m/>
    <m/>
    <m/>
    <m/>
    <m/>
    <m/>
    <n v="0"/>
    <n v="25619"/>
  </r>
  <r>
    <x v="0"/>
    <x v="8"/>
    <s v="Dual Enrollment"/>
    <m/>
    <n v="101994"/>
    <x v="10"/>
    <m/>
    <m/>
    <m/>
    <n v="200000"/>
    <m/>
    <m/>
    <m/>
    <m/>
    <n v="0"/>
    <m/>
    <m/>
    <n v="0"/>
    <n v="0"/>
    <n v="200000"/>
    <m/>
    <m/>
    <m/>
    <m/>
    <n v="0"/>
    <m/>
    <m/>
    <n v="0"/>
    <m/>
    <m/>
    <m/>
    <m/>
    <m/>
    <m/>
    <n v="0"/>
    <n v="200000"/>
  </r>
  <r>
    <x v="0"/>
    <x v="9"/>
    <s v="Marion Military Institute"/>
    <m/>
    <n v="101648"/>
    <x v="11"/>
    <m/>
    <m/>
    <m/>
    <m/>
    <m/>
    <m/>
    <m/>
    <m/>
    <n v="0"/>
    <m/>
    <m/>
    <n v="0"/>
    <n v="0"/>
    <n v="0"/>
    <n v="6125936"/>
    <n v="6343936"/>
    <n v="4043350"/>
    <n v="185368"/>
    <n v="4228718"/>
    <n v="4098700"/>
    <n v="177000"/>
    <n v="4275700"/>
    <m/>
    <m/>
    <m/>
    <m/>
    <m/>
    <m/>
    <n v="10169286"/>
    <n v="10442636"/>
  </r>
  <r>
    <x v="0"/>
    <x v="10"/>
    <s v="Educational special purpose funds - to statewide units"/>
    <m/>
    <m/>
    <x v="12"/>
    <m/>
    <m/>
    <m/>
    <m/>
    <m/>
    <m/>
    <m/>
    <m/>
    <n v="0"/>
    <m/>
    <m/>
    <n v="0"/>
    <n v="0"/>
    <n v="0"/>
    <m/>
    <m/>
    <m/>
    <m/>
    <n v="0"/>
    <m/>
    <m/>
    <n v="0"/>
    <m/>
    <m/>
    <m/>
    <m/>
    <m/>
    <m/>
    <n v="0"/>
    <n v="0"/>
  </r>
  <r>
    <x v="0"/>
    <x v="11"/>
    <s v="Research centers/institutes"/>
    <m/>
    <m/>
    <x v="12"/>
    <m/>
    <m/>
    <m/>
    <m/>
    <m/>
    <m/>
    <m/>
    <m/>
    <n v="0"/>
    <m/>
    <m/>
    <n v="0"/>
    <n v="0"/>
    <n v="0"/>
    <m/>
    <m/>
    <m/>
    <m/>
    <n v="0"/>
    <m/>
    <m/>
    <n v="0"/>
    <m/>
    <m/>
    <m/>
    <m/>
    <m/>
    <m/>
    <n v="0"/>
    <n v="0"/>
  </r>
  <r>
    <x v="0"/>
    <x v="11"/>
    <s v="Exprmntl Prog. for the Stimulation of Competitive Rsrch (EPSCOR) Consort."/>
    <m/>
    <m/>
    <x v="12"/>
    <m/>
    <m/>
    <n v="1143088"/>
    <n v="1143088"/>
    <m/>
    <m/>
    <m/>
    <m/>
    <n v="0"/>
    <m/>
    <m/>
    <n v="0"/>
    <n v="1143088"/>
    <n v="1143088"/>
    <m/>
    <m/>
    <m/>
    <m/>
    <n v="0"/>
    <m/>
    <m/>
    <n v="0"/>
    <m/>
    <m/>
    <m/>
    <m/>
    <m/>
    <m/>
    <n v="1143088"/>
    <n v="1143088"/>
  </r>
  <r>
    <x v="0"/>
    <x v="11"/>
    <s v="MESC/Dauphin Isl Sealab/Marine Environmental Sci Consort."/>
    <m/>
    <m/>
    <x v="12"/>
    <m/>
    <m/>
    <n v="3805262"/>
    <n v="4005262"/>
    <m/>
    <m/>
    <m/>
    <m/>
    <n v="0"/>
    <m/>
    <m/>
    <n v="0"/>
    <n v="3805262"/>
    <n v="4005262"/>
    <m/>
    <m/>
    <m/>
    <m/>
    <n v="0"/>
    <m/>
    <m/>
    <n v="0"/>
    <m/>
    <m/>
    <m/>
    <m/>
    <m/>
    <m/>
    <n v="3805262"/>
    <n v="4005262"/>
  </r>
  <r>
    <x v="0"/>
    <x v="12"/>
    <s v="Special line items for education operations"/>
    <m/>
    <m/>
    <x v="12"/>
    <m/>
    <m/>
    <m/>
    <m/>
    <m/>
    <m/>
    <m/>
    <m/>
    <n v="0"/>
    <m/>
    <m/>
    <n v="0"/>
    <n v="0"/>
    <n v="0"/>
    <m/>
    <m/>
    <m/>
    <m/>
    <n v="0"/>
    <m/>
    <m/>
    <n v="0"/>
    <m/>
    <m/>
    <m/>
    <m/>
    <m/>
    <m/>
    <n v="0"/>
    <n v="0"/>
  </r>
  <r>
    <x v="0"/>
    <x v="12"/>
    <s v="Network of Al Academic Libraries (NAAL)"/>
    <m/>
    <m/>
    <x v="12"/>
    <m/>
    <m/>
    <n v="301248"/>
    <n v="301248"/>
    <m/>
    <m/>
    <m/>
    <m/>
    <n v="0"/>
    <m/>
    <m/>
    <n v="0"/>
    <n v="301248"/>
    <n v="301248"/>
    <m/>
    <m/>
    <m/>
    <m/>
    <n v="0"/>
    <m/>
    <m/>
    <n v="0"/>
    <m/>
    <m/>
    <m/>
    <m/>
    <m/>
    <m/>
    <n v="301248"/>
    <n v="301248"/>
  </r>
  <r>
    <x v="0"/>
    <x v="12"/>
    <s v="AL Agricultural LG Alliance"/>
    <m/>
    <m/>
    <x v="12"/>
    <m/>
    <m/>
    <n v="827523"/>
    <n v="539523"/>
    <m/>
    <m/>
    <m/>
    <m/>
    <n v="0"/>
    <m/>
    <m/>
    <n v="0"/>
    <n v="827523"/>
    <n v="539523"/>
    <m/>
    <m/>
    <m/>
    <m/>
    <n v="0"/>
    <m/>
    <m/>
    <n v="0"/>
    <m/>
    <m/>
    <m/>
    <m/>
    <m/>
    <m/>
    <n v="827523"/>
    <n v="539523"/>
  </r>
  <r>
    <x v="0"/>
    <x v="12"/>
    <s v="AL Firefighters' Personnel Standards &amp; Ed Commission’s “Alabama Fire College”"/>
    <m/>
    <m/>
    <x v="12"/>
    <m/>
    <m/>
    <n v="3682521"/>
    <n v="3782521"/>
    <m/>
    <m/>
    <m/>
    <m/>
    <n v="0"/>
    <m/>
    <m/>
    <n v="0"/>
    <n v="3682521"/>
    <n v="3782521"/>
    <m/>
    <m/>
    <m/>
    <m/>
    <n v="0"/>
    <m/>
    <m/>
    <n v="0"/>
    <m/>
    <m/>
    <m/>
    <m/>
    <m/>
    <m/>
    <n v="3682521"/>
    <n v="3782521"/>
  </r>
  <r>
    <x v="0"/>
    <x v="12"/>
    <s v="Adult Basic Education"/>
    <m/>
    <m/>
    <x v="12"/>
    <m/>
    <m/>
    <n v="937348"/>
    <n v="873230"/>
    <m/>
    <m/>
    <m/>
    <m/>
    <n v="0"/>
    <m/>
    <m/>
    <n v="0"/>
    <n v="937348"/>
    <n v="873230"/>
    <m/>
    <m/>
    <m/>
    <m/>
    <n v="0"/>
    <m/>
    <m/>
    <n v="0"/>
    <m/>
    <m/>
    <m/>
    <m/>
    <m/>
    <m/>
    <n v="937348"/>
    <n v="873230"/>
  </r>
  <r>
    <x v="0"/>
    <x v="12"/>
    <s v="Alabama Technology Network"/>
    <m/>
    <m/>
    <x v="12"/>
    <m/>
    <m/>
    <n v="4586762"/>
    <n v="4646762"/>
    <m/>
    <m/>
    <m/>
    <m/>
    <n v="0"/>
    <m/>
    <m/>
    <n v="0"/>
    <n v="4586762"/>
    <n v="4646762"/>
    <m/>
    <m/>
    <m/>
    <m/>
    <n v="0"/>
    <m/>
    <m/>
    <n v="0"/>
    <m/>
    <m/>
    <m/>
    <m/>
    <m/>
    <m/>
    <n v="4586762"/>
    <n v="4646762"/>
  </r>
  <r>
    <x v="0"/>
    <x v="12"/>
    <s v="Special Population Training"/>
    <m/>
    <m/>
    <x v="12"/>
    <m/>
    <m/>
    <n v="804491"/>
    <n v="648326"/>
    <m/>
    <m/>
    <m/>
    <m/>
    <n v="0"/>
    <m/>
    <m/>
    <n v="0"/>
    <n v="804491"/>
    <n v="648326"/>
    <m/>
    <m/>
    <m/>
    <m/>
    <n v="0"/>
    <m/>
    <m/>
    <n v="0"/>
    <m/>
    <m/>
    <m/>
    <m/>
    <m/>
    <m/>
    <n v="804491"/>
    <n v="648326"/>
  </r>
  <r>
    <x v="0"/>
    <x v="12"/>
    <s v="Dual Enrollment"/>
    <m/>
    <m/>
    <x v="12"/>
    <m/>
    <m/>
    <m/>
    <n v="316040"/>
    <m/>
    <m/>
    <m/>
    <m/>
    <n v="0"/>
    <m/>
    <m/>
    <n v="0"/>
    <n v="0"/>
    <n v="316040"/>
    <m/>
    <m/>
    <m/>
    <m/>
    <n v="0"/>
    <m/>
    <m/>
    <n v="0"/>
    <m/>
    <m/>
    <m/>
    <m/>
    <m/>
    <m/>
    <n v="0"/>
    <n v="316040"/>
  </r>
  <r>
    <x v="0"/>
    <x v="12"/>
    <s v="Prison Education - Therapeutic Training"/>
    <m/>
    <m/>
    <x v="12"/>
    <m/>
    <m/>
    <n v="1939901"/>
    <n v="1939901"/>
    <m/>
    <m/>
    <m/>
    <m/>
    <n v="0"/>
    <m/>
    <m/>
    <n v="0"/>
    <n v="1939901"/>
    <n v="1939901"/>
    <m/>
    <m/>
    <m/>
    <m/>
    <n v="0"/>
    <m/>
    <m/>
    <n v="0"/>
    <m/>
    <m/>
    <m/>
    <m/>
    <m/>
    <m/>
    <n v="1939901"/>
    <n v="1939901"/>
  </r>
  <r>
    <x v="0"/>
    <x v="12"/>
    <s v="LifeTech"/>
    <m/>
    <m/>
    <x v="12"/>
    <m/>
    <m/>
    <n v="2000000"/>
    <n v="2000000"/>
    <m/>
    <m/>
    <m/>
    <m/>
    <n v="0"/>
    <m/>
    <m/>
    <n v="0"/>
    <n v="2000000"/>
    <n v="2000000"/>
    <m/>
    <m/>
    <m/>
    <m/>
    <n v="0"/>
    <m/>
    <m/>
    <n v="0"/>
    <m/>
    <m/>
    <m/>
    <m/>
    <m/>
    <m/>
    <n v="2000000"/>
    <n v="2000000"/>
  </r>
  <r>
    <x v="0"/>
    <x v="12"/>
    <s v="Workforce Development"/>
    <m/>
    <m/>
    <x v="12"/>
    <m/>
    <m/>
    <n v="489101.67"/>
    <n v="776617"/>
    <m/>
    <m/>
    <m/>
    <m/>
    <n v="0"/>
    <m/>
    <m/>
    <n v="0"/>
    <n v="489101.67"/>
    <n v="776617"/>
    <m/>
    <m/>
    <m/>
    <m/>
    <n v="0"/>
    <m/>
    <m/>
    <n v="0"/>
    <m/>
    <m/>
    <m/>
    <m/>
    <m/>
    <m/>
    <n v="489101.67"/>
    <n v="776617"/>
  </r>
  <r>
    <x v="0"/>
    <x v="12"/>
    <s v="Washington Ctr Internship Pgm"/>
    <m/>
    <m/>
    <x v="12"/>
    <m/>
    <m/>
    <n v="23040"/>
    <n v="23040"/>
    <m/>
    <m/>
    <m/>
    <m/>
    <n v="0"/>
    <m/>
    <m/>
    <n v="0"/>
    <n v="23040"/>
    <n v="23040"/>
    <m/>
    <m/>
    <m/>
    <m/>
    <n v="0"/>
    <m/>
    <m/>
    <n v="0"/>
    <m/>
    <m/>
    <m/>
    <m/>
    <m/>
    <m/>
    <n v="23040"/>
    <n v="23040"/>
  </r>
  <r>
    <x v="0"/>
    <x v="12"/>
    <s v="Continuing Ed for EMT Personnel"/>
    <m/>
    <m/>
    <x v="12"/>
    <m/>
    <m/>
    <n v="1335782"/>
    <n v="1335782"/>
    <m/>
    <m/>
    <m/>
    <m/>
    <n v="0"/>
    <m/>
    <m/>
    <n v="0"/>
    <n v="1335782"/>
    <n v="1335782"/>
    <m/>
    <m/>
    <m/>
    <m/>
    <n v="0"/>
    <m/>
    <m/>
    <n v="0"/>
    <m/>
    <m/>
    <m/>
    <m/>
    <m/>
    <m/>
    <n v="1335782"/>
    <n v="1335782"/>
  </r>
  <r>
    <x v="0"/>
    <x v="12"/>
    <s v="Mine Safety Training Pgm"/>
    <m/>
    <m/>
    <x v="12"/>
    <m/>
    <m/>
    <n v="320635"/>
    <n v="320635"/>
    <m/>
    <m/>
    <m/>
    <m/>
    <n v="0"/>
    <m/>
    <m/>
    <n v="0"/>
    <n v="320635"/>
    <n v="320635"/>
    <m/>
    <m/>
    <m/>
    <m/>
    <n v="0"/>
    <m/>
    <m/>
    <n v="0"/>
    <m/>
    <m/>
    <m/>
    <m/>
    <m/>
    <m/>
    <n v="320635"/>
    <n v="320635"/>
  </r>
  <r>
    <x v="0"/>
    <x v="13"/>
    <s v="Educational special purpose funds - all other"/>
    <m/>
    <m/>
    <x v="12"/>
    <m/>
    <m/>
    <m/>
    <m/>
    <m/>
    <m/>
    <m/>
    <m/>
    <n v="0"/>
    <m/>
    <m/>
    <n v="0"/>
    <n v="0"/>
    <n v="0"/>
    <m/>
    <m/>
    <m/>
    <m/>
    <n v="0"/>
    <m/>
    <m/>
    <n v="0"/>
    <m/>
    <m/>
    <m/>
    <m/>
    <m/>
    <m/>
    <n v="0"/>
    <n v="0"/>
  </r>
  <r>
    <x v="0"/>
    <x v="13"/>
    <s v="Articulation "/>
    <m/>
    <m/>
    <x v="12"/>
    <m/>
    <m/>
    <n v="374867"/>
    <n v="774867"/>
    <m/>
    <m/>
    <m/>
    <m/>
    <n v="0"/>
    <m/>
    <m/>
    <n v="0"/>
    <n v="374867"/>
    <n v="774867"/>
    <m/>
    <m/>
    <m/>
    <m/>
    <n v="0"/>
    <m/>
    <m/>
    <n v="0"/>
    <m/>
    <m/>
    <m/>
    <m/>
    <m/>
    <m/>
    <n v="374867"/>
    <n v="774867"/>
  </r>
  <r>
    <x v="0"/>
    <x v="13"/>
    <s v="Arts Council"/>
    <m/>
    <m/>
    <x v="12"/>
    <m/>
    <m/>
    <n v="200000"/>
    <n v="350000"/>
    <m/>
    <m/>
    <m/>
    <m/>
    <n v="0"/>
    <m/>
    <m/>
    <n v="0"/>
    <n v="200000"/>
    <n v="350000"/>
    <m/>
    <m/>
    <m/>
    <m/>
    <n v="0"/>
    <m/>
    <m/>
    <n v="0"/>
    <m/>
    <m/>
    <m/>
    <m/>
    <m/>
    <m/>
    <n v="200000"/>
    <n v="350000"/>
  </r>
  <r>
    <x v="0"/>
    <x v="13"/>
    <s v="Adaptive &amp; Disability Sports ED"/>
    <m/>
    <m/>
    <x v="12"/>
    <m/>
    <m/>
    <n v="250000"/>
    <n v="210000"/>
    <m/>
    <m/>
    <m/>
    <m/>
    <n v="0"/>
    <m/>
    <m/>
    <n v="0"/>
    <n v="250000"/>
    <n v="210000"/>
    <m/>
    <m/>
    <m/>
    <m/>
    <n v="0"/>
    <m/>
    <m/>
    <n v="0"/>
    <m/>
    <m/>
    <m/>
    <m/>
    <m/>
    <m/>
    <n v="250000"/>
    <n v="210000"/>
  </r>
  <r>
    <x v="0"/>
    <x v="13"/>
    <s v="Knight v Alabama"/>
    <m/>
    <m/>
    <x v="12"/>
    <m/>
    <m/>
    <n v="1734384"/>
    <m/>
    <m/>
    <m/>
    <m/>
    <m/>
    <n v="0"/>
    <m/>
    <m/>
    <n v="0"/>
    <n v="1734384"/>
    <n v="0"/>
    <m/>
    <m/>
    <m/>
    <m/>
    <n v="0"/>
    <m/>
    <m/>
    <n v="0"/>
    <m/>
    <m/>
    <m/>
    <m/>
    <m/>
    <m/>
    <n v="1734384"/>
    <n v="0"/>
  </r>
  <r>
    <x v="0"/>
    <x v="13"/>
    <s v="School &amp; University Partnership for Education Renewal "/>
    <m/>
    <m/>
    <x v="12"/>
    <m/>
    <m/>
    <n v="40276"/>
    <n v="40276"/>
    <m/>
    <m/>
    <m/>
    <m/>
    <n v="0"/>
    <m/>
    <m/>
    <n v="0"/>
    <n v="40276"/>
    <n v="40276"/>
    <m/>
    <m/>
    <m/>
    <m/>
    <n v="0"/>
    <m/>
    <m/>
    <n v="0"/>
    <m/>
    <m/>
    <m/>
    <m/>
    <m/>
    <m/>
    <n v="40276"/>
    <n v="40276"/>
  </r>
  <r>
    <x v="0"/>
    <x v="13"/>
    <s v="Alabama Innovation Fund"/>
    <m/>
    <m/>
    <x v="12"/>
    <m/>
    <m/>
    <n v="1595201"/>
    <n v="4500000"/>
    <m/>
    <m/>
    <m/>
    <m/>
    <n v="0"/>
    <m/>
    <m/>
    <n v="0"/>
    <n v="1595201"/>
    <n v="4500000"/>
    <m/>
    <m/>
    <m/>
    <m/>
    <n v="0"/>
    <m/>
    <m/>
    <n v="0"/>
    <m/>
    <m/>
    <m/>
    <m/>
    <m/>
    <m/>
    <n v="1595201"/>
    <n v="4500000"/>
  </r>
  <r>
    <x v="0"/>
    <x v="14"/>
    <s v="Statewide System Operations"/>
    <m/>
    <m/>
    <x v="12"/>
    <m/>
    <m/>
    <m/>
    <m/>
    <m/>
    <m/>
    <m/>
    <m/>
    <n v="0"/>
    <m/>
    <m/>
    <n v="0"/>
    <n v="0"/>
    <n v="0"/>
    <m/>
    <m/>
    <m/>
    <m/>
    <n v="0"/>
    <m/>
    <m/>
    <n v="0"/>
    <m/>
    <m/>
    <m/>
    <m/>
    <m/>
    <m/>
    <n v="0"/>
    <n v="0"/>
  </r>
  <r>
    <x v="0"/>
    <x v="15"/>
    <s v="Colleges and universities"/>
    <m/>
    <m/>
    <x v="12"/>
    <m/>
    <m/>
    <m/>
    <m/>
    <m/>
    <m/>
    <m/>
    <m/>
    <n v="0"/>
    <m/>
    <m/>
    <n v="0"/>
    <n v="0"/>
    <n v="0"/>
    <m/>
    <m/>
    <m/>
    <m/>
    <n v="0"/>
    <m/>
    <m/>
    <n v="0"/>
    <m/>
    <m/>
    <m/>
    <m/>
    <m/>
    <m/>
    <n v="0"/>
    <n v="0"/>
  </r>
  <r>
    <x v="0"/>
    <x v="15"/>
    <s v="Commission on Higher Education (CHE) Operations "/>
    <m/>
    <m/>
    <x v="12"/>
    <m/>
    <m/>
    <m/>
    <m/>
    <m/>
    <m/>
    <m/>
    <m/>
    <n v="0"/>
    <m/>
    <m/>
    <n v="0"/>
    <n v="0"/>
    <n v="0"/>
    <n v="3002892"/>
    <n v="3052892"/>
    <m/>
    <m/>
    <n v="0"/>
    <m/>
    <m/>
    <n v="0"/>
    <m/>
    <m/>
    <m/>
    <m/>
    <m/>
    <m/>
    <n v="3002892"/>
    <n v="3052892"/>
  </r>
  <r>
    <x v="0"/>
    <x v="16"/>
    <s v="Two-year system(s), if any"/>
    <m/>
    <m/>
    <x v="12"/>
    <m/>
    <m/>
    <m/>
    <m/>
    <m/>
    <m/>
    <m/>
    <m/>
    <n v="0"/>
    <m/>
    <m/>
    <n v="0"/>
    <n v="0"/>
    <n v="0"/>
    <m/>
    <m/>
    <m/>
    <m/>
    <n v="0"/>
    <m/>
    <m/>
    <n v="0"/>
    <m/>
    <m/>
    <m/>
    <m/>
    <m/>
    <m/>
    <n v="0"/>
    <n v="0"/>
  </r>
  <r>
    <x v="0"/>
    <x v="16"/>
    <s v="Department of Postsecondary Education Operations"/>
    <m/>
    <m/>
    <x v="12"/>
    <m/>
    <m/>
    <m/>
    <m/>
    <m/>
    <m/>
    <m/>
    <m/>
    <n v="0"/>
    <m/>
    <m/>
    <n v="0"/>
    <n v="0"/>
    <n v="0"/>
    <n v="5985567"/>
    <n v="7485567"/>
    <m/>
    <m/>
    <n v="0"/>
    <m/>
    <m/>
    <n v="0"/>
    <m/>
    <m/>
    <m/>
    <m/>
    <m/>
    <m/>
    <n v="5985567"/>
    <n v="7485567"/>
  </r>
  <r>
    <x v="0"/>
    <x v="16"/>
    <s v="Two Year College appropriation not yet Distributed"/>
    <m/>
    <m/>
    <x v="12"/>
    <m/>
    <m/>
    <m/>
    <m/>
    <m/>
    <m/>
    <m/>
    <m/>
    <n v="0"/>
    <m/>
    <m/>
    <n v="0"/>
    <n v="0"/>
    <n v="0"/>
    <m/>
    <m/>
    <m/>
    <m/>
    <n v="0"/>
    <m/>
    <m/>
    <n v="0"/>
    <m/>
    <m/>
    <m/>
    <m/>
    <m/>
    <m/>
    <n v="0"/>
    <n v="0"/>
  </r>
  <r>
    <x v="0"/>
    <x v="17"/>
    <s v="National or regional associations, compacts or consortia"/>
    <m/>
    <m/>
    <x v="12"/>
    <m/>
    <m/>
    <m/>
    <m/>
    <m/>
    <m/>
    <m/>
    <m/>
    <n v="0"/>
    <m/>
    <m/>
    <n v="0"/>
    <n v="0"/>
    <n v="0"/>
    <m/>
    <m/>
    <m/>
    <m/>
    <n v="0"/>
    <m/>
    <m/>
    <n v="0"/>
    <m/>
    <m/>
    <m/>
    <m/>
    <m/>
    <m/>
    <n v="0"/>
    <n v="0"/>
  </r>
  <r>
    <x v="0"/>
    <x v="17"/>
    <s v="SREB Membership  *"/>
    <m/>
    <m/>
    <x v="12"/>
    <m/>
    <m/>
    <m/>
    <m/>
    <m/>
    <m/>
    <m/>
    <m/>
    <n v="0"/>
    <m/>
    <m/>
    <n v="0"/>
    <n v="0"/>
    <n v="0"/>
    <n v="201550"/>
    <n v="201550"/>
    <m/>
    <m/>
    <n v="0"/>
    <m/>
    <m/>
    <n v="0"/>
    <m/>
    <m/>
    <m/>
    <m/>
    <m/>
    <m/>
    <n v="201550"/>
    <n v="201550"/>
  </r>
  <r>
    <x v="0"/>
    <x v="17"/>
    <s v="SREB ACHE Administrative Costs"/>
    <m/>
    <m/>
    <x v="12"/>
    <m/>
    <m/>
    <m/>
    <m/>
    <m/>
    <m/>
    <m/>
    <m/>
    <n v="0"/>
    <m/>
    <m/>
    <n v="0"/>
    <n v="0"/>
    <n v="0"/>
    <n v="69776"/>
    <n v="69108"/>
    <m/>
    <m/>
    <n v="0"/>
    <m/>
    <m/>
    <n v="0"/>
    <m/>
    <m/>
    <m/>
    <m/>
    <m/>
    <m/>
    <n v="69776"/>
    <n v="69108"/>
  </r>
  <r>
    <x v="0"/>
    <x v="18"/>
    <s v="Adm. of Statewide Student Aid Progs. (including centralized guaranteed student loans)"/>
    <m/>
    <m/>
    <x v="12"/>
    <m/>
    <m/>
    <m/>
    <m/>
    <m/>
    <m/>
    <m/>
    <m/>
    <n v="0"/>
    <m/>
    <m/>
    <n v="0"/>
    <n v="0"/>
    <n v="0"/>
    <n v="150128"/>
    <n v="166715"/>
    <m/>
    <m/>
    <n v="0"/>
    <m/>
    <m/>
    <n v="0"/>
    <m/>
    <m/>
    <m/>
    <m/>
    <m/>
    <m/>
    <n v="150128"/>
    <n v="166715"/>
  </r>
  <r>
    <x v="0"/>
    <x v="19"/>
    <s v="State Support to Private Colleges Other Than Student Aid"/>
    <m/>
    <m/>
    <x v="12"/>
    <m/>
    <m/>
    <m/>
    <m/>
    <m/>
    <m/>
    <m/>
    <m/>
    <n v="0"/>
    <m/>
    <m/>
    <n v="0"/>
    <n v="0"/>
    <n v="0"/>
    <m/>
    <m/>
    <m/>
    <m/>
    <n v="0"/>
    <m/>
    <m/>
    <n v="0"/>
    <m/>
    <m/>
    <m/>
    <m/>
    <m/>
    <m/>
    <n v="0"/>
    <n v="0"/>
  </r>
  <r>
    <x v="0"/>
    <x v="19"/>
    <s v="AL A&amp;M-Miles College Consortium"/>
    <m/>
    <m/>
    <x v="12"/>
    <m/>
    <m/>
    <m/>
    <m/>
    <m/>
    <m/>
    <m/>
    <m/>
    <n v="0"/>
    <m/>
    <m/>
    <n v="0"/>
    <n v="0"/>
    <n v="0"/>
    <n v="262330"/>
    <n v="262330"/>
    <m/>
    <m/>
    <n v="0"/>
    <m/>
    <m/>
    <n v="0"/>
    <m/>
    <m/>
    <m/>
    <m/>
    <m/>
    <m/>
    <n v="262330"/>
    <n v="262330"/>
  </r>
  <r>
    <x v="0"/>
    <x v="19"/>
    <s v="Talladega College"/>
    <m/>
    <m/>
    <x v="12"/>
    <m/>
    <m/>
    <m/>
    <m/>
    <m/>
    <m/>
    <m/>
    <m/>
    <n v="0"/>
    <m/>
    <m/>
    <n v="0"/>
    <n v="0"/>
    <n v="0"/>
    <n v="632997"/>
    <n v="632997"/>
    <m/>
    <m/>
    <n v="0"/>
    <m/>
    <m/>
    <n v="0"/>
    <m/>
    <m/>
    <m/>
    <m/>
    <m/>
    <m/>
    <n v="632997"/>
    <n v="632997"/>
  </r>
  <r>
    <x v="0"/>
    <x v="19"/>
    <s v="Tuskegee University"/>
    <m/>
    <m/>
    <x v="12"/>
    <m/>
    <m/>
    <m/>
    <m/>
    <m/>
    <m/>
    <m/>
    <m/>
    <n v="0"/>
    <m/>
    <m/>
    <n v="0"/>
    <n v="0"/>
    <n v="0"/>
    <n v="9069227"/>
    <n v="9269227"/>
    <m/>
    <m/>
    <n v="0"/>
    <m/>
    <m/>
    <n v="0"/>
    <m/>
    <m/>
    <m/>
    <m/>
    <m/>
    <m/>
    <n v="9069227"/>
    <n v="9269227"/>
  </r>
  <r>
    <x v="0"/>
    <x v="19"/>
    <s v="AL Agricultural LG Alliance Tuskegee University"/>
    <m/>
    <m/>
    <x v="12"/>
    <m/>
    <m/>
    <m/>
    <m/>
    <m/>
    <m/>
    <m/>
    <m/>
    <n v="0"/>
    <m/>
    <m/>
    <n v="0"/>
    <n v="0"/>
    <n v="0"/>
    <n v="2348344"/>
    <n v="2348344"/>
    <m/>
    <m/>
    <n v="0"/>
    <m/>
    <m/>
    <n v="0"/>
    <m/>
    <m/>
    <m/>
    <m/>
    <m/>
    <m/>
    <n v="2348344"/>
    <n v="2348344"/>
  </r>
  <r>
    <x v="0"/>
    <x v="20"/>
    <s v="Contract Education Programs"/>
    <m/>
    <m/>
    <x v="12"/>
    <m/>
    <m/>
    <m/>
    <m/>
    <m/>
    <m/>
    <m/>
    <m/>
    <n v="0"/>
    <m/>
    <m/>
    <n v="0"/>
    <n v="0"/>
    <n v="0"/>
    <m/>
    <m/>
    <m/>
    <m/>
    <n v="0"/>
    <m/>
    <m/>
    <n v="0"/>
    <m/>
    <m/>
    <m/>
    <m/>
    <m/>
    <m/>
    <n v="0"/>
    <n v="0"/>
  </r>
  <r>
    <x v="0"/>
    <x v="21"/>
    <s v="SREB contract program with private colleges"/>
    <m/>
    <m/>
    <x v="12"/>
    <m/>
    <m/>
    <m/>
    <m/>
    <m/>
    <m/>
    <m/>
    <m/>
    <n v="0"/>
    <m/>
    <m/>
    <n v="0"/>
    <n v="0"/>
    <n v="0"/>
    <m/>
    <m/>
    <m/>
    <m/>
    <n v="0"/>
    <m/>
    <m/>
    <n v="0"/>
    <m/>
    <m/>
    <m/>
    <m/>
    <m/>
    <m/>
    <n v="0"/>
    <n v="0"/>
  </r>
  <r>
    <x v="0"/>
    <x v="21"/>
    <s v="Meharry Medical College (Dentistry &amp; Medicine)"/>
    <m/>
    <m/>
    <x v="12"/>
    <m/>
    <m/>
    <m/>
    <m/>
    <m/>
    <m/>
    <m/>
    <m/>
    <n v="0"/>
    <m/>
    <m/>
    <n v="0"/>
    <n v="0"/>
    <n v="0"/>
    <m/>
    <m/>
    <m/>
    <m/>
    <n v="0"/>
    <m/>
    <m/>
    <n v="0"/>
    <m/>
    <m/>
    <m/>
    <m/>
    <m/>
    <m/>
    <n v="0"/>
    <n v="0"/>
  </r>
  <r>
    <x v="0"/>
    <x v="22"/>
    <s v="SREB contract program with public colleges"/>
    <m/>
    <m/>
    <x v="12"/>
    <m/>
    <m/>
    <m/>
    <m/>
    <m/>
    <m/>
    <m/>
    <m/>
    <n v="0"/>
    <m/>
    <m/>
    <n v="0"/>
    <n v="0"/>
    <n v="0"/>
    <m/>
    <m/>
    <m/>
    <m/>
    <n v="0"/>
    <m/>
    <m/>
    <n v="0"/>
    <m/>
    <m/>
    <m/>
    <m/>
    <m/>
    <m/>
    <n v="0"/>
    <n v="0"/>
  </r>
  <r>
    <x v="0"/>
    <x v="23"/>
    <s v="Other contract education programs"/>
    <m/>
    <m/>
    <x v="12"/>
    <m/>
    <m/>
    <m/>
    <m/>
    <m/>
    <m/>
    <m/>
    <m/>
    <n v="0"/>
    <m/>
    <m/>
    <n v="0"/>
    <n v="0"/>
    <n v="0"/>
    <m/>
    <m/>
    <m/>
    <m/>
    <n v="0"/>
    <m/>
    <m/>
    <n v="0"/>
    <m/>
    <m/>
    <m/>
    <m/>
    <m/>
    <m/>
    <n v="0"/>
    <n v="0"/>
  </r>
  <r>
    <x v="0"/>
    <x v="24"/>
    <s v="Statewide Student Financial Aid Programs Administered Off Campus"/>
    <m/>
    <m/>
    <x v="12"/>
    <m/>
    <m/>
    <m/>
    <m/>
    <m/>
    <m/>
    <m/>
    <m/>
    <n v="0"/>
    <m/>
    <m/>
    <n v="0"/>
    <n v="0"/>
    <n v="0"/>
    <m/>
    <m/>
    <m/>
    <m/>
    <n v="0"/>
    <m/>
    <m/>
    <n v="0"/>
    <m/>
    <m/>
    <m/>
    <m/>
    <m/>
    <m/>
    <n v="0"/>
    <n v="0"/>
  </r>
  <r>
    <x v="0"/>
    <x v="25"/>
    <s v="Available to public &amp; private sector students"/>
    <m/>
    <m/>
    <x v="12"/>
    <m/>
    <m/>
    <m/>
    <m/>
    <m/>
    <m/>
    <m/>
    <m/>
    <n v="0"/>
    <m/>
    <m/>
    <n v="0"/>
    <n v="0"/>
    <n v="0"/>
    <m/>
    <m/>
    <m/>
    <m/>
    <n v="0"/>
    <m/>
    <m/>
    <n v="0"/>
    <m/>
    <m/>
    <m/>
    <m/>
    <m/>
    <m/>
    <n v="0"/>
    <n v="0"/>
  </r>
  <r>
    <x v="0"/>
    <x v="25"/>
    <s v="for medical students"/>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740014"/>
    <n v="740014"/>
    <m/>
    <m/>
    <n v="0"/>
    <m/>
    <m/>
    <n v="0"/>
    <m/>
    <m/>
    <m/>
    <m/>
    <m/>
    <m/>
    <n v="740014"/>
    <n v="740014"/>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for dental students"/>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191166"/>
    <n v="191166"/>
    <m/>
    <m/>
    <n v="0"/>
    <m/>
    <m/>
    <n v="0"/>
    <m/>
    <m/>
    <m/>
    <m/>
    <m/>
    <m/>
    <n v="191166"/>
    <n v="191166"/>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for optometry students"/>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107282"/>
    <n v="107282"/>
    <m/>
    <m/>
    <n v="0"/>
    <m/>
    <m/>
    <n v="0"/>
    <m/>
    <m/>
    <m/>
    <m/>
    <m/>
    <m/>
    <n v="107282"/>
    <n v="107282"/>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Board of Nursing program"/>
    <m/>
    <m/>
    <x v="12"/>
    <m/>
    <m/>
    <m/>
    <m/>
    <m/>
    <m/>
    <m/>
    <m/>
    <n v="0"/>
    <m/>
    <m/>
    <n v="0"/>
    <n v="0"/>
    <n v="0"/>
    <m/>
    <m/>
    <m/>
    <m/>
    <n v="0"/>
    <m/>
    <m/>
    <n v="0"/>
    <m/>
    <m/>
    <m/>
    <m/>
    <m/>
    <m/>
    <n v="0"/>
    <n v="0"/>
  </r>
  <r>
    <x v="0"/>
    <x v="26"/>
    <s v="Need-based"/>
    <m/>
    <m/>
    <x v="12"/>
    <m/>
    <m/>
    <m/>
    <m/>
    <m/>
    <m/>
    <m/>
    <m/>
    <n v="0"/>
    <m/>
    <m/>
    <n v="0"/>
    <n v="0"/>
    <n v="0"/>
    <m/>
    <m/>
    <m/>
    <m/>
    <n v="0"/>
    <m/>
    <m/>
    <n v="0"/>
    <m/>
    <m/>
    <m/>
    <m/>
    <m/>
    <m/>
    <n v="0"/>
    <n v="0"/>
  </r>
  <r>
    <x v="0"/>
    <x v="27"/>
    <s v="Non need-based"/>
    <m/>
    <m/>
    <x v="12"/>
    <m/>
    <m/>
    <m/>
    <m/>
    <m/>
    <m/>
    <m/>
    <m/>
    <n v="0"/>
    <m/>
    <m/>
    <n v="0"/>
    <n v="0"/>
    <n v="0"/>
    <n v="166027"/>
    <n v="166027"/>
    <m/>
    <m/>
    <n v="0"/>
    <m/>
    <m/>
    <n v="0"/>
    <m/>
    <m/>
    <m/>
    <m/>
    <m/>
    <m/>
    <n v="166027"/>
    <n v="166027"/>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SREB minority doctoral fellows"/>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353624"/>
    <n v="354292"/>
    <m/>
    <m/>
    <n v="0"/>
    <m/>
    <m/>
    <n v="0"/>
    <m/>
    <m/>
    <m/>
    <m/>
    <m/>
    <m/>
    <n v="353624"/>
    <n v="354292"/>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Alabama Student Assistance Program"/>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n v="2143221"/>
    <n v="2492371"/>
    <m/>
    <m/>
    <n v="0"/>
    <m/>
    <m/>
    <n v="0"/>
    <m/>
    <m/>
    <m/>
    <m/>
    <m/>
    <m/>
    <n v="2143221"/>
    <n v="2492371"/>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n v="492286"/>
    <n v="131177"/>
    <m/>
    <m/>
    <n v="0"/>
    <m/>
    <m/>
    <n v="0"/>
    <m/>
    <m/>
    <m/>
    <m/>
    <m/>
    <m/>
    <n v="492286"/>
    <n v="131177"/>
  </r>
  <r>
    <x v="0"/>
    <x v="33"/>
    <s v="Non need-based"/>
    <m/>
    <m/>
    <x v="12"/>
    <m/>
    <m/>
    <m/>
    <m/>
    <m/>
    <m/>
    <m/>
    <m/>
    <n v="0"/>
    <m/>
    <m/>
    <n v="0"/>
    <n v="0"/>
    <n v="0"/>
    <m/>
    <m/>
    <m/>
    <m/>
    <n v="0"/>
    <m/>
    <m/>
    <n v="0"/>
    <m/>
    <m/>
    <m/>
    <m/>
    <m/>
    <m/>
    <n v="0"/>
    <n v="0"/>
  </r>
  <r>
    <x v="0"/>
    <x v="25"/>
    <s v="Dependents of blind parents program"/>
    <m/>
    <m/>
    <x v="12"/>
    <m/>
    <m/>
    <m/>
    <m/>
    <m/>
    <m/>
    <m/>
    <m/>
    <n v="0"/>
    <m/>
    <m/>
    <n v="0"/>
    <n v="0"/>
    <n v="0"/>
    <m/>
    <m/>
    <m/>
    <m/>
    <n v="0"/>
    <m/>
    <m/>
    <n v="0"/>
    <m/>
    <m/>
    <m/>
    <m/>
    <m/>
    <m/>
    <n v="0"/>
    <n v="0"/>
  </r>
  <r>
    <x v="0"/>
    <x v="26"/>
    <s v="Need-based"/>
    <m/>
    <m/>
    <x v="12"/>
    <m/>
    <m/>
    <m/>
    <m/>
    <m/>
    <m/>
    <m/>
    <m/>
    <n v="0"/>
    <m/>
    <m/>
    <n v="0"/>
    <n v="0"/>
    <n v="0"/>
    <n v="10399"/>
    <n v="10399"/>
    <m/>
    <m/>
    <n v="0"/>
    <m/>
    <m/>
    <n v="0"/>
    <m/>
    <m/>
    <m/>
    <m/>
    <m/>
    <m/>
    <n v="10399"/>
    <n v="10399"/>
  </r>
  <r>
    <x v="0"/>
    <x v="27"/>
    <s v="Non need-based"/>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m/>
    <m/>
    <m/>
    <m/>
    <n v="0"/>
    <m/>
    <m/>
    <n v="0"/>
    <m/>
    <m/>
    <m/>
    <m/>
    <m/>
    <m/>
    <n v="0"/>
    <n v="0"/>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Department of Veterans Affairs programs"/>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53234609"/>
    <n v="55171599"/>
    <m/>
    <m/>
    <n v="0"/>
    <m/>
    <m/>
    <n v="0"/>
    <m/>
    <m/>
    <m/>
    <m/>
    <m/>
    <m/>
    <n v="53234609"/>
    <n v="55171599"/>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Police Officer's scholarships"/>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147882"/>
    <n v="196358"/>
    <m/>
    <m/>
    <n v="0"/>
    <m/>
    <m/>
    <n v="0"/>
    <m/>
    <m/>
    <m/>
    <m/>
    <m/>
    <m/>
    <n v="147882"/>
    <n v="196358"/>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m/>
    <m/>
    <m/>
    <m/>
    <n v="0"/>
    <m/>
    <m/>
    <n v="0"/>
    <m/>
    <m/>
    <m/>
    <m/>
    <m/>
    <m/>
    <n v="0"/>
    <n v="0"/>
  </r>
  <r>
    <x v="0"/>
    <x v="25"/>
    <s v="National Guard Ed Assistance"/>
    <m/>
    <m/>
    <x v="12"/>
    <m/>
    <m/>
    <m/>
    <m/>
    <m/>
    <m/>
    <m/>
    <m/>
    <n v="0"/>
    <m/>
    <m/>
    <n v="0"/>
    <n v="0"/>
    <n v="0"/>
    <m/>
    <m/>
    <m/>
    <m/>
    <n v="0"/>
    <m/>
    <m/>
    <n v="0"/>
    <m/>
    <m/>
    <m/>
    <m/>
    <m/>
    <m/>
    <n v="0"/>
    <n v="0"/>
  </r>
  <r>
    <x v="0"/>
    <x v="28"/>
    <s v="Amount to public sector students"/>
    <m/>
    <m/>
    <x v="12"/>
    <m/>
    <m/>
    <m/>
    <m/>
    <m/>
    <m/>
    <m/>
    <m/>
    <n v="0"/>
    <m/>
    <m/>
    <n v="0"/>
    <n v="0"/>
    <n v="0"/>
    <m/>
    <m/>
    <m/>
    <m/>
    <n v="0"/>
    <m/>
    <m/>
    <n v="0"/>
    <m/>
    <m/>
    <m/>
    <m/>
    <m/>
    <m/>
    <n v="0"/>
    <n v="0"/>
  </r>
  <r>
    <x v="0"/>
    <x v="29"/>
    <s v="Need-based"/>
    <m/>
    <m/>
    <x v="12"/>
    <m/>
    <m/>
    <m/>
    <m/>
    <m/>
    <m/>
    <m/>
    <m/>
    <n v="0"/>
    <m/>
    <m/>
    <n v="0"/>
    <n v="0"/>
    <n v="0"/>
    <m/>
    <m/>
    <m/>
    <m/>
    <n v="0"/>
    <m/>
    <m/>
    <n v="0"/>
    <m/>
    <m/>
    <m/>
    <m/>
    <m/>
    <m/>
    <n v="0"/>
    <n v="0"/>
  </r>
  <r>
    <x v="0"/>
    <x v="30"/>
    <s v="Non need-based"/>
    <m/>
    <m/>
    <x v="12"/>
    <m/>
    <m/>
    <m/>
    <m/>
    <m/>
    <m/>
    <m/>
    <m/>
    <n v="0"/>
    <m/>
    <m/>
    <n v="0"/>
    <n v="0"/>
    <n v="0"/>
    <n v="515297"/>
    <n v="520573"/>
    <m/>
    <m/>
    <n v="0"/>
    <m/>
    <m/>
    <n v="0"/>
    <m/>
    <m/>
    <m/>
    <m/>
    <m/>
    <m/>
    <n v="515297"/>
    <n v="520573"/>
  </r>
  <r>
    <x v="0"/>
    <x v="31"/>
    <s v="Amount to private sector students"/>
    <m/>
    <m/>
    <x v="12"/>
    <m/>
    <m/>
    <m/>
    <m/>
    <m/>
    <m/>
    <m/>
    <m/>
    <n v="0"/>
    <m/>
    <m/>
    <n v="0"/>
    <n v="0"/>
    <n v="0"/>
    <m/>
    <m/>
    <m/>
    <m/>
    <n v="0"/>
    <m/>
    <m/>
    <n v="0"/>
    <m/>
    <m/>
    <m/>
    <m/>
    <m/>
    <m/>
    <n v="0"/>
    <n v="0"/>
  </r>
  <r>
    <x v="0"/>
    <x v="32"/>
    <s v="Need-based"/>
    <m/>
    <m/>
    <x v="12"/>
    <m/>
    <m/>
    <m/>
    <m/>
    <m/>
    <m/>
    <m/>
    <m/>
    <n v="0"/>
    <m/>
    <m/>
    <n v="0"/>
    <n v="0"/>
    <n v="0"/>
    <m/>
    <m/>
    <m/>
    <m/>
    <n v="0"/>
    <m/>
    <m/>
    <n v="0"/>
    <m/>
    <m/>
    <m/>
    <m/>
    <m/>
    <m/>
    <n v="0"/>
    <n v="0"/>
  </r>
  <r>
    <x v="0"/>
    <x v="33"/>
    <s v="Non need-based"/>
    <m/>
    <m/>
    <x v="12"/>
    <m/>
    <m/>
    <m/>
    <m/>
    <m/>
    <m/>
    <m/>
    <m/>
    <n v="0"/>
    <m/>
    <m/>
    <n v="0"/>
    <n v="0"/>
    <n v="0"/>
    <n v="27121"/>
    <n v="27399"/>
    <m/>
    <m/>
    <n v="0"/>
    <m/>
    <m/>
    <n v="0"/>
    <m/>
    <m/>
    <m/>
    <m/>
    <m/>
    <m/>
    <n v="27121"/>
    <n v="27399"/>
  </r>
  <r>
    <x v="0"/>
    <x v="34"/>
    <s v="Limited to public college students only"/>
    <m/>
    <m/>
    <x v="12"/>
    <m/>
    <m/>
    <m/>
    <m/>
    <m/>
    <m/>
    <m/>
    <m/>
    <n v="0"/>
    <m/>
    <m/>
    <n v="0"/>
    <n v="0"/>
    <n v="0"/>
    <m/>
    <m/>
    <m/>
    <m/>
    <n v="0"/>
    <m/>
    <m/>
    <n v="0"/>
    <m/>
    <m/>
    <m/>
    <m/>
    <m/>
    <m/>
    <n v="0"/>
    <n v="0"/>
  </r>
  <r>
    <x v="0"/>
    <x v="25"/>
    <s v="American Legion program"/>
    <m/>
    <m/>
    <x v="12"/>
    <m/>
    <m/>
    <m/>
    <m/>
    <m/>
    <m/>
    <m/>
    <m/>
    <n v="0"/>
    <m/>
    <m/>
    <n v="0"/>
    <n v="0"/>
    <n v="0"/>
    <m/>
    <m/>
    <m/>
    <m/>
    <n v="0"/>
    <m/>
    <m/>
    <n v="0"/>
    <m/>
    <m/>
    <m/>
    <m/>
    <m/>
    <m/>
    <n v="0"/>
    <n v="0"/>
  </r>
  <r>
    <x v="0"/>
    <x v="35"/>
    <s v="Need-based"/>
    <m/>
    <m/>
    <x v="12"/>
    <m/>
    <m/>
    <m/>
    <m/>
    <m/>
    <m/>
    <m/>
    <m/>
    <n v="0"/>
    <m/>
    <m/>
    <n v="0"/>
    <n v="0"/>
    <n v="0"/>
    <m/>
    <m/>
    <m/>
    <m/>
    <n v="0"/>
    <m/>
    <m/>
    <n v="0"/>
    <m/>
    <m/>
    <m/>
    <m/>
    <m/>
    <m/>
    <n v="0"/>
    <n v="0"/>
  </r>
  <r>
    <x v="0"/>
    <x v="36"/>
    <s v="Non need-based"/>
    <m/>
    <m/>
    <x v="12"/>
    <m/>
    <m/>
    <m/>
    <m/>
    <m/>
    <m/>
    <m/>
    <m/>
    <n v="0"/>
    <m/>
    <m/>
    <n v="0"/>
    <n v="0"/>
    <n v="0"/>
    <n v="112500"/>
    <n v="112500"/>
    <m/>
    <m/>
    <n v="0"/>
    <m/>
    <m/>
    <n v="0"/>
    <m/>
    <m/>
    <m/>
    <m/>
    <m/>
    <m/>
    <n v="112500"/>
    <n v="112500"/>
  </r>
  <r>
    <x v="0"/>
    <x v="36"/>
    <s v="Two-Year Transfer Scholarship Program"/>
    <m/>
    <m/>
    <x v="12"/>
    <m/>
    <m/>
    <m/>
    <m/>
    <m/>
    <m/>
    <m/>
    <m/>
    <n v="0"/>
    <m/>
    <m/>
    <n v="0"/>
    <n v="0"/>
    <n v="0"/>
    <m/>
    <m/>
    <m/>
    <m/>
    <n v="0"/>
    <m/>
    <m/>
    <n v="0"/>
    <m/>
    <m/>
    <m/>
    <m/>
    <m/>
    <m/>
    <n v="0"/>
    <n v="0"/>
  </r>
  <r>
    <x v="0"/>
    <x v="36"/>
    <s v="Non need-based"/>
    <m/>
    <m/>
    <x v="12"/>
    <m/>
    <m/>
    <m/>
    <m/>
    <m/>
    <m/>
    <m/>
    <m/>
    <n v="0"/>
    <m/>
    <m/>
    <n v="0"/>
    <n v="0"/>
    <n v="0"/>
    <m/>
    <m/>
    <m/>
    <m/>
    <n v="0"/>
    <m/>
    <m/>
    <n v="0"/>
    <m/>
    <m/>
    <m/>
    <m/>
    <m/>
    <m/>
    <n v="0"/>
    <n v="0"/>
  </r>
  <r>
    <x v="0"/>
    <x v="37"/>
    <s v="Limited to private college students only"/>
    <m/>
    <m/>
    <x v="12"/>
    <m/>
    <m/>
    <m/>
    <m/>
    <m/>
    <m/>
    <m/>
    <m/>
    <n v="0"/>
    <m/>
    <m/>
    <n v="0"/>
    <n v="0"/>
    <n v="0"/>
    <m/>
    <m/>
    <m/>
    <m/>
    <n v="0"/>
    <m/>
    <m/>
    <n v="0"/>
    <m/>
    <m/>
    <m/>
    <m/>
    <m/>
    <m/>
    <n v="0"/>
    <n v="0"/>
  </r>
  <r>
    <x v="0"/>
    <x v="37"/>
    <s v="Alabama Student Grant Program"/>
    <m/>
    <m/>
    <x v="12"/>
    <m/>
    <m/>
    <m/>
    <m/>
    <m/>
    <m/>
    <m/>
    <m/>
    <n v="0"/>
    <m/>
    <m/>
    <n v="0"/>
    <n v="0"/>
    <n v="0"/>
    <m/>
    <m/>
    <m/>
    <m/>
    <n v="0"/>
    <m/>
    <m/>
    <n v="0"/>
    <m/>
    <m/>
    <m/>
    <m/>
    <m/>
    <m/>
    <n v="0"/>
    <n v="0"/>
  </r>
  <r>
    <x v="0"/>
    <x v="38"/>
    <s v="Need-based"/>
    <m/>
    <m/>
    <x v="12"/>
    <m/>
    <m/>
    <m/>
    <m/>
    <m/>
    <m/>
    <m/>
    <m/>
    <n v="0"/>
    <m/>
    <m/>
    <n v="0"/>
    <n v="0"/>
    <n v="0"/>
    <m/>
    <m/>
    <m/>
    <m/>
    <n v="0"/>
    <m/>
    <m/>
    <n v="0"/>
    <m/>
    <m/>
    <m/>
    <m/>
    <m/>
    <m/>
    <n v="0"/>
    <n v="0"/>
  </r>
  <r>
    <x v="0"/>
    <x v="39"/>
    <s v="Non need-based"/>
    <m/>
    <m/>
    <x v="12"/>
    <m/>
    <m/>
    <m/>
    <m/>
    <m/>
    <m/>
    <m/>
    <m/>
    <n v="0"/>
    <m/>
    <m/>
    <n v="0"/>
    <n v="0"/>
    <n v="0"/>
    <n v="1924587"/>
    <n v="1915929"/>
    <m/>
    <m/>
    <n v="0"/>
    <m/>
    <m/>
    <n v="0"/>
    <m/>
    <m/>
    <m/>
    <m/>
    <m/>
    <m/>
    <n v="1924587"/>
    <n v="1915929"/>
  </r>
  <r>
    <x v="1"/>
    <x v="0"/>
    <s v="University of Arkansas, Fayetteville"/>
    <m/>
    <n v="106397"/>
    <x v="0"/>
    <n v="125527147"/>
    <n v="126883378"/>
    <m/>
    <m/>
    <m/>
    <m/>
    <n v="220938774"/>
    <m/>
    <n v="220938774"/>
    <n v="185228990"/>
    <m/>
    <n v="185228990"/>
    <n v="346465921"/>
    <n v="312112368"/>
    <m/>
    <m/>
    <m/>
    <m/>
    <n v="0"/>
    <m/>
    <m/>
    <n v="0"/>
    <m/>
    <m/>
    <m/>
    <m/>
    <m/>
    <m/>
    <n v="346465921"/>
    <n v="312112368"/>
  </r>
  <r>
    <x v="1"/>
    <x v="40"/>
    <s v="Agricultural cooperative extension"/>
    <m/>
    <n v="106397"/>
    <x v="0"/>
    <m/>
    <m/>
    <m/>
    <m/>
    <m/>
    <m/>
    <m/>
    <m/>
    <n v="0"/>
    <m/>
    <m/>
    <n v="0"/>
    <n v="0"/>
    <n v="0"/>
    <m/>
    <m/>
    <m/>
    <m/>
    <n v="0"/>
    <m/>
    <m/>
    <n v="0"/>
    <m/>
    <m/>
    <m/>
    <m/>
    <m/>
    <m/>
    <n v="0"/>
    <n v="0"/>
  </r>
  <r>
    <x v="1"/>
    <x v="40"/>
    <s v="Univ of Ark. System Divison of Agriculture"/>
    <m/>
    <n v="106397"/>
    <x v="0"/>
    <m/>
    <m/>
    <n v="68195051"/>
    <n v="68324273"/>
    <m/>
    <m/>
    <m/>
    <m/>
    <n v="0"/>
    <m/>
    <m/>
    <n v="0"/>
    <n v="68195051"/>
    <n v="68324273"/>
    <m/>
    <m/>
    <m/>
    <m/>
    <n v="0"/>
    <m/>
    <m/>
    <n v="0"/>
    <m/>
    <m/>
    <m/>
    <m/>
    <m/>
    <m/>
    <n v="68195051"/>
    <n v="68324273"/>
  </r>
  <r>
    <x v="1"/>
    <x v="11"/>
    <s v="Univ of Ark. System Archeological Survey"/>
    <m/>
    <n v="106397"/>
    <x v="0"/>
    <m/>
    <m/>
    <n v="2457145"/>
    <n v="2460252"/>
    <m/>
    <m/>
    <m/>
    <m/>
    <n v="0"/>
    <m/>
    <m/>
    <n v="0"/>
    <n v="2457145"/>
    <n v="2460252"/>
    <m/>
    <m/>
    <m/>
    <m/>
    <n v="0"/>
    <m/>
    <m/>
    <n v="0"/>
    <m/>
    <m/>
    <m/>
    <m/>
    <m/>
    <m/>
    <n v="2457145"/>
    <n v="2460252"/>
  </r>
  <r>
    <x v="1"/>
    <x v="11"/>
    <s v="Univ of Ark. System Criminal Justice Institute"/>
    <m/>
    <n v="106397"/>
    <x v="0"/>
    <m/>
    <m/>
    <n v="1825769"/>
    <n v="1825769"/>
    <m/>
    <m/>
    <m/>
    <m/>
    <n v="0"/>
    <m/>
    <m/>
    <n v="0"/>
    <n v="1825769"/>
    <n v="1825769"/>
    <m/>
    <m/>
    <m/>
    <m/>
    <n v="0"/>
    <m/>
    <m/>
    <n v="0"/>
    <m/>
    <m/>
    <m/>
    <m/>
    <m/>
    <m/>
    <n v="1825769"/>
    <n v="1825769"/>
  </r>
  <r>
    <x v="1"/>
    <x v="3"/>
    <s v="Community or public service units"/>
    <m/>
    <n v="106397"/>
    <x v="0"/>
    <m/>
    <m/>
    <m/>
    <m/>
    <m/>
    <m/>
    <m/>
    <m/>
    <n v="0"/>
    <m/>
    <m/>
    <n v="0"/>
    <n v="0"/>
    <n v="0"/>
    <m/>
    <m/>
    <m/>
    <m/>
    <n v="0"/>
    <m/>
    <m/>
    <n v="0"/>
    <m/>
    <m/>
    <m/>
    <m/>
    <m/>
    <m/>
    <n v="0"/>
    <n v="0"/>
  </r>
  <r>
    <x v="1"/>
    <x v="3"/>
    <s v="Univ. of Ark. System Arkansas School of Mathematics, Sciences and the Arts"/>
    <m/>
    <n v="106397"/>
    <x v="0"/>
    <m/>
    <m/>
    <n v="8230850"/>
    <n v="8401339"/>
    <m/>
    <m/>
    <m/>
    <m/>
    <n v="0"/>
    <m/>
    <m/>
    <n v="0"/>
    <n v="8230850"/>
    <n v="8401339"/>
    <m/>
    <m/>
    <m/>
    <m/>
    <n v="0"/>
    <m/>
    <m/>
    <n v="0"/>
    <m/>
    <m/>
    <m/>
    <m/>
    <m/>
    <m/>
    <n v="8230850"/>
    <n v="8401339"/>
  </r>
  <r>
    <x v="1"/>
    <x v="0"/>
    <s v="Clinton School for Public Service"/>
    <m/>
    <n v="106397"/>
    <x v="0"/>
    <m/>
    <m/>
    <n v="2295575"/>
    <n v="2295575"/>
    <m/>
    <m/>
    <n v="615200"/>
    <m/>
    <n v="615200"/>
    <n v="600000"/>
    <m/>
    <n v="600000"/>
    <n v="2910775"/>
    <n v="2895575"/>
    <m/>
    <m/>
    <m/>
    <m/>
    <n v="0"/>
    <m/>
    <m/>
    <n v="0"/>
    <m/>
    <m/>
    <m/>
    <m/>
    <m/>
    <m/>
    <n v="2910775"/>
    <n v="2895575"/>
  </r>
  <r>
    <x v="1"/>
    <x v="0"/>
    <s v="Arkansas State University"/>
    <m/>
    <n v="106458"/>
    <x v="2"/>
    <n v="61907972"/>
    <n v="62389076"/>
    <m/>
    <m/>
    <m/>
    <m/>
    <n v="89527334"/>
    <n v="21632"/>
    <n v="89548966"/>
    <n v="85148981"/>
    <m/>
    <n v="85148981"/>
    <n v="151435306"/>
    <n v="147538057"/>
    <m/>
    <m/>
    <m/>
    <m/>
    <n v="0"/>
    <m/>
    <m/>
    <n v="0"/>
    <m/>
    <m/>
    <m/>
    <m/>
    <m/>
    <m/>
    <n v="151435306"/>
    <n v="147538057"/>
  </r>
  <r>
    <x v="1"/>
    <x v="3"/>
    <s v="Community or public service units"/>
    <m/>
    <n v="106458"/>
    <x v="2"/>
    <m/>
    <m/>
    <m/>
    <m/>
    <m/>
    <m/>
    <m/>
    <m/>
    <n v="0"/>
    <m/>
    <m/>
    <n v="0"/>
    <n v="0"/>
    <n v="0"/>
    <m/>
    <m/>
    <m/>
    <m/>
    <n v="0"/>
    <m/>
    <m/>
    <n v="0"/>
    <m/>
    <m/>
    <m/>
    <m/>
    <m/>
    <m/>
    <n v="0"/>
    <n v="0"/>
  </r>
  <r>
    <x v="1"/>
    <x v="0"/>
    <s v="Arkansas Tech University"/>
    <m/>
    <n v="106467"/>
    <x v="2"/>
    <n v="31560998"/>
    <n v="31885050"/>
    <m/>
    <m/>
    <m/>
    <m/>
    <n v="53973806"/>
    <m/>
    <n v="53973806"/>
    <n v="55203113"/>
    <m/>
    <n v="55203113"/>
    <n v="85534804"/>
    <n v="87088163"/>
    <m/>
    <m/>
    <m/>
    <m/>
    <n v="0"/>
    <m/>
    <m/>
    <n v="0"/>
    <m/>
    <m/>
    <m/>
    <m/>
    <m/>
    <m/>
    <n v="85534804"/>
    <n v="87088163"/>
  </r>
  <r>
    <x v="1"/>
    <x v="3"/>
    <s v="Community or public service units"/>
    <m/>
    <n v="106467"/>
    <x v="2"/>
    <m/>
    <m/>
    <m/>
    <m/>
    <m/>
    <m/>
    <m/>
    <m/>
    <n v="0"/>
    <m/>
    <m/>
    <n v="0"/>
    <n v="0"/>
    <n v="0"/>
    <m/>
    <m/>
    <m/>
    <m/>
    <n v="0"/>
    <m/>
    <m/>
    <n v="0"/>
    <m/>
    <m/>
    <m/>
    <m/>
    <m/>
    <m/>
    <n v="0"/>
    <n v="0"/>
  </r>
  <r>
    <x v="1"/>
    <x v="3"/>
    <s v="Arkansas Tech University - Ozark"/>
    <m/>
    <n v="106467"/>
    <x v="2"/>
    <m/>
    <m/>
    <n v="3189081"/>
    <n v="3181253"/>
    <m/>
    <m/>
    <n v="4071724"/>
    <m/>
    <n v="4071724"/>
    <n v="4174256"/>
    <m/>
    <n v="4174256"/>
    <n v="7260805"/>
    <n v="7355509"/>
    <m/>
    <m/>
    <m/>
    <m/>
    <n v="0"/>
    <m/>
    <m/>
    <n v="0"/>
    <m/>
    <m/>
    <m/>
    <m/>
    <m/>
    <m/>
    <n v="7260805"/>
    <n v="7355509"/>
  </r>
  <r>
    <x v="1"/>
    <x v="0"/>
    <s v="University of Arkansas at Little Rock"/>
    <s v="Reclassified: Met the criteria for Four-Year 2 in 2012-13, 2013-14, and 2014-15."/>
    <n v="106245"/>
    <x v="1"/>
    <n v="61960269"/>
    <n v="62087049"/>
    <m/>
    <m/>
    <m/>
    <m/>
    <n v="75294685"/>
    <n v="817280"/>
    <n v="76111965"/>
    <n v="76789523"/>
    <m/>
    <n v="76789523"/>
    <n v="137254954"/>
    <n v="138876572"/>
    <m/>
    <m/>
    <m/>
    <m/>
    <n v="0"/>
    <m/>
    <m/>
    <n v="0"/>
    <m/>
    <m/>
    <m/>
    <m/>
    <m/>
    <m/>
    <n v="137254954"/>
    <n v="138876572"/>
  </r>
  <r>
    <x v="1"/>
    <x v="3"/>
    <s v="Community or public service units"/>
    <m/>
    <n v="106245"/>
    <x v="1"/>
    <m/>
    <m/>
    <m/>
    <m/>
    <m/>
    <m/>
    <m/>
    <m/>
    <n v="0"/>
    <m/>
    <m/>
    <n v="0"/>
    <n v="0"/>
    <n v="0"/>
    <m/>
    <m/>
    <m/>
    <m/>
    <n v="0"/>
    <m/>
    <m/>
    <n v="0"/>
    <m/>
    <m/>
    <m/>
    <m/>
    <m/>
    <m/>
    <n v="0"/>
    <n v="0"/>
  </r>
  <r>
    <x v="1"/>
    <x v="3"/>
    <s v="Research and Public Service Unit"/>
    <m/>
    <n v="106245"/>
    <x v="1"/>
    <m/>
    <m/>
    <n v="3588916"/>
    <n v="4087836"/>
    <m/>
    <m/>
    <n v="0"/>
    <m/>
    <n v="0"/>
    <n v="29407"/>
    <m/>
    <n v="29407"/>
    <n v="3588916"/>
    <n v="4117243"/>
    <m/>
    <m/>
    <m/>
    <m/>
    <n v="0"/>
    <m/>
    <m/>
    <n v="0"/>
    <m/>
    <m/>
    <m/>
    <m/>
    <m/>
    <m/>
    <n v="3588916"/>
    <n v="4117243"/>
  </r>
  <r>
    <x v="1"/>
    <x v="0"/>
    <s v="University of Central Arkansas "/>
    <m/>
    <n v="106704"/>
    <x v="2"/>
    <n v="57234273"/>
    <n v="57811672"/>
    <m/>
    <m/>
    <m/>
    <m/>
    <n v="74907396"/>
    <m/>
    <n v="74907396"/>
    <n v="75142275"/>
    <m/>
    <n v="75142275"/>
    <n v="132141669"/>
    <n v="132953947"/>
    <m/>
    <m/>
    <m/>
    <m/>
    <n v="0"/>
    <m/>
    <m/>
    <n v="0"/>
    <m/>
    <m/>
    <m/>
    <m/>
    <m/>
    <m/>
    <n v="132141669"/>
    <n v="132953947"/>
  </r>
  <r>
    <x v="1"/>
    <x v="0"/>
    <s v="Henderson State University "/>
    <m/>
    <n v="107071"/>
    <x v="3"/>
    <n v="20587528"/>
    <n v="20799616"/>
    <m/>
    <m/>
    <m/>
    <m/>
    <n v="25714854"/>
    <m/>
    <n v="25714854"/>
    <n v="24932698"/>
    <m/>
    <n v="24932698"/>
    <n v="46302382"/>
    <n v="45732314"/>
    <m/>
    <m/>
    <m/>
    <m/>
    <n v="0"/>
    <m/>
    <m/>
    <n v="0"/>
    <m/>
    <m/>
    <m/>
    <m/>
    <m/>
    <m/>
    <n v="46302382"/>
    <n v="45732314"/>
  </r>
  <r>
    <x v="1"/>
    <x v="3"/>
    <s v="Community or public service units"/>
    <m/>
    <n v="107071"/>
    <x v="3"/>
    <m/>
    <m/>
    <m/>
    <m/>
    <m/>
    <m/>
    <m/>
    <m/>
    <n v="0"/>
    <m/>
    <m/>
    <n v="0"/>
    <n v="0"/>
    <n v="0"/>
    <m/>
    <m/>
    <m/>
    <m/>
    <n v="0"/>
    <m/>
    <m/>
    <n v="0"/>
    <m/>
    <m/>
    <m/>
    <m/>
    <m/>
    <m/>
    <n v="0"/>
    <n v="0"/>
  </r>
  <r>
    <x v="1"/>
    <x v="3"/>
    <s v="Henderson State Community Education Center "/>
    <m/>
    <n v="107071"/>
    <x v="3"/>
    <m/>
    <m/>
    <n v="210585"/>
    <n v="210585"/>
    <m/>
    <m/>
    <n v="0"/>
    <m/>
    <n v="0"/>
    <n v="0"/>
    <m/>
    <n v="0"/>
    <n v="210585"/>
    <n v="210585"/>
    <m/>
    <m/>
    <m/>
    <m/>
    <n v="0"/>
    <m/>
    <m/>
    <n v="0"/>
    <m/>
    <m/>
    <m/>
    <m/>
    <m/>
    <m/>
    <n v="210585"/>
    <n v="210585"/>
  </r>
  <r>
    <x v="1"/>
    <x v="0"/>
    <s v="Southern Arkansas University"/>
    <m/>
    <n v="107983"/>
    <x v="3"/>
    <n v="16681839"/>
    <n v="16846756"/>
    <m/>
    <m/>
    <m/>
    <m/>
    <n v="23393761"/>
    <n v="2047987.23"/>
    <n v="25441748.23"/>
    <n v="22884584"/>
    <m/>
    <n v="22884584"/>
    <n v="40075600"/>
    <n v="39731340"/>
    <m/>
    <m/>
    <m/>
    <m/>
    <n v="0"/>
    <m/>
    <m/>
    <n v="0"/>
    <m/>
    <m/>
    <m/>
    <m/>
    <m/>
    <m/>
    <n v="40075600"/>
    <n v="39731340"/>
  </r>
  <r>
    <x v="1"/>
    <x v="0"/>
    <s v="University of Arkansas at Monticello"/>
    <m/>
    <n v="106485"/>
    <x v="4"/>
    <n v="14017774"/>
    <n v="14156779"/>
    <m/>
    <m/>
    <m/>
    <m/>
    <n v="14461103"/>
    <m/>
    <n v="14461103"/>
    <n v="14729645"/>
    <m/>
    <n v="14729645"/>
    <n v="28478877"/>
    <n v="28886424"/>
    <m/>
    <m/>
    <m/>
    <m/>
    <n v="0"/>
    <m/>
    <m/>
    <n v="0"/>
    <m/>
    <m/>
    <m/>
    <m/>
    <m/>
    <m/>
    <n v="28478877"/>
    <n v="28886424"/>
  </r>
  <r>
    <x v="1"/>
    <x v="3"/>
    <s v="Community or public service units"/>
    <m/>
    <n v="106485"/>
    <x v="4"/>
    <m/>
    <m/>
    <m/>
    <m/>
    <m/>
    <m/>
    <m/>
    <m/>
    <n v="0"/>
    <m/>
    <m/>
    <n v="0"/>
    <n v="0"/>
    <n v="0"/>
    <m/>
    <m/>
    <m/>
    <m/>
    <n v="0"/>
    <m/>
    <m/>
    <n v="0"/>
    <m/>
    <m/>
    <m/>
    <m/>
    <m/>
    <m/>
    <n v="0"/>
    <n v="0"/>
  </r>
  <r>
    <x v="1"/>
    <x v="3"/>
    <s v="UAM College of Technology-McGehee"/>
    <m/>
    <n v="106485"/>
    <x v="4"/>
    <m/>
    <m/>
    <n v="2430016"/>
    <n v="2423058"/>
    <m/>
    <m/>
    <n v="936474"/>
    <m/>
    <n v="936474"/>
    <n v="1034556"/>
    <m/>
    <n v="1034556"/>
    <n v="3366490"/>
    <n v="3457614"/>
    <m/>
    <m/>
    <m/>
    <m/>
    <n v="0"/>
    <m/>
    <m/>
    <n v="0"/>
    <m/>
    <m/>
    <m/>
    <m/>
    <m/>
    <m/>
    <n v="3366490"/>
    <n v="3457614"/>
  </r>
  <r>
    <x v="1"/>
    <x v="3"/>
    <s v="UAM College of Technology-Crossett "/>
    <m/>
    <n v="106485"/>
    <x v="4"/>
    <m/>
    <m/>
    <n v="1811324"/>
    <n v="1804851"/>
    <m/>
    <m/>
    <n v="982244"/>
    <m/>
    <n v="982244"/>
    <n v="991051"/>
    <m/>
    <n v="991051"/>
    <n v="2793568"/>
    <n v="2795902"/>
    <m/>
    <m/>
    <m/>
    <m/>
    <n v="0"/>
    <m/>
    <m/>
    <n v="0"/>
    <m/>
    <m/>
    <m/>
    <m/>
    <m/>
    <m/>
    <n v="2793568"/>
    <n v="2795902"/>
  </r>
  <r>
    <x v="1"/>
    <x v="0"/>
    <s v="University of Arkansas at Fort Smith"/>
    <m/>
    <n v="108092"/>
    <x v="5"/>
    <n v="23469127"/>
    <n v="23721803"/>
    <s v="."/>
    <m/>
    <n v="5654987"/>
    <n v="5600000"/>
    <n v="30637282"/>
    <m/>
    <n v="30637282"/>
    <n v="32334331"/>
    <m/>
    <n v="32334331"/>
    <n v="59761396"/>
    <n v="61656134"/>
    <m/>
    <m/>
    <m/>
    <m/>
    <n v="0"/>
    <m/>
    <m/>
    <n v="0"/>
    <m/>
    <m/>
    <m/>
    <m/>
    <m/>
    <m/>
    <n v="59761396"/>
    <n v="61656134"/>
  </r>
  <r>
    <x v="1"/>
    <x v="0"/>
    <s v="University of Arkansas at Pine Bluff"/>
    <m/>
    <n v="106412"/>
    <x v="5"/>
    <n v="27075920"/>
    <n v="27309288"/>
    <m/>
    <m/>
    <m/>
    <m/>
    <n v="16299059"/>
    <m/>
    <n v="16299059"/>
    <n v="18449742"/>
    <m/>
    <n v="18449742"/>
    <n v="43374979"/>
    <n v="45759030"/>
    <m/>
    <m/>
    <m/>
    <m/>
    <n v="0"/>
    <m/>
    <m/>
    <n v="0"/>
    <m/>
    <m/>
    <m/>
    <m/>
    <m/>
    <m/>
    <n v="43374979"/>
    <n v="45759030"/>
  </r>
  <r>
    <x v="1"/>
    <x v="0"/>
    <s v="Northwest Arkansas Community College "/>
    <m/>
    <n v="367459"/>
    <x v="6"/>
    <n v="11611154"/>
    <n v="11634914"/>
    <m/>
    <m/>
    <n v="5952227"/>
    <n v="5900000"/>
    <n v="24017813"/>
    <m/>
    <n v="24017813"/>
    <n v="22735825"/>
    <m/>
    <n v="22735825"/>
    <n v="41581194"/>
    <n v="40270739"/>
    <m/>
    <m/>
    <m/>
    <m/>
    <n v="0"/>
    <m/>
    <m/>
    <n v="0"/>
    <m/>
    <m/>
    <m/>
    <m/>
    <m/>
    <m/>
    <n v="41581194"/>
    <n v="40270739"/>
  </r>
  <r>
    <x v="1"/>
    <x v="0"/>
    <s v="Pulaski Technical College"/>
    <m/>
    <n v="107664"/>
    <x v="6"/>
    <n v="17411209"/>
    <n v="17388807"/>
    <m/>
    <m/>
    <m/>
    <m/>
    <n v="28982515"/>
    <m/>
    <n v="28982515"/>
    <n v="31073212"/>
    <m/>
    <n v="31073212"/>
    <n v="46393724"/>
    <n v="48462019"/>
    <m/>
    <m/>
    <m/>
    <m/>
    <n v="0"/>
    <m/>
    <m/>
    <n v="0"/>
    <m/>
    <m/>
    <m/>
    <m/>
    <m/>
    <m/>
    <n v="46393724"/>
    <n v="48462019"/>
  </r>
  <r>
    <x v="1"/>
    <x v="0"/>
    <s v="Arkansas State University-Beebe"/>
    <m/>
    <n v="106449"/>
    <x v="7"/>
    <n v="14071729"/>
    <n v="14098177"/>
    <m/>
    <m/>
    <n v="1779744"/>
    <n v="1700000"/>
    <n v="10223764"/>
    <m/>
    <n v="10223764"/>
    <n v="10618500"/>
    <m/>
    <n v="10618500"/>
    <n v="26075237"/>
    <n v="26416677"/>
    <m/>
    <m/>
    <m/>
    <m/>
    <n v="0"/>
    <m/>
    <m/>
    <n v="0"/>
    <m/>
    <m/>
    <m/>
    <m/>
    <m/>
    <m/>
    <n v="26075237"/>
    <n v="26416677"/>
  </r>
  <r>
    <x v="1"/>
    <x v="0"/>
    <s v="National Park Community College"/>
    <m/>
    <n v="106980"/>
    <x v="7"/>
    <n v="10836955"/>
    <n v="10857258"/>
    <m/>
    <m/>
    <m/>
    <m/>
    <n v="7311154"/>
    <m/>
    <n v="7311154"/>
    <n v="7832812"/>
    <m/>
    <n v="7832812"/>
    <n v="18148109"/>
    <n v="18690070"/>
    <m/>
    <m/>
    <m/>
    <m/>
    <n v="0"/>
    <m/>
    <m/>
    <n v="0"/>
    <m/>
    <m/>
    <m/>
    <m/>
    <m/>
    <m/>
    <n v="18148109"/>
    <n v="18690070"/>
  </r>
  <r>
    <x v="1"/>
    <x v="0"/>
    <s v="Arkansas Northeastern College"/>
    <m/>
    <n v="107327"/>
    <x v="8"/>
    <n v="10026898"/>
    <n v="10036916"/>
    <m/>
    <m/>
    <m/>
    <m/>
    <n v="2320751"/>
    <m/>
    <n v="2320751"/>
    <n v="2828449"/>
    <m/>
    <n v="2828449"/>
    <n v="12347649"/>
    <n v="12865365"/>
    <m/>
    <m/>
    <m/>
    <m/>
    <n v="0"/>
    <m/>
    <m/>
    <n v="0"/>
    <m/>
    <m/>
    <m/>
    <m/>
    <m/>
    <m/>
    <n v="12347649"/>
    <n v="12865365"/>
  </r>
  <r>
    <x v="1"/>
    <x v="0"/>
    <s v="Arkansas State University Mountain Home"/>
    <m/>
    <n v="420538"/>
    <x v="8"/>
    <n v="4472039"/>
    <n v="4463921"/>
    <m/>
    <m/>
    <n v="1333345"/>
    <n v="1300000"/>
    <n v="4372239"/>
    <m/>
    <n v="4372239"/>
    <n v="4594368"/>
    <m/>
    <n v="4594368"/>
    <n v="10177623"/>
    <n v="10358289"/>
    <m/>
    <m/>
    <m/>
    <m/>
    <n v="0"/>
    <m/>
    <m/>
    <n v="0"/>
    <m/>
    <m/>
    <m/>
    <m/>
    <m/>
    <m/>
    <n v="10177623"/>
    <n v="10358289"/>
  </r>
  <r>
    <x v="1"/>
    <x v="0"/>
    <s v="Arkansas State University-Newport"/>
    <m/>
    <n v="440402"/>
    <x v="8"/>
    <n v="7409921"/>
    <n v="7395954"/>
    <m/>
    <m/>
    <n v="975001"/>
    <n v="970000"/>
    <n v="5146875"/>
    <m/>
    <n v="5146875"/>
    <n v="4702945"/>
    <m/>
    <n v="4702945"/>
    <n v="13531797"/>
    <n v="13068899"/>
    <m/>
    <m/>
    <m/>
    <m/>
    <n v="0"/>
    <m/>
    <m/>
    <n v="0"/>
    <m/>
    <m/>
    <m/>
    <m/>
    <m/>
    <m/>
    <n v="13531797"/>
    <n v="13068899"/>
  </r>
  <r>
    <x v="1"/>
    <x v="0"/>
    <s v="Black River Technical College"/>
    <m/>
    <n v="106625"/>
    <x v="8"/>
    <n v="8358725"/>
    <n v="8336604"/>
    <m/>
    <m/>
    <m/>
    <m/>
    <n v="6076546"/>
    <m/>
    <n v="6076546"/>
    <n v="6846435"/>
    <m/>
    <n v="6846435"/>
    <n v="14435271"/>
    <n v="15183039"/>
    <m/>
    <m/>
    <m/>
    <m/>
    <n v="0"/>
    <m/>
    <m/>
    <n v="0"/>
    <m/>
    <m/>
    <m/>
    <m/>
    <m/>
    <m/>
    <n v="14435271"/>
    <n v="15183039"/>
  </r>
  <r>
    <x v="1"/>
    <x v="0"/>
    <s v="College of the Ouachitas"/>
    <m/>
    <n v="107521"/>
    <x v="8"/>
    <n v="4683647"/>
    <n v="4672254"/>
    <m/>
    <m/>
    <m/>
    <m/>
    <n v="2883039"/>
    <m/>
    <n v="2883039"/>
    <n v="2808867"/>
    <m/>
    <n v="2808867"/>
    <n v="7566686"/>
    <n v="7481121"/>
    <m/>
    <m/>
    <m/>
    <m/>
    <n v="0"/>
    <m/>
    <m/>
    <n v="0"/>
    <m/>
    <m/>
    <m/>
    <m/>
    <m/>
    <m/>
    <n v="7566686"/>
    <n v="7481121"/>
  </r>
  <r>
    <x v="1"/>
    <x v="0"/>
    <s v="Cossatot Community College of the University of Arkansas"/>
    <m/>
    <n v="106795"/>
    <x v="8"/>
    <n v="4746139"/>
    <n v="4732835"/>
    <m/>
    <m/>
    <n v="1153584"/>
    <n v="1100000"/>
    <n v="3265170"/>
    <n v="193008"/>
    <n v="3458178"/>
    <n v="3482415"/>
    <m/>
    <n v="3482415"/>
    <n v="9164893"/>
    <n v="9315250"/>
    <m/>
    <m/>
    <m/>
    <m/>
    <n v="0"/>
    <m/>
    <m/>
    <n v="0"/>
    <m/>
    <m/>
    <m/>
    <m/>
    <m/>
    <m/>
    <n v="9164893"/>
    <n v="9315250"/>
  </r>
  <r>
    <x v="1"/>
    <x v="0"/>
    <s v="East Arkansas Community College "/>
    <m/>
    <n v="106883"/>
    <x v="8"/>
    <n v="6538536"/>
    <n v="6556512"/>
    <m/>
    <m/>
    <m/>
    <m/>
    <n v="2760293"/>
    <m/>
    <n v="2760293"/>
    <n v="3052457"/>
    <m/>
    <n v="3052457"/>
    <n v="9298829"/>
    <n v="9608969"/>
    <m/>
    <m/>
    <m/>
    <m/>
    <n v="0"/>
    <m/>
    <m/>
    <n v="0"/>
    <m/>
    <m/>
    <m/>
    <m/>
    <m/>
    <m/>
    <n v="9298829"/>
    <n v="9608969"/>
  </r>
  <r>
    <x v="1"/>
    <x v="0"/>
    <s v="Mid-South Community College "/>
    <m/>
    <n v="107318"/>
    <x v="8"/>
    <n v="6048921"/>
    <n v="6027335"/>
    <m/>
    <m/>
    <n v="87461"/>
    <n v="80000"/>
    <n v="13755765"/>
    <m/>
    <n v="13755765"/>
    <n v="5035722"/>
    <m/>
    <n v="5035722"/>
    <n v="19892147"/>
    <n v="11143057"/>
    <m/>
    <m/>
    <m/>
    <m/>
    <n v="0"/>
    <m/>
    <m/>
    <n v="0"/>
    <m/>
    <m/>
    <m/>
    <m/>
    <m/>
    <m/>
    <n v="19892147"/>
    <n v="11143057"/>
  </r>
  <r>
    <x v="1"/>
    <x v="0"/>
    <s v="North Arkansas College"/>
    <m/>
    <n v="107460"/>
    <x v="8"/>
    <n v="8985364"/>
    <n v="8990314"/>
    <m/>
    <m/>
    <m/>
    <m/>
    <n v="4531546"/>
    <m/>
    <n v="4531546"/>
    <n v="4535284"/>
    <m/>
    <n v="4535284"/>
    <n v="13516910"/>
    <n v="13525598"/>
    <m/>
    <m/>
    <m/>
    <m/>
    <n v="0"/>
    <m/>
    <m/>
    <n v="0"/>
    <m/>
    <m/>
    <m/>
    <m/>
    <m/>
    <m/>
    <n v="13516910"/>
    <n v="13525598"/>
  </r>
  <r>
    <x v="1"/>
    <x v="0"/>
    <s v="Ozarka College "/>
    <m/>
    <n v="107549"/>
    <x v="8"/>
    <n v="4398316"/>
    <n v="4385785"/>
    <m/>
    <m/>
    <n v="416382"/>
    <n v="410000"/>
    <n v="3853957"/>
    <m/>
    <n v="3853957"/>
    <n v="3799920"/>
    <m/>
    <n v="3799920"/>
    <n v="8668655"/>
    <n v="8595705"/>
    <m/>
    <m/>
    <m/>
    <m/>
    <n v="0"/>
    <m/>
    <m/>
    <n v="0"/>
    <m/>
    <m/>
    <m/>
    <m/>
    <m/>
    <m/>
    <n v="8668655"/>
    <n v="8595705"/>
  </r>
  <r>
    <x v="1"/>
    <x v="0"/>
    <s v="Phillips Community College of the Univ of Arkansas"/>
    <m/>
    <n v="107619"/>
    <x v="8"/>
    <n v="10323808"/>
    <n v="10336094"/>
    <m/>
    <m/>
    <n v="2153019"/>
    <n v="2100000"/>
    <n v="3209837"/>
    <m/>
    <n v="3209837"/>
    <n v="3178785"/>
    <m/>
    <n v="3178785"/>
    <n v="15686664"/>
    <n v="15614879"/>
    <m/>
    <m/>
    <m/>
    <m/>
    <n v="0"/>
    <m/>
    <m/>
    <n v="0"/>
    <m/>
    <m/>
    <m/>
    <m/>
    <m/>
    <m/>
    <n v="15686664"/>
    <n v="15614879"/>
  </r>
  <r>
    <x v="1"/>
    <x v="0"/>
    <s v="Rich Mountain Community College "/>
    <m/>
    <n v="107743"/>
    <x v="8"/>
    <n v="3404968"/>
    <n v="3409713"/>
    <m/>
    <m/>
    <m/>
    <m/>
    <n v="2131112"/>
    <m/>
    <n v="2131112"/>
    <n v="2197253"/>
    <m/>
    <n v="2197253"/>
    <n v="5536080"/>
    <n v="5606966"/>
    <m/>
    <m/>
    <m/>
    <m/>
    <n v="0"/>
    <m/>
    <m/>
    <n v="0"/>
    <m/>
    <m/>
    <m/>
    <m/>
    <m/>
    <m/>
    <n v="5536080"/>
    <n v="5606966"/>
  </r>
  <r>
    <x v="1"/>
    <x v="0"/>
    <s v="South Arkansas Community College"/>
    <m/>
    <n v="107974"/>
    <x v="8"/>
    <n v="7008969"/>
    <n v="7016717"/>
    <m/>
    <m/>
    <m/>
    <m/>
    <n v="4720741"/>
    <m/>
    <n v="4720741"/>
    <n v="4734675"/>
    <m/>
    <n v="4734675"/>
    <n v="11729710"/>
    <n v="11751392"/>
    <m/>
    <m/>
    <m/>
    <m/>
    <n v="0"/>
    <m/>
    <m/>
    <n v="0"/>
    <m/>
    <m/>
    <m/>
    <m/>
    <m/>
    <m/>
    <n v="11729710"/>
    <n v="11751392"/>
  </r>
  <r>
    <x v="1"/>
    <x v="0"/>
    <s v="Southeast Arkansas College"/>
    <m/>
    <n v="107637"/>
    <x v="8"/>
    <n v="7611997"/>
    <n v="7592536"/>
    <m/>
    <m/>
    <m/>
    <m/>
    <n v="3852944"/>
    <m/>
    <n v="3852944"/>
    <n v="4066450"/>
    <m/>
    <n v="4066450"/>
    <n v="11464941"/>
    <n v="11658986"/>
    <m/>
    <m/>
    <m/>
    <m/>
    <n v="0"/>
    <m/>
    <m/>
    <n v="0"/>
    <m/>
    <m/>
    <m/>
    <m/>
    <m/>
    <m/>
    <n v="11464941"/>
    <n v="11658986"/>
  </r>
  <r>
    <x v="1"/>
    <x v="0"/>
    <s v="Southern Arkansas University Tech"/>
    <m/>
    <n v="107992"/>
    <x v="8"/>
    <n v="5907851"/>
    <n v="5912697"/>
    <m/>
    <m/>
    <m/>
    <m/>
    <n v="4896954"/>
    <m/>
    <n v="4896954"/>
    <n v="5431475"/>
    <m/>
    <n v="5431475"/>
    <n v="10804805"/>
    <n v="11344172"/>
    <m/>
    <m/>
    <m/>
    <m/>
    <n v="0"/>
    <m/>
    <m/>
    <n v="0"/>
    <m/>
    <m/>
    <m/>
    <m/>
    <m/>
    <m/>
    <n v="10804805"/>
    <n v="11344172"/>
  </r>
  <r>
    <x v="1"/>
    <x v="3"/>
    <s v="Environmental Control Academy &amp; Fire Control Academy"/>
    <m/>
    <n v="107992"/>
    <x v="8"/>
    <m/>
    <m/>
    <n v="2139017"/>
    <n v="2141876"/>
    <m/>
    <m/>
    <n v="625235"/>
    <m/>
    <n v="625235"/>
    <n v="490680"/>
    <m/>
    <n v="490680"/>
    <n v="2764252"/>
    <n v="2632556"/>
    <m/>
    <m/>
    <m/>
    <m/>
    <n v="0"/>
    <m/>
    <m/>
    <n v="0"/>
    <m/>
    <m/>
    <m/>
    <m/>
    <m/>
    <m/>
    <n v="2764252"/>
    <n v="2632556"/>
  </r>
  <r>
    <x v="1"/>
    <x v="0"/>
    <s v="University of Arkansas Community College at Batesville"/>
    <m/>
    <n v="106999"/>
    <x v="8"/>
    <n v="4997821"/>
    <n v="4989281"/>
    <m/>
    <m/>
    <n v="1240673"/>
    <n v="1200000"/>
    <n v="3168356"/>
    <m/>
    <n v="3168356"/>
    <n v="3273299"/>
    <m/>
    <n v="3273299"/>
    <n v="9406850"/>
    <n v="9462580"/>
    <m/>
    <m/>
    <m/>
    <m/>
    <n v="0"/>
    <m/>
    <m/>
    <n v="0"/>
    <m/>
    <m/>
    <m/>
    <m/>
    <m/>
    <m/>
    <n v="9406850"/>
    <n v="9462580"/>
  </r>
  <r>
    <x v="1"/>
    <x v="0"/>
    <s v="University of Arkansas Community College at Hope"/>
    <m/>
    <n v="107725"/>
    <x v="8"/>
    <n v="6450944"/>
    <n v="6431644"/>
    <m/>
    <m/>
    <n v="1250000"/>
    <n v="1200000"/>
    <n v="2471235"/>
    <n v="781078"/>
    <n v="3252313"/>
    <n v="2521450"/>
    <m/>
    <n v="2521450"/>
    <n v="10172179"/>
    <n v="10153094"/>
    <m/>
    <m/>
    <m/>
    <m/>
    <n v="0"/>
    <m/>
    <m/>
    <n v="0"/>
    <m/>
    <m/>
    <m/>
    <m/>
    <m/>
    <m/>
    <n v="10172179"/>
    <n v="10153094"/>
  </r>
  <r>
    <x v="1"/>
    <x v="0"/>
    <s v="University of Arkansas Community College at Morrilton"/>
    <m/>
    <n v="107585"/>
    <x v="8"/>
    <n v="6313341"/>
    <n v="6300620"/>
    <m/>
    <m/>
    <n v="810926"/>
    <n v="810000"/>
    <n v="6204034"/>
    <m/>
    <n v="6204034"/>
    <n v="6704269"/>
    <m/>
    <n v="6704269"/>
    <n v="13328301"/>
    <n v="13814889"/>
    <m/>
    <m/>
    <m/>
    <m/>
    <n v="0"/>
    <m/>
    <m/>
    <n v="0"/>
    <m/>
    <m/>
    <m/>
    <m/>
    <m/>
    <m/>
    <n v="13328301"/>
    <n v="13814889"/>
  </r>
  <r>
    <x v="1"/>
    <x v="41"/>
    <s v="University of Arkansas for Medical Sciences"/>
    <m/>
    <n v="106263"/>
    <x v="11"/>
    <m/>
    <m/>
    <m/>
    <m/>
    <m/>
    <m/>
    <m/>
    <m/>
    <n v="0"/>
    <m/>
    <m/>
    <n v="0"/>
    <n v="0"/>
    <n v="0"/>
    <m/>
    <m/>
    <m/>
    <m/>
    <n v="0"/>
    <m/>
    <m/>
    <n v="0"/>
    <n v="112144733"/>
    <n v="104768445"/>
    <n v="32220221"/>
    <n v="1248459"/>
    <n v="38152028"/>
    <m/>
    <n v="144364954"/>
    <n v="142920473"/>
  </r>
  <r>
    <x v="1"/>
    <x v="13"/>
    <s v="All Other State Operating Appropriations Related to Postsecondary Education"/>
    <m/>
    <m/>
    <x v="12"/>
    <m/>
    <m/>
    <m/>
    <m/>
    <m/>
    <m/>
    <m/>
    <m/>
    <n v="0"/>
    <m/>
    <m/>
    <n v="0"/>
    <n v="0"/>
    <n v="0"/>
    <m/>
    <m/>
    <m/>
    <m/>
    <n v="0"/>
    <m/>
    <m/>
    <n v="0"/>
    <m/>
    <m/>
    <m/>
    <m/>
    <m/>
    <m/>
    <n v="0"/>
    <n v="0"/>
  </r>
  <r>
    <x v="1"/>
    <x v="13"/>
    <s v="Y.O.U. Program for At-Risk Youth"/>
    <m/>
    <m/>
    <x v="12"/>
    <m/>
    <m/>
    <m/>
    <m/>
    <m/>
    <m/>
    <m/>
    <m/>
    <n v="0"/>
    <m/>
    <m/>
    <n v="0"/>
    <n v="0"/>
    <n v="0"/>
    <m/>
    <m/>
    <m/>
    <m/>
    <n v="0"/>
    <m/>
    <m/>
    <n v="0"/>
    <m/>
    <m/>
    <m/>
    <m/>
    <m/>
    <m/>
    <n v="0"/>
    <n v="0"/>
  </r>
  <r>
    <x v="1"/>
    <x v="13"/>
    <s v="Tuition Waiver Adjustments"/>
    <m/>
    <m/>
    <x v="12"/>
    <m/>
    <m/>
    <n v="350000"/>
    <n v="350000"/>
    <m/>
    <m/>
    <m/>
    <m/>
    <n v="0"/>
    <m/>
    <m/>
    <n v="0"/>
    <n v="350000"/>
    <n v="350000"/>
    <m/>
    <m/>
    <m/>
    <m/>
    <n v="0"/>
    <m/>
    <m/>
    <n v="0"/>
    <m/>
    <m/>
    <m/>
    <m/>
    <m/>
    <m/>
    <n v="350000"/>
    <n v="350000"/>
  </r>
  <r>
    <x v="1"/>
    <x v="14"/>
    <s v="Statewide System Operations"/>
    <m/>
    <m/>
    <x v="12"/>
    <m/>
    <m/>
    <m/>
    <m/>
    <m/>
    <m/>
    <m/>
    <m/>
    <n v="0"/>
    <m/>
    <m/>
    <n v="0"/>
    <n v="0"/>
    <n v="0"/>
    <m/>
    <m/>
    <m/>
    <m/>
    <n v="0"/>
    <m/>
    <m/>
    <n v="0"/>
    <m/>
    <m/>
    <m/>
    <m/>
    <m/>
    <m/>
    <n v="0"/>
    <n v="0"/>
  </r>
  <r>
    <x v="1"/>
    <x v="15"/>
    <s v="Colleges and universities"/>
    <m/>
    <m/>
    <x v="12"/>
    <m/>
    <m/>
    <m/>
    <m/>
    <m/>
    <m/>
    <m/>
    <m/>
    <n v="0"/>
    <m/>
    <m/>
    <n v="0"/>
    <n v="0"/>
    <n v="0"/>
    <m/>
    <m/>
    <m/>
    <m/>
    <n v="0"/>
    <m/>
    <m/>
    <n v="0"/>
    <m/>
    <m/>
    <m/>
    <m/>
    <m/>
    <m/>
    <n v="0"/>
    <n v="0"/>
  </r>
  <r>
    <x v="1"/>
    <x v="15"/>
    <s v="Higher Education Coordinating Board"/>
    <m/>
    <m/>
    <x v="12"/>
    <m/>
    <m/>
    <m/>
    <m/>
    <m/>
    <m/>
    <m/>
    <m/>
    <n v="0"/>
    <m/>
    <m/>
    <n v="0"/>
    <n v="0"/>
    <n v="0"/>
    <n v="3486046"/>
    <n v="3686500"/>
    <m/>
    <m/>
    <n v="0"/>
    <m/>
    <m/>
    <n v="0"/>
    <m/>
    <m/>
    <m/>
    <m/>
    <m/>
    <m/>
    <n v="3486046"/>
    <n v="3686500"/>
  </r>
  <r>
    <x v="1"/>
    <x v="15"/>
    <s v="Univ. of Ark System Office"/>
    <m/>
    <m/>
    <x v="12"/>
    <m/>
    <m/>
    <m/>
    <m/>
    <m/>
    <m/>
    <m/>
    <m/>
    <n v="0"/>
    <m/>
    <m/>
    <n v="0"/>
    <n v="0"/>
    <n v="0"/>
    <n v="3680459"/>
    <n v="3686747"/>
    <m/>
    <m/>
    <n v="0"/>
    <m/>
    <m/>
    <n v="0"/>
    <m/>
    <m/>
    <m/>
    <m/>
    <m/>
    <m/>
    <n v="3680459"/>
    <n v="3686747"/>
  </r>
  <r>
    <x v="1"/>
    <x v="15"/>
    <s v="Arkansas State University System Office"/>
    <m/>
    <m/>
    <x v="12"/>
    <m/>
    <m/>
    <m/>
    <m/>
    <m/>
    <m/>
    <m/>
    <m/>
    <n v="0"/>
    <m/>
    <m/>
    <n v="0"/>
    <n v="0"/>
    <n v="0"/>
    <n v="2362680"/>
    <n v="2506652"/>
    <m/>
    <m/>
    <n v="0"/>
    <m/>
    <m/>
    <n v="0"/>
    <m/>
    <m/>
    <m/>
    <m/>
    <m/>
    <m/>
    <n v="2362680"/>
    <n v="2506652"/>
  </r>
  <r>
    <x v="1"/>
    <x v="17"/>
    <s v="National or regional associations, compacts or consortia"/>
    <m/>
    <m/>
    <x v="12"/>
    <m/>
    <m/>
    <m/>
    <m/>
    <m/>
    <m/>
    <m/>
    <m/>
    <n v="0"/>
    <m/>
    <m/>
    <n v="0"/>
    <n v="0"/>
    <n v="0"/>
    <m/>
    <m/>
    <m/>
    <m/>
    <n v="0"/>
    <m/>
    <m/>
    <n v="0"/>
    <m/>
    <m/>
    <m/>
    <m/>
    <m/>
    <m/>
    <n v="0"/>
    <n v="0"/>
  </r>
  <r>
    <x v="1"/>
    <x v="17"/>
    <s v="SREB Membership"/>
    <m/>
    <m/>
    <x v="12"/>
    <m/>
    <m/>
    <m/>
    <m/>
    <m/>
    <m/>
    <m/>
    <m/>
    <n v="0"/>
    <m/>
    <m/>
    <n v="0"/>
    <n v="0"/>
    <n v="0"/>
    <m/>
    <m/>
    <m/>
    <m/>
    <n v="0"/>
    <m/>
    <m/>
    <n v="0"/>
    <m/>
    <m/>
    <m/>
    <m/>
    <m/>
    <m/>
    <n v="0"/>
    <n v="0"/>
  </r>
  <r>
    <x v="1"/>
    <x v="18"/>
    <s v="Adm. of Statewide Student Aid Progs. (incldng centralized guaranteed student loans)"/>
    <m/>
    <m/>
    <x v="12"/>
    <m/>
    <m/>
    <m/>
    <m/>
    <m/>
    <m/>
    <m/>
    <m/>
    <n v="0"/>
    <m/>
    <m/>
    <n v="0"/>
    <n v="0"/>
    <n v="0"/>
    <m/>
    <m/>
    <m/>
    <m/>
    <n v="0"/>
    <m/>
    <m/>
    <n v="0"/>
    <m/>
    <m/>
    <m/>
    <m/>
    <m/>
    <m/>
    <n v="0"/>
    <n v="0"/>
  </r>
  <r>
    <x v="1"/>
    <x v="19"/>
    <s v="State Support to Private Colleges Other Than Student Aid"/>
    <m/>
    <m/>
    <x v="12"/>
    <m/>
    <m/>
    <m/>
    <m/>
    <m/>
    <m/>
    <m/>
    <m/>
    <n v="0"/>
    <m/>
    <m/>
    <n v="0"/>
    <n v="0"/>
    <n v="0"/>
    <m/>
    <m/>
    <m/>
    <m/>
    <n v="0"/>
    <m/>
    <m/>
    <n v="0"/>
    <m/>
    <m/>
    <m/>
    <m/>
    <m/>
    <m/>
    <n v="0"/>
    <n v="0"/>
  </r>
  <r>
    <x v="1"/>
    <x v="20"/>
    <s v="Contract Education Programs"/>
    <m/>
    <m/>
    <x v="12"/>
    <m/>
    <m/>
    <m/>
    <m/>
    <m/>
    <m/>
    <m/>
    <m/>
    <n v="0"/>
    <m/>
    <m/>
    <n v="0"/>
    <n v="0"/>
    <n v="0"/>
    <m/>
    <m/>
    <m/>
    <m/>
    <n v="0"/>
    <m/>
    <m/>
    <n v="0"/>
    <m/>
    <m/>
    <m/>
    <m/>
    <m/>
    <m/>
    <n v="0"/>
    <n v="0"/>
  </r>
  <r>
    <x v="1"/>
    <x v="21"/>
    <s v="SREB contract program with private colleges"/>
    <m/>
    <m/>
    <x v="12"/>
    <m/>
    <m/>
    <m/>
    <m/>
    <m/>
    <m/>
    <m/>
    <m/>
    <n v="0"/>
    <m/>
    <m/>
    <n v="0"/>
    <n v="0"/>
    <n v="0"/>
    <m/>
    <m/>
    <m/>
    <m/>
    <n v="0"/>
    <m/>
    <m/>
    <n v="0"/>
    <m/>
    <m/>
    <m/>
    <m/>
    <m/>
    <m/>
    <n v="0"/>
    <n v="0"/>
  </r>
  <r>
    <x v="1"/>
    <x v="21"/>
    <s v="Ohio College of Podiatric Medicine"/>
    <m/>
    <m/>
    <x v="12"/>
    <m/>
    <m/>
    <m/>
    <m/>
    <m/>
    <m/>
    <m/>
    <m/>
    <n v="0"/>
    <m/>
    <m/>
    <n v="0"/>
    <n v="0"/>
    <n v="0"/>
    <n v="31200"/>
    <n v="35000"/>
    <m/>
    <m/>
    <n v="0"/>
    <m/>
    <m/>
    <n v="0"/>
    <m/>
    <m/>
    <m/>
    <m/>
    <m/>
    <m/>
    <n v="31200"/>
    <n v="35000"/>
  </r>
  <r>
    <x v="1"/>
    <x v="21"/>
    <s v="Meharry Medical College (Dentistry)"/>
    <m/>
    <m/>
    <x v="12"/>
    <m/>
    <m/>
    <m/>
    <m/>
    <m/>
    <m/>
    <m/>
    <m/>
    <n v="0"/>
    <m/>
    <m/>
    <n v="0"/>
    <n v="0"/>
    <n v="0"/>
    <n v="17400"/>
    <n v="18000"/>
    <m/>
    <m/>
    <n v="0"/>
    <m/>
    <m/>
    <n v="0"/>
    <m/>
    <m/>
    <m/>
    <m/>
    <m/>
    <m/>
    <n v="17400"/>
    <n v="18000"/>
  </r>
  <r>
    <x v="1"/>
    <x v="21"/>
    <s v="Rosalind Franklin University"/>
    <m/>
    <m/>
    <x v="12"/>
    <m/>
    <m/>
    <m/>
    <m/>
    <m/>
    <m/>
    <m/>
    <m/>
    <n v="0"/>
    <m/>
    <m/>
    <n v="0"/>
    <n v="0"/>
    <n v="0"/>
    <n v="20800"/>
    <n v="20000"/>
    <m/>
    <m/>
    <n v="0"/>
    <m/>
    <m/>
    <n v="0"/>
    <m/>
    <m/>
    <m/>
    <m/>
    <m/>
    <m/>
    <n v="20800"/>
    <n v="20000"/>
  </r>
  <r>
    <x v="1"/>
    <x v="21"/>
    <s v="Southern College of Optometry"/>
    <m/>
    <m/>
    <x v="12"/>
    <m/>
    <m/>
    <m/>
    <m/>
    <m/>
    <m/>
    <m/>
    <m/>
    <n v="0"/>
    <m/>
    <m/>
    <n v="0"/>
    <n v="0"/>
    <n v="0"/>
    <n v="306000"/>
    <n v="310000"/>
    <m/>
    <m/>
    <n v="0"/>
    <m/>
    <m/>
    <n v="0"/>
    <m/>
    <m/>
    <m/>
    <m/>
    <m/>
    <m/>
    <n v="306000"/>
    <n v="310000"/>
  </r>
  <r>
    <x v="1"/>
    <x v="21"/>
    <s v="Virginia College of Osteopathic Medicine"/>
    <m/>
    <m/>
    <x v="12"/>
    <m/>
    <m/>
    <m/>
    <m/>
    <m/>
    <m/>
    <m/>
    <m/>
    <n v="0"/>
    <m/>
    <m/>
    <n v="0"/>
    <n v="0"/>
    <n v="0"/>
    <n v="0"/>
    <n v="0"/>
    <m/>
    <m/>
    <n v="0"/>
    <m/>
    <m/>
    <n v="0"/>
    <m/>
    <m/>
    <m/>
    <m/>
    <m/>
    <m/>
    <n v="0"/>
    <n v="0"/>
  </r>
  <r>
    <x v="1"/>
    <x v="21"/>
    <s v="Southeastern University College of Osteopathic Medicine (NOVA)"/>
    <m/>
    <m/>
    <x v="12"/>
    <m/>
    <m/>
    <m/>
    <m/>
    <m/>
    <m/>
    <m/>
    <m/>
    <n v="0"/>
    <m/>
    <m/>
    <n v="0"/>
    <n v="0"/>
    <n v="0"/>
    <n v="0"/>
    <n v="0"/>
    <m/>
    <m/>
    <n v="0"/>
    <m/>
    <m/>
    <n v="0"/>
    <m/>
    <m/>
    <m/>
    <m/>
    <m/>
    <m/>
    <n v="0"/>
    <n v="0"/>
  </r>
  <r>
    <x v="1"/>
    <x v="22"/>
    <s v="SREB contract program with public colleges"/>
    <m/>
    <m/>
    <x v="12"/>
    <m/>
    <m/>
    <m/>
    <m/>
    <m/>
    <m/>
    <m/>
    <m/>
    <n v="0"/>
    <m/>
    <m/>
    <n v="0"/>
    <n v="0"/>
    <n v="0"/>
    <m/>
    <m/>
    <m/>
    <m/>
    <n v="0"/>
    <m/>
    <m/>
    <n v="0"/>
    <m/>
    <m/>
    <m/>
    <m/>
    <m/>
    <m/>
    <n v="0"/>
    <n v="0"/>
  </r>
  <r>
    <x v="1"/>
    <x v="22"/>
    <s v="Louisiana State Univ. Medical Center (Dentistry)"/>
    <m/>
    <m/>
    <x v="12"/>
    <m/>
    <m/>
    <m/>
    <m/>
    <m/>
    <m/>
    <m/>
    <m/>
    <n v="0"/>
    <m/>
    <m/>
    <n v="0"/>
    <n v="0"/>
    <n v="0"/>
    <n v="226200"/>
    <n v="330000"/>
    <m/>
    <m/>
    <n v="0"/>
    <m/>
    <m/>
    <n v="0"/>
    <m/>
    <m/>
    <m/>
    <m/>
    <m/>
    <m/>
    <n v="226200"/>
    <n v="330000"/>
  </r>
  <r>
    <x v="1"/>
    <x v="22"/>
    <s v="Mississippi State University (Veterinary Medicine)"/>
    <m/>
    <m/>
    <x v="12"/>
    <m/>
    <m/>
    <m/>
    <m/>
    <m/>
    <m/>
    <m/>
    <m/>
    <n v="0"/>
    <m/>
    <m/>
    <n v="0"/>
    <n v="0"/>
    <n v="0"/>
    <n v="0"/>
    <n v="0"/>
    <m/>
    <m/>
    <n v="0"/>
    <m/>
    <m/>
    <n v="0"/>
    <m/>
    <m/>
    <m/>
    <m/>
    <m/>
    <m/>
    <n v="0"/>
    <n v="0"/>
  </r>
  <r>
    <x v="1"/>
    <x v="22"/>
    <s v="Oklahoma State University (Osteopathic Medicine)"/>
    <m/>
    <m/>
    <x v="12"/>
    <m/>
    <m/>
    <m/>
    <m/>
    <m/>
    <m/>
    <m/>
    <m/>
    <n v="0"/>
    <m/>
    <m/>
    <n v="0"/>
    <n v="0"/>
    <n v="0"/>
    <n v="61200"/>
    <n v="65000"/>
    <m/>
    <m/>
    <n v="0"/>
    <m/>
    <m/>
    <n v="0"/>
    <m/>
    <m/>
    <m/>
    <m/>
    <m/>
    <m/>
    <n v="61200"/>
    <n v="65000"/>
  </r>
  <r>
    <x v="1"/>
    <x v="22"/>
    <s v="University of Tennessee (Dentistry)"/>
    <m/>
    <m/>
    <x v="12"/>
    <m/>
    <m/>
    <m/>
    <m/>
    <m/>
    <m/>
    <m/>
    <m/>
    <n v="0"/>
    <m/>
    <m/>
    <n v="0"/>
    <n v="0"/>
    <n v="0"/>
    <n v="1548600"/>
    <n v="1600000"/>
    <m/>
    <m/>
    <n v="0"/>
    <m/>
    <m/>
    <n v="0"/>
    <m/>
    <m/>
    <m/>
    <m/>
    <m/>
    <m/>
    <n v="1548600"/>
    <n v="1600000"/>
  </r>
  <r>
    <x v="1"/>
    <x v="22"/>
    <s v="University of Oklahoma (Dentistry)"/>
    <m/>
    <m/>
    <x v="12"/>
    <m/>
    <m/>
    <m/>
    <m/>
    <m/>
    <m/>
    <m/>
    <m/>
    <n v="0"/>
    <m/>
    <m/>
    <n v="0"/>
    <n v="0"/>
    <n v="0"/>
    <n v="34800"/>
    <n v="36000"/>
    <m/>
    <m/>
    <n v="0"/>
    <m/>
    <m/>
    <n v="0"/>
    <m/>
    <m/>
    <m/>
    <m/>
    <m/>
    <m/>
    <n v="34800"/>
    <n v="36000"/>
  </r>
  <r>
    <x v="1"/>
    <x v="22"/>
    <s v="Baylor College of Medicine-Texas A&amp;M (Dentistry)"/>
    <m/>
    <m/>
    <x v="12"/>
    <m/>
    <m/>
    <m/>
    <m/>
    <m/>
    <m/>
    <m/>
    <m/>
    <n v="0"/>
    <m/>
    <m/>
    <n v="0"/>
    <n v="0"/>
    <n v="0"/>
    <n v="87000"/>
    <n v="95000"/>
    <m/>
    <m/>
    <n v="0"/>
    <m/>
    <m/>
    <n v="0"/>
    <m/>
    <m/>
    <m/>
    <m/>
    <m/>
    <m/>
    <n v="87000"/>
    <n v="95000"/>
  </r>
  <r>
    <x v="1"/>
    <x v="22"/>
    <s v="Louisiana State University (Veterinary Medicine)"/>
    <m/>
    <m/>
    <x v="12"/>
    <m/>
    <m/>
    <m/>
    <m/>
    <m/>
    <m/>
    <m/>
    <m/>
    <n v="0"/>
    <m/>
    <m/>
    <n v="0"/>
    <n v="0"/>
    <n v="0"/>
    <n v="904400"/>
    <n v="890000"/>
    <m/>
    <m/>
    <n v="0"/>
    <m/>
    <m/>
    <n v="0"/>
    <m/>
    <m/>
    <m/>
    <m/>
    <m/>
    <m/>
    <n v="904400"/>
    <n v="890000"/>
  </r>
  <r>
    <x v="1"/>
    <x v="22"/>
    <s v="Northeastern University (Optometry)"/>
    <m/>
    <m/>
    <x v="12"/>
    <m/>
    <m/>
    <m/>
    <m/>
    <m/>
    <m/>
    <m/>
    <m/>
    <n v="0"/>
    <m/>
    <m/>
    <n v="0"/>
    <n v="0"/>
    <n v="0"/>
    <n v="76500"/>
    <n v="72000"/>
    <m/>
    <m/>
    <n v="0"/>
    <m/>
    <m/>
    <n v="0"/>
    <m/>
    <m/>
    <m/>
    <m/>
    <m/>
    <m/>
    <n v="76500"/>
    <n v="72000"/>
  </r>
  <r>
    <x v="1"/>
    <x v="22"/>
    <s v="University of Louisville (Dentistry)"/>
    <m/>
    <m/>
    <x v="12"/>
    <m/>
    <m/>
    <m/>
    <m/>
    <m/>
    <m/>
    <m/>
    <m/>
    <n v="0"/>
    <m/>
    <m/>
    <n v="0"/>
    <n v="0"/>
    <n v="0"/>
    <n v="34800"/>
    <n v="36000"/>
    <m/>
    <m/>
    <n v="0"/>
    <m/>
    <m/>
    <n v="0"/>
    <m/>
    <m/>
    <m/>
    <m/>
    <m/>
    <m/>
    <n v="34800"/>
    <n v="36000"/>
  </r>
  <r>
    <x v="1"/>
    <x v="23"/>
    <s v="Other contract education programs"/>
    <m/>
    <m/>
    <x v="12"/>
    <m/>
    <m/>
    <m/>
    <m/>
    <m/>
    <m/>
    <m/>
    <m/>
    <n v="0"/>
    <m/>
    <m/>
    <n v="0"/>
    <n v="0"/>
    <n v="0"/>
    <m/>
    <m/>
    <m/>
    <m/>
    <n v="0"/>
    <m/>
    <m/>
    <n v="0"/>
    <m/>
    <m/>
    <m/>
    <m/>
    <m/>
    <m/>
    <n v="0"/>
    <n v="0"/>
  </r>
  <r>
    <x v="1"/>
    <x v="24"/>
    <s v="Statewide Student Financial Aid Programs Administered Off Campus"/>
    <m/>
    <m/>
    <x v="12"/>
    <m/>
    <m/>
    <m/>
    <m/>
    <m/>
    <m/>
    <m/>
    <m/>
    <n v="0"/>
    <m/>
    <m/>
    <n v="0"/>
    <n v="0"/>
    <n v="0"/>
    <m/>
    <m/>
    <m/>
    <m/>
    <n v="0"/>
    <m/>
    <m/>
    <n v="0"/>
    <m/>
    <m/>
    <m/>
    <m/>
    <m/>
    <m/>
    <n v="0"/>
    <n v="0"/>
  </r>
  <r>
    <x v="1"/>
    <x v="25"/>
    <s v="Available to public &amp; private sector students"/>
    <m/>
    <m/>
    <x v="12"/>
    <m/>
    <m/>
    <m/>
    <m/>
    <m/>
    <m/>
    <m/>
    <m/>
    <n v="0"/>
    <m/>
    <m/>
    <n v="0"/>
    <n v="0"/>
    <n v="0"/>
    <m/>
    <m/>
    <m/>
    <m/>
    <n v="0"/>
    <m/>
    <m/>
    <n v="0"/>
    <m/>
    <m/>
    <m/>
    <m/>
    <m/>
    <m/>
    <n v="0"/>
    <n v="0"/>
  </r>
  <r>
    <x v="1"/>
    <x v="25"/>
    <s v="Governor's Scholars"/>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8552693"/>
    <n v="9253805.9774512257"/>
    <m/>
    <m/>
    <n v="0"/>
    <m/>
    <m/>
    <n v="0"/>
    <m/>
    <m/>
    <m/>
    <m/>
    <m/>
    <m/>
    <n v="8552693"/>
    <n v="9253805.9774512257"/>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3888116"/>
    <n v="4206847.0225487743"/>
    <m/>
    <m/>
    <n v="0"/>
    <m/>
    <m/>
    <n v="0"/>
    <m/>
    <m/>
    <m/>
    <m/>
    <m/>
    <m/>
    <n v="3888116"/>
    <n v="4206847.0225487743"/>
  </r>
  <r>
    <x v="1"/>
    <x v="25"/>
    <s v="Arkansas Academic Challenge Scholarship"/>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100877833"/>
    <n v="89449971.235825256"/>
    <m/>
    <m/>
    <n v="0"/>
    <m/>
    <m/>
    <n v="0"/>
    <m/>
    <m/>
    <m/>
    <m/>
    <m/>
    <m/>
    <n v="100877833"/>
    <n v="89449971.235825256"/>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11897869"/>
    <n v="10550028.764174752"/>
    <m/>
    <m/>
    <n v="0"/>
    <m/>
    <m/>
    <n v="0"/>
    <m/>
    <m/>
    <m/>
    <m/>
    <m/>
    <m/>
    <n v="11897869"/>
    <n v="10550028.764174752"/>
  </r>
  <r>
    <x v="1"/>
    <x v="25"/>
    <s v="Higher Education Opportunities Grant (GO! Opportunities Grant)"/>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n v="4933211"/>
    <n v="5600000"/>
    <m/>
    <m/>
    <n v="0"/>
    <m/>
    <m/>
    <n v="0"/>
    <m/>
    <m/>
    <m/>
    <m/>
    <m/>
    <m/>
    <n v="4933211"/>
    <n v="5600000"/>
  </r>
  <r>
    <x v="1"/>
    <x v="30"/>
    <s v="Non need-based"/>
    <m/>
    <m/>
    <x v="12"/>
    <m/>
    <m/>
    <m/>
    <m/>
    <m/>
    <m/>
    <m/>
    <m/>
    <n v="0"/>
    <m/>
    <m/>
    <n v="0"/>
    <n v="0"/>
    <n v="0"/>
    <m/>
    <m/>
    <m/>
    <m/>
    <n v="0"/>
    <m/>
    <m/>
    <n v="0"/>
    <m/>
    <m/>
    <m/>
    <m/>
    <m/>
    <m/>
    <n v="0"/>
    <n v="0"/>
  </r>
  <r>
    <x v="1"/>
    <x v="31"/>
    <s v="Amount to private sector students"/>
    <m/>
    <m/>
    <x v="12"/>
    <m/>
    <m/>
    <m/>
    <m/>
    <m/>
    <m/>
    <m/>
    <m/>
    <n v="0"/>
    <m/>
    <m/>
    <n v="0"/>
    <n v="0"/>
    <n v="0"/>
    <m/>
    <m/>
    <m/>
    <m/>
    <n v="0"/>
    <m/>
    <m/>
    <n v="0"/>
    <m/>
    <m/>
    <m/>
    <m/>
    <m/>
    <m/>
    <n v="0"/>
    <n v="0"/>
  </r>
  <r>
    <x v="1"/>
    <x v="32"/>
    <s v="Need-based"/>
    <m/>
    <m/>
    <x v="12"/>
    <m/>
    <m/>
    <m/>
    <m/>
    <m/>
    <m/>
    <m/>
    <m/>
    <n v="0"/>
    <m/>
    <m/>
    <n v="0"/>
    <n v="0"/>
    <n v="0"/>
    <n v="351165"/>
    <n v="400000"/>
    <m/>
    <m/>
    <n v="0"/>
    <m/>
    <m/>
    <n v="0"/>
    <m/>
    <m/>
    <m/>
    <m/>
    <m/>
    <m/>
    <n v="351165"/>
    <n v="400000"/>
  </r>
  <r>
    <x v="1"/>
    <x v="33"/>
    <s v="Non need-based"/>
    <m/>
    <m/>
    <x v="12"/>
    <m/>
    <m/>
    <m/>
    <m/>
    <m/>
    <m/>
    <m/>
    <m/>
    <n v="0"/>
    <m/>
    <m/>
    <n v="0"/>
    <n v="0"/>
    <n v="0"/>
    <m/>
    <m/>
    <m/>
    <m/>
    <n v="0"/>
    <m/>
    <m/>
    <n v="0"/>
    <m/>
    <m/>
    <m/>
    <m/>
    <m/>
    <m/>
    <n v="0"/>
    <n v="0"/>
  </r>
  <r>
    <x v="1"/>
    <x v="25"/>
    <s v="Teacher Opportunity Program"/>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1076484"/>
    <n v="1300000"/>
    <m/>
    <m/>
    <n v="0"/>
    <m/>
    <m/>
    <n v="0"/>
    <m/>
    <m/>
    <m/>
    <m/>
    <m/>
    <m/>
    <n v="1076484"/>
    <n v="1300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0"/>
    <n v="0"/>
    <m/>
    <m/>
    <n v="0"/>
    <m/>
    <m/>
    <n v="0"/>
    <m/>
    <m/>
    <m/>
    <m/>
    <m/>
    <m/>
    <n v="0"/>
    <n v="0"/>
  </r>
  <r>
    <x v="1"/>
    <x v="25"/>
    <s v="Second Effort Scholarships"/>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0"/>
    <n v="0"/>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MIA/KIA Dependents' Scholarship"/>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364577"/>
    <n v="450000"/>
    <m/>
    <m/>
    <n v="0"/>
    <m/>
    <m/>
    <n v="0"/>
    <m/>
    <m/>
    <m/>
    <m/>
    <m/>
    <m/>
    <n v="364577"/>
    <n v="450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National Guard Scholarships"/>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1235200"/>
    <n v="1320000"/>
    <m/>
    <m/>
    <n v="0"/>
    <m/>
    <m/>
    <n v="0"/>
    <m/>
    <m/>
    <m/>
    <m/>
    <m/>
    <m/>
    <n v="1235200"/>
    <n v="1320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n v="64800"/>
    <n v="80000"/>
    <m/>
    <m/>
    <n v="0"/>
    <m/>
    <m/>
    <n v="0"/>
    <m/>
    <m/>
    <m/>
    <m/>
    <m/>
    <m/>
    <n v="64800"/>
    <n v="80000"/>
  </r>
  <r>
    <x v="1"/>
    <x v="25"/>
    <s v="Junior/Senior Minority Scholarships"/>
    <m/>
    <m/>
    <x v="12"/>
    <m/>
    <m/>
    <m/>
    <m/>
    <m/>
    <m/>
    <m/>
    <m/>
    <n v="0"/>
    <m/>
    <m/>
    <n v="0"/>
    <n v="0"/>
    <n v="0"/>
    <m/>
    <m/>
    <m/>
    <m/>
    <n v="0"/>
    <m/>
    <m/>
    <n v="0"/>
    <m/>
    <m/>
    <m/>
    <m/>
    <m/>
    <m/>
    <n v="0"/>
    <n v="0"/>
  </r>
  <r>
    <x v="1"/>
    <x v="28"/>
    <s v="Amount to public sector students"/>
    <m/>
    <m/>
    <x v="12"/>
    <m/>
    <m/>
    <m/>
    <m/>
    <m/>
    <m/>
    <m/>
    <m/>
    <n v="0"/>
    <m/>
    <m/>
    <n v="0"/>
    <n v="0"/>
    <n v="0"/>
    <n v="0"/>
    <n v="0"/>
    <m/>
    <m/>
    <n v="0"/>
    <m/>
    <m/>
    <n v="0"/>
    <m/>
    <m/>
    <m/>
    <m/>
    <m/>
    <m/>
    <n v="0"/>
    <n v="0"/>
  </r>
  <r>
    <x v="1"/>
    <x v="29"/>
    <s v="Need-based"/>
    <m/>
    <m/>
    <x v="12"/>
    <m/>
    <m/>
    <m/>
    <m/>
    <m/>
    <m/>
    <m/>
    <m/>
    <n v="0"/>
    <m/>
    <m/>
    <n v="0"/>
    <n v="0"/>
    <n v="0"/>
    <m/>
    <m/>
    <m/>
    <m/>
    <n v="0"/>
    <m/>
    <m/>
    <n v="0"/>
    <m/>
    <m/>
    <m/>
    <m/>
    <m/>
    <m/>
    <n v="0"/>
    <n v="0"/>
  </r>
  <r>
    <x v="1"/>
    <x v="30"/>
    <s v="Non need-based"/>
    <m/>
    <m/>
    <x v="12"/>
    <m/>
    <m/>
    <m/>
    <m/>
    <m/>
    <m/>
    <m/>
    <m/>
    <n v="0"/>
    <m/>
    <m/>
    <n v="0"/>
    <n v="0"/>
    <n v="0"/>
    <m/>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Minority Master's Fellows Program"/>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m/>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SREB Doctoral Scholars Program"/>
    <m/>
    <m/>
    <x v="12"/>
    <m/>
    <m/>
    <m/>
    <m/>
    <m/>
    <m/>
    <m/>
    <m/>
    <n v="0"/>
    <m/>
    <m/>
    <n v="0"/>
    <n v="0"/>
    <n v="0"/>
    <m/>
    <m/>
    <m/>
    <m/>
    <n v="0"/>
    <m/>
    <m/>
    <n v="0"/>
    <m/>
    <m/>
    <m/>
    <m/>
    <m/>
    <m/>
    <n v="0"/>
    <n v="0"/>
  </r>
  <r>
    <x v="1"/>
    <x v="26"/>
    <s v="Need-based"/>
    <m/>
    <m/>
    <x v="12"/>
    <m/>
    <m/>
    <m/>
    <m/>
    <m/>
    <m/>
    <m/>
    <m/>
    <n v="0"/>
    <m/>
    <m/>
    <n v="0"/>
    <n v="0"/>
    <n v="0"/>
    <m/>
    <m/>
    <m/>
    <m/>
    <n v="0"/>
    <m/>
    <m/>
    <n v="0"/>
    <m/>
    <m/>
    <m/>
    <m/>
    <m/>
    <m/>
    <n v="0"/>
    <n v="0"/>
  </r>
  <r>
    <x v="1"/>
    <x v="27"/>
    <s v="Non need-based"/>
    <m/>
    <m/>
    <x v="12"/>
    <m/>
    <m/>
    <m/>
    <m/>
    <m/>
    <m/>
    <m/>
    <m/>
    <n v="0"/>
    <m/>
    <m/>
    <n v="0"/>
    <n v="0"/>
    <n v="0"/>
    <n v="175000"/>
    <n v="175000"/>
    <m/>
    <m/>
    <n v="0"/>
    <m/>
    <m/>
    <n v="0"/>
    <m/>
    <m/>
    <m/>
    <m/>
    <m/>
    <m/>
    <n v="175000"/>
    <n v="17500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m/>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Geographical Critical Needs Teacher Scholarship"/>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m/>
    <m/>
    <m/>
    <m/>
    <n v="0"/>
    <m/>
    <m/>
    <n v="0"/>
    <m/>
    <m/>
    <m/>
    <m/>
    <m/>
    <m/>
    <n v="0"/>
    <n v="0"/>
  </r>
  <r>
    <x v="1"/>
    <x v="30"/>
    <s v="Non need-based"/>
    <m/>
    <m/>
    <x v="12"/>
    <m/>
    <m/>
    <m/>
    <m/>
    <m/>
    <m/>
    <m/>
    <m/>
    <n v="0"/>
    <m/>
    <m/>
    <n v="0"/>
    <n v="0"/>
    <n v="0"/>
    <n v="62250"/>
    <n v="75000"/>
    <m/>
    <m/>
    <n v="0"/>
    <m/>
    <m/>
    <n v="0"/>
    <m/>
    <m/>
    <m/>
    <m/>
    <m/>
    <m/>
    <n v="62250"/>
    <n v="7500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25"/>
    <s v="Workforce Improvement Grant"/>
    <m/>
    <m/>
    <x v="12"/>
    <m/>
    <m/>
    <m/>
    <m/>
    <m/>
    <m/>
    <m/>
    <m/>
    <n v="0"/>
    <m/>
    <m/>
    <n v="0"/>
    <n v="0"/>
    <n v="0"/>
    <m/>
    <m/>
    <m/>
    <m/>
    <n v="0"/>
    <m/>
    <m/>
    <n v="0"/>
    <m/>
    <m/>
    <m/>
    <m/>
    <m/>
    <m/>
    <n v="0"/>
    <n v="0"/>
  </r>
  <r>
    <x v="1"/>
    <x v="28"/>
    <s v="Amount to public sector students"/>
    <m/>
    <m/>
    <x v="12"/>
    <m/>
    <m/>
    <m/>
    <m/>
    <m/>
    <m/>
    <m/>
    <m/>
    <n v="0"/>
    <m/>
    <m/>
    <n v="0"/>
    <n v="0"/>
    <n v="0"/>
    <m/>
    <m/>
    <m/>
    <m/>
    <n v="0"/>
    <m/>
    <m/>
    <n v="0"/>
    <m/>
    <m/>
    <m/>
    <m/>
    <m/>
    <m/>
    <n v="0"/>
    <n v="0"/>
  </r>
  <r>
    <x v="1"/>
    <x v="29"/>
    <s v="Need-based"/>
    <m/>
    <m/>
    <x v="12"/>
    <m/>
    <m/>
    <m/>
    <m/>
    <m/>
    <m/>
    <m/>
    <m/>
    <n v="0"/>
    <m/>
    <m/>
    <n v="0"/>
    <n v="0"/>
    <n v="0"/>
    <n v="2860036"/>
    <n v="2950500"/>
    <m/>
    <m/>
    <n v="0"/>
    <m/>
    <m/>
    <n v="0"/>
    <m/>
    <m/>
    <m/>
    <m/>
    <m/>
    <m/>
    <n v="2860036"/>
    <n v="2950500"/>
  </r>
  <r>
    <x v="1"/>
    <x v="30"/>
    <s v="Non need-based"/>
    <m/>
    <m/>
    <x v="12"/>
    <m/>
    <m/>
    <m/>
    <m/>
    <m/>
    <m/>
    <m/>
    <m/>
    <n v="0"/>
    <m/>
    <m/>
    <n v="0"/>
    <n v="0"/>
    <n v="0"/>
    <m/>
    <m/>
    <m/>
    <m/>
    <n v="0"/>
    <m/>
    <m/>
    <n v="0"/>
    <m/>
    <m/>
    <m/>
    <m/>
    <m/>
    <m/>
    <n v="0"/>
    <n v="0"/>
  </r>
  <r>
    <x v="1"/>
    <x v="31"/>
    <s v="Amount to private sector students"/>
    <m/>
    <s v=" "/>
    <x v="12"/>
    <m/>
    <m/>
    <m/>
    <m/>
    <m/>
    <m/>
    <m/>
    <m/>
    <n v="0"/>
    <m/>
    <m/>
    <n v="0"/>
    <n v="0"/>
    <n v="0"/>
    <m/>
    <m/>
    <m/>
    <m/>
    <n v="0"/>
    <m/>
    <m/>
    <n v="0"/>
    <m/>
    <m/>
    <m/>
    <m/>
    <m/>
    <m/>
    <n v="0"/>
    <n v="0"/>
  </r>
  <r>
    <x v="1"/>
    <x v="32"/>
    <s v="Need-based"/>
    <m/>
    <m/>
    <x v="12"/>
    <m/>
    <m/>
    <m/>
    <m/>
    <m/>
    <m/>
    <m/>
    <m/>
    <n v="0"/>
    <m/>
    <m/>
    <n v="0"/>
    <n v="0"/>
    <n v="0"/>
    <n v="138814"/>
    <n v="145000"/>
    <m/>
    <m/>
    <n v="0"/>
    <m/>
    <m/>
    <n v="0"/>
    <m/>
    <m/>
    <m/>
    <m/>
    <m/>
    <m/>
    <n v="138814"/>
    <n v="145000"/>
  </r>
  <r>
    <x v="1"/>
    <x v="33"/>
    <s v="Non need-based"/>
    <m/>
    <m/>
    <x v="12"/>
    <m/>
    <m/>
    <m/>
    <m/>
    <m/>
    <m/>
    <m/>
    <m/>
    <n v="0"/>
    <m/>
    <m/>
    <n v="0"/>
    <n v="0"/>
    <n v="0"/>
    <m/>
    <m/>
    <m/>
    <m/>
    <n v="0"/>
    <m/>
    <m/>
    <n v="0"/>
    <m/>
    <m/>
    <m/>
    <m/>
    <m/>
    <m/>
    <n v="0"/>
    <n v="0"/>
  </r>
  <r>
    <x v="1"/>
    <x v="25"/>
    <s v="State Teacher Education Program"/>
    <m/>
    <m/>
    <x v="12"/>
    <m/>
    <m/>
    <m/>
    <m/>
    <m/>
    <m/>
    <m/>
    <m/>
    <n v="0"/>
    <m/>
    <m/>
    <n v="0"/>
    <n v="0"/>
    <n v="0"/>
    <m/>
    <m/>
    <m/>
    <m/>
    <n v="0"/>
    <m/>
    <m/>
    <n v="0"/>
    <m/>
    <m/>
    <m/>
    <m/>
    <m/>
    <m/>
    <n v="0"/>
    <n v="0"/>
  </r>
  <r>
    <x v="1"/>
    <x v="28"/>
    <s v="Amount to public sector students"/>
    <m/>
    <m/>
    <x v="12"/>
    <m/>
    <m/>
    <m/>
    <m/>
    <m/>
    <m/>
    <m/>
    <m/>
    <n v="0"/>
    <m/>
    <m/>
    <n v="0"/>
    <n v="0"/>
    <n v="0"/>
    <n v="1076142"/>
    <n v="1500000"/>
    <m/>
    <m/>
    <n v="0"/>
    <m/>
    <m/>
    <n v="0"/>
    <m/>
    <m/>
    <m/>
    <m/>
    <m/>
    <m/>
    <n v="1076142"/>
    <n v="1500000"/>
  </r>
  <r>
    <x v="1"/>
    <x v="29"/>
    <s v="Need-based"/>
    <m/>
    <m/>
    <x v="12"/>
    <m/>
    <m/>
    <m/>
    <m/>
    <m/>
    <m/>
    <m/>
    <m/>
    <n v="0"/>
    <m/>
    <m/>
    <n v="0"/>
    <n v="0"/>
    <n v="0"/>
    <m/>
    <m/>
    <m/>
    <m/>
    <n v="0"/>
    <m/>
    <m/>
    <n v="0"/>
    <m/>
    <m/>
    <m/>
    <m/>
    <m/>
    <m/>
    <n v="0"/>
    <n v="0"/>
  </r>
  <r>
    <x v="1"/>
    <x v="30"/>
    <s v="Non need-based"/>
    <m/>
    <m/>
    <x v="12"/>
    <m/>
    <m/>
    <m/>
    <m/>
    <m/>
    <m/>
    <m/>
    <m/>
    <n v="0"/>
    <m/>
    <m/>
    <n v="0"/>
    <n v="0"/>
    <n v="0"/>
    <m/>
    <m/>
    <m/>
    <m/>
    <n v="0"/>
    <m/>
    <m/>
    <n v="0"/>
    <m/>
    <m/>
    <m/>
    <m/>
    <m/>
    <m/>
    <n v="0"/>
    <n v="0"/>
  </r>
  <r>
    <x v="1"/>
    <x v="31"/>
    <s v="Amount to private sector students"/>
    <m/>
    <m/>
    <x v="12"/>
    <m/>
    <m/>
    <m/>
    <m/>
    <m/>
    <m/>
    <m/>
    <m/>
    <n v="0"/>
    <m/>
    <m/>
    <n v="0"/>
    <n v="0"/>
    <n v="0"/>
    <m/>
    <m/>
    <m/>
    <m/>
    <n v="0"/>
    <m/>
    <m/>
    <n v="0"/>
    <m/>
    <m/>
    <m/>
    <m/>
    <m/>
    <m/>
    <n v="0"/>
    <n v="0"/>
  </r>
  <r>
    <x v="1"/>
    <x v="32"/>
    <s v="Need-based"/>
    <m/>
    <m/>
    <x v="12"/>
    <m/>
    <m/>
    <m/>
    <m/>
    <m/>
    <m/>
    <m/>
    <m/>
    <n v="0"/>
    <m/>
    <m/>
    <n v="0"/>
    <n v="0"/>
    <n v="0"/>
    <m/>
    <m/>
    <m/>
    <m/>
    <n v="0"/>
    <m/>
    <m/>
    <n v="0"/>
    <m/>
    <m/>
    <m/>
    <m/>
    <m/>
    <m/>
    <n v="0"/>
    <n v="0"/>
  </r>
  <r>
    <x v="1"/>
    <x v="33"/>
    <s v="Non need-based"/>
    <m/>
    <m/>
    <x v="12"/>
    <m/>
    <m/>
    <m/>
    <m/>
    <m/>
    <m/>
    <m/>
    <m/>
    <n v="0"/>
    <m/>
    <m/>
    <n v="0"/>
    <n v="0"/>
    <n v="0"/>
    <m/>
    <m/>
    <m/>
    <m/>
    <n v="0"/>
    <m/>
    <m/>
    <n v="0"/>
    <m/>
    <m/>
    <m/>
    <m/>
    <m/>
    <m/>
    <n v="0"/>
    <n v="0"/>
  </r>
  <r>
    <x v="1"/>
    <x v="34"/>
    <s v="Limited to public college students only"/>
    <m/>
    <m/>
    <x v="12"/>
    <m/>
    <m/>
    <m/>
    <m/>
    <m/>
    <m/>
    <m/>
    <m/>
    <n v="0"/>
    <m/>
    <m/>
    <n v="0"/>
    <n v="0"/>
    <n v="0"/>
    <m/>
    <m/>
    <m/>
    <m/>
    <n v="0"/>
    <m/>
    <m/>
    <n v="0"/>
    <m/>
    <m/>
    <m/>
    <m/>
    <m/>
    <m/>
    <n v="0"/>
    <n v="0"/>
  </r>
  <r>
    <x v="1"/>
    <x v="34"/>
    <s v="Surviving Chidren of Law Enforcement Offs."/>
    <m/>
    <m/>
    <x v="12"/>
    <m/>
    <m/>
    <m/>
    <m/>
    <m/>
    <m/>
    <m/>
    <m/>
    <n v="0"/>
    <m/>
    <m/>
    <n v="0"/>
    <n v="0"/>
    <n v="0"/>
    <m/>
    <m/>
    <m/>
    <m/>
    <n v="0"/>
    <m/>
    <m/>
    <n v="0"/>
    <m/>
    <m/>
    <m/>
    <m/>
    <m/>
    <m/>
    <n v="0"/>
    <n v="0"/>
  </r>
  <r>
    <x v="1"/>
    <x v="35"/>
    <s v="Need-based"/>
    <m/>
    <m/>
    <x v="12"/>
    <m/>
    <m/>
    <m/>
    <m/>
    <m/>
    <m/>
    <m/>
    <m/>
    <n v="0"/>
    <m/>
    <m/>
    <n v="0"/>
    <n v="0"/>
    <n v="0"/>
    <m/>
    <m/>
    <m/>
    <m/>
    <n v="0"/>
    <m/>
    <m/>
    <n v="0"/>
    <m/>
    <m/>
    <m/>
    <m/>
    <m/>
    <m/>
    <n v="0"/>
    <n v="0"/>
  </r>
  <r>
    <x v="1"/>
    <x v="36"/>
    <s v="Non need-based"/>
    <m/>
    <m/>
    <x v="12"/>
    <m/>
    <m/>
    <m/>
    <m/>
    <m/>
    <m/>
    <m/>
    <m/>
    <n v="0"/>
    <m/>
    <m/>
    <n v="0"/>
    <n v="0"/>
    <n v="0"/>
    <n v="252849"/>
    <n v="300000"/>
    <m/>
    <m/>
    <n v="0"/>
    <m/>
    <m/>
    <n v="0"/>
    <m/>
    <m/>
    <m/>
    <m/>
    <m/>
    <m/>
    <n v="252849"/>
    <n v="300000"/>
  </r>
  <r>
    <x v="2"/>
    <x v="0"/>
    <s v="University of Delaware"/>
    <m/>
    <n v="130943"/>
    <x v="0"/>
    <n v="115946300"/>
    <n v="113778000"/>
    <m/>
    <m/>
    <m/>
    <m/>
    <n v="510269870"/>
    <n v="0"/>
    <n v="510269870"/>
    <n v="534137553"/>
    <n v="0"/>
    <n v="534137553"/>
    <n v="626216170"/>
    <n v="647915553"/>
    <m/>
    <m/>
    <m/>
    <m/>
    <n v="0"/>
    <m/>
    <m/>
    <n v="0"/>
    <m/>
    <m/>
    <m/>
    <m/>
    <m/>
    <m/>
    <n v="626216170"/>
    <n v="647915553"/>
  </r>
  <r>
    <x v="2"/>
    <x v="3"/>
    <s v="Community/Public Service"/>
    <m/>
    <n v="130943"/>
    <x v="0"/>
    <m/>
    <m/>
    <m/>
    <m/>
    <m/>
    <m/>
    <m/>
    <m/>
    <n v="0"/>
    <m/>
    <m/>
    <n v="0"/>
    <n v="0"/>
    <n v="0"/>
    <m/>
    <m/>
    <m/>
    <m/>
    <n v="0"/>
    <m/>
    <m/>
    <n v="0"/>
    <m/>
    <m/>
    <m/>
    <m/>
    <m/>
    <m/>
    <n v="0"/>
    <n v="0"/>
  </r>
  <r>
    <x v="2"/>
    <x v="3"/>
    <s v="The College School"/>
    <m/>
    <n v="130943"/>
    <x v="0"/>
    <m/>
    <m/>
    <n v="96200"/>
    <n v="97200"/>
    <m/>
    <m/>
    <m/>
    <m/>
    <n v="0"/>
    <m/>
    <m/>
    <n v="0"/>
    <n v="96200"/>
    <n v="97200"/>
    <m/>
    <m/>
    <m/>
    <m/>
    <n v="0"/>
    <m/>
    <m/>
    <n v="0"/>
    <m/>
    <m/>
    <m/>
    <m/>
    <m/>
    <m/>
    <n v="96200"/>
    <n v="97200"/>
  </r>
  <r>
    <x v="2"/>
    <x v="5"/>
    <s v="Agricultural cooperative extension"/>
    <m/>
    <n v="130943"/>
    <x v="0"/>
    <m/>
    <m/>
    <n v="1774625"/>
    <n v="1798825"/>
    <m/>
    <m/>
    <m/>
    <m/>
    <n v="0"/>
    <m/>
    <m/>
    <n v="0"/>
    <n v="1774625"/>
    <n v="1798825"/>
    <m/>
    <m/>
    <m/>
    <m/>
    <n v="0"/>
    <m/>
    <m/>
    <n v="0"/>
    <m/>
    <m/>
    <m/>
    <m/>
    <m/>
    <m/>
    <n v="1774625"/>
    <n v="1798825"/>
  </r>
  <r>
    <x v="2"/>
    <x v="6"/>
    <s v="Agricultural experiment stations"/>
    <m/>
    <n v="130943"/>
    <x v="0"/>
    <m/>
    <m/>
    <n v="653400"/>
    <n v="677100"/>
    <m/>
    <m/>
    <m/>
    <m/>
    <n v="0"/>
    <m/>
    <m/>
    <n v="0"/>
    <n v="653400"/>
    <n v="677100"/>
    <m/>
    <m/>
    <m/>
    <m/>
    <n v="0"/>
    <m/>
    <m/>
    <n v="0"/>
    <m/>
    <m/>
    <m/>
    <m/>
    <m/>
    <m/>
    <n v="653400"/>
    <n v="677100"/>
  </r>
  <r>
    <x v="2"/>
    <x v="7"/>
    <s v="Research centers/institutes"/>
    <m/>
    <n v="130943"/>
    <x v="0"/>
    <m/>
    <m/>
    <m/>
    <m/>
    <m/>
    <m/>
    <m/>
    <m/>
    <n v="0"/>
    <m/>
    <m/>
    <n v="0"/>
    <n v="0"/>
    <n v="0"/>
    <m/>
    <m/>
    <m/>
    <m/>
    <n v="0"/>
    <m/>
    <m/>
    <n v="0"/>
    <m/>
    <m/>
    <m/>
    <m/>
    <m/>
    <m/>
    <n v="0"/>
    <n v="0"/>
  </r>
  <r>
    <x v="2"/>
    <x v="7"/>
    <s v="Delaware Biotech Institute Operating Funds"/>
    <m/>
    <n v="130943"/>
    <x v="0"/>
    <m/>
    <m/>
    <n v="518200"/>
    <n v="523700"/>
    <m/>
    <m/>
    <m/>
    <m/>
    <n v="0"/>
    <m/>
    <m/>
    <n v="0"/>
    <n v="518200"/>
    <n v="523700"/>
    <m/>
    <m/>
    <m/>
    <m/>
    <n v="0"/>
    <m/>
    <m/>
    <n v="0"/>
    <m/>
    <m/>
    <m/>
    <m/>
    <m/>
    <m/>
    <n v="518200"/>
    <n v="523700"/>
  </r>
  <r>
    <x v="2"/>
    <x v="7"/>
    <s v="Sea Grant"/>
    <m/>
    <n v="130943"/>
    <x v="0"/>
    <m/>
    <m/>
    <n v="570236"/>
    <n v="577021"/>
    <m/>
    <m/>
    <m/>
    <m/>
    <n v="0"/>
    <m/>
    <m/>
    <n v="0"/>
    <n v="570236"/>
    <n v="577021"/>
    <m/>
    <m/>
    <m/>
    <m/>
    <n v="0"/>
    <m/>
    <m/>
    <n v="0"/>
    <m/>
    <m/>
    <m/>
    <m/>
    <m/>
    <m/>
    <n v="570236"/>
    <n v="577021"/>
  </r>
  <r>
    <x v="2"/>
    <x v="7"/>
    <s v="Urban Agent"/>
    <m/>
    <n v="130943"/>
    <x v="0"/>
    <m/>
    <m/>
    <n v="115300"/>
    <n v="116085"/>
    <m/>
    <m/>
    <m/>
    <m/>
    <n v="0"/>
    <m/>
    <m/>
    <n v="0"/>
    <n v="115300"/>
    <n v="116085"/>
    <m/>
    <m/>
    <m/>
    <m/>
    <n v="0"/>
    <m/>
    <m/>
    <n v="0"/>
    <m/>
    <m/>
    <m/>
    <m/>
    <m/>
    <m/>
    <n v="115300"/>
    <n v="116085"/>
  </r>
  <r>
    <x v="2"/>
    <x v="7"/>
    <s v="Public Service &amp; Applied Research Projects"/>
    <m/>
    <n v="130943"/>
    <x v="0"/>
    <m/>
    <m/>
    <n v="256600"/>
    <n v="259150"/>
    <m/>
    <m/>
    <m/>
    <m/>
    <n v="0"/>
    <m/>
    <m/>
    <n v="0"/>
    <n v="256600"/>
    <n v="259150"/>
    <m/>
    <m/>
    <m/>
    <m/>
    <n v="0"/>
    <m/>
    <m/>
    <n v="0"/>
    <m/>
    <m/>
    <m/>
    <m/>
    <m/>
    <m/>
    <n v="256600"/>
    <n v="259150"/>
  </r>
  <r>
    <x v="2"/>
    <x v="7"/>
    <s v="Local Government Research &amp; Assistance"/>
    <m/>
    <n v="130943"/>
    <x v="0"/>
    <m/>
    <m/>
    <n v="202900"/>
    <n v="204410"/>
    <m/>
    <m/>
    <m/>
    <m/>
    <n v="0"/>
    <m/>
    <m/>
    <n v="0"/>
    <n v="202900"/>
    <n v="204410"/>
    <m/>
    <m/>
    <m/>
    <m/>
    <n v="0"/>
    <m/>
    <m/>
    <n v="0"/>
    <m/>
    <m/>
    <m/>
    <m/>
    <m/>
    <m/>
    <n v="202900"/>
    <n v="204410"/>
  </r>
  <r>
    <x v="2"/>
    <x v="7"/>
    <s v="Research on School Finance"/>
    <m/>
    <n v="130943"/>
    <x v="0"/>
    <m/>
    <m/>
    <n v="76900"/>
    <n v="77665"/>
    <m/>
    <m/>
    <m/>
    <m/>
    <n v="0"/>
    <m/>
    <m/>
    <n v="0"/>
    <n v="76900"/>
    <n v="77665"/>
    <m/>
    <m/>
    <m/>
    <m/>
    <n v="0"/>
    <m/>
    <m/>
    <n v="0"/>
    <m/>
    <m/>
    <m/>
    <m/>
    <m/>
    <m/>
    <n v="76900"/>
    <n v="77665"/>
  </r>
  <r>
    <x v="2"/>
    <x v="7"/>
    <s v="Delaware Education Research &amp; Development Center"/>
    <m/>
    <n v="130943"/>
    <x v="0"/>
    <m/>
    <m/>
    <n v="241700"/>
    <n v="244200"/>
    <m/>
    <m/>
    <m/>
    <m/>
    <n v="0"/>
    <m/>
    <m/>
    <n v="0"/>
    <n v="241700"/>
    <n v="244200"/>
    <m/>
    <m/>
    <m/>
    <m/>
    <n v="0"/>
    <m/>
    <m/>
    <n v="0"/>
    <m/>
    <m/>
    <m/>
    <m/>
    <m/>
    <m/>
    <n v="241700"/>
    <n v="244200"/>
  </r>
  <r>
    <x v="2"/>
    <x v="7"/>
    <s v="Geological Survey"/>
    <m/>
    <n v="130943"/>
    <x v="0"/>
    <m/>
    <m/>
    <n v="1838400"/>
    <n v="1855000"/>
    <m/>
    <m/>
    <m/>
    <m/>
    <n v="0"/>
    <m/>
    <m/>
    <n v="0"/>
    <n v="1838400"/>
    <n v="1855000"/>
    <m/>
    <m/>
    <m/>
    <m/>
    <n v="0"/>
    <m/>
    <m/>
    <n v="0"/>
    <m/>
    <m/>
    <m/>
    <m/>
    <m/>
    <m/>
    <n v="1838400"/>
    <n v="1855000"/>
  </r>
  <r>
    <x v="2"/>
    <x v="0"/>
    <s v="Delaware State University"/>
    <m/>
    <n v="130934"/>
    <x v="2"/>
    <n v="34327800"/>
    <n v="34562700"/>
    <m/>
    <m/>
    <m/>
    <m/>
    <n v="49098421"/>
    <n v="1575022"/>
    <n v="50673443"/>
    <n v="49098421"/>
    <n v="1525250"/>
    <n v="50623671"/>
    <n v="83426221"/>
    <n v="83661121"/>
    <m/>
    <m/>
    <m/>
    <m/>
    <n v="0"/>
    <m/>
    <m/>
    <n v="0"/>
    <m/>
    <m/>
    <m/>
    <m/>
    <m/>
    <m/>
    <n v="83426221"/>
    <n v="83661121"/>
  </r>
  <r>
    <x v="2"/>
    <x v="0"/>
    <s v="Delaware Technical and Community College--Stanton-Wilmington"/>
    <s v="Met the criteria for Two-Year 2 in 2013-14 and 2014-15."/>
    <n v="130916"/>
    <x v="6"/>
    <n v="30761700"/>
    <n v="32458300"/>
    <m/>
    <m/>
    <m/>
    <m/>
    <n v="23638600"/>
    <m/>
    <n v="23638600"/>
    <n v="22434300"/>
    <n v="0"/>
    <n v="22434300"/>
    <n v="54400300"/>
    <n v="54892600"/>
    <m/>
    <m/>
    <m/>
    <m/>
    <n v="0"/>
    <m/>
    <m/>
    <n v="0"/>
    <m/>
    <m/>
    <m/>
    <m/>
    <m/>
    <m/>
    <n v="54400300"/>
    <n v="54892600"/>
  </r>
  <r>
    <x v="2"/>
    <x v="0"/>
    <s v="Delaware Technical and Community College--Owens"/>
    <m/>
    <n v="130891"/>
    <x v="7"/>
    <n v="18515300"/>
    <n v="19823300"/>
    <m/>
    <m/>
    <m/>
    <m/>
    <n v="14332600"/>
    <m/>
    <n v="14332600"/>
    <n v="14391200"/>
    <n v="0"/>
    <n v="14391200"/>
    <n v="32847900"/>
    <n v="34214500"/>
    <m/>
    <m/>
    <m/>
    <m/>
    <n v="0"/>
    <m/>
    <m/>
    <n v="0"/>
    <m/>
    <m/>
    <m/>
    <m/>
    <m/>
    <m/>
    <n v="32847900"/>
    <n v="34214500"/>
  </r>
  <r>
    <x v="2"/>
    <x v="0"/>
    <s v="Delaware Technical and Community College--Terry"/>
    <m/>
    <n v="130907"/>
    <x v="7"/>
    <n v="12352400"/>
    <n v="12962100"/>
    <m/>
    <m/>
    <m/>
    <m/>
    <n v="10245200"/>
    <m/>
    <n v="10245200"/>
    <n v="10129400"/>
    <n v="0"/>
    <n v="10129400"/>
    <n v="22597600"/>
    <n v="23091500"/>
    <m/>
    <m/>
    <m/>
    <m/>
    <n v="0"/>
    <m/>
    <m/>
    <n v="0"/>
    <m/>
    <m/>
    <m/>
    <m/>
    <m/>
    <m/>
    <n v="22597600"/>
    <n v="23091500"/>
  </r>
  <r>
    <x v="2"/>
    <x v="13"/>
    <s v="Educational special-purpose funds-- all other"/>
    <m/>
    <m/>
    <x v="12"/>
    <m/>
    <m/>
    <m/>
    <m/>
    <m/>
    <m/>
    <m/>
    <m/>
    <n v="0"/>
    <m/>
    <m/>
    <n v="0"/>
    <n v="0"/>
    <n v="0"/>
    <m/>
    <m/>
    <m/>
    <m/>
    <n v="0"/>
    <m/>
    <m/>
    <n v="0"/>
    <m/>
    <m/>
    <m/>
    <m/>
    <m/>
    <m/>
    <n v="0"/>
    <n v="0"/>
  </r>
  <r>
    <x v="2"/>
    <x v="13"/>
    <s v="Matching Funds Minority Engineering Recruitment"/>
    <m/>
    <m/>
    <x v="12"/>
    <m/>
    <m/>
    <m/>
    <m/>
    <m/>
    <m/>
    <m/>
    <m/>
    <n v="0"/>
    <m/>
    <m/>
    <n v="0"/>
    <n v="0"/>
    <n v="0"/>
    <m/>
    <m/>
    <m/>
    <m/>
    <n v="0"/>
    <m/>
    <m/>
    <n v="0"/>
    <m/>
    <m/>
    <m/>
    <m/>
    <m/>
    <m/>
    <n v="0"/>
    <n v="0"/>
  </r>
  <r>
    <x v="2"/>
    <x v="13"/>
    <s v="Matching Funds; Advancement of Minorities in Engineering"/>
    <m/>
    <m/>
    <x v="12"/>
    <m/>
    <m/>
    <m/>
    <m/>
    <m/>
    <m/>
    <m/>
    <m/>
    <n v="0"/>
    <m/>
    <m/>
    <n v="0"/>
    <n v="0"/>
    <n v="0"/>
    <m/>
    <m/>
    <m/>
    <m/>
    <n v="0"/>
    <m/>
    <m/>
    <n v="0"/>
    <m/>
    <m/>
    <m/>
    <m/>
    <m/>
    <m/>
    <n v="0"/>
    <n v="0"/>
  </r>
  <r>
    <x v="2"/>
    <x v="13"/>
    <s v="Associate in Arts Program (joint Del. Tech - UD program administered by Del Tech)"/>
    <m/>
    <m/>
    <x v="12"/>
    <m/>
    <m/>
    <n v="1918000"/>
    <n v="1918000"/>
    <m/>
    <m/>
    <m/>
    <m/>
    <n v="0"/>
    <m/>
    <m/>
    <n v="0"/>
    <n v="1918000"/>
    <n v="1918000"/>
    <m/>
    <m/>
    <m/>
    <m/>
    <n v="0"/>
    <m/>
    <m/>
    <n v="0"/>
    <m/>
    <m/>
    <m/>
    <m/>
    <m/>
    <m/>
    <n v="1918000"/>
    <n v="1918000"/>
  </r>
  <r>
    <x v="2"/>
    <x v="14"/>
    <s v="Statewide system operations"/>
    <m/>
    <m/>
    <x v="12"/>
    <m/>
    <m/>
    <m/>
    <m/>
    <m/>
    <m/>
    <m/>
    <m/>
    <n v="0"/>
    <m/>
    <m/>
    <n v="0"/>
    <n v="0"/>
    <n v="0"/>
    <m/>
    <m/>
    <m/>
    <m/>
    <n v="0"/>
    <m/>
    <m/>
    <n v="0"/>
    <m/>
    <m/>
    <m/>
    <m/>
    <m/>
    <m/>
    <n v="0"/>
    <n v="0"/>
  </r>
  <r>
    <x v="2"/>
    <x v="15"/>
    <s v="Colleges and universities"/>
    <m/>
    <m/>
    <x v="12"/>
    <m/>
    <m/>
    <m/>
    <m/>
    <m/>
    <m/>
    <m/>
    <m/>
    <n v="0"/>
    <m/>
    <m/>
    <n v="0"/>
    <n v="0"/>
    <n v="0"/>
    <m/>
    <m/>
    <m/>
    <m/>
    <n v="0"/>
    <m/>
    <m/>
    <n v="0"/>
    <m/>
    <m/>
    <m/>
    <m/>
    <m/>
    <m/>
    <n v="0"/>
    <n v="0"/>
  </r>
  <r>
    <x v="2"/>
    <x v="15"/>
    <s v="DE Higher Education Commission"/>
    <m/>
    <m/>
    <x v="12"/>
    <m/>
    <m/>
    <m/>
    <m/>
    <m/>
    <m/>
    <m/>
    <m/>
    <n v="0"/>
    <m/>
    <m/>
    <n v="0"/>
    <n v="0"/>
    <n v="0"/>
    <n v="901000"/>
    <n v="901000"/>
    <m/>
    <m/>
    <n v="0"/>
    <m/>
    <m/>
    <n v="0"/>
    <m/>
    <m/>
    <m/>
    <m/>
    <m/>
    <m/>
    <n v="901000"/>
    <n v="901000"/>
  </r>
  <r>
    <x v="2"/>
    <x v="16"/>
    <s v="Two-year system(s), if any"/>
    <m/>
    <m/>
    <x v="12"/>
    <m/>
    <m/>
    <m/>
    <m/>
    <m/>
    <m/>
    <m/>
    <m/>
    <n v="0"/>
    <m/>
    <m/>
    <n v="0"/>
    <n v="0"/>
    <n v="0"/>
    <m/>
    <m/>
    <m/>
    <m/>
    <n v="0"/>
    <m/>
    <m/>
    <n v="0"/>
    <m/>
    <m/>
    <m/>
    <m/>
    <m/>
    <m/>
    <n v="0"/>
    <n v="0"/>
  </r>
  <r>
    <x v="2"/>
    <x v="16"/>
    <s v="Delaware Tech College System Office"/>
    <m/>
    <m/>
    <x v="12"/>
    <m/>
    <m/>
    <m/>
    <m/>
    <m/>
    <m/>
    <m/>
    <m/>
    <n v="0"/>
    <m/>
    <m/>
    <n v="0"/>
    <n v="0"/>
    <n v="0"/>
    <n v="13571700"/>
    <n v="10877700"/>
    <m/>
    <m/>
    <n v="0"/>
    <m/>
    <m/>
    <n v="0"/>
    <m/>
    <m/>
    <m/>
    <m/>
    <m/>
    <m/>
    <n v="13571700"/>
    <n v="10877700"/>
  </r>
  <r>
    <x v="2"/>
    <x v="17"/>
    <s v="National or regional associations, compacts or consortia"/>
    <m/>
    <m/>
    <x v="12"/>
    <m/>
    <m/>
    <m/>
    <m/>
    <m/>
    <m/>
    <m/>
    <m/>
    <n v="0"/>
    <m/>
    <m/>
    <n v="0"/>
    <n v="0"/>
    <n v="0"/>
    <m/>
    <m/>
    <m/>
    <m/>
    <n v="0"/>
    <m/>
    <m/>
    <n v="0"/>
    <m/>
    <m/>
    <m/>
    <m/>
    <m/>
    <m/>
    <n v="0"/>
    <n v="0"/>
  </r>
  <r>
    <x v="2"/>
    <x v="17"/>
    <s v="SREB"/>
    <m/>
    <m/>
    <x v="12"/>
    <m/>
    <m/>
    <m/>
    <m/>
    <m/>
    <m/>
    <m/>
    <m/>
    <n v="0"/>
    <m/>
    <m/>
    <n v="0"/>
    <n v="0"/>
    <n v="0"/>
    <n v="193550"/>
    <n v="167300"/>
    <m/>
    <m/>
    <n v="0"/>
    <m/>
    <m/>
    <n v="0"/>
    <m/>
    <m/>
    <m/>
    <m/>
    <m/>
    <m/>
    <n v="193550"/>
    <n v="167300"/>
  </r>
  <r>
    <x v="2"/>
    <x v="18"/>
    <s v="Adm. of Statewide Student Aid Programs (including centralized guaranteed student loans)"/>
    <m/>
    <m/>
    <x v="12"/>
    <m/>
    <m/>
    <m/>
    <m/>
    <m/>
    <m/>
    <m/>
    <m/>
    <n v="0"/>
    <m/>
    <m/>
    <n v="0"/>
    <n v="0"/>
    <n v="0"/>
    <m/>
    <m/>
    <m/>
    <m/>
    <n v="0"/>
    <m/>
    <m/>
    <n v="0"/>
    <m/>
    <m/>
    <m/>
    <m/>
    <m/>
    <m/>
    <n v="0"/>
    <n v="0"/>
  </r>
  <r>
    <x v="2"/>
    <x v="19"/>
    <s v="Support to private colleges other than student financial aid"/>
    <m/>
    <m/>
    <x v="12"/>
    <m/>
    <m/>
    <m/>
    <m/>
    <m/>
    <m/>
    <m/>
    <m/>
    <n v="0"/>
    <m/>
    <m/>
    <n v="0"/>
    <n v="0"/>
    <n v="0"/>
    <m/>
    <m/>
    <m/>
    <m/>
    <n v="0"/>
    <m/>
    <m/>
    <n v="0"/>
    <m/>
    <m/>
    <m/>
    <m/>
    <m/>
    <m/>
    <n v="0"/>
    <n v="0"/>
  </r>
  <r>
    <x v="2"/>
    <x v="20"/>
    <s v="Contract education programs"/>
    <m/>
    <m/>
    <x v="12"/>
    <m/>
    <m/>
    <m/>
    <m/>
    <m/>
    <m/>
    <m/>
    <m/>
    <n v="0"/>
    <m/>
    <m/>
    <n v="0"/>
    <n v="0"/>
    <n v="0"/>
    <m/>
    <m/>
    <m/>
    <m/>
    <n v="0"/>
    <m/>
    <m/>
    <n v="0"/>
    <m/>
    <m/>
    <m/>
    <m/>
    <m/>
    <m/>
    <n v="0"/>
    <n v="0"/>
  </r>
  <r>
    <x v="2"/>
    <x v="21"/>
    <s v="SREB contract program with private colleges"/>
    <m/>
    <m/>
    <x v="12"/>
    <m/>
    <m/>
    <m/>
    <m/>
    <m/>
    <m/>
    <m/>
    <m/>
    <n v="0"/>
    <m/>
    <m/>
    <n v="0"/>
    <n v="0"/>
    <n v="0"/>
    <m/>
    <m/>
    <m/>
    <m/>
    <n v="0"/>
    <m/>
    <m/>
    <n v="0"/>
    <m/>
    <m/>
    <m/>
    <m/>
    <m/>
    <m/>
    <n v="0"/>
    <n v="0"/>
  </r>
  <r>
    <x v="2"/>
    <x v="21"/>
    <s v="Del Institute for Medical Ed &amp; Rsch (DIMER)"/>
    <m/>
    <m/>
    <x v="12"/>
    <m/>
    <m/>
    <m/>
    <m/>
    <m/>
    <m/>
    <m/>
    <m/>
    <n v="0"/>
    <m/>
    <m/>
    <n v="0"/>
    <n v="0"/>
    <n v="0"/>
    <n v="2130000"/>
    <n v="2130000"/>
    <m/>
    <m/>
    <n v="0"/>
    <m/>
    <m/>
    <n v="0"/>
    <m/>
    <m/>
    <m/>
    <m/>
    <m/>
    <m/>
    <n v="2130000"/>
    <n v="2130000"/>
  </r>
  <r>
    <x v="2"/>
    <x v="22"/>
    <s v="SREB contract program with public colleges"/>
    <m/>
    <m/>
    <x v="12"/>
    <m/>
    <m/>
    <m/>
    <m/>
    <m/>
    <m/>
    <m/>
    <m/>
    <n v="0"/>
    <m/>
    <m/>
    <n v="0"/>
    <n v="0"/>
    <n v="0"/>
    <m/>
    <m/>
    <m/>
    <m/>
    <n v="0"/>
    <m/>
    <m/>
    <n v="0"/>
    <m/>
    <m/>
    <m/>
    <m/>
    <m/>
    <m/>
    <n v="0"/>
    <n v="0"/>
  </r>
  <r>
    <x v="2"/>
    <x v="22"/>
    <s v="Del Institute for Vet Medical Education (DIVME)"/>
    <m/>
    <m/>
    <x v="12"/>
    <m/>
    <m/>
    <m/>
    <m/>
    <m/>
    <m/>
    <m/>
    <m/>
    <n v="0"/>
    <m/>
    <m/>
    <n v="0"/>
    <n v="0"/>
    <n v="0"/>
    <n v="292600"/>
    <n v="277000"/>
    <m/>
    <m/>
    <n v="0"/>
    <m/>
    <m/>
    <n v="0"/>
    <m/>
    <m/>
    <m/>
    <m/>
    <m/>
    <m/>
    <n v="292600"/>
    <n v="277000"/>
  </r>
  <r>
    <x v="2"/>
    <x v="22"/>
    <s v="Del Institute for Dental Ed &amp; Rsch (DIDER)"/>
    <m/>
    <m/>
    <x v="12"/>
    <m/>
    <m/>
    <m/>
    <m/>
    <m/>
    <m/>
    <m/>
    <m/>
    <n v="0"/>
    <m/>
    <m/>
    <n v="0"/>
    <n v="0"/>
    <n v="0"/>
    <n v="515500"/>
    <n v="515500"/>
    <m/>
    <m/>
    <n v="0"/>
    <m/>
    <m/>
    <n v="0"/>
    <m/>
    <m/>
    <m/>
    <m/>
    <m/>
    <m/>
    <n v="515500"/>
    <n v="515500"/>
  </r>
  <r>
    <x v="2"/>
    <x v="23"/>
    <s v="Other contract education programs"/>
    <m/>
    <m/>
    <x v="12"/>
    <m/>
    <m/>
    <m/>
    <m/>
    <m/>
    <m/>
    <m/>
    <m/>
    <n v="0"/>
    <m/>
    <m/>
    <n v="0"/>
    <n v="0"/>
    <n v="0"/>
    <m/>
    <m/>
    <m/>
    <m/>
    <n v="0"/>
    <m/>
    <m/>
    <n v="0"/>
    <m/>
    <m/>
    <m/>
    <m/>
    <m/>
    <m/>
    <n v="0"/>
    <n v="0"/>
  </r>
  <r>
    <x v="2"/>
    <x v="24"/>
    <s v="Statewide student financial aid programs administered off campus"/>
    <m/>
    <m/>
    <x v="12"/>
    <m/>
    <m/>
    <m/>
    <m/>
    <m/>
    <m/>
    <m/>
    <m/>
    <n v="0"/>
    <m/>
    <m/>
    <n v="0"/>
    <n v="0"/>
    <n v="0"/>
    <m/>
    <m/>
    <m/>
    <m/>
    <n v="0"/>
    <m/>
    <m/>
    <n v="0"/>
    <m/>
    <m/>
    <m/>
    <m/>
    <m/>
    <m/>
    <n v="0"/>
    <n v="0"/>
  </r>
  <r>
    <x v="2"/>
    <x v="25"/>
    <s v="Available to public &amp; private sector students"/>
    <m/>
    <m/>
    <x v="12"/>
    <m/>
    <m/>
    <m/>
    <m/>
    <m/>
    <m/>
    <m/>
    <m/>
    <n v="0"/>
    <m/>
    <m/>
    <n v="0"/>
    <n v="0"/>
    <n v="0"/>
    <m/>
    <m/>
    <m/>
    <m/>
    <n v="0"/>
    <m/>
    <m/>
    <n v="0"/>
    <m/>
    <m/>
    <m/>
    <m/>
    <m/>
    <m/>
    <n v="0"/>
    <n v="0"/>
  </r>
  <r>
    <x v="2"/>
    <x v="25"/>
    <s v="Scholarship Incentive Program"/>
    <m/>
    <m/>
    <x v="12"/>
    <m/>
    <m/>
    <m/>
    <m/>
    <m/>
    <m/>
    <m/>
    <m/>
    <n v="0"/>
    <m/>
    <m/>
    <n v="0"/>
    <n v="0"/>
    <n v="0"/>
    <n v="1280164"/>
    <n v="1985550"/>
    <m/>
    <m/>
    <n v="0"/>
    <m/>
    <m/>
    <n v="0"/>
    <m/>
    <m/>
    <m/>
    <m/>
    <m/>
    <m/>
    <n v="1280164"/>
    <n v="198555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Diamond State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37498"/>
    <n v="142500"/>
    <m/>
    <m/>
    <n v="0"/>
    <m/>
    <m/>
    <n v="0"/>
    <m/>
    <m/>
    <m/>
    <m/>
    <m/>
    <m/>
    <n v="137498"/>
    <n v="14250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87493"/>
    <n v="87500"/>
    <m/>
    <m/>
    <n v="0"/>
    <m/>
    <m/>
    <n v="0"/>
    <m/>
    <m/>
    <m/>
    <m/>
    <m/>
    <m/>
    <n v="87493"/>
    <n v="87500"/>
  </r>
  <r>
    <x v="2"/>
    <x v="25"/>
    <s v="Ed Benefits for Children of Deceased Vets &amp; Others"/>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7520"/>
    <n v="12342"/>
    <m/>
    <m/>
    <n v="0"/>
    <m/>
    <m/>
    <n v="0"/>
    <m/>
    <m/>
    <m/>
    <m/>
    <m/>
    <m/>
    <n v="17520"/>
    <n v="12342"/>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0"/>
    <n v="0"/>
    <m/>
    <m/>
    <n v="0"/>
    <m/>
    <m/>
    <n v="0"/>
    <m/>
    <m/>
    <m/>
    <m/>
    <m/>
    <m/>
    <n v="0"/>
    <n v="0"/>
  </r>
  <r>
    <x v="2"/>
    <x v="25"/>
    <s v="Christa McAuliffe Teacher Scholarship Loan"/>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95000"/>
    <n v="75000"/>
    <m/>
    <m/>
    <n v="0"/>
    <m/>
    <m/>
    <n v="0"/>
    <m/>
    <m/>
    <m/>
    <m/>
    <m/>
    <m/>
    <n v="95000"/>
    <n v="7500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25000"/>
    <n v="25000"/>
    <m/>
    <m/>
    <n v="0"/>
    <m/>
    <m/>
    <n v="0"/>
    <m/>
    <m/>
    <m/>
    <m/>
    <m/>
    <m/>
    <n v="25000"/>
    <n v="25000"/>
  </r>
  <r>
    <x v="2"/>
    <x v="25"/>
    <s v="Librarian and Archivist Incentive Program"/>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50638"/>
    <n v="50638"/>
    <m/>
    <m/>
    <n v="0"/>
    <m/>
    <m/>
    <n v="0"/>
    <m/>
    <m/>
    <m/>
    <m/>
    <m/>
    <m/>
    <n v="50638"/>
    <n v="50638"/>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113635"/>
    <n v="113635"/>
    <m/>
    <m/>
    <n v="0"/>
    <m/>
    <m/>
    <n v="0"/>
    <m/>
    <m/>
    <m/>
    <m/>
    <m/>
    <m/>
    <n v="113635"/>
    <n v="113635"/>
  </r>
  <r>
    <x v="2"/>
    <x v="25"/>
    <s v="Delaware Nursing Incentive Program"/>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56250"/>
    <n v="62500"/>
    <m/>
    <m/>
    <n v="0"/>
    <m/>
    <m/>
    <n v="0"/>
    <m/>
    <m/>
    <m/>
    <m/>
    <m/>
    <m/>
    <n v="56250"/>
    <n v="6250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20000"/>
    <n v="20000"/>
    <m/>
    <m/>
    <n v="0"/>
    <m/>
    <m/>
    <n v="0"/>
    <m/>
    <m/>
    <m/>
    <m/>
    <m/>
    <m/>
    <n v="20000"/>
    <n v="20000"/>
  </r>
  <r>
    <x v="2"/>
    <x v="25"/>
    <s v="B. Bradford Barnes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70160"/>
    <n v="67438"/>
    <m/>
    <m/>
    <n v="0"/>
    <m/>
    <m/>
    <n v="0"/>
    <m/>
    <m/>
    <m/>
    <m/>
    <m/>
    <m/>
    <n v="70160"/>
    <n v="67438"/>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Speech/Language Pathologist Incentive Program"/>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20000"/>
    <n v="20000"/>
    <m/>
    <m/>
    <n v="0"/>
    <m/>
    <m/>
    <n v="0"/>
    <m/>
    <m/>
    <m/>
    <m/>
    <m/>
    <m/>
    <n v="20000"/>
    <n v="2000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0"/>
    <n v="0"/>
    <m/>
    <m/>
    <n v="0"/>
    <m/>
    <m/>
    <n v="0"/>
    <m/>
    <m/>
    <m/>
    <m/>
    <m/>
    <m/>
    <n v="0"/>
    <n v="0"/>
  </r>
  <r>
    <x v="2"/>
    <x v="25"/>
    <s v="Herman M. Holloway, Sr.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45377"/>
    <n v="51276"/>
    <m/>
    <m/>
    <n v="0"/>
    <m/>
    <m/>
    <n v="0"/>
    <m/>
    <m/>
    <m/>
    <m/>
    <m/>
    <m/>
    <n v="45377"/>
    <n v="51276"/>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Legislative Essay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Charles L. Hebner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11423"/>
    <n v="113865"/>
    <m/>
    <m/>
    <n v="0"/>
    <m/>
    <m/>
    <n v="0"/>
    <m/>
    <m/>
    <m/>
    <m/>
    <m/>
    <m/>
    <n v="111423"/>
    <n v="113865"/>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Gov's Ed Grants for Working  Adults"/>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n v="75562"/>
    <n v="69737"/>
    <m/>
    <m/>
    <n v="0"/>
    <m/>
    <m/>
    <n v="0"/>
    <m/>
    <m/>
    <m/>
    <m/>
    <m/>
    <m/>
    <n v="75562"/>
    <n v="69737"/>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1124"/>
    <n v="15364.65"/>
    <m/>
    <m/>
    <n v="0"/>
    <m/>
    <m/>
    <n v="0"/>
    <m/>
    <m/>
    <m/>
    <m/>
    <m/>
    <m/>
    <n v="1124"/>
    <n v="15364.65"/>
  </r>
  <r>
    <x v="2"/>
    <x v="33"/>
    <s v="Non need-based"/>
    <m/>
    <m/>
    <x v="12"/>
    <m/>
    <m/>
    <m/>
    <m/>
    <m/>
    <m/>
    <m/>
    <m/>
    <n v="0"/>
    <m/>
    <m/>
    <n v="0"/>
    <n v="0"/>
    <n v="0"/>
    <m/>
    <m/>
    <m/>
    <m/>
    <n v="0"/>
    <m/>
    <m/>
    <n v="0"/>
    <m/>
    <m/>
    <m/>
    <m/>
    <m/>
    <m/>
    <n v="0"/>
    <n v="0"/>
  </r>
  <r>
    <x v="2"/>
    <x v="25"/>
    <s v="Governor's Education Grants for Unemployed Adults"/>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n v="60800"/>
    <n v="91203"/>
    <m/>
    <m/>
    <n v="0"/>
    <m/>
    <m/>
    <n v="0"/>
    <m/>
    <m/>
    <m/>
    <m/>
    <m/>
    <m/>
    <n v="60800"/>
    <n v="91203"/>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1604"/>
    <n v="1680"/>
    <m/>
    <m/>
    <n v="0"/>
    <m/>
    <m/>
    <n v="0"/>
    <m/>
    <m/>
    <m/>
    <m/>
    <m/>
    <m/>
    <n v="1604"/>
    <n v="1680"/>
  </r>
  <r>
    <x v="2"/>
    <x v="33"/>
    <s v="Non need-based"/>
    <m/>
    <m/>
    <x v="12"/>
    <m/>
    <m/>
    <m/>
    <m/>
    <m/>
    <m/>
    <m/>
    <m/>
    <n v="0"/>
    <m/>
    <m/>
    <n v="0"/>
    <n v="0"/>
    <n v="0"/>
    <m/>
    <m/>
    <m/>
    <m/>
    <n v="0"/>
    <m/>
    <m/>
    <n v="0"/>
    <m/>
    <m/>
    <m/>
    <m/>
    <m/>
    <m/>
    <n v="0"/>
    <n v="0"/>
  </r>
  <r>
    <x v="2"/>
    <x v="25"/>
    <s v="Del. Institute for Med. Ed. &amp; Research"/>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366000"/>
    <n v="366000"/>
    <m/>
    <m/>
    <n v="0"/>
    <m/>
    <m/>
    <n v="0"/>
    <m/>
    <m/>
    <m/>
    <m/>
    <m/>
    <m/>
    <n v="366000"/>
    <n v="366000"/>
  </r>
  <r>
    <x v="2"/>
    <x v="33"/>
    <s v="Non need-based"/>
    <m/>
    <m/>
    <x v="12"/>
    <m/>
    <m/>
    <m/>
    <m/>
    <m/>
    <m/>
    <m/>
    <m/>
    <n v="0"/>
    <m/>
    <m/>
    <n v="0"/>
    <n v="0"/>
    <n v="0"/>
    <n v="114000"/>
    <n v="114000"/>
    <m/>
    <m/>
    <n v="0"/>
    <m/>
    <m/>
    <n v="0"/>
    <m/>
    <m/>
    <m/>
    <m/>
    <m/>
    <m/>
    <n v="114000"/>
    <n v="114000"/>
  </r>
  <r>
    <x v="2"/>
    <x v="25"/>
    <s v="Ivy D.F. Davis Memorial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n v="80000"/>
    <n v="80000"/>
    <m/>
    <m/>
    <n v="0"/>
    <m/>
    <m/>
    <n v="0"/>
    <m/>
    <m/>
    <m/>
    <m/>
    <m/>
    <m/>
    <n v="80000"/>
    <n v="8000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n v="20000"/>
    <n v="20000"/>
    <m/>
    <m/>
    <n v="0"/>
    <m/>
    <m/>
    <n v="0"/>
    <m/>
    <m/>
    <m/>
    <m/>
    <m/>
    <m/>
    <n v="20000"/>
    <n v="20000"/>
  </r>
  <r>
    <x v="2"/>
    <x v="33"/>
    <s v="Non need-based"/>
    <m/>
    <m/>
    <x v="12"/>
    <m/>
    <m/>
    <m/>
    <m/>
    <m/>
    <m/>
    <m/>
    <m/>
    <n v="0"/>
    <m/>
    <m/>
    <n v="0"/>
    <n v="0"/>
    <n v="0"/>
    <m/>
    <m/>
    <m/>
    <m/>
    <n v="0"/>
    <m/>
    <m/>
    <n v="0"/>
    <m/>
    <m/>
    <m/>
    <m/>
    <m/>
    <m/>
    <n v="0"/>
    <n v="0"/>
  </r>
  <r>
    <x v="2"/>
    <x v="25"/>
    <s v="Michael C. Ferguson Achievement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44500"/>
    <n v="144500"/>
    <m/>
    <m/>
    <n v="0"/>
    <m/>
    <m/>
    <n v="0"/>
    <m/>
    <m/>
    <m/>
    <m/>
    <m/>
    <m/>
    <n v="144500"/>
    <n v="14450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69000"/>
    <n v="69000"/>
    <m/>
    <m/>
    <n v="0"/>
    <m/>
    <m/>
    <n v="0"/>
    <m/>
    <m/>
    <m/>
    <m/>
    <m/>
    <m/>
    <n v="69000"/>
    <n v="69000"/>
  </r>
  <r>
    <x v="2"/>
    <x v="25"/>
    <s v="Delaware Optometric Institutional Aid"/>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23834"/>
    <n v="16000"/>
    <m/>
    <m/>
    <n v="0"/>
    <m/>
    <m/>
    <n v="0"/>
    <m/>
    <m/>
    <m/>
    <m/>
    <m/>
    <m/>
    <n v="23834"/>
    <n v="16000"/>
  </r>
  <r>
    <x v="2"/>
    <x v="25"/>
    <s v="Critical Need Scholarship"/>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n v="129482"/>
    <n v="170055"/>
    <m/>
    <m/>
    <n v="0"/>
    <m/>
    <m/>
    <n v="0"/>
    <m/>
    <m/>
    <m/>
    <m/>
    <m/>
    <m/>
    <n v="129482"/>
    <n v="170055"/>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n v="30511"/>
    <n v="40072"/>
    <m/>
    <m/>
    <n v="0"/>
    <m/>
    <m/>
    <n v="0"/>
    <m/>
    <m/>
    <m/>
    <m/>
    <m/>
    <m/>
    <n v="30511"/>
    <n v="40072"/>
  </r>
  <r>
    <x v="2"/>
    <x v="25"/>
    <s v="DE State Loan Repayment Program/Physicians &amp; Dentists"/>
    <m/>
    <m/>
    <x v="12"/>
    <m/>
    <m/>
    <m/>
    <m/>
    <m/>
    <m/>
    <m/>
    <m/>
    <n v="0"/>
    <m/>
    <m/>
    <n v="0"/>
    <n v="0"/>
    <n v="0"/>
    <n v="269791"/>
    <n v="259651"/>
    <m/>
    <m/>
    <n v="0"/>
    <m/>
    <m/>
    <n v="0"/>
    <m/>
    <m/>
    <m/>
    <m/>
    <m/>
    <m/>
    <n v="269791"/>
    <n v="259651"/>
  </r>
  <r>
    <x v="2"/>
    <x v="26"/>
    <s v="Need-based"/>
    <m/>
    <m/>
    <x v="12"/>
    <m/>
    <m/>
    <m/>
    <m/>
    <m/>
    <m/>
    <m/>
    <m/>
    <n v="0"/>
    <m/>
    <m/>
    <n v="0"/>
    <n v="0"/>
    <n v="0"/>
    <m/>
    <m/>
    <m/>
    <m/>
    <n v="0"/>
    <m/>
    <m/>
    <n v="0"/>
    <m/>
    <m/>
    <m/>
    <m/>
    <m/>
    <m/>
    <n v="0"/>
    <n v="0"/>
  </r>
  <r>
    <x v="2"/>
    <x v="27"/>
    <s v="Non need-based"/>
    <m/>
    <m/>
    <x v="12"/>
    <m/>
    <m/>
    <m/>
    <m/>
    <m/>
    <m/>
    <m/>
    <m/>
    <n v="0"/>
    <m/>
    <m/>
    <n v="0"/>
    <n v="0"/>
    <n v="0"/>
    <m/>
    <m/>
    <m/>
    <m/>
    <n v="0"/>
    <m/>
    <m/>
    <n v="0"/>
    <m/>
    <m/>
    <m/>
    <m/>
    <m/>
    <m/>
    <n v="0"/>
    <n v="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DE Institute for Dental Education &amp; Research Scholarships"/>
    <m/>
    <m/>
    <x v="12"/>
    <m/>
    <m/>
    <m/>
    <m/>
    <m/>
    <m/>
    <m/>
    <m/>
    <n v="0"/>
    <m/>
    <m/>
    <n v="0"/>
    <n v="0"/>
    <n v="0"/>
    <m/>
    <m/>
    <m/>
    <m/>
    <n v="0"/>
    <m/>
    <m/>
    <n v="0"/>
    <m/>
    <m/>
    <m/>
    <m/>
    <m/>
    <m/>
    <n v="0"/>
    <n v="0"/>
  </r>
  <r>
    <x v="2"/>
    <x v="26"/>
    <s v="Need-based"/>
    <m/>
    <m/>
    <x v="12"/>
    <m/>
    <m/>
    <m/>
    <m/>
    <m/>
    <m/>
    <m/>
    <m/>
    <n v="0"/>
    <m/>
    <m/>
    <n v="0"/>
    <n v="0"/>
    <n v="0"/>
    <n v="7500"/>
    <n v="7500"/>
    <m/>
    <m/>
    <n v="0"/>
    <m/>
    <m/>
    <n v="0"/>
    <m/>
    <m/>
    <m/>
    <m/>
    <m/>
    <m/>
    <n v="7500"/>
    <n v="7500"/>
  </r>
  <r>
    <x v="2"/>
    <x v="27"/>
    <s v="Non need-based"/>
    <m/>
    <m/>
    <x v="12"/>
    <m/>
    <m/>
    <m/>
    <m/>
    <m/>
    <m/>
    <m/>
    <m/>
    <n v="0"/>
    <m/>
    <m/>
    <n v="0"/>
    <n v="0"/>
    <n v="0"/>
    <n v="20000"/>
    <n v="20000"/>
    <m/>
    <m/>
    <n v="0"/>
    <m/>
    <m/>
    <n v="0"/>
    <m/>
    <m/>
    <m/>
    <m/>
    <m/>
    <m/>
    <n v="20000"/>
    <n v="2000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25"/>
    <s v="Inspire Scholarship"/>
    <m/>
    <m/>
    <x v="12"/>
    <m/>
    <m/>
    <m/>
    <m/>
    <m/>
    <m/>
    <m/>
    <m/>
    <n v="0"/>
    <m/>
    <m/>
    <n v="0"/>
    <n v="0"/>
    <n v="0"/>
    <m/>
    <m/>
    <m/>
    <m/>
    <n v="0"/>
    <m/>
    <m/>
    <n v="0"/>
    <m/>
    <m/>
    <m/>
    <m/>
    <m/>
    <m/>
    <n v="0"/>
    <n v="0"/>
  </r>
  <r>
    <x v="2"/>
    <x v="26"/>
    <s v="Need-based"/>
    <m/>
    <m/>
    <x v="12"/>
    <m/>
    <m/>
    <m/>
    <m/>
    <m/>
    <m/>
    <m/>
    <m/>
    <n v="0"/>
    <m/>
    <m/>
    <n v="0"/>
    <n v="0"/>
    <n v="0"/>
    <m/>
    <m/>
    <m/>
    <m/>
    <n v="0"/>
    <m/>
    <m/>
    <n v="0"/>
    <m/>
    <m/>
    <m/>
    <m/>
    <m/>
    <m/>
    <n v="0"/>
    <n v="0"/>
  </r>
  <r>
    <x v="2"/>
    <x v="27"/>
    <s v="Non need-based"/>
    <m/>
    <m/>
    <x v="12"/>
    <m/>
    <m/>
    <m/>
    <m/>
    <m/>
    <m/>
    <m/>
    <m/>
    <n v="0"/>
    <m/>
    <m/>
    <n v="0"/>
    <n v="0"/>
    <n v="0"/>
    <n v="1399500"/>
    <n v="1607000"/>
    <m/>
    <m/>
    <n v="0"/>
    <m/>
    <m/>
    <n v="0"/>
    <m/>
    <m/>
    <m/>
    <m/>
    <m/>
    <m/>
    <n v="1399500"/>
    <n v="1607000"/>
  </r>
  <r>
    <x v="2"/>
    <x v="28"/>
    <s v="To public sector students"/>
    <m/>
    <m/>
    <x v="12"/>
    <m/>
    <m/>
    <m/>
    <m/>
    <m/>
    <m/>
    <m/>
    <m/>
    <n v="0"/>
    <m/>
    <m/>
    <n v="0"/>
    <n v="0"/>
    <n v="0"/>
    <m/>
    <m/>
    <m/>
    <m/>
    <n v="0"/>
    <m/>
    <m/>
    <n v="0"/>
    <m/>
    <m/>
    <m/>
    <m/>
    <m/>
    <m/>
    <n v="0"/>
    <n v="0"/>
  </r>
  <r>
    <x v="2"/>
    <x v="29"/>
    <s v="Need-based"/>
    <m/>
    <m/>
    <x v="12"/>
    <m/>
    <m/>
    <m/>
    <m/>
    <m/>
    <m/>
    <m/>
    <m/>
    <n v="0"/>
    <m/>
    <m/>
    <n v="0"/>
    <n v="0"/>
    <n v="0"/>
    <m/>
    <m/>
    <m/>
    <m/>
    <n v="0"/>
    <m/>
    <m/>
    <n v="0"/>
    <m/>
    <m/>
    <m/>
    <m/>
    <m/>
    <m/>
    <n v="0"/>
    <n v="0"/>
  </r>
  <r>
    <x v="2"/>
    <x v="30"/>
    <s v="Non need-based"/>
    <m/>
    <m/>
    <x v="12"/>
    <m/>
    <m/>
    <m/>
    <m/>
    <m/>
    <m/>
    <m/>
    <m/>
    <n v="0"/>
    <m/>
    <m/>
    <n v="0"/>
    <n v="0"/>
    <n v="0"/>
    <m/>
    <m/>
    <m/>
    <m/>
    <n v="0"/>
    <m/>
    <m/>
    <n v="0"/>
    <m/>
    <m/>
    <m/>
    <m/>
    <m/>
    <m/>
    <n v="0"/>
    <n v="0"/>
  </r>
  <r>
    <x v="2"/>
    <x v="31"/>
    <s v="To private sector students"/>
    <m/>
    <m/>
    <x v="12"/>
    <m/>
    <m/>
    <m/>
    <m/>
    <m/>
    <m/>
    <m/>
    <m/>
    <n v="0"/>
    <m/>
    <m/>
    <n v="0"/>
    <n v="0"/>
    <n v="0"/>
    <m/>
    <m/>
    <m/>
    <m/>
    <n v="0"/>
    <m/>
    <m/>
    <n v="0"/>
    <m/>
    <m/>
    <m/>
    <m/>
    <m/>
    <m/>
    <n v="0"/>
    <n v="0"/>
  </r>
  <r>
    <x v="2"/>
    <x v="32"/>
    <s v="Need-based"/>
    <m/>
    <m/>
    <x v="12"/>
    <m/>
    <m/>
    <m/>
    <m/>
    <m/>
    <m/>
    <m/>
    <m/>
    <n v="0"/>
    <m/>
    <m/>
    <n v="0"/>
    <n v="0"/>
    <n v="0"/>
    <m/>
    <m/>
    <m/>
    <m/>
    <n v="0"/>
    <m/>
    <m/>
    <n v="0"/>
    <m/>
    <m/>
    <m/>
    <m/>
    <m/>
    <m/>
    <n v="0"/>
    <n v="0"/>
  </r>
  <r>
    <x v="2"/>
    <x v="33"/>
    <s v="Non need-based"/>
    <m/>
    <m/>
    <x v="12"/>
    <m/>
    <m/>
    <m/>
    <m/>
    <m/>
    <m/>
    <m/>
    <m/>
    <n v="0"/>
    <m/>
    <m/>
    <n v="0"/>
    <n v="0"/>
    <n v="0"/>
    <m/>
    <m/>
    <m/>
    <m/>
    <n v="0"/>
    <m/>
    <m/>
    <n v="0"/>
    <m/>
    <m/>
    <m/>
    <m/>
    <m/>
    <m/>
    <n v="0"/>
    <n v="0"/>
  </r>
  <r>
    <x v="2"/>
    <x v="34"/>
    <s v="Limited to public college students"/>
    <m/>
    <m/>
    <x v="12"/>
    <m/>
    <m/>
    <m/>
    <m/>
    <m/>
    <m/>
    <m/>
    <m/>
    <n v="0"/>
    <m/>
    <m/>
    <n v="0"/>
    <n v="0"/>
    <n v="0"/>
    <m/>
    <m/>
    <m/>
    <m/>
    <n v="0"/>
    <m/>
    <m/>
    <n v="0"/>
    <m/>
    <m/>
    <m/>
    <m/>
    <m/>
    <m/>
    <n v="0"/>
    <n v="0"/>
  </r>
  <r>
    <x v="2"/>
    <x v="35"/>
    <s v="Need-based"/>
    <m/>
    <m/>
    <x v="12"/>
    <m/>
    <m/>
    <m/>
    <m/>
    <m/>
    <m/>
    <m/>
    <m/>
    <n v="0"/>
    <m/>
    <m/>
    <n v="0"/>
    <n v="0"/>
    <n v="0"/>
    <m/>
    <m/>
    <m/>
    <m/>
    <n v="0"/>
    <m/>
    <m/>
    <n v="0"/>
    <m/>
    <m/>
    <m/>
    <m/>
    <m/>
    <m/>
    <n v="0"/>
    <n v="0"/>
  </r>
  <r>
    <x v="2"/>
    <x v="36"/>
    <s v="Non need-based"/>
    <m/>
    <m/>
    <x v="12"/>
    <m/>
    <m/>
    <m/>
    <m/>
    <m/>
    <m/>
    <m/>
    <m/>
    <n v="0"/>
    <m/>
    <m/>
    <n v="0"/>
    <n v="0"/>
    <n v="0"/>
    <m/>
    <m/>
    <m/>
    <m/>
    <n v="0"/>
    <m/>
    <m/>
    <n v="0"/>
    <m/>
    <m/>
    <m/>
    <m/>
    <m/>
    <m/>
    <n v="0"/>
    <n v="0"/>
  </r>
  <r>
    <x v="2"/>
    <x v="37"/>
    <s v="Limited to private college students"/>
    <m/>
    <m/>
    <x v="12"/>
    <m/>
    <m/>
    <m/>
    <m/>
    <m/>
    <m/>
    <m/>
    <m/>
    <n v="0"/>
    <m/>
    <m/>
    <n v="0"/>
    <n v="0"/>
    <n v="0"/>
    <m/>
    <m/>
    <m/>
    <m/>
    <n v="0"/>
    <m/>
    <m/>
    <n v="0"/>
    <m/>
    <m/>
    <m/>
    <m/>
    <m/>
    <m/>
    <n v="0"/>
    <n v="0"/>
  </r>
  <r>
    <x v="2"/>
    <x v="38"/>
    <s v="Need-based"/>
    <m/>
    <m/>
    <x v="12"/>
    <m/>
    <m/>
    <m/>
    <m/>
    <m/>
    <m/>
    <m/>
    <m/>
    <n v="0"/>
    <m/>
    <m/>
    <n v="0"/>
    <n v="0"/>
    <n v="0"/>
    <m/>
    <m/>
    <m/>
    <m/>
    <n v="0"/>
    <m/>
    <m/>
    <n v="0"/>
    <m/>
    <m/>
    <m/>
    <m/>
    <m/>
    <m/>
    <n v="0"/>
    <n v="0"/>
  </r>
  <r>
    <x v="2"/>
    <x v="39"/>
    <s v="Non need-based"/>
    <m/>
    <m/>
    <x v="12"/>
    <m/>
    <m/>
    <m/>
    <m/>
    <m/>
    <m/>
    <m/>
    <m/>
    <n v="0"/>
    <m/>
    <m/>
    <n v="0"/>
    <n v="0"/>
    <n v="0"/>
    <m/>
    <m/>
    <m/>
    <m/>
    <n v="0"/>
    <m/>
    <m/>
    <n v="0"/>
    <m/>
    <m/>
    <m/>
    <m/>
    <m/>
    <m/>
    <n v="0"/>
    <n v="0"/>
  </r>
  <r>
    <x v="3"/>
    <x v="0"/>
    <s v="Florida International University"/>
    <m/>
    <n v="133951"/>
    <x v="0"/>
    <n v="188429118"/>
    <n v="187181431"/>
    <m/>
    <m/>
    <m/>
    <m/>
    <n v="233626179"/>
    <n v="3143429.28"/>
    <n v="236769608.28"/>
    <n v="240883763"/>
    <n v="3864368.04"/>
    <n v="244748131.03999999"/>
    <n v="422055297"/>
    <n v="428065194"/>
    <m/>
    <m/>
    <m/>
    <m/>
    <n v="0"/>
    <m/>
    <m/>
    <n v="0"/>
    <m/>
    <m/>
    <m/>
    <m/>
    <m/>
    <m/>
    <n v="422055297"/>
    <n v="428065194"/>
  </r>
  <r>
    <x v="3"/>
    <x v="0"/>
    <s v="Student Financial Aid"/>
    <m/>
    <n v="133951"/>
    <x v="0"/>
    <m/>
    <m/>
    <n v="540666"/>
    <n v="540666"/>
    <m/>
    <m/>
    <m/>
    <m/>
    <n v="0"/>
    <m/>
    <m/>
    <n v="0"/>
    <n v="540666"/>
    <n v="540666"/>
    <m/>
    <m/>
    <m/>
    <m/>
    <n v="0"/>
    <m/>
    <m/>
    <n v="0"/>
    <m/>
    <m/>
    <m/>
    <m/>
    <m/>
    <m/>
    <n v="540666"/>
    <n v="540666"/>
  </r>
  <r>
    <x v="3"/>
    <x v="0"/>
    <s v="Risk Management/Casualty Insurance"/>
    <m/>
    <n v="133951"/>
    <x v="0"/>
    <m/>
    <m/>
    <n v="1895507"/>
    <n v="1895507"/>
    <m/>
    <m/>
    <m/>
    <m/>
    <n v="0"/>
    <m/>
    <m/>
    <n v="0"/>
    <n v="1895507"/>
    <n v="1895507"/>
    <m/>
    <m/>
    <m/>
    <m/>
    <n v="0"/>
    <m/>
    <m/>
    <n v="0"/>
    <n v="34877"/>
    <n v="34877"/>
    <m/>
    <m/>
    <m/>
    <m/>
    <n v="1930384"/>
    <n v="1930384"/>
  </r>
  <r>
    <x v="3"/>
    <x v="1"/>
    <s v="Medical School"/>
    <m/>
    <n v="133951"/>
    <x v="0"/>
    <m/>
    <m/>
    <m/>
    <m/>
    <m/>
    <m/>
    <m/>
    <m/>
    <n v="0"/>
    <m/>
    <m/>
    <n v="0"/>
    <n v="0"/>
    <n v="0"/>
    <m/>
    <m/>
    <m/>
    <m/>
    <n v="0"/>
    <m/>
    <m/>
    <n v="0"/>
    <n v="30508312"/>
    <n v="30833444"/>
    <n v="12532971"/>
    <m/>
    <n v="15601041"/>
    <m/>
    <n v="43041283"/>
    <n v="46434485"/>
  </r>
  <r>
    <x v="3"/>
    <x v="7"/>
    <s v="Research centers/institutes"/>
    <m/>
    <n v="137351"/>
    <x v="0"/>
    <m/>
    <m/>
    <m/>
    <m/>
    <m/>
    <m/>
    <m/>
    <m/>
    <n v="0"/>
    <m/>
    <m/>
    <n v="0"/>
    <n v="0"/>
    <n v="0"/>
    <m/>
    <m/>
    <m/>
    <m/>
    <n v="0"/>
    <m/>
    <m/>
    <n v="0"/>
    <m/>
    <m/>
    <m/>
    <m/>
    <m/>
    <m/>
    <n v="0"/>
    <n v="0"/>
  </r>
  <r>
    <x v="3"/>
    <x v="0"/>
    <s v="Florida State University "/>
    <m/>
    <n v="134097"/>
    <x v="0"/>
    <n v="293334632"/>
    <n v="290720351"/>
    <m/>
    <m/>
    <m/>
    <m/>
    <n v="220934594.86000001"/>
    <n v="2082630.14"/>
    <n v="223017225"/>
    <n v="225390821"/>
    <n v="2159882.4700000002"/>
    <n v="227550703.47"/>
    <n v="514269226.86000001"/>
    <n v="516111172"/>
    <m/>
    <m/>
    <m/>
    <m/>
    <n v="0"/>
    <m/>
    <m/>
    <n v="0"/>
    <m/>
    <m/>
    <m/>
    <m/>
    <m/>
    <m/>
    <n v="514269226.86000001"/>
    <n v="516111172"/>
  </r>
  <r>
    <x v="3"/>
    <x v="0"/>
    <s v="Student Financial Aid"/>
    <m/>
    <n v="134097"/>
    <x v="0"/>
    <m/>
    <m/>
    <n v="1467667"/>
    <n v="1467667"/>
    <m/>
    <m/>
    <m/>
    <m/>
    <n v="0"/>
    <m/>
    <m/>
    <n v="0"/>
    <n v="1467667"/>
    <n v="1467667"/>
    <m/>
    <m/>
    <m/>
    <m/>
    <n v="0"/>
    <m/>
    <m/>
    <n v="0"/>
    <m/>
    <m/>
    <m/>
    <m/>
    <m/>
    <m/>
    <n v="1467667"/>
    <n v="1467667"/>
  </r>
  <r>
    <x v="3"/>
    <x v="0"/>
    <s v="Risk Management/Casualty Insurance"/>
    <m/>
    <n v="134097"/>
    <x v="0"/>
    <m/>
    <m/>
    <n v="1986543"/>
    <n v="1986543"/>
    <m/>
    <m/>
    <m/>
    <m/>
    <n v="0"/>
    <m/>
    <m/>
    <n v="0"/>
    <n v="1986543"/>
    <n v="1986543"/>
    <m/>
    <m/>
    <m/>
    <m/>
    <n v="0"/>
    <m/>
    <m/>
    <n v="0"/>
    <n v="83282"/>
    <n v="83282"/>
    <m/>
    <m/>
    <m/>
    <m/>
    <n v="2069825"/>
    <n v="2069825"/>
  </r>
  <r>
    <x v="3"/>
    <x v="1"/>
    <s v="Medical School"/>
    <m/>
    <n v="134097"/>
    <x v="0"/>
    <m/>
    <m/>
    <m/>
    <m/>
    <m/>
    <m/>
    <m/>
    <m/>
    <n v="0"/>
    <m/>
    <m/>
    <n v="0"/>
    <n v="0"/>
    <n v="0"/>
    <m/>
    <m/>
    <m/>
    <m/>
    <n v="0"/>
    <m/>
    <m/>
    <n v="0"/>
    <n v="34568898"/>
    <n v="34926100"/>
    <n v="11572716"/>
    <m/>
    <n v="11572716"/>
    <m/>
    <n v="46141614"/>
    <n v="46498816"/>
  </r>
  <r>
    <x v="3"/>
    <x v="1"/>
    <s v="College of Medicine Autism Program"/>
    <m/>
    <n v="134097"/>
    <x v="0"/>
    <m/>
    <m/>
    <m/>
    <m/>
    <m/>
    <m/>
    <m/>
    <m/>
    <n v="0"/>
    <m/>
    <m/>
    <n v="0"/>
    <n v="0"/>
    <n v="0"/>
    <m/>
    <m/>
    <m/>
    <m/>
    <n v="0"/>
    <m/>
    <m/>
    <n v="0"/>
    <n v="1056231"/>
    <n v="1267477"/>
    <m/>
    <m/>
    <m/>
    <m/>
    <n v="1056231"/>
    <n v="1267477"/>
  </r>
  <r>
    <x v="3"/>
    <x v="3"/>
    <s v="Community or public service units"/>
    <m/>
    <n v="134097"/>
    <x v="0"/>
    <m/>
    <m/>
    <n v="396525"/>
    <n v="450000"/>
    <m/>
    <m/>
    <m/>
    <m/>
    <n v="0"/>
    <m/>
    <m/>
    <n v="0"/>
    <n v="396525"/>
    <n v="450000"/>
    <m/>
    <m/>
    <m/>
    <m/>
    <n v="0"/>
    <m/>
    <m/>
    <n v="0"/>
    <m/>
    <m/>
    <m/>
    <m/>
    <m/>
    <m/>
    <n v="396525"/>
    <n v="450000"/>
  </r>
  <r>
    <x v="3"/>
    <x v="3"/>
    <s v="Off-Campus Volunteers"/>
    <m/>
    <n v="134097"/>
    <x v="0"/>
    <m/>
    <m/>
    <m/>
    <m/>
    <m/>
    <m/>
    <m/>
    <m/>
    <n v="0"/>
    <m/>
    <m/>
    <n v="0"/>
    <n v="0"/>
    <n v="0"/>
    <m/>
    <m/>
    <m/>
    <m/>
    <n v="0"/>
    <m/>
    <m/>
    <n v="0"/>
    <m/>
    <m/>
    <m/>
    <m/>
    <m/>
    <m/>
    <n v="0"/>
    <n v="0"/>
  </r>
  <r>
    <x v="3"/>
    <x v="3"/>
    <s v="Developmental Research School"/>
    <m/>
    <n v="134097"/>
    <x v="0"/>
    <m/>
    <m/>
    <n v="15685691"/>
    <n v="16649439"/>
    <m/>
    <m/>
    <m/>
    <m/>
    <n v="0"/>
    <m/>
    <m/>
    <n v="0"/>
    <n v="15685691"/>
    <n v="16649439"/>
    <m/>
    <m/>
    <m/>
    <m/>
    <n v="0"/>
    <m/>
    <m/>
    <n v="0"/>
    <m/>
    <m/>
    <m/>
    <m/>
    <m/>
    <m/>
    <n v="15685691"/>
    <n v="16649439"/>
  </r>
  <r>
    <x v="3"/>
    <x v="7"/>
    <s v="Research centers/institutes"/>
    <m/>
    <n v="134097"/>
    <x v="0"/>
    <m/>
    <m/>
    <n v="396525"/>
    <n v="450000"/>
    <m/>
    <m/>
    <m/>
    <m/>
    <n v="0"/>
    <m/>
    <m/>
    <n v="0"/>
    <n v="396525"/>
    <n v="450000"/>
    <m/>
    <m/>
    <m/>
    <m/>
    <n v="0"/>
    <m/>
    <m/>
    <n v="0"/>
    <m/>
    <m/>
    <m/>
    <m/>
    <m/>
    <m/>
    <n v="396525"/>
    <n v="450000"/>
  </r>
  <r>
    <x v="3"/>
    <x v="0"/>
    <s v="University of Central Florida "/>
    <m/>
    <n v="132903"/>
    <x v="0"/>
    <n v="245572287"/>
    <n v="241959241"/>
    <m/>
    <m/>
    <m/>
    <m/>
    <n v="269288387.26999998"/>
    <n v="3968254.73"/>
    <n v="273256642"/>
    <n v="280942607"/>
    <n v="3614984.02"/>
    <n v="284557591.01999998"/>
    <n v="514860674.26999998"/>
    <n v="522901848"/>
    <m/>
    <m/>
    <m/>
    <m/>
    <n v="0"/>
    <m/>
    <m/>
    <n v="0"/>
    <m/>
    <m/>
    <m/>
    <m/>
    <m/>
    <m/>
    <n v="514860674.26999998"/>
    <n v="522901848"/>
  </r>
  <r>
    <x v="3"/>
    <x v="0"/>
    <s v="Student Financial Aid"/>
    <m/>
    <n v="132903"/>
    <x v="0"/>
    <m/>
    <m/>
    <n v="858405"/>
    <n v="858405"/>
    <m/>
    <m/>
    <m/>
    <m/>
    <n v="0"/>
    <m/>
    <m/>
    <n v="0"/>
    <n v="858405"/>
    <n v="858405"/>
    <m/>
    <m/>
    <m/>
    <m/>
    <n v="0"/>
    <m/>
    <m/>
    <n v="0"/>
    <m/>
    <m/>
    <m/>
    <m/>
    <m/>
    <m/>
    <n v="858405"/>
    <n v="858405"/>
  </r>
  <r>
    <x v="3"/>
    <x v="0"/>
    <s v="Risk Management/Casualty Insurance"/>
    <m/>
    <n v="132903"/>
    <x v="0"/>
    <m/>
    <m/>
    <n v="2576247"/>
    <n v="2576247"/>
    <m/>
    <m/>
    <m/>
    <m/>
    <n v="0"/>
    <m/>
    <m/>
    <n v="0"/>
    <n v="2576247"/>
    <n v="2576247"/>
    <m/>
    <m/>
    <m/>
    <m/>
    <n v="0"/>
    <m/>
    <m/>
    <n v="0"/>
    <m/>
    <m/>
    <m/>
    <m/>
    <m/>
    <m/>
    <n v="2576247"/>
    <n v="2576247"/>
  </r>
  <r>
    <x v="3"/>
    <x v="1"/>
    <s v="Medical School"/>
    <m/>
    <n v="132903"/>
    <x v="0"/>
    <m/>
    <m/>
    <m/>
    <m/>
    <m/>
    <m/>
    <m/>
    <m/>
    <n v="0"/>
    <m/>
    <m/>
    <n v="0"/>
    <n v="0"/>
    <n v="0"/>
    <m/>
    <m/>
    <m/>
    <m/>
    <n v="0"/>
    <m/>
    <m/>
    <n v="0"/>
    <n v="24547472"/>
    <n v="25757576"/>
    <n v="10547071"/>
    <m/>
    <n v="13508590"/>
    <m/>
    <n v="35094543"/>
    <n v="39266166"/>
  </r>
  <r>
    <x v="3"/>
    <x v="3"/>
    <s v="Community or public service units"/>
    <m/>
    <n v="132903"/>
    <x v="0"/>
    <m/>
    <m/>
    <m/>
    <m/>
    <m/>
    <m/>
    <m/>
    <m/>
    <n v="0"/>
    <m/>
    <m/>
    <n v="0"/>
    <n v="0"/>
    <n v="0"/>
    <m/>
    <m/>
    <m/>
    <m/>
    <n v="0"/>
    <m/>
    <m/>
    <n v="0"/>
    <m/>
    <m/>
    <m/>
    <m/>
    <m/>
    <m/>
    <n v="0"/>
    <n v="0"/>
  </r>
  <r>
    <x v="3"/>
    <x v="3"/>
    <s v="Autism Program"/>
    <m/>
    <n v="132903"/>
    <x v="0"/>
    <m/>
    <m/>
    <n v="1126462"/>
    <n v="1351754"/>
    <m/>
    <m/>
    <m/>
    <m/>
    <n v="0"/>
    <m/>
    <m/>
    <n v="0"/>
    <n v="1126462"/>
    <n v="1351754"/>
    <m/>
    <m/>
    <m/>
    <m/>
    <n v="0"/>
    <m/>
    <m/>
    <n v="0"/>
    <m/>
    <m/>
    <m/>
    <m/>
    <m/>
    <m/>
    <n v="1126462"/>
    <n v="1351754"/>
  </r>
  <r>
    <x v="3"/>
    <x v="7"/>
    <s v="Research centers/institutes"/>
    <m/>
    <n v="132903"/>
    <x v="0"/>
    <m/>
    <m/>
    <m/>
    <m/>
    <m/>
    <m/>
    <m/>
    <m/>
    <n v="0"/>
    <m/>
    <m/>
    <n v="0"/>
    <n v="0"/>
    <n v="0"/>
    <m/>
    <m/>
    <m/>
    <m/>
    <n v="0"/>
    <m/>
    <m/>
    <n v="0"/>
    <m/>
    <m/>
    <m/>
    <m/>
    <m/>
    <m/>
    <n v="0"/>
    <n v="0"/>
  </r>
  <r>
    <x v="3"/>
    <x v="0"/>
    <s v="University of Florida"/>
    <m/>
    <n v="134130"/>
    <x v="0"/>
    <n v="339022187"/>
    <n v="326673649"/>
    <m/>
    <m/>
    <m/>
    <m/>
    <n v="322386720.57999998"/>
    <n v="3578573.42"/>
    <n v="325965294"/>
    <n v="330415989"/>
    <n v="3586792.78"/>
    <n v="334002781.77999997"/>
    <n v="661408907.57999992"/>
    <n v="657089638"/>
    <m/>
    <m/>
    <m/>
    <m/>
    <n v="0"/>
    <m/>
    <m/>
    <n v="0"/>
    <m/>
    <m/>
    <m/>
    <m/>
    <m/>
    <m/>
    <n v="661408907.57999992"/>
    <n v="657089638"/>
  </r>
  <r>
    <x v="3"/>
    <x v="0"/>
    <s v="Student Financial Aid"/>
    <m/>
    <n v="134130"/>
    <x v="0"/>
    <m/>
    <m/>
    <n v="1737381"/>
    <n v="1737381"/>
    <m/>
    <m/>
    <m/>
    <m/>
    <n v="0"/>
    <m/>
    <m/>
    <n v="0"/>
    <n v="1737381"/>
    <n v="1737381"/>
    <m/>
    <m/>
    <m/>
    <m/>
    <n v="0"/>
    <m/>
    <m/>
    <n v="0"/>
    <m/>
    <m/>
    <m/>
    <m/>
    <m/>
    <m/>
    <n v="1737381"/>
    <n v="1737381"/>
  </r>
  <r>
    <x v="3"/>
    <x v="0"/>
    <s v="Risk Management/Casualty Insurance"/>
    <m/>
    <n v="134130"/>
    <x v="0"/>
    <m/>
    <m/>
    <n v="4607591"/>
    <n v="2851393"/>
    <m/>
    <m/>
    <m/>
    <m/>
    <n v="0"/>
    <m/>
    <m/>
    <n v="0"/>
    <n v="4607591"/>
    <n v="2851393"/>
    <m/>
    <m/>
    <m/>
    <m/>
    <n v="0"/>
    <m/>
    <m/>
    <n v="0"/>
    <n v="1239867"/>
    <n v="1239867"/>
    <m/>
    <m/>
    <m/>
    <m/>
    <n v="5847458"/>
    <n v="4091260"/>
  </r>
  <r>
    <x v="3"/>
    <x v="1"/>
    <s v="Medical School"/>
    <m/>
    <n v="134130"/>
    <x v="0"/>
    <m/>
    <m/>
    <m/>
    <m/>
    <m/>
    <m/>
    <m/>
    <m/>
    <n v="0"/>
    <m/>
    <m/>
    <n v="0"/>
    <n v="0"/>
    <n v="0"/>
    <m/>
    <m/>
    <m/>
    <m/>
    <n v="0"/>
    <m/>
    <m/>
    <n v="0"/>
    <n v="107979655"/>
    <n v="109448568"/>
    <n v="38463434"/>
    <m/>
    <n v="38463434"/>
    <m/>
    <n v="146443089"/>
    <n v="147912002"/>
  </r>
  <r>
    <x v="3"/>
    <x v="1"/>
    <s v="College of Medicine Autism Program"/>
    <m/>
    <n v="134130"/>
    <x v="0"/>
    <m/>
    <m/>
    <m/>
    <m/>
    <m/>
    <m/>
    <m/>
    <m/>
    <n v="0"/>
    <m/>
    <m/>
    <n v="0"/>
    <n v="0"/>
    <n v="0"/>
    <m/>
    <m/>
    <m/>
    <m/>
    <n v="0"/>
    <m/>
    <m/>
    <n v="0"/>
    <n v="912177"/>
    <n v="1094613"/>
    <m/>
    <m/>
    <m/>
    <m/>
    <n v="912177"/>
    <n v="1094613"/>
  </r>
  <r>
    <x v="3"/>
    <x v="1"/>
    <s v="Jacksonville Autism Program"/>
    <m/>
    <n v="134130"/>
    <x v="0"/>
    <m/>
    <m/>
    <m/>
    <m/>
    <m/>
    <m/>
    <m/>
    <m/>
    <n v="0"/>
    <m/>
    <m/>
    <n v="0"/>
    <n v="0"/>
    <n v="0"/>
    <m/>
    <m/>
    <m/>
    <m/>
    <n v="0"/>
    <m/>
    <m/>
    <n v="0"/>
    <n v="950586"/>
    <n v="1140703"/>
    <m/>
    <m/>
    <m/>
    <m/>
    <n v="950586"/>
    <n v="1140703"/>
  </r>
  <r>
    <x v="3"/>
    <x v="3"/>
    <s v="Community or public service units"/>
    <m/>
    <n v="134130"/>
    <x v="0"/>
    <m/>
    <m/>
    <m/>
    <m/>
    <m/>
    <m/>
    <m/>
    <m/>
    <n v="0"/>
    <m/>
    <m/>
    <n v="0"/>
    <n v="0"/>
    <n v="0"/>
    <m/>
    <m/>
    <m/>
    <m/>
    <n v="0"/>
    <m/>
    <m/>
    <n v="0"/>
    <m/>
    <m/>
    <m/>
    <m/>
    <m/>
    <m/>
    <n v="0"/>
    <n v="0"/>
  </r>
  <r>
    <x v="3"/>
    <x v="3"/>
    <s v="Developmental Research School"/>
    <m/>
    <n v="134130"/>
    <x v="0"/>
    <m/>
    <m/>
    <n v="7879690"/>
    <n v="8417898"/>
    <m/>
    <m/>
    <m/>
    <m/>
    <n v="0"/>
    <m/>
    <m/>
    <n v="0"/>
    <n v="7879690"/>
    <n v="8417898"/>
    <m/>
    <m/>
    <m/>
    <m/>
    <n v="0"/>
    <m/>
    <m/>
    <n v="0"/>
    <m/>
    <m/>
    <m/>
    <m/>
    <m/>
    <m/>
    <n v="7879690"/>
    <n v="8417898"/>
  </r>
  <r>
    <x v="3"/>
    <x v="5"/>
    <s v="Agricultural cooperative extension"/>
    <m/>
    <n v="134130"/>
    <x v="0"/>
    <m/>
    <m/>
    <n v="143135893"/>
    <n v="151250141"/>
    <m/>
    <m/>
    <m/>
    <m/>
    <n v="0"/>
    <m/>
    <m/>
    <n v="0"/>
    <n v="143135893"/>
    <n v="151250141"/>
    <m/>
    <m/>
    <m/>
    <m/>
    <n v="0"/>
    <m/>
    <m/>
    <n v="0"/>
    <m/>
    <m/>
    <m/>
    <m/>
    <m/>
    <m/>
    <n v="143135893"/>
    <n v="151250141"/>
  </r>
  <r>
    <x v="3"/>
    <x v="7"/>
    <s v="Research centers/institutes"/>
    <m/>
    <n v="134130"/>
    <x v="0"/>
    <m/>
    <m/>
    <n v="396525"/>
    <n v="450000"/>
    <m/>
    <m/>
    <m/>
    <m/>
    <n v="0"/>
    <m/>
    <m/>
    <n v="0"/>
    <n v="396525"/>
    <n v="450000"/>
    <m/>
    <m/>
    <m/>
    <m/>
    <n v="0"/>
    <m/>
    <m/>
    <n v="0"/>
    <n v="396526"/>
    <n v="450000"/>
    <m/>
    <m/>
    <m/>
    <m/>
    <n v="793051"/>
    <n v="900000"/>
  </r>
  <r>
    <x v="3"/>
    <x v="0"/>
    <s v="University of South Florida "/>
    <m/>
    <n v="137351"/>
    <x v="0"/>
    <n v="248920504"/>
    <n v="243694415"/>
    <m/>
    <m/>
    <m/>
    <m/>
    <n v="212085405"/>
    <n v="3178067.62"/>
    <n v="215263472.62"/>
    <n v="219393488"/>
    <n v="2758404.12"/>
    <n v="222151892.12"/>
    <n v="461005909"/>
    <n v="463087903"/>
    <m/>
    <m/>
    <m/>
    <m/>
    <n v="0"/>
    <m/>
    <m/>
    <n v="0"/>
    <m/>
    <m/>
    <m/>
    <m/>
    <m/>
    <m/>
    <n v="461005909"/>
    <n v="463087903"/>
  </r>
  <r>
    <x v="3"/>
    <x v="0"/>
    <s v="Student Financial Aid"/>
    <m/>
    <n v="137351"/>
    <x v="0"/>
    <m/>
    <m/>
    <n v="801368"/>
    <n v="801368"/>
    <m/>
    <m/>
    <m/>
    <m/>
    <n v="0"/>
    <m/>
    <m/>
    <n v="0"/>
    <n v="801368"/>
    <n v="801368"/>
    <m/>
    <m/>
    <m/>
    <m/>
    <n v="0"/>
    <m/>
    <m/>
    <n v="0"/>
    <m/>
    <m/>
    <m/>
    <m/>
    <m/>
    <m/>
    <n v="801368"/>
    <n v="801368"/>
  </r>
  <r>
    <x v="3"/>
    <x v="0"/>
    <s v="Risk Management/Casualty Insurance"/>
    <m/>
    <n v="137351"/>
    <x v="0"/>
    <m/>
    <m/>
    <n v="2654408"/>
    <n v="2654408"/>
    <m/>
    <m/>
    <m/>
    <m/>
    <n v="0"/>
    <m/>
    <m/>
    <n v="0"/>
    <n v="2654408"/>
    <n v="2654408"/>
    <m/>
    <m/>
    <m/>
    <m/>
    <n v="0"/>
    <m/>
    <m/>
    <n v="0"/>
    <n v="260001"/>
    <n v="260001"/>
    <m/>
    <m/>
    <m/>
    <m/>
    <n v="2914409"/>
    <n v="2914409"/>
  </r>
  <r>
    <x v="3"/>
    <x v="1"/>
    <s v="Medical School"/>
    <m/>
    <n v="137351"/>
    <x v="0"/>
    <m/>
    <m/>
    <m/>
    <m/>
    <m/>
    <m/>
    <m/>
    <m/>
    <n v="0"/>
    <m/>
    <m/>
    <n v="0"/>
    <n v="0"/>
    <n v="0"/>
    <m/>
    <m/>
    <m/>
    <m/>
    <n v="0"/>
    <m/>
    <m/>
    <n v="0"/>
    <n v="72678697"/>
    <n v="74396898"/>
    <n v="55024463"/>
    <m/>
    <n v="56731164"/>
    <m/>
    <n v="127703160"/>
    <n v="131128062"/>
  </r>
  <r>
    <x v="3"/>
    <x v="7"/>
    <s v="Research centers/institutes"/>
    <m/>
    <n v="137351"/>
    <x v="0"/>
    <m/>
    <m/>
    <n v="396525"/>
    <n v="405000"/>
    <m/>
    <m/>
    <m/>
    <m/>
    <n v="0"/>
    <m/>
    <m/>
    <n v="0"/>
    <n v="396525"/>
    <n v="405000"/>
    <m/>
    <m/>
    <m/>
    <m/>
    <n v="0"/>
    <m/>
    <m/>
    <n v="0"/>
    <m/>
    <m/>
    <m/>
    <m/>
    <m/>
    <m/>
    <n v="396525"/>
    <n v="405000"/>
  </r>
  <r>
    <x v="3"/>
    <x v="7"/>
    <s v="Phosphate Research"/>
    <m/>
    <n v="137351"/>
    <x v="0"/>
    <m/>
    <m/>
    <n v="0"/>
    <n v="0"/>
    <m/>
    <m/>
    <m/>
    <m/>
    <n v="0"/>
    <m/>
    <m/>
    <n v="0"/>
    <n v="0"/>
    <n v="0"/>
    <m/>
    <m/>
    <m/>
    <m/>
    <n v="0"/>
    <m/>
    <m/>
    <n v="0"/>
    <m/>
    <m/>
    <m/>
    <m/>
    <m/>
    <m/>
    <n v="0"/>
    <n v="0"/>
  </r>
  <r>
    <x v="3"/>
    <x v="8"/>
    <s v="Special line items for education operations"/>
    <m/>
    <n v="137351"/>
    <x v="0"/>
    <m/>
    <m/>
    <m/>
    <m/>
    <m/>
    <m/>
    <m/>
    <m/>
    <n v="0"/>
    <m/>
    <m/>
    <n v="0"/>
    <n v="0"/>
    <n v="0"/>
    <m/>
    <m/>
    <m/>
    <m/>
    <n v="0"/>
    <m/>
    <m/>
    <n v="0"/>
    <m/>
    <m/>
    <m/>
    <m/>
    <m/>
    <m/>
    <n v="0"/>
    <n v="0"/>
  </r>
  <r>
    <x v="3"/>
    <x v="8"/>
    <s v="Mental Health Institute Autism Program"/>
    <m/>
    <n v="137351"/>
    <x v="0"/>
    <m/>
    <m/>
    <m/>
    <m/>
    <m/>
    <m/>
    <m/>
    <m/>
    <n v="0"/>
    <m/>
    <m/>
    <n v="0"/>
    <n v="0"/>
    <n v="0"/>
    <m/>
    <m/>
    <m/>
    <m/>
    <n v="0"/>
    <m/>
    <m/>
    <n v="0"/>
    <n v="1315410"/>
    <n v="1578492"/>
    <m/>
    <m/>
    <m/>
    <m/>
    <n v="1315410"/>
    <n v="1578492"/>
  </r>
  <r>
    <x v="3"/>
    <x v="0"/>
    <s v="Florida Atlantic University "/>
    <s v="Reclassified: Met the criteria for Four-Year 1 in 2012-13, 2013-14, and 2014-15."/>
    <n v="133669"/>
    <x v="0"/>
    <n v="143962152"/>
    <n v="140112087"/>
    <m/>
    <m/>
    <m/>
    <m/>
    <n v="124695241.97"/>
    <n v="1918098.03"/>
    <n v="126613340"/>
    <n v="127377784"/>
    <n v="1767373.71"/>
    <n v="129145157.70999999"/>
    <n v="268657393.97000003"/>
    <n v="267489871"/>
    <m/>
    <m/>
    <m/>
    <m/>
    <n v="0"/>
    <m/>
    <m/>
    <n v="0"/>
    <m/>
    <m/>
    <m/>
    <m/>
    <m/>
    <m/>
    <n v="268657393.97000003"/>
    <n v="267489871"/>
  </r>
  <r>
    <x v="3"/>
    <x v="8"/>
    <s v="Student Financial Aid"/>
    <m/>
    <n v="133669"/>
    <x v="0"/>
    <m/>
    <m/>
    <n v="399658"/>
    <n v="399658"/>
    <m/>
    <m/>
    <m/>
    <m/>
    <n v="0"/>
    <m/>
    <m/>
    <n v="0"/>
    <n v="399658"/>
    <n v="399658"/>
    <m/>
    <m/>
    <m/>
    <m/>
    <n v="0"/>
    <m/>
    <m/>
    <n v="0"/>
    <m/>
    <m/>
    <m/>
    <m/>
    <m/>
    <m/>
    <n v="399658"/>
    <n v="399658"/>
  </r>
  <r>
    <x v="3"/>
    <x v="8"/>
    <s v="Risk Management/Casualty Insurance"/>
    <m/>
    <n v="133669"/>
    <x v="0"/>
    <m/>
    <m/>
    <n v="1368699"/>
    <n v="1368699"/>
    <m/>
    <m/>
    <m/>
    <m/>
    <n v="0"/>
    <m/>
    <m/>
    <n v="0"/>
    <n v="1368699"/>
    <n v="1368699"/>
    <m/>
    <m/>
    <m/>
    <m/>
    <n v="0"/>
    <m/>
    <m/>
    <n v="0"/>
    <m/>
    <m/>
    <m/>
    <m/>
    <m/>
    <m/>
    <n v="1368699"/>
    <n v="1368699"/>
  </r>
  <r>
    <x v="3"/>
    <x v="1"/>
    <s v="Medical School"/>
    <m/>
    <n v="133669"/>
    <x v="0"/>
    <m/>
    <m/>
    <m/>
    <m/>
    <m/>
    <m/>
    <m/>
    <m/>
    <n v="0"/>
    <m/>
    <m/>
    <n v="0"/>
    <n v="0"/>
    <n v="0"/>
    <m/>
    <m/>
    <m/>
    <m/>
    <n v="0"/>
    <m/>
    <m/>
    <n v="0"/>
    <n v="14697669"/>
    <n v="14344890"/>
    <n v="6158280"/>
    <m/>
    <n v="8238505"/>
    <m/>
    <n v="20855949"/>
    <n v="22583395"/>
  </r>
  <r>
    <x v="3"/>
    <x v="8"/>
    <s v="Special line items for education operations"/>
    <m/>
    <n v="133669"/>
    <x v="0"/>
    <m/>
    <m/>
    <m/>
    <m/>
    <m/>
    <m/>
    <m/>
    <m/>
    <n v="0"/>
    <m/>
    <m/>
    <n v="0"/>
    <n v="0"/>
    <n v="0"/>
    <m/>
    <m/>
    <m/>
    <m/>
    <n v="0"/>
    <m/>
    <m/>
    <n v="0"/>
    <m/>
    <m/>
    <m/>
    <m/>
    <m/>
    <m/>
    <n v="0"/>
    <n v="0"/>
  </r>
  <r>
    <x v="3"/>
    <x v="8"/>
    <s v="Autism Program"/>
    <m/>
    <n v="133669"/>
    <x v="0"/>
    <m/>
    <m/>
    <n v="713387"/>
    <n v="856065"/>
    <m/>
    <m/>
    <m/>
    <m/>
    <n v="0"/>
    <m/>
    <m/>
    <n v="0"/>
    <n v="713387"/>
    <n v="856065"/>
    <m/>
    <m/>
    <m/>
    <m/>
    <n v="0"/>
    <m/>
    <m/>
    <n v="0"/>
    <m/>
    <n v="856065"/>
    <m/>
    <m/>
    <m/>
    <m/>
    <n v="713387"/>
    <n v="1712130"/>
  </r>
  <r>
    <x v="3"/>
    <x v="3"/>
    <s v="Community or public service units"/>
    <m/>
    <n v="133669"/>
    <x v="0"/>
    <m/>
    <m/>
    <m/>
    <m/>
    <m/>
    <m/>
    <m/>
    <m/>
    <n v="0"/>
    <m/>
    <m/>
    <n v="0"/>
    <n v="0"/>
    <n v="0"/>
    <m/>
    <m/>
    <m/>
    <m/>
    <n v="0"/>
    <m/>
    <m/>
    <n v="0"/>
    <m/>
    <m/>
    <m/>
    <m/>
    <m/>
    <m/>
    <n v="0"/>
    <n v="0"/>
  </r>
  <r>
    <x v="3"/>
    <x v="3"/>
    <s v="Developmental Research School"/>
    <m/>
    <n v="133669"/>
    <x v="0"/>
    <m/>
    <m/>
    <n v="15171391"/>
    <n v="17147399"/>
    <m/>
    <m/>
    <m/>
    <m/>
    <n v="0"/>
    <m/>
    <m/>
    <n v="0"/>
    <n v="15171391"/>
    <n v="17147399"/>
    <m/>
    <m/>
    <m/>
    <m/>
    <n v="0"/>
    <m/>
    <m/>
    <n v="0"/>
    <m/>
    <m/>
    <m/>
    <m/>
    <m/>
    <m/>
    <n v="15171391"/>
    <n v="17147399"/>
  </r>
  <r>
    <x v="3"/>
    <x v="7"/>
    <s v="Research centers/institutes"/>
    <m/>
    <n v="133669"/>
    <x v="0"/>
    <m/>
    <m/>
    <m/>
    <m/>
    <m/>
    <m/>
    <m/>
    <m/>
    <n v="0"/>
    <m/>
    <m/>
    <n v="0"/>
    <n v="0"/>
    <n v="0"/>
    <m/>
    <m/>
    <m/>
    <m/>
    <n v="0"/>
    <m/>
    <m/>
    <n v="0"/>
    <m/>
    <m/>
    <m/>
    <m/>
    <m/>
    <m/>
    <n v="0"/>
    <n v="0"/>
  </r>
  <r>
    <x v="3"/>
    <x v="0"/>
    <s v="Florida Agricultural &amp; Mechanical University "/>
    <m/>
    <n v="133650"/>
    <x v="2"/>
    <n v="97742797"/>
    <n v="99651738"/>
    <m/>
    <m/>
    <m/>
    <m/>
    <n v="72129166.939999998"/>
    <n v="874618.06"/>
    <n v="73003785"/>
    <n v="71542644"/>
    <n v="904288.14"/>
    <n v="72446932.140000001"/>
    <n v="169871963.94"/>
    <n v="171194382"/>
    <m/>
    <m/>
    <m/>
    <m/>
    <n v="0"/>
    <m/>
    <m/>
    <n v="0"/>
    <m/>
    <m/>
    <m/>
    <m/>
    <m/>
    <m/>
    <n v="169871963.94"/>
    <n v="171194382"/>
  </r>
  <r>
    <x v="3"/>
    <x v="0"/>
    <s v="Student Financial Aid"/>
    <m/>
    <n v="133650"/>
    <x v="2"/>
    <m/>
    <m/>
    <n v="624417"/>
    <n v="624417"/>
    <m/>
    <m/>
    <m/>
    <m/>
    <n v="0"/>
    <m/>
    <m/>
    <n v="0"/>
    <n v="624417"/>
    <n v="624417"/>
    <m/>
    <m/>
    <m/>
    <m/>
    <n v="0"/>
    <m/>
    <m/>
    <n v="0"/>
    <m/>
    <m/>
    <m/>
    <m/>
    <m/>
    <m/>
    <n v="624417"/>
    <n v="624417"/>
  </r>
  <r>
    <x v="3"/>
    <x v="0"/>
    <s v="Risk Management/Casualty Insurance"/>
    <m/>
    <n v="133650"/>
    <x v="2"/>
    <m/>
    <m/>
    <n v="1265683"/>
    <n v="1265683"/>
    <m/>
    <m/>
    <m/>
    <m/>
    <n v="0"/>
    <m/>
    <m/>
    <n v="0"/>
    <n v="1265683"/>
    <n v="1265683"/>
    <m/>
    <m/>
    <m/>
    <m/>
    <n v="0"/>
    <m/>
    <m/>
    <n v="0"/>
    <m/>
    <m/>
    <m/>
    <m/>
    <m/>
    <m/>
    <n v="1265683"/>
    <n v="1265683"/>
  </r>
  <r>
    <x v="3"/>
    <x v="3"/>
    <s v="Community or public service units"/>
    <m/>
    <n v="133650"/>
    <x v="2"/>
    <m/>
    <m/>
    <m/>
    <m/>
    <m/>
    <m/>
    <m/>
    <m/>
    <n v="0"/>
    <m/>
    <m/>
    <n v="0"/>
    <n v="0"/>
    <n v="0"/>
    <m/>
    <m/>
    <m/>
    <m/>
    <n v="0"/>
    <m/>
    <m/>
    <n v="0"/>
    <m/>
    <m/>
    <m/>
    <m/>
    <m/>
    <m/>
    <n v="0"/>
    <n v="0"/>
  </r>
  <r>
    <x v="3"/>
    <x v="3"/>
    <s v="Developmental Research School"/>
    <m/>
    <n v="133650"/>
    <x v="2"/>
    <m/>
    <m/>
    <n v="3450190"/>
    <n v="3673844"/>
    <m/>
    <m/>
    <m/>
    <m/>
    <n v="0"/>
    <m/>
    <m/>
    <n v="0"/>
    <n v="3450190"/>
    <n v="3673844"/>
    <m/>
    <m/>
    <m/>
    <m/>
    <n v="0"/>
    <m/>
    <m/>
    <n v="0"/>
    <m/>
    <m/>
    <m/>
    <m/>
    <m/>
    <m/>
    <n v="3450190"/>
    <n v="3673844"/>
  </r>
  <r>
    <x v="3"/>
    <x v="0"/>
    <s v="University of North Florida"/>
    <m/>
    <n v="136172"/>
    <x v="2"/>
    <n v="79652233"/>
    <n v="79613390"/>
    <m/>
    <m/>
    <m/>
    <m/>
    <n v="70017103.109999999"/>
    <n v="1086777.8899999999"/>
    <n v="71103881"/>
    <n v="69319907"/>
    <n v="1019221.65"/>
    <n v="70339128.650000006"/>
    <n v="149669336.11000001"/>
    <n v="148933297"/>
    <m/>
    <m/>
    <m/>
    <m/>
    <n v="0"/>
    <m/>
    <m/>
    <n v="0"/>
    <m/>
    <m/>
    <m/>
    <m/>
    <m/>
    <m/>
    <n v="149669336.11000001"/>
    <n v="148933297"/>
  </r>
  <r>
    <x v="3"/>
    <x v="0"/>
    <s v="Student Financial Aid"/>
    <m/>
    <n v="136172"/>
    <x v="2"/>
    <m/>
    <m/>
    <n v="200570"/>
    <n v="200570"/>
    <m/>
    <m/>
    <m/>
    <m/>
    <n v="0"/>
    <m/>
    <m/>
    <n v="0"/>
    <n v="200570"/>
    <n v="200570"/>
    <m/>
    <m/>
    <m/>
    <m/>
    <n v="0"/>
    <m/>
    <m/>
    <n v="0"/>
    <m/>
    <m/>
    <m/>
    <m/>
    <m/>
    <m/>
    <n v="200570"/>
    <n v="200570"/>
  </r>
  <r>
    <x v="3"/>
    <x v="0"/>
    <s v="Risk Management/Casualty Insurance"/>
    <m/>
    <n v="136172"/>
    <x v="2"/>
    <m/>
    <m/>
    <n v="1193458"/>
    <n v="1193458"/>
    <m/>
    <m/>
    <m/>
    <m/>
    <n v="0"/>
    <m/>
    <m/>
    <n v="0"/>
    <n v="1193458"/>
    <n v="1193458"/>
    <m/>
    <m/>
    <m/>
    <m/>
    <n v="0"/>
    <m/>
    <m/>
    <n v="0"/>
    <m/>
    <m/>
    <m/>
    <m/>
    <m/>
    <m/>
    <n v="1193458"/>
    <n v="1193458"/>
  </r>
  <r>
    <x v="3"/>
    <x v="0"/>
    <s v="University of West Florida"/>
    <m/>
    <n v="138354"/>
    <x v="2"/>
    <n v="70323717"/>
    <n v="81300593"/>
    <m/>
    <m/>
    <m/>
    <m/>
    <n v="53439791.240000002"/>
    <n v="818330.76"/>
    <n v="54258122"/>
    <n v="59749269"/>
    <n v="607195.88"/>
    <n v="60356464.880000003"/>
    <n v="123763508.24000001"/>
    <n v="141049862"/>
    <m/>
    <m/>
    <m/>
    <m/>
    <n v="0"/>
    <m/>
    <m/>
    <n v="0"/>
    <m/>
    <m/>
    <m/>
    <m/>
    <m/>
    <m/>
    <n v="123763508.24000001"/>
    <n v="141049862"/>
  </r>
  <r>
    <x v="3"/>
    <x v="0"/>
    <s v="Student Financial Aid"/>
    <m/>
    <n v="138354"/>
    <x v="2"/>
    <m/>
    <m/>
    <n v="157766"/>
    <n v="157766"/>
    <m/>
    <m/>
    <m/>
    <m/>
    <n v="0"/>
    <m/>
    <m/>
    <n v="0"/>
    <n v="157766"/>
    <n v="157766"/>
    <m/>
    <m/>
    <m/>
    <m/>
    <n v="0"/>
    <m/>
    <m/>
    <n v="0"/>
    <m/>
    <m/>
    <m/>
    <m/>
    <m/>
    <m/>
    <n v="157766"/>
    <n v="157766"/>
  </r>
  <r>
    <x v="3"/>
    <x v="0"/>
    <s v="Risk Management/Casualty Insurance"/>
    <m/>
    <n v="138354"/>
    <x v="2"/>
    <m/>
    <m/>
    <n v="521250"/>
    <n v="521250"/>
    <m/>
    <m/>
    <m/>
    <m/>
    <n v="0"/>
    <m/>
    <m/>
    <n v="0"/>
    <n v="521250"/>
    <n v="521250"/>
    <m/>
    <m/>
    <m/>
    <m/>
    <n v="0"/>
    <m/>
    <m/>
    <n v="0"/>
    <m/>
    <m/>
    <m/>
    <m/>
    <m/>
    <m/>
    <n v="521250"/>
    <n v="521250"/>
  </r>
  <r>
    <x v="3"/>
    <x v="0"/>
    <s v="Florida Gulf Coast University"/>
    <m/>
    <n v="433660"/>
    <x v="3"/>
    <n v="58848008"/>
    <n v="55441539"/>
    <m/>
    <m/>
    <m/>
    <m/>
    <n v="61870318.740000002"/>
    <n v="933070.26"/>
    <n v="62803389"/>
    <n v="62047721"/>
    <n v="1331493.81"/>
    <n v="63379214.810000002"/>
    <n v="120718326.74000001"/>
    <n v="117489260"/>
    <m/>
    <m/>
    <m/>
    <m/>
    <n v="0"/>
    <m/>
    <m/>
    <n v="0"/>
    <m/>
    <m/>
    <m/>
    <m/>
    <m/>
    <m/>
    <n v="120718326.74000001"/>
    <n v="117489260"/>
  </r>
  <r>
    <x v="3"/>
    <x v="0"/>
    <s v="Student Financial Aid"/>
    <m/>
    <n v="433660"/>
    <x v="3"/>
    <m/>
    <m/>
    <n v="98073"/>
    <n v="98073"/>
    <m/>
    <m/>
    <m/>
    <m/>
    <n v="0"/>
    <m/>
    <m/>
    <n v="0"/>
    <n v="98073"/>
    <n v="98073"/>
    <m/>
    <m/>
    <m/>
    <m/>
    <n v="0"/>
    <m/>
    <m/>
    <n v="0"/>
    <m/>
    <m/>
    <m/>
    <m/>
    <m/>
    <m/>
    <n v="98073"/>
    <n v="98073"/>
  </r>
  <r>
    <x v="3"/>
    <x v="0"/>
    <s v="Risk Management/Casualty Insurance"/>
    <m/>
    <n v="433660"/>
    <x v="3"/>
    <m/>
    <m/>
    <n v="544711"/>
    <n v="544711"/>
    <m/>
    <m/>
    <m/>
    <m/>
    <n v="0"/>
    <m/>
    <m/>
    <n v="0"/>
    <n v="544711"/>
    <n v="544711"/>
    <m/>
    <m/>
    <m/>
    <m/>
    <n v="0"/>
    <m/>
    <m/>
    <n v="0"/>
    <m/>
    <m/>
    <m/>
    <m/>
    <m/>
    <m/>
    <n v="544711"/>
    <n v="544711"/>
  </r>
  <r>
    <x v="3"/>
    <x v="0"/>
    <s v="New College of Florida"/>
    <m/>
    <n v="262129"/>
    <x v="5"/>
    <n v="17527157"/>
    <n v="15849884"/>
    <m/>
    <m/>
    <m/>
    <m/>
    <n v="6223311.2199999997"/>
    <n v="67111.78"/>
    <n v="6290423"/>
    <n v="6061646.6299999999"/>
    <n v="71562"/>
    <n v="6133208.6299999999"/>
    <n v="23750468.219999999"/>
    <n v="21911530.629999999"/>
    <m/>
    <m/>
    <m/>
    <m/>
    <n v="0"/>
    <m/>
    <m/>
    <n v="0"/>
    <m/>
    <m/>
    <m/>
    <m/>
    <m/>
    <m/>
    <n v="23750468.219999999"/>
    <n v="21911530.629999999"/>
  </r>
  <r>
    <x v="3"/>
    <x v="0"/>
    <s v="Student Financial Aid"/>
    <m/>
    <n v="262129"/>
    <x v="5"/>
    <m/>
    <m/>
    <n v="204407"/>
    <n v="204407"/>
    <m/>
    <m/>
    <m/>
    <m/>
    <n v="0"/>
    <m/>
    <m/>
    <n v="0"/>
    <n v="204407"/>
    <n v="204407"/>
    <m/>
    <m/>
    <m/>
    <m/>
    <n v="0"/>
    <m/>
    <m/>
    <n v="0"/>
    <m/>
    <m/>
    <m/>
    <m/>
    <m/>
    <m/>
    <n v="204407"/>
    <n v="204407"/>
  </r>
  <r>
    <x v="3"/>
    <x v="0"/>
    <s v="Risk Management/Casualty Insurance"/>
    <m/>
    <n v="262129"/>
    <x v="5"/>
    <m/>
    <m/>
    <n v="227111"/>
    <n v="227111"/>
    <m/>
    <m/>
    <m/>
    <m/>
    <n v="0"/>
    <m/>
    <m/>
    <n v="0"/>
    <n v="227111"/>
    <n v="227111"/>
    <m/>
    <m/>
    <m/>
    <m/>
    <n v="0"/>
    <m/>
    <m/>
    <n v="0"/>
    <m/>
    <m/>
    <m/>
    <m/>
    <m/>
    <m/>
    <n v="227111"/>
    <n v="227111"/>
  </r>
  <r>
    <x v="3"/>
    <x v="0"/>
    <s v="Florida Polytech University"/>
    <m/>
    <s v="482936"/>
    <x v="13"/>
    <n v="28674187"/>
    <n v="30658090"/>
    <m/>
    <m/>
    <m/>
    <m/>
    <m/>
    <m/>
    <n v="0"/>
    <m/>
    <m/>
    <n v="0"/>
    <n v="28674187"/>
    <n v="30658090"/>
    <m/>
    <m/>
    <m/>
    <m/>
    <n v="0"/>
    <m/>
    <m/>
    <n v="0"/>
    <m/>
    <m/>
    <m/>
    <m/>
    <m/>
    <m/>
    <n v="28674187"/>
    <n v="30658090"/>
  </r>
  <r>
    <x v="3"/>
    <x v="8"/>
    <s v="Student Financial Aid"/>
    <m/>
    <s v="482936"/>
    <x v="13"/>
    <m/>
    <m/>
    <n v="50000"/>
    <n v="50000"/>
    <m/>
    <m/>
    <m/>
    <m/>
    <n v="0"/>
    <m/>
    <m/>
    <n v="0"/>
    <n v="50000"/>
    <n v="50000"/>
    <m/>
    <m/>
    <m/>
    <m/>
    <n v="0"/>
    <m/>
    <m/>
    <n v="0"/>
    <m/>
    <m/>
    <m/>
    <m/>
    <m/>
    <m/>
    <n v="50000"/>
    <n v="50000"/>
  </r>
  <r>
    <x v="3"/>
    <x v="8"/>
    <s v="Risk Management/Casualty Insurance"/>
    <m/>
    <s v="482936"/>
    <x v="13"/>
    <m/>
    <m/>
    <n v="17767"/>
    <n v="17767"/>
    <m/>
    <m/>
    <m/>
    <m/>
    <n v="0"/>
    <m/>
    <m/>
    <n v="0"/>
    <n v="17767"/>
    <n v="17767"/>
    <m/>
    <m/>
    <m/>
    <m/>
    <n v="0"/>
    <m/>
    <m/>
    <n v="0"/>
    <m/>
    <m/>
    <m/>
    <m/>
    <m/>
    <m/>
    <n v="17767"/>
    <n v="17767"/>
  </r>
  <r>
    <x v="3"/>
    <x v="7"/>
    <s v="Phosphate Research"/>
    <m/>
    <s v="482936"/>
    <x v="13"/>
    <m/>
    <m/>
    <n v="5060505"/>
    <n v="5075347"/>
    <m/>
    <m/>
    <m/>
    <m/>
    <n v="0"/>
    <m/>
    <m/>
    <n v="0"/>
    <n v="5060505"/>
    <n v="5075347"/>
    <m/>
    <m/>
    <m/>
    <m/>
    <n v="0"/>
    <m/>
    <m/>
    <n v="0"/>
    <m/>
    <m/>
    <m/>
    <m/>
    <m/>
    <m/>
    <n v="5060505"/>
    <n v="5075347"/>
  </r>
  <r>
    <x v="3"/>
    <x v="13"/>
    <s v="Education special purpose funds -all other"/>
    <m/>
    <m/>
    <x v="12"/>
    <m/>
    <m/>
    <m/>
    <m/>
    <m/>
    <m/>
    <m/>
    <m/>
    <n v="0"/>
    <m/>
    <m/>
    <n v="0"/>
    <n v="0"/>
    <n v="0"/>
    <m/>
    <m/>
    <m/>
    <m/>
    <n v="0"/>
    <m/>
    <m/>
    <n v="0"/>
    <m/>
    <m/>
    <m/>
    <m/>
    <m/>
    <m/>
    <n v="0"/>
    <n v="0"/>
  </r>
  <r>
    <x v="3"/>
    <x v="42"/>
    <s v="Community or public service units"/>
    <m/>
    <m/>
    <x v="12"/>
    <m/>
    <m/>
    <m/>
    <m/>
    <m/>
    <m/>
    <m/>
    <m/>
    <n v="0"/>
    <m/>
    <m/>
    <n v="0"/>
    <n v="0"/>
    <n v="0"/>
    <m/>
    <m/>
    <m/>
    <m/>
    <n v="0"/>
    <m/>
    <m/>
    <n v="0"/>
    <m/>
    <m/>
    <m/>
    <m/>
    <m/>
    <m/>
    <n v="0"/>
    <n v="0"/>
  </r>
  <r>
    <x v="3"/>
    <x v="11"/>
    <s v="Research centers/institutes"/>
    <m/>
    <m/>
    <x v="12"/>
    <m/>
    <m/>
    <m/>
    <m/>
    <m/>
    <m/>
    <m/>
    <m/>
    <n v="0"/>
    <m/>
    <m/>
    <n v="0"/>
    <n v="0"/>
    <n v="0"/>
    <m/>
    <m/>
    <m/>
    <m/>
    <n v="0"/>
    <m/>
    <m/>
    <n v="0"/>
    <m/>
    <m/>
    <m/>
    <m/>
    <m/>
    <m/>
    <n v="0"/>
    <n v="0"/>
  </r>
  <r>
    <x v="3"/>
    <x v="11"/>
    <s v="Moffitt Cancer Center"/>
    <m/>
    <m/>
    <x v="12"/>
    <m/>
    <m/>
    <n v="10576930"/>
    <n v="12576930"/>
    <m/>
    <m/>
    <m/>
    <m/>
    <n v="0"/>
    <m/>
    <m/>
    <n v="0"/>
    <n v="10576930"/>
    <n v="12576930"/>
    <m/>
    <m/>
    <m/>
    <m/>
    <n v="0"/>
    <m/>
    <m/>
    <n v="0"/>
    <m/>
    <m/>
    <m/>
    <m/>
    <m/>
    <m/>
    <n v="10576930"/>
    <n v="12576930"/>
  </r>
  <r>
    <x v="3"/>
    <x v="11"/>
    <s v="Institute for Human and Machine Cognition "/>
    <m/>
    <m/>
    <x v="12"/>
    <m/>
    <m/>
    <n v="2739184"/>
    <n v="3489184"/>
    <m/>
    <m/>
    <m/>
    <m/>
    <n v="0"/>
    <m/>
    <m/>
    <n v="0"/>
    <n v="2739184"/>
    <n v="3489184"/>
    <m/>
    <m/>
    <m/>
    <m/>
    <n v="0"/>
    <m/>
    <m/>
    <n v="0"/>
    <m/>
    <m/>
    <m/>
    <m/>
    <m/>
    <m/>
    <n v="2739184"/>
    <n v="3489184"/>
  </r>
  <r>
    <x v="3"/>
    <x v="12"/>
    <s v="Special line items for education operations"/>
    <m/>
    <m/>
    <x v="12"/>
    <m/>
    <m/>
    <m/>
    <m/>
    <m/>
    <m/>
    <m/>
    <m/>
    <n v="0"/>
    <m/>
    <m/>
    <n v="0"/>
    <n v="0"/>
    <n v="0"/>
    <m/>
    <m/>
    <m/>
    <m/>
    <n v="0"/>
    <m/>
    <m/>
    <n v="0"/>
    <m/>
    <m/>
    <m/>
    <m/>
    <m/>
    <m/>
    <n v="0"/>
    <n v="0"/>
  </r>
  <r>
    <x v="3"/>
    <x v="12"/>
    <s v="Distance Learning Consortium"/>
    <m/>
    <m/>
    <x v="12"/>
    <m/>
    <m/>
    <m/>
    <m/>
    <m/>
    <m/>
    <m/>
    <m/>
    <n v="0"/>
    <m/>
    <m/>
    <n v="0"/>
    <n v="0"/>
    <n v="0"/>
    <m/>
    <m/>
    <m/>
    <m/>
    <n v="0"/>
    <m/>
    <m/>
    <n v="0"/>
    <m/>
    <m/>
    <m/>
    <m/>
    <m/>
    <m/>
    <n v="0"/>
    <n v="0"/>
  </r>
  <r>
    <x v="3"/>
    <x v="14"/>
    <s v="Statewide System Operations"/>
    <m/>
    <m/>
    <x v="12"/>
    <m/>
    <m/>
    <m/>
    <m/>
    <m/>
    <m/>
    <m/>
    <m/>
    <n v="0"/>
    <m/>
    <m/>
    <n v="0"/>
    <n v="0"/>
    <n v="0"/>
    <m/>
    <m/>
    <m/>
    <m/>
    <n v="0"/>
    <m/>
    <m/>
    <n v="0"/>
    <m/>
    <m/>
    <m/>
    <m/>
    <m/>
    <m/>
    <n v="0"/>
    <n v="0"/>
  </r>
  <r>
    <x v="3"/>
    <x v="15"/>
    <s v="Colleges and universities"/>
    <m/>
    <m/>
    <x v="12"/>
    <m/>
    <m/>
    <m/>
    <m/>
    <m/>
    <m/>
    <m/>
    <m/>
    <n v="0"/>
    <m/>
    <m/>
    <n v="0"/>
    <n v="0"/>
    <n v="0"/>
    <m/>
    <m/>
    <m/>
    <m/>
    <n v="0"/>
    <m/>
    <m/>
    <n v="0"/>
    <m/>
    <m/>
    <m/>
    <m/>
    <m/>
    <m/>
    <n v="0"/>
    <n v="0"/>
  </r>
  <r>
    <x v="3"/>
    <x v="15"/>
    <s v="FL. Board of Governors"/>
    <m/>
    <m/>
    <x v="12"/>
    <m/>
    <m/>
    <m/>
    <m/>
    <m/>
    <m/>
    <m/>
    <m/>
    <n v="0"/>
    <m/>
    <m/>
    <n v="0"/>
    <n v="0"/>
    <n v="0"/>
    <n v="6550307"/>
    <n v="8209301"/>
    <m/>
    <m/>
    <n v="0"/>
    <m/>
    <m/>
    <n v="0"/>
    <m/>
    <m/>
    <m/>
    <m/>
    <m/>
    <m/>
    <n v="6550307"/>
    <n v="8209301"/>
  </r>
  <r>
    <x v="3"/>
    <x v="17"/>
    <s v="National or regional associations, compacts or consortia"/>
    <m/>
    <m/>
    <x v="12"/>
    <m/>
    <m/>
    <m/>
    <m/>
    <m/>
    <m/>
    <m/>
    <m/>
    <n v="0"/>
    <m/>
    <m/>
    <n v="0"/>
    <n v="0"/>
    <n v="0"/>
    <m/>
    <m/>
    <m/>
    <m/>
    <n v="0"/>
    <m/>
    <m/>
    <n v="0"/>
    <m/>
    <m/>
    <m/>
    <m/>
    <m/>
    <m/>
    <n v="0"/>
    <n v="0"/>
  </r>
  <r>
    <x v="3"/>
    <x v="17"/>
    <s v="SREB membership"/>
    <m/>
    <m/>
    <x v="12"/>
    <m/>
    <m/>
    <m/>
    <m/>
    <m/>
    <m/>
    <m/>
    <m/>
    <n v="0"/>
    <m/>
    <m/>
    <n v="0"/>
    <n v="0"/>
    <n v="0"/>
    <n v="193550"/>
    <n v="193550"/>
    <m/>
    <m/>
    <n v="0"/>
    <m/>
    <m/>
    <n v="0"/>
    <m/>
    <m/>
    <m/>
    <m/>
    <m/>
    <m/>
    <n v="193550"/>
    <n v="193550"/>
  </r>
  <r>
    <x v="3"/>
    <x v="18"/>
    <s v="Adm. of Statewide Student Aid Progs. (incldng centralized guaranteed student loans)"/>
    <m/>
    <m/>
    <x v="12"/>
    <m/>
    <m/>
    <m/>
    <m/>
    <m/>
    <m/>
    <m/>
    <m/>
    <n v="0"/>
    <m/>
    <m/>
    <n v="0"/>
    <n v="0"/>
    <n v="0"/>
    <m/>
    <m/>
    <m/>
    <m/>
    <n v="0"/>
    <m/>
    <m/>
    <n v="0"/>
    <m/>
    <m/>
    <m/>
    <m/>
    <m/>
    <m/>
    <n v="0"/>
    <n v="0"/>
  </r>
  <r>
    <x v="3"/>
    <x v="19"/>
    <s v="State Support to Private Colleges Other Than Student Aid"/>
    <m/>
    <m/>
    <x v="12"/>
    <m/>
    <m/>
    <m/>
    <m/>
    <m/>
    <m/>
    <m/>
    <m/>
    <n v="0"/>
    <m/>
    <m/>
    <n v="0"/>
    <n v="0"/>
    <n v="0"/>
    <m/>
    <m/>
    <m/>
    <m/>
    <n v="0"/>
    <m/>
    <m/>
    <n v="0"/>
    <m/>
    <m/>
    <m/>
    <m/>
    <m/>
    <m/>
    <n v="0"/>
    <n v="0"/>
  </r>
  <r>
    <x v="3"/>
    <x v="19"/>
    <s v="1st Accredited Medical School Support for Univ Miami"/>
    <m/>
    <m/>
    <x v="12"/>
    <m/>
    <m/>
    <m/>
    <m/>
    <m/>
    <m/>
    <m/>
    <m/>
    <n v="0"/>
    <m/>
    <m/>
    <n v="0"/>
    <n v="0"/>
    <n v="0"/>
    <m/>
    <m/>
    <m/>
    <m/>
    <n v="0"/>
    <m/>
    <m/>
    <n v="0"/>
    <m/>
    <m/>
    <m/>
    <m/>
    <m/>
    <m/>
    <n v="0"/>
    <n v="0"/>
  </r>
  <r>
    <x v="3"/>
    <x v="19"/>
    <s v="Regional Diabetes Center at Univ of Miami"/>
    <m/>
    <m/>
    <x v="12"/>
    <m/>
    <m/>
    <m/>
    <m/>
    <m/>
    <m/>
    <m/>
    <m/>
    <n v="0"/>
    <m/>
    <m/>
    <n v="0"/>
    <n v="0"/>
    <n v="0"/>
    <m/>
    <m/>
    <m/>
    <m/>
    <n v="0"/>
    <m/>
    <m/>
    <n v="0"/>
    <m/>
    <m/>
    <m/>
    <m/>
    <m/>
    <m/>
    <n v="0"/>
    <n v="0"/>
  </r>
  <r>
    <x v="3"/>
    <x v="19"/>
    <s v="Autism Program at Univ Miami"/>
    <m/>
    <m/>
    <x v="12"/>
    <m/>
    <m/>
    <m/>
    <m/>
    <m/>
    <m/>
    <m/>
    <m/>
    <n v="0"/>
    <m/>
    <m/>
    <n v="0"/>
    <n v="0"/>
    <n v="0"/>
    <n v="1425747"/>
    <n v="1710896"/>
    <m/>
    <m/>
    <n v="0"/>
    <m/>
    <m/>
    <n v="0"/>
    <m/>
    <m/>
    <m/>
    <m/>
    <m/>
    <m/>
    <n v="1425747"/>
    <n v="1710896"/>
  </r>
  <r>
    <x v="3"/>
    <x v="19"/>
    <s v="Nova SE Univ-health programs (osteopathy, pharmacy, optometry)"/>
    <m/>
    <m/>
    <x v="12"/>
    <m/>
    <m/>
    <m/>
    <m/>
    <m/>
    <m/>
    <m/>
    <m/>
    <n v="0"/>
    <m/>
    <m/>
    <n v="0"/>
    <n v="0"/>
    <n v="0"/>
    <m/>
    <m/>
    <m/>
    <m/>
    <n v="0"/>
    <m/>
    <m/>
    <n v="0"/>
    <m/>
    <m/>
    <m/>
    <m/>
    <m/>
    <m/>
    <n v="0"/>
    <n v="0"/>
  </r>
  <r>
    <x v="3"/>
    <x v="19"/>
    <s v="Bethune-Cookman"/>
    <m/>
    <m/>
    <x v="12"/>
    <m/>
    <m/>
    <m/>
    <m/>
    <m/>
    <m/>
    <m/>
    <m/>
    <n v="0"/>
    <m/>
    <m/>
    <n v="0"/>
    <n v="0"/>
    <n v="0"/>
    <n v="3960111"/>
    <n v="4474096"/>
    <m/>
    <m/>
    <n v="0"/>
    <m/>
    <m/>
    <n v="0"/>
    <m/>
    <m/>
    <m/>
    <m/>
    <m/>
    <m/>
    <n v="3960111"/>
    <n v="4474096"/>
  </r>
  <r>
    <x v="3"/>
    <x v="19"/>
    <s v="Edwards Waters College"/>
    <m/>
    <m/>
    <x v="12"/>
    <m/>
    <m/>
    <m/>
    <m/>
    <m/>
    <m/>
    <m/>
    <m/>
    <n v="0"/>
    <m/>
    <m/>
    <n v="0"/>
    <n v="0"/>
    <n v="0"/>
    <n v="2929526"/>
    <n v="3329526"/>
    <m/>
    <m/>
    <n v="0"/>
    <m/>
    <m/>
    <n v="0"/>
    <m/>
    <m/>
    <m/>
    <m/>
    <m/>
    <m/>
    <n v="2929526"/>
    <n v="3329526"/>
  </r>
  <r>
    <x v="3"/>
    <x v="19"/>
    <s v="Fl Memorial College"/>
    <m/>
    <m/>
    <x v="12"/>
    <m/>
    <m/>
    <m/>
    <m/>
    <m/>
    <m/>
    <m/>
    <m/>
    <n v="0"/>
    <m/>
    <m/>
    <n v="0"/>
    <n v="0"/>
    <n v="0"/>
    <n v="3532048"/>
    <n v="3932048"/>
    <m/>
    <m/>
    <n v="0"/>
    <m/>
    <m/>
    <n v="0"/>
    <m/>
    <m/>
    <m/>
    <m/>
    <m/>
    <m/>
    <n v="3532048"/>
    <n v="3932048"/>
  </r>
  <r>
    <x v="3"/>
    <x v="19"/>
    <s v="Library resources for HBCU's"/>
    <m/>
    <m/>
    <x v="12"/>
    <m/>
    <m/>
    <m/>
    <m/>
    <m/>
    <m/>
    <m/>
    <m/>
    <n v="0"/>
    <m/>
    <m/>
    <n v="0"/>
    <n v="0"/>
    <n v="0"/>
    <n v="519858"/>
    <n v="907844"/>
    <m/>
    <m/>
    <n v="0"/>
    <m/>
    <m/>
    <n v="0"/>
    <m/>
    <m/>
    <m/>
    <m/>
    <m/>
    <m/>
    <n v="519858"/>
    <n v="907844"/>
  </r>
  <r>
    <x v="3"/>
    <x v="20"/>
    <s v="Contract Education Programs"/>
    <m/>
    <m/>
    <x v="12"/>
    <m/>
    <m/>
    <m/>
    <m/>
    <m/>
    <m/>
    <m/>
    <m/>
    <n v="0"/>
    <m/>
    <m/>
    <n v="0"/>
    <n v="0"/>
    <n v="0"/>
    <m/>
    <m/>
    <m/>
    <m/>
    <n v="0"/>
    <m/>
    <m/>
    <n v="0"/>
    <m/>
    <m/>
    <m/>
    <m/>
    <m/>
    <m/>
    <n v="0"/>
    <n v="0"/>
  </r>
  <r>
    <x v="3"/>
    <x v="21"/>
    <s v="SREB contract program with private colleges"/>
    <m/>
    <m/>
    <x v="12"/>
    <m/>
    <m/>
    <m/>
    <m/>
    <m/>
    <m/>
    <m/>
    <m/>
    <n v="0"/>
    <m/>
    <m/>
    <n v="0"/>
    <n v="0"/>
    <n v="0"/>
    <m/>
    <m/>
    <m/>
    <m/>
    <n v="0"/>
    <m/>
    <m/>
    <n v="0"/>
    <m/>
    <m/>
    <m/>
    <m/>
    <m/>
    <m/>
    <n v="0"/>
    <n v="0"/>
  </r>
  <r>
    <x v="3"/>
    <x v="22"/>
    <s v="SREB contract program with public colleges"/>
    <m/>
    <m/>
    <x v="12"/>
    <m/>
    <m/>
    <m/>
    <m/>
    <m/>
    <m/>
    <m/>
    <m/>
    <n v="0"/>
    <m/>
    <m/>
    <n v="0"/>
    <n v="0"/>
    <n v="0"/>
    <m/>
    <m/>
    <m/>
    <m/>
    <n v="0"/>
    <m/>
    <m/>
    <n v="0"/>
    <m/>
    <m/>
    <m/>
    <m/>
    <m/>
    <m/>
    <n v="0"/>
    <n v="0"/>
  </r>
  <r>
    <x v="3"/>
    <x v="23"/>
    <s v="Other contract education programs"/>
    <m/>
    <m/>
    <x v="12"/>
    <m/>
    <m/>
    <m/>
    <m/>
    <m/>
    <m/>
    <m/>
    <m/>
    <n v="0"/>
    <m/>
    <m/>
    <n v="0"/>
    <n v="0"/>
    <n v="0"/>
    <m/>
    <m/>
    <m/>
    <m/>
    <n v="0"/>
    <m/>
    <m/>
    <n v="0"/>
    <m/>
    <m/>
    <m/>
    <m/>
    <m/>
    <m/>
    <n v="0"/>
    <n v="0"/>
  </r>
  <r>
    <x v="3"/>
    <x v="23"/>
    <s v="University of Miami academic program contracts"/>
    <m/>
    <m/>
    <x v="12"/>
    <m/>
    <m/>
    <m/>
    <m/>
    <m/>
    <m/>
    <m/>
    <m/>
    <n v="0"/>
    <m/>
    <m/>
    <n v="0"/>
    <n v="0"/>
    <n v="0"/>
    <m/>
    <m/>
    <m/>
    <m/>
    <n v="0"/>
    <m/>
    <m/>
    <n v="0"/>
    <m/>
    <m/>
    <m/>
    <m/>
    <m/>
    <m/>
    <n v="0"/>
    <n v="0"/>
  </r>
  <r>
    <x v="3"/>
    <x v="23"/>
    <s v="Nova SE Univ academic program contracts"/>
    <m/>
    <m/>
    <x v="12"/>
    <m/>
    <m/>
    <m/>
    <m/>
    <m/>
    <m/>
    <m/>
    <m/>
    <n v="0"/>
    <m/>
    <m/>
    <n v="0"/>
    <n v="0"/>
    <n v="0"/>
    <n v="39214"/>
    <n v="39214"/>
    <m/>
    <m/>
    <n v="0"/>
    <m/>
    <m/>
    <n v="0"/>
    <m/>
    <m/>
    <m/>
    <m/>
    <m/>
    <m/>
    <n v="39214"/>
    <n v="39214"/>
  </r>
  <r>
    <x v="3"/>
    <x v="23"/>
    <s v="FL Inst. Of Technology"/>
    <m/>
    <m/>
    <x v="12"/>
    <m/>
    <m/>
    <m/>
    <m/>
    <m/>
    <m/>
    <m/>
    <m/>
    <n v="0"/>
    <m/>
    <m/>
    <n v="0"/>
    <n v="0"/>
    <n v="0"/>
    <n v="500000"/>
    <n v="750000"/>
    <m/>
    <m/>
    <n v="0"/>
    <m/>
    <m/>
    <n v="0"/>
    <m/>
    <m/>
    <m/>
    <m/>
    <m/>
    <m/>
    <n v="500000"/>
    <n v="750000"/>
  </r>
  <r>
    <x v="3"/>
    <x v="23"/>
    <s v="Barry University"/>
    <m/>
    <m/>
    <x v="12"/>
    <m/>
    <m/>
    <m/>
    <m/>
    <m/>
    <m/>
    <m/>
    <m/>
    <n v="0"/>
    <m/>
    <m/>
    <n v="0"/>
    <n v="0"/>
    <n v="0"/>
    <n v="705000"/>
    <n v="343520"/>
    <m/>
    <m/>
    <n v="0"/>
    <m/>
    <m/>
    <n v="0"/>
    <m/>
    <m/>
    <m/>
    <m/>
    <m/>
    <m/>
    <n v="705000"/>
    <n v="343520"/>
  </r>
  <r>
    <x v="3"/>
    <x v="23"/>
    <s v="Le Comm/Florida Health Programs"/>
    <m/>
    <m/>
    <x v="12"/>
    <m/>
    <m/>
    <m/>
    <m/>
    <m/>
    <m/>
    <m/>
    <m/>
    <n v="0"/>
    <m/>
    <m/>
    <n v="0"/>
    <n v="0"/>
    <n v="0"/>
    <n v="1691010"/>
    <n v="1691010"/>
    <m/>
    <m/>
    <n v="0"/>
    <m/>
    <m/>
    <n v="0"/>
    <m/>
    <m/>
    <m/>
    <m/>
    <m/>
    <m/>
    <n v="1691010"/>
    <n v="1691010"/>
  </r>
  <r>
    <x v="3"/>
    <x v="24"/>
    <s v="Statewide Student Financial Aid Programs Administered Off Campus"/>
    <m/>
    <m/>
    <x v="12"/>
    <m/>
    <m/>
    <m/>
    <m/>
    <m/>
    <m/>
    <m/>
    <m/>
    <n v="0"/>
    <m/>
    <m/>
    <n v="0"/>
    <n v="0"/>
    <n v="0"/>
    <m/>
    <m/>
    <m/>
    <m/>
    <n v="0"/>
    <m/>
    <m/>
    <n v="0"/>
    <m/>
    <m/>
    <m/>
    <m/>
    <m/>
    <m/>
    <n v="0"/>
    <n v="0"/>
  </r>
  <r>
    <x v="3"/>
    <x v="25"/>
    <s v="Available to public &amp; private sector students"/>
    <m/>
    <m/>
    <x v="12"/>
    <m/>
    <m/>
    <m/>
    <m/>
    <m/>
    <m/>
    <m/>
    <m/>
    <n v="0"/>
    <m/>
    <m/>
    <n v="0"/>
    <n v="0"/>
    <n v="0"/>
    <m/>
    <m/>
    <m/>
    <m/>
    <n v="0"/>
    <m/>
    <m/>
    <n v="0"/>
    <m/>
    <m/>
    <m/>
    <m/>
    <m/>
    <m/>
    <n v="0"/>
    <n v="0"/>
  </r>
  <r>
    <x v="3"/>
    <x v="25"/>
    <s v="Bright Futures Scholarships"/>
    <m/>
    <m/>
    <x v="12"/>
    <m/>
    <m/>
    <m/>
    <m/>
    <m/>
    <m/>
    <m/>
    <m/>
    <n v="0"/>
    <m/>
    <m/>
    <n v="0"/>
    <n v="0"/>
    <n v="0"/>
    <m/>
    <m/>
    <m/>
    <m/>
    <n v="0"/>
    <m/>
    <m/>
    <n v="0"/>
    <m/>
    <m/>
    <m/>
    <m/>
    <m/>
    <m/>
    <n v="0"/>
    <n v="0"/>
  </r>
  <r>
    <x v="3"/>
    <x v="26"/>
    <s v="Need-based"/>
    <m/>
    <m/>
    <x v="12"/>
    <m/>
    <m/>
    <m/>
    <m/>
    <m/>
    <m/>
    <m/>
    <m/>
    <n v="0"/>
    <m/>
    <m/>
    <n v="0"/>
    <n v="0"/>
    <n v="0"/>
    <m/>
    <m/>
    <m/>
    <m/>
    <n v="0"/>
    <m/>
    <m/>
    <n v="0"/>
    <m/>
    <m/>
    <m/>
    <m/>
    <m/>
    <m/>
    <n v="0"/>
    <n v="0"/>
  </r>
  <r>
    <x v="3"/>
    <x v="27"/>
    <s v="Non need-based"/>
    <m/>
    <m/>
    <x v="12"/>
    <m/>
    <m/>
    <m/>
    <m/>
    <m/>
    <m/>
    <m/>
    <m/>
    <n v="0"/>
    <m/>
    <m/>
    <n v="0"/>
    <n v="0"/>
    <n v="0"/>
    <n v="309413826"/>
    <n v="266191952"/>
    <m/>
    <m/>
    <n v="0"/>
    <m/>
    <m/>
    <n v="0"/>
    <m/>
    <m/>
    <m/>
    <m/>
    <m/>
    <m/>
    <n v="309413826"/>
    <n v="266191952"/>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Children of deceased/disabled Veterans"/>
    <m/>
    <m/>
    <x v="12"/>
    <m/>
    <m/>
    <m/>
    <m/>
    <m/>
    <m/>
    <m/>
    <m/>
    <n v="0"/>
    <m/>
    <m/>
    <n v="0"/>
    <n v="0"/>
    <n v="0"/>
    <m/>
    <m/>
    <m/>
    <m/>
    <n v="0"/>
    <m/>
    <m/>
    <n v="0"/>
    <m/>
    <m/>
    <m/>
    <m/>
    <m/>
    <m/>
    <n v="0"/>
    <n v="0"/>
  </r>
  <r>
    <x v="3"/>
    <x v="26"/>
    <s v="Need-based"/>
    <m/>
    <m/>
    <x v="12"/>
    <m/>
    <m/>
    <m/>
    <m/>
    <m/>
    <m/>
    <m/>
    <m/>
    <n v="0"/>
    <m/>
    <m/>
    <n v="0"/>
    <n v="0"/>
    <n v="0"/>
    <m/>
    <m/>
    <m/>
    <m/>
    <n v="0"/>
    <m/>
    <m/>
    <n v="0"/>
    <m/>
    <m/>
    <m/>
    <m/>
    <m/>
    <m/>
    <n v="0"/>
    <n v="0"/>
  </r>
  <r>
    <x v="3"/>
    <x v="27"/>
    <s v="Non need-based"/>
    <m/>
    <m/>
    <x v="12"/>
    <m/>
    <m/>
    <m/>
    <m/>
    <m/>
    <m/>
    <m/>
    <m/>
    <n v="0"/>
    <m/>
    <m/>
    <n v="0"/>
    <n v="0"/>
    <n v="0"/>
    <n v="2895907"/>
    <n v="3115690"/>
    <m/>
    <m/>
    <n v="0"/>
    <m/>
    <m/>
    <n v="0"/>
    <m/>
    <m/>
    <m/>
    <m/>
    <m/>
    <m/>
    <n v="2895907"/>
    <n v="3115690"/>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Florida Work Experience"/>
    <m/>
    <m/>
    <x v="12"/>
    <m/>
    <m/>
    <m/>
    <m/>
    <m/>
    <m/>
    <m/>
    <m/>
    <n v="0"/>
    <m/>
    <m/>
    <n v="0"/>
    <n v="0"/>
    <n v="0"/>
    <m/>
    <m/>
    <m/>
    <m/>
    <n v="0"/>
    <m/>
    <m/>
    <n v="0"/>
    <m/>
    <m/>
    <m/>
    <m/>
    <m/>
    <m/>
    <n v="0"/>
    <n v="0"/>
  </r>
  <r>
    <x v="3"/>
    <x v="26"/>
    <s v="Need-based"/>
    <m/>
    <m/>
    <x v="12"/>
    <m/>
    <m/>
    <m/>
    <m/>
    <m/>
    <m/>
    <m/>
    <m/>
    <n v="0"/>
    <m/>
    <m/>
    <n v="0"/>
    <n v="0"/>
    <n v="0"/>
    <n v="1569922"/>
    <n v="1569922"/>
    <m/>
    <m/>
    <n v="0"/>
    <m/>
    <m/>
    <n v="0"/>
    <m/>
    <m/>
    <m/>
    <m/>
    <m/>
    <m/>
    <n v="1569922"/>
    <n v="1569922"/>
  </r>
  <r>
    <x v="3"/>
    <x v="27"/>
    <s v="Non need-based"/>
    <m/>
    <m/>
    <x v="12"/>
    <m/>
    <m/>
    <m/>
    <m/>
    <m/>
    <m/>
    <m/>
    <m/>
    <n v="0"/>
    <m/>
    <m/>
    <n v="0"/>
    <n v="0"/>
    <n v="0"/>
    <m/>
    <m/>
    <m/>
    <m/>
    <n v="0"/>
    <m/>
    <m/>
    <n v="0"/>
    <m/>
    <m/>
    <m/>
    <m/>
    <m/>
    <m/>
    <n v="0"/>
    <n v="0"/>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Jose Marti Scholarship Challenge Grant"/>
    <m/>
    <m/>
    <x v="12"/>
    <m/>
    <m/>
    <m/>
    <m/>
    <m/>
    <m/>
    <m/>
    <m/>
    <n v="0"/>
    <m/>
    <m/>
    <n v="0"/>
    <n v="0"/>
    <n v="0"/>
    <m/>
    <m/>
    <m/>
    <m/>
    <n v="0"/>
    <m/>
    <m/>
    <n v="0"/>
    <m/>
    <m/>
    <m/>
    <m/>
    <m/>
    <m/>
    <n v="0"/>
    <n v="0"/>
  </r>
  <r>
    <x v="3"/>
    <x v="26"/>
    <s v="Need-based"/>
    <m/>
    <m/>
    <x v="12"/>
    <m/>
    <m/>
    <m/>
    <m/>
    <m/>
    <m/>
    <m/>
    <m/>
    <n v="0"/>
    <m/>
    <m/>
    <n v="0"/>
    <n v="0"/>
    <n v="0"/>
    <n v="50000"/>
    <s v="50, 000"/>
    <m/>
    <m/>
    <n v="0"/>
    <m/>
    <m/>
    <n v="0"/>
    <m/>
    <m/>
    <m/>
    <m/>
    <m/>
    <m/>
    <n v="50000"/>
    <n v="0"/>
  </r>
  <r>
    <x v="3"/>
    <x v="27"/>
    <s v="Non need-based"/>
    <m/>
    <m/>
    <x v="12"/>
    <m/>
    <m/>
    <m/>
    <m/>
    <m/>
    <m/>
    <m/>
    <m/>
    <n v="0"/>
    <m/>
    <m/>
    <n v="0"/>
    <n v="0"/>
    <n v="0"/>
    <m/>
    <m/>
    <m/>
    <m/>
    <n v="0"/>
    <m/>
    <m/>
    <n v="0"/>
    <m/>
    <m/>
    <m/>
    <m/>
    <m/>
    <m/>
    <n v="0"/>
    <n v="0"/>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25"/>
    <s v="Prepaid Tuition Scholarships"/>
    <m/>
    <m/>
    <x v="12"/>
    <m/>
    <m/>
    <m/>
    <m/>
    <m/>
    <m/>
    <m/>
    <m/>
    <n v="0"/>
    <m/>
    <m/>
    <n v="0"/>
    <n v="0"/>
    <n v="0"/>
    <m/>
    <m/>
    <m/>
    <m/>
    <n v="0"/>
    <m/>
    <m/>
    <n v="0"/>
    <m/>
    <m/>
    <m/>
    <m/>
    <m/>
    <m/>
    <n v="0"/>
    <n v="0"/>
  </r>
  <r>
    <x v="3"/>
    <x v="26"/>
    <s v="Need-based"/>
    <m/>
    <m/>
    <x v="12"/>
    <m/>
    <m/>
    <m/>
    <m/>
    <m/>
    <m/>
    <m/>
    <m/>
    <n v="0"/>
    <m/>
    <m/>
    <n v="0"/>
    <n v="0"/>
    <n v="0"/>
    <n v="7000000"/>
    <n v="7000000"/>
    <m/>
    <m/>
    <n v="0"/>
    <m/>
    <m/>
    <n v="0"/>
    <m/>
    <m/>
    <m/>
    <m/>
    <m/>
    <m/>
    <n v="7000000"/>
    <n v="7000000"/>
  </r>
  <r>
    <x v="3"/>
    <x v="27"/>
    <s v="Non need-based"/>
    <m/>
    <m/>
    <x v="12"/>
    <m/>
    <m/>
    <m/>
    <m/>
    <m/>
    <m/>
    <m/>
    <m/>
    <n v="0"/>
    <m/>
    <m/>
    <n v="0"/>
    <n v="0"/>
    <n v="0"/>
    <m/>
    <m/>
    <m/>
    <m/>
    <n v="0"/>
    <m/>
    <m/>
    <n v="0"/>
    <m/>
    <m/>
    <m/>
    <m/>
    <m/>
    <m/>
    <n v="0"/>
    <n v="0"/>
  </r>
  <r>
    <x v="3"/>
    <x v="28"/>
    <s v="Amount to public sector students"/>
    <m/>
    <m/>
    <x v="12"/>
    <m/>
    <m/>
    <m/>
    <m/>
    <m/>
    <m/>
    <m/>
    <m/>
    <n v="0"/>
    <m/>
    <m/>
    <n v="0"/>
    <n v="0"/>
    <n v="0"/>
    <m/>
    <m/>
    <m/>
    <m/>
    <n v="0"/>
    <m/>
    <m/>
    <n v="0"/>
    <m/>
    <m/>
    <m/>
    <m/>
    <m/>
    <m/>
    <n v="0"/>
    <n v="0"/>
  </r>
  <r>
    <x v="3"/>
    <x v="29"/>
    <s v="Need-based"/>
    <m/>
    <m/>
    <x v="12"/>
    <m/>
    <m/>
    <m/>
    <m/>
    <m/>
    <m/>
    <m/>
    <m/>
    <n v="0"/>
    <m/>
    <m/>
    <n v="0"/>
    <n v="0"/>
    <n v="0"/>
    <m/>
    <m/>
    <m/>
    <m/>
    <n v="0"/>
    <m/>
    <m/>
    <n v="0"/>
    <m/>
    <m/>
    <m/>
    <m/>
    <m/>
    <m/>
    <n v="0"/>
    <n v="0"/>
  </r>
  <r>
    <x v="3"/>
    <x v="30"/>
    <s v="Non need-based"/>
    <m/>
    <m/>
    <x v="12"/>
    <m/>
    <m/>
    <m/>
    <m/>
    <m/>
    <m/>
    <m/>
    <m/>
    <n v="0"/>
    <m/>
    <m/>
    <n v="0"/>
    <n v="0"/>
    <n v="0"/>
    <m/>
    <m/>
    <m/>
    <m/>
    <n v="0"/>
    <m/>
    <m/>
    <n v="0"/>
    <m/>
    <m/>
    <m/>
    <m/>
    <m/>
    <m/>
    <n v="0"/>
    <n v="0"/>
  </r>
  <r>
    <x v="3"/>
    <x v="31"/>
    <s v="Amount to private sector students"/>
    <m/>
    <m/>
    <x v="12"/>
    <m/>
    <m/>
    <m/>
    <m/>
    <m/>
    <m/>
    <m/>
    <m/>
    <n v="0"/>
    <m/>
    <m/>
    <n v="0"/>
    <n v="0"/>
    <n v="0"/>
    <m/>
    <m/>
    <m/>
    <m/>
    <n v="0"/>
    <m/>
    <m/>
    <n v="0"/>
    <m/>
    <m/>
    <m/>
    <m/>
    <m/>
    <m/>
    <n v="0"/>
    <n v="0"/>
  </r>
  <r>
    <x v="3"/>
    <x v="32"/>
    <s v="Need-based"/>
    <m/>
    <m/>
    <x v="12"/>
    <m/>
    <m/>
    <m/>
    <m/>
    <m/>
    <m/>
    <m/>
    <m/>
    <n v="0"/>
    <m/>
    <m/>
    <n v="0"/>
    <n v="0"/>
    <n v="0"/>
    <m/>
    <m/>
    <m/>
    <m/>
    <n v="0"/>
    <m/>
    <m/>
    <n v="0"/>
    <m/>
    <m/>
    <m/>
    <m/>
    <m/>
    <m/>
    <n v="0"/>
    <n v="0"/>
  </r>
  <r>
    <x v="3"/>
    <x v="33"/>
    <s v="Non need-based"/>
    <m/>
    <m/>
    <x v="12"/>
    <m/>
    <m/>
    <m/>
    <m/>
    <m/>
    <m/>
    <m/>
    <m/>
    <n v="0"/>
    <m/>
    <m/>
    <n v="0"/>
    <n v="0"/>
    <n v="0"/>
    <m/>
    <m/>
    <m/>
    <m/>
    <n v="0"/>
    <m/>
    <m/>
    <n v="0"/>
    <m/>
    <m/>
    <m/>
    <m/>
    <m/>
    <m/>
    <n v="0"/>
    <n v="0"/>
  </r>
  <r>
    <x v="3"/>
    <x v="34"/>
    <s v="Limited to public college students"/>
    <m/>
    <m/>
    <x v="12"/>
    <m/>
    <m/>
    <m/>
    <m/>
    <m/>
    <m/>
    <m/>
    <m/>
    <n v="0"/>
    <m/>
    <m/>
    <n v="0"/>
    <n v="0"/>
    <n v="0"/>
    <m/>
    <m/>
    <m/>
    <m/>
    <n v="0"/>
    <m/>
    <m/>
    <n v="0"/>
    <m/>
    <m/>
    <m/>
    <m/>
    <m/>
    <m/>
    <n v="0"/>
    <n v="0"/>
  </r>
  <r>
    <x v="3"/>
    <x v="34"/>
    <s v="Florida Student Assistance - Public - Full &amp; Part-time"/>
    <m/>
    <m/>
    <x v="12"/>
    <m/>
    <m/>
    <m/>
    <m/>
    <m/>
    <m/>
    <m/>
    <m/>
    <n v="0"/>
    <m/>
    <m/>
    <n v="0"/>
    <n v="0"/>
    <n v="0"/>
    <m/>
    <m/>
    <m/>
    <m/>
    <n v="0"/>
    <m/>
    <m/>
    <n v="0"/>
    <m/>
    <m/>
    <m/>
    <m/>
    <m/>
    <m/>
    <n v="0"/>
    <n v="0"/>
  </r>
  <r>
    <x v="3"/>
    <x v="35"/>
    <s v="Need-based"/>
    <m/>
    <m/>
    <x v="12"/>
    <m/>
    <m/>
    <m/>
    <m/>
    <m/>
    <m/>
    <m/>
    <m/>
    <n v="0"/>
    <m/>
    <m/>
    <n v="0"/>
    <n v="0"/>
    <n v="0"/>
    <n v="102964587"/>
    <n v="114525243"/>
    <m/>
    <m/>
    <n v="0"/>
    <m/>
    <m/>
    <n v="0"/>
    <m/>
    <m/>
    <m/>
    <m/>
    <m/>
    <m/>
    <n v="102964587"/>
    <n v="114525243"/>
  </r>
  <r>
    <x v="3"/>
    <x v="36"/>
    <s v="Non need-based"/>
    <m/>
    <m/>
    <x v="12"/>
    <m/>
    <m/>
    <m/>
    <m/>
    <m/>
    <m/>
    <m/>
    <m/>
    <n v="0"/>
    <m/>
    <m/>
    <n v="0"/>
    <n v="0"/>
    <n v="0"/>
    <m/>
    <m/>
    <m/>
    <m/>
    <n v="0"/>
    <m/>
    <m/>
    <n v="0"/>
    <m/>
    <m/>
    <m/>
    <m/>
    <m/>
    <m/>
    <n v="0"/>
    <n v="0"/>
  </r>
  <r>
    <x v="3"/>
    <x v="34"/>
    <s v="Minority Teachers Scholarships"/>
    <m/>
    <m/>
    <x v="12"/>
    <m/>
    <m/>
    <m/>
    <m/>
    <m/>
    <m/>
    <m/>
    <m/>
    <n v="0"/>
    <m/>
    <m/>
    <n v="0"/>
    <n v="0"/>
    <n v="0"/>
    <m/>
    <m/>
    <m/>
    <m/>
    <n v="0"/>
    <m/>
    <m/>
    <n v="0"/>
    <m/>
    <m/>
    <m/>
    <m/>
    <m/>
    <m/>
    <n v="0"/>
    <n v="0"/>
  </r>
  <r>
    <x v="3"/>
    <x v="35"/>
    <s v="Need-based"/>
    <m/>
    <m/>
    <x v="12"/>
    <m/>
    <m/>
    <m/>
    <m/>
    <m/>
    <m/>
    <m/>
    <m/>
    <n v="0"/>
    <m/>
    <m/>
    <n v="0"/>
    <n v="0"/>
    <n v="0"/>
    <m/>
    <m/>
    <m/>
    <m/>
    <n v="0"/>
    <m/>
    <m/>
    <n v="0"/>
    <m/>
    <m/>
    <m/>
    <m/>
    <m/>
    <m/>
    <n v="0"/>
    <n v="0"/>
  </r>
  <r>
    <x v="3"/>
    <x v="36"/>
    <s v="Non need-based"/>
    <m/>
    <m/>
    <x v="12"/>
    <m/>
    <m/>
    <m/>
    <m/>
    <m/>
    <m/>
    <m/>
    <m/>
    <n v="0"/>
    <m/>
    <m/>
    <n v="0"/>
    <n v="0"/>
    <n v="0"/>
    <n v="885468"/>
    <n v="1000000"/>
    <m/>
    <m/>
    <n v="0"/>
    <m/>
    <m/>
    <n v="0"/>
    <m/>
    <m/>
    <m/>
    <m/>
    <m/>
    <m/>
    <n v="885468"/>
    <n v="1000000"/>
  </r>
  <r>
    <x v="3"/>
    <x v="34"/>
    <s v="Rosewood Family Scholarships"/>
    <m/>
    <m/>
    <x v="12"/>
    <m/>
    <m/>
    <m/>
    <m/>
    <m/>
    <m/>
    <m/>
    <m/>
    <n v="0"/>
    <m/>
    <m/>
    <n v="0"/>
    <n v="0"/>
    <n v="0"/>
    <m/>
    <m/>
    <m/>
    <m/>
    <n v="0"/>
    <m/>
    <m/>
    <n v="0"/>
    <m/>
    <m/>
    <m/>
    <m/>
    <m/>
    <m/>
    <n v="0"/>
    <n v="0"/>
  </r>
  <r>
    <x v="3"/>
    <x v="35"/>
    <s v="Need-based"/>
    <m/>
    <m/>
    <x v="12"/>
    <m/>
    <m/>
    <m/>
    <m/>
    <m/>
    <m/>
    <m/>
    <m/>
    <n v="0"/>
    <m/>
    <m/>
    <n v="0"/>
    <n v="0"/>
    <n v="0"/>
    <m/>
    <m/>
    <m/>
    <m/>
    <n v="0"/>
    <m/>
    <m/>
    <n v="0"/>
    <m/>
    <m/>
    <m/>
    <m/>
    <m/>
    <m/>
    <n v="0"/>
    <n v="0"/>
  </r>
  <r>
    <x v="3"/>
    <x v="36"/>
    <s v="Non need-based"/>
    <m/>
    <m/>
    <x v="12"/>
    <m/>
    <m/>
    <m/>
    <m/>
    <m/>
    <m/>
    <m/>
    <m/>
    <n v="0"/>
    <m/>
    <m/>
    <n v="0"/>
    <n v="0"/>
    <n v="0"/>
    <n v="60000"/>
    <n v="256747"/>
    <m/>
    <m/>
    <n v="0"/>
    <m/>
    <m/>
    <n v="0"/>
    <m/>
    <m/>
    <m/>
    <m/>
    <m/>
    <m/>
    <n v="60000"/>
    <n v="256747"/>
  </r>
  <r>
    <x v="3"/>
    <x v="37"/>
    <s v="Limited to private college students"/>
    <m/>
    <m/>
    <x v="12"/>
    <m/>
    <m/>
    <m/>
    <m/>
    <m/>
    <m/>
    <m/>
    <m/>
    <n v="0"/>
    <m/>
    <m/>
    <n v="0"/>
    <n v="0"/>
    <n v="0"/>
    <m/>
    <m/>
    <m/>
    <m/>
    <n v="0"/>
    <m/>
    <m/>
    <n v="0"/>
    <m/>
    <m/>
    <m/>
    <m/>
    <m/>
    <m/>
    <n v="0"/>
    <n v="0"/>
  </r>
  <r>
    <x v="3"/>
    <x v="37"/>
    <s v="Florida Resident Access Grant"/>
    <m/>
    <m/>
    <x v="12"/>
    <m/>
    <m/>
    <m/>
    <m/>
    <m/>
    <m/>
    <m/>
    <m/>
    <n v="0"/>
    <m/>
    <m/>
    <n v="0"/>
    <n v="0"/>
    <n v="0"/>
    <m/>
    <m/>
    <m/>
    <m/>
    <n v="0"/>
    <m/>
    <m/>
    <n v="0"/>
    <m/>
    <m/>
    <m/>
    <m/>
    <m/>
    <m/>
    <n v="0"/>
    <n v="0"/>
  </r>
  <r>
    <x v="3"/>
    <x v="38"/>
    <s v="Need-based"/>
    <m/>
    <m/>
    <x v="12"/>
    <m/>
    <m/>
    <m/>
    <m/>
    <m/>
    <m/>
    <m/>
    <m/>
    <n v="0"/>
    <m/>
    <m/>
    <n v="0"/>
    <n v="0"/>
    <n v="0"/>
    <m/>
    <m/>
    <m/>
    <m/>
    <n v="0"/>
    <m/>
    <m/>
    <n v="0"/>
    <m/>
    <m/>
    <m/>
    <m/>
    <m/>
    <m/>
    <n v="0"/>
    <n v="0"/>
  </r>
  <r>
    <x v="3"/>
    <x v="39"/>
    <s v="Non need-based"/>
    <m/>
    <m/>
    <x v="12"/>
    <m/>
    <m/>
    <m/>
    <m/>
    <m/>
    <m/>
    <m/>
    <m/>
    <n v="0"/>
    <m/>
    <m/>
    <n v="0"/>
    <n v="0"/>
    <n v="0"/>
    <n v="89664961"/>
    <n v="112359000"/>
    <m/>
    <m/>
    <n v="0"/>
    <m/>
    <m/>
    <n v="0"/>
    <m/>
    <m/>
    <m/>
    <m/>
    <m/>
    <m/>
    <n v="89664961"/>
    <n v="112359000"/>
  </r>
  <r>
    <x v="3"/>
    <x v="37"/>
    <s v="Access to Better Learning and Education"/>
    <m/>
    <m/>
    <x v="12"/>
    <m/>
    <m/>
    <m/>
    <m/>
    <m/>
    <m/>
    <m/>
    <m/>
    <n v="0"/>
    <m/>
    <m/>
    <n v="0"/>
    <n v="0"/>
    <n v="0"/>
    <m/>
    <m/>
    <m/>
    <m/>
    <n v="0"/>
    <m/>
    <m/>
    <n v="0"/>
    <m/>
    <m/>
    <m/>
    <m/>
    <m/>
    <m/>
    <n v="0"/>
    <n v="0"/>
  </r>
  <r>
    <x v="3"/>
    <x v="38"/>
    <s v="Need-based"/>
    <m/>
    <m/>
    <x v="12"/>
    <m/>
    <m/>
    <m/>
    <m/>
    <m/>
    <m/>
    <m/>
    <m/>
    <n v="0"/>
    <m/>
    <m/>
    <n v="0"/>
    <n v="0"/>
    <n v="0"/>
    <m/>
    <m/>
    <m/>
    <m/>
    <n v="0"/>
    <m/>
    <m/>
    <n v="0"/>
    <m/>
    <m/>
    <m/>
    <m/>
    <m/>
    <m/>
    <n v="0"/>
    <n v="0"/>
  </r>
  <r>
    <x v="3"/>
    <x v="39"/>
    <s v="Non need-based"/>
    <m/>
    <m/>
    <x v="12"/>
    <m/>
    <m/>
    <m/>
    <m/>
    <m/>
    <m/>
    <m/>
    <m/>
    <n v="0"/>
    <m/>
    <m/>
    <n v="0"/>
    <n v="0"/>
    <n v="0"/>
    <n v="3239567"/>
    <n v="5689500"/>
    <m/>
    <m/>
    <n v="0"/>
    <m/>
    <m/>
    <n v="0"/>
    <m/>
    <m/>
    <m/>
    <m/>
    <m/>
    <m/>
    <n v="3239567"/>
    <n v="5689500"/>
  </r>
  <r>
    <x v="3"/>
    <x v="37"/>
    <s v="Postsecondary Student Assistance Grant"/>
    <m/>
    <m/>
    <x v="12"/>
    <m/>
    <m/>
    <m/>
    <m/>
    <m/>
    <m/>
    <m/>
    <m/>
    <n v="0"/>
    <m/>
    <m/>
    <n v="0"/>
    <n v="0"/>
    <n v="0"/>
    <m/>
    <m/>
    <m/>
    <m/>
    <n v="0"/>
    <m/>
    <m/>
    <n v="0"/>
    <m/>
    <m/>
    <m/>
    <m/>
    <m/>
    <m/>
    <n v="0"/>
    <n v="0"/>
  </r>
  <r>
    <x v="3"/>
    <x v="38"/>
    <s v="Need-based"/>
    <m/>
    <m/>
    <x v="12"/>
    <m/>
    <m/>
    <m/>
    <m/>
    <m/>
    <m/>
    <m/>
    <m/>
    <n v="0"/>
    <m/>
    <m/>
    <n v="0"/>
    <n v="0"/>
    <n v="0"/>
    <n v="11806087"/>
    <n v="12881651"/>
    <m/>
    <m/>
    <n v="0"/>
    <m/>
    <m/>
    <n v="0"/>
    <m/>
    <m/>
    <m/>
    <m/>
    <m/>
    <m/>
    <n v="11806087"/>
    <n v="12881651"/>
  </r>
  <r>
    <x v="3"/>
    <x v="39"/>
    <s v="Non need-based"/>
    <m/>
    <m/>
    <x v="12"/>
    <m/>
    <m/>
    <m/>
    <m/>
    <m/>
    <m/>
    <m/>
    <m/>
    <n v="0"/>
    <m/>
    <m/>
    <n v="0"/>
    <n v="0"/>
    <n v="0"/>
    <m/>
    <m/>
    <m/>
    <m/>
    <n v="0"/>
    <m/>
    <m/>
    <n v="0"/>
    <m/>
    <m/>
    <m/>
    <m/>
    <m/>
    <m/>
    <n v="0"/>
    <n v="0"/>
  </r>
  <r>
    <x v="3"/>
    <x v="37"/>
    <s v="Private Student Assistance Grants"/>
    <m/>
    <m/>
    <x v="12"/>
    <m/>
    <m/>
    <m/>
    <m/>
    <m/>
    <m/>
    <m/>
    <m/>
    <n v="0"/>
    <m/>
    <m/>
    <n v="0"/>
    <n v="0"/>
    <n v="0"/>
    <m/>
    <m/>
    <m/>
    <m/>
    <n v="0"/>
    <m/>
    <m/>
    <n v="0"/>
    <m/>
    <m/>
    <m/>
    <m/>
    <m/>
    <m/>
    <n v="0"/>
    <n v="0"/>
  </r>
  <r>
    <x v="3"/>
    <x v="38"/>
    <s v="Need-based"/>
    <m/>
    <m/>
    <x v="12"/>
    <m/>
    <m/>
    <m/>
    <m/>
    <m/>
    <m/>
    <m/>
    <m/>
    <n v="0"/>
    <m/>
    <m/>
    <n v="0"/>
    <n v="0"/>
    <n v="0"/>
    <n v="16578164"/>
    <n v="18439527"/>
    <m/>
    <m/>
    <n v="0"/>
    <m/>
    <m/>
    <n v="0"/>
    <m/>
    <m/>
    <m/>
    <m/>
    <m/>
    <m/>
    <n v="16578164"/>
    <n v="18439527"/>
  </r>
  <r>
    <x v="3"/>
    <x v="39"/>
    <s v="Non need-based"/>
    <m/>
    <m/>
    <x v="12"/>
    <m/>
    <m/>
    <m/>
    <m/>
    <m/>
    <m/>
    <m/>
    <m/>
    <n v="0"/>
    <m/>
    <m/>
    <n v="0"/>
    <n v="0"/>
    <n v="0"/>
    <m/>
    <m/>
    <m/>
    <m/>
    <n v="0"/>
    <m/>
    <m/>
    <n v="0"/>
    <m/>
    <m/>
    <m/>
    <m/>
    <m/>
    <m/>
    <n v="0"/>
    <n v="0"/>
  </r>
  <r>
    <x v="3"/>
    <x v="37"/>
    <s v="Mary McCleod Bethune Scholarship"/>
    <m/>
    <m/>
    <x v="12"/>
    <m/>
    <m/>
    <m/>
    <m/>
    <m/>
    <m/>
    <m/>
    <m/>
    <n v="0"/>
    <m/>
    <m/>
    <n v="0"/>
    <n v="0"/>
    <n v="0"/>
    <m/>
    <m/>
    <m/>
    <m/>
    <n v="0"/>
    <m/>
    <m/>
    <n v="0"/>
    <m/>
    <m/>
    <m/>
    <m/>
    <m/>
    <m/>
    <n v="0"/>
    <n v="0"/>
  </r>
  <r>
    <x v="3"/>
    <x v="38"/>
    <s v="Need-based"/>
    <m/>
    <m/>
    <x v="12"/>
    <m/>
    <m/>
    <m/>
    <m/>
    <m/>
    <m/>
    <m/>
    <m/>
    <n v="0"/>
    <m/>
    <m/>
    <n v="0"/>
    <n v="0"/>
    <n v="0"/>
    <n v="160500"/>
    <n v="160500"/>
    <m/>
    <m/>
    <n v="0"/>
    <m/>
    <m/>
    <n v="0"/>
    <m/>
    <m/>
    <m/>
    <m/>
    <m/>
    <m/>
    <n v="160500"/>
    <n v="160500"/>
  </r>
  <r>
    <x v="3"/>
    <x v="39"/>
    <s v="Non need-based"/>
    <m/>
    <m/>
    <x v="12"/>
    <m/>
    <m/>
    <m/>
    <m/>
    <m/>
    <m/>
    <m/>
    <m/>
    <n v="0"/>
    <m/>
    <m/>
    <n v="0"/>
    <n v="0"/>
    <n v="0"/>
    <m/>
    <m/>
    <m/>
    <m/>
    <n v="0"/>
    <m/>
    <m/>
    <n v="0"/>
    <m/>
    <m/>
    <m/>
    <m/>
    <m/>
    <m/>
    <n v="0"/>
    <n v="0"/>
  </r>
  <r>
    <x v="3"/>
    <x v="0"/>
    <s v="Broward College "/>
    <m/>
    <n v="132709"/>
    <x v="14"/>
    <n v="81519321"/>
    <n v="85846873"/>
    <m/>
    <m/>
    <m/>
    <m/>
    <n v="79247792"/>
    <m/>
    <n v="79247792"/>
    <n v="72589535"/>
    <m/>
    <n v="72589535"/>
    <n v="160767113"/>
    <n v="158436408"/>
    <m/>
    <m/>
    <m/>
    <m/>
    <n v="0"/>
    <m/>
    <m/>
    <n v="0"/>
    <m/>
    <m/>
    <m/>
    <m/>
    <m/>
    <m/>
    <n v="160767113"/>
    <n v="158436408"/>
  </r>
  <r>
    <x v="3"/>
    <x v="0"/>
    <s v="Chipola College "/>
    <m/>
    <n v="133021"/>
    <x v="14"/>
    <n v="11243042"/>
    <n v="13160498"/>
    <m/>
    <m/>
    <m/>
    <m/>
    <n v="3104641"/>
    <m/>
    <n v="3104641"/>
    <n v="2951163"/>
    <m/>
    <n v="2951163"/>
    <n v="14347683"/>
    <n v="16111661"/>
    <m/>
    <m/>
    <m/>
    <m/>
    <n v="0"/>
    <m/>
    <m/>
    <n v="0"/>
    <m/>
    <m/>
    <m/>
    <m/>
    <m/>
    <m/>
    <n v="14347683"/>
    <n v="16111661"/>
  </r>
  <r>
    <x v="3"/>
    <x v="0"/>
    <s v="Daytona State College "/>
    <m/>
    <n v="133386"/>
    <x v="14"/>
    <n v="50626420"/>
    <n v="51396223"/>
    <m/>
    <m/>
    <m/>
    <m/>
    <n v="27418416"/>
    <m/>
    <n v="27418416"/>
    <n v="25982301"/>
    <m/>
    <n v="25982301"/>
    <n v="78044836"/>
    <n v="77378524"/>
    <m/>
    <m/>
    <m/>
    <m/>
    <n v="0"/>
    <m/>
    <m/>
    <n v="0"/>
    <m/>
    <m/>
    <m/>
    <m/>
    <m/>
    <m/>
    <n v="78044836"/>
    <n v="77378524"/>
  </r>
  <r>
    <x v="3"/>
    <x v="0"/>
    <s v="Florida SouthWestern State College"/>
    <m/>
    <n v="133508"/>
    <x v="14"/>
    <n v="30334488"/>
    <n v="31290836"/>
    <m/>
    <m/>
    <m/>
    <m/>
    <n v="25566196"/>
    <m/>
    <n v="25566196"/>
    <n v="24825101"/>
    <m/>
    <n v="24825101"/>
    <n v="55900684"/>
    <n v="56115937"/>
    <m/>
    <m/>
    <m/>
    <m/>
    <n v="0"/>
    <m/>
    <m/>
    <n v="0"/>
    <m/>
    <m/>
    <m/>
    <m/>
    <m/>
    <m/>
    <n v="55900684"/>
    <n v="56115937"/>
  </r>
  <r>
    <x v="3"/>
    <x v="0"/>
    <s v="Florida State College at Jacksonville"/>
    <m/>
    <n v="133702"/>
    <x v="14"/>
    <n v="76467992"/>
    <n v="77281964"/>
    <m/>
    <m/>
    <m/>
    <m/>
    <n v="53197788"/>
    <m/>
    <n v="53197788"/>
    <n v="49661526"/>
    <m/>
    <n v="49661526"/>
    <n v="129665780"/>
    <n v="126943490"/>
    <m/>
    <m/>
    <m/>
    <m/>
    <n v="0"/>
    <m/>
    <m/>
    <n v="0"/>
    <m/>
    <m/>
    <m/>
    <m/>
    <m/>
    <m/>
    <n v="129665780"/>
    <n v="126943490"/>
  </r>
  <r>
    <x v="3"/>
    <x v="0"/>
    <s v="Indian River State College "/>
    <m/>
    <n v="134608"/>
    <x v="14"/>
    <n v="46596282"/>
    <n v="47473090"/>
    <m/>
    <m/>
    <m/>
    <m/>
    <n v="27411496"/>
    <m/>
    <n v="27411496"/>
    <n v="27645578"/>
    <m/>
    <n v="27645578"/>
    <n v="74007778"/>
    <n v="75118668"/>
    <m/>
    <m/>
    <m/>
    <m/>
    <n v="0"/>
    <m/>
    <m/>
    <n v="0"/>
    <m/>
    <m/>
    <m/>
    <m/>
    <m/>
    <m/>
    <n v="74007778"/>
    <n v="75118668"/>
  </r>
  <r>
    <x v="3"/>
    <x v="0"/>
    <s v="Miami Dade College "/>
    <m/>
    <n v="135717"/>
    <x v="14"/>
    <n v="173217376"/>
    <n v="174381030"/>
    <m/>
    <m/>
    <m/>
    <m/>
    <n v="146638483"/>
    <m/>
    <n v="146638483"/>
    <n v="141658373"/>
    <m/>
    <n v="141658373"/>
    <n v="319855859"/>
    <n v="316039403"/>
    <m/>
    <m/>
    <m/>
    <m/>
    <n v="0"/>
    <m/>
    <m/>
    <n v="0"/>
    <m/>
    <m/>
    <m/>
    <m/>
    <m/>
    <m/>
    <n v="319855859"/>
    <n v="316039403"/>
  </r>
  <r>
    <x v="3"/>
    <x v="0"/>
    <s v="Northwest Florida State College"/>
    <m/>
    <n v="136233"/>
    <x v="14"/>
    <n v="18575488"/>
    <n v="19185916"/>
    <m/>
    <m/>
    <m/>
    <m/>
    <n v="11240951"/>
    <m/>
    <n v="11240951"/>
    <n v="10917308"/>
    <m/>
    <n v="10917308"/>
    <n v="29816439"/>
    <n v="30103224"/>
    <m/>
    <m/>
    <m/>
    <m/>
    <n v="0"/>
    <m/>
    <m/>
    <n v="0"/>
    <m/>
    <m/>
    <m/>
    <m/>
    <m/>
    <m/>
    <n v="29816439"/>
    <n v="30103224"/>
  </r>
  <r>
    <x v="3"/>
    <x v="0"/>
    <s v="Palm Beach State College "/>
    <m/>
    <n v="136358"/>
    <x v="14"/>
    <n v="53701201"/>
    <n v="56868631"/>
    <m/>
    <m/>
    <m/>
    <m/>
    <n v="50139964"/>
    <m/>
    <n v="50139964"/>
    <n v="49502525"/>
    <m/>
    <n v="49502525"/>
    <n v="103841165"/>
    <n v="106371156"/>
    <m/>
    <m/>
    <m/>
    <m/>
    <n v="0"/>
    <m/>
    <m/>
    <n v="0"/>
    <m/>
    <m/>
    <m/>
    <m/>
    <m/>
    <m/>
    <n v="103841165"/>
    <n v="106371156"/>
  </r>
  <r>
    <x v="3"/>
    <x v="0"/>
    <s v="Polk State College "/>
    <m/>
    <n v="136516"/>
    <x v="14"/>
    <n v="26573056"/>
    <n v="27324887"/>
    <m/>
    <m/>
    <m/>
    <m/>
    <n v="18424231"/>
    <m/>
    <n v="18424231"/>
    <n v="17252582"/>
    <m/>
    <n v="17252582"/>
    <n v="44997287"/>
    <n v="44577469"/>
    <m/>
    <m/>
    <m/>
    <m/>
    <n v="0"/>
    <m/>
    <m/>
    <n v="0"/>
    <m/>
    <m/>
    <m/>
    <m/>
    <m/>
    <m/>
    <n v="44997287"/>
    <n v="44577469"/>
  </r>
  <r>
    <x v="3"/>
    <x v="0"/>
    <s v="St. Johns River State College "/>
    <m/>
    <n v="137281"/>
    <x v="14"/>
    <n v="19167779"/>
    <n v="17898690"/>
    <m/>
    <m/>
    <m/>
    <m/>
    <n v="10911333"/>
    <m/>
    <n v="10911333"/>
    <n v="10211685"/>
    <m/>
    <n v="10211685"/>
    <n v="30079112"/>
    <n v="28110375"/>
    <m/>
    <m/>
    <m/>
    <m/>
    <n v="0"/>
    <m/>
    <m/>
    <n v="0"/>
    <m/>
    <m/>
    <m/>
    <m/>
    <m/>
    <m/>
    <n v="30079112"/>
    <n v="28110375"/>
  </r>
  <r>
    <x v="3"/>
    <x v="0"/>
    <s v="St. Petersburg College "/>
    <m/>
    <n v="137078"/>
    <x v="14"/>
    <n v="67208473"/>
    <n v="69023054"/>
    <m/>
    <m/>
    <m/>
    <m/>
    <n v="56670019"/>
    <m/>
    <n v="56670019"/>
    <n v="54225125"/>
    <m/>
    <n v="54225125"/>
    <n v="123878492"/>
    <n v="123248179"/>
    <m/>
    <m/>
    <m/>
    <m/>
    <n v="0"/>
    <m/>
    <m/>
    <n v="0"/>
    <m/>
    <m/>
    <m/>
    <m/>
    <m/>
    <m/>
    <n v="123878492"/>
    <n v="123248179"/>
  </r>
  <r>
    <x v="3"/>
    <x v="0"/>
    <s v="State College of Florida, Manatee-Sarasota"/>
    <m/>
    <n v="135391"/>
    <x v="14"/>
    <n v="22310836"/>
    <n v="22814044"/>
    <m/>
    <m/>
    <m/>
    <m/>
    <n v="18934773"/>
    <m/>
    <n v="18934773"/>
    <n v="18981108"/>
    <m/>
    <n v="18981108"/>
    <n v="41245609"/>
    <n v="41795152"/>
    <m/>
    <m/>
    <m/>
    <m/>
    <n v="0"/>
    <m/>
    <m/>
    <n v="0"/>
    <m/>
    <m/>
    <m/>
    <m/>
    <m/>
    <m/>
    <n v="41245609"/>
    <n v="41795152"/>
  </r>
  <r>
    <x v="3"/>
    <x v="0"/>
    <s v="College of Central Florida"/>
    <s v="Met the criteria for Two-Year with Bachelor's in 2013-14 and 2014-15."/>
    <n v="132851"/>
    <x v="6"/>
    <n v="20987826"/>
    <n v="22620090"/>
    <m/>
    <m/>
    <m/>
    <m/>
    <n v="14774430"/>
    <m/>
    <n v="14774430"/>
    <n v="14018215"/>
    <m/>
    <n v="14018215"/>
    <n v="35762256"/>
    <n v="36638305"/>
    <m/>
    <m/>
    <m/>
    <m/>
    <n v="0"/>
    <m/>
    <m/>
    <n v="0"/>
    <m/>
    <m/>
    <m/>
    <m/>
    <m/>
    <m/>
    <n v="35762256"/>
    <n v="36638305"/>
  </r>
  <r>
    <x v="3"/>
    <x v="0"/>
    <s v="Eastern Florida State College"/>
    <m/>
    <n v="132693"/>
    <x v="6"/>
    <n v="41059428"/>
    <n v="42728121"/>
    <m/>
    <m/>
    <m/>
    <m/>
    <n v="24349616"/>
    <m/>
    <n v="24349616"/>
    <n v="24378805"/>
    <m/>
    <n v="24378805"/>
    <n v="65409044"/>
    <n v="67106926"/>
    <m/>
    <m/>
    <m/>
    <m/>
    <n v="0"/>
    <m/>
    <m/>
    <n v="0"/>
    <m/>
    <m/>
    <m/>
    <m/>
    <m/>
    <m/>
    <n v="65409044"/>
    <n v="67106926"/>
  </r>
  <r>
    <x v="3"/>
    <x v="0"/>
    <s v="Hillsborough Community College "/>
    <m/>
    <n v="134495"/>
    <x v="6"/>
    <n v="52640686"/>
    <n v="58127314"/>
    <m/>
    <m/>
    <m/>
    <m/>
    <n v="51868267"/>
    <m/>
    <n v="51868267"/>
    <n v="49674380"/>
    <m/>
    <n v="49674380"/>
    <n v="104508953"/>
    <n v="107801694"/>
    <m/>
    <m/>
    <m/>
    <m/>
    <n v="0"/>
    <m/>
    <m/>
    <n v="0"/>
    <m/>
    <m/>
    <m/>
    <m/>
    <m/>
    <m/>
    <n v="104508953"/>
    <n v="107801694"/>
  </r>
  <r>
    <x v="3"/>
    <x v="0"/>
    <s v="Pasco-Hernando Community College "/>
    <m/>
    <n v="136400"/>
    <x v="6"/>
    <n v="27248501"/>
    <n v="27808782"/>
    <m/>
    <m/>
    <m/>
    <m/>
    <n v="15917566"/>
    <m/>
    <n v="15917566"/>
    <n v="17132816"/>
    <m/>
    <n v="17132816"/>
    <n v="43166067"/>
    <n v="44941598"/>
    <m/>
    <m/>
    <m/>
    <m/>
    <n v="0"/>
    <m/>
    <m/>
    <n v="0"/>
    <m/>
    <m/>
    <m/>
    <m/>
    <m/>
    <m/>
    <n v="43166067"/>
    <n v="44941598"/>
  </r>
  <r>
    <x v="3"/>
    <x v="0"/>
    <s v="Pensacola State College "/>
    <s v="Reclassified: Met the criteria for Two-Year with Bachelor's in 2012-13, 2013-14, and 2014-15."/>
    <n v="136473"/>
    <x v="14"/>
    <n v="34256668"/>
    <n v="34671980"/>
    <m/>
    <m/>
    <m/>
    <m/>
    <n v="17796376"/>
    <m/>
    <n v="17796376"/>
    <n v="16092087"/>
    <m/>
    <n v="16092087"/>
    <n v="52053044"/>
    <n v="50764067"/>
    <m/>
    <m/>
    <m/>
    <m/>
    <n v="0"/>
    <m/>
    <m/>
    <n v="0"/>
    <m/>
    <m/>
    <m/>
    <m/>
    <m/>
    <m/>
    <n v="52053044"/>
    <n v="50764067"/>
  </r>
  <r>
    <x v="3"/>
    <x v="0"/>
    <s v="Santa Fe College "/>
    <s v="Reclassified: Met the criteria for Two-Year with Bachelor's in 2012-13, 2013-14, and 2014-15."/>
    <n v="137096"/>
    <x v="14"/>
    <n v="35341108"/>
    <n v="35784139"/>
    <m/>
    <m/>
    <m/>
    <m/>
    <n v="29881290"/>
    <m/>
    <n v="29881290"/>
    <n v="28655183"/>
    <m/>
    <n v="28655183"/>
    <n v="65222398"/>
    <n v="64439322"/>
    <m/>
    <m/>
    <m/>
    <m/>
    <n v="0"/>
    <m/>
    <m/>
    <n v="0"/>
    <m/>
    <m/>
    <m/>
    <m/>
    <m/>
    <m/>
    <n v="65222398"/>
    <n v="64439322"/>
  </r>
  <r>
    <x v="3"/>
    <x v="0"/>
    <s v="Seminole State College of Florida"/>
    <s v="Reclassified: Met the criteria for Two-Year with Bachelor's in 2012-13, 2013-14, and 2014-15."/>
    <n v="137209"/>
    <x v="14"/>
    <n v="37244286"/>
    <n v="38654853"/>
    <m/>
    <m/>
    <m/>
    <m/>
    <n v="33282194"/>
    <m/>
    <n v="33282194"/>
    <n v="31624867"/>
    <m/>
    <n v="31624867"/>
    <n v="70526480"/>
    <n v="70279720"/>
    <m/>
    <m/>
    <m/>
    <m/>
    <n v="0"/>
    <m/>
    <m/>
    <n v="0"/>
    <m/>
    <m/>
    <m/>
    <m/>
    <m/>
    <m/>
    <n v="70526480"/>
    <n v="70279720"/>
  </r>
  <r>
    <x v="3"/>
    <x v="0"/>
    <s v="Tallahassee Community College "/>
    <m/>
    <n v="137759"/>
    <x v="6"/>
    <n v="29735762"/>
    <n v="31676762"/>
    <m/>
    <m/>
    <m/>
    <m/>
    <n v="26661671"/>
    <m/>
    <n v="26661671"/>
    <n v="24407151"/>
    <m/>
    <n v="24407151"/>
    <n v="56397433"/>
    <n v="56083913"/>
    <m/>
    <m/>
    <m/>
    <m/>
    <n v="0"/>
    <m/>
    <m/>
    <n v="0"/>
    <m/>
    <m/>
    <m/>
    <m/>
    <m/>
    <m/>
    <n v="56397433"/>
    <n v="56083913"/>
  </r>
  <r>
    <x v="3"/>
    <x v="0"/>
    <s v="Valencia College "/>
    <s v="Met the criteria for Two-Year with Bachelor's in 2013-14 and 2014-15."/>
    <n v="138187"/>
    <x v="6"/>
    <n v="67215536"/>
    <n v="68193641"/>
    <m/>
    <m/>
    <m/>
    <m/>
    <n v="80928031"/>
    <m/>
    <n v="80928031"/>
    <n v="82611283"/>
    <m/>
    <n v="82611283"/>
    <n v="148143567"/>
    <n v="150804924"/>
    <m/>
    <m/>
    <m/>
    <m/>
    <n v="0"/>
    <m/>
    <m/>
    <n v="0"/>
    <m/>
    <m/>
    <m/>
    <m/>
    <m/>
    <m/>
    <n v="148143567"/>
    <n v="150804924"/>
  </r>
  <r>
    <x v="3"/>
    <x v="0"/>
    <s v="Florida Gateway College"/>
    <s v="Met the criteria for Two-Year with Bachelor's in 2014-15."/>
    <n v="135160"/>
    <x v="7"/>
    <n v="12685807"/>
    <n v="13445409"/>
    <m/>
    <m/>
    <m/>
    <m/>
    <n v="6187957"/>
    <m/>
    <n v="6187957"/>
    <n v="3880729"/>
    <m/>
    <n v="3880729"/>
    <n v="18873764"/>
    <n v="17326138"/>
    <m/>
    <m/>
    <m/>
    <m/>
    <n v="0"/>
    <m/>
    <m/>
    <n v="0"/>
    <m/>
    <m/>
    <m/>
    <m/>
    <m/>
    <m/>
    <n v="18873764"/>
    <n v="17326138"/>
  </r>
  <r>
    <x v="3"/>
    <x v="0"/>
    <s v="Gulf Coast State College "/>
    <s v="Reclassified: Met the criteria for Two-Year with Bachelor's in 2012-13, 2013-14, and 2014-15."/>
    <n v="134343"/>
    <x v="14"/>
    <n v="21735273"/>
    <n v="21655792"/>
    <m/>
    <m/>
    <m/>
    <m/>
    <n v="9171898"/>
    <m/>
    <n v="9171898"/>
    <n v="8598205"/>
    <m/>
    <n v="8598205"/>
    <n v="30907171"/>
    <n v="30253997"/>
    <m/>
    <m/>
    <m/>
    <m/>
    <n v="0"/>
    <m/>
    <m/>
    <n v="0"/>
    <m/>
    <m/>
    <m/>
    <m/>
    <m/>
    <m/>
    <n v="30907171"/>
    <n v="30253997"/>
  </r>
  <r>
    <x v="3"/>
    <x v="0"/>
    <s v="Lake-Sumter State College "/>
    <m/>
    <n v="135188"/>
    <x v="7"/>
    <n v="13603078"/>
    <n v="13385812"/>
    <m/>
    <m/>
    <m/>
    <m/>
    <n v="6482276"/>
    <m/>
    <n v="6482276"/>
    <n v="6507528"/>
    <m/>
    <n v="6507528"/>
    <n v="20085354"/>
    <n v="19893340"/>
    <m/>
    <m/>
    <m/>
    <m/>
    <n v="0"/>
    <m/>
    <m/>
    <n v="0"/>
    <m/>
    <m/>
    <m/>
    <m/>
    <m/>
    <m/>
    <n v="20085354"/>
    <n v="19893340"/>
  </r>
  <r>
    <x v="3"/>
    <x v="0"/>
    <s v="South Florida State College "/>
    <m/>
    <n v="137315"/>
    <x v="7"/>
    <n v="15736621"/>
    <n v="15879132"/>
    <m/>
    <m/>
    <m/>
    <m/>
    <n v="3898226"/>
    <m/>
    <n v="3898226"/>
    <n v="3907643"/>
    <m/>
    <n v="3907643"/>
    <n v="19634847"/>
    <n v="19786775"/>
    <m/>
    <m/>
    <m/>
    <m/>
    <n v="0"/>
    <m/>
    <m/>
    <n v="0"/>
    <m/>
    <m/>
    <m/>
    <m/>
    <m/>
    <m/>
    <n v="19634847"/>
    <n v="19786775"/>
  </r>
  <r>
    <x v="3"/>
    <x v="0"/>
    <s v="Florida Keys Community College "/>
    <m/>
    <n v="133960"/>
    <x v="8"/>
    <n v="6409496"/>
    <n v="6572368"/>
    <m/>
    <m/>
    <m/>
    <m/>
    <n v="2290720"/>
    <m/>
    <n v="2290720"/>
    <n v="2222898"/>
    <m/>
    <n v="2222898"/>
    <n v="8700216"/>
    <n v="8795266"/>
    <m/>
    <m/>
    <m/>
    <m/>
    <n v="0"/>
    <m/>
    <m/>
    <n v="0"/>
    <m/>
    <m/>
    <m/>
    <m/>
    <m/>
    <m/>
    <n v="8700216"/>
    <n v="8795266"/>
  </r>
  <r>
    <x v="3"/>
    <x v="0"/>
    <s v="North Florida Community College "/>
    <m/>
    <n v="136145"/>
    <x v="8"/>
    <n v="6946880"/>
    <n v="7273808"/>
    <m/>
    <m/>
    <m/>
    <m/>
    <n v="1706056"/>
    <m/>
    <n v="1706056"/>
    <n v="1590625"/>
    <m/>
    <n v="1590625"/>
    <n v="8652936"/>
    <n v="8864433"/>
    <m/>
    <m/>
    <m/>
    <m/>
    <n v="0"/>
    <m/>
    <m/>
    <n v="0"/>
    <m/>
    <m/>
    <m/>
    <m/>
    <m/>
    <m/>
    <n v="8652936"/>
    <n v="8864433"/>
  </r>
  <r>
    <x v="3"/>
    <x v="16"/>
    <s v="Division of Florida Colleges Central Office "/>
    <m/>
    <m/>
    <x v="12"/>
    <m/>
    <m/>
    <m/>
    <m/>
    <m/>
    <m/>
    <m/>
    <m/>
    <n v="0"/>
    <m/>
    <m/>
    <n v="0"/>
    <n v="0"/>
    <n v="0"/>
    <n v="2274086"/>
    <n v="2019424"/>
    <m/>
    <m/>
    <n v="0"/>
    <m/>
    <m/>
    <n v="0"/>
    <m/>
    <m/>
    <m/>
    <m/>
    <m/>
    <m/>
    <n v="2274086"/>
    <n v="2019424"/>
  </r>
  <r>
    <x v="3"/>
    <x v="14"/>
    <s v="Statewide System Operations"/>
    <m/>
    <m/>
    <x v="12"/>
    <m/>
    <m/>
    <m/>
    <m/>
    <m/>
    <m/>
    <m/>
    <m/>
    <n v="0"/>
    <m/>
    <m/>
    <n v="0"/>
    <n v="0"/>
    <n v="0"/>
    <m/>
    <m/>
    <m/>
    <m/>
    <n v="0"/>
    <m/>
    <m/>
    <n v="0"/>
    <m/>
    <m/>
    <m/>
    <m/>
    <m/>
    <m/>
    <n v="0"/>
    <n v="0"/>
  </r>
  <r>
    <x v="4"/>
    <x v="0"/>
    <s v="Georgia State University "/>
    <m/>
    <n v="139940"/>
    <x v="0"/>
    <n v="187700309"/>
    <n v="187839221"/>
    <m/>
    <m/>
    <m/>
    <m/>
    <n v="258288568"/>
    <m/>
    <n v="258288568"/>
    <n v="269419483"/>
    <m/>
    <n v="269419483"/>
    <n v="445988877"/>
    <n v="457258704"/>
    <m/>
    <m/>
    <m/>
    <m/>
    <n v="0"/>
    <m/>
    <m/>
    <n v="0"/>
    <m/>
    <m/>
    <m/>
    <m/>
    <m/>
    <m/>
    <n v="445988877"/>
    <n v="457258704"/>
  </r>
  <r>
    <x v="4"/>
    <x v="0"/>
    <s v="University of Georgia"/>
    <m/>
    <n v="139959"/>
    <x v="0"/>
    <n v="299748876"/>
    <n v="307670782"/>
    <m/>
    <m/>
    <m/>
    <m/>
    <n v="349392697"/>
    <m/>
    <n v="349392697"/>
    <n v="343050364"/>
    <m/>
    <n v="343050364"/>
    <n v="649141573"/>
    <n v="650721146"/>
    <m/>
    <m/>
    <m/>
    <m/>
    <n v="0"/>
    <m/>
    <m/>
    <n v="0"/>
    <m/>
    <m/>
    <m/>
    <m/>
    <m/>
    <m/>
    <n v="649141573"/>
    <n v="650721146"/>
  </r>
  <r>
    <x v="4"/>
    <x v="1"/>
    <s v="Heatlh Professions Education"/>
    <m/>
    <n v="139959"/>
    <x v="0"/>
    <m/>
    <m/>
    <m/>
    <m/>
    <m/>
    <m/>
    <m/>
    <m/>
    <n v="0"/>
    <m/>
    <m/>
    <n v="0"/>
    <n v="0"/>
    <n v="0"/>
    <m/>
    <m/>
    <m/>
    <m/>
    <n v="0"/>
    <m/>
    <m/>
    <n v="0"/>
    <m/>
    <m/>
    <m/>
    <m/>
    <m/>
    <m/>
    <n v="0"/>
    <n v="0"/>
  </r>
  <r>
    <x v="4"/>
    <x v="1"/>
    <s v="College of Veterinary Medicine"/>
    <m/>
    <n v="139959"/>
    <x v="0"/>
    <m/>
    <m/>
    <m/>
    <m/>
    <m/>
    <m/>
    <m/>
    <m/>
    <n v="0"/>
    <m/>
    <m/>
    <n v="0"/>
    <n v="0"/>
    <n v="0"/>
    <m/>
    <m/>
    <m/>
    <m/>
    <n v="0"/>
    <m/>
    <m/>
    <n v="0"/>
    <n v="13045397"/>
    <n v="14199654"/>
    <n v="7067460"/>
    <m/>
    <n v="7873360"/>
    <m/>
    <n v="20112857"/>
    <n v="22073014"/>
  </r>
  <r>
    <x v="4"/>
    <x v="1"/>
    <s v="Vet Med Teaching Hospital"/>
    <m/>
    <n v="139959"/>
    <x v="0"/>
    <m/>
    <m/>
    <m/>
    <m/>
    <m/>
    <m/>
    <m/>
    <m/>
    <n v="0"/>
    <m/>
    <m/>
    <n v="0"/>
    <n v="0"/>
    <n v="0"/>
    <m/>
    <m/>
    <m/>
    <m/>
    <n v="0"/>
    <m/>
    <m/>
    <n v="0"/>
    <n v="386135"/>
    <n v="393117"/>
    <m/>
    <m/>
    <m/>
    <m/>
    <n v="386135"/>
    <n v="393117"/>
  </r>
  <r>
    <x v="4"/>
    <x v="3"/>
    <s v="Public Service Units"/>
    <m/>
    <n v="139959"/>
    <x v="0"/>
    <m/>
    <m/>
    <m/>
    <m/>
    <m/>
    <m/>
    <m/>
    <m/>
    <n v="0"/>
    <m/>
    <m/>
    <n v="0"/>
    <n v="0"/>
    <n v="0"/>
    <m/>
    <m/>
    <m/>
    <m/>
    <n v="0"/>
    <m/>
    <m/>
    <n v="0"/>
    <m/>
    <m/>
    <m/>
    <m/>
    <m/>
    <m/>
    <n v="0"/>
    <n v="0"/>
  </r>
  <r>
    <x v="4"/>
    <x v="5"/>
    <s v="Ag Cooperative Extension Service"/>
    <m/>
    <n v="139959"/>
    <x v="0"/>
    <m/>
    <m/>
    <n v="29365384"/>
    <n v="30465088"/>
    <m/>
    <m/>
    <m/>
    <m/>
    <n v="0"/>
    <m/>
    <m/>
    <n v="0"/>
    <n v="29365384"/>
    <n v="30465088"/>
    <m/>
    <m/>
    <m/>
    <m/>
    <n v="0"/>
    <m/>
    <m/>
    <n v="0"/>
    <m/>
    <m/>
    <m/>
    <m/>
    <m/>
    <m/>
    <n v="29365384"/>
    <n v="30465088"/>
  </r>
  <r>
    <x v="4"/>
    <x v="6"/>
    <s v="Ag Experiment Stations"/>
    <m/>
    <n v="139959"/>
    <x v="0"/>
    <m/>
    <m/>
    <n v="35233027"/>
    <n v="36858936"/>
    <m/>
    <m/>
    <m/>
    <m/>
    <n v="0"/>
    <m/>
    <m/>
    <n v="0"/>
    <n v="35233027"/>
    <n v="36858936"/>
    <m/>
    <m/>
    <m/>
    <m/>
    <n v="0"/>
    <m/>
    <m/>
    <n v="0"/>
    <m/>
    <m/>
    <m/>
    <m/>
    <m/>
    <m/>
    <n v="35233027"/>
    <n v="36858936"/>
  </r>
  <r>
    <x v="4"/>
    <x v="7"/>
    <s v="Research Units"/>
    <m/>
    <n v="139959"/>
    <x v="0"/>
    <m/>
    <m/>
    <m/>
    <m/>
    <m/>
    <m/>
    <m/>
    <m/>
    <n v="0"/>
    <m/>
    <m/>
    <n v="0"/>
    <n v="0"/>
    <n v="0"/>
    <m/>
    <m/>
    <m/>
    <m/>
    <n v="0"/>
    <m/>
    <m/>
    <n v="0"/>
    <m/>
    <m/>
    <m/>
    <m/>
    <m/>
    <m/>
    <n v="0"/>
    <n v="0"/>
  </r>
  <r>
    <x v="4"/>
    <x v="7"/>
    <s v="Marine Extension Service"/>
    <m/>
    <n v="139959"/>
    <x v="0"/>
    <m/>
    <m/>
    <n v="1179252"/>
    <n v="1214511"/>
    <m/>
    <m/>
    <m/>
    <m/>
    <n v="0"/>
    <m/>
    <m/>
    <n v="0"/>
    <n v="1179252"/>
    <n v="1214511"/>
    <m/>
    <m/>
    <m/>
    <m/>
    <n v="0"/>
    <m/>
    <m/>
    <n v="0"/>
    <m/>
    <m/>
    <m/>
    <m/>
    <m/>
    <m/>
    <n v="1179252"/>
    <n v="1214511"/>
  </r>
  <r>
    <x v="4"/>
    <x v="7"/>
    <s v="Vet Med Exp Station"/>
    <m/>
    <n v="139959"/>
    <x v="0"/>
    <m/>
    <m/>
    <n v="2569841"/>
    <n v="2618043"/>
    <m/>
    <m/>
    <m/>
    <m/>
    <n v="0"/>
    <m/>
    <m/>
    <n v="0"/>
    <n v="2569841"/>
    <n v="2618043"/>
    <m/>
    <m/>
    <m/>
    <m/>
    <n v="0"/>
    <m/>
    <m/>
    <n v="0"/>
    <m/>
    <m/>
    <m/>
    <m/>
    <m/>
    <m/>
    <n v="2569841"/>
    <n v="2618043"/>
  </r>
  <r>
    <x v="4"/>
    <x v="7"/>
    <s v="Marine Institute"/>
    <m/>
    <n v="139959"/>
    <x v="0"/>
    <m/>
    <m/>
    <n v="714567"/>
    <n v="728632"/>
    <m/>
    <m/>
    <m/>
    <m/>
    <n v="0"/>
    <m/>
    <m/>
    <n v="0"/>
    <n v="714567"/>
    <n v="728632"/>
    <m/>
    <m/>
    <m/>
    <m/>
    <n v="0"/>
    <m/>
    <m/>
    <n v="0"/>
    <m/>
    <m/>
    <m/>
    <m/>
    <m/>
    <m/>
    <n v="714567"/>
    <n v="728632"/>
  </r>
  <r>
    <x v="4"/>
    <x v="7"/>
    <s v="Forest Research"/>
    <m/>
    <n v="139959"/>
    <x v="0"/>
    <m/>
    <m/>
    <n v="3057445"/>
    <n v="3154688"/>
    <m/>
    <m/>
    <m/>
    <m/>
    <n v="0"/>
    <m/>
    <m/>
    <n v="0"/>
    <n v="3057445"/>
    <n v="3154688"/>
    <m/>
    <m/>
    <m/>
    <m/>
    <n v="0"/>
    <m/>
    <m/>
    <n v="0"/>
    <m/>
    <m/>
    <m/>
    <m/>
    <m/>
    <m/>
    <n v="3057445"/>
    <n v="3154688"/>
  </r>
  <r>
    <x v="4"/>
    <x v="7"/>
    <s v="Skidaway Inst of Oceanography"/>
    <m/>
    <n v="139959"/>
    <x v="0"/>
    <m/>
    <m/>
    <n v="2803450"/>
    <n v="2854231"/>
    <m/>
    <m/>
    <m/>
    <m/>
    <n v="0"/>
    <m/>
    <m/>
    <n v="0"/>
    <n v="2803450"/>
    <n v="2854231"/>
    <m/>
    <m/>
    <m/>
    <m/>
    <n v="0"/>
    <m/>
    <m/>
    <n v="0"/>
    <m/>
    <m/>
    <m/>
    <m/>
    <m/>
    <m/>
    <n v="2803450"/>
    <n v="2854231"/>
  </r>
  <r>
    <x v="4"/>
    <x v="0"/>
    <s v="Georgia Institute of Technology"/>
    <m/>
    <n v="139755"/>
    <x v="1"/>
    <n v="209550458"/>
    <n v="214351028"/>
    <m/>
    <m/>
    <m/>
    <m/>
    <n v="329757719"/>
    <m/>
    <n v="329757719"/>
    <n v="362089377"/>
    <m/>
    <n v="362089377"/>
    <n v="539308177"/>
    <n v="576440405"/>
    <m/>
    <m/>
    <m/>
    <m/>
    <n v="0"/>
    <m/>
    <m/>
    <n v="0"/>
    <m/>
    <m/>
    <m/>
    <m/>
    <m/>
    <m/>
    <n v="539308177"/>
    <n v="576440405"/>
  </r>
  <r>
    <x v="4"/>
    <x v="3"/>
    <s v="Public Service Units"/>
    <m/>
    <n v="139755"/>
    <x v="1"/>
    <m/>
    <m/>
    <m/>
    <m/>
    <m/>
    <m/>
    <m/>
    <m/>
    <n v="0"/>
    <m/>
    <m/>
    <n v="0"/>
    <n v="0"/>
    <n v="0"/>
    <m/>
    <m/>
    <m/>
    <m/>
    <n v="0"/>
    <m/>
    <m/>
    <n v="0"/>
    <m/>
    <m/>
    <m/>
    <m/>
    <m/>
    <m/>
    <n v="0"/>
    <n v="0"/>
  </r>
  <r>
    <x v="4"/>
    <x v="3"/>
    <s v="Advanced Technology Development Center"/>
    <m/>
    <n v="139755"/>
    <x v="1"/>
    <m/>
    <m/>
    <n v="7187612"/>
    <n v="7274703"/>
    <m/>
    <m/>
    <m/>
    <m/>
    <n v="0"/>
    <m/>
    <m/>
    <n v="0"/>
    <n v="7187612"/>
    <n v="7274703"/>
    <m/>
    <m/>
    <m/>
    <m/>
    <n v="0"/>
    <m/>
    <m/>
    <n v="0"/>
    <m/>
    <m/>
    <m/>
    <m/>
    <m/>
    <m/>
    <n v="7187612"/>
    <n v="7274703"/>
  </r>
  <r>
    <x v="4"/>
    <x v="7"/>
    <s v="Research Units"/>
    <m/>
    <n v="139755"/>
    <x v="1"/>
    <m/>
    <m/>
    <m/>
    <m/>
    <m/>
    <m/>
    <m/>
    <m/>
    <n v="0"/>
    <m/>
    <m/>
    <n v="0"/>
    <n v="0"/>
    <n v="0"/>
    <m/>
    <m/>
    <m/>
    <m/>
    <n v="0"/>
    <m/>
    <m/>
    <n v="0"/>
    <m/>
    <m/>
    <m/>
    <m/>
    <m/>
    <m/>
    <n v="0"/>
    <n v="0"/>
  </r>
  <r>
    <x v="4"/>
    <x v="43"/>
    <s v="Eng Experiment Station (Ga. Tech. Resch Inst.)"/>
    <m/>
    <n v="139755"/>
    <x v="1"/>
    <m/>
    <m/>
    <n v="5588520"/>
    <n v="5629947"/>
    <m/>
    <m/>
    <m/>
    <m/>
    <n v="0"/>
    <m/>
    <m/>
    <n v="0"/>
    <n v="5588520"/>
    <n v="5629947"/>
    <m/>
    <m/>
    <m/>
    <m/>
    <n v="0"/>
    <m/>
    <m/>
    <n v="0"/>
    <m/>
    <m/>
    <m/>
    <m/>
    <m/>
    <m/>
    <n v="5588520"/>
    <n v="5629947"/>
  </r>
  <r>
    <x v="4"/>
    <x v="0"/>
    <s v="Georgia Southern University"/>
    <m/>
    <n v="139931"/>
    <x v="2"/>
    <n v="81637310"/>
    <n v="85934264"/>
    <m/>
    <m/>
    <m/>
    <m/>
    <n v="117003531"/>
    <m/>
    <n v="117003531"/>
    <n v="119953260"/>
    <m/>
    <n v="119953260"/>
    <n v="198640841"/>
    <n v="205887524"/>
    <m/>
    <m/>
    <m/>
    <m/>
    <n v="0"/>
    <m/>
    <m/>
    <n v="0"/>
    <m/>
    <m/>
    <m/>
    <m/>
    <m/>
    <m/>
    <n v="198640841"/>
    <n v="205887524"/>
  </r>
  <r>
    <x v="4"/>
    <x v="0"/>
    <s v="Kennesaw State University"/>
    <m/>
    <n v="140164"/>
    <x v="2"/>
    <n v="82429443"/>
    <n v="84302621"/>
    <m/>
    <m/>
    <m/>
    <m/>
    <n v="135549412"/>
    <m/>
    <n v="135549412"/>
    <n v="146904599"/>
    <m/>
    <n v="146904599"/>
    <n v="217978855"/>
    <n v="231207220"/>
    <m/>
    <m/>
    <m/>
    <m/>
    <n v="0"/>
    <m/>
    <m/>
    <n v="0"/>
    <m/>
    <m/>
    <m/>
    <m/>
    <m/>
    <m/>
    <n v="217978855"/>
    <n v="231207220"/>
  </r>
  <r>
    <x v="4"/>
    <x v="0"/>
    <s v="University of West Georgia"/>
    <m/>
    <n v="141334"/>
    <x v="2"/>
    <n v="44301877"/>
    <n v="48256788"/>
    <m/>
    <m/>
    <m/>
    <m/>
    <n v="64881304"/>
    <m/>
    <n v="64881304"/>
    <n v="68473990"/>
    <m/>
    <n v="68473990"/>
    <n v="109183181"/>
    <n v="116730778"/>
    <m/>
    <m/>
    <m/>
    <m/>
    <n v="0"/>
    <m/>
    <m/>
    <n v="0"/>
    <m/>
    <m/>
    <m/>
    <m/>
    <m/>
    <m/>
    <n v="109183181"/>
    <n v="116730778"/>
  </r>
  <r>
    <x v="4"/>
    <x v="0"/>
    <s v="Valdosta State University"/>
    <m/>
    <n v="141264"/>
    <x v="2"/>
    <n v="48673777"/>
    <n v="49492789"/>
    <m/>
    <m/>
    <m/>
    <m/>
    <n v="62507046"/>
    <m/>
    <n v="62507046"/>
    <n v="62986544"/>
    <m/>
    <n v="62986544"/>
    <n v="111180823"/>
    <n v="112479333"/>
    <m/>
    <m/>
    <m/>
    <m/>
    <n v="0"/>
    <m/>
    <m/>
    <n v="0"/>
    <m/>
    <m/>
    <m/>
    <m/>
    <m/>
    <m/>
    <n v="111180823"/>
    <n v="112479333"/>
  </r>
  <r>
    <x v="4"/>
    <x v="0"/>
    <s v="Albany State University "/>
    <m/>
    <n v="138716"/>
    <x v="3"/>
    <n v="18940821"/>
    <n v="19482197"/>
    <m/>
    <m/>
    <m/>
    <m/>
    <n v="19297763"/>
    <m/>
    <n v="19297763"/>
    <n v="19676274"/>
    <m/>
    <n v="19676274"/>
    <n v="38238584"/>
    <n v="39158471"/>
    <m/>
    <m/>
    <m/>
    <m/>
    <n v="0"/>
    <m/>
    <m/>
    <n v="0"/>
    <m/>
    <m/>
    <m/>
    <m/>
    <m/>
    <m/>
    <n v="38238584"/>
    <n v="39158471"/>
  </r>
  <r>
    <x v="4"/>
    <x v="0"/>
    <s v="Armstrong Atlantic State University"/>
    <m/>
    <n v="138789"/>
    <x v="3"/>
    <n v="28838670"/>
    <n v="29628154"/>
    <m/>
    <m/>
    <m/>
    <m/>
    <n v="36579115"/>
    <m/>
    <n v="36579115"/>
    <n v="35969951"/>
    <m/>
    <n v="35969951"/>
    <n v="65417785"/>
    <n v="65598105"/>
    <m/>
    <m/>
    <m/>
    <m/>
    <n v="0"/>
    <m/>
    <m/>
    <n v="0"/>
    <m/>
    <m/>
    <m/>
    <m/>
    <m/>
    <m/>
    <n v="65417785"/>
    <n v="65598105"/>
  </r>
  <r>
    <x v="4"/>
    <x v="0"/>
    <s v="Columbus State University"/>
    <m/>
    <n v="139366"/>
    <x v="3"/>
    <n v="33181647"/>
    <n v="33353910"/>
    <m/>
    <m/>
    <m/>
    <m/>
    <n v="42883501"/>
    <m/>
    <n v="42883501"/>
    <n v="44586478"/>
    <m/>
    <n v="44586478"/>
    <n v="76065148"/>
    <n v="77940388"/>
    <m/>
    <m/>
    <m/>
    <m/>
    <n v="0"/>
    <m/>
    <m/>
    <n v="0"/>
    <m/>
    <m/>
    <m/>
    <m/>
    <m/>
    <m/>
    <n v="76065148"/>
    <n v="77940388"/>
  </r>
  <r>
    <x v="4"/>
    <x v="0"/>
    <s v="Georgia College and State University"/>
    <m/>
    <n v="139861"/>
    <x v="3"/>
    <n v="29038579"/>
    <n v="29652653"/>
    <m/>
    <m/>
    <m/>
    <m/>
    <n v="50180775"/>
    <m/>
    <n v="50180775"/>
    <n v="52766180"/>
    <m/>
    <n v="52766180"/>
    <n v="79219354"/>
    <n v="82418833"/>
    <m/>
    <m/>
    <m/>
    <m/>
    <n v="0"/>
    <m/>
    <m/>
    <n v="0"/>
    <m/>
    <m/>
    <m/>
    <m/>
    <m/>
    <m/>
    <n v="79219354"/>
    <n v="82418833"/>
  </r>
  <r>
    <x v="4"/>
    <x v="0"/>
    <s v="Georgia Regents University"/>
    <m/>
    <n v="482149"/>
    <x v="3"/>
    <n v="24720854"/>
    <n v="26740707"/>
    <m/>
    <m/>
    <m/>
    <m/>
    <n v="36084702"/>
    <m/>
    <n v="36084702"/>
    <n v="27710677"/>
    <m/>
    <n v="27710677"/>
    <n v="60805556"/>
    <n v="54451384"/>
    <m/>
    <m/>
    <m/>
    <m/>
    <n v="0"/>
    <m/>
    <m/>
    <n v="0"/>
    <m/>
    <m/>
    <m/>
    <m/>
    <m/>
    <m/>
    <n v="60805556"/>
    <n v="54451384"/>
  </r>
  <r>
    <x v="4"/>
    <x v="1"/>
    <s v="Heatlh Professions Education"/>
    <m/>
    <n v="482149"/>
    <x v="3"/>
    <m/>
    <m/>
    <m/>
    <m/>
    <m/>
    <m/>
    <m/>
    <m/>
    <n v="0"/>
    <m/>
    <m/>
    <n v="0"/>
    <n v="0"/>
    <n v="0"/>
    <m/>
    <m/>
    <m/>
    <m/>
    <n v="0"/>
    <m/>
    <m/>
    <n v="0"/>
    <n v="177232939"/>
    <n v="189614274"/>
    <n v="43211088"/>
    <m/>
    <n v="55494799"/>
    <m/>
    <n v="220444027"/>
    <n v="245109073"/>
  </r>
  <r>
    <x v="4"/>
    <x v="0"/>
    <s v="University of North Georgia"/>
    <m/>
    <n v="482680"/>
    <x v="3"/>
    <n v="45277086"/>
    <n v="49381387"/>
    <m/>
    <m/>
    <m/>
    <m/>
    <n v="63605080"/>
    <m/>
    <n v="63605080"/>
    <n v="70243981"/>
    <m/>
    <n v="70243981"/>
    <n v="108882166"/>
    <n v="119625368"/>
    <m/>
    <m/>
    <m/>
    <m/>
    <n v="0"/>
    <m/>
    <m/>
    <n v="0"/>
    <m/>
    <m/>
    <m/>
    <m/>
    <m/>
    <m/>
    <n v="108882166"/>
    <n v="119625368"/>
  </r>
  <r>
    <x v="4"/>
    <x v="0"/>
    <s v="Clayton State University"/>
    <s v="Reclassified: met the criteria for Four-Year 4 in 2012-13, 2013-14, and 2014-15."/>
    <n v="139311"/>
    <x v="3"/>
    <n v="23414055"/>
    <n v="24192783"/>
    <m/>
    <m/>
    <m/>
    <m/>
    <n v="32115044"/>
    <m/>
    <n v="32115044"/>
    <n v="31842429"/>
    <m/>
    <n v="31842429"/>
    <n v="55529099"/>
    <n v="56035212"/>
    <m/>
    <m/>
    <m/>
    <m/>
    <n v="0"/>
    <m/>
    <m/>
    <n v="0"/>
    <m/>
    <m/>
    <m/>
    <m/>
    <m/>
    <m/>
    <n v="55529099"/>
    <n v="56035212"/>
  </r>
  <r>
    <x v="4"/>
    <x v="0"/>
    <s v="Fort Valley State University"/>
    <s v="Met the criteria for Four-Year 4 in 2013-14 and 2014-15."/>
    <n v="139719"/>
    <x v="4"/>
    <n v="24005877"/>
    <n v="23428988"/>
    <m/>
    <m/>
    <m/>
    <m/>
    <n v="15088186"/>
    <m/>
    <n v="15088186"/>
    <n v="12514525"/>
    <m/>
    <n v="12514525"/>
    <n v="39094063"/>
    <n v="35943513"/>
    <m/>
    <m/>
    <m/>
    <m/>
    <n v="0"/>
    <m/>
    <m/>
    <n v="0"/>
    <m/>
    <m/>
    <m/>
    <m/>
    <m/>
    <m/>
    <n v="39094063"/>
    <n v="35943513"/>
  </r>
  <r>
    <x v="4"/>
    <x v="0"/>
    <s v="Georgia Southwestern State University"/>
    <m/>
    <n v="139764"/>
    <x v="4"/>
    <n v="11869936"/>
    <n v="12089175"/>
    <m/>
    <m/>
    <m/>
    <m/>
    <n v="14020481"/>
    <m/>
    <n v="14020481"/>
    <n v="13701589"/>
    <m/>
    <n v="13701589"/>
    <n v="25890417"/>
    <n v="25790764"/>
    <m/>
    <m/>
    <m/>
    <m/>
    <n v="0"/>
    <m/>
    <m/>
    <n v="0"/>
    <m/>
    <m/>
    <m/>
    <m/>
    <m/>
    <m/>
    <n v="25890417"/>
    <n v="25790764"/>
  </r>
  <r>
    <x v="4"/>
    <x v="0"/>
    <s v="Savannah State University"/>
    <m/>
    <n v="140960"/>
    <x v="4"/>
    <n v="18671267"/>
    <n v="19467891"/>
    <m/>
    <m/>
    <m/>
    <m/>
    <n v="24243021"/>
    <m/>
    <n v="24243021"/>
    <n v="24304156"/>
    <m/>
    <n v="24304156"/>
    <n v="42914288"/>
    <n v="43772047"/>
    <m/>
    <m/>
    <m/>
    <m/>
    <n v="0"/>
    <m/>
    <m/>
    <n v="0"/>
    <m/>
    <m/>
    <m/>
    <m/>
    <m/>
    <m/>
    <n v="42914288"/>
    <n v="43772047"/>
  </r>
  <r>
    <x v="4"/>
    <x v="0"/>
    <s v="Dalton State College "/>
    <m/>
    <n v="139463"/>
    <x v="5"/>
    <n v="14043992"/>
    <n v="14345612"/>
    <m/>
    <m/>
    <m/>
    <m/>
    <n v="13495209"/>
    <m/>
    <n v="13495209"/>
    <n v="13631582"/>
    <m/>
    <n v="13631582"/>
    <n v="27539201"/>
    <n v="27977194"/>
    <m/>
    <m/>
    <m/>
    <m/>
    <n v="0"/>
    <m/>
    <m/>
    <n v="0"/>
    <m/>
    <m/>
    <m/>
    <m/>
    <m/>
    <m/>
    <n v="27539201"/>
    <n v="27977194"/>
  </r>
  <r>
    <x v="4"/>
    <x v="9"/>
    <s v="Georgia Gwinnett College"/>
    <m/>
    <n v="447689"/>
    <x v="5"/>
    <n v="39791420"/>
    <n v="44877063"/>
    <m/>
    <m/>
    <m/>
    <m/>
    <n v="35671148"/>
    <m/>
    <n v="35671148"/>
    <n v="40025270"/>
    <m/>
    <n v="40025270"/>
    <n v="75462568"/>
    <n v="84902333"/>
    <m/>
    <m/>
    <m/>
    <m/>
    <n v="0"/>
    <m/>
    <m/>
    <n v="0"/>
    <m/>
    <m/>
    <m/>
    <m/>
    <m/>
    <m/>
    <n v="75462568"/>
    <n v="84902333"/>
  </r>
  <r>
    <x v="4"/>
    <x v="0"/>
    <s v="Middle Georgia State College"/>
    <m/>
    <n v="482158"/>
    <x v="5"/>
    <n v="34390867"/>
    <n v="32814498"/>
    <m/>
    <m/>
    <m/>
    <m/>
    <n v="24445234"/>
    <m/>
    <n v="24445234"/>
    <n v="23556028"/>
    <m/>
    <n v="23556028"/>
    <n v="58836101"/>
    <n v="56370526"/>
    <m/>
    <m/>
    <m/>
    <m/>
    <n v="0"/>
    <m/>
    <m/>
    <n v="0"/>
    <m/>
    <m/>
    <m/>
    <m/>
    <m/>
    <m/>
    <n v="58836101"/>
    <n v="56370526"/>
  </r>
  <r>
    <x v="4"/>
    <x v="0"/>
    <s v="Abraham Baldwin Agricultural College "/>
    <m/>
    <n v="138558"/>
    <x v="14"/>
    <n v="13421632"/>
    <n v="13884816"/>
    <m/>
    <m/>
    <m/>
    <m/>
    <n v="10285856"/>
    <m/>
    <n v="10285856"/>
    <n v="10681407"/>
    <m/>
    <n v="10681407"/>
    <n v="23707488"/>
    <n v="24566223"/>
    <m/>
    <m/>
    <m/>
    <m/>
    <n v="0"/>
    <m/>
    <m/>
    <n v="0"/>
    <m/>
    <m/>
    <m/>
    <m/>
    <m/>
    <m/>
    <n v="23707488"/>
    <n v="24566223"/>
  </r>
  <r>
    <x v="4"/>
    <x v="0"/>
    <s v="College of Coastal Georgia"/>
    <s v="Met the criteria for Four-Year 6 in 2014-15. "/>
    <n v="139250"/>
    <x v="14"/>
    <n v="13958960"/>
    <n v="13935828"/>
    <m/>
    <m/>
    <m/>
    <m/>
    <n v="8822136"/>
    <m/>
    <n v="8822136"/>
    <n v="8961856"/>
    <m/>
    <n v="8961856"/>
    <n v="22781096"/>
    <n v="22897684"/>
    <m/>
    <m/>
    <m/>
    <m/>
    <n v="0"/>
    <m/>
    <m/>
    <n v="0"/>
    <m/>
    <m/>
    <m/>
    <m/>
    <m/>
    <m/>
    <n v="22781096"/>
    <n v="22897684"/>
  </r>
  <r>
    <x v="4"/>
    <x v="0"/>
    <s v="Gordon State College "/>
    <m/>
    <n v="139968"/>
    <x v="14"/>
    <n v="11295645"/>
    <n v="12019257"/>
    <m/>
    <m/>
    <m/>
    <m/>
    <n v="11623896"/>
    <m/>
    <n v="11623896"/>
    <n v="11190209"/>
    <m/>
    <n v="11190209"/>
    <n v="22919541"/>
    <n v="23209466"/>
    <m/>
    <m/>
    <m/>
    <m/>
    <n v="0"/>
    <m/>
    <m/>
    <n v="0"/>
    <m/>
    <m/>
    <m/>
    <m/>
    <m/>
    <m/>
    <n v="22919541"/>
    <n v="23209466"/>
  </r>
  <r>
    <x v="4"/>
    <x v="0"/>
    <s v="Georgia Perimeter College "/>
    <m/>
    <n v="244437"/>
    <x v="6"/>
    <n v="56886594"/>
    <n v="52238491"/>
    <m/>
    <m/>
    <m/>
    <m/>
    <n v="57412699"/>
    <m/>
    <n v="57412699"/>
    <n v="63302890"/>
    <m/>
    <n v="63302890"/>
    <n v="114299293"/>
    <n v="115541381"/>
    <m/>
    <m/>
    <m/>
    <m/>
    <n v="0"/>
    <m/>
    <m/>
    <n v="0"/>
    <m/>
    <m/>
    <m/>
    <m/>
    <m/>
    <m/>
    <n v="114299293"/>
    <n v="115541381"/>
  </r>
  <r>
    <x v="4"/>
    <x v="0"/>
    <s v="Atlanta Metropolitan State College"/>
    <s v="Met the criteria for Two-Year with Bachelor's in 2014-15. "/>
    <n v="138901"/>
    <x v="7"/>
    <n v="8907405"/>
    <n v="9642996"/>
    <m/>
    <m/>
    <m/>
    <m/>
    <n v="8559342"/>
    <m/>
    <n v="8559342"/>
    <n v="8834067"/>
    <m/>
    <n v="8834067"/>
    <n v="17466747"/>
    <n v="18477063"/>
    <m/>
    <m/>
    <m/>
    <m/>
    <n v="0"/>
    <m/>
    <m/>
    <n v="0"/>
    <m/>
    <m/>
    <m/>
    <m/>
    <m/>
    <m/>
    <n v="17466747"/>
    <n v="18477063"/>
  </r>
  <r>
    <x v="4"/>
    <x v="0"/>
    <s v="Bainbridge State College "/>
    <s v="Met the criteria for Two-Year 3 in 2014-15."/>
    <n v="139010"/>
    <x v="7"/>
    <n v="10007069"/>
    <n v="8146353"/>
    <m/>
    <m/>
    <m/>
    <m/>
    <n v="6357131"/>
    <m/>
    <n v="6357131"/>
    <n v="5801440"/>
    <m/>
    <n v="5801440"/>
    <n v="16364200"/>
    <n v="13947793"/>
    <m/>
    <m/>
    <m/>
    <m/>
    <n v="0"/>
    <m/>
    <m/>
    <n v="0"/>
    <m/>
    <m/>
    <m/>
    <m/>
    <m/>
    <m/>
    <n v="16364200"/>
    <n v="13947793"/>
  </r>
  <r>
    <x v="4"/>
    <x v="0"/>
    <s v="Darton State College "/>
    <s v="Met the criteria for Two-Year with Bachelor's in 2014-15. "/>
    <n v="138691"/>
    <x v="7"/>
    <n v="15537414"/>
    <n v="17023516"/>
    <m/>
    <m/>
    <m/>
    <m/>
    <n v="15311335"/>
    <m/>
    <n v="15311335"/>
    <n v="15021768"/>
    <m/>
    <n v="15021768"/>
    <n v="30848749"/>
    <n v="32045284"/>
    <m/>
    <m/>
    <m/>
    <m/>
    <n v="0"/>
    <m/>
    <m/>
    <n v="0"/>
    <m/>
    <m/>
    <m/>
    <m/>
    <m/>
    <m/>
    <n v="30848749"/>
    <n v="32045284"/>
  </r>
  <r>
    <x v="4"/>
    <x v="0"/>
    <s v="East Georgia State College"/>
    <s v="Met the criteria for Two-Year with Bachelor's in 2014-15. "/>
    <n v="139621"/>
    <x v="7"/>
    <n v="7617744"/>
    <n v="7095912"/>
    <m/>
    <m/>
    <m/>
    <m/>
    <n v="7740370"/>
    <m/>
    <n v="7740370"/>
    <n v="7951121"/>
    <m/>
    <n v="7951121"/>
    <n v="15358114"/>
    <n v="15047033"/>
    <m/>
    <m/>
    <m/>
    <m/>
    <n v="0"/>
    <m/>
    <m/>
    <n v="0"/>
    <m/>
    <m/>
    <m/>
    <m/>
    <m/>
    <m/>
    <n v="15358114"/>
    <n v="15047033"/>
  </r>
  <r>
    <x v="4"/>
    <x v="0"/>
    <s v="Georgia Highlands College "/>
    <m/>
    <n v="139700"/>
    <x v="7"/>
    <n v="14486960"/>
    <n v="14754501"/>
    <m/>
    <m/>
    <m/>
    <m/>
    <n v="13240770"/>
    <m/>
    <n v="13240770"/>
    <n v="13470789"/>
    <m/>
    <n v="13470789"/>
    <n v="27727730"/>
    <n v="28225290"/>
    <m/>
    <m/>
    <m/>
    <m/>
    <n v="0"/>
    <m/>
    <m/>
    <n v="0"/>
    <m/>
    <m/>
    <m/>
    <m/>
    <m/>
    <m/>
    <n v="27727730"/>
    <n v="28225290"/>
  </r>
  <r>
    <x v="4"/>
    <x v="0"/>
    <s v="South Georgia State College"/>
    <s v="Met the criteria for Two-Year with Bachelor's in 2014-15. "/>
    <n v="482699"/>
    <x v="7"/>
    <n v="11013133"/>
    <n v="10991841"/>
    <m/>
    <m/>
    <m/>
    <m/>
    <n v="6910724"/>
    <m/>
    <n v="6910724"/>
    <n v="6778281"/>
    <m/>
    <n v="6778281"/>
    <n v="17923857"/>
    <n v="17770122"/>
    <m/>
    <m/>
    <m/>
    <m/>
    <n v="0"/>
    <m/>
    <m/>
    <n v="0"/>
    <m/>
    <m/>
    <m/>
    <m/>
    <m/>
    <m/>
    <n v="17923857"/>
    <n v="17770122"/>
  </r>
  <r>
    <x v="4"/>
    <x v="9"/>
    <s v="Southern Polytechnic State University"/>
    <m/>
    <n v="141097"/>
    <x v="11"/>
    <m/>
    <m/>
    <m/>
    <m/>
    <m/>
    <m/>
    <m/>
    <m/>
    <n v="0"/>
    <m/>
    <m/>
    <n v="0"/>
    <n v="0"/>
    <n v="0"/>
    <n v="21375236"/>
    <n v="23520748"/>
    <n v="36426718"/>
    <m/>
    <n v="36426718"/>
    <n v="39108709"/>
    <m/>
    <n v="39108709"/>
    <m/>
    <m/>
    <m/>
    <m/>
    <m/>
    <m/>
    <n v="57801954"/>
    <n v="62629457"/>
  </r>
  <r>
    <x v="4"/>
    <x v="10"/>
    <s v="Statewide Special-Purpose Units"/>
    <m/>
    <m/>
    <x v="12"/>
    <m/>
    <m/>
    <m/>
    <m/>
    <m/>
    <m/>
    <m/>
    <m/>
    <n v="0"/>
    <m/>
    <m/>
    <n v="0"/>
    <n v="0"/>
    <n v="0"/>
    <m/>
    <m/>
    <m/>
    <m/>
    <n v="0"/>
    <m/>
    <m/>
    <n v="0"/>
    <m/>
    <m/>
    <m/>
    <m/>
    <m/>
    <m/>
    <n v="0"/>
    <n v="0"/>
  </r>
  <r>
    <x v="4"/>
    <x v="11"/>
    <s v="Research centers/institutes"/>
    <m/>
    <m/>
    <x v="12"/>
    <m/>
    <m/>
    <m/>
    <m/>
    <m/>
    <m/>
    <m/>
    <m/>
    <n v="0"/>
    <m/>
    <m/>
    <n v="0"/>
    <n v="0"/>
    <n v="0"/>
    <m/>
    <m/>
    <m/>
    <m/>
    <n v="0"/>
    <m/>
    <m/>
    <n v="0"/>
    <m/>
    <m/>
    <m/>
    <m/>
    <m/>
    <m/>
    <n v="0"/>
    <n v="0"/>
  </r>
  <r>
    <x v="4"/>
    <x v="11"/>
    <s v="Georgia Archives"/>
    <m/>
    <m/>
    <x v="12"/>
    <m/>
    <m/>
    <n v="4151428"/>
    <n v="4627469"/>
    <m/>
    <m/>
    <m/>
    <m/>
    <n v="0"/>
    <m/>
    <m/>
    <n v="0"/>
    <n v="4151428"/>
    <n v="4627469"/>
    <m/>
    <m/>
    <m/>
    <m/>
    <n v="0"/>
    <m/>
    <m/>
    <n v="0"/>
    <m/>
    <m/>
    <m/>
    <m/>
    <m/>
    <m/>
    <n v="4151428"/>
    <n v="4627469"/>
  </r>
  <r>
    <x v="4"/>
    <x v="11"/>
    <s v="Georgia Public Libraries"/>
    <m/>
    <m/>
    <x v="12"/>
    <m/>
    <m/>
    <n v="31497624"/>
    <n v="32310084"/>
    <m/>
    <m/>
    <m/>
    <m/>
    <n v="0"/>
    <m/>
    <m/>
    <n v="0"/>
    <n v="31497624"/>
    <n v="32310084"/>
    <m/>
    <m/>
    <m/>
    <m/>
    <n v="0"/>
    <m/>
    <m/>
    <n v="0"/>
    <m/>
    <m/>
    <m/>
    <m/>
    <m/>
    <m/>
    <n v="31497624"/>
    <n v="32310084"/>
  </r>
  <r>
    <x v="4"/>
    <x v="13"/>
    <s v="Education special purpose funds -all other"/>
    <m/>
    <m/>
    <x v="12"/>
    <m/>
    <m/>
    <m/>
    <m/>
    <m/>
    <m/>
    <m/>
    <m/>
    <n v="0"/>
    <m/>
    <m/>
    <n v="0"/>
    <n v="0"/>
    <n v="0"/>
    <m/>
    <m/>
    <m/>
    <m/>
    <n v="0"/>
    <m/>
    <m/>
    <n v="0"/>
    <m/>
    <m/>
    <m/>
    <m/>
    <m/>
    <m/>
    <n v="0"/>
    <n v="0"/>
  </r>
  <r>
    <x v="4"/>
    <x v="13"/>
    <s v="Residence Instruction Reserve"/>
    <m/>
    <m/>
    <x v="12"/>
    <m/>
    <m/>
    <n v="0"/>
    <n v="0"/>
    <m/>
    <m/>
    <m/>
    <m/>
    <n v="0"/>
    <m/>
    <m/>
    <n v="0"/>
    <n v="0"/>
    <n v="0"/>
    <m/>
    <m/>
    <m/>
    <m/>
    <n v="0"/>
    <m/>
    <m/>
    <n v="0"/>
    <m/>
    <m/>
    <m/>
    <m/>
    <m/>
    <m/>
    <n v="0"/>
    <n v="0"/>
  </r>
  <r>
    <x v="4"/>
    <x v="13"/>
    <s v="Office of Information and Instructional Technology"/>
    <m/>
    <m/>
    <x v="12"/>
    <m/>
    <m/>
    <n v="27116683"/>
    <n v="27436645"/>
    <m/>
    <m/>
    <m/>
    <m/>
    <n v="0"/>
    <m/>
    <m/>
    <n v="0"/>
    <n v="27116683"/>
    <n v="27436645"/>
    <m/>
    <m/>
    <m/>
    <m/>
    <n v="0"/>
    <m/>
    <m/>
    <n v="0"/>
    <m/>
    <m/>
    <m/>
    <m/>
    <m/>
    <m/>
    <n v="27116683"/>
    <n v="27436645"/>
  </r>
  <r>
    <x v="4"/>
    <x v="13"/>
    <s v="(SHARED SERVICES) University System Regents"/>
    <m/>
    <m/>
    <x v="12"/>
    <m/>
    <m/>
    <n v="8718211"/>
    <n v="8933883"/>
    <m/>
    <m/>
    <m/>
    <m/>
    <n v="0"/>
    <m/>
    <m/>
    <n v="0"/>
    <n v="8718211"/>
    <n v="8933883"/>
    <m/>
    <m/>
    <m/>
    <m/>
    <n v="0"/>
    <m/>
    <m/>
    <n v="0"/>
    <m/>
    <m/>
    <m/>
    <m/>
    <m/>
    <m/>
    <n v="8718211"/>
    <n v="8933883"/>
  </r>
  <r>
    <x v="4"/>
    <x v="13"/>
    <s v="&quot;RCO A&quot;"/>
    <m/>
    <m/>
    <x v="12"/>
    <m/>
    <m/>
    <n v="25551107"/>
    <n v="27181607"/>
    <m/>
    <m/>
    <m/>
    <m/>
    <n v="0"/>
    <m/>
    <m/>
    <n v="0"/>
    <n v="25551107"/>
    <n v="27181607"/>
    <m/>
    <m/>
    <m/>
    <m/>
    <n v="0"/>
    <m/>
    <m/>
    <n v="0"/>
    <m/>
    <m/>
    <m/>
    <m/>
    <m/>
    <m/>
    <n v="25551107"/>
    <n v="27181607"/>
  </r>
  <r>
    <x v="4"/>
    <x v="14"/>
    <s v="Statewide System Operations"/>
    <m/>
    <m/>
    <x v="12"/>
    <m/>
    <m/>
    <m/>
    <m/>
    <m/>
    <m/>
    <m/>
    <m/>
    <n v="0"/>
    <m/>
    <m/>
    <n v="0"/>
    <n v="0"/>
    <n v="0"/>
    <m/>
    <m/>
    <m/>
    <m/>
    <n v="0"/>
    <m/>
    <m/>
    <n v="0"/>
    <m/>
    <m/>
    <m/>
    <m/>
    <m/>
    <m/>
    <n v="0"/>
    <n v="0"/>
  </r>
  <r>
    <x v="4"/>
    <x v="15"/>
    <s v="Colleges and universities"/>
    <m/>
    <m/>
    <x v="12"/>
    <m/>
    <m/>
    <m/>
    <m/>
    <m/>
    <m/>
    <m/>
    <m/>
    <n v="0"/>
    <m/>
    <m/>
    <n v="0"/>
    <n v="0"/>
    <n v="0"/>
    <m/>
    <m/>
    <m/>
    <m/>
    <n v="0"/>
    <m/>
    <m/>
    <n v="0"/>
    <m/>
    <m/>
    <m/>
    <m/>
    <m/>
    <m/>
    <n v="0"/>
    <n v="0"/>
  </r>
  <r>
    <x v="4"/>
    <x v="15"/>
    <s v="&quot;RCO B&quot;"/>
    <m/>
    <m/>
    <x v="12"/>
    <m/>
    <m/>
    <m/>
    <m/>
    <m/>
    <m/>
    <m/>
    <m/>
    <n v="0"/>
    <m/>
    <m/>
    <n v="0"/>
    <n v="0"/>
    <n v="0"/>
    <n v="7190038"/>
    <n v="10309308"/>
    <m/>
    <m/>
    <n v="0"/>
    <m/>
    <m/>
    <n v="0"/>
    <m/>
    <m/>
    <m/>
    <m/>
    <m/>
    <m/>
    <n v="7190038"/>
    <n v="10309308"/>
  </r>
  <r>
    <x v="4"/>
    <x v="17"/>
    <s v="National or regional associations, compacts or consortia"/>
    <m/>
    <m/>
    <x v="12"/>
    <m/>
    <m/>
    <m/>
    <m/>
    <m/>
    <m/>
    <m/>
    <m/>
    <n v="0"/>
    <m/>
    <m/>
    <n v="0"/>
    <n v="0"/>
    <n v="0"/>
    <m/>
    <m/>
    <m/>
    <m/>
    <n v="0"/>
    <m/>
    <m/>
    <n v="0"/>
    <m/>
    <m/>
    <m/>
    <m/>
    <m/>
    <m/>
    <n v="0"/>
    <n v="0"/>
  </r>
  <r>
    <x v="4"/>
    <x v="17"/>
    <s v="SREB membership"/>
    <m/>
    <m/>
    <x v="12"/>
    <m/>
    <m/>
    <m/>
    <m/>
    <m/>
    <m/>
    <m/>
    <m/>
    <n v="0"/>
    <m/>
    <m/>
    <n v="0"/>
    <n v="0"/>
    <n v="0"/>
    <n v="193550"/>
    <n v="199360"/>
    <m/>
    <m/>
    <n v="0"/>
    <m/>
    <m/>
    <n v="0"/>
    <m/>
    <m/>
    <m/>
    <m/>
    <m/>
    <m/>
    <n v="193550"/>
    <n v="199360"/>
  </r>
  <r>
    <x v="4"/>
    <x v="17"/>
    <s v="Doctoral Scholars"/>
    <m/>
    <m/>
    <x v="12"/>
    <m/>
    <m/>
    <m/>
    <m/>
    <m/>
    <m/>
    <m/>
    <m/>
    <n v="0"/>
    <m/>
    <m/>
    <n v="0"/>
    <n v="0"/>
    <n v="0"/>
    <n v="498000"/>
    <n v="500000"/>
    <m/>
    <m/>
    <n v="0"/>
    <m/>
    <m/>
    <n v="0"/>
    <m/>
    <m/>
    <m/>
    <m/>
    <m/>
    <m/>
    <n v="498000"/>
    <n v="500000"/>
  </r>
  <r>
    <x v="4"/>
    <x v="18"/>
    <s v="Adm. of Statewide Student Aid Progs. (incldng centralized guaranteed student loans)"/>
    <m/>
    <m/>
    <x v="12"/>
    <m/>
    <m/>
    <m/>
    <m/>
    <m/>
    <m/>
    <m/>
    <m/>
    <n v="0"/>
    <m/>
    <m/>
    <n v="0"/>
    <n v="0"/>
    <n v="0"/>
    <m/>
    <m/>
    <m/>
    <m/>
    <n v="0"/>
    <m/>
    <m/>
    <n v="0"/>
    <m/>
    <m/>
    <m/>
    <m/>
    <m/>
    <m/>
    <n v="0"/>
    <n v="0"/>
  </r>
  <r>
    <x v="4"/>
    <x v="18"/>
    <s v="Ga Student Finance Commission"/>
    <m/>
    <m/>
    <x v="12"/>
    <m/>
    <m/>
    <m/>
    <m/>
    <m/>
    <m/>
    <m/>
    <m/>
    <n v="0"/>
    <m/>
    <m/>
    <n v="0"/>
    <n v="0"/>
    <n v="0"/>
    <m/>
    <m/>
    <m/>
    <m/>
    <n v="0"/>
    <m/>
    <m/>
    <n v="0"/>
    <m/>
    <m/>
    <m/>
    <m/>
    <m/>
    <m/>
    <n v="0"/>
    <n v="0"/>
  </r>
  <r>
    <x v="4"/>
    <x v="19"/>
    <s v="State Support to Private Colleges Other Than Student Aid"/>
    <m/>
    <m/>
    <x v="12"/>
    <m/>
    <m/>
    <m/>
    <m/>
    <m/>
    <m/>
    <m/>
    <m/>
    <n v="0"/>
    <m/>
    <m/>
    <n v="0"/>
    <n v="0"/>
    <n v="0"/>
    <m/>
    <m/>
    <m/>
    <m/>
    <n v="0"/>
    <m/>
    <m/>
    <n v="0"/>
    <m/>
    <m/>
    <m/>
    <m/>
    <m/>
    <m/>
    <n v="0"/>
    <n v="0"/>
  </r>
  <r>
    <x v="4"/>
    <x v="19"/>
    <s v="Ga Military College"/>
    <m/>
    <m/>
    <x v="12"/>
    <m/>
    <m/>
    <m/>
    <m/>
    <m/>
    <m/>
    <m/>
    <m/>
    <n v="0"/>
    <m/>
    <m/>
    <n v="0"/>
    <n v="0"/>
    <n v="0"/>
    <n v="2288309"/>
    <n v="2329780"/>
    <m/>
    <m/>
    <n v="0"/>
    <m/>
    <m/>
    <n v="0"/>
    <m/>
    <m/>
    <m/>
    <m/>
    <m/>
    <m/>
    <n v="2288309"/>
    <n v="2329780"/>
  </r>
  <r>
    <x v="4"/>
    <x v="19"/>
    <s v="Mercer University (Medicine)"/>
    <m/>
    <m/>
    <x v="12"/>
    <m/>
    <m/>
    <m/>
    <m/>
    <m/>
    <m/>
    <m/>
    <m/>
    <n v="0"/>
    <m/>
    <m/>
    <n v="0"/>
    <n v="0"/>
    <n v="0"/>
    <n v="20969911"/>
    <n v="22769911"/>
    <m/>
    <m/>
    <n v="0"/>
    <m/>
    <m/>
    <n v="0"/>
    <m/>
    <m/>
    <m/>
    <m/>
    <m/>
    <m/>
    <n v="20969911"/>
    <n v="22769911"/>
  </r>
  <r>
    <x v="4"/>
    <x v="19"/>
    <s v="Morehouse School of Medicine"/>
    <m/>
    <m/>
    <x v="12"/>
    <m/>
    <m/>
    <m/>
    <m/>
    <m/>
    <m/>
    <m/>
    <m/>
    <n v="0"/>
    <m/>
    <m/>
    <n v="0"/>
    <n v="0"/>
    <n v="0"/>
    <n v="10933643"/>
    <n v="15933643"/>
    <m/>
    <m/>
    <n v="0"/>
    <m/>
    <m/>
    <n v="0"/>
    <m/>
    <m/>
    <m/>
    <m/>
    <m/>
    <m/>
    <n v="10933643"/>
    <n v="15933643"/>
  </r>
  <r>
    <x v="4"/>
    <x v="20"/>
    <s v="Contract Education Programs"/>
    <m/>
    <m/>
    <x v="12"/>
    <m/>
    <m/>
    <m/>
    <m/>
    <m/>
    <m/>
    <m/>
    <m/>
    <n v="0"/>
    <m/>
    <m/>
    <n v="0"/>
    <n v="0"/>
    <n v="0"/>
    <m/>
    <m/>
    <m/>
    <m/>
    <n v="0"/>
    <m/>
    <m/>
    <n v="0"/>
    <m/>
    <m/>
    <m/>
    <m/>
    <m/>
    <m/>
    <n v="0"/>
    <n v="0"/>
  </r>
  <r>
    <x v="4"/>
    <x v="21"/>
    <s v="SREB contract program with private colleges"/>
    <m/>
    <m/>
    <x v="12"/>
    <m/>
    <m/>
    <m/>
    <m/>
    <m/>
    <m/>
    <m/>
    <m/>
    <n v="0"/>
    <m/>
    <m/>
    <n v="0"/>
    <n v="0"/>
    <n v="0"/>
    <m/>
    <m/>
    <m/>
    <m/>
    <n v="0"/>
    <m/>
    <m/>
    <n v="0"/>
    <m/>
    <m/>
    <m/>
    <m/>
    <m/>
    <m/>
    <n v="0"/>
    <n v="0"/>
  </r>
  <r>
    <x v="4"/>
    <x v="21"/>
    <s v="Georgia Military College"/>
    <m/>
    <m/>
    <x v="12"/>
    <m/>
    <m/>
    <m/>
    <m/>
    <m/>
    <m/>
    <m/>
    <m/>
    <n v="0"/>
    <m/>
    <m/>
    <n v="0"/>
    <n v="0"/>
    <n v="0"/>
    <m/>
    <m/>
    <m/>
    <m/>
    <n v="0"/>
    <m/>
    <m/>
    <n v="0"/>
    <m/>
    <m/>
    <m/>
    <m/>
    <m/>
    <m/>
    <n v="0"/>
    <n v="0"/>
  </r>
  <r>
    <x v="4"/>
    <x v="21"/>
    <s v="Southern College (Optometry)"/>
    <m/>
    <m/>
    <x v="12"/>
    <m/>
    <m/>
    <m/>
    <m/>
    <m/>
    <m/>
    <m/>
    <m/>
    <n v="0"/>
    <m/>
    <m/>
    <n v="0"/>
    <n v="0"/>
    <n v="0"/>
    <n v="367200"/>
    <n v="381600"/>
    <m/>
    <m/>
    <n v="0"/>
    <m/>
    <m/>
    <n v="0"/>
    <m/>
    <m/>
    <m/>
    <m/>
    <m/>
    <m/>
    <n v="367200"/>
    <n v="381600"/>
  </r>
  <r>
    <x v="4"/>
    <x v="21"/>
    <s v="Nova Southeastern University (Osteopathic Medicine)"/>
    <m/>
    <m/>
    <x v="12"/>
    <m/>
    <m/>
    <m/>
    <m/>
    <m/>
    <m/>
    <m/>
    <m/>
    <n v="0"/>
    <m/>
    <m/>
    <n v="0"/>
    <n v="0"/>
    <n v="0"/>
    <n v="0"/>
    <m/>
    <m/>
    <m/>
    <n v="0"/>
    <m/>
    <m/>
    <n v="0"/>
    <m/>
    <m/>
    <m/>
    <m/>
    <m/>
    <m/>
    <n v="0"/>
    <n v="0"/>
  </r>
  <r>
    <x v="4"/>
    <x v="22"/>
    <s v="SREB contract program with public colleges"/>
    <m/>
    <m/>
    <x v="12"/>
    <m/>
    <m/>
    <m/>
    <m/>
    <m/>
    <m/>
    <m/>
    <m/>
    <n v="0"/>
    <m/>
    <m/>
    <n v="0"/>
    <n v="0"/>
    <n v="0"/>
    <m/>
    <m/>
    <m/>
    <m/>
    <n v="0"/>
    <m/>
    <m/>
    <n v="0"/>
    <m/>
    <m/>
    <m/>
    <m/>
    <m/>
    <m/>
    <n v="0"/>
    <n v="0"/>
  </r>
  <r>
    <x v="4"/>
    <x v="22"/>
    <s v="University of Alabama at Birmingham (Medicine)"/>
    <m/>
    <m/>
    <x v="12"/>
    <m/>
    <m/>
    <m/>
    <m/>
    <m/>
    <m/>
    <m/>
    <m/>
    <n v="0"/>
    <m/>
    <m/>
    <n v="0"/>
    <n v="0"/>
    <n v="0"/>
    <n v="153000"/>
    <n v="159000"/>
    <m/>
    <m/>
    <n v="0"/>
    <m/>
    <m/>
    <n v="0"/>
    <m/>
    <m/>
    <m/>
    <m/>
    <m/>
    <m/>
    <n v="153000"/>
    <n v="159000"/>
  </r>
  <r>
    <x v="4"/>
    <x v="23"/>
    <s v="Other contracted programs (Med. Student Capitation Grants)"/>
    <m/>
    <m/>
    <x v="12"/>
    <m/>
    <m/>
    <m/>
    <m/>
    <m/>
    <m/>
    <m/>
    <m/>
    <n v="0"/>
    <m/>
    <m/>
    <n v="0"/>
    <n v="0"/>
    <n v="0"/>
    <m/>
    <m/>
    <m/>
    <m/>
    <n v="0"/>
    <m/>
    <m/>
    <n v="0"/>
    <m/>
    <m/>
    <m/>
    <m/>
    <m/>
    <m/>
    <n v="0"/>
    <n v="0"/>
  </r>
  <r>
    <x v="4"/>
    <x v="23"/>
    <s v="Mercer University (Medicine)"/>
    <m/>
    <m/>
    <x v="12"/>
    <m/>
    <m/>
    <m/>
    <m/>
    <m/>
    <m/>
    <m/>
    <m/>
    <n v="0"/>
    <m/>
    <m/>
    <n v="0"/>
    <n v="0"/>
    <n v="0"/>
    <n v="1336343"/>
    <n v="1336343"/>
    <m/>
    <m/>
    <n v="0"/>
    <m/>
    <m/>
    <n v="0"/>
    <m/>
    <m/>
    <m/>
    <m/>
    <m/>
    <m/>
    <n v="1336343"/>
    <n v="1336343"/>
  </r>
  <r>
    <x v="4"/>
    <x v="23"/>
    <s v="Morehouse School of Medicine"/>
    <m/>
    <m/>
    <x v="12"/>
    <m/>
    <m/>
    <m/>
    <m/>
    <m/>
    <m/>
    <m/>
    <m/>
    <n v="0"/>
    <m/>
    <m/>
    <n v="0"/>
    <n v="0"/>
    <n v="0"/>
    <n v="0"/>
    <m/>
    <m/>
    <m/>
    <n v="0"/>
    <m/>
    <m/>
    <n v="0"/>
    <m/>
    <m/>
    <m/>
    <m/>
    <m/>
    <m/>
    <n v="0"/>
    <n v="0"/>
  </r>
  <r>
    <x v="4"/>
    <x v="23"/>
    <s v="Emory University (Medicine)"/>
    <m/>
    <m/>
    <x v="12"/>
    <m/>
    <m/>
    <m/>
    <m/>
    <m/>
    <m/>
    <m/>
    <m/>
    <n v="0"/>
    <m/>
    <m/>
    <n v="0"/>
    <n v="0"/>
    <n v="0"/>
    <n v="719089"/>
    <n v="719089"/>
    <m/>
    <m/>
    <n v="0"/>
    <m/>
    <m/>
    <n v="0"/>
    <m/>
    <m/>
    <m/>
    <m/>
    <m/>
    <m/>
    <n v="719089"/>
    <n v="719089"/>
  </r>
  <r>
    <x v="4"/>
    <x v="23"/>
    <s v="Philadelphia College of Osteopathic Medicine – Georgia Campus "/>
    <m/>
    <m/>
    <x v="12"/>
    <m/>
    <m/>
    <m/>
    <m/>
    <m/>
    <m/>
    <m/>
    <m/>
    <n v="0"/>
    <m/>
    <m/>
    <n v="0"/>
    <n v="0"/>
    <n v="0"/>
    <m/>
    <n v="31818"/>
    <m/>
    <m/>
    <n v="0"/>
    <m/>
    <m/>
    <n v="0"/>
    <m/>
    <m/>
    <m/>
    <m/>
    <m/>
    <m/>
    <n v="0"/>
    <n v="31818"/>
  </r>
  <r>
    <x v="4"/>
    <x v="24"/>
    <s v="Statewide Student Financial Aid Programs Administered Off Campus"/>
    <m/>
    <m/>
    <x v="12"/>
    <m/>
    <m/>
    <m/>
    <m/>
    <m/>
    <m/>
    <m/>
    <m/>
    <n v="0"/>
    <m/>
    <m/>
    <n v="0"/>
    <n v="0"/>
    <n v="0"/>
    <m/>
    <m/>
    <m/>
    <m/>
    <n v="0"/>
    <m/>
    <m/>
    <n v="0"/>
    <m/>
    <m/>
    <m/>
    <m/>
    <m/>
    <m/>
    <n v="0"/>
    <n v="0"/>
  </r>
  <r>
    <x v="4"/>
    <x v="25"/>
    <s v="Available to public &amp; private sector students"/>
    <m/>
    <m/>
    <x v="12"/>
    <m/>
    <m/>
    <m/>
    <m/>
    <m/>
    <m/>
    <m/>
    <m/>
    <n v="0"/>
    <m/>
    <m/>
    <n v="0"/>
    <n v="0"/>
    <n v="0"/>
    <m/>
    <m/>
    <m/>
    <m/>
    <n v="0"/>
    <m/>
    <m/>
    <n v="0"/>
    <m/>
    <m/>
    <m/>
    <m/>
    <m/>
    <m/>
    <n v="0"/>
    <n v="0"/>
  </r>
  <r>
    <x v="4"/>
    <x v="25"/>
    <s v="Public Safety Memorial Grant"/>
    <m/>
    <m/>
    <x v="12"/>
    <m/>
    <m/>
    <m/>
    <m/>
    <m/>
    <m/>
    <m/>
    <m/>
    <n v="0"/>
    <m/>
    <m/>
    <n v="0"/>
    <n v="0"/>
    <n v="0"/>
    <m/>
    <m/>
    <m/>
    <m/>
    <n v="0"/>
    <m/>
    <m/>
    <n v="0"/>
    <m/>
    <m/>
    <m/>
    <m/>
    <m/>
    <m/>
    <n v="0"/>
    <n v="0"/>
  </r>
  <r>
    <x v="4"/>
    <x v="28"/>
    <s v="Amount to public sector students"/>
    <m/>
    <m/>
    <x v="12"/>
    <m/>
    <m/>
    <m/>
    <m/>
    <m/>
    <m/>
    <m/>
    <m/>
    <n v="0"/>
    <m/>
    <m/>
    <n v="0"/>
    <n v="0"/>
    <n v="0"/>
    <m/>
    <m/>
    <m/>
    <m/>
    <n v="0"/>
    <m/>
    <m/>
    <n v="0"/>
    <m/>
    <m/>
    <m/>
    <m/>
    <m/>
    <m/>
    <n v="0"/>
    <n v="0"/>
  </r>
  <r>
    <x v="4"/>
    <x v="29"/>
    <s v="Need-based"/>
    <m/>
    <m/>
    <x v="12"/>
    <m/>
    <m/>
    <m/>
    <m/>
    <m/>
    <m/>
    <m/>
    <m/>
    <n v="0"/>
    <m/>
    <m/>
    <n v="0"/>
    <n v="0"/>
    <n v="0"/>
    <m/>
    <m/>
    <m/>
    <m/>
    <n v="0"/>
    <m/>
    <m/>
    <n v="0"/>
    <m/>
    <m/>
    <m/>
    <m/>
    <m/>
    <m/>
    <n v="0"/>
    <n v="0"/>
  </r>
  <r>
    <x v="4"/>
    <x v="30"/>
    <s v="Non need-based"/>
    <m/>
    <m/>
    <x v="12"/>
    <m/>
    <m/>
    <m/>
    <m/>
    <m/>
    <m/>
    <m/>
    <m/>
    <n v="0"/>
    <m/>
    <m/>
    <n v="0"/>
    <n v="0"/>
    <n v="0"/>
    <n v="376761"/>
    <n v="376761"/>
    <m/>
    <m/>
    <n v="0"/>
    <m/>
    <m/>
    <n v="0"/>
    <m/>
    <m/>
    <m/>
    <m/>
    <m/>
    <m/>
    <n v="376761"/>
    <n v="376761"/>
  </r>
  <r>
    <x v="4"/>
    <x v="31"/>
    <s v="Amount to private sector students"/>
    <m/>
    <m/>
    <x v="12"/>
    <m/>
    <m/>
    <m/>
    <m/>
    <m/>
    <m/>
    <m/>
    <m/>
    <n v="0"/>
    <m/>
    <m/>
    <n v="0"/>
    <n v="0"/>
    <n v="0"/>
    <m/>
    <m/>
    <m/>
    <m/>
    <n v="0"/>
    <m/>
    <m/>
    <n v="0"/>
    <m/>
    <m/>
    <m/>
    <m/>
    <m/>
    <m/>
    <n v="0"/>
    <n v="0"/>
  </r>
  <r>
    <x v="4"/>
    <x v="32"/>
    <s v="Need-based"/>
    <m/>
    <m/>
    <x v="12"/>
    <m/>
    <m/>
    <m/>
    <m/>
    <m/>
    <m/>
    <m/>
    <m/>
    <n v="0"/>
    <m/>
    <m/>
    <n v="0"/>
    <n v="0"/>
    <n v="0"/>
    <m/>
    <m/>
    <m/>
    <m/>
    <n v="0"/>
    <m/>
    <m/>
    <n v="0"/>
    <m/>
    <m/>
    <m/>
    <m/>
    <m/>
    <m/>
    <n v="0"/>
    <n v="0"/>
  </r>
  <r>
    <x v="4"/>
    <x v="33"/>
    <s v="Non need-based"/>
    <m/>
    <m/>
    <x v="12"/>
    <m/>
    <m/>
    <m/>
    <m/>
    <m/>
    <m/>
    <m/>
    <m/>
    <n v="0"/>
    <m/>
    <m/>
    <n v="0"/>
    <n v="0"/>
    <n v="0"/>
    <m/>
    <m/>
    <m/>
    <m/>
    <n v="0"/>
    <m/>
    <m/>
    <n v="0"/>
    <m/>
    <m/>
    <m/>
    <m/>
    <m/>
    <m/>
    <n v="0"/>
    <n v="0"/>
  </r>
  <r>
    <x v="4"/>
    <x v="25"/>
    <s v="Engineer Scholarships"/>
    <m/>
    <m/>
    <x v="12"/>
    <m/>
    <m/>
    <m/>
    <m/>
    <m/>
    <m/>
    <m/>
    <m/>
    <n v="0"/>
    <m/>
    <m/>
    <n v="0"/>
    <n v="0"/>
    <n v="0"/>
    <m/>
    <m/>
    <m/>
    <m/>
    <n v="0"/>
    <m/>
    <m/>
    <n v="0"/>
    <m/>
    <m/>
    <m/>
    <m/>
    <m/>
    <m/>
    <n v="0"/>
    <n v="0"/>
  </r>
  <r>
    <x v="4"/>
    <x v="28"/>
    <s v="Amount to public sector students"/>
    <m/>
    <m/>
    <x v="12"/>
    <m/>
    <m/>
    <m/>
    <m/>
    <m/>
    <m/>
    <m/>
    <m/>
    <n v="0"/>
    <m/>
    <m/>
    <n v="0"/>
    <n v="0"/>
    <n v="0"/>
    <m/>
    <m/>
    <m/>
    <m/>
    <n v="0"/>
    <m/>
    <m/>
    <n v="0"/>
    <m/>
    <m/>
    <m/>
    <m/>
    <m/>
    <m/>
    <n v="0"/>
    <n v="0"/>
  </r>
  <r>
    <x v="4"/>
    <x v="29"/>
    <s v="Need-based"/>
    <m/>
    <m/>
    <x v="12"/>
    <m/>
    <m/>
    <m/>
    <m/>
    <m/>
    <m/>
    <m/>
    <m/>
    <n v="0"/>
    <m/>
    <m/>
    <n v="0"/>
    <n v="0"/>
    <n v="0"/>
    <m/>
    <m/>
    <m/>
    <m/>
    <n v="0"/>
    <m/>
    <m/>
    <n v="0"/>
    <m/>
    <m/>
    <m/>
    <m/>
    <m/>
    <m/>
    <n v="0"/>
    <n v="0"/>
  </r>
  <r>
    <x v="4"/>
    <x v="30"/>
    <s v="Non need-based"/>
    <m/>
    <m/>
    <x v="12"/>
    <m/>
    <m/>
    <m/>
    <m/>
    <m/>
    <m/>
    <m/>
    <m/>
    <n v="0"/>
    <m/>
    <m/>
    <n v="0"/>
    <n v="0"/>
    <n v="0"/>
    <m/>
    <m/>
    <m/>
    <m/>
    <n v="0"/>
    <m/>
    <m/>
    <n v="0"/>
    <m/>
    <m/>
    <m/>
    <m/>
    <m/>
    <m/>
    <n v="0"/>
    <n v="0"/>
  </r>
  <r>
    <x v="4"/>
    <x v="31"/>
    <s v="Amount to private sector students"/>
    <m/>
    <m/>
    <x v="12"/>
    <m/>
    <m/>
    <m/>
    <m/>
    <m/>
    <m/>
    <m/>
    <m/>
    <n v="0"/>
    <m/>
    <m/>
    <n v="0"/>
    <n v="0"/>
    <n v="0"/>
    <m/>
    <m/>
    <m/>
    <m/>
    <n v="0"/>
    <m/>
    <m/>
    <n v="0"/>
    <m/>
    <m/>
    <m/>
    <m/>
    <m/>
    <m/>
    <n v="0"/>
    <n v="0"/>
  </r>
  <r>
    <x v="4"/>
    <x v="32"/>
    <s v="Need-based"/>
    <m/>
    <m/>
    <x v="12"/>
    <m/>
    <m/>
    <m/>
    <m/>
    <m/>
    <m/>
    <m/>
    <m/>
    <n v="0"/>
    <m/>
    <m/>
    <n v="0"/>
    <n v="0"/>
    <n v="0"/>
    <m/>
    <m/>
    <m/>
    <m/>
    <n v="0"/>
    <m/>
    <m/>
    <n v="0"/>
    <m/>
    <m/>
    <m/>
    <m/>
    <m/>
    <m/>
    <n v="0"/>
    <n v="0"/>
  </r>
  <r>
    <x v="4"/>
    <x v="33"/>
    <s v="Non need-based"/>
    <m/>
    <m/>
    <x v="12"/>
    <m/>
    <m/>
    <m/>
    <m/>
    <m/>
    <m/>
    <m/>
    <m/>
    <n v="0"/>
    <m/>
    <m/>
    <n v="0"/>
    <n v="0"/>
    <n v="0"/>
    <n v="785250"/>
    <n v="924000"/>
    <m/>
    <m/>
    <n v="0"/>
    <m/>
    <m/>
    <n v="0"/>
    <m/>
    <m/>
    <m/>
    <m/>
    <m/>
    <m/>
    <n v="785250"/>
    <n v="924000"/>
  </r>
  <r>
    <x v="4"/>
    <x v="34"/>
    <s v="Limited to public college students only"/>
    <m/>
    <m/>
    <x v="12"/>
    <m/>
    <m/>
    <m/>
    <m/>
    <m/>
    <m/>
    <m/>
    <m/>
    <n v="0"/>
    <m/>
    <m/>
    <n v="0"/>
    <n v="0"/>
    <n v="0"/>
    <m/>
    <m/>
    <m/>
    <m/>
    <n v="0"/>
    <m/>
    <m/>
    <n v="0"/>
    <m/>
    <m/>
    <m/>
    <m/>
    <m/>
    <m/>
    <n v="0"/>
    <n v="0"/>
  </r>
  <r>
    <x v="4"/>
    <x v="34"/>
    <s v="HOPE Scholarships"/>
    <m/>
    <m/>
    <x v="12"/>
    <m/>
    <m/>
    <m/>
    <m/>
    <m/>
    <m/>
    <m/>
    <m/>
    <n v="0"/>
    <m/>
    <m/>
    <n v="0"/>
    <n v="0"/>
    <n v="0"/>
    <m/>
    <m/>
    <m/>
    <m/>
    <n v="0"/>
    <m/>
    <m/>
    <n v="0"/>
    <m/>
    <m/>
    <m/>
    <m/>
    <m/>
    <m/>
    <n v="0"/>
    <n v="0"/>
  </r>
  <r>
    <x v="4"/>
    <x v="35"/>
    <s v="Need-based"/>
    <m/>
    <m/>
    <x v="12"/>
    <m/>
    <m/>
    <m/>
    <m/>
    <m/>
    <m/>
    <m/>
    <m/>
    <n v="0"/>
    <m/>
    <m/>
    <n v="0"/>
    <n v="0"/>
    <n v="0"/>
    <m/>
    <m/>
    <m/>
    <m/>
    <n v="0"/>
    <m/>
    <m/>
    <n v="0"/>
    <m/>
    <m/>
    <m/>
    <m/>
    <m/>
    <m/>
    <n v="0"/>
    <n v="0"/>
  </r>
  <r>
    <x v="4"/>
    <x v="36"/>
    <s v="Non need-based"/>
    <m/>
    <m/>
    <x v="12"/>
    <m/>
    <m/>
    <m/>
    <m/>
    <m/>
    <m/>
    <m/>
    <m/>
    <n v="0"/>
    <m/>
    <m/>
    <n v="0"/>
    <n v="0"/>
    <n v="0"/>
    <n v="424345076"/>
    <n v="446598286"/>
    <m/>
    <m/>
    <n v="0"/>
    <m/>
    <m/>
    <n v="0"/>
    <m/>
    <m/>
    <m/>
    <m/>
    <m/>
    <m/>
    <n v="424345076"/>
    <n v="446598286"/>
  </r>
  <r>
    <x v="4"/>
    <x v="37"/>
    <s v="Limited to private college students"/>
    <m/>
    <m/>
    <x v="12"/>
    <m/>
    <m/>
    <m/>
    <m/>
    <m/>
    <m/>
    <m/>
    <m/>
    <n v="0"/>
    <m/>
    <m/>
    <n v="0"/>
    <n v="0"/>
    <n v="0"/>
    <m/>
    <m/>
    <m/>
    <m/>
    <n v="0"/>
    <m/>
    <m/>
    <n v="0"/>
    <m/>
    <m/>
    <m/>
    <m/>
    <m/>
    <m/>
    <n v="0"/>
    <n v="0"/>
  </r>
  <r>
    <x v="4"/>
    <x v="37"/>
    <s v="Georgia Military College Scholarships"/>
    <m/>
    <m/>
    <x v="12"/>
    <m/>
    <m/>
    <m/>
    <m/>
    <m/>
    <m/>
    <m/>
    <m/>
    <n v="0"/>
    <m/>
    <m/>
    <n v="0"/>
    <n v="0"/>
    <n v="0"/>
    <m/>
    <m/>
    <m/>
    <m/>
    <n v="0"/>
    <m/>
    <m/>
    <n v="0"/>
    <m/>
    <m/>
    <m/>
    <m/>
    <m/>
    <m/>
    <n v="0"/>
    <n v="0"/>
  </r>
  <r>
    <x v="4"/>
    <x v="38"/>
    <s v="Need-based"/>
    <m/>
    <m/>
    <x v="12"/>
    <m/>
    <m/>
    <m/>
    <m/>
    <m/>
    <m/>
    <m/>
    <m/>
    <n v="0"/>
    <m/>
    <m/>
    <n v="0"/>
    <n v="0"/>
    <n v="0"/>
    <m/>
    <m/>
    <m/>
    <m/>
    <n v="0"/>
    <m/>
    <m/>
    <n v="0"/>
    <m/>
    <m/>
    <m/>
    <m/>
    <m/>
    <m/>
    <n v="0"/>
    <n v="0"/>
  </r>
  <r>
    <x v="4"/>
    <x v="39"/>
    <s v="Non need-based"/>
    <m/>
    <m/>
    <x v="12"/>
    <m/>
    <m/>
    <m/>
    <m/>
    <m/>
    <m/>
    <m/>
    <m/>
    <n v="0"/>
    <m/>
    <m/>
    <n v="0"/>
    <n v="0"/>
    <n v="0"/>
    <n v="1094862"/>
    <n v="1162611"/>
    <m/>
    <m/>
    <n v="0"/>
    <m/>
    <m/>
    <n v="0"/>
    <m/>
    <m/>
    <m/>
    <m/>
    <m/>
    <m/>
    <n v="1094862"/>
    <n v="1162611"/>
  </r>
  <r>
    <x v="4"/>
    <x v="37"/>
    <s v="HOPE Scholarships"/>
    <m/>
    <m/>
    <x v="12"/>
    <m/>
    <m/>
    <m/>
    <m/>
    <m/>
    <m/>
    <m/>
    <m/>
    <n v="0"/>
    <m/>
    <m/>
    <n v="0"/>
    <n v="0"/>
    <n v="0"/>
    <m/>
    <m/>
    <m/>
    <m/>
    <n v="0"/>
    <m/>
    <m/>
    <n v="0"/>
    <m/>
    <m/>
    <m/>
    <m/>
    <m/>
    <m/>
    <n v="0"/>
    <n v="0"/>
  </r>
  <r>
    <x v="4"/>
    <x v="38"/>
    <s v="Need-based"/>
    <m/>
    <m/>
    <x v="12"/>
    <m/>
    <m/>
    <m/>
    <m/>
    <m/>
    <m/>
    <m/>
    <m/>
    <n v="0"/>
    <m/>
    <m/>
    <n v="0"/>
    <n v="0"/>
    <n v="0"/>
    <m/>
    <m/>
    <m/>
    <m/>
    <n v="0"/>
    <m/>
    <m/>
    <n v="0"/>
    <m/>
    <m/>
    <m/>
    <m/>
    <m/>
    <m/>
    <n v="0"/>
    <n v="0"/>
  </r>
  <r>
    <x v="4"/>
    <x v="39"/>
    <s v="Non need-based"/>
    <m/>
    <m/>
    <x v="12"/>
    <m/>
    <m/>
    <m/>
    <m/>
    <m/>
    <m/>
    <m/>
    <m/>
    <n v="0"/>
    <m/>
    <m/>
    <n v="0"/>
    <n v="0"/>
    <n v="0"/>
    <m/>
    <m/>
    <m/>
    <m/>
    <n v="0"/>
    <m/>
    <m/>
    <n v="0"/>
    <m/>
    <m/>
    <m/>
    <m/>
    <m/>
    <m/>
    <n v="0"/>
    <n v="0"/>
  </r>
  <r>
    <x v="4"/>
    <x v="0"/>
    <s v="Albany Technical College"/>
    <m/>
    <n v="138682"/>
    <x v="9"/>
    <n v="9043023"/>
    <n v="9892721.6799999997"/>
    <m/>
    <m/>
    <m/>
    <m/>
    <n v="10768822.463"/>
    <m/>
    <n v="10768822.463"/>
    <n v="11521984.0496"/>
    <m/>
    <n v="11521984.0496"/>
    <n v="19811845.463"/>
    <n v="21414705.729599997"/>
    <m/>
    <m/>
    <m/>
    <m/>
    <n v="0"/>
    <m/>
    <m/>
    <n v="0"/>
    <m/>
    <m/>
    <m/>
    <m/>
    <m/>
    <m/>
    <n v="19811845.463"/>
    <n v="21414705.729599997"/>
  </r>
  <r>
    <x v="4"/>
    <x v="0"/>
    <s v="Athens Technical College"/>
    <m/>
    <n v="246813"/>
    <x v="9"/>
    <n v="10434374"/>
    <n v="10996529"/>
    <m/>
    <m/>
    <m/>
    <m/>
    <n v="11792701.08296"/>
    <m/>
    <n v="11792701.08296"/>
    <n v="12182135.0704"/>
    <m/>
    <n v="12182135.0704"/>
    <n v="22227075.082960002"/>
    <n v="23178664.0704"/>
    <m/>
    <m/>
    <m/>
    <m/>
    <n v="0"/>
    <m/>
    <m/>
    <n v="0"/>
    <m/>
    <m/>
    <m/>
    <m/>
    <m/>
    <m/>
    <n v="22227075.082960002"/>
    <n v="23178664.0704"/>
  </r>
  <r>
    <x v="4"/>
    <x v="0"/>
    <s v="Atlanta Technical College"/>
    <m/>
    <n v="138840"/>
    <x v="9"/>
    <n v="11137351"/>
    <n v="11655596"/>
    <m/>
    <m/>
    <m/>
    <m/>
    <n v="13496342.618752001"/>
    <m/>
    <n v="13496342.618752001"/>
    <n v="17776308.650999997"/>
    <m/>
    <n v="17776308.650999997"/>
    <n v="24633693.618752003"/>
    <n v="29431904.650999997"/>
    <m/>
    <m/>
    <m/>
    <m/>
    <n v="0"/>
    <m/>
    <m/>
    <n v="0"/>
    <m/>
    <m/>
    <m/>
    <m/>
    <m/>
    <m/>
    <n v="24633693.618752003"/>
    <n v="29431904.650999997"/>
  </r>
  <r>
    <x v="4"/>
    <x v="0"/>
    <s v="Augusta Technical College"/>
    <m/>
    <n v="138956"/>
    <x v="9"/>
    <n v="12843834"/>
    <n v="13407352"/>
    <m/>
    <m/>
    <m/>
    <m/>
    <n v="10002861.195600001"/>
    <m/>
    <n v="10002861.195600001"/>
    <n v="10742875.210999999"/>
    <m/>
    <n v="10742875.210999999"/>
    <n v="22846695.195600003"/>
    <n v="24150227.210999999"/>
    <m/>
    <m/>
    <m/>
    <m/>
    <n v="0"/>
    <m/>
    <m/>
    <n v="0"/>
    <m/>
    <m/>
    <m/>
    <m/>
    <m/>
    <m/>
    <n v="22846695.195600003"/>
    <n v="24150227.210999999"/>
  </r>
  <r>
    <x v="4"/>
    <x v="0"/>
    <s v="Central Georgia Technical College"/>
    <m/>
    <n v="140304"/>
    <x v="9"/>
    <n v="20193913"/>
    <n v="20282665"/>
    <m/>
    <m/>
    <m/>
    <m/>
    <n v="17355650"/>
    <m/>
    <n v="17355650"/>
    <n v="17654092.962400001"/>
    <m/>
    <n v="17654092.962400001"/>
    <n v="37549563"/>
    <n v="37936757.962400004"/>
    <m/>
    <m/>
    <m/>
    <m/>
    <n v="0"/>
    <m/>
    <m/>
    <n v="0"/>
    <m/>
    <m/>
    <m/>
    <m/>
    <m/>
    <m/>
    <n v="37549563"/>
    <n v="37936757.962400004"/>
  </r>
  <r>
    <x v="4"/>
    <x v="0"/>
    <s v="Chattahoochee Technical College"/>
    <m/>
    <n v="140331"/>
    <x v="9"/>
    <n v="19242616"/>
    <n v="20096053"/>
    <m/>
    <m/>
    <m/>
    <m/>
    <n v="25104328.779599998"/>
    <m/>
    <n v="25104328.779599998"/>
    <n v="25819647.183799997"/>
    <m/>
    <n v="25819647.183799997"/>
    <n v="44346944.779599994"/>
    <n v="45915700.183799997"/>
    <m/>
    <m/>
    <m/>
    <m/>
    <n v="0"/>
    <m/>
    <m/>
    <n v="0"/>
    <m/>
    <m/>
    <m/>
    <m/>
    <m/>
    <m/>
    <n v="44346944.779599994"/>
    <n v="45915700.183799997"/>
  </r>
  <r>
    <x v="4"/>
    <x v="0"/>
    <s v="Coastal Pines Technical College"/>
    <m/>
    <n v="485458"/>
    <x v="9"/>
    <n v="12547716"/>
    <n v="13148982"/>
    <m/>
    <m/>
    <m/>
    <m/>
    <n v="6967697.3058000002"/>
    <m/>
    <n v="6967697.3058000002"/>
    <n v="6509815.2289999994"/>
    <m/>
    <n v="6509815.2289999994"/>
    <n v="19515413.305799998"/>
    <n v="19658797.228999998"/>
    <m/>
    <m/>
    <m/>
    <m/>
    <n v="0"/>
    <m/>
    <m/>
    <n v="0"/>
    <m/>
    <m/>
    <m/>
    <m/>
    <m/>
    <m/>
    <n v="19515413.305799998"/>
    <n v="19658797.228999998"/>
  </r>
  <r>
    <x v="4"/>
    <x v="0"/>
    <s v="Columbus Technical College"/>
    <m/>
    <n v="139357"/>
    <x v="9"/>
    <n v="10224993"/>
    <n v="10778666"/>
    <m/>
    <m/>
    <m/>
    <m/>
    <n v="12312042.672999999"/>
    <m/>
    <n v="12312042.672999999"/>
    <n v="10443117.9812"/>
    <m/>
    <n v="10443117.9812"/>
    <n v="22537035.673"/>
    <n v="21221783.981200002"/>
    <m/>
    <m/>
    <m/>
    <m/>
    <n v="0"/>
    <m/>
    <m/>
    <n v="0"/>
    <m/>
    <m/>
    <m/>
    <m/>
    <m/>
    <m/>
    <n v="22537035.673"/>
    <n v="21221783.981200002"/>
  </r>
  <r>
    <x v="4"/>
    <x v="0"/>
    <s v="Georgia Northwestern Technical College"/>
    <m/>
    <n v="139384"/>
    <x v="9"/>
    <n v="15963610"/>
    <n v="16785214"/>
    <m/>
    <m/>
    <m/>
    <m/>
    <n v="13579829.424000001"/>
    <m/>
    <n v="13579829.424000001"/>
    <n v="13924652.3718"/>
    <m/>
    <n v="13924652.3718"/>
    <n v="29543439.424000002"/>
    <n v="30709866.371799998"/>
    <m/>
    <m/>
    <m/>
    <m/>
    <n v="0"/>
    <m/>
    <m/>
    <n v="0"/>
    <m/>
    <m/>
    <m/>
    <m/>
    <m/>
    <m/>
    <n v="29543439.424000002"/>
    <n v="30709866.371799998"/>
  </r>
  <r>
    <x v="4"/>
    <x v="0"/>
    <s v="Georgia Piedmont Technical College"/>
    <m/>
    <n v="244446"/>
    <x v="9"/>
    <n v="13460035"/>
    <n v="14092010"/>
    <m/>
    <m/>
    <m/>
    <m/>
    <n v="13573918.847999999"/>
    <m/>
    <n v="13573918.847999999"/>
    <n v="14167752.972200001"/>
    <m/>
    <n v="14167752.972200001"/>
    <n v="27033953.847999997"/>
    <n v="28259762.972199999"/>
    <m/>
    <m/>
    <m/>
    <m/>
    <n v="0"/>
    <m/>
    <m/>
    <n v="0"/>
    <m/>
    <m/>
    <m/>
    <m/>
    <m/>
    <m/>
    <n v="27033953.847999997"/>
    <n v="28259762.972199999"/>
  </r>
  <r>
    <x v="4"/>
    <x v="0"/>
    <s v="Gwinnett Technical College"/>
    <m/>
    <n v="140012"/>
    <x v="9"/>
    <n v="13470295"/>
    <n v="14001420"/>
    <m/>
    <m/>
    <m/>
    <m/>
    <n v="19087038.743668001"/>
    <m/>
    <n v="19087038.743668001"/>
    <n v="22670699.287999999"/>
    <m/>
    <n v="22670699.287999999"/>
    <n v="32557333.743668001"/>
    <n v="36672119.288000003"/>
    <m/>
    <m/>
    <m/>
    <m/>
    <n v="0"/>
    <m/>
    <m/>
    <n v="0"/>
    <m/>
    <m/>
    <m/>
    <m/>
    <m/>
    <m/>
    <n v="32557333.743668001"/>
    <n v="36672119.288000003"/>
  </r>
  <r>
    <x v="4"/>
    <x v="0"/>
    <s v="Lanier Technical College"/>
    <m/>
    <n v="140243"/>
    <x v="9"/>
    <n v="8962781"/>
    <n v="9256618"/>
    <m/>
    <m/>
    <m/>
    <m/>
    <n v="7636523.7563999994"/>
    <m/>
    <n v="7636523.7563999994"/>
    <n v="8606012.5029999986"/>
    <m/>
    <n v="8606012.5029999986"/>
    <n v="16599304.7564"/>
    <n v="17862630.502999999"/>
    <m/>
    <m/>
    <m/>
    <m/>
    <n v="0"/>
    <m/>
    <m/>
    <n v="0"/>
    <m/>
    <m/>
    <m/>
    <m/>
    <m/>
    <m/>
    <n v="16599304.7564"/>
    <n v="17862630.502999999"/>
  </r>
  <r>
    <x v="4"/>
    <x v="0"/>
    <s v="Moultrie Technical College"/>
    <m/>
    <n v="140599"/>
    <x v="9"/>
    <n v="7302403"/>
    <n v="7795507"/>
    <m/>
    <m/>
    <m/>
    <m/>
    <n v="5537912.5367999999"/>
    <m/>
    <n v="5537912.5367999999"/>
    <n v="5586976.9029999999"/>
    <m/>
    <n v="5586976.9029999999"/>
    <n v="12840315.536800001"/>
    <n v="13382483.903000001"/>
    <m/>
    <m/>
    <m/>
    <m/>
    <n v="0"/>
    <m/>
    <m/>
    <n v="0"/>
    <m/>
    <m/>
    <m/>
    <m/>
    <m/>
    <m/>
    <n v="12840315.536800001"/>
    <n v="13382483.903000001"/>
  </r>
  <r>
    <x v="4"/>
    <x v="0"/>
    <s v="North Georgia Technical College"/>
    <m/>
    <n v="140678"/>
    <x v="9"/>
    <n v="8247548"/>
    <n v="8672336"/>
    <m/>
    <m/>
    <m/>
    <m/>
    <n v="8245203.4616"/>
    <m/>
    <n v="8245203.4616"/>
    <n v="8754634.5118000004"/>
    <m/>
    <n v="8754634.5118000004"/>
    <n v="16492751.4616"/>
    <n v="17426970.511799999"/>
    <m/>
    <m/>
    <m/>
    <m/>
    <n v="0"/>
    <m/>
    <m/>
    <n v="0"/>
    <m/>
    <m/>
    <m/>
    <m/>
    <m/>
    <m/>
    <n v="16492751.4616"/>
    <n v="17426970.511799999"/>
  </r>
  <r>
    <x v="4"/>
    <x v="0"/>
    <s v="Oconee Fall Line Technical College"/>
    <m/>
    <n v="420431"/>
    <x v="9"/>
    <n v="8596523"/>
    <n v="8617149"/>
    <m/>
    <m/>
    <m/>
    <m/>
    <n v="5257248.9452"/>
    <m/>
    <n v="5257248.9452"/>
    <n v="5147449.0145999994"/>
    <m/>
    <n v="5147449.0145999994"/>
    <n v="13853771.9452"/>
    <n v="13764598.014599999"/>
    <m/>
    <m/>
    <m/>
    <m/>
    <n v="0"/>
    <m/>
    <m/>
    <n v="0"/>
    <m/>
    <m/>
    <m/>
    <m/>
    <m/>
    <m/>
    <n v="13853771.9452"/>
    <n v="13764598.014599999"/>
  </r>
  <r>
    <x v="4"/>
    <x v="0"/>
    <s v="Ogeechee Technical College"/>
    <m/>
    <n v="366465"/>
    <x v="9"/>
    <n v="6853174"/>
    <n v="7117116.0499999998"/>
    <m/>
    <m/>
    <m/>
    <m/>
    <n v="7398324.4566000002"/>
    <m/>
    <n v="7398324.4566000002"/>
    <n v="7787934.093799999"/>
    <m/>
    <n v="7787934.093799999"/>
    <n v="14251498.456599999"/>
    <n v="14905050.143799998"/>
    <m/>
    <m/>
    <m/>
    <m/>
    <n v="0"/>
    <m/>
    <m/>
    <n v="0"/>
    <m/>
    <m/>
    <m/>
    <m/>
    <m/>
    <m/>
    <n v="14251498.456599999"/>
    <n v="14905050.143799998"/>
  </r>
  <r>
    <x v="4"/>
    <x v="0"/>
    <s v="Savannah Technical College"/>
    <m/>
    <n v="140942"/>
    <x v="9"/>
    <n v="10788342"/>
    <n v="11872357.32"/>
    <m/>
    <m/>
    <m/>
    <m/>
    <n v="14640326.692599999"/>
    <m/>
    <n v="14640326.692599999"/>
    <n v="16304241.259400001"/>
    <m/>
    <n v="16304241.259400001"/>
    <n v="25428668.692599997"/>
    <n v="28176598.579400003"/>
    <m/>
    <m/>
    <m/>
    <m/>
    <n v="0"/>
    <m/>
    <m/>
    <n v="0"/>
    <m/>
    <m/>
    <m/>
    <m/>
    <m/>
    <m/>
    <n v="25428668.692599997"/>
    <n v="28176598.579400003"/>
  </r>
  <r>
    <x v="4"/>
    <x v="0"/>
    <s v="South Georgia Technical College"/>
    <m/>
    <n v="141006"/>
    <x v="9"/>
    <n v="7876309"/>
    <n v="8284343"/>
    <m/>
    <m/>
    <m/>
    <m/>
    <n v="5423413.0313999997"/>
    <m/>
    <n v="5423413.0313999997"/>
    <n v="5654109.6255999999"/>
    <m/>
    <n v="5654109.6255999999"/>
    <n v="13299722.031399999"/>
    <n v="13938452.625599999"/>
    <m/>
    <m/>
    <m/>
    <m/>
    <n v="0"/>
    <m/>
    <m/>
    <n v="0"/>
    <m/>
    <m/>
    <m/>
    <m/>
    <m/>
    <m/>
    <n v="13299722.031399999"/>
    <n v="13938452.625599999"/>
  </r>
  <r>
    <x v="4"/>
    <x v="0"/>
    <s v="Southeastern Technical College"/>
    <m/>
    <n v="368911"/>
    <x v="9"/>
    <n v="7641180"/>
    <n v="7920626"/>
    <m/>
    <m/>
    <m/>
    <m/>
    <n v="4270294.1694"/>
    <m/>
    <n v="4270294.1694"/>
    <n v="3984792.8407999999"/>
    <m/>
    <n v="3984792.8407999999"/>
    <n v="11911474.169399999"/>
    <n v="11905418.8408"/>
    <m/>
    <m/>
    <m/>
    <m/>
    <n v="0"/>
    <m/>
    <m/>
    <n v="0"/>
    <m/>
    <m/>
    <m/>
    <m/>
    <m/>
    <m/>
    <n v="11911474.169399999"/>
    <n v="11905418.8408"/>
  </r>
  <r>
    <x v="4"/>
    <x v="0"/>
    <s v="Southern Crescent Technical College"/>
    <m/>
    <n v="139986"/>
    <x v="9"/>
    <n v="11744413"/>
    <n v="12872977"/>
    <m/>
    <m/>
    <m/>
    <m/>
    <n v="13330727.242000001"/>
    <m/>
    <n v="13330727.242000001"/>
    <n v="12849021.059599999"/>
    <m/>
    <n v="12849021.059599999"/>
    <n v="25075140.241999999"/>
    <n v="25721998.059599999"/>
    <m/>
    <m/>
    <m/>
    <m/>
    <n v="0"/>
    <m/>
    <m/>
    <n v="0"/>
    <m/>
    <m/>
    <m/>
    <m/>
    <m/>
    <m/>
    <n v="25075140.241999999"/>
    <n v="25721998.059599999"/>
  </r>
  <r>
    <x v="4"/>
    <x v="0"/>
    <s v="Southwest Georgia Technical College"/>
    <m/>
    <n v="141158"/>
    <x v="9"/>
    <n v="6636559"/>
    <n v="6786199"/>
    <m/>
    <m/>
    <m/>
    <m/>
    <n v="3917462.5447999998"/>
    <m/>
    <n v="3917462.5447999998"/>
    <n v="3946047.0277999998"/>
    <m/>
    <n v="3946047.0277999998"/>
    <n v="10554021.5448"/>
    <n v="10732246.027799999"/>
    <m/>
    <m/>
    <m/>
    <m/>
    <n v="0"/>
    <m/>
    <m/>
    <n v="0"/>
    <m/>
    <m/>
    <m/>
    <m/>
    <m/>
    <m/>
    <n v="10554021.5448"/>
    <n v="10732246.027799999"/>
  </r>
  <r>
    <x v="4"/>
    <x v="0"/>
    <s v="West Georgia Technical College"/>
    <m/>
    <n v="139278"/>
    <x v="9"/>
    <n v="15680863"/>
    <n v="16651122"/>
    <n v="16651122"/>
    <m/>
    <m/>
    <m/>
    <n v="17897757.777199998"/>
    <m/>
    <n v="17897757.777199998"/>
    <n v="20183178.303199999"/>
    <m/>
    <n v="20183178.303199999"/>
    <n v="50229742.777199998"/>
    <n v="36834300.303199999"/>
    <m/>
    <m/>
    <m/>
    <m/>
    <n v="0"/>
    <m/>
    <m/>
    <n v="0"/>
    <m/>
    <m/>
    <m/>
    <m/>
    <m/>
    <m/>
    <n v="50229742.777199998"/>
    <n v="36834300.303199999"/>
  </r>
  <r>
    <x v="4"/>
    <x v="0"/>
    <s v="Wiregrass Georgia Technical College"/>
    <m/>
    <n v="141255"/>
    <x v="9"/>
    <n v="11923344"/>
    <n v="12792623"/>
    <m/>
    <m/>
    <m/>
    <m/>
    <n v="10162453.9212"/>
    <m/>
    <n v="10162453.9212"/>
    <n v="9910033.5095999986"/>
    <m/>
    <n v="9910033.5095999986"/>
    <n v="22085797.9212"/>
    <n v="22702656.509599999"/>
    <m/>
    <m/>
    <m/>
    <m/>
    <n v="0"/>
    <m/>
    <m/>
    <n v="0"/>
    <m/>
    <m/>
    <m/>
    <m/>
    <m/>
    <m/>
    <n v="22085797.9212"/>
    <n v="22702656.509599999"/>
  </r>
  <r>
    <x v="4"/>
    <x v="10"/>
    <s v="Education special purpose funds -statewide units"/>
    <m/>
    <m/>
    <x v="12"/>
    <m/>
    <m/>
    <m/>
    <m/>
    <m/>
    <m/>
    <m/>
    <m/>
    <n v="0"/>
    <m/>
    <m/>
    <n v="0"/>
    <n v="0"/>
    <n v="0"/>
    <m/>
    <m/>
    <m/>
    <m/>
    <n v="0"/>
    <m/>
    <m/>
    <n v="0"/>
    <m/>
    <m/>
    <m/>
    <m/>
    <m/>
    <m/>
    <n v="0"/>
    <n v="0"/>
  </r>
  <r>
    <x v="4"/>
    <x v="42"/>
    <s v="Community or public service units"/>
    <m/>
    <m/>
    <x v="12"/>
    <m/>
    <m/>
    <m/>
    <m/>
    <m/>
    <m/>
    <m/>
    <m/>
    <n v="0"/>
    <m/>
    <m/>
    <n v="0"/>
    <n v="0"/>
    <n v="0"/>
    <m/>
    <m/>
    <m/>
    <m/>
    <n v="0"/>
    <m/>
    <m/>
    <n v="0"/>
    <m/>
    <m/>
    <m/>
    <m/>
    <m/>
    <m/>
    <n v="0"/>
    <n v="0"/>
  </r>
  <r>
    <x v="4"/>
    <x v="13"/>
    <s v="Education special purpose funds -all other"/>
    <m/>
    <s v=" "/>
    <x v="12"/>
    <m/>
    <m/>
    <m/>
    <m/>
    <m/>
    <m/>
    <m/>
    <m/>
    <n v="0"/>
    <m/>
    <m/>
    <n v="0"/>
    <n v="0"/>
    <n v="0"/>
    <m/>
    <m/>
    <m/>
    <m/>
    <n v="0"/>
    <m/>
    <m/>
    <n v="0"/>
    <m/>
    <m/>
    <m/>
    <m/>
    <m/>
    <m/>
    <n v="0"/>
    <n v="0"/>
  </r>
  <r>
    <x v="4"/>
    <x v="13"/>
    <s v="TCSG Technical Divisions at USG Schools"/>
    <m/>
    <m/>
    <x v="12"/>
    <m/>
    <m/>
    <n v="1044405"/>
    <n v="1070515"/>
    <m/>
    <m/>
    <m/>
    <m/>
    <n v="0"/>
    <m/>
    <m/>
    <n v="0"/>
    <n v="1044405"/>
    <n v="1070515"/>
    <m/>
    <m/>
    <m/>
    <m/>
    <n v="0"/>
    <m/>
    <m/>
    <n v="0"/>
    <m/>
    <m/>
    <m/>
    <m/>
    <m/>
    <m/>
    <n v="1044405"/>
    <n v="1070515"/>
  </r>
  <r>
    <x v="4"/>
    <x v="14"/>
    <s v="Statewide System Operations"/>
    <m/>
    <m/>
    <x v="12"/>
    <m/>
    <m/>
    <m/>
    <m/>
    <m/>
    <m/>
    <m/>
    <m/>
    <n v="0"/>
    <m/>
    <m/>
    <n v="0"/>
    <n v="0"/>
    <n v="0"/>
    <m/>
    <m/>
    <m/>
    <m/>
    <n v="0"/>
    <m/>
    <m/>
    <n v="0"/>
    <m/>
    <m/>
    <m/>
    <m/>
    <m/>
    <m/>
    <n v="0"/>
    <n v="0"/>
  </r>
  <r>
    <x v="4"/>
    <x v="16"/>
    <s v="Two-year system(s), if any"/>
    <m/>
    <m/>
    <x v="12"/>
    <m/>
    <m/>
    <m/>
    <m/>
    <m/>
    <m/>
    <m/>
    <m/>
    <n v="0"/>
    <m/>
    <m/>
    <n v="0"/>
    <n v="0"/>
    <n v="0"/>
    <m/>
    <m/>
    <m/>
    <m/>
    <n v="0"/>
    <m/>
    <m/>
    <n v="0"/>
    <m/>
    <m/>
    <m/>
    <m/>
    <m/>
    <m/>
    <n v="0"/>
    <n v="0"/>
  </r>
  <r>
    <x v="4"/>
    <x v="16"/>
    <s v="TCSG Oversight Unit"/>
    <m/>
    <m/>
    <x v="12"/>
    <m/>
    <m/>
    <m/>
    <m/>
    <m/>
    <m/>
    <m/>
    <m/>
    <n v="0"/>
    <m/>
    <m/>
    <n v="0"/>
    <n v="0"/>
    <n v="0"/>
    <n v="18309337"/>
    <n v="21375183"/>
    <m/>
    <m/>
    <n v="0"/>
    <m/>
    <m/>
    <n v="0"/>
    <m/>
    <m/>
    <m/>
    <m/>
    <m/>
    <m/>
    <n v="18309337"/>
    <n v="21375183"/>
  </r>
  <r>
    <x v="5"/>
    <x v="0"/>
    <s v="University of Kentucky"/>
    <m/>
    <n v="157085"/>
    <x v="0"/>
    <n v="159483973.78"/>
    <n v="149965340.87"/>
    <m/>
    <m/>
    <m/>
    <m/>
    <n v="358584658.3788836"/>
    <m/>
    <n v="358584658.3788836"/>
    <n v="381761191.3433097"/>
    <m/>
    <n v="381761191.3433097"/>
    <n v="518068632.15888357"/>
    <n v="531726532.21330971"/>
    <m/>
    <m/>
    <m/>
    <m/>
    <n v="0"/>
    <m/>
    <m/>
    <n v="0"/>
    <m/>
    <m/>
    <m/>
    <m/>
    <m/>
    <m/>
    <n v="518068632.15888357"/>
    <n v="531726532.21330971"/>
  </r>
  <r>
    <x v="5"/>
    <x v="1"/>
    <s v="Medical School"/>
    <m/>
    <n v="157085"/>
    <x v="0"/>
    <m/>
    <m/>
    <m/>
    <m/>
    <m/>
    <m/>
    <m/>
    <m/>
    <n v="0"/>
    <m/>
    <m/>
    <n v="0"/>
    <n v="0"/>
    <n v="0"/>
    <m/>
    <m/>
    <m/>
    <m/>
    <n v="0"/>
    <m/>
    <m/>
    <n v="0"/>
    <n v="46080300"/>
    <n v="48389500"/>
    <n v="27404441.621116377"/>
    <m/>
    <n v="29996108.656690292"/>
    <m/>
    <n v="73484741.62111637"/>
    <n v="78385608.6566903"/>
  </r>
  <r>
    <x v="5"/>
    <x v="3"/>
    <s v="Public Service Units"/>
    <m/>
    <n v="157085"/>
    <x v="0"/>
    <m/>
    <m/>
    <m/>
    <m/>
    <m/>
    <m/>
    <m/>
    <m/>
    <n v="0"/>
    <m/>
    <m/>
    <n v="0"/>
    <n v="0"/>
    <n v="0"/>
    <m/>
    <m/>
    <m/>
    <m/>
    <n v="0"/>
    <m/>
    <m/>
    <n v="0"/>
    <m/>
    <m/>
    <m/>
    <m/>
    <m/>
    <m/>
    <n v="0"/>
    <n v="0"/>
  </r>
  <r>
    <x v="5"/>
    <x v="3"/>
    <s v="Livestock Disease Diagnostic Laboratory"/>
    <m/>
    <n v="157085"/>
    <x v="0"/>
    <m/>
    <m/>
    <n v="3938800"/>
    <n v="3962100"/>
    <m/>
    <m/>
    <m/>
    <m/>
    <n v="0"/>
    <m/>
    <m/>
    <n v="0"/>
    <n v="3938800"/>
    <n v="3962100"/>
    <m/>
    <m/>
    <m/>
    <m/>
    <n v="0"/>
    <m/>
    <m/>
    <n v="0"/>
    <m/>
    <m/>
    <m/>
    <m/>
    <m/>
    <m/>
    <n v="3938800"/>
    <n v="3962100"/>
  </r>
  <r>
    <x v="5"/>
    <x v="3"/>
    <s v="Agriculture Public Service"/>
    <m/>
    <n v="157085"/>
    <x v="0"/>
    <m/>
    <m/>
    <n v="1740300"/>
    <n v="1710000"/>
    <m/>
    <m/>
    <m/>
    <m/>
    <n v="0"/>
    <m/>
    <m/>
    <n v="0"/>
    <n v="1740300"/>
    <n v="1710000"/>
    <m/>
    <m/>
    <m/>
    <m/>
    <n v="0"/>
    <m/>
    <m/>
    <n v="0"/>
    <m/>
    <m/>
    <m/>
    <m/>
    <m/>
    <m/>
    <n v="1740300"/>
    <n v="1710000"/>
  </r>
  <r>
    <x v="5"/>
    <x v="3"/>
    <s v="Kentucky Geological Survey"/>
    <m/>
    <n v="157085"/>
    <x v="0"/>
    <m/>
    <m/>
    <n v="4028700"/>
    <n v="4118900"/>
    <m/>
    <m/>
    <m/>
    <m/>
    <n v="0"/>
    <m/>
    <m/>
    <n v="0"/>
    <n v="4028700"/>
    <n v="4118900"/>
    <m/>
    <m/>
    <m/>
    <m/>
    <n v="0"/>
    <m/>
    <m/>
    <n v="0"/>
    <m/>
    <m/>
    <m/>
    <m/>
    <m/>
    <m/>
    <n v="4028700"/>
    <n v="4118900"/>
  </r>
  <r>
    <x v="5"/>
    <x v="3"/>
    <s v="University Press"/>
    <m/>
    <n v="157085"/>
    <x v="0"/>
    <m/>
    <m/>
    <n v="624900"/>
    <n v="638300"/>
    <m/>
    <m/>
    <m/>
    <m/>
    <n v="0"/>
    <m/>
    <m/>
    <n v="0"/>
    <n v="624900"/>
    <n v="638300"/>
    <m/>
    <m/>
    <m/>
    <m/>
    <n v="0"/>
    <m/>
    <m/>
    <n v="0"/>
    <m/>
    <m/>
    <m/>
    <m/>
    <m/>
    <m/>
    <n v="624900"/>
    <n v="638300"/>
  </r>
  <r>
    <x v="5"/>
    <x v="3"/>
    <s v="Japanese Saturday School"/>
    <m/>
    <n v="157085"/>
    <x v="0"/>
    <m/>
    <m/>
    <n v="255600"/>
    <n v="258800"/>
    <m/>
    <m/>
    <m/>
    <m/>
    <n v="0"/>
    <m/>
    <m/>
    <n v="0"/>
    <n v="255600"/>
    <n v="258800"/>
    <m/>
    <m/>
    <m/>
    <m/>
    <n v="0"/>
    <m/>
    <m/>
    <n v="0"/>
    <m/>
    <m/>
    <m/>
    <m/>
    <m/>
    <m/>
    <n v="255600"/>
    <n v="258800"/>
  </r>
  <r>
    <x v="5"/>
    <x v="3"/>
    <s v="Rural Health Care"/>
    <m/>
    <n v="157085"/>
    <x v="0"/>
    <m/>
    <m/>
    <n v="0"/>
    <n v="0"/>
    <m/>
    <m/>
    <m/>
    <m/>
    <n v="0"/>
    <m/>
    <m/>
    <n v="0"/>
    <n v="0"/>
    <n v="0"/>
    <m/>
    <m/>
    <m/>
    <m/>
    <n v="0"/>
    <m/>
    <m/>
    <n v="0"/>
    <m/>
    <m/>
    <m/>
    <m/>
    <m/>
    <m/>
    <n v="0"/>
    <n v="0"/>
  </r>
  <r>
    <x v="5"/>
    <x v="5"/>
    <s v="Agricultural cooperative extension"/>
    <m/>
    <n v="157085"/>
    <x v="0"/>
    <m/>
    <m/>
    <n v="32762900"/>
    <n v="34319500"/>
    <m/>
    <m/>
    <m/>
    <m/>
    <n v="0"/>
    <m/>
    <m/>
    <n v="0"/>
    <n v="32762900"/>
    <n v="34319500"/>
    <m/>
    <m/>
    <m/>
    <m/>
    <n v="0"/>
    <m/>
    <m/>
    <n v="0"/>
    <m/>
    <m/>
    <m/>
    <m/>
    <m/>
    <m/>
    <n v="32762900"/>
    <n v="34319500"/>
  </r>
  <r>
    <x v="5"/>
    <x v="5"/>
    <s v="Agricultural experiment stations"/>
    <m/>
    <n v="157085"/>
    <x v="0"/>
    <m/>
    <m/>
    <n v="29127500"/>
    <n v="29784000"/>
    <m/>
    <m/>
    <m/>
    <m/>
    <n v="0"/>
    <m/>
    <m/>
    <n v="0"/>
    <n v="29127500"/>
    <n v="29784000"/>
    <m/>
    <m/>
    <m/>
    <m/>
    <n v="0"/>
    <m/>
    <m/>
    <n v="0"/>
    <m/>
    <m/>
    <m/>
    <m/>
    <m/>
    <m/>
    <n v="29127500"/>
    <n v="29784000"/>
  </r>
  <r>
    <x v="5"/>
    <x v="7"/>
    <s v="Research centers/institutes"/>
    <m/>
    <n v="157085"/>
    <x v="0"/>
    <m/>
    <m/>
    <m/>
    <m/>
    <m/>
    <m/>
    <m/>
    <m/>
    <n v="0"/>
    <m/>
    <m/>
    <n v="0"/>
    <n v="0"/>
    <n v="0"/>
    <m/>
    <m/>
    <m/>
    <m/>
    <n v="0"/>
    <m/>
    <m/>
    <n v="0"/>
    <m/>
    <m/>
    <m/>
    <m/>
    <m/>
    <m/>
    <n v="0"/>
    <n v="0"/>
  </r>
  <r>
    <x v="5"/>
    <x v="7"/>
    <s v="Center for Applied Energy Research"/>
    <m/>
    <n v="157085"/>
    <x v="0"/>
    <m/>
    <m/>
    <n v="4524500"/>
    <n v="5171800"/>
    <m/>
    <m/>
    <m/>
    <m/>
    <n v="0"/>
    <m/>
    <m/>
    <n v="0"/>
    <n v="4524500"/>
    <n v="5171800"/>
    <m/>
    <m/>
    <m/>
    <m/>
    <n v="0"/>
    <m/>
    <m/>
    <n v="0"/>
    <m/>
    <m/>
    <m/>
    <m/>
    <m/>
    <m/>
    <n v="4524500"/>
    <n v="5171800"/>
  </r>
  <r>
    <x v="5"/>
    <x v="7"/>
    <s v="KY Cancer Registry"/>
    <m/>
    <n v="157085"/>
    <x v="0"/>
    <m/>
    <m/>
    <n v="710526.22"/>
    <n v="705759.13"/>
    <m/>
    <m/>
    <m/>
    <m/>
    <n v="0"/>
    <m/>
    <m/>
    <n v="0"/>
    <n v="710526.22"/>
    <n v="705759.13"/>
    <m/>
    <m/>
    <m/>
    <m/>
    <n v="0"/>
    <m/>
    <m/>
    <n v="0"/>
    <m/>
    <m/>
    <m/>
    <m/>
    <m/>
    <m/>
    <n v="710526.22"/>
    <n v="705759.13"/>
  </r>
  <r>
    <x v="5"/>
    <x v="7"/>
    <s v="Rural Health Care"/>
    <m/>
    <n v="157085"/>
    <x v="0"/>
    <m/>
    <m/>
    <n v="591300"/>
    <n v="587300"/>
    <m/>
    <m/>
    <m/>
    <m/>
    <n v="0"/>
    <m/>
    <m/>
    <n v="0"/>
    <n v="591300"/>
    <n v="587300"/>
    <m/>
    <m/>
    <m/>
    <m/>
    <n v="0"/>
    <m/>
    <m/>
    <n v="0"/>
    <m/>
    <m/>
    <m/>
    <m/>
    <m/>
    <m/>
    <n v="591300"/>
    <n v="587300"/>
  </r>
  <r>
    <x v="5"/>
    <x v="0"/>
    <s v="University of Louisville"/>
    <m/>
    <n v="157289"/>
    <x v="0"/>
    <n v="128746600"/>
    <n v="129520800"/>
    <m/>
    <m/>
    <m/>
    <m/>
    <n v="231805352.66651899"/>
    <n v="2891575"/>
    <n v="234696927.66651899"/>
    <n v="235882563.04905629"/>
    <n v="3312283"/>
    <n v="239194846.04905629"/>
    <n v="360551952.66651899"/>
    <n v="365403363.04905629"/>
    <m/>
    <m/>
    <m/>
    <m/>
    <n v="0"/>
    <m/>
    <m/>
    <n v="0"/>
    <m/>
    <m/>
    <m/>
    <m/>
    <m/>
    <m/>
    <n v="360551952.66651899"/>
    <n v="365403363.04905629"/>
  </r>
  <r>
    <x v="5"/>
    <x v="1"/>
    <s v="Medical School"/>
    <m/>
    <n v="157289"/>
    <x v="0"/>
    <m/>
    <m/>
    <m/>
    <m/>
    <m/>
    <m/>
    <m/>
    <m/>
    <n v="0"/>
    <m/>
    <m/>
    <n v="0"/>
    <n v="0"/>
    <n v="0"/>
    <m/>
    <m/>
    <m/>
    <m/>
    <n v="0"/>
    <m/>
    <m/>
    <n v="0"/>
    <n v="32437100"/>
    <n v="8843700"/>
    <n v="47158322.333480999"/>
    <m/>
    <n v="48988453.950943708"/>
    <m/>
    <n v="79595422.333480999"/>
    <n v="57832153.950943708"/>
  </r>
  <r>
    <x v="5"/>
    <x v="3"/>
    <s v="Public Service Units"/>
    <m/>
    <n v="157289"/>
    <x v="0"/>
    <m/>
    <m/>
    <m/>
    <m/>
    <m/>
    <m/>
    <m/>
    <m/>
    <n v="0"/>
    <m/>
    <m/>
    <n v="0"/>
    <n v="0"/>
    <n v="0"/>
    <m/>
    <m/>
    <m/>
    <m/>
    <n v="0"/>
    <m/>
    <m/>
    <n v="0"/>
    <m/>
    <m/>
    <m/>
    <m/>
    <m/>
    <m/>
    <n v="0"/>
    <n v="0"/>
  </r>
  <r>
    <x v="5"/>
    <x v="3"/>
    <s v="Community Cancer Program"/>
    <m/>
    <n v="157289"/>
    <x v="0"/>
    <m/>
    <m/>
    <n v="843400"/>
    <n v="712400"/>
    <m/>
    <m/>
    <m/>
    <m/>
    <n v="0"/>
    <m/>
    <m/>
    <n v="0"/>
    <n v="843400"/>
    <n v="712400"/>
    <m/>
    <m/>
    <m/>
    <m/>
    <n v="0"/>
    <m/>
    <m/>
    <n v="0"/>
    <m/>
    <m/>
    <m/>
    <m/>
    <m/>
    <m/>
    <n v="843400"/>
    <n v="712400"/>
  </r>
  <r>
    <x v="5"/>
    <x v="3"/>
    <s v="State Data Center"/>
    <m/>
    <n v="157289"/>
    <x v="0"/>
    <m/>
    <m/>
    <n v="257300"/>
    <n v="0"/>
    <m/>
    <m/>
    <m/>
    <m/>
    <n v="0"/>
    <m/>
    <m/>
    <n v="0"/>
    <n v="257300"/>
    <n v="0"/>
    <m/>
    <m/>
    <m/>
    <m/>
    <n v="0"/>
    <m/>
    <m/>
    <n v="0"/>
    <m/>
    <m/>
    <m/>
    <m/>
    <m/>
    <m/>
    <n v="257300"/>
    <n v="0"/>
  </r>
  <r>
    <x v="5"/>
    <x v="7"/>
    <s v="Research centers/institutes"/>
    <m/>
    <n v="157289"/>
    <x v="0"/>
    <m/>
    <m/>
    <m/>
    <m/>
    <m/>
    <m/>
    <m/>
    <m/>
    <n v="0"/>
    <m/>
    <m/>
    <n v="0"/>
    <n v="0"/>
    <n v="0"/>
    <m/>
    <m/>
    <m/>
    <m/>
    <n v="0"/>
    <m/>
    <m/>
    <n v="0"/>
    <m/>
    <m/>
    <m/>
    <m/>
    <m/>
    <m/>
    <n v="0"/>
    <n v="0"/>
  </r>
  <r>
    <x v="5"/>
    <x v="0"/>
    <s v="Eastern Kentucky University "/>
    <m/>
    <n v="156620"/>
    <x v="2"/>
    <n v="67473700"/>
    <n v="67833800"/>
    <m/>
    <m/>
    <m/>
    <m/>
    <n v="139555900"/>
    <m/>
    <n v="139555900"/>
    <n v="148352900"/>
    <m/>
    <n v="148352900"/>
    <n v="207029600"/>
    <n v="216186700"/>
    <m/>
    <m/>
    <m/>
    <m/>
    <n v="0"/>
    <m/>
    <m/>
    <n v="0"/>
    <m/>
    <m/>
    <m/>
    <m/>
    <m/>
    <m/>
    <n v="207029600"/>
    <n v="216186700"/>
  </r>
  <r>
    <x v="5"/>
    <x v="3"/>
    <s v="Community Operations Board"/>
    <m/>
    <n v="156620"/>
    <x v="2"/>
    <m/>
    <m/>
    <n v="200000"/>
    <n v="200000"/>
    <m/>
    <m/>
    <m/>
    <m/>
    <n v="0"/>
    <m/>
    <m/>
    <n v="0"/>
    <n v="200000"/>
    <n v="200000"/>
    <m/>
    <m/>
    <m/>
    <m/>
    <n v="0"/>
    <m/>
    <m/>
    <n v="0"/>
    <m/>
    <m/>
    <m/>
    <m/>
    <m/>
    <m/>
    <n v="200000"/>
    <n v="200000"/>
  </r>
  <r>
    <x v="5"/>
    <x v="0"/>
    <s v="Morehead State University "/>
    <m/>
    <n v="157386"/>
    <x v="2"/>
    <n v="40816400"/>
    <n v="40839500"/>
    <m/>
    <m/>
    <m/>
    <m/>
    <n v="69825949"/>
    <n v="652851"/>
    <n v="70478800"/>
    <n v="74096668"/>
    <n v="661832"/>
    <n v="74758500"/>
    <n v="110642349"/>
    <n v="114936168"/>
    <m/>
    <m/>
    <m/>
    <m/>
    <n v="0"/>
    <m/>
    <m/>
    <n v="0"/>
    <m/>
    <m/>
    <m/>
    <m/>
    <m/>
    <m/>
    <n v="110642349"/>
    <n v="114936168"/>
  </r>
  <r>
    <x v="5"/>
    <x v="3"/>
    <s v="Public Service Units"/>
    <m/>
    <n v="157386"/>
    <x v="2"/>
    <m/>
    <m/>
    <m/>
    <m/>
    <m/>
    <m/>
    <m/>
    <m/>
    <n v="0"/>
    <m/>
    <m/>
    <n v="0"/>
    <n v="0"/>
    <n v="0"/>
    <m/>
    <m/>
    <m/>
    <m/>
    <n v="0"/>
    <m/>
    <m/>
    <n v="0"/>
    <m/>
    <m/>
    <m/>
    <m/>
    <m/>
    <m/>
    <n v="0"/>
    <n v="0"/>
  </r>
  <r>
    <x v="5"/>
    <x v="3"/>
    <s v="KY Folk Art Center"/>
    <m/>
    <n v="157386"/>
    <x v="2"/>
    <m/>
    <m/>
    <n v="200000"/>
    <n v="200000"/>
    <m/>
    <m/>
    <m/>
    <m/>
    <n v="0"/>
    <m/>
    <m/>
    <n v="0"/>
    <n v="200000"/>
    <n v="200000"/>
    <m/>
    <m/>
    <m/>
    <m/>
    <n v="0"/>
    <m/>
    <m/>
    <n v="0"/>
    <m/>
    <m/>
    <m/>
    <m/>
    <m/>
    <m/>
    <n v="200000"/>
    <n v="200000"/>
  </r>
  <r>
    <x v="5"/>
    <x v="7"/>
    <s v="Research centers/institutes"/>
    <m/>
    <n v="157386"/>
    <x v="2"/>
    <m/>
    <m/>
    <m/>
    <m/>
    <m/>
    <m/>
    <m/>
    <m/>
    <n v="0"/>
    <m/>
    <m/>
    <n v="0"/>
    <n v="0"/>
    <n v="0"/>
    <m/>
    <m/>
    <m/>
    <m/>
    <n v="0"/>
    <m/>
    <m/>
    <n v="0"/>
    <m/>
    <m/>
    <m/>
    <m/>
    <m/>
    <m/>
    <n v="0"/>
    <n v="0"/>
  </r>
  <r>
    <x v="5"/>
    <x v="7"/>
    <s v="Institute for Correctional Training/Research"/>
    <m/>
    <n v="157386"/>
    <x v="2"/>
    <m/>
    <m/>
    <n v="141000"/>
    <n v="141000"/>
    <m/>
    <m/>
    <m/>
    <m/>
    <n v="0"/>
    <m/>
    <m/>
    <n v="0"/>
    <n v="141000"/>
    <n v="141000"/>
    <m/>
    <m/>
    <m/>
    <m/>
    <n v="0"/>
    <m/>
    <m/>
    <n v="0"/>
    <m/>
    <m/>
    <m/>
    <m/>
    <m/>
    <m/>
    <n v="141000"/>
    <n v="141000"/>
  </r>
  <r>
    <x v="5"/>
    <x v="0"/>
    <s v="Murray State University "/>
    <m/>
    <n v="157401"/>
    <x v="2"/>
    <n v="45361100"/>
    <n v="44948900"/>
    <m/>
    <m/>
    <m/>
    <m/>
    <n v="106385200"/>
    <m/>
    <n v="106385200"/>
    <n v="113937300"/>
    <m/>
    <n v="113937300"/>
    <n v="151746300"/>
    <n v="158886200"/>
    <m/>
    <m/>
    <m/>
    <m/>
    <n v="0"/>
    <m/>
    <m/>
    <n v="0"/>
    <m/>
    <m/>
    <m/>
    <m/>
    <m/>
    <m/>
    <n v="151746300"/>
    <n v="158886200"/>
  </r>
  <r>
    <x v="5"/>
    <x v="3"/>
    <s v="Community or public service units"/>
    <m/>
    <n v="157401"/>
    <x v="2"/>
    <m/>
    <m/>
    <m/>
    <m/>
    <m/>
    <m/>
    <m/>
    <m/>
    <n v="0"/>
    <m/>
    <m/>
    <n v="0"/>
    <n v="0"/>
    <n v="0"/>
    <m/>
    <m/>
    <m/>
    <m/>
    <n v="0"/>
    <m/>
    <m/>
    <n v="0"/>
    <m/>
    <m/>
    <m/>
    <m/>
    <m/>
    <m/>
    <n v="0"/>
    <n v="0"/>
  </r>
  <r>
    <x v="5"/>
    <x v="3"/>
    <s v="Breathitt Veterinary Clinic"/>
    <m/>
    <n v="157401"/>
    <x v="2"/>
    <m/>
    <m/>
    <n v="2644700"/>
    <n v="3076200"/>
    <m/>
    <m/>
    <m/>
    <m/>
    <n v="0"/>
    <m/>
    <m/>
    <n v="0"/>
    <n v="2644700"/>
    <n v="3076200"/>
    <m/>
    <m/>
    <m/>
    <m/>
    <n v="0"/>
    <m/>
    <m/>
    <n v="0"/>
    <m/>
    <m/>
    <m/>
    <m/>
    <m/>
    <m/>
    <n v="2644700"/>
    <n v="3076200"/>
  </r>
  <r>
    <x v="5"/>
    <x v="0"/>
    <s v="Western Kentucky University "/>
    <m/>
    <n v="157951"/>
    <x v="2"/>
    <n v="69580600"/>
    <n v="69729991"/>
    <m/>
    <m/>
    <m/>
    <m/>
    <n v="181329512"/>
    <n v="2023588"/>
    <n v="183353100"/>
    <n v="189170000"/>
    <n v="2076000"/>
    <n v="191246000"/>
    <n v="250910112"/>
    <n v="258899991"/>
    <m/>
    <m/>
    <m/>
    <m/>
    <n v="0"/>
    <m/>
    <m/>
    <n v="0"/>
    <m/>
    <m/>
    <m/>
    <m/>
    <m/>
    <m/>
    <n v="250910112"/>
    <n v="258899991"/>
  </r>
  <r>
    <x v="5"/>
    <x v="3"/>
    <s v="Community or public service units"/>
    <m/>
    <n v="157951"/>
    <x v="2"/>
    <m/>
    <m/>
    <m/>
    <m/>
    <m/>
    <m/>
    <m/>
    <m/>
    <n v="0"/>
    <m/>
    <m/>
    <n v="0"/>
    <n v="0"/>
    <n v="0"/>
    <m/>
    <m/>
    <m/>
    <m/>
    <n v="0"/>
    <m/>
    <m/>
    <n v="0"/>
    <m/>
    <m/>
    <m/>
    <m/>
    <m/>
    <m/>
    <n v="0"/>
    <n v="0"/>
  </r>
  <r>
    <x v="5"/>
    <x v="3"/>
    <s v="Kentucky Academy for Math and Science"/>
    <m/>
    <n v="157951"/>
    <x v="2"/>
    <m/>
    <m/>
    <n v="2844600"/>
    <n v="2919409"/>
    <m/>
    <m/>
    <m/>
    <m/>
    <n v="0"/>
    <m/>
    <m/>
    <n v="0"/>
    <n v="2844600"/>
    <n v="2919409"/>
    <m/>
    <m/>
    <m/>
    <m/>
    <n v="0"/>
    <m/>
    <m/>
    <n v="0"/>
    <m/>
    <m/>
    <m/>
    <m/>
    <m/>
    <m/>
    <n v="2844600"/>
    <n v="2919409"/>
  </r>
  <r>
    <x v="5"/>
    <x v="0"/>
    <s v="Kentucky State University "/>
    <m/>
    <n v="157058"/>
    <x v="3"/>
    <n v="19961902"/>
    <n v="19854100"/>
    <m/>
    <m/>
    <m/>
    <m/>
    <n v="21386201"/>
    <m/>
    <n v="21386201"/>
    <n v="21386201"/>
    <m/>
    <n v="21386201"/>
    <n v="41348103"/>
    <n v="41240301"/>
    <m/>
    <m/>
    <m/>
    <m/>
    <n v="0"/>
    <m/>
    <m/>
    <n v="0"/>
    <m/>
    <m/>
    <m/>
    <m/>
    <m/>
    <m/>
    <n v="41348103"/>
    <n v="41240301"/>
  </r>
  <r>
    <x v="5"/>
    <x v="3"/>
    <s v="Public Service Units"/>
    <m/>
    <n v="157058"/>
    <x v="3"/>
    <m/>
    <m/>
    <n v="2125897"/>
    <n v="2125884"/>
    <m/>
    <m/>
    <m/>
    <m/>
    <n v="0"/>
    <m/>
    <m/>
    <n v="0"/>
    <n v="2125897"/>
    <n v="2125884"/>
    <m/>
    <m/>
    <m/>
    <m/>
    <n v="0"/>
    <m/>
    <m/>
    <n v="0"/>
    <m/>
    <m/>
    <m/>
    <m/>
    <m/>
    <m/>
    <n v="2125897"/>
    <n v="2125884"/>
  </r>
  <r>
    <x v="5"/>
    <x v="5"/>
    <s v="Agricultural cooperative extension"/>
    <m/>
    <n v="157058"/>
    <x v="3"/>
    <m/>
    <m/>
    <n v="1449601"/>
    <n v="1449616"/>
    <m/>
    <m/>
    <m/>
    <m/>
    <n v="0"/>
    <m/>
    <m/>
    <n v="0"/>
    <n v="1449601"/>
    <n v="1449616"/>
    <m/>
    <m/>
    <m/>
    <m/>
    <n v="0"/>
    <m/>
    <m/>
    <n v="0"/>
    <m/>
    <m/>
    <m/>
    <m/>
    <m/>
    <m/>
    <n v="1449601"/>
    <n v="1449616"/>
  </r>
  <r>
    <x v="5"/>
    <x v="0"/>
    <s v="Northern Kentucky University "/>
    <s v="Reclassified: Met the criteria for Four-Year 3 in 2012-13, 2013-14, and 2014-15."/>
    <n v="157447"/>
    <x v="2"/>
    <n v="45335100"/>
    <n v="46932800"/>
    <m/>
    <m/>
    <m/>
    <m/>
    <n v="139802671"/>
    <n v="272329"/>
    <n v="140075000"/>
    <n v="143607501"/>
    <n v="3016999"/>
    <n v="146624500"/>
    <n v="185137771"/>
    <n v="190540301"/>
    <m/>
    <m/>
    <m/>
    <m/>
    <n v="0"/>
    <m/>
    <m/>
    <n v="0"/>
    <m/>
    <m/>
    <m/>
    <m/>
    <m/>
    <m/>
    <n v="185137771"/>
    <n v="190540301"/>
  </r>
  <r>
    <x v="5"/>
    <x v="3"/>
    <s v="Community or public service units"/>
    <m/>
    <n v="157447"/>
    <x v="2"/>
    <m/>
    <m/>
    <m/>
    <m/>
    <m/>
    <m/>
    <m/>
    <m/>
    <n v="0"/>
    <m/>
    <m/>
    <n v="0"/>
    <n v="0"/>
    <n v="0"/>
    <m/>
    <m/>
    <m/>
    <m/>
    <n v="0"/>
    <m/>
    <m/>
    <n v="0"/>
    <m/>
    <m/>
    <m/>
    <m/>
    <m/>
    <m/>
    <n v="0"/>
    <n v="0"/>
  </r>
  <r>
    <x v="5"/>
    <x v="3"/>
    <s v="Kentucky Center for Mathematics"/>
    <m/>
    <n v="157447"/>
    <x v="2"/>
    <m/>
    <m/>
    <n v="1500000"/>
    <n v="1604800"/>
    <m/>
    <m/>
    <m/>
    <m/>
    <n v="0"/>
    <m/>
    <m/>
    <n v="0"/>
    <n v="1500000"/>
    <n v="1604800"/>
    <m/>
    <m/>
    <m/>
    <m/>
    <n v="0"/>
    <m/>
    <m/>
    <n v="0"/>
    <m/>
    <m/>
    <m/>
    <m/>
    <m/>
    <m/>
    <n v="1500000"/>
    <n v="1604800"/>
  </r>
  <r>
    <x v="5"/>
    <x v="0"/>
    <s v="Bluegrass Community and Technical College"/>
    <m/>
    <n v="157173"/>
    <x v="6"/>
    <n v="10160722.34668738"/>
    <n v="11596500.794144571"/>
    <m/>
    <m/>
    <m/>
    <m/>
    <n v="35556900"/>
    <n v="0"/>
    <n v="35556900"/>
    <n v="32177700"/>
    <n v="808164"/>
    <n v="32985864"/>
    <n v="45717622.346687376"/>
    <n v="43774200.794144571"/>
    <m/>
    <m/>
    <m/>
    <m/>
    <n v="0"/>
    <m/>
    <m/>
    <n v="0"/>
    <m/>
    <m/>
    <m/>
    <m/>
    <m/>
    <m/>
    <n v="45717622.346687376"/>
    <n v="43774200.794144571"/>
  </r>
  <r>
    <x v="5"/>
    <x v="0"/>
    <s v="Jefferson Community and Technical College "/>
    <m/>
    <n v="156921"/>
    <x v="6"/>
    <n v="17299245.327378422"/>
    <n v="16397121.152777724"/>
    <m/>
    <m/>
    <m/>
    <m/>
    <n v="32895200"/>
    <n v="0"/>
    <n v="32895200"/>
    <n v="33098300"/>
    <n v="865916.60000000009"/>
    <n v="33964216.600000001"/>
    <n v="50194445.327378422"/>
    <n v="49495421.152777724"/>
    <m/>
    <m/>
    <m/>
    <m/>
    <n v="0"/>
    <m/>
    <m/>
    <n v="0"/>
    <m/>
    <m/>
    <m/>
    <m/>
    <m/>
    <m/>
    <n v="50194445.327378422"/>
    <n v="49495421.152777724"/>
  </r>
  <r>
    <x v="5"/>
    <x v="0"/>
    <s v="Ashland Community and Technical College"/>
    <m/>
    <n v="156231"/>
    <x v="7"/>
    <n v="9730484.4156947471"/>
    <n v="9184003.2666130364"/>
    <m/>
    <m/>
    <m/>
    <m/>
    <n v="9763100"/>
    <n v="0"/>
    <n v="9763100"/>
    <n v="9710200"/>
    <n v="273339.60000000003"/>
    <n v="9983539.5999999996"/>
    <n v="19493584.415694747"/>
    <n v="18894203.266613036"/>
    <m/>
    <m/>
    <m/>
    <m/>
    <n v="0"/>
    <m/>
    <m/>
    <n v="0"/>
    <m/>
    <m/>
    <m/>
    <m/>
    <m/>
    <m/>
    <n v="19493584.415694747"/>
    <n v="18894203.266613036"/>
  </r>
  <r>
    <x v="5"/>
    <x v="0"/>
    <s v="Big Sandy Community and Technical College "/>
    <m/>
    <n v="157553"/>
    <x v="7"/>
    <n v="10822324.215202009"/>
    <n v="10715068.75706864"/>
    <m/>
    <m/>
    <m/>
    <m/>
    <n v="10835800"/>
    <n v="0"/>
    <n v="10835800"/>
    <n v="10999600"/>
    <n v="295077.80000000005"/>
    <n v="11294677.800000001"/>
    <n v="21658124.215202011"/>
    <n v="21714668.757068641"/>
    <m/>
    <m/>
    <m/>
    <m/>
    <n v="0"/>
    <m/>
    <m/>
    <n v="0"/>
    <m/>
    <m/>
    <m/>
    <m/>
    <m/>
    <m/>
    <n v="21658124.215202011"/>
    <n v="21714668.757068641"/>
  </r>
  <r>
    <x v="5"/>
    <x v="0"/>
    <s v="Elizabethtown Community and Technical College "/>
    <m/>
    <n v="156648"/>
    <x v="7"/>
    <n v="9291743.2571574207"/>
    <n v="8899990.259682104"/>
    <m/>
    <m/>
    <m/>
    <m/>
    <n v="15751300"/>
    <n v="0"/>
    <n v="15751300"/>
    <n v="15732400"/>
    <n v="423880.79999999993"/>
    <n v="16156280.800000001"/>
    <n v="25043043.257157423"/>
    <n v="24632390.259682104"/>
    <m/>
    <m/>
    <m/>
    <m/>
    <n v="0"/>
    <m/>
    <m/>
    <n v="0"/>
    <m/>
    <m/>
    <m/>
    <m/>
    <m/>
    <m/>
    <n v="25043043.257157423"/>
    <n v="24632390.259682104"/>
  </r>
  <r>
    <x v="5"/>
    <x v="0"/>
    <s v="Hazard Community and Technical College"/>
    <s v="Met the criteria for Two-Year 3 in 2014-15."/>
    <n v="156790"/>
    <x v="7"/>
    <n v="13823075.141570687"/>
    <n v="13219927.26666059"/>
    <m/>
    <m/>
    <m/>
    <m/>
    <n v="8146100"/>
    <n v="0"/>
    <n v="8146100"/>
    <n v="8523400"/>
    <n v="229294.3"/>
    <n v="8752694.3000000007"/>
    <n v="21969175.141570687"/>
    <n v="21743327.26666059"/>
    <m/>
    <m/>
    <m/>
    <m/>
    <n v="0"/>
    <m/>
    <m/>
    <n v="0"/>
    <m/>
    <m/>
    <m/>
    <m/>
    <m/>
    <m/>
    <n v="21969175.141570687"/>
    <n v="21743327.26666059"/>
  </r>
  <r>
    <x v="5"/>
    <x v="0"/>
    <s v="Hopkinsville Community College "/>
    <m/>
    <n v="156860"/>
    <x v="7"/>
    <n v="4884786.9398157699"/>
    <n v="4836226.5328297941"/>
    <m/>
    <m/>
    <m/>
    <m/>
    <n v="9971600"/>
    <n v="0"/>
    <n v="9971600"/>
    <n v="9091200"/>
    <n v="237907"/>
    <n v="9329107"/>
    <n v="14856386.939815771"/>
    <n v="13927426.532829795"/>
    <m/>
    <m/>
    <m/>
    <m/>
    <n v="0"/>
    <m/>
    <m/>
    <n v="0"/>
    <m/>
    <m/>
    <m/>
    <m/>
    <m/>
    <m/>
    <n v="14856386.939815771"/>
    <n v="13927426.532829795"/>
  </r>
  <r>
    <x v="5"/>
    <x v="0"/>
    <s v="Madisonville Community College"/>
    <m/>
    <n v="157304"/>
    <x v="7"/>
    <n v="9123328.5862349365"/>
    <n v="9256888.3882907256"/>
    <m/>
    <m/>
    <m/>
    <m/>
    <n v="8080000"/>
    <n v="0"/>
    <n v="8080000"/>
    <n v="8273300"/>
    <n v="222610"/>
    <n v="8495910"/>
    <n v="17203328.586234935"/>
    <n v="17530188.388290726"/>
    <m/>
    <m/>
    <m/>
    <m/>
    <n v="0"/>
    <m/>
    <m/>
    <n v="0"/>
    <m/>
    <m/>
    <m/>
    <m/>
    <m/>
    <m/>
    <n v="17203328.586234935"/>
    <n v="17530188.388290726"/>
  </r>
  <r>
    <x v="5"/>
    <x v="0"/>
    <s v="Maysville Community and Technical College "/>
    <m/>
    <n v="157331"/>
    <x v="7"/>
    <n v="7496039.2790999673"/>
    <n v="7144653.665310069"/>
    <m/>
    <m/>
    <m/>
    <m/>
    <n v="12185000"/>
    <n v="0"/>
    <n v="12185000"/>
    <n v="10471600"/>
    <n v="278390.40000000002"/>
    <n v="10749990.4"/>
    <n v="19681039.279099967"/>
    <n v="17616253.66531007"/>
    <m/>
    <m/>
    <m/>
    <m/>
    <n v="0"/>
    <m/>
    <m/>
    <n v="0"/>
    <m/>
    <m/>
    <m/>
    <m/>
    <m/>
    <m/>
    <n v="19681039.279099967"/>
    <n v="17616253.66531007"/>
  </r>
  <r>
    <x v="5"/>
    <x v="0"/>
    <s v="Owensboro Community and Technical College "/>
    <m/>
    <n v="247940"/>
    <x v="7"/>
    <n v="7127354.5624233894"/>
    <n v="6761947.0345991831"/>
    <m/>
    <m/>
    <m/>
    <m/>
    <n v="11084700"/>
    <n v="0"/>
    <n v="11084700"/>
    <n v="9907900"/>
    <n v="263657.8"/>
    <n v="10171557.800000001"/>
    <n v="18212054.562423389"/>
    <n v="16669847.034599183"/>
    <m/>
    <m/>
    <m/>
    <m/>
    <n v="0"/>
    <m/>
    <m/>
    <n v="0"/>
    <m/>
    <m/>
    <m/>
    <m/>
    <m/>
    <m/>
    <n v="18212054.562423389"/>
    <n v="16669847.034599183"/>
  </r>
  <r>
    <x v="5"/>
    <x v="0"/>
    <s v="Somerset Community College "/>
    <m/>
    <n v="157711"/>
    <x v="7"/>
    <n v="11760598.263529012"/>
    <n v="11055358.636639232"/>
    <m/>
    <m/>
    <m/>
    <m/>
    <n v="19188700"/>
    <n v="0"/>
    <n v="19188700"/>
    <n v="19164000"/>
    <n v="514730.4"/>
    <n v="19678730.399999999"/>
    <n v="30949298.26352901"/>
    <n v="30219358.63663923"/>
    <m/>
    <m/>
    <m/>
    <m/>
    <n v="0"/>
    <m/>
    <m/>
    <n v="0"/>
    <m/>
    <m/>
    <m/>
    <m/>
    <m/>
    <m/>
    <n v="30949298.26352901"/>
    <n v="30219358.63663923"/>
  </r>
  <r>
    <x v="5"/>
    <x v="0"/>
    <s v="Southeast Kentucky Community and Technical College"/>
    <m/>
    <n v="157739"/>
    <x v="7"/>
    <n v="14464624.62274112"/>
    <n v="12065116.281390307"/>
    <m/>
    <m/>
    <m/>
    <m/>
    <n v="8594900"/>
    <n v="0"/>
    <n v="8594900"/>
    <n v="8625400"/>
    <n v="230049.59999999998"/>
    <n v="8855449.5999999996"/>
    <n v="23059524.622741118"/>
    <n v="20690516.281390309"/>
    <m/>
    <m/>
    <m/>
    <m/>
    <n v="0"/>
    <m/>
    <m/>
    <n v="0"/>
    <m/>
    <m/>
    <m/>
    <m/>
    <m/>
    <m/>
    <n v="23059524.622741118"/>
    <n v="20690516.281390309"/>
  </r>
  <r>
    <x v="5"/>
    <x v="0"/>
    <s v="West Kentucky Community and Technical College"/>
    <m/>
    <n v="157483"/>
    <x v="7"/>
    <n v="10652386.578152116"/>
    <n v="10224109.79809548"/>
    <m/>
    <m/>
    <m/>
    <m/>
    <n v="15820200"/>
    <n v="0"/>
    <n v="15820200"/>
    <n v="16257900"/>
    <n v="428190.68"/>
    <n v="16686090.68"/>
    <n v="26472586.578152116"/>
    <n v="26482009.79809548"/>
    <m/>
    <m/>
    <m/>
    <m/>
    <n v="0"/>
    <m/>
    <m/>
    <n v="0"/>
    <m/>
    <m/>
    <m/>
    <m/>
    <m/>
    <m/>
    <n v="26472586.578152116"/>
    <n v="26482009.79809548"/>
  </r>
  <r>
    <x v="5"/>
    <x v="0"/>
    <s v="Henderson Community College "/>
    <m/>
    <n v="156851"/>
    <x v="8"/>
    <n v="4982764.4273456559"/>
    <n v="4921657.454140529"/>
    <m/>
    <m/>
    <m/>
    <m/>
    <n v="5074000"/>
    <n v="0"/>
    <n v="5074000"/>
    <n v="4561000"/>
    <n v="121266.8"/>
    <n v="4682266.8"/>
    <n v="10056764.427345656"/>
    <n v="9482657.454140529"/>
    <m/>
    <m/>
    <m/>
    <m/>
    <n v="0"/>
    <m/>
    <m/>
    <n v="0"/>
    <m/>
    <m/>
    <m/>
    <m/>
    <m/>
    <m/>
    <n v="10056764.427345656"/>
    <n v="9482657.454140529"/>
  </r>
  <r>
    <x v="5"/>
    <x v="0"/>
    <s v="Gateway Community and Technical College"/>
    <m/>
    <n v="157438"/>
    <x v="9"/>
    <n v="7830457.2579098754"/>
    <n v="7460807.8160628024"/>
    <m/>
    <m/>
    <m/>
    <m/>
    <n v="9902900"/>
    <n v="0"/>
    <n v="9902900"/>
    <n v="10282700"/>
    <n v="276186"/>
    <n v="10558886"/>
    <n v="17733357.257909875"/>
    <n v="17743507.816062801"/>
    <m/>
    <m/>
    <m/>
    <m/>
    <n v="0"/>
    <m/>
    <m/>
    <n v="0"/>
    <m/>
    <m/>
    <m/>
    <m/>
    <m/>
    <m/>
    <n v="17733357.257909875"/>
    <n v="17743507.816062801"/>
  </r>
  <r>
    <x v="5"/>
    <x v="0"/>
    <s v="Southcentral Kentucky Community and Technical College"/>
    <m/>
    <n v="156338"/>
    <x v="9"/>
    <n v="7409864.7790574897"/>
    <n v="7017522.8956952132"/>
    <m/>
    <m/>
    <m/>
    <m/>
    <n v="9953100"/>
    <n v="0"/>
    <n v="9953100"/>
    <n v="11322500"/>
    <n v="298462"/>
    <n v="11620962"/>
    <n v="17362964.779057488"/>
    <n v="18340022.895695213"/>
    <m/>
    <m/>
    <m/>
    <m/>
    <n v="0"/>
    <m/>
    <m/>
    <n v="0"/>
    <m/>
    <m/>
    <m/>
    <m/>
    <m/>
    <m/>
    <n v="17362964.779057488"/>
    <n v="18340022.895695213"/>
  </r>
  <r>
    <x v="5"/>
    <x v="42"/>
    <s v="Education special purpose funds -statewide units"/>
    <m/>
    <m/>
    <x v="12"/>
    <m/>
    <m/>
    <m/>
    <m/>
    <m/>
    <m/>
    <m/>
    <m/>
    <n v="0"/>
    <m/>
    <m/>
    <n v="0"/>
    <n v="0"/>
    <n v="0"/>
    <m/>
    <m/>
    <m/>
    <m/>
    <n v="0"/>
    <m/>
    <m/>
    <n v="0"/>
    <m/>
    <m/>
    <m/>
    <m/>
    <m/>
    <m/>
    <n v="0"/>
    <n v="0"/>
  </r>
  <r>
    <x v="5"/>
    <x v="42"/>
    <s v="Public Service Units"/>
    <m/>
    <m/>
    <x v="12"/>
    <m/>
    <m/>
    <m/>
    <m/>
    <m/>
    <m/>
    <m/>
    <m/>
    <n v="0"/>
    <m/>
    <m/>
    <n v="0"/>
    <n v="0"/>
    <n v="0"/>
    <m/>
    <m/>
    <m/>
    <m/>
    <n v="0"/>
    <m/>
    <m/>
    <n v="0"/>
    <m/>
    <m/>
    <m/>
    <m/>
    <m/>
    <m/>
    <n v="0"/>
    <n v="0"/>
  </r>
  <r>
    <x v="5"/>
    <x v="42"/>
    <s v="KY WINS"/>
    <m/>
    <m/>
    <x v="12"/>
    <m/>
    <m/>
    <n v="5054800"/>
    <n v="4979000"/>
    <m/>
    <m/>
    <m/>
    <m/>
    <n v="0"/>
    <m/>
    <m/>
    <n v="0"/>
    <n v="5054800"/>
    <n v="4979000"/>
    <m/>
    <m/>
    <m/>
    <m/>
    <n v="0"/>
    <m/>
    <m/>
    <n v="0"/>
    <m/>
    <m/>
    <m/>
    <m/>
    <m/>
    <m/>
    <n v="5054800"/>
    <n v="4979000"/>
  </r>
  <r>
    <x v="5"/>
    <x v="42"/>
    <s v="Kentucky Coal Academy"/>
    <m/>
    <m/>
    <x v="12"/>
    <m/>
    <m/>
    <n v="2506200"/>
    <n v="2468600"/>
    <m/>
    <m/>
    <m/>
    <m/>
    <n v="0"/>
    <m/>
    <m/>
    <n v="0"/>
    <n v="2506200"/>
    <n v="2468600"/>
    <m/>
    <m/>
    <m/>
    <m/>
    <n v="0"/>
    <m/>
    <m/>
    <n v="0"/>
    <m/>
    <m/>
    <m/>
    <m/>
    <m/>
    <m/>
    <n v="2506200"/>
    <n v="2468600"/>
  </r>
  <r>
    <x v="5"/>
    <x v="42"/>
    <s v="University Health Insurance Premium Supplement"/>
    <m/>
    <m/>
    <x v="12"/>
    <m/>
    <m/>
    <n v="842600"/>
    <n v="830000"/>
    <m/>
    <m/>
    <m/>
    <m/>
    <n v="0"/>
    <m/>
    <m/>
    <n v="0"/>
    <n v="842600"/>
    <n v="830000"/>
    <m/>
    <m/>
    <m/>
    <m/>
    <n v="0"/>
    <m/>
    <m/>
    <n v="0"/>
    <m/>
    <m/>
    <m/>
    <m/>
    <m/>
    <m/>
    <n v="842600"/>
    <n v="830000"/>
  </r>
  <r>
    <x v="5"/>
    <x v="42"/>
    <s v="Kentucky Board of Emergency Medical Services"/>
    <m/>
    <m/>
    <x v="12"/>
    <m/>
    <m/>
    <n v="2025800"/>
    <n v="2088600"/>
    <m/>
    <m/>
    <m/>
    <m/>
    <n v="0"/>
    <m/>
    <m/>
    <n v="0"/>
    <n v="2025800"/>
    <n v="2088600"/>
    <m/>
    <m/>
    <m/>
    <m/>
    <n v="0"/>
    <m/>
    <m/>
    <n v="0"/>
    <m/>
    <m/>
    <m/>
    <m/>
    <m/>
    <m/>
    <n v="2025800"/>
    <n v="2088600"/>
  </r>
  <r>
    <x v="5"/>
    <x v="42"/>
    <s v="Fire Commission"/>
    <m/>
    <m/>
    <x v="12"/>
    <m/>
    <m/>
    <n v="2105400"/>
    <n v="2010200"/>
    <m/>
    <m/>
    <m/>
    <m/>
    <n v="0"/>
    <m/>
    <m/>
    <n v="0"/>
    <n v="2105400"/>
    <n v="2010200"/>
    <m/>
    <m/>
    <m/>
    <m/>
    <n v="0"/>
    <m/>
    <m/>
    <n v="0"/>
    <m/>
    <m/>
    <m/>
    <m/>
    <m/>
    <m/>
    <n v="2105400"/>
    <n v="2010200"/>
  </r>
  <r>
    <x v="5"/>
    <x v="13"/>
    <s v="Education special purpose funds — all other"/>
    <m/>
    <m/>
    <x v="12"/>
    <m/>
    <m/>
    <m/>
    <m/>
    <m/>
    <m/>
    <m/>
    <m/>
    <n v="0"/>
    <m/>
    <m/>
    <n v="0"/>
    <n v="0"/>
    <n v="0"/>
    <m/>
    <m/>
    <m/>
    <m/>
    <n v="0"/>
    <m/>
    <m/>
    <n v="0"/>
    <m/>
    <m/>
    <m/>
    <m/>
    <m/>
    <m/>
    <n v="0"/>
    <n v="0"/>
  </r>
  <r>
    <x v="5"/>
    <x v="13"/>
    <s v="(PEPP) Health Programs"/>
    <m/>
    <m/>
    <x v="12"/>
    <m/>
    <m/>
    <n v="265100"/>
    <n v="251900"/>
    <m/>
    <m/>
    <m/>
    <m/>
    <n v="0"/>
    <m/>
    <m/>
    <n v="0"/>
    <n v="265100"/>
    <n v="251900"/>
    <m/>
    <m/>
    <m/>
    <m/>
    <n v="0"/>
    <m/>
    <m/>
    <n v="0"/>
    <m/>
    <m/>
    <m/>
    <m/>
    <m/>
    <m/>
    <n v="265100"/>
    <n v="251900"/>
  </r>
  <r>
    <x v="5"/>
    <x v="13"/>
    <s v="Minority Student Col Prep"/>
    <m/>
    <m/>
    <x v="12"/>
    <m/>
    <m/>
    <n v="185200"/>
    <n v="176000"/>
    <m/>
    <m/>
    <m/>
    <m/>
    <n v="0"/>
    <m/>
    <m/>
    <n v="0"/>
    <n v="185200"/>
    <n v="176000"/>
    <m/>
    <m/>
    <m/>
    <m/>
    <n v="0"/>
    <m/>
    <m/>
    <n v="0"/>
    <m/>
    <m/>
    <m/>
    <m/>
    <m/>
    <m/>
    <n v="185200"/>
    <n v="176000"/>
  </r>
  <r>
    <x v="5"/>
    <x v="13"/>
    <s v="Research Challenge Trust Fund-Lung Cancer Research"/>
    <m/>
    <m/>
    <x v="12"/>
    <m/>
    <m/>
    <n v="4629806"/>
    <n v="4972500"/>
    <m/>
    <m/>
    <m/>
    <m/>
    <n v="0"/>
    <m/>
    <m/>
    <n v="0"/>
    <n v="4629806"/>
    <n v="4972500"/>
    <m/>
    <m/>
    <m/>
    <m/>
    <n v="0"/>
    <m/>
    <m/>
    <n v="0"/>
    <m/>
    <m/>
    <m/>
    <m/>
    <m/>
    <m/>
    <n v="4629806"/>
    <n v="4972500"/>
  </r>
  <r>
    <x v="5"/>
    <x v="13"/>
    <s v="KY Postsecondary Education Network"/>
    <m/>
    <m/>
    <x v="12"/>
    <m/>
    <m/>
    <n v="2408600"/>
    <n v="2644100"/>
    <m/>
    <m/>
    <m/>
    <m/>
    <n v="0"/>
    <m/>
    <m/>
    <n v="0"/>
    <n v="2408600"/>
    <n v="2644100"/>
    <m/>
    <m/>
    <m/>
    <m/>
    <n v="0"/>
    <m/>
    <m/>
    <n v="0"/>
    <m/>
    <m/>
    <m/>
    <m/>
    <m/>
    <m/>
    <n v="2408600"/>
    <n v="2644100"/>
  </r>
  <r>
    <x v="5"/>
    <x v="13"/>
    <s v="Commonwealth Virtual Univ"/>
    <m/>
    <m/>
    <x v="12"/>
    <m/>
    <m/>
    <n v="1880200"/>
    <n v="1431200"/>
    <m/>
    <m/>
    <m/>
    <m/>
    <n v="0"/>
    <m/>
    <m/>
    <n v="0"/>
    <n v="1880200"/>
    <n v="1431200"/>
    <m/>
    <m/>
    <m/>
    <m/>
    <n v="0"/>
    <m/>
    <m/>
    <n v="0"/>
    <m/>
    <m/>
    <m/>
    <m/>
    <m/>
    <m/>
    <n v="1880200"/>
    <n v="1431200"/>
  </r>
  <r>
    <x v="5"/>
    <x v="13"/>
    <s v="Adult Education Operations"/>
    <m/>
    <m/>
    <x v="12"/>
    <m/>
    <m/>
    <n v="940000"/>
    <n v="940000"/>
    <m/>
    <m/>
    <m/>
    <m/>
    <n v="0"/>
    <m/>
    <m/>
    <n v="0"/>
    <n v="940000"/>
    <n v="940000"/>
    <m/>
    <m/>
    <m/>
    <m/>
    <n v="0"/>
    <m/>
    <m/>
    <n v="0"/>
    <m/>
    <m/>
    <m/>
    <m/>
    <m/>
    <m/>
    <n v="940000"/>
    <n v="940000"/>
  </r>
  <r>
    <x v="5"/>
    <x v="13"/>
    <s v=" Adult Education and Literacy Funding Program"/>
    <m/>
    <m/>
    <x v="12"/>
    <m/>
    <m/>
    <n v="19548600"/>
    <n v="18575500"/>
    <m/>
    <m/>
    <m/>
    <m/>
    <n v="0"/>
    <m/>
    <m/>
    <n v="0"/>
    <n v="19548600"/>
    <n v="18575500"/>
    <m/>
    <m/>
    <m/>
    <m/>
    <n v="0"/>
    <m/>
    <m/>
    <n v="0"/>
    <m/>
    <m/>
    <m/>
    <m/>
    <m/>
    <m/>
    <n v="19548600"/>
    <n v="18575500"/>
  </r>
  <r>
    <x v="5"/>
    <x v="13"/>
    <s v="State Autism Training Center"/>
    <m/>
    <m/>
    <x v="12"/>
    <m/>
    <m/>
    <m/>
    <m/>
    <m/>
    <m/>
    <m/>
    <m/>
    <n v="0"/>
    <m/>
    <m/>
    <n v="0"/>
    <n v="0"/>
    <n v="0"/>
    <m/>
    <m/>
    <m/>
    <m/>
    <n v="0"/>
    <m/>
    <m/>
    <n v="0"/>
    <m/>
    <m/>
    <m/>
    <m/>
    <m/>
    <m/>
    <n v="0"/>
    <n v="0"/>
  </r>
  <r>
    <x v="5"/>
    <x v="13"/>
    <s v="Science and Technology Trust Fund"/>
    <m/>
    <m/>
    <x v="12"/>
    <m/>
    <m/>
    <n v="5717900"/>
    <n v="5433300"/>
    <m/>
    <m/>
    <m/>
    <m/>
    <n v="0"/>
    <m/>
    <m/>
    <n v="0"/>
    <n v="5717900"/>
    <n v="5433300"/>
    <m/>
    <m/>
    <m/>
    <m/>
    <n v="0"/>
    <m/>
    <m/>
    <n v="0"/>
    <m/>
    <m/>
    <m/>
    <m/>
    <m/>
    <m/>
    <n v="5717900"/>
    <n v="5433300"/>
  </r>
  <r>
    <x v="5"/>
    <x v="13"/>
    <s v="State Autism Training Center"/>
    <m/>
    <m/>
    <x v="12"/>
    <m/>
    <m/>
    <n v="132400"/>
    <n v="125800"/>
    <m/>
    <m/>
    <m/>
    <m/>
    <n v="0"/>
    <m/>
    <m/>
    <n v="0"/>
    <n v="132400"/>
    <n v="125800"/>
    <m/>
    <m/>
    <m/>
    <m/>
    <n v="0"/>
    <m/>
    <m/>
    <n v="0"/>
    <m/>
    <m/>
    <m/>
    <m/>
    <m/>
    <m/>
    <n v="132400"/>
    <n v="125800"/>
  </r>
  <r>
    <x v="5"/>
    <x v="14"/>
    <s v="Statewide System Operations"/>
    <m/>
    <m/>
    <x v="12"/>
    <m/>
    <m/>
    <m/>
    <m/>
    <m/>
    <m/>
    <m/>
    <m/>
    <n v="0"/>
    <m/>
    <m/>
    <n v="0"/>
    <n v="0"/>
    <n v="0"/>
    <m/>
    <m/>
    <m/>
    <m/>
    <n v="0"/>
    <m/>
    <m/>
    <n v="0"/>
    <m/>
    <m/>
    <m/>
    <m/>
    <m/>
    <m/>
    <n v="0"/>
    <n v="0"/>
  </r>
  <r>
    <x v="5"/>
    <x v="15"/>
    <s v="Colleges and universities"/>
    <m/>
    <m/>
    <x v="12"/>
    <m/>
    <m/>
    <m/>
    <m/>
    <m/>
    <m/>
    <m/>
    <m/>
    <n v="0"/>
    <m/>
    <m/>
    <n v="0"/>
    <n v="0"/>
    <n v="0"/>
    <m/>
    <m/>
    <m/>
    <m/>
    <n v="0"/>
    <m/>
    <m/>
    <n v="0"/>
    <m/>
    <m/>
    <m/>
    <m/>
    <m/>
    <m/>
    <n v="0"/>
    <n v="0"/>
  </r>
  <r>
    <x v="5"/>
    <x v="15"/>
    <s v=" Ky Council on Postsecondary Education"/>
    <m/>
    <m/>
    <x v="12"/>
    <m/>
    <m/>
    <m/>
    <m/>
    <m/>
    <m/>
    <m/>
    <m/>
    <n v="0"/>
    <m/>
    <m/>
    <n v="0"/>
    <n v="0"/>
    <n v="0"/>
    <n v="6618300"/>
    <n v="6638400"/>
    <m/>
    <m/>
    <n v="0"/>
    <m/>
    <m/>
    <n v="0"/>
    <m/>
    <m/>
    <m/>
    <m/>
    <m/>
    <m/>
    <n v="6618300"/>
    <n v="6638400"/>
  </r>
  <r>
    <x v="5"/>
    <x v="16"/>
    <s v="Two-year system(s), if any"/>
    <m/>
    <m/>
    <x v="12"/>
    <m/>
    <m/>
    <m/>
    <m/>
    <m/>
    <m/>
    <m/>
    <m/>
    <n v="0"/>
    <m/>
    <m/>
    <n v="0"/>
    <n v="0"/>
    <n v="0"/>
    <m/>
    <m/>
    <m/>
    <m/>
    <n v="0"/>
    <m/>
    <m/>
    <n v="0"/>
    <m/>
    <m/>
    <m/>
    <m/>
    <m/>
    <m/>
    <n v="0"/>
    <n v="0"/>
  </r>
  <r>
    <x v="5"/>
    <x v="16"/>
    <s v="Ky Community and Technical College System operations"/>
    <m/>
    <m/>
    <x v="12"/>
    <m/>
    <m/>
    <m/>
    <m/>
    <m/>
    <m/>
    <m/>
    <m/>
    <n v="0"/>
    <m/>
    <m/>
    <n v="0"/>
    <n v="0"/>
    <n v="0"/>
    <n v="24567300"/>
    <n v="29497600"/>
    <m/>
    <m/>
    <n v="0"/>
    <m/>
    <m/>
    <n v="0"/>
    <m/>
    <m/>
    <m/>
    <m/>
    <m/>
    <m/>
    <n v="24567300"/>
    <n v="29497600"/>
  </r>
  <r>
    <x v="5"/>
    <x v="17"/>
    <s v="National or regional associations, compacts or consortia"/>
    <m/>
    <m/>
    <x v="12"/>
    <m/>
    <m/>
    <m/>
    <m/>
    <m/>
    <m/>
    <m/>
    <m/>
    <n v="0"/>
    <m/>
    <m/>
    <n v="0"/>
    <n v="0"/>
    <n v="0"/>
    <m/>
    <m/>
    <m/>
    <m/>
    <n v="0"/>
    <m/>
    <m/>
    <n v="0"/>
    <m/>
    <m/>
    <m/>
    <m/>
    <m/>
    <m/>
    <n v="0"/>
    <n v="0"/>
  </r>
  <r>
    <x v="5"/>
    <x v="17"/>
    <s v="SREB (General Operations + Small Grants)"/>
    <m/>
    <m/>
    <x v="12"/>
    <m/>
    <m/>
    <m/>
    <m/>
    <m/>
    <m/>
    <m/>
    <m/>
    <n v="0"/>
    <m/>
    <m/>
    <n v="0"/>
    <n v="0"/>
    <n v="0"/>
    <n v="193600"/>
    <n v="199400"/>
    <m/>
    <m/>
    <n v="0"/>
    <m/>
    <m/>
    <n v="0"/>
    <m/>
    <m/>
    <m/>
    <m/>
    <m/>
    <m/>
    <n v="193600"/>
    <n v="199400"/>
  </r>
  <r>
    <x v="5"/>
    <x v="13"/>
    <s v="SREB Doctoral Scholar Program"/>
    <m/>
    <m/>
    <x v="12"/>
    <m/>
    <m/>
    <n v="71500"/>
    <n v="67900"/>
    <m/>
    <m/>
    <m/>
    <m/>
    <n v="0"/>
    <m/>
    <m/>
    <n v="0"/>
    <n v="71500"/>
    <n v="67900"/>
    <m/>
    <m/>
    <m/>
    <m/>
    <n v="0"/>
    <m/>
    <m/>
    <n v="0"/>
    <m/>
    <m/>
    <m/>
    <m/>
    <m/>
    <m/>
    <n v="71500"/>
    <n v="67900"/>
  </r>
  <r>
    <x v="5"/>
    <x v="18"/>
    <s v="Adm. of Statewide Student Aid Progs. (including centralized guaranteed student loans)"/>
    <m/>
    <m/>
    <x v="12"/>
    <m/>
    <m/>
    <m/>
    <m/>
    <m/>
    <m/>
    <m/>
    <m/>
    <n v="0"/>
    <m/>
    <m/>
    <n v="0"/>
    <n v="0"/>
    <n v="0"/>
    <m/>
    <m/>
    <m/>
    <m/>
    <n v="0"/>
    <m/>
    <m/>
    <n v="0"/>
    <m/>
    <m/>
    <m/>
    <m/>
    <m/>
    <m/>
    <n v="0"/>
    <n v="0"/>
  </r>
  <r>
    <x v="5"/>
    <x v="18"/>
    <s v="H. Ed. Asst. Authority"/>
    <m/>
    <m/>
    <x v="12"/>
    <m/>
    <m/>
    <m/>
    <m/>
    <m/>
    <m/>
    <m/>
    <m/>
    <n v="0"/>
    <m/>
    <m/>
    <n v="0"/>
    <n v="0"/>
    <n v="0"/>
    <m/>
    <m/>
    <m/>
    <m/>
    <n v="0"/>
    <m/>
    <m/>
    <n v="0"/>
    <m/>
    <m/>
    <m/>
    <m/>
    <m/>
    <m/>
    <n v="0"/>
    <n v="0"/>
  </r>
  <r>
    <x v="5"/>
    <x v="19"/>
    <s v="State Support to Private Colleges Other Than Student Aid"/>
    <m/>
    <m/>
    <x v="12"/>
    <m/>
    <m/>
    <m/>
    <m/>
    <m/>
    <m/>
    <m/>
    <m/>
    <n v="0"/>
    <m/>
    <m/>
    <n v="0"/>
    <n v="0"/>
    <n v="0"/>
    <m/>
    <m/>
    <m/>
    <m/>
    <n v="0"/>
    <m/>
    <m/>
    <n v="0"/>
    <m/>
    <m/>
    <m/>
    <m/>
    <m/>
    <m/>
    <n v="0"/>
    <n v="0"/>
  </r>
  <r>
    <x v="5"/>
    <x v="20"/>
    <s v="Contract Education Programs"/>
    <m/>
    <m/>
    <x v="12"/>
    <m/>
    <m/>
    <m/>
    <m/>
    <m/>
    <m/>
    <m/>
    <m/>
    <n v="0"/>
    <m/>
    <m/>
    <n v="0"/>
    <n v="0"/>
    <n v="0"/>
    <m/>
    <m/>
    <m/>
    <m/>
    <n v="0"/>
    <m/>
    <m/>
    <n v="0"/>
    <m/>
    <m/>
    <m/>
    <m/>
    <m/>
    <m/>
    <n v="0"/>
    <n v="0"/>
  </r>
  <r>
    <x v="5"/>
    <x v="21"/>
    <s v="SREB contract program with private colleges"/>
    <m/>
    <m/>
    <x v="12"/>
    <m/>
    <m/>
    <m/>
    <m/>
    <m/>
    <m/>
    <m/>
    <m/>
    <n v="0"/>
    <m/>
    <m/>
    <n v="0"/>
    <n v="0"/>
    <n v="0"/>
    <m/>
    <m/>
    <m/>
    <m/>
    <n v="0"/>
    <m/>
    <m/>
    <n v="0"/>
    <m/>
    <m/>
    <m/>
    <m/>
    <m/>
    <m/>
    <n v="0"/>
    <n v="0"/>
  </r>
  <r>
    <x v="5"/>
    <x v="21"/>
    <s v="Tuskegee University (Veterinary Medicine)"/>
    <m/>
    <m/>
    <x v="12"/>
    <m/>
    <m/>
    <m/>
    <m/>
    <m/>
    <m/>
    <m/>
    <m/>
    <n v="0"/>
    <m/>
    <m/>
    <n v="0"/>
    <n v="0"/>
    <n v="0"/>
    <n v="319200"/>
    <n v="332400"/>
    <m/>
    <m/>
    <n v="0"/>
    <m/>
    <m/>
    <n v="0"/>
    <m/>
    <m/>
    <m/>
    <m/>
    <m/>
    <m/>
    <n v="319200"/>
    <n v="332400"/>
  </r>
  <r>
    <x v="5"/>
    <x v="21"/>
    <s v="Southern College of Optometry"/>
    <m/>
    <m/>
    <x v="12"/>
    <m/>
    <m/>
    <m/>
    <m/>
    <m/>
    <m/>
    <m/>
    <m/>
    <n v="0"/>
    <m/>
    <m/>
    <n v="0"/>
    <n v="0"/>
    <n v="0"/>
    <n v="183600"/>
    <n v="190800"/>
    <m/>
    <m/>
    <n v="0"/>
    <m/>
    <m/>
    <n v="0"/>
    <m/>
    <m/>
    <m/>
    <m/>
    <m/>
    <m/>
    <n v="183600"/>
    <n v="190800"/>
  </r>
  <r>
    <x v="5"/>
    <x v="22"/>
    <s v="SREB contract program with public colleges"/>
    <m/>
    <m/>
    <x v="12"/>
    <m/>
    <m/>
    <m/>
    <m/>
    <m/>
    <m/>
    <m/>
    <m/>
    <n v="0"/>
    <m/>
    <m/>
    <n v="0"/>
    <n v="0"/>
    <n v="0"/>
    <m/>
    <m/>
    <m/>
    <m/>
    <n v="0"/>
    <m/>
    <m/>
    <n v="0"/>
    <m/>
    <m/>
    <m/>
    <m/>
    <m/>
    <m/>
    <n v="0"/>
    <n v="0"/>
  </r>
  <r>
    <x v="5"/>
    <x v="22"/>
    <s v="Auburn University (Veterinary Medicine)"/>
    <m/>
    <m/>
    <x v="12"/>
    <m/>
    <m/>
    <m/>
    <m/>
    <m/>
    <m/>
    <m/>
    <m/>
    <n v="0"/>
    <m/>
    <m/>
    <n v="0"/>
    <n v="0"/>
    <n v="0"/>
    <n v="4043200"/>
    <n v="4210400"/>
    <m/>
    <m/>
    <n v="0"/>
    <m/>
    <m/>
    <n v="0"/>
    <m/>
    <m/>
    <m/>
    <m/>
    <m/>
    <m/>
    <n v="4043200"/>
    <n v="4210400"/>
  </r>
  <r>
    <x v="5"/>
    <x v="22"/>
    <s v="University of Alabama at Birmingham (Optometry)"/>
    <m/>
    <m/>
    <x v="12"/>
    <m/>
    <m/>
    <m/>
    <m/>
    <m/>
    <m/>
    <m/>
    <m/>
    <n v="0"/>
    <m/>
    <m/>
    <n v="0"/>
    <n v="0"/>
    <n v="0"/>
    <n v="306000"/>
    <n v="318000"/>
    <m/>
    <m/>
    <n v="0"/>
    <m/>
    <m/>
    <n v="0"/>
    <m/>
    <m/>
    <m/>
    <m/>
    <m/>
    <m/>
    <n v="306000"/>
    <n v="318000"/>
  </r>
  <r>
    <x v="5"/>
    <x v="23"/>
    <s v="Other contract education programs (Indiana University)"/>
    <m/>
    <m/>
    <x v="12"/>
    <m/>
    <m/>
    <m/>
    <m/>
    <m/>
    <m/>
    <m/>
    <m/>
    <n v="0"/>
    <m/>
    <m/>
    <n v="0"/>
    <n v="0"/>
    <n v="0"/>
    <n v="156000"/>
    <n v="168000"/>
    <m/>
    <m/>
    <n v="0"/>
    <m/>
    <m/>
    <n v="0"/>
    <m/>
    <m/>
    <m/>
    <m/>
    <m/>
    <m/>
    <n v="156000"/>
    <n v="168000"/>
  </r>
  <r>
    <x v="5"/>
    <x v="24"/>
    <s v="Statewide Student Financial Aid Programs Administered Off Campus"/>
    <m/>
    <m/>
    <x v="12"/>
    <m/>
    <m/>
    <m/>
    <m/>
    <m/>
    <m/>
    <m/>
    <m/>
    <n v="0"/>
    <m/>
    <m/>
    <n v="0"/>
    <n v="0"/>
    <n v="0"/>
    <m/>
    <m/>
    <m/>
    <m/>
    <n v="0"/>
    <m/>
    <m/>
    <n v="0"/>
    <m/>
    <m/>
    <m/>
    <m/>
    <m/>
    <m/>
    <n v="0"/>
    <n v="0"/>
  </r>
  <r>
    <x v="5"/>
    <x v="25"/>
    <s v="Available to public &amp; private sector students"/>
    <m/>
    <m/>
    <x v="12"/>
    <m/>
    <m/>
    <m/>
    <m/>
    <m/>
    <m/>
    <m/>
    <m/>
    <n v="0"/>
    <m/>
    <m/>
    <n v="0"/>
    <n v="0"/>
    <n v="0"/>
    <m/>
    <m/>
    <m/>
    <m/>
    <n v="0"/>
    <m/>
    <m/>
    <n v="0"/>
    <m/>
    <m/>
    <m/>
    <m/>
    <m/>
    <m/>
    <n v="0"/>
    <n v="0"/>
  </r>
  <r>
    <x v="5"/>
    <x v="28"/>
    <s v="KEES Kentucky Educational Excellence Scholarship"/>
    <m/>
    <m/>
    <x v="12"/>
    <m/>
    <m/>
    <m/>
    <m/>
    <m/>
    <m/>
    <m/>
    <m/>
    <n v="0"/>
    <m/>
    <m/>
    <n v="0"/>
    <n v="0"/>
    <n v="0"/>
    <m/>
    <m/>
    <m/>
    <m/>
    <n v="0"/>
    <m/>
    <m/>
    <n v="0"/>
    <m/>
    <m/>
    <m/>
    <m/>
    <m/>
    <m/>
    <n v="0"/>
    <n v="0"/>
  </r>
  <r>
    <x v="5"/>
    <x v="28"/>
    <s v="Amount to public sector students"/>
    <m/>
    <m/>
    <x v="12"/>
    <m/>
    <m/>
    <m/>
    <m/>
    <m/>
    <m/>
    <m/>
    <m/>
    <n v="0"/>
    <m/>
    <m/>
    <n v="0"/>
    <n v="0"/>
    <n v="0"/>
    <m/>
    <m/>
    <m/>
    <m/>
    <n v="0"/>
    <m/>
    <m/>
    <n v="0"/>
    <m/>
    <m/>
    <m/>
    <m/>
    <m/>
    <m/>
    <n v="0"/>
    <n v="0"/>
  </r>
  <r>
    <x v="5"/>
    <x v="29"/>
    <s v="Need-based"/>
    <m/>
    <m/>
    <x v="12"/>
    <m/>
    <m/>
    <m/>
    <m/>
    <m/>
    <m/>
    <m/>
    <m/>
    <n v="0"/>
    <m/>
    <m/>
    <n v="0"/>
    <n v="0"/>
    <n v="0"/>
    <m/>
    <m/>
    <m/>
    <m/>
    <n v="0"/>
    <m/>
    <m/>
    <n v="0"/>
    <m/>
    <m/>
    <m/>
    <m/>
    <m/>
    <m/>
    <n v="0"/>
    <n v="0"/>
  </r>
  <r>
    <x v="5"/>
    <x v="30"/>
    <s v="Non need-based"/>
    <m/>
    <m/>
    <x v="12"/>
    <m/>
    <m/>
    <m/>
    <m/>
    <m/>
    <m/>
    <m/>
    <m/>
    <n v="0"/>
    <m/>
    <m/>
    <n v="0"/>
    <n v="0"/>
    <n v="0"/>
    <n v="85956246"/>
    <n v="88697051"/>
    <m/>
    <m/>
    <n v="0"/>
    <m/>
    <m/>
    <n v="0"/>
    <m/>
    <m/>
    <m/>
    <m/>
    <m/>
    <m/>
    <n v="85956246"/>
    <n v="88697051"/>
  </r>
  <r>
    <x v="5"/>
    <x v="31"/>
    <s v="Amount to private sector students"/>
    <m/>
    <m/>
    <x v="12"/>
    <m/>
    <m/>
    <m/>
    <m/>
    <m/>
    <m/>
    <m/>
    <m/>
    <n v="0"/>
    <m/>
    <m/>
    <n v="0"/>
    <n v="0"/>
    <n v="0"/>
    <m/>
    <m/>
    <m/>
    <m/>
    <n v="0"/>
    <m/>
    <m/>
    <n v="0"/>
    <m/>
    <m/>
    <m/>
    <m/>
    <m/>
    <m/>
    <n v="0"/>
    <n v="0"/>
  </r>
  <r>
    <x v="5"/>
    <x v="32"/>
    <s v="Need-based"/>
    <m/>
    <m/>
    <x v="12"/>
    <m/>
    <m/>
    <m/>
    <m/>
    <m/>
    <m/>
    <m/>
    <m/>
    <n v="0"/>
    <m/>
    <m/>
    <n v="0"/>
    <n v="0"/>
    <n v="0"/>
    <m/>
    <m/>
    <m/>
    <m/>
    <n v="0"/>
    <m/>
    <m/>
    <n v="0"/>
    <m/>
    <m/>
    <m/>
    <m/>
    <m/>
    <m/>
    <n v="0"/>
    <n v="0"/>
  </r>
  <r>
    <x v="5"/>
    <x v="33"/>
    <s v="Non need-based"/>
    <m/>
    <m/>
    <x v="12"/>
    <m/>
    <m/>
    <m/>
    <m/>
    <m/>
    <m/>
    <m/>
    <m/>
    <n v="0"/>
    <m/>
    <m/>
    <n v="0"/>
    <n v="0"/>
    <n v="0"/>
    <n v="18420585"/>
    <n v="18398878"/>
    <m/>
    <m/>
    <n v="0"/>
    <m/>
    <m/>
    <n v="0"/>
    <m/>
    <m/>
    <m/>
    <m/>
    <m/>
    <m/>
    <n v="18420585"/>
    <n v="18398878"/>
  </r>
  <r>
    <x v="5"/>
    <x v="25"/>
    <s v="College Access Program(CAP)"/>
    <m/>
    <m/>
    <x v="12"/>
    <m/>
    <m/>
    <m/>
    <m/>
    <m/>
    <m/>
    <m/>
    <m/>
    <n v="0"/>
    <m/>
    <m/>
    <n v="0"/>
    <n v="0"/>
    <n v="0"/>
    <m/>
    <m/>
    <m/>
    <m/>
    <n v="0"/>
    <m/>
    <m/>
    <n v="0"/>
    <m/>
    <m/>
    <m/>
    <m/>
    <m/>
    <m/>
    <n v="0"/>
    <n v="0"/>
  </r>
  <r>
    <x v="5"/>
    <x v="28"/>
    <s v="Amount to public sector students"/>
    <m/>
    <m/>
    <x v="12"/>
    <m/>
    <m/>
    <m/>
    <m/>
    <m/>
    <m/>
    <m/>
    <m/>
    <n v="0"/>
    <m/>
    <m/>
    <n v="0"/>
    <n v="0"/>
    <n v="0"/>
    <m/>
    <m/>
    <m/>
    <m/>
    <n v="0"/>
    <m/>
    <m/>
    <n v="0"/>
    <m/>
    <m/>
    <m/>
    <m/>
    <m/>
    <m/>
    <n v="0"/>
    <n v="0"/>
  </r>
  <r>
    <x v="5"/>
    <x v="29"/>
    <s v="Need-based"/>
    <m/>
    <m/>
    <x v="12"/>
    <m/>
    <m/>
    <m/>
    <m/>
    <m/>
    <m/>
    <m/>
    <m/>
    <n v="0"/>
    <m/>
    <m/>
    <n v="0"/>
    <n v="0"/>
    <n v="0"/>
    <n v="46607653"/>
    <n v="47284845"/>
    <m/>
    <m/>
    <n v="0"/>
    <m/>
    <m/>
    <n v="0"/>
    <m/>
    <m/>
    <m/>
    <m/>
    <m/>
    <m/>
    <n v="46607653"/>
    <n v="47284845"/>
  </r>
  <r>
    <x v="5"/>
    <x v="30"/>
    <s v="Non need-based"/>
    <m/>
    <m/>
    <x v="12"/>
    <m/>
    <m/>
    <m/>
    <m/>
    <m/>
    <m/>
    <m/>
    <m/>
    <n v="0"/>
    <m/>
    <m/>
    <n v="0"/>
    <n v="0"/>
    <n v="0"/>
    <m/>
    <m/>
    <m/>
    <m/>
    <n v="0"/>
    <m/>
    <m/>
    <n v="0"/>
    <m/>
    <m/>
    <m/>
    <m/>
    <m/>
    <m/>
    <n v="0"/>
    <n v="0"/>
  </r>
  <r>
    <x v="5"/>
    <x v="31"/>
    <s v="Amount to private sector students"/>
    <m/>
    <m/>
    <x v="12"/>
    <m/>
    <m/>
    <m/>
    <m/>
    <m/>
    <m/>
    <m/>
    <m/>
    <n v="0"/>
    <m/>
    <m/>
    <n v="0"/>
    <n v="0"/>
    <n v="0"/>
    <m/>
    <m/>
    <m/>
    <m/>
    <n v="0"/>
    <m/>
    <m/>
    <n v="0"/>
    <m/>
    <m/>
    <m/>
    <m/>
    <m/>
    <m/>
    <n v="0"/>
    <n v="0"/>
  </r>
  <r>
    <x v="5"/>
    <x v="32"/>
    <s v="Need-based"/>
    <m/>
    <m/>
    <x v="12"/>
    <m/>
    <m/>
    <m/>
    <m/>
    <m/>
    <m/>
    <m/>
    <m/>
    <n v="0"/>
    <m/>
    <m/>
    <n v="0"/>
    <n v="0"/>
    <n v="0"/>
    <n v="15684986"/>
    <n v="13536733"/>
    <m/>
    <m/>
    <n v="0"/>
    <m/>
    <m/>
    <n v="0"/>
    <m/>
    <m/>
    <m/>
    <m/>
    <m/>
    <m/>
    <n v="15684986"/>
    <n v="13536733"/>
  </r>
  <r>
    <x v="5"/>
    <x v="33"/>
    <s v="Non need-based"/>
    <m/>
    <m/>
    <x v="12"/>
    <m/>
    <m/>
    <m/>
    <m/>
    <m/>
    <m/>
    <m/>
    <m/>
    <n v="0"/>
    <m/>
    <m/>
    <n v="0"/>
    <n v="0"/>
    <n v="0"/>
    <m/>
    <m/>
    <m/>
    <m/>
    <n v="0"/>
    <m/>
    <m/>
    <n v="0"/>
    <m/>
    <m/>
    <m/>
    <m/>
    <m/>
    <m/>
    <n v="0"/>
    <n v="0"/>
  </r>
  <r>
    <x v="5"/>
    <x v="34"/>
    <s v="Limited to public college students only"/>
    <m/>
    <m/>
    <x v="12"/>
    <m/>
    <m/>
    <m/>
    <m/>
    <m/>
    <m/>
    <m/>
    <m/>
    <n v="0"/>
    <m/>
    <m/>
    <n v="0"/>
    <n v="0"/>
    <n v="0"/>
    <m/>
    <m/>
    <m/>
    <m/>
    <n v="0"/>
    <m/>
    <m/>
    <n v="0"/>
    <m/>
    <m/>
    <m/>
    <m/>
    <m/>
    <m/>
    <n v="0"/>
    <n v="0"/>
  </r>
  <r>
    <x v="5"/>
    <x v="37"/>
    <s v="Limited to private college students"/>
    <m/>
    <m/>
    <x v="12"/>
    <m/>
    <m/>
    <m/>
    <m/>
    <m/>
    <m/>
    <m/>
    <m/>
    <n v="0"/>
    <m/>
    <m/>
    <n v="0"/>
    <n v="0"/>
    <n v="0"/>
    <m/>
    <m/>
    <m/>
    <m/>
    <n v="0"/>
    <m/>
    <m/>
    <n v="0"/>
    <m/>
    <m/>
    <m/>
    <m/>
    <m/>
    <m/>
    <n v="0"/>
    <n v="0"/>
  </r>
  <r>
    <x v="5"/>
    <x v="37"/>
    <s v="Kentucky Tuition Grant (KTG)"/>
    <m/>
    <m/>
    <x v="12"/>
    <m/>
    <m/>
    <m/>
    <m/>
    <m/>
    <m/>
    <m/>
    <m/>
    <n v="0"/>
    <m/>
    <m/>
    <n v="0"/>
    <n v="0"/>
    <n v="0"/>
    <m/>
    <m/>
    <m/>
    <m/>
    <n v="0"/>
    <m/>
    <m/>
    <n v="0"/>
    <m/>
    <m/>
    <m/>
    <m/>
    <m/>
    <m/>
    <n v="0"/>
    <n v="0"/>
  </r>
  <r>
    <x v="5"/>
    <x v="38"/>
    <s v="Need-based"/>
    <m/>
    <m/>
    <x v="12"/>
    <m/>
    <m/>
    <m/>
    <m/>
    <m/>
    <m/>
    <m/>
    <m/>
    <n v="0"/>
    <m/>
    <m/>
    <n v="0"/>
    <n v="0"/>
    <n v="0"/>
    <n v="29982741"/>
    <n v="28404440"/>
    <m/>
    <m/>
    <n v="0"/>
    <m/>
    <m/>
    <n v="0"/>
    <m/>
    <m/>
    <m/>
    <m/>
    <m/>
    <m/>
    <n v="29982741"/>
    <n v="28404440"/>
  </r>
  <r>
    <x v="5"/>
    <x v="39"/>
    <s v="Non need-based"/>
    <m/>
    <m/>
    <x v="12"/>
    <m/>
    <m/>
    <m/>
    <m/>
    <m/>
    <m/>
    <m/>
    <m/>
    <n v="0"/>
    <m/>
    <m/>
    <n v="0"/>
    <n v="0"/>
    <n v="0"/>
    <m/>
    <m/>
    <m/>
    <m/>
    <n v="0"/>
    <m/>
    <m/>
    <n v="0"/>
    <m/>
    <m/>
    <m/>
    <m/>
    <m/>
    <m/>
    <n v="0"/>
    <n v="0"/>
  </r>
  <r>
    <x v="5"/>
    <x v="37"/>
    <s v="Pikeville College Osteopathic Medicine Scholarship"/>
    <m/>
    <m/>
    <x v="12"/>
    <m/>
    <m/>
    <m/>
    <m/>
    <m/>
    <m/>
    <m/>
    <m/>
    <n v="0"/>
    <m/>
    <m/>
    <n v="0"/>
    <n v="0"/>
    <n v="0"/>
    <m/>
    <m/>
    <m/>
    <m/>
    <n v="0"/>
    <m/>
    <m/>
    <n v="0"/>
    <m/>
    <m/>
    <m/>
    <m/>
    <m/>
    <m/>
    <n v="0"/>
    <n v="0"/>
  </r>
  <r>
    <x v="5"/>
    <x v="38"/>
    <s v="Need-based"/>
    <m/>
    <m/>
    <x v="12"/>
    <m/>
    <m/>
    <m/>
    <m/>
    <m/>
    <m/>
    <m/>
    <m/>
    <n v="0"/>
    <m/>
    <m/>
    <n v="0"/>
    <n v="0"/>
    <n v="0"/>
    <m/>
    <m/>
    <m/>
    <m/>
    <n v="0"/>
    <m/>
    <m/>
    <n v="0"/>
    <m/>
    <m/>
    <m/>
    <m/>
    <m/>
    <m/>
    <n v="0"/>
    <n v="0"/>
  </r>
  <r>
    <x v="5"/>
    <x v="39"/>
    <s v="Non need-based"/>
    <m/>
    <m/>
    <x v="12"/>
    <m/>
    <m/>
    <m/>
    <m/>
    <m/>
    <m/>
    <m/>
    <m/>
    <n v="0"/>
    <m/>
    <m/>
    <n v="0"/>
    <n v="0"/>
    <n v="0"/>
    <n v="704295"/>
    <n v="632616"/>
    <m/>
    <m/>
    <n v="0"/>
    <m/>
    <m/>
    <n v="0"/>
    <m/>
    <m/>
    <m/>
    <m/>
    <m/>
    <m/>
    <n v="704295"/>
    <n v="632616"/>
  </r>
  <r>
    <x v="6"/>
    <x v="0"/>
    <s v="Louisiana State University and A &amp; M College"/>
    <m/>
    <n v="159391"/>
    <x v="0"/>
    <n v="96893044"/>
    <n v="98140058"/>
    <m/>
    <m/>
    <m/>
    <m/>
    <n v="289520153"/>
    <m/>
    <n v="289520153"/>
    <n v="311840249"/>
    <m/>
    <n v="311840249"/>
    <n v="386413197"/>
    <n v="409980307"/>
    <m/>
    <m/>
    <m/>
    <m/>
    <n v="0"/>
    <m/>
    <m/>
    <n v="0"/>
    <m/>
    <m/>
    <m/>
    <m/>
    <m/>
    <m/>
    <n v="386413197"/>
    <n v="409980307"/>
  </r>
  <r>
    <x v="6"/>
    <x v="12"/>
    <s v="Special line items for education operations"/>
    <m/>
    <n v="159391"/>
    <x v="0"/>
    <m/>
    <m/>
    <m/>
    <m/>
    <m/>
    <m/>
    <m/>
    <m/>
    <n v="0"/>
    <m/>
    <m/>
    <n v="0"/>
    <n v="0"/>
    <n v="0"/>
    <m/>
    <m/>
    <m/>
    <m/>
    <n v="0"/>
    <m/>
    <m/>
    <n v="0"/>
    <m/>
    <m/>
    <m/>
    <m/>
    <m/>
    <m/>
    <n v="0"/>
    <n v="0"/>
  </r>
  <r>
    <x v="6"/>
    <x v="12"/>
    <s v="Paul M. Hebert Law Center"/>
    <m/>
    <n v="159391"/>
    <x v="0"/>
    <n v="5048924"/>
    <n v="5344813"/>
    <m/>
    <m/>
    <m/>
    <m/>
    <n v="18371936"/>
    <m/>
    <n v="18371936"/>
    <n v="19482874"/>
    <m/>
    <n v="19482874"/>
    <n v="23420860"/>
    <n v="24827687"/>
    <m/>
    <m/>
    <m/>
    <m/>
    <n v="0"/>
    <m/>
    <m/>
    <n v="0"/>
    <m/>
    <m/>
    <m/>
    <m/>
    <m/>
    <m/>
    <n v="23420860"/>
    <n v="24827687"/>
  </r>
  <r>
    <x v="6"/>
    <x v="1"/>
    <s v="Health professions education"/>
    <m/>
    <n v="159391"/>
    <x v="0"/>
    <m/>
    <m/>
    <m/>
    <m/>
    <m/>
    <m/>
    <m/>
    <m/>
    <n v="0"/>
    <m/>
    <m/>
    <n v="0"/>
    <n v="0"/>
    <n v="0"/>
    <m/>
    <m/>
    <m/>
    <m/>
    <n v="0"/>
    <m/>
    <m/>
    <n v="0"/>
    <m/>
    <m/>
    <m/>
    <m/>
    <m/>
    <m/>
    <n v="0"/>
    <n v="0"/>
  </r>
  <r>
    <x v="6"/>
    <x v="1"/>
    <s v="Vet School"/>
    <m/>
    <n v="159391"/>
    <x v="0"/>
    <m/>
    <m/>
    <m/>
    <m/>
    <m/>
    <m/>
    <m/>
    <m/>
    <n v="0"/>
    <m/>
    <m/>
    <n v="0"/>
    <n v="0"/>
    <n v="0"/>
    <m/>
    <m/>
    <m/>
    <m/>
    <n v="0"/>
    <m/>
    <m/>
    <n v="0"/>
    <n v="19901821"/>
    <n v="19391821"/>
    <n v="12462470"/>
    <m/>
    <n v="13968209"/>
    <m/>
    <n v="32364291"/>
    <n v="33360030"/>
  </r>
  <r>
    <x v="6"/>
    <x v="5"/>
    <s v="Agricultural Center"/>
    <m/>
    <n v="159391"/>
    <x v="0"/>
    <m/>
    <m/>
    <m/>
    <m/>
    <m/>
    <m/>
    <m/>
    <m/>
    <n v="0"/>
    <m/>
    <m/>
    <n v="0"/>
    <n v="0"/>
    <n v="0"/>
    <m/>
    <m/>
    <m/>
    <m/>
    <n v="0"/>
    <m/>
    <m/>
    <n v="0"/>
    <m/>
    <m/>
    <m/>
    <m/>
    <m/>
    <m/>
    <n v="0"/>
    <n v="0"/>
  </r>
  <r>
    <x v="6"/>
    <x v="5"/>
    <s v="Agricultural cooperative extension"/>
    <m/>
    <n v="159391"/>
    <x v="0"/>
    <m/>
    <m/>
    <n v="23938017"/>
    <n v="27676813"/>
    <m/>
    <m/>
    <m/>
    <m/>
    <n v="0"/>
    <m/>
    <m/>
    <n v="0"/>
    <n v="23938017"/>
    <n v="27676813"/>
    <m/>
    <m/>
    <m/>
    <m/>
    <n v="0"/>
    <m/>
    <m/>
    <n v="0"/>
    <m/>
    <m/>
    <m/>
    <m/>
    <m/>
    <m/>
    <n v="23938017"/>
    <n v="27676813"/>
  </r>
  <r>
    <x v="6"/>
    <x v="6"/>
    <s v="Agricultural experiment stations"/>
    <m/>
    <n v="159391"/>
    <x v="0"/>
    <m/>
    <m/>
    <n v="30809105"/>
    <n v="33011314"/>
    <m/>
    <m/>
    <m/>
    <m/>
    <n v="0"/>
    <m/>
    <m/>
    <n v="0"/>
    <n v="30809105"/>
    <n v="33011314"/>
    <m/>
    <m/>
    <m/>
    <m/>
    <n v="0"/>
    <m/>
    <m/>
    <n v="0"/>
    <m/>
    <m/>
    <m/>
    <m/>
    <m/>
    <m/>
    <n v="30809105"/>
    <n v="33011314"/>
  </r>
  <r>
    <x v="6"/>
    <x v="5"/>
    <s v="Administration"/>
    <m/>
    <n v="159391"/>
    <x v="0"/>
    <m/>
    <m/>
    <n v="15757720"/>
    <n v="9556135"/>
    <m/>
    <m/>
    <m/>
    <m/>
    <n v="0"/>
    <m/>
    <m/>
    <n v="0"/>
    <n v="15757720"/>
    <n v="9556135"/>
    <m/>
    <m/>
    <m/>
    <m/>
    <n v="0"/>
    <m/>
    <m/>
    <n v="0"/>
    <m/>
    <m/>
    <m/>
    <m/>
    <m/>
    <m/>
    <n v="15757720"/>
    <n v="9556135"/>
  </r>
  <r>
    <x v="6"/>
    <x v="0"/>
    <s v="Louisiana Tech University "/>
    <m/>
    <n v="159647"/>
    <x v="1"/>
    <n v="29672838"/>
    <n v="30752440"/>
    <m/>
    <m/>
    <m/>
    <m/>
    <n v="60435700"/>
    <m/>
    <n v="60435700"/>
    <n v="69842800"/>
    <m/>
    <n v="69842800"/>
    <n v="90108538"/>
    <n v="100595240"/>
    <m/>
    <m/>
    <m/>
    <m/>
    <n v="0"/>
    <m/>
    <m/>
    <n v="0"/>
    <m/>
    <m/>
    <m/>
    <m/>
    <m/>
    <m/>
    <n v="90108538"/>
    <n v="100595240"/>
  </r>
  <r>
    <x v="6"/>
    <x v="0"/>
    <s v="University of Louisiana at Lafayette"/>
    <m/>
    <n v="160658"/>
    <x v="1"/>
    <n v="47597349"/>
    <n v="47190207"/>
    <m/>
    <m/>
    <m/>
    <m/>
    <n v="76591326"/>
    <m/>
    <n v="76591326"/>
    <n v="86683572"/>
    <m/>
    <n v="86683572"/>
    <n v="124188675"/>
    <n v="133873779"/>
    <m/>
    <m/>
    <m/>
    <m/>
    <n v="0"/>
    <m/>
    <m/>
    <n v="0"/>
    <m/>
    <m/>
    <m/>
    <m/>
    <m/>
    <m/>
    <n v="124188675"/>
    <n v="133873779"/>
  </r>
  <r>
    <x v="6"/>
    <x v="0"/>
    <s v="University of New Orleans"/>
    <m/>
    <n v="159939"/>
    <x v="1"/>
    <n v="32713516"/>
    <n v="32169876"/>
    <m/>
    <m/>
    <m/>
    <m/>
    <n v="67064964"/>
    <m/>
    <n v="67064964"/>
    <n v="64832634"/>
    <m/>
    <n v="64832634"/>
    <n v="99778480"/>
    <n v="97002510"/>
    <m/>
    <m/>
    <m/>
    <m/>
    <n v="0"/>
    <m/>
    <m/>
    <n v="0"/>
    <m/>
    <m/>
    <m/>
    <m/>
    <m/>
    <m/>
    <n v="99778480"/>
    <n v="97002510"/>
  </r>
  <r>
    <x v="6"/>
    <x v="0"/>
    <s v="Southeastern Louisiana University "/>
    <m/>
    <n v="160612"/>
    <x v="2"/>
    <n v="31582069"/>
    <n v="31265884"/>
    <m/>
    <m/>
    <m/>
    <m/>
    <n v="69906315"/>
    <m/>
    <n v="69906315"/>
    <n v="75082500"/>
    <m/>
    <n v="75082500"/>
    <n v="101488384"/>
    <n v="106348384"/>
    <m/>
    <m/>
    <m/>
    <m/>
    <n v="0"/>
    <m/>
    <m/>
    <n v="0"/>
    <m/>
    <m/>
    <m/>
    <m/>
    <m/>
    <m/>
    <n v="101488384"/>
    <n v="106348384"/>
  </r>
  <r>
    <x v="6"/>
    <x v="0"/>
    <s v="Southern University and A&amp;M College at Baton Rouge "/>
    <m/>
    <n v="160621"/>
    <x v="2"/>
    <n v="24741106"/>
    <n v="23292945"/>
    <m/>
    <m/>
    <m/>
    <m/>
    <n v="37837989"/>
    <m/>
    <n v="37837989"/>
    <n v="37901436"/>
    <m/>
    <n v="37901436"/>
    <n v="62579095"/>
    <n v="61194381"/>
    <m/>
    <m/>
    <m/>
    <m/>
    <n v="0"/>
    <m/>
    <m/>
    <n v="0"/>
    <m/>
    <m/>
    <m/>
    <m/>
    <m/>
    <m/>
    <n v="62579095"/>
    <n v="61194381"/>
  </r>
  <r>
    <x v="6"/>
    <x v="0"/>
    <s v="Law Center"/>
    <m/>
    <n v="160621"/>
    <x v="2"/>
    <n v="4163974"/>
    <n v="5195748"/>
    <m/>
    <m/>
    <m/>
    <m/>
    <n v="8492876"/>
    <m/>
    <n v="8492876"/>
    <n v="8156939"/>
    <m/>
    <n v="8156939"/>
    <n v="12656850"/>
    <n v="13352687"/>
    <m/>
    <m/>
    <m/>
    <m/>
    <n v="0"/>
    <m/>
    <m/>
    <n v="0"/>
    <m/>
    <m/>
    <m/>
    <m/>
    <m/>
    <m/>
    <n v="12656850"/>
    <n v="13352687"/>
  </r>
  <r>
    <x v="6"/>
    <x v="5"/>
    <s v="Agricultural Center"/>
    <m/>
    <n v="160621"/>
    <x v="2"/>
    <m/>
    <m/>
    <m/>
    <m/>
    <m/>
    <m/>
    <m/>
    <m/>
    <n v="0"/>
    <m/>
    <m/>
    <n v="0"/>
    <n v="0"/>
    <n v="0"/>
    <m/>
    <m/>
    <m/>
    <m/>
    <n v="0"/>
    <m/>
    <m/>
    <n v="0"/>
    <m/>
    <m/>
    <m/>
    <m/>
    <m/>
    <m/>
    <n v="0"/>
    <n v="0"/>
  </r>
  <r>
    <x v="6"/>
    <x v="5"/>
    <s v="Agriculture Center"/>
    <m/>
    <n v="160621"/>
    <x v="2"/>
    <m/>
    <m/>
    <n v="5215083"/>
    <n v="4218706"/>
    <m/>
    <m/>
    <m/>
    <m/>
    <n v="0"/>
    <m/>
    <m/>
    <n v="0"/>
    <n v="5215083"/>
    <n v="4218706"/>
    <m/>
    <m/>
    <m/>
    <m/>
    <n v="0"/>
    <m/>
    <m/>
    <n v="0"/>
    <m/>
    <m/>
    <m/>
    <m/>
    <m/>
    <m/>
    <n v="5215083"/>
    <n v="4218706"/>
  </r>
  <r>
    <x v="6"/>
    <x v="0"/>
    <s v="University of Louisiana at Monroe"/>
    <m/>
    <n v="159993"/>
    <x v="2"/>
    <n v="26362846"/>
    <n v="26996458"/>
    <m/>
    <m/>
    <m/>
    <m/>
    <n v="43816288"/>
    <m/>
    <n v="43816288"/>
    <n v="47172375"/>
    <m/>
    <n v="47172375"/>
    <n v="70179134"/>
    <n v="74168833"/>
    <m/>
    <m/>
    <m/>
    <m/>
    <n v="0"/>
    <m/>
    <m/>
    <n v="0"/>
    <m/>
    <m/>
    <m/>
    <m/>
    <m/>
    <m/>
    <n v="70179134"/>
    <n v="74168833"/>
  </r>
  <r>
    <x v="6"/>
    <x v="0"/>
    <s v="Grambling State University"/>
    <m/>
    <n v="159009"/>
    <x v="3"/>
    <n v="13891949"/>
    <n v="14817875"/>
    <m/>
    <m/>
    <m/>
    <m/>
    <n v="34420770"/>
    <m/>
    <n v="34420770"/>
    <n v="34115479"/>
    <m/>
    <n v="34115479"/>
    <n v="48312719"/>
    <n v="48933354"/>
    <m/>
    <m/>
    <m/>
    <m/>
    <n v="0"/>
    <m/>
    <m/>
    <n v="0"/>
    <m/>
    <m/>
    <m/>
    <m/>
    <m/>
    <m/>
    <n v="48312719"/>
    <n v="48933354"/>
  </r>
  <r>
    <x v="6"/>
    <x v="0"/>
    <s v="Louisiana State University in Shreveport"/>
    <m/>
    <n v="159416"/>
    <x v="3"/>
    <n v="7844685"/>
    <n v="8103324"/>
    <m/>
    <m/>
    <m/>
    <m/>
    <n v="20420029"/>
    <m/>
    <n v="20420029"/>
    <n v="23124724"/>
    <m/>
    <n v="23124724"/>
    <n v="28264714"/>
    <n v="31228048"/>
    <m/>
    <m/>
    <m/>
    <m/>
    <n v="0"/>
    <m/>
    <m/>
    <n v="0"/>
    <m/>
    <m/>
    <m/>
    <m/>
    <m/>
    <m/>
    <n v="28264714"/>
    <n v="31228048"/>
  </r>
  <r>
    <x v="6"/>
    <x v="0"/>
    <s v="McNeese State University"/>
    <m/>
    <n v="159717"/>
    <x v="3"/>
    <n v="20583545"/>
    <n v="19093425"/>
    <m/>
    <m/>
    <m/>
    <m/>
    <n v="39657842"/>
    <m/>
    <n v="39657842"/>
    <n v="43227621"/>
    <m/>
    <n v="43227621"/>
    <n v="60241387"/>
    <n v="62321046"/>
    <m/>
    <m/>
    <m/>
    <m/>
    <n v="0"/>
    <m/>
    <m/>
    <n v="0"/>
    <m/>
    <m/>
    <m/>
    <m/>
    <m/>
    <m/>
    <n v="60241387"/>
    <n v="62321046"/>
  </r>
  <r>
    <x v="6"/>
    <x v="0"/>
    <s v="Nicholls State University "/>
    <m/>
    <n v="159966"/>
    <x v="3"/>
    <n v="16072597"/>
    <n v="15867374"/>
    <m/>
    <m/>
    <m/>
    <m/>
    <n v="32207400"/>
    <m/>
    <n v="32207400"/>
    <n v="35917014"/>
    <m/>
    <n v="35917014"/>
    <n v="48279997"/>
    <n v="51784388"/>
    <m/>
    <m/>
    <m/>
    <m/>
    <n v="0"/>
    <m/>
    <m/>
    <n v="0"/>
    <m/>
    <m/>
    <m/>
    <m/>
    <m/>
    <m/>
    <n v="48279997"/>
    <n v="51784388"/>
  </r>
  <r>
    <x v="6"/>
    <x v="0"/>
    <s v="Northwestern State University"/>
    <m/>
    <n v="160038"/>
    <x v="3"/>
    <n v="21699327"/>
    <n v="21762178"/>
    <m/>
    <m/>
    <m/>
    <m/>
    <n v="46321824"/>
    <m/>
    <n v="46321824"/>
    <n v="49299528"/>
    <m/>
    <n v="49299528"/>
    <n v="68021151"/>
    <n v="71061706"/>
    <m/>
    <m/>
    <m/>
    <m/>
    <n v="0"/>
    <m/>
    <m/>
    <n v="0"/>
    <m/>
    <m/>
    <m/>
    <m/>
    <m/>
    <m/>
    <n v="68021151"/>
    <n v="71061706"/>
  </r>
  <r>
    <x v="6"/>
    <x v="0"/>
    <s v="Southern University at New Orleans"/>
    <s v="Reclassified: Met the criteria for Four-Year 5 in 2012-13, 2013-14, and 2014-15."/>
    <n v="160630"/>
    <x v="4"/>
    <n v="8038737"/>
    <n v="7058553"/>
    <m/>
    <m/>
    <m/>
    <m/>
    <n v="11665746"/>
    <m/>
    <n v="11665746"/>
    <n v="11315135"/>
    <m/>
    <n v="11315135"/>
    <n v="19704483"/>
    <n v="18373688"/>
    <m/>
    <m/>
    <m/>
    <m/>
    <n v="0"/>
    <m/>
    <m/>
    <n v="0"/>
    <m/>
    <m/>
    <m/>
    <m/>
    <m/>
    <m/>
    <n v="19704483"/>
    <n v="18373688"/>
  </r>
  <r>
    <x v="6"/>
    <x v="0"/>
    <s v="Louisiana State University at Alexandria"/>
    <m/>
    <n v="159382"/>
    <x v="5"/>
    <n v="5520027"/>
    <n v="5569131"/>
    <m/>
    <m/>
    <m/>
    <m/>
    <n v="9838448"/>
    <m/>
    <n v="9838448"/>
    <n v="10650851"/>
    <m/>
    <n v="10650851"/>
    <n v="15358475"/>
    <n v="16219982"/>
    <m/>
    <m/>
    <m/>
    <m/>
    <n v="0"/>
    <m/>
    <m/>
    <n v="0"/>
    <m/>
    <m/>
    <m/>
    <m/>
    <m/>
    <m/>
    <n v="15358475"/>
    <n v="16219982"/>
  </r>
  <r>
    <x v="6"/>
    <x v="0"/>
    <s v="Baton Rouge Community College"/>
    <m/>
    <n v="437103"/>
    <x v="6"/>
    <n v="15506345"/>
    <n v="15266655"/>
    <m/>
    <m/>
    <m/>
    <m/>
    <n v="21176742"/>
    <m/>
    <n v="21176742"/>
    <n v="25291600"/>
    <m/>
    <n v="25291600"/>
    <n v="36683087"/>
    <n v="40558255"/>
    <m/>
    <m/>
    <m/>
    <m/>
    <n v="0"/>
    <m/>
    <m/>
    <n v="0"/>
    <m/>
    <m/>
    <m/>
    <m/>
    <m/>
    <m/>
    <n v="36683087"/>
    <n v="40558255"/>
  </r>
  <r>
    <x v="6"/>
    <x v="0"/>
    <s v="Bossier Parish Community College"/>
    <m/>
    <n v="158431"/>
    <x v="6"/>
    <n v="7597351"/>
    <n v="11000908"/>
    <m/>
    <m/>
    <m/>
    <m/>
    <n v="22165605"/>
    <m/>
    <n v="22165605"/>
    <n v="24619000"/>
    <m/>
    <n v="24619000"/>
    <n v="29762956"/>
    <n v="35619908"/>
    <m/>
    <m/>
    <m/>
    <m/>
    <n v="0"/>
    <m/>
    <m/>
    <n v="0"/>
    <m/>
    <m/>
    <m/>
    <m/>
    <m/>
    <m/>
    <n v="29762956"/>
    <n v="35619908"/>
  </r>
  <r>
    <x v="6"/>
    <x v="0"/>
    <s v="Delgado Community College "/>
    <m/>
    <n v="158662"/>
    <x v="6"/>
    <n v="26855285"/>
    <n v="27482271"/>
    <m/>
    <m/>
    <m/>
    <m/>
    <n v="53678415"/>
    <m/>
    <n v="53678415"/>
    <n v="55298000"/>
    <m/>
    <n v="55298000"/>
    <n v="80533700"/>
    <n v="82780271"/>
    <m/>
    <m/>
    <m/>
    <m/>
    <n v="0"/>
    <m/>
    <m/>
    <n v="0"/>
    <m/>
    <m/>
    <m/>
    <m/>
    <m/>
    <m/>
    <n v="80533700"/>
    <n v="82780271"/>
  </r>
  <r>
    <x v="6"/>
    <x v="0"/>
    <s v="Louisiana Delta Community College"/>
    <m/>
    <n v="440624"/>
    <x v="7"/>
    <n v="8320402"/>
    <n v="8533226"/>
    <m/>
    <m/>
    <m/>
    <m/>
    <n v="9307432"/>
    <m/>
    <n v="9307432"/>
    <n v="10234332"/>
    <m/>
    <n v="10234332"/>
    <n v="17627834"/>
    <n v="18767558"/>
    <m/>
    <m/>
    <m/>
    <m/>
    <n v="0"/>
    <m/>
    <m/>
    <n v="0"/>
    <m/>
    <m/>
    <m/>
    <m/>
    <m/>
    <m/>
    <n v="17627834"/>
    <n v="18767558"/>
  </r>
  <r>
    <x v="6"/>
    <x v="0"/>
    <s v="Louisiana State University at Eunice"/>
    <s v="Met the criteria for Two-Year 3 in 2013-14 and 2014-15. "/>
    <n v="159407"/>
    <x v="7"/>
    <n v="4925736"/>
    <n v="5016621"/>
    <m/>
    <m/>
    <m/>
    <m/>
    <n v="7451837"/>
    <m/>
    <n v="7451837"/>
    <n v="7803513"/>
    <m/>
    <n v="7803513"/>
    <n v="12377573"/>
    <n v="12820134"/>
    <m/>
    <m/>
    <m/>
    <m/>
    <n v="0"/>
    <m/>
    <m/>
    <n v="0"/>
    <m/>
    <m/>
    <m/>
    <m/>
    <m/>
    <m/>
    <n v="12377573"/>
    <n v="12820134"/>
  </r>
  <r>
    <x v="6"/>
    <x v="0"/>
    <s v="South Louisiana Community College"/>
    <m/>
    <n v="434061"/>
    <x v="7"/>
    <n v="13202447"/>
    <n v="14052511"/>
    <m/>
    <m/>
    <m/>
    <m/>
    <n v="13615719"/>
    <m/>
    <n v="13615719"/>
    <n v="15987500"/>
    <m/>
    <n v="15987500"/>
    <n v="26818166"/>
    <n v="30040011"/>
    <m/>
    <m/>
    <m/>
    <m/>
    <n v="0"/>
    <m/>
    <m/>
    <n v="0"/>
    <m/>
    <m/>
    <m/>
    <m/>
    <m/>
    <m/>
    <n v="26818166"/>
    <n v="30040011"/>
  </r>
  <r>
    <x v="6"/>
    <x v="0"/>
    <s v="Southern University in Shreveport"/>
    <m/>
    <n v="160649"/>
    <x v="7"/>
    <n v="7266720"/>
    <n v="5853493"/>
    <m/>
    <m/>
    <m/>
    <m/>
    <n v="6914848"/>
    <m/>
    <n v="6914848"/>
    <n v="7219818"/>
    <m/>
    <n v="7219818"/>
    <n v="14181568"/>
    <n v="13073311"/>
    <m/>
    <m/>
    <m/>
    <m/>
    <n v="0"/>
    <m/>
    <m/>
    <n v="0"/>
    <m/>
    <m/>
    <m/>
    <m/>
    <m/>
    <m/>
    <n v="14181568"/>
    <n v="13073311"/>
  </r>
  <r>
    <x v="6"/>
    <x v="0"/>
    <s v="Nunez Community College"/>
    <m/>
    <n v="158884"/>
    <x v="8"/>
    <n v="3195369"/>
    <n v="3642124"/>
    <m/>
    <m/>
    <m/>
    <m/>
    <n v="4203128"/>
    <m/>
    <n v="4203128"/>
    <n v="4856000"/>
    <m/>
    <n v="4856000"/>
    <n v="7398497"/>
    <n v="8498124"/>
    <m/>
    <m/>
    <m/>
    <m/>
    <n v="0"/>
    <m/>
    <m/>
    <n v="0"/>
    <m/>
    <m/>
    <m/>
    <m/>
    <m/>
    <m/>
    <n v="7398497"/>
    <n v="8498124"/>
  </r>
  <r>
    <x v="6"/>
    <x v="0"/>
    <s v="River Parishes Community College"/>
    <m/>
    <n v="436304"/>
    <x v="8"/>
    <n v="3064565"/>
    <n v="3406615"/>
    <m/>
    <m/>
    <m/>
    <m/>
    <n v="4885686"/>
    <m/>
    <n v="4885686"/>
    <n v="6015500"/>
    <m/>
    <n v="6015500"/>
    <n v="7950251"/>
    <n v="9422115"/>
    <m/>
    <m/>
    <m/>
    <m/>
    <n v="0"/>
    <m/>
    <m/>
    <n v="0"/>
    <m/>
    <m/>
    <m/>
    <m/>
    <m/>
    <m/>
    <n v="7950251"/>
    <n v="9422115"/>
  </r>
  <r>
    <x v="6"/>
    <x v="0"/>
    <s v="Central LA Technical College"/>
    <m/>
    <n v="158088"/>
    <x v="9"/>
    <n v="5964289"/>
    <n v="6148706"/>
    <m/>
    <m/>
    <m/>
    <m/>
    <n v="3568428"/>
    <m/>
    <n v="3568428"/>
    <n v="4008581"/>
    <m/>
    <n v="4008581"/>
    <n v="9532717"/>
    <n v="10157287"/>
    <m/>
    <m/>
    <m/>
    <m/>
    <n v="0"/>
    <m/>
    <m/>
    <n v="0"/>
    <m/>
    <m/>
    <m/>
    <m/>
    <m/>
    <m/>
    <n v="9532717"/>
    <n v="10157287"/>
  </r>
  <r>
    <x v="6"/>
    <x v="0"/>
    <s v="L.E. Fletcher Technical Community College"/>
    <m/>
    <n v="160481"/>
    <x v="9"/>
    <n v="2750722"/>
    <n v="3306866"/>
    <m/>
    <m/>
    <m/>
    <m/>
    <n v="5260138"/>
    <m/>
    <n v="5260138"/>
    <n v="5640138"/>
    <m/>
    <n v="5640138"/>
    <n v="8010860"/>
    <n v="8947004"/>
    <m/>
    <m/>
    <m/>
    <m/>
    <n v="0"/>
    <m/>
    <m/>
    <n v="0"/>
    <m/>
    <m/>
    <m/>
    <m/>
    <m/>
    <m/>
    <n v="8010860"/>
    <n v="8947004"/>
  </r>
  <r>
    <x v="6"/>
    <x v="0"/>
    <s v="Northshore Technical College"/>
    <m/>
    <n v="160667"/>
    <x v="9"/>
    <n v="5139834"/>
    <n v="5382578"/>
    <m/>
    <m/>
    <m/>
    <m/>
    <n v="4602943"/>
    <m/>
    <n v="4602943"/>
    <n v="5297825"/>
    <m/>
    <n v="5297825"/>
    <n v="9742777"/>
    <n v="10680403"/>
    <m/>
    <m/>
    <m/>
    <m/>
    <n v="0"/>
    <m/>
    <m/>
    <n v="0"/>
    <m/>
    <m/>
    <m/>
    <m/>
    <m/>
    <m/>
    <n v="9742777"/>
    <n v="10680403"/>
  </r>
  <r>
    <x v="6"/>
    <x v="0"/>
    <s v="Northwest LA Technical College"/>
    <m/>
    <n v="160010"/>
    <x v="9"/>
    <n v="7073086"/>
    <n v="7792463"/>
    <m/>
    <m/>
    <m/>
    <m/>
    <n v="3194576"/>
    <m/>
    <n v="3194576"/>
    <n v="3277636"/>
    <m/>
    <n v="3277636"/>
    <n v="10267662"/>
    <n v="11070099"/>
    <m/>
    <m/>
    <m/>
    <m/>
    <n v="0"/>
    <m/>
    <m/>
    <n v="0"/>
    <m/>
    <m/>
    <m/>
    <m/>
    <m/>
    <m/>
    <n v="10267662"/>
    <n v="11070099"/>
  </r>
  <r>
    <x v="6"/>
    <x v="0"/>
    <s v="South Central LA Technical College"/>
    <m/>
    <n v="160913"/>
    <x v="9"/>
    <n v="4382401"/>
    <n v="4637118"/>
    <m/>
    <m/>
    <m/>
    <m/>
    <n v="3378827"/>
    <m/>
    <n v="3378827"/>
    <n v="5160000"/>
    <m/>
    <n v="5160000"/>
    <n v="7761228"/>
    <n v="9797118"/>
    <m/>
    <m/>
    <m/>
    <m/>
    <n v="0"/>
    <m/>
    <m/>
    <n v="0"/>
    <m/>
    <m/>
    <m/>
    <m/>
    <m/>
    <m/>
    <n v="7761228"/>
    <n v="9797118"/>
  </r>
  <r>
    <x v="6"/>
    <x v="0"/>
    <s v="Sowela Technical Community College"/>
    <m/>
    <n v="160579"/>
    <x v="9"/>
    <n v="5969614"/>
    <n v="7532787"/>
    <m/>
    <m/>
    <m/>
    <m/>
    <n v="6587706"/>
    <m/>
    <n v="6587706"/>
    <n v="7538000"/>
    <m/>
    <n v="7538000"/>
    <n v="12557320"/>
    <n v="15070787"/>
    <m/>
    <m/>
    <m/>
    <m/>
    <n v="0"/>
    <m/>
    <m/>
    <n v="0"/>
    <m/>
    <m/>
    <m/>
    <m/>
    <m/>
    <m/>
    <n v="12557320"/>
    <n v="15070787"/>
  </r>
  <r>
    <x v="6"/>
    <x v="41"/>
    <s v="Louisiana State University Health Sciences Center—New Orleans"/>
    <m/>
    <n v="159373"/>
    <x v="11"/>
    <m/>
    <m/>
    <m/>
    <m/>
    <m/>
    <m/>
    <m/>
    <m/>
    <n v="0"/>
    <m/>
    <m/>
    <n v="0"/>
    <n v="0"/>
    <n v="0"/>
    <m/>
    <m/>
    <m/>
    <m/>
    <n v="0"/>
    <m/>
    <m/>
    <n v="0"/>
    <n v="92191762"/>
    <n v="90700917"/>
    <n v="38433326"/>
    <m/>
    <n v="45205278"/>
    <m/>
    <n v="130625088"/>
    <n v="135906195"/>
  </r>
  <r>
    <x v="6"/>
    <x v="41"/>
    <s v="Louisiana State University Health Sciences Center — Shreveport"/>
    <m/>
    <n v="435000"/>
    <x v="11"/>
    <m/>
    <m/>
    <m/>
    <m/>
    <m/>
    <m/>
    <m/>
    <m/>
    <n v="0"/>
    <m/>
    <m/>
    <n v="0"/>
    <n v="0"/>
    <n v="0"/>
    <m/>
    <m/>
    <m/>
    <m/>
    <n v="0"/>
    <m/>
    <m/>
    <n v="0"/>
    <n v="47521783"/>
    <n v="45467833"/>
    <n v="13803766"/>
    <m/>
    <n v="15090576"/>
    <m/>
    <n v="61325549"/>
    <n v="60558409"/>
  </r>
  <r>
    <x v="6"/>
    <x v="10"/>
    <s v="Statewide Special-Purpose Units"/>
    <m/>
    <m/>
    <x v="12"/>
    <m/>
    <m/>
    <m/>
    <m/>
    <m/>
    <m/>
    <m/>
    <m/>
    <n v="0"/>
    <m/>
    <m/>
    <n v="0"/>
    <n v="0"/>
    <n v="0"/>
    <m/>
    <m/>
    <m/>
    <m/>
    <n v="0"/>
    <m/>
    <m/>
    <n v="0"/>
    <m/>
    <m/>
    <m/>
    <m/>
    <m/>
    <m/>
    <n v="0"/>
    <n v="0"/>
  </r>
  <r>
    <x v="6"/>
    <x v="42"/>
    <s v="Community or public service units"/>
    <m/>
    <m/>
    <x v="12"/>
    <m/>
    <m/>
    <m/>
    <m/>
    <m/>
    <m/>
    <m/>
    <m/>
    <n v="0"/>
    <m/>
    <m/>
    <n v="0"/>
    <n v="0"/>
    <n v="0"/>
    <m/>
    <m/>
    <m/>
    <m/>
    <n v="0"/>
    <m/>
    <m/>
    <n v="0"/>
    <m/>
    <m/>
    <m/>
    <m/>
    <m/>
    <m/>
    <n v="0"/>
    <n v="0"/>
  </r>
  <r>
    <x v="6"/>
    <x v="42"/>
    <s v="Center for Innovative Teaching and Learning (CITAL)"/>
    <m/>
    <m/>
    <x v="12"/>
    <m/>
    <m/>
    <n v="287216"/>
    <n v="301773"/>
    <m/>
    <m/>
    <m/>
    <m/>
    <n v="0"/>
    <m/>
    <m/>
    <n v="0"/>
    <n v="287216"/>
    <n v="301773"/>
    <m/>
    <m/>
    <m/>
    <m/>
    <n v="0"/>
    <m/>
    <m/>
    <n v="0"/>
    <m/>
    <m/>
    <m/>
    <m/>
    <m/>
    <m/>
    <n v="287216"/>
    <n v="301773"/>
  </r>
  <r>
    <x v="6"/>
    <x v="11"/>
    <s v="LA Universities' Marine Consortium"/>
    <m/>
    <m/>
    <x v="12"/>
    <m/>
    <m/>
    <n v="2376091"/>
    <n v="2480054"/>
    <m/>
    <m/>
    <m/>
    <m/>
    <n v="0"/>
    <m/>
    <m/>
    <n v="0"/>
    <n v="2376091"/>
    <n v="2480054"/>
    <m/>
    <m/>
    <m/>
    <m/>
    <n v="0"/>
    <m/>
    <m/>
    <n v="0"/>
    <m/>
    <m/>
    <m/>
    <m/>
    <m/>
    <m/>
    <n v="2376091"/>
    <n v="2480054"/>
  </r>
  <r>
    <x v="6"/>
    <x v="11"/>
    <s v="Pennington Biomedical Research Center"/>
    <m/>
    <m/>
    <x v="12"/>
    <m/>
    <m/>
    <n v="13450046"/>
    <n v="13823952"/>
    <m/>
    <m/>
    <m/>
    <m/>
    <n v="0"/>
    <m/>
    <m/>
    <n v="0"/>
    <n v="13450046"/>
    <n v="13823952"/>
    <m/>
    <m/>
    <m/>
    <m/>
    <n v="0"/>
    <m/>
    <m/>
    <n v="0"/>
    <m/>
    <m/>
    <m/>
    <m/>
    <m/>
    <m/>
    <n v="13450046"/>
    <n v="13823952"/>
  </r>
  <r>
    <x v="6"/>
    <x v="13"/>
    <s v="Education special purpose funds — all other"/>
    <m/>
    <m/>
    <x v="12"/>
    <m/>
    <m/>
    <m/>
    <m/>
    <m/>
    <m/>
    <m/>
    <m/>
    <n v="0"/>
    <m/>
    <m/>
    <n v="0"/>
    <n v="0"/>
    <n v="0"/>
    <m/>
    <m/>
    <m/>
    <m/>
    <n v="0"/>
    <m/>
    <m/>
    <n v="0"/>
    <m/>
    <m/>
    <m/>
    <m/>
    <m/>
    <m/>
    <n v="0"/>
    <n v="0"/>
  </r>
  <r>
    <x v="6"/>
    <x v="13"/>
    <s v="Health Care WorkForce"/>
    <m/>
    <m/>
    <x v="12"/>
    <m/>
    <m/>
    <n v="400000"/>
    <n v="404500"/>
    <m/>
    <m/>
    <m/>
    <m/>
    <n v="0"/>
    <m/>
    <m/>
    <n v="0"/>
    <n v="400000"/>
    <n v="404500"/>
    <m/>
    <m/>
    <m/>
    <m/>
    <n v="0"/>
    <m/>
    <m/>
    <n v="0"/>
    <m/>
    <m/>
    <m/>
    <m/>
    <m/>
    <m/>
    <n v="400000"/>
    <n v="404500"/>
  </r>
  <r>
    <x v="6"/>
    <x v="13"/>
    <s v="Distance learning"/>
    <m/>
    <m/>
    <x v="12"/>
    <m/>
    <m/>
    <n v="250000"/>
    <n v="250000"/>
    <m/>
    <m/>
    <m/>
    <m/>
    <n v="0"/>
    <m/>
    <m/>
    <n v="0"/>
    <n v="250000"/>
    <n v="250000"/>
    <m/>
    <m/>
    <m/>
    <m/>
    <n v="0"/>
    <m/>
    <m/>
    <n v="0"/>
    <m/>
    <m/>
    <m/>
    <m/>
    <m/>
    <m/>
    <n v="250000"/>
    <n v="250000"/>
  </r>
  <r>
    <x v="6"/>
    <x v="13"/>
    <s v="LA Online Library Network (LOUIS)"/>
    <m/>
    <m/>
    <x v="12"/>
    <m/>
    <m/>
    <n v="500000"/>
    <n v="750000"/>
    <m/>
    <m/>
    <m/>
    <m/>
    <n v="0"/>
    <m/>
    <m/>
    <n v="0"/>
    <n v="500000"/>
    <n v="750000"/>
    <m/>
    <m/>
    <m/>
    <m/>
    <n v="0"/>
    <m/>
    <m/>
    <n v="0"/>
    <m/>
    <m/>
    <m/>
    <m/>
    <m/>
    <m/>
    <n v="500000"/>
    <n v="750000"/>
  </r>
  <r>
    <x v="6"/>
    <x v="13"/>
    <s v="LA Endowment for the Humanities"/>
    <m/>
    <m/>
    <x v="12"/>
    <m/>
    <m/>
    <n v="0"/>
    <n v="0"/>
    <m/>
    <m/>
    <m/>
    <m/>
    <n v="0"/>
    <m/>
    <m/>
    <n v="0"/>
    <n v="0"/>
    <n v="0"/>
    <m/>
    <m/>
    <m/>
    <m/>
    <n v="0"/>
    <m/>
    <m/>
    <n v="0"/>
    <m/>
    <m/>
    <m/>
    <m/>
    <m/>
    <m/>
    <n v="0"/>
    <n v="0"/>
  </r>
  <r>
    <x v="6"/>
    <x v="13"/>
    <s v="Endowed Chairs/Professorships"/>
    <m/>
    <m/>
    <x v="12"/>
    <m/>
    <m/>
    <n v="4020000"/>
    <n v="4800000"/>
    <m/>
    <m/>
    <m/>
    <m/>
    <n v="0"/>
    <m/>
    <m/>
    <n v="0"/>
    <n v="4020000"/>
    <n v="4800000"/>
    <m/>
    <m/>
    <m/>
    <m/>
    <n v="0"/>
    <m/>
    <m/>
    <n v="0"/>
    <m/>
    <m/>
    <m/>
    <m/>
    <m/>
    <m/>
    <n v="4020000"/>
    <n v="4800000"/>
  </r>
  <r>
    <x v="6"/>
    <x v="13"/>
    <s v="Endowed Scholarships"/>
    <m/>
    <m/>
    <x v="12"/>
    <m/>
    <m/>
    <n v="1000000"/>
    <n v="1000000"/>
    <m/>
    <m/>
    <m/>
    <m/>
    <n v="0"/>
    <m/>
    <m/>
    <n v="0"/>
    <n v="1000000"/>
    <n v="1000000"/>
    <m/>
    <m/>
    <m/>
    <m/>
    <n v="0"/>
    <m/>
    <m/>
    <n v="0"/>
    <m/>
    <m/>
    <m/>
    <m/>
    <m/>
    <m/>
    <n v="1000000"/>
    <n v="1000000"/>
  </r>
  <r>
    <x v="6"/>
    <x v="13"/>
    <s v="LONI"/>
    <m/>
    <m/>
    <x v="12"/>
    <m/>
    <m/>
    <n v="4626423"/>
    <n v="3674524"/>
    <m/>
    <m/>
    <m/>
    <m/>
    <n v="0"/>
    <m/>
    <m/>
    <n v="0"/>
    <n v="4626423"/>
    <n v="3674524"/>
    <m/>
    <m/>
    <m/>
    <m/>
    <n v="0"/>
    <m/>
    <m/>
    <n v="0"/>
    <m/>
    <m/>
    <m/>
    <m/>
    <m/>
    <m/>
    <n v="4626423"/>
    <n v="3674524"/>
  </r>
  <r>
    <x v="6"/>
    <x v="13"/>
    <s v="Other Initiatives"/>
    <m/>
    <m/>
    <x v="12"/>
    <m/>
    <m/>
    <n v="0"/>
    <n v="0"/>
    <m/>
    <m/>
    <m/>
    <m/>
    <n v="0"/>
    <m/>
    <m/>
    <n v="0"/>
    <n v="0"/>
    <n v="0"/>
    <m/>
    <m/>
    <m/>
    <m/>
    <n v="0"/>
    <m/>
    <m/>
    <n v="0"/>
    <m/>
    <m/>
    <m/>
    <m/>
    <m/>
    <m/>
    <n v="0"/>
    <n v="0"/>
  </r>
  <r>
    <x v="6"/>
    <x v="13"/>
    <s v="Adult Education"/>
    <m/>
    <m/>
    <x v="12"/>
    <m/>
    <m/>
    <n v="150000"/>
    <n v="163907"/>
    <m/>
    <m/>
    <m/>
    <m/>
    <n v="0"/>
    <m/>
    <m/>
    <n v="0"/>
    <n v="150000"/>
    <n v="163907"/>
    <m/>
    <m/>
    <m/>
    <m/>
    <n v="0"/>
    <m/>
    <m/>
    <n v="0"/>
    <m/>
    <m/>
    <m/>
    <m/>
    <m/>
    <m/>
    <n v="150000"/>
    <n v="163907"/>
  </r>
  <r>
    <x v="6"/>
    <x v="14"/>
    <s v="Statewide System Operations"/>
    <m/>
    <m/>
    <x v="12"/>
    <m/>
    <m/>
    <m/>
    <m/>
    <m/>
    <m/>
    <m/>
    <m/>
    <n v="0"/>
    <m/>
    <m/>
    <n v="0"/>
    <n v="0"/>
    <n v="0"/>
    <m/>
    <m/>
    <m/>
    <m/>
    <n v="0"/>
    <m/>
    <m/>
    <n v="0"/>
    <m/>
    <m/>
    <m/>
    <m/>
    <m/>
    <m/>
    <n v="0"/>
    <n v="0"/>
  </r>
  <r>
    <x v="6"/>
    <x v="15"/>
    <s v="Colleges and universities"/>
    <m/>
    <m/>
    <x v="12"/>
    <m/>
    <m/>
    <m/>
    <m/>
    <m/>
    <m/>
    <m/>
    <m/>
    <n v="0"/>
    <m/>
    <m/>
    <n v="0"/>
    <n v="0"/>
    <n v="0"/>
    <m/>
    <m/>
    <m/>
    <m/>
    <n v="0"/>
    <m/>
    <m/>
    <n v="0"/>
    <m/>
    <m/>
    <m/>
    <m/>
    <m/>
    <m/>
    <n v="0"/>
    <n v="0"/>
  </r>
  <r>
    <x v="6"/>
    <x v="15"/>
    <s v="Board of Regents"/>
    <m/>
    <m/>
    <x v="12"/>
    <m/>
    <m/>
    <m/>
    <m/>
    <m/>
    <m/>
    <m/>
    <m/>
    <n v="0"/>
    <m/>
    <m/>
    <n v="0"/>
    <n v="0"/>
    <n v="0"/>
    <n v="6897522"/>
    <n v="7306159"/>
    <m/>
    <m/>
    <n v="0"/>
    <m/>
    <m/>
    <n v="0"/>
    <m/>
    <m/>
    <m/>
    <m/>
    <m/>
    <m/>
    <n v="6897522"/>
    <n v="7306159"/>
  </r>
  <r>
    <x v="6"/>
    <x v="15"/>
    <s v="Southern University System Office"/>
    <m/>
    <m/>
    <x v="12"/>
    <m/>
    <m/>
    <m/>
    <m/>
    <m/>
    <m/>
    <m/>
    <m/>
    <n v="0"/>
    <m/>
    <m/>
    <n v="0"/>
    <n v="0"/>
    <n v="0"/>
    <n v="14421547"/>
    <n v="5789460"/>
    <m/>
    <m/>
    <n v="0"/>
    <m/>
    <m/>
    <n v="0"/>
    <m/>
    <m/>
    <m/>
    <m/>
    <m/>
    <m/>
    <n v="14421547"/>
    <n v="5789460"/>
  </r>
  <r>
    <x v="6"/>
    <x v="15"/>
    <s v="LA State University System Office"/>
    <m/>
    <m/>
    <x v="12"/>
    <m/>
    <m/>
    <m/>
    <m/>
    <m/>
    <m/>
    <m/>
    <m/>
    <n v="0"/>
    <m/>
    <m/>
    <n v="0"/>
    <n v="0"/>
    <n v="0"/>
    <n v="12495054"/>
    <n v="3486750"/>
    <m/>
    <m/>
    <n v="0"/>
    <m/>
    <m/>
    <n v="0"/>
    <m/>
    <m/>
    <m/>
    <m/>
    <m/>
    <m/>
    <n v="12495054"/>
    <n v="3486750"/>
  </r>
  <r>
    <x v="6"/>
    <x v="15"/>
    <s v="Univ. of LA System Office"/>
    <m/>
    <m/>
    <x v="12"/>
    <m/>
    <m/>
    <m/>
    <m/>
    <m/>
    <m/>
    <m/>
    <m/>
    <n v="0"/>
    <m/>
    <m/>
    <n v="0"/>
    <n v="0"/>
    <n v="0"/>
    <n v="11034112"/>
    <n v="1033268"/>
    <m/>
    <m/>
    <n v="0"/>
    <m/>
    <m/>
    <n v="0"/>
    <m/>
    <m/>
    <m/>
    <m/>
    <m/>
    <m/>
    <n v="11034112"/>
    <n v="1033268"/>
  </r>
  <r>
    <x v="6"/>
    <x v="16"/>
    <s v="Two-year system(s), if any"/>
    <m/>
    <m/>
    <x v="12"/>
    <m/>
    <m/>
    <m/>
    <m/>
    <m/>
    <m/>
    <m/>
    <m/>
    <n v="0"/>
    <m/>
    <m/>
    <n v="0"/>
    <n v="0"/>
    <n v="0"/>
    <m/>
    <m/>
    <m/>
    <m/>
    <n v="0"/>
    <m/>
    <m/>
    <n v="0"/>
    <m/>
    <m/>
    <m/>
    <m/>
    <m/>
    <m/>
    <n v="0"/>
    <n v="0"/>
  </r>
  <r>
    <x v="6"/>
    <x v="16"/>
    <s v="LA Community and Technical College System Office"/>
    <m/>
    <m/>
    <x v="12"/>
    <m/>
    <m/>
    <m/>
    <m/>
    <m/>
    <m/>
    <m/>
    <m/>
    <n v="0"/>
    <m/>
    <m/>
    <n v="0"/>
    <n v="0"/>
    <n v="0"/>
    <n v="27156540"/>
    <n v="17153027"/>
    <m/>
    <m/>
    <n v="0"/>
    <m/>
    <m/>
    <n v="0"/>
    <m/>
    <m/>
    <m/>
    <m/>
    <m/>
    <m/>
    <n v="27156540"/>
    <n v="17153027"/>
  </r>
  <r>
    <x v="6"/>
    <x v="17"/>
    <s v="National or regional associations, compacts or consortia"/>
    <m/>
    <m/>
    <x v="12"/>
    <m/>
    <m/>
    <m/>
    <m/>
    <m/>
    <m/>
    <m/>
    <m/>
    <n v="0"/>
    <m/>
    <m/>
    <n v="0"/>
    <n v="0"/>
    <n v="0"/>
    <m/>
    <m/>
    <m/>
    <m/>
    <n v="0"/>
    <m/>
    <m/>
    <n v="0"/>
    <m/>
    <m/>
    <m/>
    <m/>
    <m/>
    <m/>
    <n v="0"/>
    <n v="0"/>
  </r>
  <r>
    <x v="6"/>
    <x v="17"/>
    <s v="SREB"/>
    <m/>
    <m/>
    <x v="12"/>
    <m/>
    <m/>
    <m/>
    <m/>
    <m/>
    <m/>
    <m/>
    <m/>
    <n v="0"/>
    <m/>
    <m/>
    <n v="0"/>
    <n v="0"/>
    <n v="0"/>
    <m/>
    <m/>
    <m/>
    <m/>
    <n v="0"/>
    <m/>
    <m/>
    <n v="0"/>
    <m/>
    <m/>
    <m/>
    <m/>
    <m/>
    <m/>
    <n v="0"/>
    <n v="0"/>
  </r>
  <r>
    <x v="6"/>
    <x v="18"/>
    <s v="Adm. of Statewide Student Aid Progs. (incldng centralized guaranteed student loans)"/>
    <m/>
    <m/>
    <x v="12"/>
    <m/>
    <m/>
    <m/>
    <m/>
    <m/>
    <m/>
    <m/>
    <m/>
    <n v="0"/>
    <m/>
    <m/>
    <n v="0"/>
    <n v="0"/>
    <n v="0"/>
    <m/>
    <m/>
    <m/>
    <m/>
    <n v="0"/>
    <m/>
    <m/>
    <n v="0"/>
    <m/>
    <m/>
    <m/>
    <m/>
    <m/>
    <m/>
    <n v="0"/>
    <n v="0"/>
  </r>
  <r>
    <x v="6"/>
    <x v="18"/>
    <s v="Louisiana Office of Student Financial Aid (LOSFA)"/>
    <m/>
    <m/>
    <x v="12"/>
    <m/>
    <m/>
    <m/>
    <m/>
    <m/>
    <m/>
    <m/>
    <m/>
    <n v="0"/>
    <m/>
    <m/>
    <n v="0"/>
    <n v="0"/>
    <n v="0"/>
    <n v="120864"/>
    <n v="41450"/>
    <m/>
    <m/>
    <n v="0"/>
    <m/>
    <m/>
    <n v="0"/>
    <m/>
    <m/>
    <m/>
    <m/>
    <m/>
    <m/>
    <n v="120864"/>
    <n v="41450"/>
  </r>
  <r>
    <x v="6"/>
    <x v="19"/>
    <s v="State Support to Private Colleges Other Than Student Aid (ATI)"/>
    <m/>
    <m/>
    <x v="12"/>
    <m/>
    <m/>
    <m/>
    <m/>
    <m/>
    <m/>
    <m/>
    <m/>
    <n v="0"/>
    <m/>
    <m/>
    <n v="0"/>
    <n v="0"/>
    <n v="0"/>
    <m/>
    <m/>
    <m/>
    <m/>
    <n v="0"/>
    <m/>
    <m/>
    <n v="0"/>
    <m/>
    <m/>
    <m/>
    <m/>
    <m/>
    <m/>
    <n v="0"/>
    <n v="0"/>
  </r>
  <r>
    <x v="6"/>
    <x v="20"/>
    <s v="Contract Education Programs"/>
    <m/>
    <m/>
    <x v="12"/>
    <m/>
    <m/>
    <m/>
    <m/>
    <m/>
    <m/>
    <m/>
    <m/>
    <n v="0"/>
    <m/>
    <m/>
    <n v="0"/>
    <n v="0"/>
    <n v="0"/>
    <m/>
    <m/>
    <m/>
    <m/>
    <n v="0"/>
    <m/>
    <m/>
    <n v="0"/>
    <m/>
    <m/>
    <m/>
    <m/>
    <m/>
    <m/>
    <n v="0"/>
    <n v="0"/>
  </r>
  <r>
    <x v="6"/>
    <x v="21"/>
    <s v="SREB contract program with private colleges"/>
    <m/>
    <m/>
    <x v="12"/>
    <m/>
    <m/>
    <m/>
    <m/>
    <m/>
    <m/>
    <m/>
    <m/>
    <n v="0"/>
    <m/>
    <m/>
    <n v="0"/>
    <n v="0"/>
    <n v="0"/>
    <m/>
    <m/>
    <m/>
    <m/>
    <n v="0"/>
    <m/>
    <m/>
    <n v="0"/>
    <m/>
    <m/>
    <m/>
    <m/>
    <m/>
    <m/>
    <n v="0"/>
    <n v="0"/>
  </r>
  <r>
    <x v="6"/>
    <x v="22"/>
    <s v="SREB contract program with public colleges"/>
    <m/>
    <m/>
    <x v="12"/>
    <m/>
    <m/>
    <m/>
    <m/>
    <m/>
    <m/>
    <m/>
    <m/>
    <n v="0"/>
    <m/>
    <m/>
    <n v="0"/>
    <n v="0"/>
    <n v="0"/>
    <n v="587495"/>
    <n v="760850"/>
    <m/>
    <m/>
    <n v="0"/>
    <m/>
    <m/>
    <n v="0"/>
    <m/>
    <m/>
    <m/>
    <m/>
    <m/>
    <m/>
    <n v="587495"/>
    <n v="760850"/>
  </r>
  <r>
    <x v="6"/>
    <x v="23"/>
    <s v="Other contract education programs"/>
    <m/>
    <m/>
    <x v="12"/>
    <m/>
    <m/>
    <m/>
    <m/>
    <m/>
    <m/>
    <m/>
    <m/>
    <n v="0"/>
    <m/>
    <m/>
    <n v="0"/>
    <n v="0"/>
    <n v="0"/>
    <m/>
    <m/>
    <m/>
    <m/>
    <n v="0"/>
    <m/>
    <m/>
    <n v="0"/>
    <m/>
    <m/>
    <m/>
    <m/>
    <m/>
    <m/>
    <n v="0"/>
    <n v="0"/>
  </r>
  <r>
    <x v="6"/>
    <x v="24"/>
    <s v="Statewide Student Financial Aid Programs Administered Off Campus"/>
    <m/>
    <m/>
    <x v="12"/>
    <m/>
    <m/>
    <m/>
    <m/>
    <m/>
    <m/>
    <m/>
    <m/>
    <n v="0"/>
    <m/>
    <m/>
    <n v="0"/>
    <n v="0"/>
    <n v="0"/>
    <m/>
    <m/>
    <m/>
    <m/>
    <n v="0"/>
    <m/>
    <m/>
    <n v="0"/>
    <m/>
    <m/>
    <m/>
    <m/>
    <m/>
    <m/>
    <n v="0"/>
    <n v="0"/>
  </r>
  <r>
    <x v="6"/>
    <x v="25"/>
    <s v="Available to public &amp; private sector students"/>
    <m/>
    <m/>
    <x v="12"/>
    <m/>
    <m/>
    <m/>
    <m/>
    <m/>
    <m/>
    <m/>
    <m/>
    <n v="0"/>
    <m/>
    <m/>
    <n v="0"/>
    <n v="0"/>
    <n v="0"/>
    <m/>
    <m/>
    <m/>
    <m/>
    <n v="0"/>
    <m/>
    <m/>
    <n v="0"/>
    <m/>
    <m/>
    <m/>
    <m/>
    <m/>
    <m/>
    <n v="0"/>
    <n v="0"/>
  </r>
  <r>
    <x v="6"/>
    <x v="25"/>
    <s v="TOPS,GO GRANT, LEAP"/>
    <m/>
    <m/>
    <x v="12"/>
    <m/>
    <m/>
    <m/>
    <m/>
    <m/>
    <m/>
    <m/>
    <m/>
    <n v="0"/>
    <m/>
    <m/>
    <n v="0"/>
    <n v="0"/>
    <n v="0"/>
    <m/>
    <m/>
    <m/>
    <m/>
    <n v="0"/>
    <m/>
    <m/>
    <n v="0"/>
    <m/>
    <m/>
    <m/>
    <m/>
    <m/>
    <m/>
    <n v="0"/>
    <n v="0"/>
  </r>
  <r>
    <x v="6"/>
    <x v="28"/>
    <s v="Amount to public sector students"/>
    <m/>
    <m/>
    <x v="12"/>
    <m/>
    <m/>
    <m/>
    <m/>
    <m/>
    <m/>
    <m/>
    <m/>
    <n v="0"/>
    <m/>
    <m/>
    <n v="0"/>
    <n v="0"/>
    <n v="0"/>
    <m/>
    <m/>
    <m/>
    <m/>
    <n v="0"/>
    <m/>
    <m/>
    <n v="0"/>
    <m/>
    <m/>
    <m/>
    <m/>
    <m/>
    <m/>
    <n v="0"/>
    <n v="0"/>
  </r>
  <r>
    <x v="6"/>
    <x v="29"/>
    <s v="Need-based"/>
    <m/>
    <m/>
    <x v="12"/>
    <m/>
    <m/>
    <m/>
    <m/>
    <m/>
    <m/>
    <m/>
    <m/>
    <n v="0"/>
    <m/>
    <m/>
    <n v="0"/>
    <n v="0"/>
    <n v="0"/>
    <n v="23783131"/>
    <n v="24619025"/>
    <m/>
    <m/>
    <n v="0"/>
    <m/>
    <m/>
    <n v="0"/>
    <m/>
    <m/>
    <m/>
    <m/>
    <m/>
    <m/>
    <n v="23783131"/>
    <n v="24619025"/>
  </r>
  <r>
    <x v="6"/>
    <x v="30"/>
    <s v="Non need-based"/>
    <m/>
    <m/>
    <x v="12"/>
    <m/>
    <m/>
    <m/>
    <m/>
    <m/>
    <m/>
    <m/>
    <m/>
    <n v="0"/>
    <m/>
    <m/>
    <n v="0"/>
    <n v="0"/>
    <n v="0"/>
    <n v="199825710"/>
    <n v="247795287"/>
    <m/>
    <m/>
    <n v="0"/>
    <m/>
    <m/>
    <n v="0"/>
    <m/>
    <m/>
    <m/>
    <m/>
    <m/>
    <m/>
    <n v="199825710"/>
    <n v="247795287"/>
  </r>
  <r>
    <x v="6"/>
    <x v="31"/>
    <s v="Amount to private sector students"/>
    <m/>
    <m/>
    <x v="12"/>
    <m/>
    <m/>
    <m/>
    <m/>
    <m/>
    <m/>
    <m/>
    <m/>
    <n v="0"/>
    <m/>
    <m/>
    <n v="0"/>
    <n v="0"/>
    <n v="0"/>
    <m/>
    <m/>
    <m/>
    <m/>
    <n v="0"/>
    <m/>
    <m/>
    <n v="0"/>
    <m/>
    <m/>
    <m/>
    <m/>
    <m/>
    <m/>
    <n v="0"/>
    <n v="0"/>
  </r>
  <r>
    <x v="6"/>
    <x v="32"/>
    <s v="Need-based"/>
    <m/>
    <m/>
    <x v="12"/>
    <m/>
    <m/>
    <m/>
    <m/>
    <m/>
    <m/>
    <m/>
    <m/>
    <n v="0"/>
    <m/>
    <m/>
    <n v="0"/>
    <n v="0"/>
    <n v="0"/>
    <n v="2335638"/>
    <n v="2203104"/>
    <m/>
    <m/>
    <n v="0"/>
    <m/>
    <m/>
    <n v="0"/>
    <m/>
    <m/>
    <m/>
    <m/>
    <m/>
    <m/>
    <n v="2335638"/>
    <n v="2203104"/>
  </r>
  <r>
    <x v="6"/>
    <x v="33"/>
    <s v="Non need-based"/>
    <m/>
    <m/>
    <x v="12"/>
    <m/>
    <m/>
    <m/>
    <m/>
    <m/>
    <m/>
    <m/>
    <m/>
    <n v="0"/>
    <m/>
    <m/>
    <n v="0"/>
    <n v="0"/>
    <n v="0"/>
    <n v="14866958"/>
    <n v="16536273"/>
    <m/>
    <m/>
    <n v="0"/>
    <m/>
    <m/>
    <n v="0"/>
    <m/>
    <m/>
    <m/>
    <m/>
    <m/>
    <m/>
    <n v="14866958"/>
    <n v="16536273"/>
  </r>
  <r>
    <x v="6"/>
    <x v="34"/>
    <s v="Limited to public college students only"/>
    <m/>
    <m/>
    <x v="12"/>
    <m/>
    <m/>
    <m/>
    <m/>
    <m/>
    <m/>
    <m/>
    <m/>
    <n v="0"/>
    <m/>
    <m/>
    <n v="0"/>
    <n v="0"/>
    <n v="0"/>
    <m/>
    <m/>
    <m/>
    <m/>
    <n v="0"/>
    <m/>
    <m/>
    <n v="0"/>
    <m/>
    <m/>
    <m/>
    <m/>
    <m/>
    <m/>
    <n v="0"/>
    <n v="0"/>
  </r>
  <r>
    <x v="6"/>
    <x v="34"/>
    <s v="ROCKEFELLER/DUAL ENROLLMENT"/>
    <m/>
    <m/>
    <x v="12"/>
    <m/>
    <m/>
    <m/>
    <m/>
    <m/>
    <m/>
    <m/>
    <m/>
    <n v="0"/>
    <m/>
    <m/>
    <n v="0"/>
    <n v="0"/>
    <n v="0"/>
    <m/>
    <m/>
    <m/>
    <m/>
    <n v="0"/>
    <m/>
    <m/>
    <n v="0"/>
    <m/>
    <m/>
    <m/>
    <m/>
    <m/>
    <m/>
    <n v="0"/>
    <n v="0"/>
  </r>
  <r>
    <x v="6"/>
    <x v="35"/>
    <s v="Need-based"/>
    <m/>
    <m/>
    <x v="12"/>
    <m/>
    <m/>
    <m/>
    <m/>
    <m/>
    <m/>
    <m/>
    <m/>
    <n v="0"/>
    <m/>
    <m/>
    <n v="0"/>
    <n v="0"/>
    <n v="0"/>
    <m/>
    <m/>
    <m/>
    <m/>
    <n v="0"/>
    <m/>
    <m/>
    <n v="0"/>
    <m/>
    <m/>
    <m/>
    <m/>
    <m/>
    <m/>
    <n v="0"/>
    <n v="0"/>
  </r>
  <r>
    <x v="6"/>
    <x v="36"/>
    <s v="Non need-based"/>
    <m/>
    <m/>
    <x v="12"/>
    <m/>
    <m/>
    <m/>
    <m/>
    <m/>
    <m/>
    <m/>
    <m/>
    <n v="0"/>
    <m/>
    <m/>
    <n v="0"/>
    <n v="0"/>
    <n v="0"/>
    <n v="60000"/>
    <n v="60000"/>
    <m/>
    <m/>
    <n v="0"/>
    <m/>
    <m/>
    <n v="0"/>
    <m/>
    <m/>
    <m/>
    <m/>
    <m/>
    <m/>
    <n v="60000"/>
    <n v="60000"/>
  </r>
  <r>
    <x v="6"/>
    <x v="37"/>
    <s v="Limited to private college students only"/>
    <m/>
    <m/>
    <x v="12"/>
    <m/>
    <m/>
    <m/>
    <m/>
    <m/>
    <m/>
    <m/>
    <m/>
    <n v="0"/>
    <m/>
    <m/>
    <n v="0"/>
    <n v="0"/>
    <n v="0"/>
    <m/>
    <m/>
    <m/>
    <m/>
    <n v="0"/>
    <m/>
    <m/>
    <n v="0"/>
    <m/>
    <m/>
    <m/>
    <m/>
    <m/>
    <m/>
    <n v="0"/>
    <n v="0"/>
  </r>
  <r>
    <x v="6"/>
    <x v="38"/>
    <s v="Need-based"/>
    <m/>
    <m/>
    <x v="12"/>
    <m/>
    <m/>
    <m/>
    <m/>
    <m/>
    <m/>
    <m/>
    <m/>
    <n v="0"/>
    <m/>
    <m/>
    <n v="0"/>
    <n v="0"/>
    <n v="0"/>
    <m/>
    <m/>
    <m/>
    <m/>
    <n v="0"/>
    <m/>
    <m/>
    <n v="0"/>
    <m/>
    <m/>
    <m/>
    <m/>
    <m/>
    <m/>
    <n v="0"/>
    <n v="0"/>
  </r>
  <r>
    <x v="6"/>
    <x v="39"/>
    <s v="Non need-based"/>
    <m/>
    <m/>
    <x v="12"/>
    <m/>
    <m/>
    <m/>
    <m/>
    <m/>
    <m/>
    <m/>
    <m/>
    <n v="0"/>
    <m/>
    <m/>
    <n v="0"/>
    <n v="0"/>
    <n v="0"/>
    <m/>
    <m/>
    <m/>
    <m/>
    <n v="0"/>
    <m/>
    <m/>
    <n v="0"/>
    <m/>
    <m/>
    <m/>
    <m/>
    <m/>
    <m/>
    <n v="0"/>
    <n v="0"/>
  </r>
  <r>
    <x v="7"/>
    <x v="0"/>
    <s v="University of Maryland College Park"/>
    <m/>
    <n v="163286"/>
    <x v="0"/>
    <n v="438112113"/>
    <n v="481965257"/>
    <m/>
    <m/>
    <m/>
    <m/>
    <n v="486211696"/>
    <m/>
    <n v="486211696"/>
    <n v="501034829"/>
    <m/>
    <n v="501034829"/>
    <n v="924323809"/>
    <n v="983000086"/>
    <m/>
    <m/>
    <m/>
    <m/>
    <n v="0"/>
    <m/>
    <m/>
    <n v="0"/>
    <m/>
    <m/>
    <m/>
    <m/>
    <m/>
    <m/>
    <n v="924323809"/>
    <n v="983000086"/>
  </r>
  <r>
    <x v="7"/>
    <x v="4"/>
    <s v="Non-Credit Continuing Education"/>
    <m/>
    <n v="163286"/>
    <x v="0"/>
    <m/>
    <m/>
    <m/>
    <m/>
    <m/>
    <m/>
    <m/>
    <m/>
    <n v="0"/>
    <m/>
    <m/>
    <n v="0"/>
    <n v="0"/>
    <n v="0"/>
    <m/>
    <m/>
    <m/>
    <m/>
    <n v="0"/>
    <m/>
    <m/>
    <n v="0"/>
    <m/>
    <m/>
    <m/>
    <m/>
    <m/>
    <m/>
    <n v="0"/>
    <n v="0"/>
  </r>
  <r>
    <x v="7"/>
    <x v="5"/>
    <s v="Agricultural cooperative extension"/>
    <m/>
    <n v="163286"/>
    <x v="0"/>
    <m/>
    <m/>
    <n v="18461516"/>
    <n v="21171968"/>
    <m/>
    <m/>
    <m/>
    <m/>
    <n v="0"/>
    <m/>
    <m/>
    <n v="0"/>
    <n v="18461516"/>
    <n v="21171968"/>
    <m/>
    <m/>
    <m/>
    <m/>
    <n v="0"/>
    <m/>
    <m/>
    <n v="0"/>
    <m/>
    <m/>
    <m/>
    <m/>
    <m/>
    <m/>
    <n v="18461516"/>
    <n v="21171968"/>
  </r>
  <r>
    <x v="7"/>
    <x v="6"/>
    <s v="Agricultural experiment stations"/>
    <m/>
    <n v="163286"/>
    <x v="0"/>
    <m/>
    <m/>
    <n v="17960463"/>
    <n v="19866063"/>
    <m/>
    <m/>
    <m/>
    <m/>
    <n v="0"/>
    <m/>
    <m/>
    <n v="0"/>
    <n v="17960463"/>
    <n v="19866063"/>
    <m/>
    <m/>
    <m/>
    <m/>
    <n v="0"/>
    <m/>
    <m/>
    <n v="0"/>
    <m/>
    <m/>
    <m/>
    <m/>
    <m/>
    <m/>
    <n v="17960463"/>
    <n v="19866063"/>
  </r>
  <r>
    <x v="7"/>
    <x v="7"/>
    <s v="Research centers/institutes"/>
    <m/>
    <n v="163286"/>
    <x v="0"/>
    <m/>
    <m/>
    <m/>
    <m/>
    <m/>
    <m/>
    <m/>
    <m/>
    <n v="0"/>
    <m/>
    <m/>
    <n v="0"/>
    <n v="0"/>
    <n v="0"/>
    <m/>
    <m/>
    <m/>
    <m/>
    <n v="0"/>
    <m/>
    <m/>
    <n v="0"/>
    <m/>
    <m/>
    <m/>
    <m/>
    <m/>
    <m/>
    <n v="0"/>
    <n v="0"/>
  </r>
  <r>
    <x v="7"/>
    <x v="7"/>
    <s v="Center for Environmental Science"/>
    <m/>
    <n v="163286"/>
    <x v="0"/>
    <m/>
    <m/>
    <n v="20690318"/>
    <n v="22286266"/>
    <m/>
    <m/>
    <m/>
    <m/>
    <n v="0"/>
    <m/>
    <m/>
    <n v="0"/>
    <n v="20690318"/>
    <n v="22286266"/>
    <m/>
    <m/>
    <m/>
    <m/>
    <n v="0"/>
    <m/>
    <m/>
    <n v="0"/>
    <m/>
    <m/>
    <m/>
    <m/>
    <m/>
    <m/>
    <n v="20690318"/>
    <n v="22286266"/>
  </r>
  <r>
    <x v="7"/>
    <x v="0"/>
    <s v="Morgan State University"/>
    <m/>
    <n v="163453"/>
    <x v="1"/>
    <n v="79154399"/>
    <n v="86461363"/>
    <m/>
    <m/>
    <m/>
    <m/>
    <n v="54414089"/>
    <m/>
    <n v="54414089"/>
    <n v="53801452"/>
    <m/>
    <n v="53801452"/>
    <n v="133568488"/>
    <n v="140262815"/>
    <m/>
    <m/>
    <m/>
    <m/>
    <n v="0"/>
    <m/>
    <m/>
    <n v="0"/>
    <m/>
    <m/>
    <m/>
    <m/>
    <m/>
    <m/>
    <n v="133568488"/>
    <n v="140262815"/>
  </r>
  <r>
    <x v="7"/>
    <x v="0"/>
    <s v="University of Maryland, Baltimore County"/>
    <m/>
    <n v="163268"/>
    <x v="1"/>
    <n v="101693896"/>
    <n v="111746438"/>
    <m/>
    <m/>
    <m/>
    <m/>
    <n v="116793825"/>
    <m/>
    <n v="116793825"/>
    <n v="117002045"/>
    <m/>
    <n v="117002045"/>
    <n v="218487721"/>
    <n v="228748483"/>
    <m/>
    <m/>
    <m/>
    <m/>
    <n v="0"/>
    <m/>
    <m/>
    <n v="0"/>
    <m/>
    <m/>
    <m/>
    <m/>
    <m/>
    <m/>
    <n v="218487721"/>
    <n v="228748483"/>
  </r>
  <r>
    <x v="7"/>
    <x v="0"/>
    <s v="Towson University "/>
    <m/>
    <n v="164076"/>
    <x v="2"/>
    <n v="96566963"/>
    <n v="106438718"/>
    <m/>
    <m/>
    <m/>
    <m/>
    <n v="173268169"/>
    <m/>
    <n v="173268169"/>
    <n v="177110609"/>
    <m/>
    <n v="177110609"/>
    <n v="269835132"/>
    <n v="283549327"/>
    <m/>
    <m/>
    <m/>
    <m/>
    <n v="0"/>
    <m/>
    <m/>
    <n v="0"/>
    <m/>
    <m/>
    <m/>
    <m/>
    <m/>
    <m/>
    <n v="269835132"/>
    <n v="283549327"/>
  </r>
  <r>
    <x v="7"/>
    <x v="0"/>
    <s v="Bowie State University "/>
    <m/>
    <n v="162007"/>
    <x v="3"/>
    <n v="38526794"/>
    <n v="41932517"/>
    <m/>
    <m/>
    <m/>
    <m/>
    <n v="35012005"/>
    <m/>
    <n v="35012005"/>
    <n v="35190959"/>
    <m/>
    <n v="35190959"/>
    <n v="73538799"/>
    <n v="77123476"/>
    <m/>
    <m/>
    <m/>
    <m/>
    <n v="0"/>
    <m/>
    <m/>
    <n v="0"/>
    <m/>
    <m/>
    <m/>
    <m/>
    <m/>
    <m/>
    <n v="73538799"/>
    <n v="77123476"/>
  </r>
  <r>
    <x v="7"/>
    <x v="0"/>
    <s v="Frostburg State University "/>
    <m/>
    <n v="162584"/>
    <x v="3"/>
    <n v="35471678"/>
    <n v="38633340"/>
    <m/>
    <m/>
    <m/>
    <m/>
    <n v="34552770"/>
    <m/>
    <n v="34552770"/>
    <n v="35150472"/>
    <m/>
    <n v="35150472"/>
    <n v="70024448"/>
    <n v="73783812"/>
    <m/>
    <m/>
    <m/>
    <m/>
    <n v="0"/>
    <m/>
    <m/>
    <n v="0"/>
    <m/>
    <m/>
    <m/>
    <m/>
    <m/>
    <m/>
    <n v="70024448"/>
    <n v="73783812"/>
  </r>
  <r>
    <x v="7"/>
    <x v="0"/>
    <s v="Salisbury University "/>
    <m/>
    <n v="163851"/>
    <x v="3"/>
    <n v="41820418"/>
    <n v="46401553"/>
    <m/>
    <m/>
    <m/>
    <m/>
    <n v="66800036"/>
    <m/>
    <n v="66800036"/>
    <n v="68618776"/>
    <m/>
    <n v="68618776"/>
    <n v="108620454"/>
    <n v="115020329"/>
    <m/>
    <m/>
    <m/>
    <m/>
    <n v="0"/>
    <m/>
    <m/>
    <n v="0"/>
    <m/>
    <m/>
    <m/>
    <m/>
    <m/>
    <m/>
    <n v="108620454"/>
    <n v="115020329"/>
  </r>
  <r>
    <x v="7"/>
    <x v="0"/>
    <s v="University of Baltimore"/>
    <s v="Met the criteria for Four-Year 3 in 2014-15."/>
    <n v="161873"/>
    <x v="3"/>
    <n v="32059021"/>
    <n v="34554391"/>
    <m/>
    <m/>
    <m/>
    <m/>
    <n v="66277985"/>
    <m/>
    <n v="66277985"/>
    <n v="69242164"/>
    <m/>
    <n v="69242164"/>
    <n v="98337006"/>
    <n v="103796555"/>
    <m/>
    <m/>
    <m/>
    <m/>
    <n v="0"/>
    <m/>
    <m/>
    <n v="0"/>
    <m/>
    <m/>
    <m/>
    <m/>
    <m/>
    <m/>
    <n v="98337006"/>
    <n v="103796555"/>
  </r>
  <r>
    <x v="7"/>
    <x v="0"/>
    <s v="University of Maryland Eastern Shore "/>
    <m/>
    <n v="163338"/>
    <x v="3"/>
    <n v="34933382"/>
    <n v="37832763"/>
    <m/>
    <m/>
    <m/>
    <m/>
    <n v="30511890"/>
    <m/>
    <n v="30511890"/>
    <n v="33864925"/>
    <m/>
    <n v="33864925"/>
    <n v="65445272"/>
    <n v="71697688"/>
    <m/>
    <m/>
    <m/>
    <m/>
    <n v="0"/>
    <m/>
    <m/>
    <n v="0"/>
    <m/>
    <m/>
    <m/>
    <m/>
    <m/>
    <m/>
    <n v="65445272"/>
    <n v="71697688"/>
  </r>
  <r>
    <x v="7"/>
    <x v="0"/>
    <s v="Coppin State University"/>
    <m/>
    <n v="162283"/>
    <x v="4"/>
    <n v="40735563"/>
    <n v="43738571"/>
    <m/>
    <m/>
    <m/>
    <m/>
    <n v="16461784"/>
    <m/>
    <n v="16461784"/>
    <n v="16664769"/>
    <m/>
    <n v="16664769"/>
    <n v="57197347"/>
    <n v="60403340"/>
    <m/>
    <m/>
    <m/>
    <m/>
    <n v="0"/>
    <m/>
    <m/>
    <n v="0"/>
    <m/>
    <m/>
    <m/>
    <m/>
    <m/>
    <m/>
    <n v="57197347"/>
    <n v="60403340"/>
  </r>
  <r>
    <x v="7"/>
    <x v="0"/>
    <s v="Saint Mary's College of Maryland"/>
    <m/>
    <n v="163912"/>
    <x v="5"/>
    <n v="19842642"/>
    <n v="22748058"/>
    <m/>
    <m/>
    <m/>
    <m/>
    <n v="28236502"/>
    <m/>
    <n v="28236502"/>
    <n v="25081307"/>
    <m/>
    <n v="25081307"/>
    <n v="48079144"/>
    <n v="47829365"/>
    <m/>
    <m/>
    <m/>
    <m/>
    <n v="0"/>
    <m/>
    <m/>
    <n v="0"/>
    <m/>
    <m/>
    <m/>
    <m/>
    <m/>
    <m/>
    <n v="48079144"/>
    <n v="47829365"/>
  </r>
  <r>
    <x v="7"/>
    <x v="0"/>
    <s v="Anne Arundel Community College "/>
    <m/>
    <n v="161767"/>
    <x v="6"/>
    <n v="28108493"/>
    <n v="28715483"/>
    <m/>
    <m/>
    <n v="35137700"/>
    <n v="37637700"/>
    <n v="43184164"/>
    <m/>
    <n v="43184164"/>
    <n v="42566000"/>
    <m/>
    <n v="42566000"/>
    <n v="106430357"/>
    <n v="108919183"/>
    <m/>
    <m/>
    <m/>
    <m/>
    <n v="0"/>
    <m/>
    <m/>
    <n v="0"/>
    <m/>
    <m/>
    <m/>
    <m/>
    <m/>
    <m/>
    <n v="106430357"/>
    <n v="108919183"/>
  </r>
  <r>
    <x v="7"/>
    <x v="0"/>
    <s v="College of Southern Maryland"/>
    <m/>
    <n v="162122"/>
    <x v="6"/>
    <n v="12088572"/>
    <n v="12676778"/>
    <m/>
    <m/>
    <n v="17549315"/>
    <n v="17884025"/>
    <n v="31103032"/>
    <m/>
    <n v="31103032"/>
    <n v="30584293"/>
    <m/>
    <n v="30584293"/>
    <n v="60740919"/>
    <n v="61145096"/>
    <m/>
    <m/>
    <m/>
    <m/>
    <n v="0"/>
    <m/>
    <m/>
    <n v="0"/>
    <m/>
    <m/>
    <m/>
    <m/>
    <m/>
    <m/>
    <n v="60740919"/>
    <n v="61145096"/>
  </r>
  <r>
    <x v="7"/>
    <x v="0"/>
    <s v="Community College of Baltimore County"/>
    <m/>
    <n v="434672"/>
    <x v="6"/>
    <n v="37412633"/>
    <n v="38418817"/>
    <m/>
    <m/>
    <n v="38462795"/>
    <n v="39362513"/>
    <n v="81539587"/>
    <m/>
    <n v="81539587"/>
    <n v="85101148"/>
    <m/>
    <n v="85101148"/>
    <n v="157415015"/>
    <n v="162882478"/>
    <m/>
    <m/>
    <m/>
    <m/>
    <n v="0"/>
    <m/>
    <m/>
    <n v="0"/>
    <m/>
    <m/>
    <m/>
    <m/>
    <m/>
    <m/>
    <n v="157415015"/>
    <n v="162882478"/>
  </r>
  <r>
    <x v="7"/>
    <x v="0"/>
    <s v="Howard Community College "/>
    <m/>
    <n v="162779"/>
    <x v="6"/>
    <n v="14073509"/>
    <n v="14772181"/>
    <m/>
    <m/>
    <n v="29131683"/>
    <n v="31000287"/>
    <n v="37906718"/>
    <m/>
    <n v="37906718"/>
    <n v="42225243"/>
    <m/>
    <n v="42225243"/>
    <n v="81111910"/>
    <n v="87997711"/>
    <m/>
    <m/>
    <m/>
    <m/>
    <n v="0"/>
    <m/>
    <m/>
    <n v="0"/>
    <m/>
    <m/>
    <m/>
    <m/>
    <m/>
    <m/>
    <n v="81111910"/>
    <n v="87997711"/>
  </r>
  <r>
    <x v="7"/>
    <x v="0"/>
    <s v="Montgomery College"/>
    <m/>
    <n v="163426"/>
    <x v="6"/>
    <n v="37835547"/>
    <n v="39344241"/>
    <m/>
    <m/>
    <n v="100529527"/>
    <n v="118413727"/>
    <n v="88655706"/>
    <m/>
    <n v="88655706"/>
    <n v="93310041"/>
    <m/>
    <n v="93310041"/>
    <n v="227020780"/>
    <n v="251068009"/>
    <m/>
    <m/>
    <m/>
    <m/>
    <n v="0"/>
    <m/>
    <m/>
    <n v="0"/>
    <m/>
    <m/>
    <m/>
    <m/>
    <m/>
    <m/>
    <n v="227020780"/>
    <n v="251068009"/>
  </r>
  <r>
    <x v="7"/>
    <x v="0"/>
    <s v="Prince George's Community College "/>
    <m/>
    <n v="163657"/>
    <x v="6"/>
    <n v="24412144"/>
    <n v="25210654"/>
    <m/>
    <m/>
    <n v="29131683"/>
    <n v="34345300"/>
    <n v="42586740"/>
    <m/>
    <n v="42586740"/>
    <n v="43657436"/>
    <m/>
    <n v="43657436"/>
    <n v="96130567"/>
    <n v="103213390"/>
    <m/>
    <m/>
    <m/>
    <m/>
    <n v="0"/>
    <m/>
    <m/>
    <n v="0"/>
    <m/>
    <m/>
    <m/>
    <m/>
    <m/>
    <m/>
    <n v="96130567"/>
    <n v="103213390"/>
  </r>
  <r>
    <x v="7"/>
    <x v="0"/>
    <s v="Allegany College of Maryland"/>
    <m/>
    <n v="161688"/>
    <x v="7"/>
    <n v="4773622"/>
    <n v="4850443"/>
    <m/>
    <m/>
    <n v="7555000"/>
    <n v="7555000"/>
    <n v="13765230"/>
    <m/>
    <n v="13765230"/>
    <n v="14160764"/>
    <m/>
    <n v="14160764"/>
    <n v="26093852"/>
    <n v="26566207"/>
    <m/>
    <m/>
    <m/>
    <m/>
    <n v="0"/>
    <m/>
    <m/>
    <n v="0"/>
    <m/>
    <m/>
    <m/>
    <m/>
    <m/>
    <m/>
    <n v="26093852"/>
    <n v="26566207"/>
  </r>
  <r>
    <x v="7"/>
    <x v="0"/>
    <s v="Baltimore City Community College"/>
    <m/>
    <n v="161864"/>
    <x v="7"/>
    <n v="42170243"/>
    <n v="41335121"/>
    <m/>
    <m/>
    <n v="200000"/>
    <n v="0"/>
    <n v="11990405"/>
    <m/>
    <n v="11990405"/>
    <n v="13125313"/>
    <m/>
    <n v="13125313"/>
    <n v="54360648"/>
    <n v="54460434"/>
    <m/>
    <m/>
    <m/>
    <m/>
    <n v="0"/>
    <m/>
    <m/>
    <n v="0"/>
    <m/>
    <m/>
    <m/>
    <m/>
    <m/>
    <m/>
    <n v="54360648"/>
    <n v="54460434"/>
  </r>
  <r>
    <x v="7"/>
    <x v="0"/>
    <s v="Carroll Community College"/>
    <m/>
    <n v="405872"/>
    <x v="7"/>
    <n v="7119212"/>
    <n v="7345653"/>
    <m/>
    <m/>
    <n v="9059436"/>
    <n v="9315270"/>
    <n v="12375599"/>
    <m/>
    <n v="12375599"/>
    <n v="12812298"/>
    <m/>
    <n v="12812298"/>
    <n v="28554247"/>
    <n v="29473221"/>
    <m/>
    <m/>
    <m/>
    <m/>
    <n v="0"/>
    <m/>
    <m/>
    <n v="0"/>
    <m/>
    <m/>
    <m/>
    <m/>
    <m/>
    <m/>
    <n v="28554247"/>
    <n v="29473221"/>
  </r>
  <r>
    <x v="7"/>
    <x v="0"/>
    <s v="Frederick Community College "/>
    <m/>
    <n v="162557"/>
    <x v="7"/>
    <n v="8839216"/>
    <n v="8975284"/>
    <m/>
    <m/>
    <n v="14205683"/>
    <n v="14533897"/>
    <n v="17940603"/>
    <m/>
    <n v="17940603"/>
    <n v="18385267"/>
    <m/>
    <n v="18385267"/>
    <n v="40985502"/>
    <n v="41894448"/>
    <m/>
    <m/>
    <m/>
    <m/>
    <n v="0"/>
    <m/>
    <m/>
    <n v="0"/>
    <m/>
    <m/>
    <m/>
    <m/>
    <m/>
    <m/>
    <n v="40985502"/>
    <n v="41894448"/>
  </r>
  <r>
    <x v="7"/>
    <x v="0"/>
    <s v="Hagerstown Community College "/>
    <m/>
    <n v="162690"/>
    <x v="7"/>
    <n v="7365786"/>
    <n v="7620412"/>
    <m/>
    <m/>
    <n v="8965010"/>
    <n v="8965010"/>
    <n v="15695982"/>
    <m/>
    <n v="15695982"/>
    <n v="16425638"/>
    <m/>
    <n v="16425638"/>
    <n v="32026778"/>
    <n v="33011060"/>
    <m/>
    <m/>
    <m/>
    <m/>
    <n v="0"/>
    <m/>
    <m/>
    <n v="0"/>
    <m/>
    <m/>
    <m/>
    <m/>
    <m/>
    <m/>
    <n v="32026778"/>
    <n v="33011060"/>
  </r>
  <r>
    <x v="7"/>
    <x v="0"/>
    <s v="Harford Community College "/>
    <m/>
    <n v="162706"/>
    <x v="7"/>
    <n v="10345649"/>
    <n v="10690697"/>
    <m/>
    <m/>
    <n v="14961612"/>
    <n v="14961612"/>
    <n v="18068625"/>
    <m/>
    <n v="18068625"/>
    <n v="18983994"/>
    <m/>
    <n v="18983994"/>
    <n v="43375886"/>
    <n v="44636303"/>
    <m/>
    <m/>
    <m/>
    <m/>
    <n v="0"/>
    <m/>
    <m/>
    <n v="0"/>
    <m/>
    <m/>
    <m/>
    <m/>
    <m/>
    <m/>
    <n v="43375886"/>
    <n v="44636303"/>
  </r>
  <r>
    <x v="7"/>
    <x v="0"/>
    <s v="Wor-Wic Community College "/>
    <s v="Met the criteria for Two-Year 3 institution in 2014-15."/>
    <n v="164313"/>
    <x v="7"/>
    <n v="7020911"/>
    <n v="7108241"/>
    <m/>
    <m/>
    <n v="5273134"/>
    <n v="5534684"/>
    <n v="9388457"/>
    <m/>
    <n v="9388457"/>
    <n v="10346788"/>
    <m/>
    <n v="10346788"/>
    <n v="21682502"/>
    <n v="22989713"/>
    <m/>
    <m/>
    <m/>
    <m/>
    <n v="0"/>
    <m/>
    <m/>
    <n v="0"/>
    <m/>
    <m/>
    <m/>
    <m/>
    <m/>
    <m/>
    <n v="21682502"/>
    <n v="22989713"/>
  </r>
  <r>
    <x v="7"/>
    <x v="0"/>
    <s v="Cecil Community College "/>
    <m/>
    <n v="162104"/>
    <x v="8"/>
    <n v="4940229"/>
    <n v="5108064"/>
    <m/>
    <m/>
    <n v="8197009"/>
    <n v="8591940"/>
    <n v="7815450"/>
    <m/>
    <n v="7815450"/>
    <n v="8466306"/>
    <m/>
    <n v="8466306"/>
    <n v="20952688"/>
    <n v="22166310"/>
    <m/>
    <m/>
    <m/>
    <m/>
    <n v="0"/>
    <m/>
    <m/>
    <n v="0"/>
    <m/>
    <m/>
    <m/>
    <m/>
    <m/>
    <m/>
    <n v="20952688"/>
    <n v="22166310"/>
  </r>
  <r>
    <x v="7"/>
    <x v="0"/>
    <s v="Chesapeake College "/>
    <m/>
    <n v="162168"/>
    <x v="8"/>
    <n v="6134108"/>
    <n v="6140798"/>
    <m/>
    <m/>
    <n v="6235591"/>
    <n v="6032732"/>
    <n v="7179311"/>
    <m/>
    <n v="7179311"/>
    <n v="7731184"/>
    <m/>
    <n v="7731184"/>
    <n v="19549010"/>
    <n v="19904714"/>
    <m/>
    <m/>
    <m/>
    <m/>
    <n v="0"/>
    <m/>
    <m/>
    <n v="0"/>
    <m/>
    <m/>
    <m/>
    <m/>
    <m/>
    <m/>
    <n v="19549010"/>
    <n v="19904714"/>
  </r>
  <r>
    <x v="7"/>
    <x v="0"/>
    <s v="Garrett College "/>
    <m/>
    <n v="162609"/>
    <x v="8"/>
    <n v="2497547"/>
    <n v="2561002"/>
    <m/>
    <m/>
    <n v="4559045"/>
    <n v="4738000"/>
    <n v="3804082"/>
    <m/>
    <n v="3804082"/>
    <n v="4067008"/>
    <m/>
    <n v="4067008"/>
    <n v="10860674"/>
    <n v="11366010"/>
    <m/>
    <m/>
    <m/>
    <m/>
    <n v="0"/>
    <m/>
    <m/>
    <n v="0"/>
    <m/>
    <m/>
    <m/>
    <m/>
    <m/>
    <m/>
    <n v="10860674"/>
    <n v="11366010"/>
  </r>
  <r>
    <x v="7"/>
    <x v="9"/>
    <s v="University of Maryland University College"/>
    <m/>
    <n v="163204"/>
    <x v="11"/>
    <m/>
    <m/>
    <m/>
    <m/>
    <m/>
    <m/>
    <m/>
    <m/>
    <n v="0"/>
    <m/>
    <m/>
    <n v="0"/>
    <n v="0"/>
    <n v="0"/>
    <n v="35703567"/>
    <n v="39990223"/>
    <n v="295554884"/>
    <m/>
    <n v="295554884"/>
    <n v="293418178"/>
    <m/>
    <n v="293418178"/>
    <m/>
    <m/>
    <m/>
    <m/>
    <m/>
    <m/>
    <n v="331258451"/>
    <n v="333408401"/>
  </r>
  <r>
    <x v="7"/>
    <x v="41"/>
    <s v="University of Maryland at Baltimore"/>
    <m/>
    <n v="163259"/>
    <x v="11"/>
    <m/>
    <m/>
    <m/>
    <m/>
    <m/>
    <m/>
    <m/>
    <m/>
    <n v="0"/>
    <m/>
    <m/>
    <n v="0"/>
    <n v="0"/>
    <n v="0"/>
    <m/>
    <m/>
    <m/>
    <m/>
    <n v="0"/>
    <m/>
    <m/>
    <n v="0"/>
    <n v="196668425"/>
    <n v="215444453"/>
    <n v="116721059"/>
    <m/>
    <n v="119524902"/>
    <m/>
    <n v="313389484"/>
    <n v="334969355"/>
  </r>
  <r>
    <x v="7"/>
    <x v="13"/>
    <s v="Education special purpose funds — all other"/>
    <m/>
    <m/>
    <x v="12"/>
    <m/>
    <m/>
    <m/>
    <m/>
    <m/>
    <m/>
    <m/>
    <m/>
    <n v="0"/>
    <m/>
    <m/>
    <n v="0"/>
    <n v="0"/>
    <n v="0"/>
    <m/>
    <m/>
    <m/>
    <m/>
    <n v="0"/>
    <m/>
    <m/>
    <n v="0"/>
    <m/>
    <m/>
    <m/>
    <m/>
    <m/>
    <m/>
    <n v="0"/>
    <n v="0"/>
  </r>
  <r>
    <x v="7"/>
    <x v="13"/>
    <s v="Community College Statewide Programs"/>
    <m/>
    <m/>
    <x v="12"/>
    <m/>
    <m/>
    <n v="6000000"/>
    <n v="6000000"/>
    <m/>
    <m/>
    <m/>
    <m/>
    <n v="0"/>
    <m/>
    <m/>
    <n v="0"/>
    <n v="6000000"/>
    <n v="6000000"/>
    <m/>
    <m/>
    <m/>
    <m/>
    <n v="0"/>
    <m/>
    <m/>
    <n v="0"/>
    <m/>
    <m/>
    <m/>
    <m/>
    <m/>
    <m/>
    <n v="6000000"/>
    <n v="6000000"/>
  </r>
  <r>
    <x v="7"/>
    <x v="14"/>
    <s v="Statewide System Operations"/>
    <m/>
    <m/>
    <x v="12"/>
    <m/>
    <m/>
    <m/>
    <m/>
    <m/>
    <m/>
    <m/>
    <m/>
    <n v="0"/>
    <m/>
    <m/>
    <n v="0"/>
    <n v="0"/>
    <n v="0"/>
    <m/>
    <m/>
    <m/>
    <m/>
    <n v="0"/>
    <m/>
    <m/>
    <n v="0"/>
    <m/>
    <m/>
    <m/>
    <m/>
    <m/>
    <m/>
    <n v="0"/>
    <n v="0"/>
  </r>
  <r>
    <x v="7"/>
    <x v="15"/>
    <s v="Colleges and universities"/>
    <m/>
    <m/>
    <x v="12"/>
    <m/>
    <m/>
    <m/>
    <m/>
    <m/>
    <m/>
    <m/>
    <m/>
    <n v="0"/>
    <m/>
    <m/>
    <n v="0"/>
    <n v="0"/>
    <n v="0"/>
    <m/>
    <m/>
    <m/>
    <m/>
    <n v="0"/>
    <m/>
    <m/>
    <n v="0"/>
    <m/>
    <m/>
    <m/>
    <m/>
    <m/>
    <m/>
    <n v="0"/>
    <n v="0"/>
  </r>
  <r>
    <x v="7"/>
    <x v="15"/>
    <s v="Univ MD System Adm"/>
    <m/>
    <m/>
    <x v="12"/>
    <m/>
    <m/>
    <m/>
    <m/>
    <m/>
    <m/>
    <m/>
    <m/>
    <n v="0"/>
    <m/>
    <m/>
    <n v="0"/>
    <n v="0"/>
    <n v="0"/>
    <n v="11344933"/>
    <n v="12537133"/>
    <m/>
    <m/>
    <n v="0"/>
    <m/>
    <m/>
    <n v="0"/>
    <m/>
    <m/>
    <m/>
    <m/>
    <m/>
    <m/>
    <n v="11344933"/>
    <n v="12537133"/>
  </r>
  <r>
    <x v="7"/>
    <x v="15"/>
    <s v="Md Commission on Higher Education"/>
    <m/>
    <m/>
    <x v="12"/>
    <m/>
    <m/>
    <m/>
    <m/>
    <m/>
    <m/>
    <m/>
    <m/>
    <n v="0"/>
    <m/>
    <m/>
    <n v="0"/>
    <n v="0"/>
    <n v="0"/>
    <n v="5111019"/>
    <n v="5082567"/>
    <m/>
    <m/>
    <n v="0"/>
    <m/>
    <m/>
    <n v="0"/>
    <m/>
    <m/>
    <m/>
    <m/>
    <m/>
    <m/>
    <n v="5111019"/>
    <n v="5082567"/>
  </r>
  <r>
    <x v="7"/>
    <x v="17"/>
    <s v="National or regional associations, compacts or consortia"/>
    <m/>
    <m/>
    <x v="12"/>
    <m/>
    <m/>
    <m/>
    <m/>
    <m/>
    <m/>
    <m/>
    <m/>
    <n v="0"/>
    <m/>
    <m/>
    <n v="0"/>
    <n v="0"/>
    <n v="0"/>
    <m/>
    <m/>
    <m/>
    <m/>
    <n v="0"/>
    <m/>
    <m/>
    <n v="0"/>
    <m/>
    <m/>
    <m/>
    <m/>
    <m/>
    <m/>
    <n v="0"/>
    <n v="0"/>
  </r>
  <r>
    <x v="7"/>
    <x v="17"/>
    <s v="SREB"/>
    <m/>
    <m/>
    <x v="12"/>
    <m/>
    <m/>
    <m/>
    <m/>
    <m/>
    <m/>
    <m/>
    <m/>
    <n v="0"/>
    <m/>
    <m/>
    <n v="0"/>
    <n v="0"/>
    <n v="0"/>
    <m/>
    <m/>
    <m/>
    <m/>
    <n v="0"/>
    <m/>
    <m/>
    <n v="0"/>
    <m/>
    <m/>
    <m/>
    <m/>
    <m/>
    <m/>
    <n v="0"/>
    <n v="0"/>
  </r>
  <r>
    <x v="7"/>
    <x v="18"/>
    <s v="Adm. of Statewide Student Aid Progs. (incldng centralized guaranteed student loans)"/>
    <m/>
    <m/>
    <x v="12"/>
    <m/>
    <m/>
    <m/>
    <m/>
    <m/>
    <m/>
    <m/>
    <m/>
    <n v="0"/>
    <m/>
    <m/>
    <n v="0"/>
    <n v="0"/>
    <n v="0"/>
    <m/>
    <m/>
    <m/>
    <m/>
    <n v="0"/>
    <m/>
    <m/>
    <n v="0"/>
    <m/>
    <m/>
    <m/>
    <m/>
    <m/>
    <m/>
    <n v="0"/>
    <n v="0"/>
  </r>
  <r>
    <x v="7"/>
    <x v="19"/>
    <s v="State Support to Private Colleges Other Than Student Aid"/>
    <m/>
    <m/>
    <x v="12"/>
    <m/>
    <m/>
    <m/>
    <m/>
    <m/>
    <m/>
    <m/>
    <m/>
    <n v="0"/>
    <m/>
    <m/>
    <n v="0"/>
    <n v="0"/>
    <n v="0"/>
    <n v="41291975"/>
    <n v="41422240"/>
    <m/>
    <m/>
    <n v="0"/>
    <m/>
    <m/>
    <n v="0"/>
    <m/>
    <m/>
    <m/>
    <m/>
    <m/>
    <m/>
    <n v="41291975"/>
    <n v="41422240"/>
  </r>
  <r>
    <x v="7"/>
    <x v="20"/>
    <s v="Contract Education Programs"/>
    <m/>
    <m/>
    <x v="12"/>
    <m/>
    <m/>
    <m/>
    <m/>
    <m/>
    <m/>
    <m/>
    <m/>
    <n v="0"/>
    <m/>
    <m/>
    <n v="0"/>
    <n v="0"/>
    <n v="0"/>
    <m/>
    <m/>
    <m/>
    <m/>
    <n v="0"/>
    <m/>
    <m/>
    <n v="0"/>
    <m/>
    <m/>
    <m/>
    <m/>
    <m/>
    <m/>
    <n v="0"/>
    <n v="0"/>
  </r>
  <r>
    <x v="7"/>
    <x v="21"/>
    <s v="SREB contract program with private colleges"/>
    <m/>
    <m/>
    <x v="12"/>
    <m/>
    <m/>
    <m/>
    <m/>
    <m/>
    <m/>
    <m/>
    <m/>
    <n v="0"/>
    <m/>
    <m/>
    <n v="0"/>
    <n v="0"/>
    <n v="0"/>
    <m/>
    <m/>
    <m/>
    <m/>
    <n v="0"/>
    <m/>
    <m/>
    <n v="0"/>
    <m/>
    <m/>
    <m/>
    <m/>
    <m/>
    <m/>
    <n v="0"/>
    <n v="0"/>
  </r>
  <r>
    <x v="7"/>
    <x v="22"/>
    <s v="SREB contract program with public colleges"/>
    <m/>
    <m/>
    <x v="12"/>
    <m/>
    <m/>
    <m/>
    <m/>
    <m/>
    <m/>
    <m/>
    <m/>
    <n v="0"/>
    <m/>
    <m/>
    <n v="0"/>
    <n v="0"/>
    <n v="0"/>
    <m/>
    <m/>
    <m/>
    <m/>
    <n v="0"/>
    <m/>
    <m/>
    <n v="0"/>
    <m/>
    <m/>
    <m/>
    <m/>
    <m/>
    <m/>
    <n v="0"/>
    <n v="0"/>
  </r>
  <r>
    <x v="7"/>
    <x v="23"/>
    <s v="Other contract education programs"/>
    <m/>
    <m/>
    <x v="12"/>
    <m/>
    <m/>
    <m/>
    <m/>
    <m/>
    <m/>
    <m/>
    <m/>
    <n v="0"/>
    <m/>
    <m/>
    <n v="0"/>
    <n v="0"/>
    <n v="0"/>
    <m/>
    <m/>
    <m/>
    <m/>
    <n v="0"/>
    <m/>
    <m/>
    <n v="0"/>
    <m/>
    <m/>
    <m/>
    <m/>
    <m/>
    <m/>
    <n v="0"/>
    <n v="0"/>
  </r>
  <r>
    <x v="7"/>
    <x v="24"/>
    <s v="Statewide Student Financial Aid Programs Administered Off Campus"/>
    <m/>
    <m/>
    <x v="12"/>
    <m/>
    <m/>
    <m/>
    <m/>
    <m/>
    <m/>
    <m/>
    <m/>
    <n v="0"/>
    <m/>
    <m/>
    <n v="0"/>
    <n v="0"/>
    <n v="0"/>
    <m/>
    <m/>
    <m/>
    <m/>
    <n v="0"/>
    <m/>
    <m/>
    <n v="0"/>
    <m/>
    <m/>
    <m/>
    <m/>
    <m/>
    <m/>
    <n v="0"/>
    <n v="0"/>
  </r>
  <r>
    <x v="7"/>
    <x v="25"/>
    <s v="Available to public &amp; private sector students"/>
    <m/>
    <m/>
    <x v="12"/>
    <m/>
    <m/>
    <m/>
    <m/>
    <m/>
    <m/>
    <m/>
    <m/>
    <n v="0"/>
    <m/>
    <m/>
    <n v="0"/>
    <n v="0"/>
    <n v="0"/>
    <m/>
    <m/>
    <m/>
    <m/>
    <n v="0"/>
    <m/>
    <m/>
    <n v="0"/>
    <m/>
    <m/>
    <m/>
    <m/>
    <m/>
    <m/>
    <n v="0"/>
    <n v="0"/>
  </r>
  <r>
    <x v="7"/>
    <x v="25"/>
    <s v="Campus-Based Educational Assistance Grant"/>
    <m/>
    <m/>
    <x v="12"/>
    <m/>
    <m/>
    <m/>
    <m/>
    <m/>
    <m/>
    <m/>
    <m/>
    <n v="0"/>
    <m/>
    <m/>
    <n v="0"/>
    <n v="0"/>
    <n v="0"/>
    <m/>
    <m/>
    <m/>
    <m/>
    <n v="0"/>
    <m/>
    <m/>
    <n v="0"/>
    <m/>
    <m/>
    <m/>
    <m/>
    <m/>
    <m/>
    <n v="0"/>
    <n v="0"/>
  </r>
  <r>
    <x v="7"/>
    <x v="26"/>
    <s v="Need-based"/>
    <m/>
    <m/>
    <x v="12"/>
    <m/>
    <m/>
    <m/>
    <m/>
    <m/>
    <m/>
    <m/>
    <m/>
    <n v="0"/>
    <m/>
    <m/>
    <n v="0"/>
    <n v="0"/>
    <n v="0"/>
    <m/>
    <m/>
    <m/>
    <m/>
    <n v="0"/>
    <m/>
    <m/>
    <n v="0"/>
    <m/>
    <m/>
    <m/>
    <m/>
    <m/>
    <m/>
    <n v="0"/>
    <n v="0"/>
  </r>
  <r>
    <x v="7"/>
    <x v="27"/>
    <s v="Non 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1258575"/>
    <n v="1335500"/>
    <m/>
    <m/>
    <n v="0"/>
    <m/>
    <m/>
    <n v="0"/>
    <m/>
    <m/>
    <m/>
    <m/>
    <m/>
    <m/>
    <n v="1258575"/>
    <n v="1335500"/>
  </r>
  <r>
    <x v="7"/>
    <x v="27"/>
    <s v="Non need-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78800"/>
    <n v="86750"/>
    <m/>
    <m/>
    <n v="0"/>
    <m/>
    <m/>
    <n v="0"/>
    <m/>
    <m/>
    <m/>
    <m/>
    <m/>
    <m/>
    <n v="78800"/>
    <n v="86750"/>
  </r>
  <r>
    <x v="7"/>
    <x v="27"/>
    <s v="Non need-based"/>
    <m/>
    <m/>
    <x v="12"/>
    <m/>
    <m/>
    <m/>
    <m/>
    <m/>
    <m/>
    <m/>
    <m/>
    <n v="0"/>
    <m/>
    <m/>
    <n v="0"/>
    <n v="0"/>
    <n v="0"/>
    <m/>
    <m/>
    <m/>
    <m/>
    <n v="0"/>
    <m/>
    <m/>
    <n v="0"/>
    <m/>
    <m/>
    <m/>
    <m/>
    <m/>
    <m/>
    <n v="0"/>
    <n v="0"/>
  </r>
  <r>
    <x v="7"/>
    <x v="25"/>
    <s v="Educational Excellence Awards"/>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68657528"/>
    <n v="54183450"/>
    <m/>
    <m/>
    <n v="0"/>
    <m/>
    <m/>
    <n v="0"/>
    <m/>
    <m/>
    <m/>
    <m/>
    <m/>
    <m/>
    <n v="68657528"/>
    <n v="54183450"/>
  </r>
  <r>
    <x v="7"/>
    <x v="27"/>
    <s v="Non need-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5329700"/>
    <n v="7199300"/>
    <m/>
    <m/>
    <n v="0"/>
    <m/>
    <m/>
    <n v="0"/>
    <m/>
    <m/>
    <m/>
    <m/>
    <m/>
    <m/>
    <n v="15329700"/>
    <n v="7199300"/>
  </r>
  <r>
    <x v="7"/>
    <x v="27"/>
    <s v="Non need-based"/>
    <m/>
    <m/>
    <x v="12"/>
    <m/>
    <m/>
    <m/>
    <m/>
    <m/>
    <m/>
    <m/>
    <m/>
    <n v="0"/>
    <m/>
    <m/>
    <n v="0"/>
    <n v="0"/>
    <n v="0"/>
    <m/>
    <m/>
    <m/>
    <m/>
    <n v="0"/>
    <m/>
    <m/>
    <n v="0"/>
    <m/>
    <m/>
    <m/>
    <m/>
    <m/>
    <m/>
    <n v="0"/>
    <n v="0"/>
  </r>
  <r>
    <x v="7"/>
    <x v="25"/>
    <s v="Senatorial Scholarship"/>
    <m/>
    <m/>
    <x v="12"/>
    <m/>
    <m/>
    <m/>
    <m/>
    <m/>
    <m/>
    <m/>
    <m/>
    <n v="0"/>
    <m/>
    <m/>
    <n v="0"/>
    <n v="0"/>
    <n v="0"/>
    <m/>
    <m/>
    <m/>
    <m/>
    <n v="0"/>
    <m/>
    <m/>
    <n v="0"/>
    <m/>
    <m/>
    <m/>
    <m/>
    <m/>
    <m/>
    <n v="0"/>
    <n v="0"/>
  </r>
  <r>
    <x v="7"/>
    <x v="26"/>
    <s v="Need-based"/>
    <m/>
    <m/>
    <x v="12"/>
    <m/>
    <m/>
    <m/>
    <m/>
    <m/>
    <m/>
    <m/>
    <m/>
    <n v="0"/>
    <m/>
    <m/>
    <n v="0"/>
    <n v="0"/>
    <n v="0"/>
    <m/>
    <m/>
    <m/>
    <m/>
    <n v="0"/>
    <m/>
    <m/>
    <n v="0"/>
    <m/>
    <m/>
    <m/>
    <m/>
    <m/>
    <m/>
    <n v="0"/>
    <n v="0"/>
  </r>
  <r>
    <x v="7"/>
    <x v="27"/>
    <s v="Non 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5665833"/>
    <n v="6192571"/>
    <m/>
    <m/>
    <n v="0"/>
    <m/>
    <m/>
    <n v="0"/>
    <m/>
    <m/>
    <m/>
    <m/>
    <m/>
    <m/>
    <n v="5665833"/>
    <n v="6192571"/>
  </r>
  <r>
    <x v="7"/>
    <x v="27"/>
    <s v="Non need-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115125"/>
    <n v="1175550"/>
    <m/>
    <m/>
    <n v="0"/>
    <m/>
    <m/>
    <n v="0"/>
    <m/>
    <m/>
    <m/>
    <m/>
    <m/>
    <m/>
    <n v="1115125"/>
    <n v="1175550"/>
  </r>
  <r>
    <x v="7"/>
    <x v="27"/>
    <s v="Non need-based"/>
    <m/>
    <m/>
    <x v="12"/>
    <m/>
    <m/>
    <m/>
    <m/>
    <m/>
    <m/>
    <m/>
    <m/>
    <n v="0"/>
    <m/>
    <m/>
    <n v="0"/>
    <n v="0"/>
    <n v="0"/>
    <m/>
    <m/>
    <m/>
    <m/>
    <n v="0"/>
    <m/>
    <m/>
    <n v="0"/>
    <m/>
    <m/>
    <m/>
    <m/>
    <m/>
    <m/>
    <n v="0"/>
    <n v="0"/>
  </r>
  <r>
    <x v="7"/>
    <x v="25"/>
    <s v="Edward Conroy Grant"/>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516032"/>
    <n v="590845"/>
    <m/>
    <m/>
    <n v="0"/>
    <m/>
    <m/>
    <n v="0"/>
    <m/>
    <m/>
    <m/>
    <m/>
    <m/>
    <m/>
    <n v="516032"/>
    <n v="590845"/>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70062"/>
    <n v="139889"/>
    <m/>
    <m/>
    <n v="0"/>
    <m/>
    <m/>
    <n v="0"/>
    <m/>
    <m/>
    <m/>
    <m/>
    <m/>
    <m/>
    <n v="70062"/>
    <n v="139889"/>
  </r>
  <r>
    <x v="7"/>
    <x v="25"/>
    <s v="Delegate Scholarship"/>
    <m/>
    <m/>
    <x v="12"/>
    <m/>
    <m/>
    <m/>
    <m/>
    <m/>
    <m/>
    <m/>
    <m/>
    <n v="0"/>
    <m/>
    <m/>
    <n v="0"/>
    <n v="0"/>
    <n v="0"/>
    <m/>
    <m/>
    <m/>
    <m/>
    <n v="0"/>
    <m/>
    <m/>
    <n v="0"/>
    <m/>
    <m/>
    <m/>
    <m/>
    <m/>
    <m/>
    <n v="0"/>
    <n v="0"/>
  </r>
  <r>
    <x v="7"/>
    <x v="26"/>
    <s v="Need-based"/>
    <m/>
    <m/>
    <x v="12"/>
    <m/>
    <m/>
    <m/>
    <m/>
    <m/>
    <m/>
    <m/>
    <m/>
    <n v="0"/>
    <m/>
    <m/>
    <n v="0"/>
    <n v="0"/>
    <n v="0"/>
    <m/>
    <m/>
    <m/>
    <m/>
    <n v="0"/>
    <m/>
    <m/>
    <n v="0"/>
    <m/>
    <m/>
    <m/>
    <m/>
    <m/>
    <m/>
    <n v="0"/>
    <n v="0"/>
  </r>
  <r>
    <x v="7"/>
    <x v="27"/>
    <s v="Non 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4348007"/>
    <n v="4835122"/>
    <m/>
    <m/>
    <n v="0"/>
    <m/>
    <m/>
    <n v="0"/>
    <m/>
    <m/>
    <m/>
    <m/>
    <m/>
    <m/>
    <n v="4348007"/>
    <n v="4835122"/>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799919"/>
    <n v="818626"/>
    <m/>
    <m/>
    <n v="0"/>
    <m/>
    <m/>
    <n v="0"/>
    <m/>
    <m/>
    <m/>
    <m/>
    <m/>
    <m/>
    <n v="799919"/>
    <n v="818626"/>
  </r>
  <r>
    <x v="7"/>
    <x v="25"/>
    <s v="Firemen's Tuition Reimbursement"/>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330692"/>
    <n v="257228"/>
    <m/>
    <m/>
    <n v="0"/>
    <m/>
    <m/>
    <n v="0"/>
    <m/>
    <m/>
    <m/>
    <m/>
    <m/>
    <m/>
    <n v="330692"/>
    <n v="257228"/>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m/>
    <m/>
    <m/>
    <m/>
    <n v="0"/>
    <m/>
    <m/>
    <n v="0"/>
    <m/>
    <m/>
    <m/>
    <m/>
    <m/>
    <m/>
    <n v="0"/>
    <n v="0"/>
  </r>
  <r>
    <x v="7"/>
    <x v="25"/>
    <s v="Distinguished Scholar Awar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179000"/>
    <n v="619500"/>
    <m/>
    <m/>
    <n v="0"/>
    <m/>
    <m/>
    <n v="0"/>
    <m/>
    <m/>
    <m/>
    <m/>
    <m/>
    <m/>
    <n v="1179000"/>
    <n v="61950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262500"/>
    <n v="136500"/>
    <m/>
    <m/>
    <n v="0"/>
    <m/>
    <m/>
    <n v="0"/>
    <m/>
    <m/>
    <m/>
    <m/>
    <m/>
    <m/>
    <n v="262500"/>
    <n v="136500"/>
  </r>
  <r>
    <x v="7"/>
    <x v="25"/>
    <s v="Jack F. Tolbert Memorial Student Grant Program"/>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17000"/>
    <n v="121000"/>
    <m/>
    <m/>
    <n v="0"/>
    <m/>
    <m/>
    <n v="0"/>
    <m/>
    <m/>
    <m/>
    <m/>
    <m/>
    <m/>
    <n v="117000"/>
    <n v="121000"/>
  </r>
  <r>
    <x v="7"/>
    <x v="33"/>
    <s v="Non-need based"/>
    <m/>
    <m/>
    <x v="12"/>
    <m/>
    <m/>
    <m/>
    <m/>
    <m/>
    <m/>
    <m/>
    <m/>
    <n v="0"/>
    <m/>
    <m/>
    <n v="0"/>
    <n v="0"/>
    <n v="0"/>
    <m/>
    <m/>
    <m/>
    <m/>
    <n v="0"/>
    <m/>
    <m/>
    <n v="0"/>
    <m/>
    <m/>
    <m/>
    <m/>
    <m/>
    <m/>
    <n v="0"/>
    <n v="0"/>
  </r>
  <r>
    <x v="7"/>
    <x v="25"/>
    <s v="Child Care Providers Scholarship"/>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m/>
    <m/>
    <m/>
    <m/>
    <n v="0"/>
    <m/>
    <m/>
    <n v="0"/>
    <m/>
    <m/>
    <m/>
    <m/>
    <m/>
    <m/>
    <n v="0"/>
    <n v="0"/>
  </r>
  <r>
    <x v="7"/>
    <x v="25"/>
    <s v="Developmental Disabilities, Mental Health, Child Welfare, and Juvenile Justice Workforce Tuition Assistance Program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m/>
    <m/>
    <m/>
    <m/>
    <n v="0"/>
    <m/>
    <m/>
    <n v="0"/>
    <m/>
    <m/>
    <m/>
    <m/>
    <m/>
    <m/>
    <n v="0"/>
    <n v="0"/>
  </r>
  <r>
    <x v="7"/>
    <x v="25"/>
    <s v="Distinguished Scholar Community College Transfer Program"/>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m/>
    <m/>
    <m/>
    <m/>
    <n v="0"/>
    <m/>
    <m/>
    <n v="0"/>
    <m/>
    <m/>
    <m/>
    <m/>
    <m/>
    <m/>
    <n v="0"/>
    <n v="0"/>
  </r>
  <r>
    <x v="7"/>
    <x v="25"/>
    <s v="Gear Up Scholarship"/>
    <m/>
    <m/>
    <x v="12"/>
    <m/>
    <m/>
    <m/>
    <m/>
    <m/>
    <m/>
    <m/>
    <m/>
    <n v="0"/>
    <m/>
    <m/>
    <n v="0"/>
    <n v="0"/>
    <n v="0"/>
    <m/>
    <m/>
    <m/>
    <m/>
    <n v="0"/>
    <m/>
    <m/>
    <n v="0"/>
    <m/>
    <m/>
    <m/>
    <m/>
    <m/>
    <m/>
    <n v="0"/>
    <n v="0"/>
  </r>
  <r>
    <x v="7"/>
    <x v="26"/>
    <s v="Need-based"/>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0700"/>
    <m/>
    <m/>
    <m/>
    <n v="0"/>
    <m/>
    <m/>
    <n v="0"/>
    <m/>
    <m/>
    <m/>
    <m/>
    <m/>
    <m/>
    <n v="10700"/>
    <n v="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1000"/>
    <m/>
    <m/>
    <m/>
    <n v="0"/>
    <m/>
    <m/>
    <n v="0"/>
    <m/>
    <m/>
    <m/>
    <m/>
    <m/>
    <m/>
    <n v="1000"/>
    <n v="0"/>
  </r>
  <r>
    <x v="7"/>
    <x v="25"/>
    <s v="Graduate Nursing Faculy Scholarship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662642"/>
    <n v="600763"/>
    <m/>
    <m/>
    <n v="0"/>
    <m/>
    <m/>
    <n v="0"/>
    <m/>
    <m/>
    <m/>
    <m/>
    <m/>
    <m/>
    <n v="662642"/>
    <n v="600763"/>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458682"/>
    <n v="815347"/>
    <m/>
    <m/>
    <n v="0"/>
    <m/>
    <m/>
    <n v="0"/>
    <m/>
    <m/>
    <m/>
    <m/>
    <m/>
    <m/>
    <n v="458682"/>
    <n v="815347"/>
  </r>
  <r>
    <x v="7"/>
    <x v="25"/>
    <s v="Graduate Nursing Faculy Living Expenses Grant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409375"/>
    <n v="125000"/>
    <m/>
    <m/>
    <n v="0"/>
    <m/>
    <m/>
    <n v="0"/>
    <m/>
    <m/>
    <m/>
    <m/>
    <m/>
    <m/>
    <n v="409375"/>
    <n v="125000"/>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156250"/>
    <n v="68750"/>
    <m/>
    <m/>
    <n v="0"/>
    <m/>
    <m/>
    <n v="0"/>
    <m/>
    <m/>
    <m/>
    <m/>
    <m/>
    <m/>
    <n v="156250"/>
    <n v="68750"/>
  </r>
  <r>
    <x v="7"/>
    <x v="25"/>
    <s v="Veterans of Afghanistan and Iraq Conflicts Scholarship "/>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m/>
    <m/>
    <m/>
    <m/>
    <n v="0"/>
    <m/>
    <m/>
    <n v="0"/>
    <m/>
    <m/>
    <m/>
    <m/>
    <m/>
    <m/>
    <n v="0"/>
    <n v="0"/>
  </r>
  <r>
    <x v="7"/>
    <x v="30"/>
    <s v="Non-need based"/>
    <m/>
    <m/>
    <x v="12"/>
    <m/>
    <m/>
    <m/>
    <m/>
    <m/>
    <m/>
    <m/>
    <m/>
    <n v="0"/>
    <m/>
    <m/>
    <n v="0"/>
    <n v="0"/>
    <n v="0"/>
    <n v="1185913"/>
    <n v="1302485"/>
    <m/>
    <m/>
    <n v="0"/>
    <m/>
    <m/>
    <n v="0"/>
    <m/>
    <m/>
    <m/>
    <m/>
    <m/>
    <m/>
    <n v="1185913"/>
    <n v="1302485"/>
  </r>
  <r>
    <x v="7"/>
    <x v="31"/>
    <s v="Amount to private sector students"/>
    <m/>
    <m/>
    <x v="12"/>
    <m/>
    <m/>
    <m/>
    <m/>
    <m/>
    <m/>
    <m/>
    <m/>
    <n v="0"/>
    <m/>
    <m/>
    <n v="0"/>
    <n v="0"/>
    <n v="0"/>
    <m/>
    <m/>
    <m/>
    <m/>
    <n v="0"/>
    <m/>
    <m/>
    <n v="0"/>
    <m/>
    <m/>
    <m/>
    <m/>
    <m/>
    <m/>
    <n v="0"/>
    <n v="0"/>
  </r>
  <r>
    <x v="7"/>
    <x v="32"/>
    <s v="Need-based"/>
    <m/>
    <m/>
    <x v="12"/>
    <m/>
    <m/>
    <m/>
    <m/>
    <m/>
    <m/>
    <m/>
    <m/>
    <n v="0"/>
    <m/>
    <m/>
    <n v="0"/>
    <n v="0"/>
    <n v="0"/>
    <m/>
    <m/>
    <m/>
    <m/>
    <n v="0"/>
    <m/>
    <m/>
    <n v="0"/>
    <m/>
    <m/>
    <m/>
    <m/>
    <m/>
    <m/>
    <n v="0"/>
    <n v="0"/>
  </r>
  <r>
    <x v="7"/>
    <x v="33"/>
    <s v="Non-need based"/>
    <m/>
    <m/>
    <x v="12"/>
    <m/>
    <m/>
    <m/>
    <m/>
    <m/>
    <m/>
    <m/>
    <m/>
    <n v="0"/>
    <m/>
    <m/>
    <n v="0"/>
    <n v="0"/>
    <n v="0"/>
    <n v="165058"/>
    <n v="126292"/>
    <m/>
    <m/>
    <n v="0"/>
    <m/>
    <m/>
    <n v="0"/>
    <m/>
    <m/>
    <m/>
    <m/>
    <m/>
    <m/>
    <n v="165058"/>
    <n v="126292"/>
  </r>
  <r>
    <x v="7"/>
    <x v="25"/>
    <s v="Workforce Shortage Student Assistance Grant"/>
    <m/>
    <m/>
    <x v="12"/>
    <m/>
    <m/>
    <m/>
    <m/>
    <m/>
    <m/>
    <m/>
    <m/>
    <n v="0"/>
    <m/>
    <m/>
    <n v="0"/>
    <n v="0"/>
    <n v="0"/>
    <m/>
    <m/>
    <m/>
    <m/>
    <n v="0"/>
    <m/>
    <m/>
    <n v="0"/>
    <m/>
    <m/>
    <m/>
    <m/>
    <m/>
    <m/>
    <n v="0"/>
    <n v="0"/>
  </r>
  <r>
    <x v="7"/>
    <x v="28"/>
    <s v="Amount to public sector students"/>
    <m/>
    <m/>
    <x v="12"/>
    <m/>
    <m/>
    <m/>
    <m/>
    <m/>
    <m/>
    <m/>
    <m/>
    <n v="0"/>
    <m/>
    <m/>
    <n v="0"/>
    <n v="0"/>
    <n v="0"/>
    <m/>
    <m/>
    <m/>
    <m/>
    <n v="0"/>
    <m/>
    <m/>
    <n v="0"/>
    <m/>
    <m/>
    <m/>
    <m/>
    <m/>
    <m/>
    <n v="0"/>
    <n v="0"/>
  </r>
  <r>
    <x v="7"/>
    <x v="29"/>
    <s v="Need-based"/>
    <m/>
    <m/>
    <x v="12"/>
    <m/>
    <m/>
    <m/>
    <m/>
    <m/>
    <m/>
    <m/>
    <m/>
    <n v="0"/>
    <m/>
    <m/>
    <n v="0"/>
    <n v="0"/>
    <n v="0"/>
    <n v="570250"/>
    <n v="825500"/>
    <m/>
    <m/>
    <n v="0"/>
    <m/>
    <m/>
    <n v="0"/>
    <m/>
    <m/>
    <m/>
    <m/>
    <m/>
    <m/>
    <n v="570250"/>
    <n v="825500"/>
  </r>
  <r>
    <x v="7"/>
    <x v="30"/>
    <s v="Non-need based"/>
    <m/>
    <m/>
    <x v="12"/>
    <m/>
    <m/>
    <m/>
    <m/>
    <m/>
    <m/>
    <m/>
    <m/>
    <n v="0"/>
    <m/>
    <m/>
    <n v="0"/>
    <n v="0"/>
    <n v="0"/>
    <m/>
    <m/>
    <m/>
    <m/>
    <n v="0"/>
    <m/>
    <m/>
    <n v="0"/>
    <m/>
    <m/>
    <m/>
    <m/>
    <m/>
    <m/>
    <n v="0"/>
    <n v="0"/>
  </r>
  <r>
    <x v="7"/>
    <x v="31"/>
    <s v="Amount to private sector students"/>
    <m/>
    <m/>
    <x v="12"/>
    <m/>
    <m/>
    <m/>
    <m/>
    <m/>
    <m/>
    <m/>
    <m/>
    <n v="0"/>
    <m/>
    <m/>
    <n v="0"/>
    <n v="0"/>
    <n v="0"/>
    <m/>
    <m/>
    <m/>
    <m/>
    <n v="0"/>
    <m/>
    <m/>
    <n v="0"/>
    <m/>
    <m/>
    <m/>
    <m/>
    <m/>
    <m/>
    <n v="0"/>
    <n v="0"/>
  </r>
  <r>
    <x v="7"/>
    <x v="32"/>
    <s v="Need-based"/>
    <m/>
    <m/>
    <x v="12"/>
    <m/>
    <m/>
    <m/>
    <m/>
    <m/>
    <m/>
    <m/>
    <m/>
    <n v="0"/>
    <m/>
    <m/>
    <n v="0"/>
    <n v="0"/>
    <n v="0"/>
    <n v="175500"/>
    <n v="243000"/>
    <m/>
    <m/>
    <n v="0"/>
    <m/>
    <m/>
    <n v="0"/>
    <m/>
    <m/>
    <m/>
    <m/>
    <m/>
    <m/>
    <n v="175500"/>
    <n v="243000"/>
  </r>
  <r>
    <x v="7"/>
    <x v="33"/>
    <s v="Non-need based"/>
    <m/>
    <m/>
    <x v="12"/>
    <m/>
    <m/>
    <m/>
    <m/>
    <m/>
    <m/>
    <m/>
    <m/>
    <n v="0"/>
    <m/>
    <m/>
    <n v="0"/>
    <n v="0"/>
    <n v="0"/>
    <m/>
    <m/>
    <m/>
    <m/>
    <n v="0"/>
    <m/>
    <m/>
    <n v="0"/>
    <m/>
    <m/>
    <m/>
    <m/>
    <m/>
    <m/>
    <n v="0"/>
    <n v="0"/>
  </r>
  <r>
    <x v="7"/>
    <x v="34"/>
    <s v="Limited to public college students only"/>
    <m/>
    <m/>
    <x v="12"/>
    <m/>
    <m/>
    <m/>
    <m/>
    <m/>
    <m/>
    <m/>
    <m/>
    <n v="0"/>
    <m/>
    <m/>
    <n v="0"/>
    <n v="0"/>
    <n v="0"/>
    <m/>
    <m/>
    <m/>
    <m/>
    <n v="0"/>
    <m/>
    <m/>
    <n v="0"/>
    <m/>
    <m/>
    <m/>
    <m/>
    <m/>
    <m/>
    <n v="0"/>
    <n v="0"/>
  </r>
  <r>
    <x v="7"/>
    <x v="35"/>
    <s v="Need-based"/>
    <m/>
    <m/>
    <x v="12"/>
    <m/>
    <m/>
    <m/>
    <m/>
    <m/>
    <m/>
    <m/>
    <m/>
    <n v="0"/>
    <m/>
    <m/>
    <n v="0"/>
    <n v="0"/>
    <n v="0"/>
    <m/>
    <n v="62537021"/>
    <m/>
    <m/>
    <n v="0"/>
    <m/>
    <m/>
    <n v="0"/>
    <m/>
    <m/>
    <m/>
    <m/>
    <m/>
    <m/>
    <n v="0"/>
    <n v="62537021"/>
  </r>
  <r>
    <x v="7"/>
    <x v="36"/>
    <s v="Non need-based"/>
    <m/>
    <m/>
    <x v="12"/>
    <m/>
    <m/>
    <m/>
    <m/>
    <m/>
    <m/>
    <m/>
    <m/>
    <n v="0"/>
    <m/>
    <m/>
    <n v="0"/>
    <n v="0"/>
    <n v="0"/>
    <m/>
    <n v="8330943"/>
    <m/>
    <m/>
    <n v="0"/>
    <m/>
    <m/>
    <n v="0"/>
    <m/>
    <m/>
    <m/>
    <m/>
    <m/>
    <m/>
    <n v="0"/>
    <n v="8330943"/>
  </r>
  <r>
    <x v="7"/>
    <x v="37"/>
    <s v="Limited to private college students"/>
    <m/>
    <m/>
    <x v="12"/>
    <m/>
    <m/>
    <m/>
    <m/>
    <m/>
    <m/>
    <m/>
    <m/>
    <n v="0"/>
    <m/>
    <m/>
    <n v="0"/>
    <n v="0"/>
    <n v="0"/>
    <m/>
    <m/>
    <m/>
    <m/>
    <n v="0"/>
    <m/>
    <m/>
    <n v="0"/>
    <m/>
    <m/>
    <m/>
    <m/>
    <m/>
    <m/>
    <n v="0"/>
    <n v="0"/>
  </r>
  <r>
    <x v="7"/>
    <x v="38"/>
    <s v="Need-based"/>
    <m/>
    <m/>
    <x v="12"/>
    <m/>
    <m/>
    <m/>
    <m/>
    <m/>
    <m/>
    <m/>
    <m/>
    <n v="0"/>
    <m/>
    <m/>
    <n v="0"/>
    <n v="0"/>
    <n v="0"/>
    <m/>
    <n v="8825600"/>
    <m/>
    <m/>
    <n v="0"/>
    <m/>
    <m/>
    <n v="0"/>
    <m/>
    <m/>
    <m/>
    <m/>
    <m/>
    <m/>
    <n v="0"/>
    <n v="8825600"/>
  </r>
  <r>
    <x v="7"/>
    <x v="39"/>
    <s v="Non need-based"/>
    <m/>
    <m/>
    <x v="12"/>
    <m/>
    <m/>
    <m/>
    <m/>
    <m/>
    <m/>
    <m/>
    <m/>
    <n v="0"/>
    <m/>
    <m/>
    <n v="0"/>
    <n v="0"/>
    <n v="0"/>
    <m/>
    <n v="2105404"/>
    <m/>
    <m/>
    <n v="0"/>
    <m/>
    <m/>
    <n v="0"/>
    <m/>
    <m/>
    <m/>
    <m/>
    <m/>
    <m/>
    <n v="0"/>
    <n v="2105404"/>
  </r>
  <r>
    <x v="8"/>
    <x v="0"/>
    <s v="Mississippi State University"/>
    <m/>
    <n v="176080"/>
    <x v="0"/>
    <n v="91296903"/>
    <n v="97406998"/>
    <m/>
    <m/>
    <m/>
    <m/>
    <n v="165169042"/>
    <m/>
    <n v="165169042"/>
    <n v="178403760"/>
    <m/>
    <n v="178403760"/>
    <n v="256465945"/>
    <n v="275810758"/>
    <m/>
    <m/>
    <m/>
    <m/>
    <n v="0"/>
    <m/>
    <m/>
    <n v="0"/>
    <m/>
    <m/>
    <m/>
    <m/>
    <m/>
    <m/>
    <n v="256465945"/>
    <n v="275810758"/>
  </r>
  <r>
    <x v="8"/>
    <x v="1"/>
    <s v="Vet Med School"/>
    <m/>
    <n v="176080"/>
    <x v="0"/>
    <m/>
    <m/>
    <m/>
    <m/>
    <m/>
    <m/>
    <m/>
    <m/>
    <n v="0"/>
    <m/>
    <m/>
    <n v="0"/>
    <n v="0"/>
    <n v="0"/>
    <m/>
    <m/>
    <m/>
    <m/>
    <n v="0"/>
    <m/>
    <m/>
    <n v="0"/>
    <n v="17291269"/>
    <n v="18155832"/>
    <n v="9900000"/>
    <m/>
    <n v="10100000"/>
    <m/>
    <n v="27191269"/>
    <n v="28255832"/>
  </r>
  <r>
    <x v="8"/>
    <x v="5"/>
    <s v="Agricultural Cooperative Extension"/>
    <m/>
    <n v="176080"/>
    <x v="0"/>
    <m/>
    <m/>
    <n v="29139390"/>
    <n v="30596360"/>
    <m/>
    <m/>
    <m/>
    <m/>
    <n v="0"/>
    <m/>
    <m/>
    <n v="0"/>
    <n v="29139390"/>
    <n v="30596360"/>
    <m/>
    <m/>
    <m/>
    <m/>
    <n v="0"/>
    <m/>
    <m/>
    <n v="0"/>
    <m/>
    <m/>
    <m/>
    <m/>
    <m/>
    <m/>
    <n v="29139390"/>
    <n v="30596360"/>
  </r>
  <r>
    <x v="8"/>
    <x v="6"/>
    <s v="Agricultural Experiment Stations"/>
    <m/>
    <n v="176080"/>
    <x v="0"/>
    <m/>
    <m/>
    <n v="22650355"/>
    <n v="23782873"/>
    <m/>
    <m/>
    <m/>
    <m/>
    <n v="0"/>
    <m/>
    <m/>
    <n v="0"/>
    <n v="22650355"/>
    <n v="23782873"/>
    <m/>
    <m/>
    <m/>
    <m/>
    <n v="0"/>
    <m/>
    <m/>
    <n v="0"/>
    <m/>
    <m/>
    <m/>
    <m/>
    <m/>
    <m/>
    <n v="22650355"/>
    <n v="23782873"/>
  </r>
  <r>
    <x v="8"/>
    <x v="7"/>
    <s v="Research Units"/>
    <m/>
    <n v="176080"/>
    <x v="0"/>
    <m/>
    <m/>
    <m/>
    <m/>
    <m/>
    <m/>
    <m/>
    <m/>
    <n v="0"/>
    <m/>
    <m/>
    <n v="0"/>
    <n v="0"/>
    <n v="0"/>
    <m/>
    <m/>
    <m/>
    <m/>
    <n v="0"/>
    <m/>
    <m/>
    <n v="0"/>
    <m/>
    <m/>
    <m/>
    <m/>
    <m/>
    <m/>
    <n v="0"/>
    <n v="0"/>
  </r>
  <r>
    <x v="8"/>
    <x v="7"/>
    <s v="State Chemical Lab"/>
    <m/>
    <n v="176080"/>
    <x v="0"/>
    <m/>
    <m/>
    <n v="2062803"/>
    <n v="1795576"/>
    <m/>
    <m/>
    <m/>
    <m/>
    <n v="0"/>
    <m/>
    <m/>
    <n v="0"/>
    <n v="2062803"/>
    <n v="1795576"/>
    <m/>
    <m/>
    <m/>
    <m/>
    <n v="0"/>
    <m/>
    <m/>
    <n v="0"/>
    <m/>
    <m/>
    <m/>
    <m/>
    <m/>
    <m/>
    <n v="2062803"/>
    <n v="1795576"/>
  </r>
  <r>
    <x v="8"/>
    <x v="7"/>
    <s v="Forest/wildlife Research Center"/>
    <m/>
    <n v="176080"/>
    <x v="0"/>
    <m/>
    <m/>
    <n v="5972870"/>
    <n v="6271514"/>
    <m/>
    <m/>
    <m/>
    <m/>
    <n v="0"/>
    <m/>
    <m/>
    <n v="0"/>
    <n v="5972870"/>
    <n v="6271514"/>
    <m/>
    <m/>
    <m/>
    <m/>
    <n v="0"/>
    <m/>
    <m/>
    <n v="0"/>
    <m/>
    <m/>
    <m/>
    <m/>
    <m/>
    <m/>
    <n v="5972870"/>
    <n v="6271514"/>
  </r>
  <r>
    <x v="8"/>
    <x v="7"/>
    <s v="Water resources institute"/>
    <m/>
    <n v="176080"/>
    <x v="0"/>
    <m/>
    <m/>
    <n v="240531"/>
    <n v="240531"/>
    <m/>
    <m/>
    <m/>
    <m/>
    <n v="0"/>
    <m/>
    <m/>
    <n v="0"/>
    <n v="240531"/>
    <n v="240531"/>
    <m/>
    <m/>
    <m/>
    <m/>
    <n v="0"/>
    <m/>
    <m/>
    <n v="0"/>
    <m/>
    <m/>
    <m/>
    <m/>
    <m/>
    <m/>
    <n v="240531"/>
    <n v="240531"/>
  </r>
  <r>
    <x v="8"/>
    <x v="7"/>
    <s v="Stennis Institute"/>
    <m/>
    <n v="176080"/>
    <x v="0"/>
    <m/>
    <m/>
    <n v="909550"/>
    <n v="893962"/>
    <m/>
    <m/>
    <m/>
    <m/>
    <n v="0"/>
    <m/>
    <m/>
    <n v="0"/>
    <n v="909550"/>
    <n v="893962"/>
    <m/>
    <m/>
    <m/>
    <m/>
    <n v="0"/>
    <m/>
    <m/>
    <n v="0"/>
    <m/>
    <m/>
    <m/>
    <m/>
    <m/>
    <m/>
    <n v="909550"/>
    <n v="893962"/>
  </r>
  <r>
    <x v="8"/>
    <x v="7"/>
    <s v="Advanced Vehicular Systems"/>
    <m/>
    <n v="176080"/>
    <x v="0"/>
    <m/>
    <m/>
    <n v="3328126"/>
    <n v="3928126"/>
    <m/>
    <m/>
    <m/>
    <m/>
    <n v="0"/>
    <m/>
    <m/>
    <n v="0"/>
    <n v="3328126"/>
    <n v="3928126"/>
    <m/>
    <m/>
    <m/>
    <m/>
    <n v="0"/>
    <m/>
    <m/>
    <n v="0"/>
    <m/>
    <m/>
    <m/>
    <m/>
    <m/>
    <m/>
    <n v="3328126"/>
    <n v="3928126"/>
  </r>
  <r>
    <x v="8"/>
    <x v="0"/>
    <s v="University of Southern Mississippi"/>
    <m/>
    <n v="176372"/>
    <x v="0"/>
    <n v="82147618"/>
    <n v="82938248"/>
    <m/>
    <m/>
    <m/>
    <m/>
    <n v="113527117"/>
    <m/>
    <n v="113527117"/>
    <n v="116143798"/>
    <m/>
    <n v="116143798"/>
    <n v="195674735"/>
    <n v="199082046"/>
    <m/>
    <m/>
    <m/>
    <m/>
    <n v="0"/>
    <m/>
    <m/>
    <n v="0"/>
    <m/>
    <m/>
    <m/>
    <m/>
    <m/>
    <m/>
    <n v="195674735"/>
    <n v="199082046"/>
  </r>
  <r>
    <x v="8"/>
    <x v="7"/>
    <s v="Research Units"/>
    <m/>
    <n v="176372"/>
    <x v="0"/>
    <m/>
    <m/>
    <m/>
    <m/>
    <m/>
    <m/>
    <m/>
    <m/>
    <n v="0"/>
    <m/>
    <m/>
    <n v="0"/>
    <n v="0"/>
    <n v="0"/>
    <m/>
    <m/>
    <m/>
    <m/>
    <n v="0"/>
    <m/>
    <m/>
    <n v="0"/>
    <m/>
    <m/>
    <m/>
    <m/>
    <m/>
    <m/>
    <n v="0"/>
    <n v="0"/>
  </r>
  <r>
    <x v="8"/>
    <x v="7"/>
    <s v="Gulf-Coast Research Lab"/>
    <m/>
    <n v="176372"/>
    <x v="0"/>
    <m/>
    <m/>
    <n v="3517645"/>
    <n v="3758498"/>
    <m/>
    <m/>
    <n v="256000"/>
    <m/>
    <n v="256000"/>
    <n v="305000"/>
    <m/>
    <n v="305000"/>
    <n v="3773645"/>
    <n v="4063498"/>
    <m/>
    <m/>
    <m/>
    <m/>
    <n v="0"/>
    <m/>
    <m/>
    <n v="0"/>
    <m/>
    <m/>
    <m/>
    <m/>
    <m/>
    <m/>
    <n v="3773645"/>
    <n v="4063498"/>
  </r>
  <r>
    <x v="8"/>
    <x v="7"/>
    <s v="Polymer Institute"/>
    <m/>
    <n v="176372"/>
    <x v="0"/>
    <m/>
    <m/>
    <n v="675869"/>
    <n v="675847"/>
    <m/>
    <m/>
    <m/>
    <m/>
    <n v="0"/>
    <m/>
    <m/>
    <n v="0"/>
    <n v="675869"/>
    <n v="675847"/>
    <m/>
    <m/>
    <m/>
    <m/>
    <n v="0"/>
    <m/>
    <m/>
    <n v="0"/>
    <m/>
    <m/>
    <m/>
    <m/>
    <m/>
    <m/>
    <n v="675869"/>
    <n v="675847"/>
  </r>
  <r>
    <x v="8"/>
    <x v="7"/>
    <s v="Stennis Center"/>
    <m/>
    <n v="176372"/>
    <x v="0"/>
    <m/>
    <m/>
    <n v="439724"/>
    <n v="390551"/>
    <m/>
    <m/>
    <m/>
    <m/>
    <n v="0"/>
    <m/>
    <m/>
    <n v="0"/>
    <n v="439724"/>
    <n v="390551"/>
    <m/>
    <m/>
    <m/>
    <m/>
    <n v="0"/>
    <m/>
    <m/>
    <n v="0"/>
    <m/>
    <m/>
    <m/>
    <m/>
    <m/>
    <m/>
    <n v="439724"/>
    <n v="390551"/>
  </r>
  <r>
    <x v="8"/>
    <x v="0"/>
    <s v="Jackson State University "/>
    <m/>
    <n v="175856"/>
    <x v="1"/>
    <n v="47436266"/>
    <n v="54286775"/>
    <m/>
    <m/>
    <m/>
    <m/>
    <n v="55731643"/>
    <m/>
    <n v="55731643"/>
    <n v="66630574"/>
    <m/>
    <n v="66630574"/>
    <n v="103167909"/>
    <n v="120917349"/>
    <m/>
    <m/>
    <m/>
    <m/>
    <n v="0"/>
    <m/>
    <m/>
    <n v="0"/>
    <m/>
    <m/>
    <m/>
    <m/>
    <m/>
    <m/>
    <n v="103167909"/>
    <n v="120917349"/>
  </r>
  <r>
    <x v="8"/>
    <x v="7"/>
    <s v="Urban Research Center"/>
    <m/>
    <n v="175856"/>
    <x v="1"/>
    <m/>
    <m/>
    <n v="520372"/>
    <n v="500044"/>
    <m/>
    <m/>
    <m/>
    <m/>
    <n v="0"/>
    <m/>
    <m/>
    <n v="0"/>
    <n v="520372"/>
    <n v="500044"/>
    <m/>
    <m/>
    <m/>
    <m/>
    <n v="0"/>
    <m/>
    <m/>
    <n v="0"/>
    <m/>
    <m/>
    <m/>
    <m/>
    <m/>
    <m/>
    <n v="520372"/>
    <n v="500044"/>
  </r>
  <r>
    <x v="8"/>
    <x v="0"/>
    <s v="University of Mississippi"/>
    <m/>
    <n v="176017"/>
    <x v="1"/>
    <n v="79823071"/>
    <n v="87049874"/>
    <m/>
    <m/>
    <m/>
    <m/>
    <n v="199158864"/>
    <m/>
    <n v="199158864"/>
    <n v="219234395"/>
    <m/>
    <n v="219234395"/>
    <n v="278981935"/>
    <n v="306284269"/>
    <m/>
    <m/>
    <m/>
    <m/>
    <n v="0"/>
    <m/>
    <m/>
    <n v="0"/>
    <m/>
    <m/>
    <m/>
    <m/>
    <m/>
    <m/>
    <n v="278981935"/>
    <n v="306284269"/>
  </r>
  <r>
    <x v="8"/>
    <x v="3"/>
    <s v="Community/Public Service  Units"/>
    <m/>
    <n v="176017"/>
    <x v="1"/>
    <m/>
    <m/>
    <m/>
    <m/>
    <m/>
    <m/>
    <m/>
    <m/>
    <n v="0"/>
    <m/>
    <m/>
    <n v="0"/>
    <n v="0"/>
    <n v="0"/>
    <m/>
    <m/>
    <m/>
    <m/>
    <n v="0"/>
    <m/>
    <m/>
    <n v="0"/>
    <m/>
    <m/>
    <m/>
    <m/>
    <m/>
    <m/>
    <n v="0"/>
    <n v="0"/>
  </r>
  <r>
    <x v="8"/>
    <x v="3"/>
    <s v="Small Business Development Ctr."/>
    <m/>
    <n v="176017"/>
    <x v="1"/>
    <m/>
    <m/>
    <n v="290329"/>
    <n v="284131"/>
    <m/>
    <m/>
    <m/>
    <m/>
    <n v="0"/>
    <m/>
    <m/>
    <n v="0"/>
    <n v="290329"/>
    <n v="284131"/>
    <m/>
    <m/>
    <m/>
    <m/>
    <n v="0"/>
    <m/>
    <m/>
    <n v="0"/>
    <m/>
    <m/>
    <m/>
    <m/>
    <m/>
    <m/>
    <n v="290329"/>
    <n v="284131"/>
  </r>
  <r>
    <x v="8"/>
    <x v="7"/>
    <s v="Research Units"/>
    <m/>
    <n v="176017"/>
    <x v="1"/>
    <m/>
    <m/>
    <m/>
    <m/>
    <m/>
    <m/>
    <m/>
    <m/>
    <n v="0"/>
    <m/>
    <m/>
    <n v="0"/>
    <n v="0"/>
    <n v="0"/>
    <m/>
    <m/>
    <m/>
    <m/>
    <n v="0"/>
    <m/>
    <m/>
    <n v="0"/>
    <m/>
    <m/>
    <m/>
    <m/>
    <m/>
    <m/>
    <n v="0"/>
    <n v="0"/>
  </r>
  <r>
    <x v="8"/>
    <x v="7"/>
    <s v="Pharmaceutical research"/>
    <m/>
    <n v="176017"/>
    <x v="1"/>
    <m/>
    <m/>
    <n v="3291936"/>
    <n v="3291779"/>
    <m/>
    <m/>
    <m/>
    <m/>
    <n v="0"/>
    <m/>
    <m/>
    <n v="0"/>
    <n v="3291936"/>
    <n v="3291779"/>
    <m/>
    <m/>
    <m/>
    <m/>
    <n v="0"/>
    <m/>
    <m/>
    <n v="0"/>
    <m/>
    <m/>
    <m/>
    <m/>
    <m/>
    <m/>
    <n v="3291936"/>
    <n v="3291779"/>
  </r>
  <r>
    <x v="8"/>
    <x v="7"/>
    <s v="Law Research Institute"/>
    <m/>
    <n v="176017"/>
    <x v="1"/>
    <m/>
    <m/>
    <n v="823015"/>
    <n v="783851"/>
    <m/>
    <m/>
    <m/>
    <m/>
    <n v="0"/>
    <m/>
    <m/>
    <n v="0"/>
    <n v="823015"/>
    <n v="783851"/>
    <m/>
    <m/>
    <m/>
    <m/>
    <n v="0"/>
    <m/>
    <m/>
    <n v="0"/>
    <m/>
    <m/>
    <m/>
    <m/>
    <m/>
    <m/>
    <n v="823015"/>
    <n v="783851"/>
  </r>
  <r>
    <x v="8"/>
    <x v="7"/>
    <s v="Mineral Resources Institute"/>
    <m/>
    <n v="176017"/>
    <x v="1"/>
    <m/>
    <m/>
    <n v="413650"/>
    <n v="377763"/>
    <m/>
    <m/>
    <m/>
    <m/>
    <n v="0"/>
    <m/>
    <m/>
    <n v="0"/>
    <n v="413650"/>
    <n v="377763"/>
    <m/>
    <m/>
    <m/>
    <m/>
    <n v="0"/>
    <m/>
    <m/>
    <n v="0"/>
    <m/>
    <m/>
    <m/>
    <m/>
    <m/>
    <m/>
    <n v="413650"/>
    <n v="377763"/>
  </r>
  <r>
    <x v="8"/>
    <x v="7"/>
    <s v="Supercomputer"/>
    <m/>
    <n v="176017"/>
    <x v="1"/>
    <m/>
    <m/>
    <n v="695804"/>
    <n v="695804"/>
    <m/>
    <m/>
    <m/>
    <m/>
    <n v="0"/>
    <m/>
    <m/>
    <n v="0"/>
    <n v="695804"/>
    <n v="695804"/>
    <m/>
    <m/>
    <m/>
    <m/>
    <n v="0"/>
    <m/>
    <m/>
    <n v="0"/>
    <m/>
    <m/>
    <m/>
    <m/>
    <m/>
    <m/>
    <n v="695804"/>
    <n v="695804"/>
  </r>
  <r>
    <x v="8"/>
    <x v="7"/>
    <s v="Center for Manufacturing Excellence "/>
    <m/>
    <n v="176017"/>
    <x v="1"/>
    <m/>
    <m/>
    <n v="1310311"/>
    <n v="1910311"/>
    <m/>
    <m/>
    <m/>
    <m/>
    <n v="0"/>
    <m/>
    <m/>
    <n v="0"/>
    <n v="1310311"/>
    <n v="1910311"/>
    <m/>
    <m/>
    <m/>
    <m/>
    <n v="0"/>
    <m/>
    <m/>
    <n v="0"/>
    <m/>
    <m/>
    <m/>
    <m/>
    <m/>
    <m/>
    <n v="1310311"/>
    <n v="1910311"/>
  </r>
  <r>
    <x v="8"/>
    <x v="0"/>
    <s v="Alcorn State University"/>
    <m/>
    <n v="175342"/>
    <x v="3"/>
    <n v="23301476"/>
    <n v="24040629"/>
    <m/>
    <m/>
    <m/>
    <m/>
    <n v="27863638"/>
    <m/>
    <n v="27863638"/>
    <n v="26779582"/>
    <m/>
    <n v="26779582"/>
    <n v="51165114"/>
    <n v="50820211"/>
    <m/>
    <m/>
    <m/>
    <m/>
    <n v="0"/>
    <m/>
    <m/>
    <n v="0"/>
    <m/>
    <m/>
    <m/>
    <m/>
    <m/>
    <m/>
    <n v="51165114"/>
    <n v="50820211"/>
  </r>
  <r>
    <x v="8"/>
    <x v="5"/>
    <s v="Agricultural Units"/>
    <m/>
    <n v="175342"/>
    <x v="3"/>
    <m/>
    <m/>
    <n v="5819110"/>
    <n v="6110066"/>
    <m/>
    <m/>
    <m/>
    <m/>
    <n v="0"/>
    <m/>
    <m/>
    <n v="0"/>
    <n v="5819110"/>
    <n v="6110066"/>
    <m/>
    <m/>
    <m/>
    <m/>
    <n v="0"/>
    <m/>
    <m/>
    <n v="0"/>
    <m/>
    <m/>
    <m/>
    <m/>
    <m/>
    <m/>
    <n v="5819110"/>
    <n v="6110066"/>
  </r>
  <r>
    <x v="8"/>
    <x v="0"/>
    <s v="Delta State University"/>
    <m/>
    <n v="175616"/>
    <x v="3"/>
    <n v="22015820"/>
    <n v="22596413"/>
    <m/>
    <m/>
    <m/>
    <m/>
    <n v="19311647"/>
    <m/>
    <n v="19311647"/>
    <n v="19794250"/>
    <m/>
    <n v="19794250"/>
    <n v="41327467"/>
    <n v="42390663"/>
    <m/>
    <m/>
    <m/>
    <m/>
    <n v="0"/>
    <m/>
    <m/>
    <n v="0"/>
    <m/>
    <m/>
    <m/>
    <m/>
    <m/>
    <m/>
    <n v="41327467"/>
    <n v="42390663"/>
  </r>
  <r>
    <x v="8"/>
    <x v="0"/>
    <s v="Mississippi Valley State University"/>
    <m/>
    <n v="176044"/>
    <x v="3"/>
    <n v="18711545"/>
    <n v="17983533"/>
    <m/>
    <m/>
    <m/>
    <m/>
    <n v="13611549"/>
    <m/>
    <n v="13611549"/>
    <n v="13403600"/>
    <m/>
    <n v="13403600"/>
    <n v="32323094"/>
    <n v="31387133"/>
    <m/>
    <m/>
    <m/>
    <m/>
    <n v="0"/>
    <m/>
    <m/>
    <n v="0"/>
    <m/>
    <m/>
    <m/>
    <m/>
    <m/>
    <m/>
    <n v="32323094"/>
    <n v="31387133"/>
  </r>
  <r>
    <x v="8"/>
    <x v="0"/>
    <s v="Mississippi University for Women"/>
    <m/>
    <n v="176035"/>
    <x v="4"/>
    <n v="15349173"/>
    <n v="17159512"/>
    <m/>
    <m/>
    <m/>
    <m/>
    <n v="18278223"/>
    <m/>
    <n v="18278223"/>
    <n v="18019223"/>
    <m/>
    <n v="18019223"/>
    <n v="33627396"/>
    <n v="35178735"/>
    <m/>
    <m/>
    <m/>
    <m/>
    <n v="0"/>
    <m/>
    <m/>
    <n v="0"/>
    <m/>
    <m/>
    <m/>
    <m/>
    <m/>
    <m/>
    <n v="33627396"/>
    <n v="35178735"/>
  </r>
  <r>
    <x v="8"/>
    <x v="41"/>
    <s v="University of Mississippi Medical Center"/>
    <m/>
    <n v="176026"/>
    <x v="11"/>
    <m/>
    <m/>
    <m/>
    <m/>
    <m/>
    <m/>
    <m/>
    <m/>
    <n v="0"/>
    <m/>
    <m/>
    <n v="0"/>
    <n v="0"/>
    <n v="0"/>
    <m/>
    <m/>
    <m/>
    <m/>
    <n v="0"/>
    <m/>
    <m/>
    <n v="0"/>
    <n v="185718612"/>
    <n v="187918612"/>
    <n v="27320057"/>
    <m/>
    <n v="28181171"/>
    <m/>
    <n v="213038669"/>
    <n v="216099783"/>
  </r>
  <r>
    <x v="8"/>
    <x v="10"/>
    <s v="Statewide Special-Purpose Units"/>
    <m/>
    <m/>
    <x v="12"/>
    <m/>
    <m/>
    <m/>
    <m/>
    <m/>
    <m/>
    <m/>
    <m/>
    <n v="0"/>
    <m/>
    <m/>
    <n v="0"/>
    <n v="0"/>
    <n v="0"/>
    <m/>
    <m/>
    <m/>
    <m/>
    <n v="0"/>
    <m/>
    <m/>
    <n v="0"/>
    <m/>
    <m/>
    <m/>
    <m/>
    <m/>
    <m/>
    <n v="0"/>
    <n v="0"/>
  </r>
  <r>
    <x v="8"/>
    <x v="42"/>
    <s v="Community or public service units"/>
    <m/>
    <m/>
    <x v="12"/>
    <m/>
    <m/>
    <m/>
    <m/>
    <m/>
    <m/>
    <m/>
    <m/>
    <n v="0"/>
    <m/>
    <m/>
    <n v="0"/>
    <n v="0"/>
    <n v="0"/>
    <m/>
    <m/>
    <m/>
    <m/>
    <n v="0"/>
    <m/>
    <m/>
    <n v="0"/>
    <m/>
    <m/>
    <m/>
    <m/>
    <m/>
    <m/>
    <n v="0"/>
    <n v="0"/>
  </r>
  <r>
    <x v="8"/>
    <x v="42"/>
    <s v="Volunteer Commission"/>
    <m/>
    <m/>
    <x v="12"/>
    <m/>
    <m/>
    <m/>
    <m/>
    <m/>
    <m/>
    <m/>
    <m/>
    <n v="0"/>
    <m/>
    <m/>
    <n v="0"/>
    <n v="0"/>
    <n v="0"/>
    <n v="571619"/>
    <n v="579619"/>
    <m/>
    <m/>
    <n v="0"/>
    <m/>
    <m/>
    <n v="0"/>
    <m/>
    <m/>
    <m/>
    <m/>
    <m/>
    <m/>
    <n v="571619"/>
    <n v="579619"/>
  </r>
  <r>
    <x v="8"/>
    <x v="13"/>
    <s v="Education special purpose funds — all other"/>
    <m/>
    <m/>
    <x v="12"/>
    <m/>
    <m/>
    <m/>
    <m/>
    <m/>
    <m/>
    <m/>
    <m/>
    <n v="0"/>
    <m/>
    <m/>
    <n v="0"/>
    <n v="0"/>
    <n v="0"/>
    <m/>
    <m/>
    <m/>
    <m/>
    <n v="0"/>
    <m/>
    <m/>
    <n v="0"/>
    <m/>
    <m/>
    <m/>
    <m/>
    <m/>
    <m/>
    <n v="0"/>
    <n v="0"/>
  </r>
  <r>
    <x v="8"/>
    <x v="13"/>
    <s v="AYERS Endowment/Summer Programs"/>
    <m/>
    <m/>
    <x v="12"/>
    <m/>
    <m/>
    <n v="5750000"/>
    <n v="5750000"/>
    <m/>
    <m/>
    <m/>
    <m/>
    <n v="0"/>
    <m/>
    <m/>
    <n v="0"/>
    <n v="5750000"/>
    <n v="5750000"/>
    <m/>
    <m/>
    <m/>
    <m/>
    <n v="0"/>
    <m/>
    <m/>
    <n v="0"/>
    <m/>
    <m/>
    <m/>
    <m/>
    <m/>
    <m/>
    <n v="5750000"/>
    <n v="5750000"/>
  </r>
  <r>
    <x v="8"/>
    <x v="14"/>
    <s v="Statewide System Operations"/>
    <m/>
    <m/>
    <x v="12"/>
    <m/>
    <m/>
    <m/>
    <m/>
    <m/>
    <m/>
    <m/>
    <m/>
    <n v="0"/>
    <m/>
    <m/>
    <n v="0"/>
    <n v="0"/>
    <n v="0"/>
    <m/>
    <m/>
    <m/>
    <m/>
    <n v="0"/>
    <m/>
    <m/>
    <n v="0"/>
    <m/>
    <m/>
    <m/>
    <m/>
    <m/>
    <m/>
    <n v="0"/>
    <n v="0"/>
  </r>
  <r>
    <x v="8"/>
    <x v="15"/>
    <s v="Colleges and universities"/>
    <m/>
    <m/>
    <x v="12"/>
    <m/>
    <m/>
    <m/>
    <m/>
    <m/>
    <m/>
    <m/>
    <m/>
    <n v="0"/>
    <m/>
    <m/>
    <n v="0"/>
    <n v="0"/>
    <n v="0"/>
    <m/>
    <m/>
    <m/>
    <m/>
    <n v="0"/>
    <m/>
    <m/>
    <n v="0"/>
    <m/>
    <m/>
    <m/>
    <m/>
    <m/>
    <m/>
    <n v="0"/>
    <n v="0"/>
  </r>
  <r>
    <x v="8"/>
    <x v="15"/>
    <s v="Ms Board of Trustees I.H.L"/>
    <m/>
    <m/>
    <x v="12"/>
    <m/>
    <m/>
    <m/>
    <m/>
    <m/>
    <m/>
    <m/>
    <m/>
    <n v="0"/>
    <m/>
    <m/>
    <n v="0"/>
    <n v="0"/>
    <n v="0"/>
    <n v="7412934"/>
    <n v="7339627"/>
    <m/>
    <m/>
    <n v="0"/>
    <m/>
    <m/>
    <n v="0"/>
    <m/>
    <m/>
    <m/>
    <m/>
    <m/>
    <m/>
    <n v="7412934"/>
    <n v="7339627"/>
  </r>
  <r>
    <x v="8"/>
    <x v="17"/>
    <s v="National or regional associations, compacts or consortia"/>
    <m/>
    <m/>
    <x v="12"/>
    <m/>
    <m/>
    <m/>
    <m/>
    <m/>
    <m/>
    <m/>
    <m/>
    <n v="0"/>
    <m/>
    <m/>
    <n v="0"/>
    <n v="0"/>
    <n v="0"/>
    <m/>
    <m/>
    <m/>
    <m/>
    <n v="0"/>
    <m/>
    <m/>
    <n v="0"/>
    <m/>
    <m/>
    <m/>
    <m/>
    <m/>
    <m/>
    <n v="0"/>
    <n v="0"/>
  </r>
  <r>
    <x v="8"/>
    <x v="17"/>
    <s v="SREB"/>
    <m/>
    <m/>
    <x v="12"/>
    <m/>
    <m/>
    <m/>
    <m/>
    <m/>
    <m/>
    <m/>
    <m/>
    <n v="0"/>
    <m/>
    <m/>
    <n v="0"/>
    <n v="0"/>
    <n v="0"/>
    <m/>
    <m/>
    <m/>
    <m/>
    <n v="0"/>
    <m/>
    <m/>
    <n v="0"/>
    <m/>
    <m/>
    <m/>
    <m/>
    <m/>
    <m/>
    <n v="0"/>
    <n v="0"/>
  </r>
  <r>
    <x v="8"/>
    <x v="18"/>
    <s v="Student Financial Aid Administration"/>
    <m/>
    <m/>
    <x v="12"/>
    <m/>
    <m/>
    <m/>
    <m/>
    <m/>
    <m/>
    <m/>
    <m/>
    <n v="0"/>
    <m/>
    <m/>
    <n v="0"/>
    <n v="0"/>
    <n v="0"/>
    <n v="1085332"/>
    <n v="1165610"/>
    <m/>
    <m/>
    <n v="0"/>
    <m/>
    <m/>
    <n v="0"/>
    <m/>
    <m/>
    <m/>
    <m/>
    <m/>
    <m/>
    <n v="1085332"/>
    <n v="1165610"/>
  </r>
  <r>
    <x v="8"/>
    <x v="19"/>
    <s v="State Support to Private Colleges Other Than Student Aid"/>
    <m/>
    <m/>
    <x v="12"/>
    <m/>
    <m/>
    <m/>
    <m/>
    <m/>
    <m/>
    <m/>
    <m/>
    <n v="0"/>
    <m/>
    <m/>
    <n v="0"/>
    <n v="0"/>
    <n v="0"/>
    <m/>
    <m/>
    <m/>
    <m/>
    <n v="0"/>
    <m/>
    <m/>
    <n v="0"/>
    <m/>
    <m/>
    <m/>
    <m/>
    <m/>
    <m/>
    <n v="0"/>
    <n v="0"/>
  </r>
  <r>
    <x v="8"/>
    <x v="20"/>
    <s v="Contract Education Programs"/>
    <m/>
    <m/>
    <x v="12"/>
    <m/>
    <m/>
    <m/>
    <m/>
    <m/>
    <m/>
    <m/>
    <m/>
    <n v="0"/>
    <m/>
    <m/>
    <n v="0"/>
    <n v="0"/>
    <n v="0"/>
    <m/>
    <m/>
    <m/>
    <m/>
    <n v="0"/>
    <m/>
    <m/>
    <n v="0"/>
    <m/>
    <m/>
    <m/>
    <m/>
    <m/>
    <m/>
    <n v="0"/>
    <n v="0"/>
  </r>
  <r>
    <x v="8"/>
    <x v="21"/>
    <s v="SREB contract program with private colleges"/>
    <m/>
    <m/>
    <x v="12"/>
    <m/>
    <m/>
    <m/>
    <m/>
    <m/>
    <m/>
    <m/>
    <m/>
    <n v="0"/>
    <m/>
    <m/>
    <n v="0"/>
    <n v="0"/>
    <n v="0"/>
    <m/>
    <m/>
    <m/>
    <m/>
    <n v="0"/>
    <m/>
    <m/>
    <n v="0"/>
    <m/>
    <m/>
    <m/>
    <m/>
    <m/>
    <m/>
    <n v="0"/>
    <n v="0"/>
  </r>
  <r>
    <x v="8"/>
    <x v="21"/>
    <s v="Nova Southeastern University (Osteopathic Medicine)"/>
    <m/>
    <m/>
    <x v="12"/>
    <m/>
    <m/>
    <m/>
    <m/>
    <m/>
    <m/>
    <m/>
    <m/>
    <n v="0"/>
    <m/>
    <m/>
    <n v="0"/>
    <n v="0"/>
    <n v="0"/>
    <n v="0"/>
    <n v="0"/>
    <m/>
    <m/>
    <n v="0"/>
    <m/>
    <m/>
    <n v="0"/>
    <m/>
    <m/>
    <m/>
    <m/>
    <m/>
    <m/>
    <n v="0"/>
    <n v="0"/>
  </r>
  <r>
    <x v="8"/>
    <x v="21"/>
    <s v="Southern College of Optometry"/>
    <m/>
    <m/>
    <x v="12"/>
    <m/>
    <m/>
    <m/>
    <m/>
    <m/>
    <m/>
    <m/>
    <m/>
    <n v="0"/>
    <m/>
    <m/>
    <n v="0"/>
    <n v="0"/>
    <n v="0"/>
    <n v="367200"/>
    <n v="413400"/>
    <m/>
    <m/>
    <n v="0"/>
    <m/>
    <m/>
    <n v="0"/>
    <m/>
    <m/>
    <m/>
    <m/>
    <m/>
    <m/>
    <n v="367200"/>
    <n v="413400"/>
  </r>
  <r>
    <x v="8"/>
    <x v="21"/>
    <s v="Edward Via VA College of Osteopathic Medicine"/>
    <m/>
    <m/>
    <x v="12"/>
    <m/>
    <m/>
    <m/>
    <m/>
    <m/>
    <m/>
    <m/>
    <m/>
    <n v="0"/>
    <m/>
    <m/>
    <n v="0"/>
    <n v="0"/>
    <n v="0"/>
    <n v="0"/>
    <n v="0"/>
    <m/>
    <m/>
    <n v="0"/>
    <m/>
    <m/>
    <n v="0"/>
    <m/>
    <m/>
    <m/>
    <m/>
    <m/>
    <m/>
    <n v="0"/>
    <n v="0"/>
  </r>
  <r>
    <x v="8"/>
    <x v="22"/>
    <s v="SREB contract program with public colleges"/>
    <m/>
    <m/>
    <x v="12"/>
    <m/>
    <m/>
    <m/>
    <m/>
    <m/>
    <m/>
    <m/>
    <m/>
    <n v="0"/>
    <m/>
    <m/>
    <n v="0"/>
    <n v="0"/>
    <n v="0"/>
    <m/>
    <m/>
    <m/>
    <m/>
    <n v="0"/>
    <m/>
    <m/>
    <n v="0"/>
    <m/>
    <m/>
    <m/>
    <m/>
    <m/>
    <m/>
    <n v="0"/>
    <n v="0"/>
  </r>
  <r>
    <x v="8"/>
    <x v="22"/>
    <s v="University of Houston (Optometry)"/>
    <m/>
    <m/>
    <x v="12"/>
    <m/>
    <m/>
    <m/>
    <m/>
    <m/>
    <m/>
    <m/>
    <m/>
    <n v="0"/>
    <m/>
    <m/>
    <n v="0"/>
    <n v="0"/>
    <n v="0"/>
    <n v="0"/>
    <n v="0"/>
    <m/>
    <m/>
    <n v="0"/>
    <m/>
    <m/>
    <n v="0"/>
    <m/>
    <m/>
    <m/>
    <m/>
    <m/>
    <m/>
    <n v="0"/>
    <n v="0"/>
  </r>
  <r>
    <x v="8"/>
    <x v="22"/>
    <s v="University of Alabama at Birmingham (Optometry)"/>
    <m/>
    <m/>
    <x v="12"/>
    <m/>
    <m/>
    <m/>
    <m/>
    <m/>
    <m/>
    <m/>
    <m/>
    <n v="0"/>
    <m/>
    <m/>
    <n v="0"/>
    <n v="0"/>
    <n v="0"/>
    <n v="137700"/>
    <n v="127200"/>
    <m/>
    <m/>
    <n v="0"/>
    <m/>
    <m/>
    <n v="0"/>
    <m/>
    <m/>
    <m/>
    <m/>
    <m/>
    <m/>
    <n v="137700"/>
    <n v="127200"/>
  </r>
  <r>
    <x v="8"/>
    <x v="24"/>
    <s v="Statewide Student Financial Aid Programs Administered Off Campus"/>
    <m/>
    <m/>
    <x v="12"/>
    <m/>
    <m/>
    <m/>
    <m/>
    <m/>
    <m/>
    <m/>
    <m/>
    <n v="0"/>
    <m/>
    <m/>
    <n v="0"/>
    <n v="0"/>
    <n v="0"/>
    <m/>
    <m/>
    <m/>
    <m/>
    <n v="0"/>
    <m/>
    <m/>
    <n v="0"/>
    <m/>
    <m/>
    <m/>
    <m/>
    <m/>
    <m/>
    <n v="0"/>
    <n v="0"/>
  </r>
  <r>
    <x v="8"/>
    <x v="25"/>
    <s v="Available to public &amp; private sector students"/>
    <m/>
    <m/>
    <x v="12"/>
    <m/>
    <m/>
    <m/>
    <m/>
    <m/>
    <m/>
    <m/>
    <m/>
    <n v="0"/>
    <m/>
    <m/>
    <n v="0"/>
    <n v="0"/>
    <n v="0"/>
    <m/>
    <m/>
    <m/>
    <m/>
    <n v="0"/>
    <m/>
    <m/>
    <n v="0"/>
    <m/>
    <m/>
    <m/>
    <m/>
    <m/>
    <m/>
    <n v="0"/>
    <n v="0"/>
  </r>
  <r>
    <x v="8"/>
    <x v="25"/>
    <s v="Higher Education Legislative Plan"/>
    <m/>
    <m/>
    <x v="12"/>
    <m/>
    <m/>
    <m/>
    <m/>
    <m/>
    <m/>
    <m/>
    <m/>
    <n v="0"/>
    <m/>
    <m/>
    <n v="0"/>
    <n v="0"/>
    <n v="0"/>
    <m/>
    <m/>
    <m/>
    <m/>
    <n v="0"/>
    <m/>
    <m/>
    <n v="0"/>
    <m/>
    <m/>
    <m/>
    <m/>
    <m/>
    <m/>
    <n v="0"/>
    <n v="0"/>
  </r>
  <r>
    <x v="8"/>
    <x v="28"/>
    <s v="Amount to public sector students"/>
    <m/>
    <m/>
    <x v="12"/>
    <m/>
    <m/>
    <m/>
    <m/>
    <m/>
    <m/>
    <m/>
    <m/>
    <n v="0"/>
    <m/>
    <m/>
    <n v="0"/>
    <n v="0"/>
    <n v="0"/>
    <m/>
    <m/>
    <m/>
    <m/>
    <n v="0"/>
    <m/>
    <m/>
    <n v="0"/>
    <m/>
    <m/>
    <m/>
    <m/>
    <m/>
    <m/>
    <n v="0"/>
    <n v="0"/>
  </r>
  <r>
    <x v="8"/>
    <x v="29"/>
    <s v="Need-based"/>
    <m/>
    <m/>
    <x v="12"/>
    <m/>
    <m/>
    <m/>
    <m/>
    <m/>
    <m/>
    <m/>
    <m/>
    <n v="0"/>
    <m/>
    <m/>
    <n v="0"/>
    <n v="0"/>
    <n v="0"/>
    <n v="6685278"/>
    <n v="9210601"/>
    <m/>
    <m/>
    <n v="0"/>
    <m/>
    <m/>
    <n v="0"/>
    <m/>
    <m/>
    <m/>
    <m/>
    <m/>
    <m/>
    <n v="6685278"/>
    <n v="9210601"/>
  </r>
  <r>
    <x v="8"/>
    <x v="27"/>
    <s v="Non need-based"/>
    <m/>
    <m/>
    <x v="12"/>
    <m/>
    <m/>
    <m/>
    <m/>
    <m/>
    <m/>
    <m/>
    <m/>
    <n v="0"/>
    <m/>
    <m/>
    <n v="0"/>
    <n v="0"/>
    <n v="0"/>
    <m/>
    <m/>
    <m/>
    <m/>
    <n v="0"/>
    <m/>
    <m/>
    <n v="0"/>
    <m/>
    <m/>
    <m/>
    <m/>
    <m/>
    <m/>
    <n v="0"/>
    <n v="0"/>
  </r>
  <r>
    <x v="8"/>
    <x v="31"/>
    <s v="Amount to private sector students"/>
    <m/>
    <m/>
    <x v="12"/>
    <m/>
    <m/>
    <m/>
    <m/>
    <m/>
    <m/>
    <m/>
    <m/>
    <n v="0"/>
    <m/>
    <m/>
    <n v="0"/>
    <n v="0"/>
    <n v="0"/>
    <m/>
    <m/>
    <m/>
    <m/>
    <n v="0"/>
    <m/>
    <m/>
    <n v="0"/>
    <m/>
    <m/>
    <m/>
    <m/>
    <m/>
    <m/>
    <n v="0"/>
    <n v="0"/>
  </r>
  <r>
    <x v="8"/>
    <x v="32"/>
    <s v="Need-based"/>
    <m/>
    <m/>
    <x v="12"/>
    <m/>
    <m/>
    <m/>
    <m/>
    <m/>
    <m/>
    <m/>
    <m/>
    <n v="0"/>
    <m/>
    <m/>
    <n v="0"/>
    <n v="0"/>
    <n v="0"/>
    <n v="758048"/>
    <n v="973409"/>
    <m/>
    <m/>
    <n v="0"/>
    <m/>
    <m/>
    <n v="0"/>
    <m/>
    <m/>
    <m/>
    <m/>
    <m/>
    <m/>
    <n v="758048"/>
    <n v="973409"/>
  </r>
  <r>
    <x v="8"/>
    <x v="27"/>
    <s v="Non need-based"/>
    <m/>
    <m/>
    <x v="12"/>
    <m/>
    <m/>
    <m/>
    <m/>
    <m/>
    <m/>
    <m/>
    <m/>
    <n v="0"/>
    <m/>
    <m/>
    <n v="0"/>
    <n v="0"/>
    <n v="0"/>
    <m/>
    <m/>
    <m/>
    <m/>
    <n v="0"/>
    <m/>
    <m/>
    <n v="0"/>
    <m/>
    <m/>
    <m/>
    <m/>
    <m/>
    <m/>
    <n v="0"/>
    <n v="0"/>
  </r>
  <r>
    <x v="8"/>
    <x v="25"/>
    <s v="Scholarship/Grant Programs"/>
    <m/>
    <m/>
    <x v="12"/>
    <m/>
    <m/>
    <m/>
    <m/>
    <m/>
    <m/>
    <m/>
    <m/>
    <n v="0"/>
    <m/>
    <m/>
    <n v="0"/>
    <n v="0"/>
    <n v="0"/>
    <m/>
    <m/>
    <m/>
    <m/>
    <n v="0"/>
    <m/>
    <m/>
    <n v="0"/>
    <m/>
    <m/>
    <m/>
    <m/>
    <m/>
    <m/>
    <n v="0"/>
    <n v="0"/>
  </r>
  <r>
    <x v="8"/>
    <x v="28"/>
    <s v="Amount to public sector students"/>
    <m/>
    <m/>
    <x v="12"/>
    <m/>
    <m/>
    <m/>
    <m/>
    <m/>
    <m/>
    <m/>
    <m/>
    <n v="0"/>
    <m/>
    <m/>
    <n v="0"/>
    <n v="0"/>
    <n v="0"/>
    <m/>
    <m/>
    <m/>
    <m/>
    <n v="0"/>
    <m/>
    <m/>
    <n v="0"/>
    <m/>
    <m/>
    <m/>
    <m/>
    <m/>
    <m/>
    <n v="0"/>
    <n v="0"/>
  </r>
  <r>
    <x v="8"/>
    <x v="29"/>
    <s v="Need-based (GUMS and State LEAP)"/>
    <m/>
    <m/>
    <x v="12"/>
    <m/>
    <m/>
    <m/>
    <m/>
    <m/>
    <m/>
    <m/>
    <m/>
    <n v="0"/>
    <m/>
    <m/>
    <n v="0"/>
    <n v="0"/>
    <n v="0"/>
    <n v="8440"/>
    <n v="591435"/>
    <m/>
    <m/>
    <n v="0"/>
    <m/>
    <m/>
    <n v="0"/>
    <m/>
    <m/>
    <m/>
    <m/>
    <m/>
    <m/>
    <n v="8440"/>
    <n v="591435"/>
  </r>
  <r>
    <x v="8"/>
    <x v="27"/>
    <s v="Non need-based (CGSA)"/>
    <m/>
    <m/>
    <x v="12"/>
    <m/>
    <m/>
    <m/>
    <m/>
    <m/>
    <m/>
    <m/>
    <m/>
    <n v="0"/>
    <m/>
    <m/>
    <n v="0"/>
    <n v="0"/>
    <n v="0"/>
    <n v="19500"/>
    <n v="8500"/>
    <m/>
    <m/>
    <n v="0"/>
    <m/>
    <m/>
    <n v="0"/>
    <m/>
    <m/>
    <m/>
    <m/>
    <m/>
    <m/>
    <n v="19500"/>
    <n v="8500"/>
  </r>
  <r>
    <x v="8"/>
    <x v="31"/>
    <s v="Amount to private sector students"/>
    <m/>
    <m/>
    <x v="12"/>
    <m/>
    <m/>
    <m/>
    <m/>
    <m/>
    <m/>
    <m/>
    <m/>
    <n v="0"/>
    <m/>
    <m/>
    <n v="0"/>
    <n v="0"/>
    <n v="0"/>
    <m/>
    <m/>
    <m/>
    <m/>
    <n v="0"/>
    <m/>
    <m/>
    <n v="0"/>
    <m/>
    <m/>
    <m/>
    <m/>
    <m/>
    <m/>
    <n v="0"/>
    <n v="0"/>
  </r>
  <r>
    <x v="8"/>
    <x v="32"/>
    <s v="Need-based (GUMS and State LEAP)"/>
    <m/>
    <m/>
    <x v="12"/>
    <m/>
    <m/>
    <m/>
    <m/>
    <m/>
    <m/>
    <m/>
    <m/>
    <n v="0"/>
    <m/>
    <m/>
    <n v="0"/>
    <n v="0"/>
    <n v="0"/>
    <n v="0"/>
    <n v="36615"/>
    <m/>
    <m/>
    <n v="0"/>
    <m/>
    <m/>
    <n v="0"/>
    <m/>
    <m/>
    <m/>
    <m/>
    <m/>
    <m/>
    <n v="0"/>
    <n v="36615"/>
  </r>
  <r>
    <x v="8"/>
    <x v="27"/>
    <s v="Non need-based (CGSA)"/>
    <m/>
    <m/>
    <x v="12"/>
    <m/>
    <m/>
    <m/>
    <m/>
    <m/>
    <m/>
    <m/>
    <m/>
    <n v="0"/>
    <m/>
    <m/>
    <n v="0"/>
    <n v="0"/>
    <n v="0"/>
    <n v="1000"/>
    <n v="250"/>
    <m/>
    <m/>
    <n v="0"/>
    <m/>
    <m/>
    <n v="0"/>
    <m/>
    <m/>
    <m/>
    <m/>
    <m/>
    <m/>
    <n v="1000"/>
    <n v="250"/>
  </r>
  <r>
    <x v="8"/>
    <x v="25"/>
    <s v="Critical NeedsTeacherScholarship"/>
    <m/>
    <m/>
    <x v="12"/>
    <m/>
    <m/>
    <m/>
    <m/>
    <m/>
    <m/>
    <m/>
    <m/>
    <n v="0"/>
    <m/>
    <m/>
    <n v="0"/>
    <n v="0"/>
    <n v="0"/>
    <m/>
    <m/>
    <m/>
    <m/>
    <n v="0"/>
    <m/>
    <m/>
    <n v="0"/>
    <m/>
    <m/>
    <m/>
    <m/>
    <m/>
    <m/>
    <n v="0"/>
    <n v="0"/>
  </r>
  <r>
    <x v="8"/>
    <x v="28"/>
    <s v="Amount to public sector students"/>
    <m/>
    <m/>
    <x v="12"/>
    <m/>
    <m/>
    <m/>
    <m/>
    <m/>
    <m/>
    <m/>
    <m/>
    <n v="0"/>
    <m/>
    <m/>
    <n v="0"/>
    <n v="0"/>
    <n v="0"/>
    <m/>
    <m/>
    <m/>
    <m/>
    <n v="0"/>
    <m/>
    <m/>
    <n v="0"/>
    <m/>
    <m/>
    <m/>
    <m/>
    <m/>
    <m/>
    <n v="0"/>
    <n v="0"/>
  </r>
  <r>
    <x v="8"/>
    <x v="29"/>
    <s v="Non need-based"/>
    <m/>
    <m/>
    <x v="12"/>
    <m/>
    <m/>
    <m/>
    <m/>
    <m/>
    <m/>
    <m/>
    <m/>
    <n v="0"/>
    <m/>
    <m/>
    <n v="0"/>
    <n v="0"/>
    <n v="0"/>
    <n v="2395563"/>
    <n v="1848783"/>
    <m/>
    <m/>
    <n v="0"/>
    <m/>
    <m/>
    <n v="0"/>
    <m/>
    <m/>
    <m/>
    <m/>
    <m/>
    <m/>
    <n v="2395563"/>
    <n v="1848783"/>
  </r>
  <r>
    <x v="8"/>
    <x v="27"/>
    <s v="Amount to private sector students Non need-based"/>
    <m/>
    <m/>
    <x v="12"/>
    <m/>
    <m/>
    <m/>
    <m/>
    <m/>
    <m/>
    <m/>
    <m/>
    <n v="0"/>
    <m/>
    <m/>
    <n v="0"/>
    <n v="0"/>
    <n v="0"/>
    <n v="495305"/>
    <n v="324966"/>
    <m/>
    <m/>
    <n v="0"/>
    <m/>
    <m/>
    <n v="0"/>
    <m/>
    <m/>
    <m/>
    <m/>
    <m/>
    <m/>
    <n v="495305"/>
    <n v="324966"/>
  </r>
  <r>
    <x v="8"/>
    <x v="25"/>
    <s v="MS Resident Tuition Assistance Grant"/>
    <m/>
    <m/>
    <x v="12"/>
    <m/>
    <m/>
    <m/>
    <m/>
    <m/>
    <m/>
    <m/>
    <m/>
    <n v="0"/>
    <m/>
    <m/>
    <n v="0"/>
    <n v="0"/>
    <n v="0"/>
    <m/>
    <m/>
    <m/>
    <m/>
    <n v="0"/>
    <m/>
    <m/>
    <n v="0"/>
    <m/>
    <m/>
    <m/>
    <m/>
    <m/>
    <m/>
    <n v="0"/>
    <n v="0"/>
  </r>
  <r>
    <x v="8"/>
    <x v="28"/>
    <s v="Amount to public sector students"/>
    <m/>
    <m/>
    <x v="12"/>
    <m/>
    <m/>
    <m/>
    <m/>
    <m/>
    <m/>
    <m/>
    <m/>
    <n v="0"/>
    <m/>
    <m/>
    <n v="0"/>
    <n v="0"/>
    <n v="0"/>
    <m/>
    <m/>
    <m/>
    <m/>
    <n v="0"/>
    <m/>
    <m/>
    <n v="0"/>
    <m/>
    <m/>
    <m/>
    <m/>
    <m/>
    <m/>
    <n v="0"/>
    <n v="0"/>
  </r>
  <r>
    <x v="8"/>
    <x v="30"/>
    <s v="Non need-based"/>
    <m/>
    <m/>
    <x v="12"/>
    <m/>
    <m/>
    <m/>
    <m/>
    <m/>
    <m/>
    <m/>
    <m/>
    <n v="0"/>
    <m/>
    <m/>
    <n v="0"/>
    <n v="0"/>
    <n v="0"/>
    <m/>
    <m/>
    <m/>
    <m/>
    <n v="0"/>
    <m/>
    <m/>
    <n v="0"/>
    <m/>
    <m/>
    <m/>
    <m/>
    <m/>
    <m/>
    <n v="0"/>
    <n v="0"/>
  </r>
  <r>
    <x v="8"/>
    <x v="30"/>
    <s v="Non need-based"/>
    <m/>
    <m/>
    <x v="12"/>
    <m/>
    <m/>
    <m/>
    <m/>
    <m/>
    <m/>
    <m/>
    <m/>
    <n v="0"/>
    <m/>
    <m/>
    <n v="0"/>
    <n v="0"/>
    <n v="0"/>
    <n v="12723874"/>
    <n v="13027203"/>
    <m/>
    <m/>
    <n v="0"/>
    <m/>
    <m/>
    <n v="0"/>
    <m/>
    <m/>
    <m/>
    <m/>
    <m/>
    <m/>
    <n v="12723874"/>
    <n v="13027203"/>
  </r>
  <r>
    <x v="8"/>
    <x v="31"/>
    <s v="Amount to private sector students"/>
    <m/>
    <m/>
    <x v="12"/>
    <m/>
    <m/>
    <m/>
    <m/>
    <m/>
    <m/>
    <m/>
    <m/>
    <n v="0"/>
    <m/>
    <m/>
    <n v="0"/>
    <n v="0"/>
    <n v="0"/>
    <m/>
    <m/>
    <m/>
    <m/>
    <n v="0"/>
    <m/>
    <m/>
    <n v="0"/>
    <m/>
    <m/>
    <m/>
    <m/>
    <m/>
    <m/>
    <n v="0"/>
    <n v="0"/>
  </r>
  <r>
    <x v="8"/>
    <x v="33"/>
    <s v="Non need-based"/>
    <m/>
    <m/>
    <x v="12"/>
    <m/>
    <m/>
    <m/>
    <m/>
    <m/>
    <m/>
    <m/>
    <m/>
    <n v="0"/>
    <m/>
    <m/>
    <n v="0"/>
    <n v="0"/>
    <n v="0"/>
    <n v="1327243"/>
    <n v="1350339"/>
    <m/>
    <m/>
    <n v="0"/>
    <m/>
    <m/>
    <n v="0"/>
    <m/>
    <m/>
    <m/>
    <m/>
    <m/>
    <m/>
    <n v="1327243"/>
    <n v="1350339"/>
  </r>
  <r>
    <x v="8"/>
    <x v="30"/>
    <s v="MS Eminent Scholars Grant"/>
    <m/>
    <m/>
    <x v="12"/>
    <m/>
    <m/>
    <m/>
    <m/>
    <m/>
    <m/>
    <m/>
    <m/>
    <n v="0"/>
    <m/>
    <m/>
    <n v="0"/>
    <n v="0"/>
    <n v="0"/>
    <m/>
    <m/>
    <m/>
    <m/>
    <n v="0"/>
    <m/>
    <m/>
    <n v="0"/>
    <m/>
    <m/>
    <m/>
    <m/>
    <m/>
    <m/>
    <n v="0"/>
    <n v="0"/>
  </r>
  <r>
    <x v="8"/>
    <x v="28"/>
    <s v="Amount to public sector students"/>
    <m/>
    <m/>
    <x v="12"/>
    <m/>
    <m/>
    <m/>
    <m/>
    <m/>
    <m/>
    <m/>
    <m/>
    <n v="0"/>
    <m/>
    <m/>
    <n v="0"/>
    <n v="0"/>
    <n v="0"/>
    <m/>
    <m/>
    <m/>
    <m/>
    <n v="0"/>
    <m/>
    <m/>
    <n v="0"/>
    <m/>
    <m/>
    <m/>
    <m/>
    <m/>
    <m/>
    <n v="0"/>
    <n v="0"/>
  </r>
  <r>
    <x v="8"/>
    <x v="35"/>
    <s v="Need-based"/>
    <m/>
    <m/>
    <x v="12"/>
    <m/>
    <m/>
    <m/>
    <m/>
    <m/>
    <m/>
    <m/>
    <m/>
    <n v="0"/>
    <m/>
    <m/>
    <n v="0"/>
    <n v="0"/>
    <n v="0"/>
    <m/>
    <m/>
    <m/>
    <m/>
    <n v="0"/>
    <m/>
    <m/>
    <n v="0"/>
    <m/>
    <m/>
    <m/>
    <m/>
    <m/>
    <m/>
    <n v="0"/>
    <n v="0"/>
  </r>
  <r>
    <x v="8"/>
    <x v="36"/>
    <s v="Non need-based"/>
    <m/>
    <m/>
    <x v="12"/>
    <m/>
    <m/>
    <m/>
    <m/>
    <m/>
    <m/>
    <m/>
    <m/>
    <n v="0"/>
    <m/>
    <m/>
    <n v="0"/>
    <n v="0"/>
    <n v="0"/>
    <n v="4689079"/>
    <n v="5001727"/>
    <m/>
    <m/>
    <n v="0"/>
    <m/>
    <m/>
    <n v="0"/>
    <m/>
    <m/>
    <m/>
    <m/>
    <m/>
    <m/>
    <n v="4689079"/>
    <n v="5001727"/>
  </r>
  <r>
    <x v="8"/>
    <x v="31"/>
    <s v="Amount to private sector students"/>
    <m/>
    <m/>
    <x v="12"/>
    <m/>
    <m/>
    <m/>
    <m/>
    <m/>
    <m/>
    <m/>
    <m/>
    <n v="0"/>
    <m/>
    <m/>
    <n v="0"/>
    <n v="0"/>
    <n v="0"/>
    <m/>
    <m/>
    <m/>
    <m/>
    <n v="0"/>
    <m/>
    <m/>
    <n v="0"/>
    <m/>
    <m/>
    <m/>
    <m/>
    <m/>
    <m/>
    <n v="0"/>
    <n v="0"/>
  </r>
  <r>
    <x v="8"/>
    <x v="33"/>
    <s v="Non need-based"/>
    <m/>
    <m/>
    <x v="12"/>
    <m/>
    <m/>
    <m/>
    <m/>
    <m/>
    <m/>
    <m/>
    <m/>
    <n v="0"/>
    <m/>
    <m/>
    <n v="0"/>
    <n v="0"/>
    <n v="0"/>
    <n v="699166"/>
    <n v="787501"/>
    <m/>
    <m/>
    <n v="0"/>
    <m/>
    <m/>
    <n v="0"/>
    <m/>
    <m/>
    <m/>
    <m/>
    <m/>
    <m/>
    <n v="699166"/>
    <n v="787501"/>
  </r>
  <r>
    <x v="8"/>
    <x v="28"/>
    <s v="Loan/Scholarship Programs"/>
    <m/>
    <m/>
    <x v="12"/>
    <m/>
    <m/>
    <m/>
    <m/>
    <m/>
    <m/>
    <m/>
    <m/>
    <n v="0"/>
    <m/>
    <m/>
    <n v="0"/>
    <n v="0"/>
    <n v="0"/>
    <m/>
    <m/>
    <m/>
    <m/>
    <n v="0"/>
    <m/>
    <m/>
    <n v="0"/>
    <m/>
    <m/>
    <m/>
    <m/>
    <m/>
    <m/>
    <n v="0"/>
    <n v="0"/>
  </r>
  <r>
    <x v="8"/>
    <x v="28"/>
    <s v="Mississippi Teacher Loan Repayment Program"/>
    <m/>
    <m/>
    <x v="12"/>
    <m/>
    <m/>
    <m/>
    <m/>
    <m/>
    <m/>
    <m/>
    <m/>
    <n v="0"/>
    <m/>
    <m/>
    <n v="0"/>
    <n v="0"/>
    <n v="0"/>
    <n v="593749"/>
    <n v="570795.32000000007"/>
    <m/>
    <m/>
    <n v="0"/>
    <m/>
    <m/>
    <n v="0"/>
    <m/>
    <m/>
    <m/>
    <m/>
    <m/>
    <m/>
    <n v="593749"/>
    <n v="570795.32000000007"/>
  </r>
  <r>
    <x v="8"/>
    <x v="28"/>
    <s v="Amount to public sector students"/>
    <m/>
    <m/>
    <x v="12"/>
    <m/>
    <m/>
    <m/>
    <m/>
    <m/>
    <m/>
    <m/>
    <m/>
    <n v="0"/>
    <m/>
    <m/>
    <n v="0"/>
    <n v="0"/>
    <n v="0"/>
    <m/>
    <m/>
    <m/>
    <m/>
    <n v="0"/>
    <m/>
    <m/>
    <n v="0"/>
    <m/>
    <m/>
    <m/>
    <m/>
    <m/>
    <m/>
    <n v="0"/>
    <n v="0"/>
  </r>
  <r>
    <x v="8"/>
    <x v="36"/>
    <s v="Non need-based"/>
    <m/>
    <m/>
    <x v="12"/>
    <m/>
    <m/>
    <m/>
    <m/>
    <m/>
    <m/>
    <m/>
    <m/>
    <n v="0"/>
    <m/>
    <m/>
    <n v="0"/>
    <n v="0"/>
    <n v="0"/>
    <n v="3047063"/>
    <n v="3282597"/>
    <m/>
    <m/>
    <n v="0"/>
    <m/>
    <m/>
    <n v="0"/>
    <m/>
    <m/>
    <m/>
    <m/>
    <m/>
    <m/>
    <n v="3047063"/>
    <n v="3282597"/>
  </r>
  <r>
    <x v="8"/>
    <x v="31"/>
    <s v="Amount to private sector students"/>
    <m/>
    <m/>
    <x v="12"/>
    <m/>
    <m/>
    <m/>
    <m/>
    <m/>
    <m/>
    <m/>
    <m/>
    <n v="0"/>
    <m/>
    <m/>
    <n v="0"/>
    <n v="0"/>
    <n v="0"/>
    <m/>
    <m/>
    <m/>
    <m/>
    <n v="0"/>
    <m/>
    <m/>
    <n v="0"/>
    <m/>
    <m/>
    <m/>
    <m/>
    <m/>
    <m/>
    <n v="0"/>
    <n v="0"/>
  </r>
  <r>
    <x v="8"/>
    <x v="33"/>
    <s v="Non need-based"/>
    <m/>
    <m/>
    <x v="12"/>
    <m/>
    <m/>
    <m/>
    <m/>
    <m/>
    <m/>
    <m/>
    <m/>
    <n v="0"/>
    <m/>
    <m/>
    <n v="0"/>
    <n v="0"/>
    <n v="0"/>
    <n v="1123839"/>
    <n v="1227502"/>
    <m/>
    <m/>
    <n v="0"/>
    <m/>
    <m/>
    <n v="0"/>
    <m/>
    <m/>
    <m/>
    <m/>
    <m/>
    <m/>
    <n v="1123839"/>
    <n v="1227502"/>
  </r>
  <r>
    <x v="8"/>
    <x v="34"/>
    <s v="Limited to public college students only"/>
    <m/>
    <m/>
    <x v="12"/>
    <m/>
    <m/>
    <m/>
    <m/>
    <m/>
    <m/>
    <m/>
    <m/>
    <n v="0"/>
    <m/>
    <m/>
    <n v="0"/>
    <n v="0"/>
    <n v="0"/>
    <m/>
    <m/>
    <m/>
    <m/>
    <n v="0"/>
    <m/>
    <m/>
    <n v="0"/>
    <m/>
    <m/>
    <m/>
    <m/>
    <m/>
    <m/>
    <n v="0"/>
    <n v="0"/>
  </r>
  <r>
    <x v="8"/>
    <x v="35"/>
    <s v="Need-based (SUMD)"/>
    <m/>
    <m/>
    <x v="12"/>
    <m/>
    <m/>
    <m/>
    <m/>
    <m/>
    <m/>
    <m/>
    <m/>
    <n v="0"/>
    <m/>
    <m/>
    <n v="0"/>
    <n v="0"/>
    <n v="0"/>
    <n v="881364"/>
    <n v="750000"/>
    <m/>
    <m/>
    <n v="0"/>
    <m/>
    <m/>
    <n v="0"/>
    <m/>
    <m/>
    <m/>
    <m/>
    <m/>
    <m/>
    <n v="881364"/>
    <n v="750000"/>
  </r>
  <r>
    <x v="8"/>
    <x v="36"/>
    <s v="Non need-based (DENT, LAW, MED,PMGT, SDSP, VMMP,NISS)"/>
    <m/>
    <m/>
    <x v="12"/>
    <m/>
    <m/>
    <m/>
    <m/>
    <m/>
    <m/>
    <m/>
    <m/>
    <n v="0"/>
    <m/>
    <m/>
    <n v="0"/>
    <n v="0"/>
    <n v="0"/>
    <n v="1246341"/>
    <n v="1534555"/>
    <m/>
    <m/>
    <n v="0"/>
    <m/>
    <m/>
    <n v="0"/>
    <m/>
    <m/>
    <m/>
    <m/>
    <m/>
    <m/>
    <n v="1246341"/>
    <n v="1534555"/>
  </r>
  <r>
    <x v="8"/>
    <x v="34"/>
    <s v="Limited to private college students only"/>
    <m/>
    <m/>
    <x v="12"/>
    <m/>
    <m/>
    <m/>
    <m/>
    <m/>
    <m/>
    <m/>
    <m/>
    <n v="0"/>
    <m/>
    <m/>
    <n v="0"/>
    <n v="0"/>
    <n v="0"/>
    <m/>
    <m/>
    <m/>
    <m/>
    <n v="0"/>
    <m/>
    <m/>
    <n v="0"/>
    <m/>
    <m/>
    <m/>
    <m/>
    <m/>
    <m/>
    <n v="0"/>
    <n v="0"/>
  </r>
  <r>
    <x v="8"/>
    <x v="35"/>
    <s v="Need-based"/>
    <m/>
    <m/>
    <x v="12"/>
    <m/>
    <m/>
    <m/>
    <m/>
    <m/>
    <m/>
    <m/>
    <m/>
    <n v="0"/>
    <m/>
    <m/>
    <n v="0"/>
    <n v="0"/>
    <n v="0"/>
    <m/>
    <m/>
    <m/>
    <m/>
    <n v="0"/>
    <m/>
    <m/>
    <n v="0"/>
    <m/>
    <m/>
    <m/>
    <m/>
    <m/>
    <m/>
    <n v="0"/>
    <n v="0"/>
  </r>
  <r>
    <x v="8"/>
    <x v="36"/>
    <s v="Non need-based (STSC)"/>
    <m/>
    <m/>
    <x v="12"/>
    <m/>
    <m/>
    <m/>
    <m/>
    <m/>
    <m/>
    <m/>
    <m/>
    <n v="0"/>
    <m/>
    <m/>
    <n v="0"/>
    <n v="0"/>
    <n v="0"/>
    <n v="50319"/>
    <n v="63600"/>
    <m/>
    <m/>
    <n v="0"/>
    <m/>
    <m/>
    <n v="0"/>
    <m/>
    <m/>
    <m/>
    <m/>
    <m/>
    <m/>
    <n v="50319"/>
    <n v="63600"/>
  </r>
  <r>
    <x v="8"/>
    <x v="0"/>
    <s v="Hinds Community College "/>
    <m/>
    <n v="175786"/>
    <x v="6"/>
    <n v="32427323"/>
    <n v="34874988"/>
    <m/>
    <m/>
    <n v="10891615"/>
    <n v="11354921"/>
    <n v="28283932"/>
    <m/>
    <n v="28283932"/>
    <n v="29775000"/>
    <m/>
    <n v="29775000"/>
    <n v="71602870"/>
    <n v="76004909"/>
    <m/>
    <m/>
    <m/>
    <m/>
    <n v="0"/>
    <m/>
    <m/>
    <n v="0"/>
    <m/>
    <m/>
    <m/>
    <m/>
    <m/>
    <m/>
    <n v="71602870"/>
    <n v="76004909"/>
  </r>
  <r>
    <x v="8"/>
    <x v="8"/>
    <s v="Special line items for education operations"/>
    <m/>
    <n v="175786"/>
    <x v="6"/>
    <m/>
    <m/>
    <m/>
    <m/>
    <m/>
    <m/>
    <m/>
    <m/>
    <n v="0"/>
    <m/>
    <m/>
    <n v="0"/>
    <n v="0"/>
    <n v="0"/>
    <m/>
    <m/>
    <m/>
    <m/>
    <n v="0"/>
    <m/>
    <m/>
    <n v="0"/>
    <m/>
    <m/>
    <m/>
    <m/>
    <m/>
    <m/>
    <n v="0"/>
    <n v="0"/>
  </r>
  <r>
    <x v="8"/>
    <x v="8"/>
    <s v="Post-Secondary Vocational Education"/>
    <m/>
    <n v="175786"/>
    <x v="6"/>
    <m/>
    <m/>
    <n v="4370880"/>
    <n v="4410585"/>
    <m/>
    <m/>
    <m/>
    <m/>
    <n v="0"/>
    <m/>
    <m/>
    <n v="0"/>
    <n v="4370880"/>
    <n v="4410585"/>
    <m/>
    <m/>
    <m/>
    <m/>
    <n v="0"/>
    <m/>
    <m/>
    <n v="0"/>
    <m/>
    <m/>
    <m/>
    <m/>
    <m/>
    <m/>
    <n v="4370880"/>
    <n v="4410585"/>
  </r>
  <r>
    <x v="8"/>
    <x v="0"/>
    <s v="Itawamba Community College "/>
    <m/>
    <n v="175829"/>
    <x v="6"/>
    <n v="19020898"/>
    <n v="19443110"/>
    <m/>
    <m/>
    <n v="5393259"/>
    <n v="5624612"/>
    <n v="13648575"/>
    <m/>
    <n v="13648575"/>
    <n v="14314929"/>
    <m/>
    <n v="14314929"/>
    <n v="38062732"/>
    <n v="39382651"/>
    <m/>
    <m/>
    <m/>
    <m/>
    <n v="0"/>
    <m/>
    <m/>
    <n v="0"/>
    <m/>
    <m/>
    <m/>
    <m/>
    <m/>
    <m/>
    <n v="38062732"/>
    <n v="39382651"/>
  </r>
  <r>
    <x v="8"/>
    <x v="8"/>
    <s v="Special line items for education operations"/>
    <m/>
    <n v="175829"/>
    <x v="6"/>
    <m/>
    <m/>
    <m/>
    <m/>
    <m/>
    <m/>
    <m/>
    <m/>
    <n v="0"/>
    <m/>
    <m/>
    <n v="0"/>
    <n v="0"/>
    <n v="0"/>
    <m/>
    <m/>
    <m/>
    <m/>
    <n v="0"/>
    <m/>
    <m/>
    <n v="0"/>
    <m/>
    <m/>
    <m/>
    <m/>
    <m/>
    <m/>
    <n v="0"/>
    <n v="0"/>
  </r>
  <r>
    <x v="8"/>
    <x v="8"/>
    <s v="Post-Secondary Vocational Education"/>
    <m/>
    <n v="175830"/>
    <x v="6"/>
    <m/>
    <m/>
    <n v="1698245"/>
    <n v="1587766"/>
    <m/>
    <m/>
    <m/>
    <m/>
    <n v="0"/>
    <m/>
    <m/>
    <n v="0"/>
    <n v="1698245"/>
    <n v="1587766"/>
    <m/>
    <m/>
    <m/>
    <m/>
    <n v="0"/>
    <m/>
    <m/>
    <n v="0"/>
    <m/>
    <m/>
    <m/>
    <m/>
    <m/>
    <m/>
    <n v="1698245"/>
    <n v="1587766"/>
  </r>
  <r>
    <x v="8"/>
    <x v="0"/>
    <s v="Mississippi Gulf Coast Community College "/>
    <m/>
    <n v="176071"/>
    <x v="6"/>
    <n v="27185469"/>
    <n v="29363080"/>
    <m/>
    <m/>
    <n v="8886531"/>
    <n v="9078364"/>
    <n v="26833526"/>
    <m/>
    <n v="26833526"/>
    <n v="27482081"/>
    <m/>
    <n v="27482081"/>
    <n v="62905526"/>
    <n v="65923525"/>
    <m/>
    <m/>
    <m/>
    <m/>
    <n v="0"/>
    <m/>
    <m/>
    <n v="0"/>
    <m/>
    <m/>
    <m/>
    <m/>
    <m/>
    <m/>
    <n v="62905526"/>
    <n v="65923525"/>
  </r>
  <r>
    <x v="8"/>
    <x v="8"/>
    <s v="Special line items for education operations"/>
    <m/>
    <n v="176071"/>
    <x v="6"/>
    <m/>
    <m/>
    <m/>
    <m/>
    <m/>
    <m/>
    <m/>
    <m/>
    <n v="0"/>
    <m/>
    <m/>
    <n v="0"/>
    <n v="0"/>
    <n v="0"/>
    <m/>
    <m/>
    <m/>
    <m/>
    <n v="0"/>
    <m/>
    <m/>
    <n v="0"/>
    <m/>
    <m/>
    <m/>
    <m/>
    <m/>
    <m/>
    <n v="0"/>
    <n v="0"/>
  </r>
  <r>
    <x v="8"/>
    <x v="8"/>
    <s v="Post-Secondary Vocational Education"/>
    <m/>
    <n v="176071"/>
    <x v="6"/>
    <m/>
    <m/>
    <n v="3241548.46"/>
    <n v="3336883"/>
    <m/>
    <m/>
    <m/>
    <m/>
    <n v="0"/>
    <m/>
    <m/>
    <n v="0"/>
    <n v="3241548.46"/>
    <n v="3336883"/>
    <m/>
    <m/>
    <m/>
    <m/>
    <n v="0"/>
    <m/>
    <m/>
    <n v="0"/>
    <m/>
    <m/>
    <m/>
    <m/>
    <m/>
    <m/>
    <n v="3241548.46"/>
    <n v="3336883"/>
  </r>
  <r>
    <x v="8"/>
    <x v="0"/>
    <s v="Northwest Mississippi Community College "/>
    <m/>
    <n v="176178"/>
    <x v="6"/>
    <n v="21976052"/>
    <n v="22289628"/>
    <m/>
    <m/>
    <n v="5138490"/>
    <n v="5168228"/>
    <n v="17567374"/>
    <m/>
    <n v="17567374"/>
    <n v="20132654"/>
    <m/>
    <n v="20132654"/>
    <n v="44681916"/>
    <n v="47590510"/>
    <m/>
    <m/>
    <m/>
    <m/>
    <n v="0"/>
    <m/>
    <m/>
    <n v="0"/>
    <m/>
    <m/>
    <m/>
    <m/>
    <m/>
    <m/>
    <n v="44681916"/>
    <n v="47590510"/>
  </r>
  <r>
    <x v="8"/>
    <x v="8"/>
    <s v="Special line items for education operations"/>
    <m/>
    <n v="176178"/>
    <x v="6"/>
    <m/>
    <m/>
    <m/>
    <m/>
    <m/>
    <m/>
    <m/>
    <m/>
    <n v="0"/>
    <m/>
    <m/>
    <n v="0"/>
    <n v="0"/>
    <n v="0"/>
    <m/>
    <m/>
    <m/>
    <m/>
    <n v="0"/>
    <m/>
    <m/>
    <n v="0"/>
    <m/>
    <m/>
    <m/>
    <m/>
    <m/>
    <m/>
    <n v="0"/>
    <n v="0"/>
  </r>
  <r>
    <x v="8"/>
    <x v="8"/>
    <s v="Post-Secondary Vocational Education"/>
    <m/>
    <n v="176178"/>
    <x v="6"/>
    <m/>
    <m/>
    <n v="2068295"/>
    <n v="2022843"/>
    <m/>
    <m/>
    <m/>
    <m/>
    <n v="0"/>
    <m/>
    <m/>
    <n v="0"/>
    <n v="2068295"/>
    <n v="2022843"/>
    <m/>
    <m/>
    <m/>
    <m/>
    <n v="0"/>
    <m/>
    <m/>
    <n v="0"/>
    <m/>
    <m/>
    <m/>
    <m/>
    <m/>
    <m/>
    <n v="2068295"/>
    <n v="2022843"/>
  </r>
  <r>
    <x v="8"/>
    <x v="0"/>
    <s v="Copiah-Lincoln Community College "/>
    <m/>
    <n v="175573"/>
    <x v="7"/>
    <n v="11202177"/>
    <n v="11256853"/>
    <m/>
    <m/>
    <n v="2332531"/>
    <n v="2178897"/>
    <n v="7764888"/>
    <m/>
    <n v="7764888"/>
    <n v="8094607"/>
    <m/>
    <n v="8094607"/>
    <n v="21299596"/>
    <n v="21530357"/>
    <m/>
    <m/>
    <m/>
    <m/>
    <n v="0"/>
    <m/>
    <m/>
    <n v="0"/>
    <m/>
    <m/>
    <m/>
    <m/>
    <m/>
    <m/>
    <n v="21299596"/>
    <n v="21530357"/>
  </r>
  <r>
    <x v="8"/>
    <x v="8"/>
    <s v="Special line items for education operations"/>
    <m/>
    <n v="175573"/>
    <x v="7"/>
    <m/>
    <m/>
    <m/>
    <m/>
    <m/>
    <m/>
    <m/>
    <m/>
    <n v="0"/>
    <m/>
    <m/>
    <n v="0"/>
    <n v="0"/>
    <n v="0"/>
    <m/>
    <m/>
    <m/>
    <m/>
    <n v="0"/>
    <m/>
    <m/>
    <n v="0"/>
    <m/>
    <m/>
    <m/>
    <m/>
    <m/>
    <m/>
    <n v="0"/>
    <n v="0"/>
  </r>
  <r>
    <x v="8"/>
    <x v="8"/>
    <s v="Post-Secondary Vocational Education"/>
    <m/>
    <n v="175573"/>
    <x v="7"/>
    <m/>
    <m/>
    <n v="1263240.75"/>
    <n v="1208129"/>
    <m/>
    <m/>
    <m/>
    <m/>
    <n v="0"/>
    <m/>
    <m/>
    <n v="0"/>
    <n v="1263240.75"/>
    <n v="1208129"/>
    <m/>
    <m/>
    <m/>
    <m/>
    <n v="0"/>
    <m/>
    <m/>
    <n v="0"/>
    <m/>
    <m/>
    <m/>
    <m/>
    <m/>
    <m/>
    <n v="1263240.75"/>
    <n v="1208129"/>
  </r>
  <r>
    <x v="8"/>
    <x v="0"/>
    <s v="East Central Community College "/>
    <m/>
    <n v="175643"/>
    <x v="7"/>
    <n v="9454214"/>
    <n v="9943166"/>
    <m/>
    <m/>
    <n v="1283765"/>
    <n v="1273159"/>
    <n v="5608148"/>
    <m/>
    <n v="5608148"/>
    <n v="5345124"/>
    <m/>
    <n v="5345124"/>
    <n v="16346127"/>
    <n v="16561449"/>
    <m/>
    <m/>
    <m/>
    <m/>
    <n v="0"/>
    <m/>
    <m/>
    <n v="0"/>
    <m/>
    <m/>
    <m/>
    <m/>
    <m/>
    <m/>
    <n v="16346127"/>
    <n v="16561449"/>
  </r>
  <r>
    <x v="8"/>
    <x v="8"/>
    <s v="Special line items for education operations"/>
    <m/>
    <n v="175643"/>
    <x v="7"/>
    <m/>
    <m/>
    <m/>
    <m/>
    <m/>
    <m/>
    <m/>
    <m/>
    <n v="0"/>
    <m/>
    <m/>
    <n v="0"/>
    <n v="0"/>
    <n v="0"/>
    <m/>
    <m/>
    <m/>
    <m/>
    <n v="0"/>
    <m/>
    <m/>
    <n v="0"/>
    <m/>
    <m/>
    <m/>
    <m/>
    <m/>
    <m/>
    <n v="0"/>
    <n v="0"/>
  </r>
  <r>
    <x v="8"/>
    <x v="8"/>
    <s v="Post-Secondary Vocational Education"/>
    <m/>
    <n v="175643"/>
    <x v="7"/>
    <m/>
    <m/>
    <n v="1087765"/>
    <n v="1059419"/>
    <m/>
    <m/>
    <m/>
    <m/>
    <n v="0"/>
    <m/>
    <m/>
    <n v="0"/>
    <n v="1087765"/>
    <n v="1059419"/>
    <m/>
    <m/>
    <m/>
    <m/>
    <n v="0"/>
    <m/>
    <m/>
    <n v="0"/>
    <m/>
    <m/>
    <m/>
    <m/>
    <m/>
    <m/>
    <n v="1087765"/>
    <n v="1059419"/>
  </r>
  <r>
    <x v="8"/>
    <x v="0"/>
    <s v="East Mississippi Community College "/>
    <m/>
    <n v="175652"/>
    <x v="7"/>
    <n v="14216616"/>
    <n v="14707042"/>
    <m/>
    <m/>
    <n v="1705200"/>
    <n v="1847200"/>
    <n v="13932026"/>
    <m/>
    <n v="13932026"/>
    <n v="12450780"/>
    <m/>
    <n v="12450780"/>
    <n v="29853842"/>
    <n v="29005022"/>
    <m/>
    <m/>
    <m/>
    <m/>
    <n v="0"/>
    <m/>
    <m/>
    <n v="0"/>
    <m/>
    <m/>
    <m/>
    <m/>
    <m/>
    <m/>
    <n v="29853842"/>
    <n v="29005022"/>
  </r>
  <r>
    <x v="8"/>
    <x v="8"/>
    <s v="Special line items for education operations"/>
    <m/>
    <n v="175652"/>
    <x v="7"/>
    <m/>
    <m/>
    <m/>
    <m/>
    <m/>
    <m/>
    <m/>
    <m/>
    <n v="0"/>
    <m/>
    <m/>
    <n v="0"/>
    <n v="0"/>
    <n v="0"/>
    <m/>
    <m/>
    <m/>
    <m/>
    <n v="0"/>
    <m/>
    <m/>
    <n v="0"/>
    <m/>
    <m/>
    <m/>
    <m/>
    <m/>
    <m/>
    <n v="0"/>
    <n v="0"/>
  </r>
  <r>
    <x v="8"/>
    <x v="8"/>
    <s v="Post-Secondary Vocational Education"/>
    <m/>
    <n v="175652"/>
    <x v="7"/>
    <m/>
    <m/>
    <n v="1138549.03"/>
    <n v="1240343"/>
    <m/>
    <m/>
    <m/>
    <m/>
    <n v="0"/>
    <m/>
    <m/>
    <n v="0"/>
    <n v="1138549.03"/>
    <n v="1240343"/>
    <m/>
    <m/>
    <m/>
    <m/>
    <n v="0"/>
    <m/>
    <m/>
    <n v="0"/>
    <m/>
    <m/>
    <m/>
    <m/>
    <m/>
    <m/>
    <n v="1138549.03"/>
    <n v="1240343"/>
  </r>
  <r>
    <x v="8"/>
    <x v="0"/>
    <s v="Holmes Community College "/>
    <m/>
    <n v="175810"/>
    <x v="7"/>
    <n v="18516368"/>
    <n v="18961867"/>
    <m/>
    <m/>
    <n v="2740008"/>
    <n v="2976020"/>
    <n v="15041109"/>
    <m/>
    <n v="15041109"/>
    <n v="14475453"/>
    <m/>
    <n v="14475453"/>
    <n v="36297485"/>
    <n v="36413340"/>
    <m/>
    <m/>
    <m/>
    <m/>
    <n v="0"/>
    <m/>
    <m/>
    <n v="0"/>
    <m/>
    <m/>
    <m/>
    <m/>
    <m/>
    <m/>
    <n v="36297485"/>
    <n v="36413340"/>
  </r>
  <r>
    <x v="8"/>
    <x v="8"/>
    <s v="Special line items for education operations"/>
    <m/>
    <n v="175810"/>
    <x v="7"/>
    <m/>
    <m/>
    <m/>
    <m/>
    <m/>
    <m/>
    <m/>
    <m/>
    <n v="0"/>
    <m/>
    <m/>
    <n v="0"/>
    <n v="0"/>
    <n v="0"/>
    <m/>
    <m/>
    <m/>
    <m/>
    <n v="0"/>
    <m/>
    <m/>
    <n v="0"/>
    <m/>
    <m/>
    <m/>
    <m/>
    <m/>
    <m/>
    <n v="0"/>
    <n v="0"/>
  </r>
  <r>
    <x v="8"/>
    <x v="8"/>
    <s v="Post-Secondary Vocational Education"/>
    <m/>
    <n v="175810"/>
    <x v="7"/>
    <m/>
    <m/>
    <n v="1841654.85"/>
    <n v="1875706"/>
    <m/>
    <m/>
    <m/>
    <m/>
    <n v="0"/>
    <m/>
    <m/>
    <n v="0"/>
    <n v="1841654.85"/>
    <n v="1875706"/>
    <m/>
    <m/>
    <m/>
    <m/>
    <n v="0"/>
    <m/>
    <m/>
    <n v="0"/>
    <m/>
    <m/>
    <m/>
    <m/>
    <m/>
    <m/>
    <n v="1841654.85"/>
    <n v="1875706"/>
  </r>
  <r>
    <x v="8"/>
    <x v="0"/>
    <s v="Jones County Junior College "/>
    <m/>
    <n v="175883"/>
    <x v="7"/>
    <n v="14315536"/>
    <n v="16265501"/>
    <m/>
    <m/>
    <n v="2653289"/>
    <n v="2751889"/>
    <n v="12146654"/>
    <m/>
    <n v="12146654"/>
    <n v="12027842"/>
    <m/>
    <n v="12027842"/>
    <n v="29115479"/>
    <n v="31045232"/>
    <m/>
    <m/>
    <m/>
    <m/>
    <n v="0"/>
    <m/>
    <m/>
    <n v="0"/>
    <m/>
    <m/>
    <m/>
    <m/>
    <m/>
    <m/>
    <n v="29115479"/>
    <n v="31045232"/>
  </r>
  <r>
    <x v="8"/>
    <x v="8"/>
    <s v="Special line items for education operations"/>
    <m/>
    <n v="175883"/>
    <x v="7"/>
    <m/>
    <m/>
    <m/>
    <m/>
    <m/>
    <m/>
    <m/>
    <m/>
    <n v="0"/>
    <m/>
    <m/>
    <n v="0"/>
    <n v="0"/>
    <n v="0"/>
    <m/>
    <m/>
    <m/>
    <m/>
    <n v="0"/>
    <m/>
    <m/>
    <n v="0"/>
    <m/>
    <m/>
    <m/>
    <m/>
    <m/>
    <m/>
    <n v="0"/>
    <n v="0"/>
  </r>
  <r>
    <x v="8"/>
    <x v="8"/>
    <s v="Post-Secondary Vocational Education"/>
    <m/>
    <n v="175884"/>
    <x v="7"/>
    <m/>
    <m/>
    <n v="1547217"/>
    <n v="1638780"/>
    <m/>
    <m/>
    <m/>
    <m/>
    <n v="0"/>
    <m/>
    <m/>
    <n v="0"/>
    <n v="1547217"/>
    <n v="1638780"/>
    <m/>
    <m/>
    <m/>
    <m/>
    <n v="0"/>
    <m/>
    <m/>
    <n v="0"/>
    <m/>
    <m/>
    <m/>
    <m/>
    <m/>
    <m/>
    <n v="1547217"/>
    <n v="1638780"/>
  </r>
  <r>
    <x v="8"/>
    <x v="0"/>
    <s v="Meridian Community College "/>
    <m/>
    <n v="175935"/>
    <x v="7"/>
    <n v="12772340"/>
    <n v="13128639"/>
    <m/>
    <m/>
    <n v="2241350"/>
    <n v="2048916"/>
    <n v="8757295"/>
    <m/>
    <n v="8757295"/>
    <n v="8241860"/>
    <m/>
    <n v="8241860"/>
    <n v="23770985"/>
    <n v="23419415"/>
    <m/>
    <m/>
    <m/>
    <m/>
    <n v="0"/>
    <m/>
    <m/>
    <n v="0"/>
    <m/>
    <m/>
    <m/>
    <m/>
    <m/>
    <m/>
    <n v="23770985"/>
    <n v="23419415"/>
  </r>
  <r>
    <x v="8"/>
    <x v="8"/>
    <s v="Special line items for education operations"/>
    <m/>
    <n v="175935"/>
    <x v="7"/>
    <m/>
    <m/>
    <m/>
    <m/>
    <m/>
    <m/>
    <m/>
    <m/>
    <n v="0"/>
    <m/>
    <m/>
    <n v="0"/>
    <n v="0"/>
    <n v="0"/>
    <m/>
    <m/>
    <m/>
    <m/>
    <n v="0"/>
    <m/>
    <m/>
    <n v="0"/>
    <m/>
    <m/>
    <m/>
    <m/>
    <m/>
    <m/>
    <n v="0"/>
    <n v="0"/>
  </r>
  <r>
    <x v="8"/>
    <x v="8"/>
    <s v="Post-Secondary Vocational Education"/>
    <m/>
    <n v="175935"/>
    <x v="7"/>
    <m/>
    <m/>
    <n v="1626031.41"/>
    <n v="1675538"/>
    <m/>
    <m/>
    <m/>
    <m/>
    <n v="0"/>
    <m/>
    <m/>
    <n v="0"/>
    <n v="1626031.41"/>
    <n v="1675538"/>
    <m/>
    <m/>
    <m/>
    <m/>
    <n v="0"/>
    <m/>
    <m/>
    <n v="0"/>
    <m/>
    <m/>
    <m/>
    <m/>
    <m/>
    <m/>
    <n v="1626031.41"/>
    <n v="1675538"/>
  </r>
  <r>
    <x v="8"/>
    <x v="0"/>
    <s v="Mississippi Delta Community College "/>
    <m/>
    <n v="176008"/>
    <x v="7"/>
    <n v="10774309"/>
    <n v="11151181"/>
    <m/>
    <m/>
    <n v="2128266"/>
    <n v="2113984"/>
    <n v="7875874"/>
    <m/>
    <n v="7875874"/>
    <n v="7097248"/>
    <m/>
    <n v="7097248"/>
    <n v="20778449"/>
    <n v="20362413"/>
    <m/>
    <m/>
    <m/>
    <m/>
    <n v="0"/>
    <m/>
    <m/>
    <n v="0"/>
    <m/>
    <m/>
    <m/>
    <m/>
    <m/>
    <m/>
    <n v="20778449"/>
    <n v="20362413"/>
  </r>
  <r>
    <x v="8"/>
    <x v="8"/>
    <s v="Special line items for education operations"/>
    <m/>
    <n v="176008"/>
    <x v="7"/>
    <m/>
    <m/>
    <m/>
    <m/>
    <m/>
    <m/>
    <m/>
    <m/>
    <n v="0"/>
    <m/>
    <m/>
    <n v="0"/>
    <n v="0"/>
    <n v="0"/>
    <m/>
    <m/>
    <m/>
    <m/>
    <n v="0"/>
    <m/>
    <m/>
    <n v="0"/>
    <m/>
    <m/>
    <m/>
    <m/>
    <m/>
    <m/>
    <n v="0"/>
    <n v="0"/>
  </r>
  <r>
    <x v="8"/>
    <x v="8"/>
    <s v="Post-Secondary Vocational Education"/>
    <m/>
    <n v="176008"/>
    <x v="7"/>
    <m/>
    <m/>
    <n v="1013734"/>
    <n v="1065845"/>
    <m/>
    <m/>
    <m/>
    <m/>
    <n v="0"/>
    <m/>
    <m/>
    <n v="0"/>
    <n v="1013734"/>
    <n v="1065845"/>
    <m/>
    <m/>
    <m/>
    <m/>
    <n v="0"/>
    <m/>
    <m/>
    <n v="0"/>
    <m/>
    <m/>
    <m/>
    <m/>
    <m/>
    <m/>
    <n v="1013734"/>
    <n v="1065845"/>
  </r>
  <r>
    <x v="8"/>
    <x v="0"/>
    <s v="Northeast Mississippi Community College "/>
    <m/>
    <n v="176169"/>
    <x v="7"/>
    <n v="11977987"/>
    <n v="12268976"/>
    <m/>
    <m/>
    <n v="1460840"/>
    <n v="1522252"/>
    <n v="7901313"/>
    <m/>
    <n v="7901313"/>
    <n v="8958006"/>
    <m/>
    <n v="8958006"/>
    <n v="21340140"/>
    <n v="22749234"/>
    <m/>
    <m/>
    <m/>
    <m/>
    <n v="0"/>
    <m/>
    <m/>
    <n v="0"/>
    <m/>
    <m/>
    <m/>
    <m/>
    <m/>
    <m/>
    <n v="21340140"/>
    <n v="22749234"/>
  </r>
  <r>
    <x v="8"/>
    <x v="8"/>
    <s v="Special line items for education operations"/>
    <m/>
    <n v="176169"/>
    <x v="7"/>
    <m/>
    <m/>
    <m/>
    <m/>
    <m/>
    <m/>
    <m/>
    <m/>
    <n v="0"/>
    <m/>
    <m/>
    <n v="0"/>
    <n v="0"/>
    <n v="0"/>
    <m/>
    <m/>
    <m/>
    <m/>
    <n v="0"/>
    <m/>
    <m/>
    <n v="0"/>
    <m/>
    <m/>
    <m/>
    <m/>
    <m/>
    <m/>
    <n v="0"/>
    <n v="0"/>
  </r>
  <r>
    <x v="8"/>
    <x v="8"/>
    <s v="Post-Secondary Vocational Education"/>
    <m/>
    <n v="176169"/>
    <x v="7"/>
    <m/>
    <m/>
    <n v="1245413"/>
    <n v="1184836"/>
    <m/>
    <m/>
    <m/>
    <m/>
    <n v="0"/>
    <m/>
    <m/>
    <n v="0"/>
    <n v="1245413"/>
    <n v="1184836"/>
    <m/>
    <m/>
    <m/>
    <m/>
    <n v="0"/>
    <m/>
    <m/>
    <n v="0"/>
    <m/>
    <m/>
    <m/>
    <m/>
    <m/>
    <m/>
    <n v="1245413"/>
    <n v="1184836"/>
  </r>
  <r>
    <x v="8"/>
    <x v="0"/>
    <s v="Pearl River Community College "/>
    <m/>
    <n v="176239"/>
    <x v="7"/>
    <n v="15033468"/>
    <n v="15585204"/>
    <m/>
    <m/>
    <n v="3104587"/>
    <n v="3104587"/>
    <n v="13028088"/>
    <m/>
    <n v="13028088"/>
    <n v="14119097"/>
    <m/>
    <n v="14119097"/>
    <n v="31166143"/>
    <n v="32808888"/>
    <m/>
    <m/>
    <m/>
    <m/>
    <n v="0"/>
    <m/>
    <m/>
    <n v="0"/>
    <m/>
    <m/>
    <m/>
    <m/>
    <m/>
    <m/>
    <n v="31166143"/>
    <n v="32808888"/>
  </r>
  <r>
    <x v="8"/>
    <x v="8"/>
    <s v="Special line items for education operations"/>
    <m/>
    <n v="176239"/>
    <x v="7"/>
    <m/>
    <m/>
    <m/>
    <m/>
    <m/>
    <m/>
    <m/>
    <m/>
    <n v="0"/>
    <m/>
    <m/>
    <n v="0"/>
    <n v="0"/>
    <n v="0"/>
    <m/>
    <m/>
    <m/>
    <m/>
    <n v="0"/>
    <m/>
    <m/>
    <n v="0"/>
    <m/>
    <m/>
    <m/>
    <m/>
    <m/>
    <m/>
    <n v="0"/>
    <n v="0"/>
  </r>
  <r>
    <x v="8"/>
    <x v="8"/>
    <s v="Post-Secondary Vocational Education"/>
    <m/>
    <n v="176239"/>
    <x v="7"/>
    <m/>
    <m/>
    <n v="2207984.4"/>
    <n v="2111501"/>
    <m/>
    <m/>
    <m/>
    <m/>
    <n v="0"/>
    <m/>
    <m/>
    <n v="0"/>
    <n v="2207984.4"/>
    <n v="2111501"/>
    <m/>
    <m/>
    <m/>
    <m/>
    <n v="0"/>
    <m/>
    <m/>
    <n v="0"/>
    <m/>
    <m/>
    <m/>
    <m/>
    <m/>
    <m/>
    <n v="2207984.4"/>
    <n v="2111501"/>
  </r>
  <r>
    <x v="8"/>
    <x v="0"/>
    <s v="Coahoma Community College "/>
    <m/>
    <n v="175519"/>
    <x v="8"/>
    <n v="8019955"/>
    <n v="8081994"/>
    <m/>
    <m/>
    <n v="2049303"/>
    <n v="2041377"/>
    <n v="5013791"/>
    <m/>
    <n v="5013791"/>
    <n v="4903881"/>
    <m/>
    <n v="4903881"/>
    <n v="15083049"/>
    <n v="15027252"/>
    <m/>
    <m/>
    <m/>
    <m/>
    <n v="0"/>
    <m/>
    <m/>
    <n v="0"/>
    <m/>
    <m/>
    <m/>
    <m/>
    <m/>
    <m/>
    <n v="15083049"/>
    <n v="15027252"/>
  </r>
  <r>
    <x v="8"/>
    <x v="8"/>
    <s v="Special line items for education operations"/>
    <m/>
    <n v="175519"/>
    <x v="8"/>
    <m/>
    <m/>
    <m/>
    <m/>
    <m/>
    <m/>
    <m/>
    <m/>
    <n v="0"/>
    <m/>
    <m/>
    <n v="0"/>
    <n v="0"/>
    <n v="0"/>
    <m/>
    <m/>
    <m/>
    <m/>
    <n v="0"/>
    <m/>
    <m/>
    <n v="0"/>
    <m/>
    <m/>
    <m/>
    <m/>
    <m/>
    <m/>
    <n v="0"/>
    <n v="0"/>
  </r>
  <r>
    <x v="8"/>
    <x v="8"/>
    <s v="Post-Secondary Vocational Education"/>
    <m/>
    <n v="175519"/>
    <x v="8"/>
    <m/>
    <m/>
    <n v="1397411"/>
    <n v="1252341"/>
    <m/>
    <m/>
    <m/>
    <m/>
    <n v="0"/>
    <m/>
    <m/>
    <n v="0"/>
    <n v="1397411"/>
    <n v="1252341"/>
    <m/>
    <m/>
    <m/>
    <m/>
    <n v="0"/>
    <m/>
    <m/>
    <n v="0"/>
    <m/>
    <m/>
    <m/>
    <m/>
    <m/>
    <m/>
    <n v="1397411"/>
    <n v="1252341"/>
  </r>
  <r>
    <x v="8"/>
    <x v="0"/>
    <s v="Southwest Mississippi Community College  "/>
    <m/>
    <n v="176354"/>
    <x v="8"/>
    <n v="8154654"/>
    <n v="8826385"/>
    <m/>
    <m/>
    <n v="1191300"/>
    <n v="1234238"/>
    <n v="5831817"/>
    <m/>
    <n v="5831817"/>
    <n v="5575737"/>
    <m/>
    <n v="5575737"/>
    <n v="15177771"/>
    <n v="15636360"/>
    <m/>
    <m/>
    <m/>
    <m/>
    <n v="0"/>
    <m/>
    <m/>
    <n v="0"/>
    <m/>
    <m/>
    <m/>
    <m/>
    <m/>
    <m/>
    <n v="15177771"/>
    <n v="15636360"/>
  </r>
  <r>
    <x v="8"/>
    <x v="8"/>
    <s v="Special line items for education operations"/>
    <m/>
    <n v="176354"/>
    <x v="8"/>
    <m/>
    <m/>
    <m/>
    <m/>
    <m/>
    <m/>
    <m/>
    <m/>
    <n v="0"/>
    <m/>
    <m/>
    <n v="0"/>
    <n v="0"/>
    <n v="0"/>
    <m/>
    <m/>
    <m/>
    <m/>
    <n v="0"/>
    <m/>
    <m/>
    <n v="0"/>
    <m/>
    <m/>
    <m/>
    <m/>
    <m/>
    <m/>
    <n v="0"/>
    <n v="0"/>
  </r>
  <r>
    <x v="8"/>
    <x v="8"/>
    <s v="Post-Secondary Vocational Education"/>
    <m/>
    <n v="176354"/>
    <x v="8"/>
    <m/>
    <m/>
    <n v="1013945.66"/>
    <n v="1072958"/>
    <m/>
    <m/>
    <m/>
    <m/>
    <n v="0"/>
    <m/>
    <m/>
    <n v="0"/>
    <n v="1013945.66"/>
    <n v="1072958"/>
    <m/>
    <m/>
    <m/>
    <m/>
    <n v="0"/>
    <m/>
    <m/>
    <n v="0"/>
    <m/>
    <m/>
    <m/>
    <m/>
    <m/>
    <m/>
    <n v="1013945.66"/>
    <n v="1072958"/>
  </r>
  <r>
    <x v="8"/>
    <x v="10"/>
    <s v="Education special purpose funds — statewide units"/>
    <m/>
    <m/>
    <x v="12"/>
    <m/>
    <m/>
    <m/>
    <m/>
    <m/>
    <m/>
    <m/>
    <m/>
    <n v="0"/>
    <m/>
    <m/>
    <n v="0"/>
    <n v="0"/>
    <n v="0"/>
    <m/>
    <m/>
    <m/>
    <m/>
    <n v="0"/>
    <m/>
    <m/>
    <n v="0"/>
    <m/>
    <m/>
    <m/>
    <m/>
    <m/>
    <m/>
    <n v="0"/>
    <n v="0"/>
  </r>
  <r>
    <x v="8"/>
    <x v="13"/>
    <s v="Education special purpose funds — all other"/>
    <m/>
    <m/>
    <x v="12"/>
    <m/>
    <m/>
    <m/>
    <m/>
    <m/>
    <m/>
    <m/>
    <m/>
    <n v="0"/>
    <m/>
    <m/>
    <n v="0"/>
    <n v="0"/>
    <n v="0"/>
    <m/>
    <m/>
    <m/>
    <m/>
    <n v="0"/>
    <m/>
    <m/>
    <n v="0"/>
    <m/>
    <m/>
    <m/>
    <m/>
    <m/>
    <m/>
    <n v="0"/>
    <n v="0"/>
  </r>
  <r>
    <x v="8"/>
    <x v="13"/>
    <s v="Internet and Line Charges for community colleges"/>
    <m/>
    <m/>
    <x v="12"/>
    <m/>
    <m/>
    <n v="649432.16"/>
    <n v="2849983.3"/>
    <m/>
    <m/>
    <m/>
    <m/>
    <n v="0"/>
    <m/>
    <m/>
    <n v="0"/>
    <n v="649432.16"/>
    <n v="2849983.3"/>
    <m/>
    <m/>
    <m/>
    <m/>
    <n v="0"/>
    <m/>
    <m/>
    <n v="0"/>
    <m/>
    <m/>
    <m/>
    <m/>
    <m/>
    <m/>
    <n v="649432.16"/>
    <n v="2849983.3"/>
  </r>
  <r>
    <x v="8"/>
    <x v="13"/>
    <s v=" "/>
    <m/>
    <m/>
    <x v="12"/>
    <m/>
    <m/>
    <m/>
    <m/>
    <m/>
    <m/>
    <m/>
    <m/>
    <n v="0"/>
    <m/>
    <m/>
    <n v="0"/>
    <n v="0"/>
    <n v="0"/>
    <m/>
    <m/>
    <m/>
    <m/>
    <n v="0"/>
    <m/>
    <m/>
    <n v="0"/>
    <m/>
    <m/>
    <m/>
    <m/>
    <m/>
    <m/>
    <n v="0"/>
    <n v="0"/>
  </r>
  <r>
    <x v="8"/>
    <x v="13"/>
    <s v="Greenville Higher Education Center (MDCC via MCCB)"/>
    <m/>
    <m/>
    <x v="12"/>
    <m/>
    <m/>
    <n v="542459"/>
    <n v="542459"/>
    <m/>
    <m/>
    <m/>
    <m/>
    <n v="0"/>
    <m/>
    <m/>
    <n v="0"/>
    <n v="542459"/>
    <n v="542459"/>
    <m/>
    <m/>
    <m/>
    <m/>
    <n v="0"/>
    <m/>
    <m/>
    <n v="0"/>
    <m/>
    <m/>
    <m/>
    <m/>
    <m/>
    <m/>
    <n v="542459"/>
    <n v="542459"/>
  </r>
  <r>
    <x v="8"/>
    <x v="14"/>
    <s v="Statewide System Operations"/>
    <m/>
    <m/>
    <x v="12"/>
    <m/>
    <m/>
    <m/>
    <m/>
    <m/>
    <m/>
    <m/>
    <m/>
    <n v="0"/>
    <m/>
    <m/>
    <n v="0"/>
    <n v="0"/>
    <n v="0"/>
    <m/>
    <m/>
    <m/>
    <m/>
    <n v="0"/>
    <m/>
    <m/>
    <n v="0"/>
    <m/>
    <m/>
    <m/>
    <m/>
    <m/>
    <m/>
    <n v="0"/>
    <n v="0"/>
  </r>
  <r>
    <x v="8"/>
    <x v="16"/>
    <s v="Two-year system(s), if any"/>
    <m/>
    <m/>
    <x v="12"/>
    <m/>
    <m/>
    <m/>
    <m/>
    <m/>
    <m/>
    <m/>
    <m/>
    <n v="0"/>
    <m/>
    <m/>
    <n v="0"/>
    <n v="0"/>
    <n v="0"/>
    <m/>
    <m/>
    <m/>
    <m/>
    <n v="0"/>
    <m/>
    <m/>
    <n v="0"/>
    <m/>
    <m/>
    <m/>
    <m/>
    <m/>
    <m/>
    <n v="0"/>
    <n v="0"/>
  </r>
  <r>
    <x v="8"/>
    <x v="16"/>
    <s v="MS Community College Board"/>
    <m/>
    <m/>
    <x v="12"/>
    <m/>
    <m/>
    <m/>
    <m/>
    <m/>
    <m/>
    <m/>
    <m/>
    <n v="0"/>
    <m/>
    <m/>
    <n v="0"/>
    <n v="0"/>
    <n v="0"/>
    <m/>
    <m/>
    <m/>
    <m/>
    <n v="0"/>
    <m/>
    <m/>
    <n v="0"/>
    <m/>
    <m/>
    <m/>
    <m/>
    <m/>
    <m/>
    <n v="0"/>
    <n v="0"/>
  </r>
  <r>
    <x v="9"/>
    <x v="0"/>
    <s v="North Carolina State University "/>
    <m/>
    <n v="199193"/>
    <x v="0"/>
    <n v="342485636"/>
    <n v="350630242"/>
    <m/>
    <m/>
    <m/>
    <m/>
    <n v="314574669"/>
    <m/>
    <n v="314574669"/>
    <n v="321108191"/>
    <m/>
    <n v="321108191"/>
    <n v="657060305"/>
    <n v="671738433"/>
    <m/>
    <m/>
    <m/>
    <m/>
    <n v="0"/>
    <m/>
    <m/>
    <n v="0"/>
    <m/>
    <m/>
    <m/>
    <m/>
    <m/>
    <m/>
    <n v="657060305"/>
    <n v="671738433"/>
  </r>
  <r>
    <x v="9"/>
    <x v="1"/>
    <s v="Vet Med School"/>
    <m/>
    <n v="199193"/>
    <x v="0"/>
    <m/>
    <m/>
    <m/>
    <m/>
    <m/>
    <m/>
    <m/>
    <m/>
    <n v="0"/>
    <m/>
    <m/>
    <n v="0"/>
    <n v="0"/>
    <n v="0"/>
    <m/>
    <m/>
    <m/>
    <m/>
    <n v="0"/>
    <m/>
    <m/>
    <n v="0"/>
    <n v="33874963"/>
    <n v="35916125"/>
    <n v="5820609"/>
    <m/>
    <n v="6634088"/>
    <m/>
    <n v="39695572"/>
    <n v="42550213"/>
  </r>
  <r>
    <x v="9"/>
    <x v="5"/>
    <s v="Agricultural cooperative extension"/>
    <m/>
    <n v="199193"/>
    <x v="0"/>
    <m/>
    <m/>
    <n v="38085561"/>
    <n v="38582602"/>
    <m/>
    <m/>
    <m/>
    <m/>
    <n v="0"/>
    <m/>
    <m/>
    <n v="0"/>
    <n v="38085561"/>
    <n v="38582602"/>
    <m/>
    <m/>
    <m/>
    <m/>
    <n v="0"/>
    <m/>
    <m/>
    <n v="0"/>
    <m/>
    <m/>
    <m/>
    <m/>
    <m/>
    <m/>
    <n v="38085561"/>
    <n v="38582602"/>
  </r>
  <r>
    <x v="9"/>
    <x v="6"/>
    <s v="Agricultural experiment stations"/>
    <m/>
    <n v="199193"/>
    <x v="0"/>
    <m/>
    <m/>
    <m/>
    <m/>
    <m/>
    <m/>
    <m/>
    <m/>
    <n v="0"/>
    <m/>
    <m/>
    <n v="0"/>
    <n v="0"/>
    <n v="0"/>
    <m/>
    <m/>
    <m/>
    <m/>
    <n v="0"/>
    <m/>
    <m/>
    <n v="0"/>
    <m/>
    <m/>
    <m/>
    <m/>
    <m/>
    <m/>
    <n v="0"/>
    <n v="0"/>
  </r>
  <r>
    <x v="9"/>
    <x v="6"/>
    <s v="Agricultural Research Service"/>
    <m/>
    <n v="199193"/>
    <x v="0"/>
    <m/>
    <m/>
    <n v="52767313"/>
    <n v="53225463"/>
    <m/>
    <m/>
    <m/>
    <m/>
    <n v="0"/>
    <m/>
    <m/>
    <n v="0"/>
    <n v="52767313"/>
    <n v="53225463"/>
    <m/>
    <m/>
    <m/>
    <m/>
    <n v="0"/>
    <m/>
    <m/>
    <n v="0"/>
    <m/>
    <m/>
    <m/>
    <m/>
    <m/>
    <m/>
    <n v="52767313"/>
    <n v="53225463"/>
  </r>
  <r>
    <x v="9"/>
    <x v="0"/>
    <s v="University of North Carolina at Chapel Hill "/>
    <m/>
    <n v="199120"/>
    <x v="0"/>
    <n v="261709111"/>
    <n v="251509548"/>
    <m/>
    <m/>
    <m/>
    <m/>
    <n v="300772535"/>
    <m/>
    <n v="300772535"/>
    <n v="339533924"/>
    <m/>
    <n v="339533924"/>
    <n v="562481646"/>
    <n v="591043472"/>
    <m/>
    <m/>
    <m/>
    <m/>
    <n v="0"/>
    <m/>
    <m/>
    <n v="0"/>
    <m/>
    <m/>
    <m/>
    <m/>
    <m/>
    <m/>
    <n v="562481646"/>
    <n v="591043472"/>
  </r>
  <r>
    <x v="9"/>
    <x v="1"/>
    <s v="Health professions education"/>
    <m/>
    <n v="199120"/>
    <x v="0"/>
    <m/>
    <m/>
    <m/>
    <m/>
    <m/>
    <m/>
    <m/>
    <m/>
    <n v="0"/>
    <m/>
    <m/>
    <n v="0"/>
    <n v="0"/>
    <n v="0"/>
    <m/>
    <m/>
    <m/>
    <m/>
    <n v="0"/>
    <m/>
    <m/>
    <n v="0"/>
    <m/>
    <m/>
    <m/>
    <m/>
    <m/>
    <m/>
    <n v="0"/>
    <n v="0"/>
  </r>
  <r>
    <x v="9"/>
    <x v="1"/>
    <s v="Medical School"/>
    <m/>
    <n v="199120"/>
    <x v="0"/>
    <m/>
    <m/>
    <m/>
    <m/>
    <m/>
    <m/>
    <m/>
    <m/>
    <n v="0"/>
    <m/>
    <m/>
    <n v="0"/>
    <n v="0"/>
    <n v="0"/>
    <m/>
    <m/>
    <m/>
    <m/>
    <n v="0"/>
    <m/>
    <m/>
    <n v="0"/>
    <n v="179494226"/>
    <n v="186822880"/>
    <n v="89542389"/>
    <m/>
    <n v="106759144"/>
    <m/>
    <n v="269036615"/>
    <n v="293582024"/>
  </r>
  <r>
    <x v="9"/>
    <x v="0"/>
    <s v="University of North Carolina at Greensboro"/>
    <s v="Met the criteria for Four-Year 2 in 2014-15."/>
    <n v="199148"/>
    <x v="0"/>
    <n v="147367243"/>
    <n v="144302911"/>
    <m/>
    <m/>
    <m/>
    <m/>
    <n v="85426585"/>
    <m/>
    <n v="85426585"/>
    <n v="85048170"/>
    <m/>
    <n v="85048170"/>
    <n v="232793828"/>
    <n v="229351081"/>
    <m/>
    <m/>
    <m/>
    <m/>
    <n v="0"/>
    <m/>
    <m/>
    <n v="0"/>
    <m/>
    <m/>
    <m/>
    <m/>
    <m/>
    <m/>
    <n v="232793828"/>
    <n v="229351081"/>
  </r>
  <r>
    <x v="9"/>
    <x v="0"/>
    <s v="East Carolina University "/>
    <m/>
    <n v="198464"/>
    <x v="1"/>
    <n v="209537768"/>
    <n v="207925450"/>
    <m/>
    <m/>
    <m/>
    <m/>
    <n v="156562149"/>
    <m/>
    <n v="156562149"/>
    <n v="165171416"/>
    <m/>
    <n v="165171416"/>
    <n v="366099917"/>
    <n v="373096866"/>
    <m/>
    <m/>
    <m/>
    <m/>
    <n v="0"/>
    <m/>
    <m/>
    <n v="0"/>
    <m/>
    <m/>
    <m/>
    <m/>
    <m/>
    <m/>
    <n v="366099917"/>
    <n v="373096866"/>
  </r>
  <r>
    <x v="9"/>
    <x v="1"/>
    <s v="Medical School"/>
    <m/>
    <n v="198464"/>
    <x v="1"/>
    <m/>
    <m/>
    <m/>
    <m/>
    <m/>
    <m/>
    <m/>
    <m/>
    <n v="0"/>
    <m/>
    <m/>
    <n v="0"/>
    <n v="0"/>
    <n v="0"/>
    <m/>
    <m/>
    <m/>
    <m/>
    <n v="0"/>
    <m/>
    <m/>
    <n v="0"/>
    <n v="64272528"/>
    <n v="65556147"/>
    <n v="8301206"/>
    <m/>
    <n v="10121865"/>
    <m/>
    <n v="72573734"/>
    <n v="75678012"/>
  </r>
  <r>
    <x v="9"/>
    <x v="0"/>
    <s v="University of North Carolina at Charlotte"/>
    <s v="Reclassified: Met the criteria for Four-Year 1 in 2012-13, 2013-14, and 2014-15."/>
    <n v="199139"/>
    <x v="0"/>
    <n v="191041075"/>
    <n v="198375012"/>
    <m/>
    <m/>
    <m/>
    <m/>
    <n v="132819755"/>
    <m/>
    <n v="132819755"/>
    <n v="137051166"/>
    <m/>
    <n v="137051166"/>
    <n v="323860830"/>
    <n v="335426178"/>
    <m/>
    <m/>
    <m/>
    <m/>
    <n v="0"/>
    <m/>
    <m/>
    <n v="0"/>
    <m/>
    <m/>
    <m/>
    <m/>
    <m/>
    <m/>
    <n v="323860830"/>
    <n v="335426178"/>
  </r>
  <r>
    <x v="9"/>
    <x v="0"/>
    <s v="Appalachian State University "/>
    <m/>
    <n v="197869"/>
    <x v="2"/>
    <n v="126805783"/>
    <n v="127133315"/>
    <m/>
    <m/>
    <m/>
    <m/>
    <n v="86135319"/>
    <m/>
    <n v="86135319"/>
    <n v="90429659"/>
    <m/>
    <n v="90429659"/>
    <n v="212941102"/>
    <n v="217562974"/>
    <m/>
    <m/>
    <m/>
    <m/>
    <n v="0"/>
    <m/>
    <m/>
    <n v="0"/>
    <m/>
    <m/>
    <m/>
    <m/>
    <m/>
    <m/>
    <n v="212941102"/>
    <n v="217562974"/>
  </r>
  <r>
    <x v="9"/>
    <x v="0"/>
    <s v="North Carolina Agricultural &amp; Technical State University"/>
    <m/>
    <n v="199102"/>
    <x v="2"/>
    <n v="93069245"/>
    <n v="91216687"/>
    <m/>
    <m/>
    <m/>
    <m/>
    <n v="59084517"/>
    <m/>
    <n v="59084517"/>
    <n v="63115477"/>
    <m/>
    <n v="63115477"/>
    <n v="152153762"/>
    <n v="154332164"/>
    <m/>
    <m/>
    <m/>
    <m/>
    <n v="0"/>
    <m/>
    <m/>
    <n v="0"/>
    <m/>
    <m/>
    <m/>
    <m/>
    <m/>
    <m/>
    <n v="152153762"/>
    <n v="154332164"/>
  </r>
  <r>
    <x v="9"/>
    <x v="0"/>
    <s v="North Carolina Central University "/>
    <m/>
    <n v="199157"/>
    <x v="2"/>
    <n v="78943845"/>
    <n v="81825156"/>
    <m/>
    <m/>
    <m/>
    <m/>
    <n v="42070240"/>
    <m/>
    <n v="42070240"/>
    <n v="48232208"/>
    <m/>
    <n v="48232208"/>
    <n v="121014085"/>
    <n v="130057364"/>
    <m/>
    <m/>
    <m/>
    <m/>
    <n v="0"/>
    <m/>
    <m/>
    <n v="0"/>
    <m/>
    <m/>
    <m/>
    <m/>
    <m/>
    <m/>
    <n v="121014085"/>
    <n v="130057364"/>
  </r>
  <r>
    <x v="9"/>
    <x v="0"/>
    <s v="University of North Carolina at Wilmington"/>
    <m/>
    <n v="199218"/>
    <x v="2"/>
    <n v="96893534"/>
    <n v="100957797"/>
    <m/>
    <m/>
    <m/>
    <m/>
    <n v="80833502"/>
    <m/>
    <n v="80833502"/>
    <n v="84107625"/>
    <m/>
    <n v="84107625"/>
    <n v="177727036"/>
    <n v="185065422"/>
    <m/>
    <m/>
    <m/>
    <m/>
    <n v="0"/>
    <m/>
    <m/>
    <n v="0"/>
    <m/>
    <m/>
    <m/>
    <m/>
    <m/>
    <m/>
    <n v="177727036"/>
    <n v="185065422"/>
  </r>
  <r>
    <x v="9"/>
    <x v="0"/>
    <s v="Western Carolina University "/>
    <m/>
    <n v="200004"/>
    <x v="2"/>
    <n v="82016799"/>
    <n v="85826608"/>
    <m/>
    <m/>
    <m/>
    <m/>
    <n v="43893395"/>
    <m/>
    <n v="43893395"/>
    <n v="45645154"/>
    <m/>
    <n v="45645154"/>
    <n v="125910194"/>
    <n v="131471762"/>
    <m/>
    <m/>
    <m/>
    <m/>
    <n v="0"/>
    <m/>
    <m/>
    <n v="0"/>
    <m/>
    <m/>
    <m/>
    <m/>
    <m/>
    <m/>
    <n v="125910194"/>
    <n v="131471762"/>
  </r>
  <r>
    <x v="9"/>
    <x v="0"/>
    <s v="Fayetteville State University "/>
    <m/>
    <n v="198543"/>
    <x v="3"/>
    <n v="49422472"/>
    <n v="48633183"/>
    <m/>
    <m/>
    <m/>
    <m/>
    <n v="19080943"/>
    <m/>
    <n v="19080943"/>
    <n v="19855512"/>
    <m/>
    <n v="19855512"/>
    <n v="68503415"/>
    <n v="68488695"/>
    <m/>
    <m/>
    <m/>
    <m/>
    <n v="0"/>
    <m/>
    <m/>
    <n v="0"/>
    <m/>
    <m/>
    <m/>
    <m/>
    <m/>
    <m/>
    <n v="68503415"/>
    <n v="68488695"/>
  </r>
  <r>
    <x v="9"/>
    <x v="0"/>
    <s v="University of North Carolina at Pembroke"/>
    <m/>
    <n v="199281"/>
    <x v="4"/>
    <n v="52416930"/>
    <n v="53644144"/>
    <m/>
    <m/>
    <m/>
    <m/>
    <n v="19932510"/>
    <m/>
    <n v="19932510"/>
    <n v="25034386"/>
    <m/>
    <n v="25034386"/>
    <n v="72349440"/>
    <n v="78678530"/>
    <m/>
    <m/>
    <m/>
    <m/>
    <n v="0"/>
    <m/>
    <m/>
    <n v="0"/>
    <m/>
    <m/>
    <m/>
    <m/>
    <m/>
    <m/>
    <n v="72349440"/>
    <n v="78678530"/>
  </r>
  <r>
    <x v="9"/>
    <x v="0"/>
    <s v="Winston-Salem State University "/>
    <m/>
    <n v="199999"/>
    <x v="4"/>
    <n v="65859473"/>
    <n v="64564664"/>
    <m/>
    <m/>
    <m/>
    <m/>
    <n v="23180099"/>
    <m/>
    <n v="23180099"/>
    <n v="23484385"/>
    <m/>
    <n v="23484385"/>
    <n v="89039572"/>
    <n v="88049049"/>
    <m/>
    <m/>
    <m/>
    <m/>
    <n v="0"/>
    <m/>
    <m/>
    <n v="0"/>
    <m/>
    <m/>
    <m/>
    <m/>
    <m/>
    <m/>
    <n v="89039572"/>
    <n v="88049049"/>
  </r>
  <r>
    <x v="9"/>
    <x v="0"/>
    <s v="Elizabeth City State University "/>
    <s v="Met the criteria for Four-Year 5 in 2013-14 and 2014-15."/>
    <n v="198507"/>
    <x v="5"/>
    <n v="33535766"/>
    <n v="30658643"/>
    <m/>
    <m/>
    <m/>
    <m/>
    <n v="9518458"/>
    <m/>
    <n v="9518458"/>
    <n v="10308430"/>
    <m/>
    <n v="10308430"/>
    <n v="43054224"/>
    <n v="40967073"/>
    <m/>
    <m/>
    <m/>
    <m/>
    <n v="0"/>
    <m/>
    <m/>
    <n v="0"/>
    <m/>
    <m/>
    <m/>
    <m/>
    <m/>
    <m/>
    <n v="43054224"/>
    <n v="40967073"/>
  </r>
  <r>
    <x v="9"/>
    <x v="0"/>
    <s v="University of North Carolina at Asheville"/>
    <m/>
    <n v="199111"/>
    <x v="5"/>
    <n v="36524175"/>
    <n v="37703887"/>
    <m/>
    <m/>
    <m/>
    <m/>
    <n v="18955276"/>
    <m/>
    <n v="18955276"/>
    <n v="19587830"/>
    <m/>
    <n v="19587830"/>
    <n v="55479451"/>
    <n v="57291717"/>
    <m/>
    <m/>
    <m/>
    <m/>
    <n v="0"/>
    <m/>
    <m/>
    <n v="0"/>
    <m/>
    <m/>
    <m/>
    <m/>
    <m/>
    <m/>
    <n v="55479451"/>
    <n v="57291717"/>
  </r>
  <r>
    <x v="9"/>
    <x v="9"/>
    <s v="North Carolina School of the Arts"/>
    <m/>
    <n v="199184"/>
    <x v="11"/>
    <m/>
    <m/>
    <m/>
    <m/>
    <m/>
    <m/>
    <m/>
    <m/>
    <n v="0"/>
    <m/>
    <m/>
    <n v="0"/>
    <n v="0"/>
    <n v="0"/>
    <n v="31868375"/>
    <n v="28861488"/>
    <n v="13250568"/>
    <m/>
    <n v="13250568"/>
    <n v="14549931"/>
    <m/>
    <n v="14549931"/>
    <m/>
    <m/>
    <m/>
    <m/>
    <m/>
    <m/>
    <n v="45118943"/>
    <n v="43411419"/>
  </r>
  <r>
    <x v="9"/>
    <x v="10"/>
    <s v="Education special purpose funds- statewide units"/>
    <m/>
    <m/>
    <x v="12"/>
    <m/>
    <m/>
    <m/>
    <m/>
    <m/>
    <m/>
    <m/>
    <m/>
    <n v="0"/>
    <m/>
    <m/>
    <n v="0"/>
    <n v="0"/>
    <n v="0"/>
    <m/>
    <m/>
    <m/>
    <m/>
    <n v="0"/>
    <m/>
    <m/>
    <n v="0"/>
    <m/>
    <m/>
    <m/>
    <m/>
    <m/>
    <m/>
    <n v="0"/>
    <n v="0"/>
  </r>
  <r>
    <x v="9"/>
    <x v="42"/>
    <s v="Community or public service units"/>
    <m/>
    <m/>
    <x v="12"/>
    <m/>
    <m/>
    <m/>
    <m/>
    <m/>
    <m/>
    <m/>
    <m/>
    <n v="0"/>
    <m/>
    <m/>
    <n v="0"/>
    <n v="0"/>
    <n v="0"/>
    <m/>
    <m/>
    <m/>
    <m/>
    <n v="0"/>
    <m/>
    <m/>
    <n v="0"/>
    <m/>
    <m/>
    <m/>
    <m/>
    <m/>
    <m/>
    <n v="0"/>
    <n v="0"/>
  </r>
  <r>
    <x v="9"/>
    <x v="42"/>
    <s v="Statewide Educational TV"/>
    <m/>
    <m/>
    <x v="12"/>
    <m/>
    <m/>
    <n v="8985356"/>
    <n v="9092715"/>
    <m/>
    <m/>
    <m/>
    <m/>
    <n v="0"/>
    <m/>
    <m/>
    <n v="0"/>
    <n v="8985356"/>
    <n v="9092715"/>
    <m/>
    <m/>
    <m/>
    <m/>
    <n v="0"/>
    <m/>
    <m/>
    <n v="0"/>
    <m/>
    <m/>
    <m/>
    <m/>
    <m/>
    <m/>
    <n v="8985356"/>
    <n v="9092715"/>
  </r>
  <r>
    <x v="9"/>
    <x v="42"/>
    <s v="Univ Syst Community Service Programs"/>
    <m/>
    <m/>
    <x v="12"/>
    <m/>
    <m/>
    <n v="853195"/>
    <n v="2078198"/>
    <m/>
    <m/>
    <m/>
    <m/>
    <n v="0"/>
    <m/>
    <m/>
    <n v="0"/>
    <n v="853195"/>
    <n v="2078198"/>
    <m/>
    <m/>
    <m/>
    <m/>
    <n v="0"/>
    <m/>
    <m/>
    <n v="0"/>
    <m/>
    <m/>
    <m/>
    <m/>
    <m/>
    <m/>
    <n v="853195"/>
    <n v="2078198"/>
  </r>
  <r>
    <x v="9"/>
    <x v="42"/>
    <s v="Univ Syst Educational Computing Service"/>
    <m/>
    <m/>
    <x v="12"/>
    <m/>
    <m/>
    <m/>
    <m/>
    <m/>
    <m/>
    <m/>
    <m/>
    <n v="0"/>
    <m/>
    <m/>
    <n v="0"/>
    <n v="0"/>
    <n v="0"/>
    <m/>
    <m/>
    <m/>
    <m/>
    <n v="0"/>
    <m/>
    <m/>
    <n v="0"/>
    <m/>
    <m/>
    <m/>
    <m/>
    <m/>
    <m/>
    <n v="0"/>
    <n v="0"/>
  </r>
  <r>
    <x v="9"/>
    <x v="42"/>
    <s v="UNC Hospitals"/>
    <m/>
    <m/>
    <x v="12"/>
    <m/>
    <m/>
    <m/>
    <m/>
    <m/>
    <m/>
    <m/>
    <m/>
    <n v="0"/>
    <m/>
    <m/>
    <n v="0"/>
    <n v="0"/>
    <n v="0"/>
    <m/>
    <m/>
    <m/>
    <m/>
    <n v="0"/>
    <m/>
    <m/>
    <n v="0"/>
    <m/>
    <m/>
    <m/>
    <m/>
    <m/>
    <m/>
    <n v="0"/>
    <n v="0"/>
  </r>
  <r>
    <x v="9"/>
    <x v="42"/>
    <s v="UNC Area Health Education Centers Program"/>
    <m/>
    <m/>
    <x v="12"/>
    <m/>
    <m/>
    <m/>
    <m/>
    <m/>
    <m/>
    <m/>
    <m/>
    <n v="0"/>
    <m/>
    <m/>
    <n v="0"/>
    <n v="0"/>
    <n v="0"/>
    <n v="41051371"/>
    <n v="41254860"/>
    <m/>
    <m/>
    <n v="0"/>
    <m/>
    <m/>
    <n v="0"/>
    <m/>
    <m/>
    <m/>
    <m/>
    <m/>
    <m/>
    <n v="41051371"/>
    <n v="41254860"/>
  </r>
  <r>
    <x v="9"/>
    <x v="11"/>
    <s v="Research centers/institutes"/>
    <m/>
    <m/>
    <x v="12"/>
    <m/>
    <m/>
    <m/>
    <m/>
    <m/>
    <m/>
    <m/>
    <m/>
    <n v="0"/>
    <m/>
    <m/>
    <n v="0"/>
    <n v="0"/>
    <n v="0"/>
    <m/>
    <m/>
    <m/>
    <m/>
    <n v="0"/>
    <m/>
    <m/>
    <n v="0"/>
    <m/>
    <m/>
    <m/>
    <m/>
    <m/>
    <m/>
    <n v="0"/>
    <n v="0"/>
  </r>
  <r>
    <x v="9"/>
    <x v="11"/>
    <s v="Microelectronic Computing Center of North Carolina"/>
    <m/>
    <m/>
    <x v="12"/>
    <m/>
    <m/>
    <n v="5100000"/>
    <n v="4900000"/>
    <m/>
    <m/>
    <m/>
    <m/>
    <n v="0"/>
    <m/>
    <m/>
    <n v="0"/>
    <n v="5100000"/>
    <n v="4900000"/>
    <m/>
    <m/>
    <m/>
    <m/>
    <n v="0"/>
    <m/>
    <m/>
    <n v="0"/>
    <m/>
    <m/>
    <m/>
    <m/>
    <m/>
    <m/>
    <n v="5100000"/>
    <n v="4900000"/>
  </r>
  <r>
    <x v="9"/>
    <x v="13"/>
    <s v="Education special purpose funds- all other"/>
    <m/>
    <m/>
    <x v="12"/>
    <m/>
    <m/>
    <m/>
    <m/>
    <m/>
    <m/>
    <m/>
    <m/>
    <n v="0"/>
    <m/>
    <m/>
    <n v="0"/>
    <n v="0"/>
    <n v="0"/>
    <m/>
    <m/>
    <m/>
    <m/>
    <n v="0"/>
    <m/>
    <m/>
    <n v="0"/>
    <m/>
    <m/>
    <m/>
    <m/>
    <m/>
    <m/>
    <n v="0"/>
    <n v="0"/>
  </r>
  <r>
    <x v="9"/>
    <x v="13"/>
    <s v="UNC Reserve for Future Allocation"/>
    <m/>
    <m/>
    <x v="12"/>
    <m/>
    <m/>
    <n v="16020000"/>
    <n v="30880020"/>
    <m/>
    <m/>
    <m/>
    <m/>
    <n v="0"/>
    <m/>
    <m/>
    <n v="0"/>
    <n v="16020000"/>
    <n v="30880020"/>
    <m/>
    <m/>
    <m/>
    <m/>
    <n v="0"/>
    <m/>
    <m/>
    <n v="0"/>
    <m/>
    <m/>
    <m/>
    <m/>
    <m/>
    <m/>
    <n v="16020000"/>
    <n v="30880020"/>
  </r>
  <r>
    <x v="9"/>
    <x v="14"/>
    <s v="Statewide System Operations"/>
    <m/>
    <m/>
    <x v="12"/>
    <m/>
    <m/>
    <m/>
    <m/>
    <m/>
    <m/>
    <m/>
    <m/>
    <n v="0"/>
    <m/>
    <m/>
    <n v="0"/>
    <n v="0"/>
    <n v="0"/>
    <m/>
    <m/>
    <m/>
    <m/>
    <n v="0"/>
    <m/>
    <m/>
    <n v="0"/>
    <m/>
    <m/>
    <m/>
    <m/>
    <m/>
    <m/>
    <n v="0"/>
    <n v="0"/>
  </r>
  <r>
    <x v="9"/>
    <x v="15"/>
    <s v="Colleges and universities"/>
    <m/>
    <m/>
    <x v="12"/>
    <m/>
    <m/>
    <m/>
    <m/>
    <m/>
    <m/>
    <m/>
    <m/>
    <n v="0"/>
    <m/>
    <m/>
    <n v="0"/>
    <n v="0"/>
    <n v="0"/>
    <m/>
    <m/>
    <m/>
    <m/>
    <n v="0"/>
    <m/>
    <m/>
    <n v="0"/>
    <m/>
    <m/>
    <m/>
    <m/>
    <m/>
    <m/>
    <n v="0"/>
    <n v="0"/>
  </r>
  <r>
    <x v="9"/>
    <x v="15"/>
    <s v="UNC General Administration"/>
    <m/>
    <m/>
    <x v="12"/>
    <m/>
    <m/>
    <m/>
    <m/>
    <m/>
    <m/>
    <m/>
    <m/>
    <n v="0"/>
    <m/>
    <m/>
    <n v="0"/>
    <n v="0"/>
    <n v="0"/>
    <n v="22739645"/>
    <n v="24921726"/>
    <m/>
    <m/>
    <n v="0"/>
    <m/>
    <m/>
    <n v="0"/>
    <m/>
    <m/>
    <m/>
    <m/>
    <m/>
    <m/>
    <n v="22739645"/>
    <n v="24921726"/>
  </r>
  <r>
    <x v="9"/>
    <x v="17"/>
    <s v="National or regional associations, compacts or consortia"/>
    <m/>
    <m/>
    <x v="12"/>
    <m/>
    <m/>
    <m/>
    <m/>
    <m/>
    <m/>
    <m/>
    <m/>
    <n v="0"/>
    <m/>
    <m/>
    <n v="0"/>
    <n v="0"/>
    <n v="0"/>
    <m/>
    <m/>
    <m/>
    <m/>
    <n v="0"/>
    <m/>
    <m/>
    <n v="0"/>
    <m/>
    <m/>
    <m/>
    <m/>
    <m/>
    <m/>
    <n v="0"/>
    <n v="0"/>
  </r>
  <r>
    <x v="9"/>
    <x v="17"/>
    <s v="SREB Membership"/>
    <m/>
    <m/>
    <x v="12"/>
    <m/>
    <m/>
    <m/>
    <m/>
    <m/>
    <m/>
    <m/>
    <m/>
    <n v="0"/>
    <m/>
    <m/>
    <n v="0"/>
    <n v="0"/>
    <n v="0"/>
    <n v="193550"/>
    <n v="204997"/>
    <m/>
    <m/>
    <n v="0"/>
    <m/>
    <m/>
    <n v="0"/>
    <m/>
    <m/>
    <m/>
    <m/>
    <m/>
    <m/>
    <n v="193550"/>
    <n v="204997"/>
  </r>
  <r>
    <x v="9"/>
    <x v="18"/>
    <s v="Adm. of Statewide Student Aid Progs. (incldng centralized guaranteed student loans)"/>
    <m/>
    <m/>
    <x v="12"/>
    <m/>
    <m/>
    <m/>
    <m/>
    <m/>
    <m/>
    <m/>
    <m/>
    <n v="0"/>
    <m/>
    <m/>
    <n v="0"/>
    <n v="0"/>
    <n v="0"/>
    <m/>
    <m/>
    <m/>
    <m/>
    <n v="0"/>
    <m/>
    <m/>
    <n v="0"/>
    <m/>
    <m/>
    <m/>
    <m/>
    <m/>
    <m/>
    <n v="0"/>
    <n v="0"/>
  </r>
  <r>
    <x v="9"/>
    <x v="19"/>
    <s v="State Support to Private Colleges Other Than Student Aid"/>
    <m/>
    <m/>
    <x v="12"/>
    <m/>
    <m/>
    <m/>
    <m/>
    <m/>
    <m/>
    <m/>
    <m/>
    <n v="0"/>
    <m/>
    <m/>
    <n v="0"/>
    <n v="0"/>
    <n v="0"/>
    <m/>
    <m/>
    <m/>
    <m/>
    <n v="0"/>
    <m/>
    <m/>
    <n v="0"/>
    <m/>
    <m/>
    <m/>
    <m/>
    <m/>
    <m/>
    <n v="0"/>
    <n v="0"/>
  </r>
  <r>
    <x v="9"/>
    <x v="19"/>
    <s v="Capitation pymnts &amp; fnncl ad for rsdnt stdnts nrlld at prvt md schls"/>
    <m/>
    <m/>
    <x v="12"/>
    <m/>
    <m/>
    <m/>
    <m/>
    <m/>
    <m/>
    <m/>
    <m/>
    <n v="0"/>
    <m/>
    <m/>
    <n v="0"/>
    <n v="0"/>
    <n v="0"/>
    <m/>
    <m/>
    <m/>
    <m/>
    <n v="0"/>
    <m/>
    <m/>
    <n v="0"/>
    <m/>
    <m/>
    <m/>
    <m/>
    <m/>
    <m/>
    <n v="0"/>
    <n v="0"/>
  </r>
  <r>
    <x v="9"/>
    <x v="20"/>
    <s v="Contract Education Programs"/>
    <m/>
    <m/>
    <x v="12"/>
    <m/>
    <m/>
    <m/>
    <m/>
    <m/>
    <m/>
    <m/>
    <m/>
    <n v="0"/>
    <m/>
    <m/>
    <n v="0"/>
    <n v="0"/>
    <n v="0"/>
    <m/>
    <m/>
    <m/>
    <m/>
    <n v="0"/>
    <m/>
    <m/>
    <n v="0"/>
    <m/>
    <m/>
    <m/>
    <m/>
    <m/>
    <m/>
    <n v="0"/>
    <n v="0"/>
  </r>
  <r>
    <x v="9"/>
    <x v="21"/>
    <s v="SREB contract program with private colleges"/>
    <m/>
    <m/>
    <x v="12"/>
    <m/>
    <m/>
    <m/>
    <m/>
    <m/>
    <m/>
    <m/>
    <m/>
    <n v="0"/>
    <m/>
    <m/>
    <n v="0"/>
    <n v="0"/>
    <n v="0"/>
    <m/>
    <m/>
    <m/>
    <m/>
    <n v="0"/>
    <m/>
    <m/>
    <n v="0"/>
    <m/>
    <m/>
    <m/>
    <m/>
    <m/>
    <m/>
    <n v="0"/>
    <n v="0"/>
  </r>
  <r>
    <x v="9"/>
    <x v="21"/>
    <s v="Meharry Medical College (Dentistry, Medicine, Special Aid)"/>
    <m/>
    <m/>
    <x v="12"/>
    <m/>
    <m/>
    <m/>
    <m/>
    <m/>
    <m/>
    <m/>
    <m/>
    <n v="0"/>
    <m/>
    <m/>
    <n v="0"/>
    <n v="0"/>
    <n v="0"/>
    <m/>
    <m/>
    <m/>
    <m/>
    <n v="0"/>
    <m/>
    <m/>
    <n v="0"/>
    <m/>
    <m/>
    <m/>
    <m/>
    <m/>
    <m/>
    <n v="0"/>
    <n v="0"/>
  </r>
  <r>
    <x v="9"/>
    <x v="21"/>
    <s v="Southern College of Optometry"/>
    <m/>
    <m/>
    <x v="12"/>
    <m/>
    <m/>
    <m/>
    <m/>
    <m/>
    <m/>
    <m/>
    <m/>
    <n v="0"/>
    <m/>
    <m/>
    <n v="0"/>
    <n v="0"/>
    <n v="0"/>
    <m/>
    <m/>
    <m/>
    <m/>
    <n v="0"/>
    <m/>
    <m/>
    <n v="0"/>
    <m/>
    <m/>
    <m/>
    <m/>
    <m/>
    <m/>
    <n v="0"/>
    <n v="0"/>
  </r>
  <r>
    <x v="9"/>
    <x v="22"/>
    <s v="SREB contract program with public colleges"/>
    <m/>
    <m/>
    <x v="12"/>
    <m/>
    <m/>
    <m/>
    <m/>
    <m/>
    <m/>
    <m/>
    <m/>
    <n v="0"/>
    <m/>
    <m/>
    <n v="0"/>
    <n v="0"/>
    <n v="0"/>
    <m/>
    <m/>
    <m/>
    <m/>
    <n v="0"/>
    <m/>
    <m/>
    <n v="0"/>
    <m/>
    <m/>
    <m/>
    <m/>
    <m/>
    <m/>
    <n v="0"/>
    <n v="0"/>
  </r>
  <r>
    <x v="9"/>
    <x v="22"/>
    <s v="University of Houston (Optometry)"/>
    <m/>
    <m/>
    <x v="12"/>
    <m/>
    <m/>
    <m/>
    <m/>
    <m/>
    <m/>
    <m/>
    <m/>
    <n v="0"/>
    <m/>
    <m/>
    <n v="0"/>
    <n v="0"/>
    <n v="0"/>
    <m/>
    <m/>
    <m/>
    <m/>
    <n v="0"/>
    <m/>
    <m/>
    <n v="0"/>
    <m/>
    <m/>
    <m/>
    <m/>
    <m/>
    <m/>
    <n v="0"/>
    <n v="0"/>
  </r>
  <r>
    <x v="9"/>
    <x v="22"/>
    <s v="University of Alabama at Birmingham (Optometry)"/>
    <m/>
    <m/>
    <x v="12"/>
    <m/>
    <m/>
    <m/>
    <m/>
    <m/>
    <m/>
    <m/>
    <m/>
    <n v="0"/>
    <m/>
    <m/>
    <n v="0"/>
    <n v="0"/>
    <n v="0"/>
    <m/>
    <m/>
    <m/>
    <m/>
    <n v="0"/>
    <m/>
    <m/>
    <n v="0"/>
    <m/>
    <m/>
    <m/>
    <m/>
    <m/>
    <m/>
    <n v="0"/>
    <n v="0"/>
  </r>
  <r>
    <x v="9"/>
    <x v="23"/>
    <s v="Other contract education programs"/>
    <m/>
    <m/>
    <x v="12"/>
    <m/>
    <m/>
    <m/>
    <m/>
    <m/>
    <m/>
    <m/>
    <m/>
    <n v="0"/>
    <m/>
    <m/>
    <n v="0"/>
    <n v="0"/>
    <n v="0"/>
    <m/>
    <m/>
    <m/>
    <m/>
    <n v="0"/>
    <m/>
    <m/>
    <n v="0"/>
    <m/>
    <m/>
    <m/>
    <m/>
    <m/>
    <m/>
    <n v="0"/>
    <n v="0"/>
  </r>
  <r>
    <x v="9"/>
    <x v="24"/>
    <s v="Statewide Student Financial Aid Programs Administered Off Campus"/>
    <m/>
    <m/>
    <x v="12"/>
    <m/>
    <m/>
    <m/>
    <m/>
    <m/>
    <m/>
    <m/>
    <m/>
    <n v="0"/>
    <m/>
    <m/>
    <n v="0"/>
    <n v="0"/>
    <n v="0"/>
    <m/>
    <m/>
    <m/>
    <m/>
    <n v="0"/>
    <m/>
    <m/>
    <n v="0"/>
    <m/>
    <m/>
    <m/>
    <m/>
    <m/>
    <m/>
    <n v="0"/>
    <n v="0"/>
  </r>
  <r>
    <x v="9"/>
    <x v="25"/>
    <s v="Available to public &amp; private sector students"/>
    <m/>
    <m/>
    <x v="12"/>
    <m/>
    <m/>
    <m/>
    <m/>
    <m/>
    <m/>
    <m/>
    <m/>
    <n v="0"/>
    <m/>
    <m/>
    <n v="0"/>
    <n v="0"/>
    <n v="0"/>
    <m/>
    <m/>
    <m/>
    <m/>
    <n v="0"/>
    <m/>
    <m/>
    <n v="0"/>
    <m/>
    <m/>
    <m/>
    <m/>
    <m/>
    <m/>
    <n v="0"/>
    <n v="0"/>
  </r>
  <r>
    <x v="9"/>
    <x v="25"/>
    <s v="Board of Governors Medical Scholarships"/>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C Student Incentive Grant"/>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C Student Loan Program for Health, Science and Mathematics"/>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urse Education Scholarship/Loans"/>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Graduate Nurse Scholars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Prospective Teacher Scholarship Loan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Future Teachers of North Carolina Scholarship Loan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urse Scholars Program"/>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m/>
    <m/>
    <m/>
    <m/>
    <n v="0"/>
    <m/>
    <m/>
    <n v="0"/>
    <m/>
    <m/>
    <m/>
    <m/>
    <m/>
    <m/>
    <n v="0"/>
    <n v="0"/>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NC Veterans Scholarships"/>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5568222"/>
    <n v="5568222"/>
    <m/>
    <m/>
    <n v="0"/>
    <m/>
    <m/>
    <n v="0"/>
    <m/>
    <m/>
    <m/>
    <m/>
    <m/>
    <m/>
    <n v="5568222"/>
    <n v="5568222"/>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25"/>
    <s v="Forgivable Education Loans for Service"/>
    <m/>
    <m/>
    <x v="12"/>
    <m/>
    <m/>
    <m/>
    <m/>
    <m/>
    <m/>
    <m/>
    <m/>
    <n v="0"/>
    <m/>
    <m/>
    <n v="0"/>
    <n v="0"/>
    <n v="0"/>
    <m/>
    <m/>
    <m/>
    <m/>
    <n v="0"/>
    <m/>
    <m/>
    <n v="0"/>
    <m/>
    <m/>
    <m/>
    <m/>
    <m/>
    <m/>
    <n v="0"/>
    <n v="0"/>
  </r>
  <r>
    <x v="9"/>
    <x v="26"/>
    <s v="Need-based"/>
    <m/>
    <m/>
    <x v="12"/>
    <m/>
    <m/>
    <m/>
    <m/>
    <m/>
    <m/>
    <m/>
    <m/>
    <n v="0"/>
    <m/>
    <m/>
    <n v="0"/>
    <n v="0"/>
    <n v="0"/>
    <m/>
    <m/>
    <m/>
    <m/>
    <n v="0"/>
    <m/>
    <m/>
    <n v="0"/>
    <m/>
    <m/>
    <m/>
    <m/>
    <m/>
    <m/>
    <n v="0"/>
    <n v="0"/>
  </r>
  <r>
    <x v="9"/>
    <x v="27"/>
    <s v="Non need-based"/>
    <m/>
    <m/>
    <x v="12"/>
    <m/>
    <m/>
    <m/>
    <m/>
    <m/>
    <m/>
    <m/>
    <m/>
    <n v="0"/>
    <m/>
    <m/>
    <n v="0"/>
    <n v="0"/>
    <n v="0"/>
    <n v="16594166"/>
    <n v="16594166"/>
    <m/>
    <m/>
    <n v="0"/>
    <m/>
    <m/>
    <n v="0"/>
    <m/>
    <m/>
    <m/>
    <m/>
    <m/>
    <m/>
    <n v="16594166"/>
    <n v="16594166"/>
  </r>
  <r>
    <x v="9"/>
    <x v="28"/>
    <s v="Amount to public sector students"/>
    <m/>
    <m/>
    <x v="12"/>
    <m/>
    <m/>
    <m/>
    <m/>
    <m/>
    <m/>
    <m/>
    <m/>
    <n v="0"/>
    <m/>
    <m/>
    <n v="0"/>
    <n v="0"/>
    <n v="0"/>
    <m/>
    <m/>
    <m/>
    <m/>
    <n v="0"/>
    <m/>
    <m/>
    <n v="0"/>
    <m/>
    <m/>
    <m/>
    <m/>
    <m/>
    <m/>
    <n v="0"/>
    <n v="0"/>
  </r>
  <r>
    <x v="9"/>
    <x v="29"/>
    <s v="Need-based"/>
    <m/>
    <m/>
    <x v="12"/>
    <m/>
    <m/>
    <m/>
    <m/>
    <m/>
    <m/>
    <m/>
    <m/>
    <n v="0"/>
    <m/>
    <m/>
    <n v="0"/>
    <n v="0"/>
    <n v="0"/>
    <m/>
    <m/>
    <m/>
    <m/>
    <n v="0"/>
    <m/>
    <m/>
    <n v="0"/>
    <m/>
    <m/>
    <m/>
    <m/>
    <m/>
    <m/>
    <n v="0"/>
    <n v="0"/>
  </r>
  <r>
    <x v="9"/>
    <x v="27"/>
    <s v="Non need-based"/>
    <m/>
    <m/>
    <x v="12"/>
    <m/>
    <m/>
    <m/>
    <m/>
    <m/>
    <m/>
    <m/>
    <m/>
    <n v="0"/>
    <m/>
    <m/>
    <n v="0"/>
    <n v="0"/>
    <n v="0"/>
    <m/>
    <m/>
    <m/>
    <m/>
    <n v="0"/>
    <m/>
    <m/>
    <n v="0"/>
    <m/>
    <m/>
    <m/>
    <m/>
    <m/>
    <m/>
    <n v="0"/>
    <n v="0"/>
  </r>
  <r>
    <x v="9"/>
    <x v="31"/>
    <s v="Amount to private sector students"/>
    <m/>
    <m/>
    <x v="12"/>
    <m/>
    <m/>
    <m/>
    <m/>
    <m/>
    <m/>
    <m/>
    <m/>
    <n v="0"/>
    <m/>
    <m/>
    <n v="0"/>
    <n v="0"/>
    <n v="0"/>
    <m/>
    <m/>
    <m/>
    <m/>
    <n v="0"/>
    <m/>
    <m/>
    <n v="0"/>
    <m/>
    <m/>
    <m/>
    <m/>
    <m/>
    <m/>
    <n v="0"/>
    <n v="0"/>
  </r>
  <r>
    <x v="9"/>
    <x v="32"/>
    <s v="Need-based"/>
    <m/>
    <m/>
    <x v="12"/>
    <m/>
    <m/>
    <m/>
    <m/>
    <m/>
    <m/>
    <m/>
    <m/>
    <n v="0"/>
    <m/>
    <m/>
    <n v="0"/>
    <n v="0"/>
    <n v="0"/>
    <m/>
    <m/>
    <m/>
    <m/>
    <n v="0"/>
    <m/>
    <m/>
    <n v="0"/>
    <m/>
    <m/>
    <m/>
    <m/>
    <m/>
    <m/>
    <n v="0"/>
    <n v="0"/>
  </r>
  <r>
    <x v="9"/>
    <x v="27"/>
    <s v="Non need-based"/>
    <m/>
    <m/>
    <x v="12"/>
    <m/>
    <m/>
    <m/>
    <m/>
    <m/>
    <m/>
    <m/>
    <m/>
    <n v="0"/>
    <m/>
    <m/>
    <n v="0"/>
    <n v="0"/>
    <n v="0"/>
    <m/>
    <m/>
    <m/>
    <m/>
    <n v="0"/>
    <m/>
    <m/>
    <n v="0"/>
    <m/>
    <m/>
    <m/>
    <m/>
    <m/>
    <m/>
    <n v="0"/>
    <n v="0"/>
  </r>
  <r>
    <x v="9"/>
    <x v="34"/>
    <s v="Limited to public college students only"/>
    <m/>
    <m/>
    <x v="12"/>
    <m/>
    <m/>
    <m/>
    <m/>
    <m/>
    <m/>
    <m/>
    <m/>
    <n v="0"/>
    <m/>
    <m/>
    <n v="0"/>
    <n v="0"/>
    <n v="0"/>
    <m/>
    <m/>
    <m/>
    <m/>
    <n v="0"/>
    <m/>
    <m/>
    <n v="0"/>
    <m/>
    <m/>
    <m/>
    <m/>
    <m/>
    <m/>
    <n v="0"/>
    <n v="0"/>
  </r>
  <r>
    <x v="9"/>
    <x v="34"/>
    <s v="UNC Need-Based Grant"/>
    <m/>
    <m/>
    <x v="12"/>
    <m/>
    <m/>
    <m/>
    <m/>
    <m/>
    <m/>
    <m/>
    <m/>
    <n v="0"/>
    <m/>
    <m/>
    <n v="0"/>
    <n v="0"/>
    <n v="0"/>
    <m/>
    <m/>
    <m/>
    <m/>
    <n v="0"/>
    <m/>
    <m/>
    <n v="0"/>
    <m/>
    <m/>
    <m/>
    <m/>
    <m/>
    <m/>
    <n v="0"/>
    <n v="0"/>
  </r>
  <r>
    <x v="9"/>
    <x v="35"/>
    <s v="Need-based"/>
    <m/>
    <m/>
    <x v="12"/>
    <m/>
    <m/>
    <m/>
    <m/>
    <m/>
    <m/>
    <m/>
    <m/>
    <n v="0"/>
    <m/>
    <m/>
    <n v="0"/>
    <n v="0"/>
    <n v="0"/>
    <n v="122475842"/>
    <n v="121448381"/>
    <m/>
    <m/>
    <n v="0"/>
    <m/>
    <m/>
    <n v="0"/>
    <m/>
    <m/>
    <m/>
    <m/>
    <m/>
    <m/>
    <n v="122475842"/>
    <n v="121448381"/>
  </r>
  <r>
    <x v="9"/>
    <x v="36"/>
    <s v="Non need-based"/>
    <m/>
    <m/>
    <x v="12"/>
    <m/>
    <m/>
    <m/>
    <m/>
    <m/>
    <m/>
    <m/>
    <m/>
    <n v="0"/>
    <m/>
    <m/>
    <n v="0"/>
    <n v="0"/>
    <n v="0"/>
    <m/>
    <m/>
    <m/>
    <m/>
    <n v="0"/>
    <m/>
    <m/>
    <n v="0"/>
    <m/>
    <m/>
    <m/>
    <m/>
    <m/>
    <m/>
    <n v="0"/>
    <n v="0"/>
  </r>
  <r>
    <x v="9"/>
    <x v="34"/>
    <s v="NCSSM Tuition Grant"/>
    <m/>
    <m/>
    <x v="12"/>
    <m/>
    <m/>
    <m/>
    <m/>
    <m/>
    <m/>
    <m/>
    <m/>
    <n v="0"/>
    <m/>
    <m/>
    <n v="0"/>
    <n v="0"/>
    <n v="0"/>
    <m/>
    <m/>
    <m/>
    <m/>
    <n v="0"/>
    <m/>
    <m/>
    <n v="0"/>
    <m/>
    <m/>
    <m/>
    <m/>
    <m/>
    <m/>
    <n v="0"/>
    <n v="0"/>
  </r>
  <r>
    <x v="9"/>
    <x v="35"/>
    <s v="Need-based"/>
    <m/>
    <m/>
    <x v="12"/>
    <m/>
    <m/>
    <m/>
    <m/>
    <m/>
    <m/>
    <m/>
    <m/>
    <n v="0"/>
    <m/>
    <m/>
    <n v="0"/>
    <n v="0"/>
    <n v="0"/>
    <m/>
    <m/>
    <m/>
    <m/>
    <n v="0"/>
    <m/>
    <m/>
    <n v="0"/>
    <m/>
    <m/>
    <m/>
    <m/>
    <m/>
    <m/>
    <n v="0"/>
    <n v="0"/>
  </r>
  <r>
    <x v="9"/>
    <x v="36"/>
    <s v="Non need-based"/>
    <m/>
    <m/>
    <x v="12"/>
    <m/>
    <m/>
    <m/>
    <m/>
    <m/>
    <m/>
    <m/>
    <m/>
    <n v="0"/>
    <m/>
    <m/>
    <n v="0"/>
    <n v="0"/>
    <n v="0"/>
    <n v="1078209"/>
    <n v="0"/>
    <m/>
    <m/>
    <n v="0"/>
    <m/>
    <m/>
    <n v="0"/>
    <m/>
    <m/>
    <m/>
    <m/>
    <m/>
    <m/>
    <n v="1078209"/>
    <n v="0"/>
  </r>
  <r>
    <x v="9"/>
    <x v="34"/>
    <s v="Teacher Assistant Scholarships"/>
    <m/>
    <m/>
    <x v="12"/>
    <m/>
    <m/>
    <m/>
    <m/>
    <m/>
    <m/>
    <m/>
    <m/>
    <n v="0"/>
    <m/>
    <m/>
    <n v="0"/>
    <n v="0"/>
    <n v="0"/>
    <m/>
    <m/>
    <m/>
    <m/>
    <n v="0"/>
    <m/>
    <m/>
    <n v="0"/>
    <m/>
    <m/>
    <m/>
    <m/>
    <m/>
    <m/>
    <n v="0"/>
    <n v="0"/>
  </r>
  <r>
    <x v="9"/>
    <x v="35"/>
    <s v="Need-based"/>
    <m/>
    <m/>
    <x v="12"/>
    <m/>
    <m/>
    <m/>
    <m/>
    <m/>
    <m/>
    <m/>
    <m/>
    <n v="0"/>
    <m/>
    <m/>
    <n v="0"/>
    <n v="0"/>
    <n v="0"/>
    <m/>
    <m/>
    <m/>
    <m/>
    <n v="0"/>
    <m/>
    <m/>
    <n v="0"/>
    <m/>
    <m/>
    <m/>
    <m/>
    <m/>
    <m/>
    <n v="0"/>
    <n v="0"/>
  </r>
  <r>
    <x v="9"/>
    <x v="36"/>
    <s v="Non need-based"/>
    <m/>
    <m/>
    <x v="12"/>
    <m/>
    <m/>
    <m/>
    <m/>
    <m/>
    <m/>
    <m/>
    <m/>
    <n v="0"/>
    <m/>
    <m/>
    <n v="0"/>
    <n v="0"/>
    <n v="0"/>
    <m/>
    <m/>
    <m/>
    <m/>
    <n v="0"/>
    <m/>
    <m/>
    <n v="0"/>
    <m/>
    <m/>
    <m/>
    <m/>
    <m/>
    <m/>
    <n v="0"/>
    <n v="0"/>
  </r>
  <r>
    <x v="9"/>
    <x v="34"/>
    <s v="Board of Governor's Dental Scholarships"/>
    <m/>
    <m/>
    <x v="12"/>
    <m/>
    <m/>
    <m/>
    <m/>
    <m/>
    <m/>
    <m/>
    <m/>
    <n v="0"/>
    <m/>
    <m/>
    <n v="0"/>
    <n v="0"/>
    <n v="0"/>
    <m/>
    <m/>
    <m/>
    <m/>
    <n v="0"/>
    <m/>
    <m/>
    <n v="0"/>
    <m/>
    <m/>
    <m/>
    <m/>
    <m/>
    <m/>
    <n v="0"/>
    <n v="0"/>
  </r>
  <r>
    <x v="9"/>
    <x v="35"/>
    <s v="Need-based"/>
    <m/>
    <m/>
    <x v="12"/>
    <m/>
    <m/>
    <m/>
    <m/>
    <m/>
    <m/>
    <m/>
    <m/>
    <n v="0"/>
    <m/>
    <m/>
    <n v="0"/>
    <n v="0"/>
    <n v="0"/>
    <m/>
    <m/>
    <m/>
    <m/>
    <n v="0"/>
    <m/>
    <m/>
    <n v="0"/>
    <m/>
    <m/>
    <m/>
    <m/>
    <m/>
    <m/>
    <n v="0"/>
    <n v="0"/>
  </r>
  <r>
    <x v="9"/>
    <x v="36"/>
    <s v="Non need-based"/>
    <m/>
    <m/>
    <x v="12"/>
    <m/>
    <m/>
    <m/>
    <m/>
    <m/>
    <m/>
    <m/>
    <m/>
    <n v="0"/>
    <m/>
    <m/>
    <n v="0"/>
    <n v="0"/>
    <n v="0"/>
    <m/>
    <m/>
    <m/>
    <m/>
    <n v="0"/>
    <m/>
    <m/>
    <n v="0"/>
    <m/>
    <m/>
    <m/>
    <m/>
    <m/>
    <m/>
    <n v="0"/>
    <n v="0"/>
  </r>
  <r>
    <x v="9"/>
    <x v="34"/>
    <s v="Principal Fellows Program"/>
    <m/>
    <m/>
    <x v="12"/>
    <m/>
    <m/>
    <m/>
    <m/>
    <m/>
    <m/>
    <m/>
    <m/>
    <n v="0"/>
    <m/>
    <m/>
    <n v="0"/>
    <n v="0"/>
    <n v="0"/>
    <m/>
    <m/>
    <m/>
    <m/>
    <n v="0"/>
    <m/>
    <m/>
    <n v="0"/>
    <m/>
    <m/>
    <m/>
    <m/>
    <m/>
    <m/>
    <n v="0"/>
    <n v="0"/>
  </r>
  <r>
    <x v="9"/>
    <x v="35"/>
    <s v="Need-based"/>
    <m/>
    <m/>
    <x v="12"/>
    <m/>
    <m/>
    <m/>
    <m/>
    <m/>
    <m/>
    <m/>
    <m/>
    <n v="0"/>
    <m/>
    <m/>
    <n v="0"/>
    <n v="0"/>
    <n v="0"/>
    <m/>
    <m/>
    <m/>
    <m/>
    <n v="0"/>
    <m/>
    <m/>
    <n v="0"/>
    <m/>
    <m/>
    <m/>
    <m/>
    <m/>
    <m/>
    <n v="0"/>
    <n v="0"/>
  </r>
  <r>
    <x v="9"/>
    <x v="36"/>
    <s v="Non need-based"/>
    <m/>
    <m/>
    <x v="12"/>
    <m/>
    <m/>
    <m/>
    <m/>
    <m/>
    <m/>
    <m/>
    <m/>
    <n v="0"/>
    <m/>
    <m/>
    <n v="0"/>
    <n v="0"/>
    <n v="0"/>
    <n v="3258000"/>
    <n v="3258000"/>
    <m/>
    <m/>
    <n v="0"/>
    <m/>
    <m/>
    <n v="0"/>
    <m/>
    <m/>
    <m/>
    <m/>
    <m/>
    <m/>
    <n v="3258000"/>
    <n v="3258000"/>
  </r>
  <r>
    <x v="9"/>
    <x v="37"/>
    <s v="Limited to private college students"/>
    <m/>
    <m/>
    <x v="12"/>
    <m/>
    <m/>
    <m/>
    <m/>
    <m/>
    <m/>
    <m/>
    <m/>
    <n v="0"/>
    <m/>
    <m/>
    <n v="0"/>
    <n v="0"/>
    <n v="0"/>
    <m/>
    <m/>
    <m/>
    <m/>
    <n v="0"/>
    <m/>
    <m/>
    <n v="0"/>
    <m/>
    <m/>
    <m/>
    <m/>
    <m/>
    <m/>
    <n v="0"/>
    <n v="0"/>
  </r>
  <r>
    <x v="9"/>
    <x v="37"/>
    <s v="State Contractual Scholarship Fund"/>
    <m/>
    <m/>
    <x v="12"/>
    <m/>
    <m/>
    <m/>
    <m/>
    <m/>
    <m/>
    <m/>
    <m/>
    <n v="0"/>
    <m/>
    <m/>
    <n v="0"/>
    <n v="0"/>
    <n v="0"/>
    <m/>
    <m/>
    <m/>
    <m/>
    <n v="0"/>
    <m/>
    <m/>
    <n v="0"/>
    <m/>
    <m/>
    <m/>
    <m/>
    <m/>
    <m/>
    <n v="0"/>
    <n v="0"/>
  </r>
  <r>
    <x v="9"/>
    <x v="38"/>
    <s v="Need-based"/>
    <m/>
    <m/>
    <x v="12"/>
    <m/>
    <m/>
    <m/>
    <m/>
    <m/>
    <m/>
    <m/>
    <m/>
    <n v="0"/>
    <m/>
    <m/>
    <n v="0"/>
    <n v="0"/>
    <n v="0"/>
    <m/>
    <m/>
    <m/>
    <m/>
    <n v="0"/>
    <m/>
    <m/>
    <n v="0"/>
    <m/>
    <m/>
    <m/>
    <m/>
    <m/>
    <m/>
    <n v="0"/>
    <n v="0"/>
  </r>
  <r>
    <x v="9"/>
    <x v="39"/>
    <s v="Non need-based"/>
    <m/>
    <m/>
    <x v="12"/>
    <m/>
    <m/>
    <m/>
    <m/>
    <m/>
    <m/>
    <m/>
    <m/>
    <n v="0"/>
    <m/>
    <m/>
    <n v="0"/>
    <n v="0"/>
    <n v="0"/>
    <m/>
    <m/>
    <m/>
    <m/>
    <n v="0"/>
    <m/>
    <m/>
    <n v="0"/>
    <m/>
    <m/>
    <m/>
    <m/>
    <m/>
    <m/>
    <n v="0"/>
    <n v="0"/>
  </r>
  <r>
    <x v="9"/>
    <x v="37"/>
    <s v="Private College Need Based Aid"/>
    <m/>
    <m/>
    <x v="12"/>
    <m/>
    <m/>
    <m/>
    <m/>
    <m/>
    <m/>
    <m/>
    <m/>
    <n v="0"/>
    <m/>
    <m/>
    <n v="0"/>
    <n v="0"/>
    <n v="0"/>
    <m/>
    <m/>
    <m/>
    <m/>
    <n v="0"/>
    <m/>
    <m/>
    <n v="0"/>
    <m/>
    <m/>
    <m/>
    <m/>
    <m/>
    <m/>
    <n v="0"/>
    <n v="0"/>
  </r>
  <r>
    <x v="9"/>
    <x v="38"/>
    <s v="Need-based"/>
    <m/>
    <m/>
    <x v="12"/>
    <m/>
    <m/>
    <m/>
    <m/>
    <m/>
    <m/>
    <m/>
    <m/>
    <n v="0"/>
    <m/>
    <m/>
    <n v="0"/>
    <n v="0"/>
    <n v="0"/>
    <n v="86351588"/>
    <n v="86351588"/>
    <m/>
    <m/>
    <n v="0"/>
    <m/>
    <m/>
    <n v="0"/>
    <m/>
    <m/>
    <m/>
    <m/>
    <m/>
    <m/>
    <n v="86351588"/>
    <n v="86351588"/>
  </r>
  <r>
    <x v="9"/>
    <x v="39"/>
    <s v="Non need-based"/>
    <m/>
    <m/>
    <x v="12"/>
    <m/>
    <m/>
    <m/>
    <m/>
    <m/>
    <m/>
    <m/>
    <m/>
    <n v="0"/>
    <m/>
    <m/>
    <n v="0"/>
    <n v="0"/>
    <n v="0"/>
    <m/>
    <m/>
    <m/>
    <m/>
    <n v="0"/>
    <m/>
    <m/>
    <n v="0"/>
    <m/>
    <m/>
    <m/>
    <m/>
    <m/>
    <m/>
    <n v="0"/>
    <n v="0"/>
  </r>
  <r>
    <x v="9"/>
    <x v="37"/>
    <s v="Legislative Tuition Grant"/>
    <m/>
    <m/>
    <x v="12"/>
    <m/>
    <m/>
    <m/>
    <m/>
    <m/>
    <m/>
    <m/>
    <m/>
    <n v="0"/>
    <m/>
    <m/>
    <n v="0"/>
    <n v="0"/>
    <n v="0"/>
    <m/>
    <m/>
    <m/>
    <m/>
    <n v="0"/>
    <m/>
    <m/>
    <n v="0"/>
    <m/>
    <m/>
    <m/>
    <m/>
    <m/>
    <m/>
    <n v="0"/>
    <n v="0"/>
  </r>
  <r>
    <x v="9"/>
    <x v="38"/>
    <s v="Need-based"/>
    <m/>
    <m/>
    <x v="12"/>
    <m/>
    <m/>
    <m/>
    <m/>
    <m/>
    <m/>
    <m/>
    <m/>
    <n v="0"/>
    <m/>
    <m/>
    <n v="0"/>
    <n v="0"/>
    <n v="0"/>
    <m/>
    <m/>
    <m/>
    <m/>
    <n v="0"/>
    <m/>
    <m/>
    <n v="0"/>
    <m/>
    <m/>
    <m/>
    <m/>
    <m/>
    <m/>
    <n v="0"/>
    <n v="0"/>
  </r>
  <r>
    <x v="9"/>
    <x v="39"/>
    <s v="Non need-based"/>
    <m/>
    <m/>
    <x v="12"/>
    <m/>
    <m/>
    <m/>
    <m/>
    <m/>
    <m/>
    <m/>
    <m/>
    <n v="0"/>
    <m/>
    <m/>
    <n v="0"/>
    <n v="0"/>
    <n v="0"/>
    <m/>
    <m/>
    <m/>
    <m/>
    <n v="0"/>
    <m/>
    <m/>
    <n v="0"/>
    <m/>
    <m/>
    <m/>
    <m/>
    <m/>
    <m/>
    <n v="0"/>
    <n v="0"/>
  </r>
  <r>
    <x v="9"/>
    <x v="0"/>
    <s v="Asheville-Buncombe Technical Community College"/>
    <m/>
    <n v="197887"/>
    <x v="6"/>
    <n v="21678608"/>
    <n v="22803445"/>
    <m/>
    <m/>
    <n v="8377999"/>
    <n v="8448760"/>
    <n v="11368277"/>
    <m/>
    <n v="11368277"/>
    <n v="11101588"/>
    <m/>
    <n v="11101588"/>
    <n v="41424884"/>
    <n v="42353793"/>
    <m/>
    <m/>
    <m/>
    <m/>
    <n v="0"/>
    <m/>
    <m/>
    <n v="0"/>
    <m/>
    <m/>
    <m/>
    <m/>
    <m/>
    <m/>
    <n v="41424884"/>
    <n v="42353793"/>
  </r>
  <r>
    <x v="9"/>
    <x v="0"/>
    <s v="Nursing / allied health supplement"/>
    <m/>
    <n v="197887"/>
    <x v="6"/>
    <m/>
    <m/>
    <m/>
    <m/>
    <m/>
    <m/>
    <m/>
    <m/>
    <n v="0"/>
    <m/>
    <m/>
    <n v="0"/>
    <n v="0"/>
    <n v="0"/>
    <m/>
    <m/>
    <m/>
    <m/>
    <n v="0"/>
    <m/>
    <m/>
    <n v="0"/>
    <m/>
    <m/>
    <m/>
    <m/>
    <m/>
    <m/>
    <n v="0"/>
    <n v="0"/>
  </r>
  <r>
    <x v="9"/>
    <x v="3"/>
    <s v="Community or public service units"/>
    <m/>
    <n v="197887"/>
    <x v="6"/>
    <m/>
    <m/>
    <n v="171867"/>
    <n v="173795"/>
    <m/>
    <m/>
    <m/>
    <m/>
    <n v="0"/>
    <m/>
    <m/>
    <n v="0"/>
    <n v="171867"/>
    <n v="173795"/>
    <m/>
    <m/>
    <m/>
    <m/>
    <n v="0"/>
    <m/>
    <m/>
    <n v="0"/>
    <m/>
    <m/>
    <m/>
    <m/>
    <m/>
    <m/>
    <n v="171867"/>
    <n v="173795"/>
  </r>
  <r>
    <x v="9"/>
    <x v="44"/>
    <s v="Non-credit continuing education"/>
    <m/>
    <n v="197887"/>
    <x v="6"/>
    <m/>
    <m/>
    <n v="2802021"/>
    <n v="2915406"/>
    <m/>
    <m/>
    <n v="400836"/>
    <m/>
    <n v="400836"/>
    <n v="407315"/>
    <m/>
    <n v="407315"/>
    <n v="3202857"/>
    <n v="3322721"/>
    <m/>
    <m/>
    <m/>
    <m/>
    <n v="0"/>
    <m/>
    <m/>
    <n v="0"/>
    <m/>
    <m/>
    <m/>
    <m/>
    <m/>
    <m/>
    <n v="3202857"/>
    <n v="3322721"/>
  </r>
  <r>
    <x v="9"/>
    <x v="0"/>
    <s v="Cape Fear Community College"/>
    <m/>
    <n v="198154"/>
    <x v="6"/>
    <n v="27519886"/>
    <n v="28763028"/>
    <m/>
    <m/>
    <n v="8742644"/>
    <n v="9910165"/>
    <n v="13886704"/>
    <m/>
    <n v="13886704"/>
    <n v="13462543"/>
    <m/>
    <n v="13462543"/>
    <n v="50149234"/>
    <n v="52135736"/>
    <m/>
    <m/>
    <m/>
    <m/>
    <n v="0"/>
    <m/>
    <m/>
    <n v="0"/>
    <m/>
    <m/>
    <m/>
    <m/>
    <m/>
    <m/>
    <n v="50149234"/>
    <n v="52135736"/>
  </r>
  <r>
    <x v="9"/>
    <x v="0"/>
    <s v="Nursing / allied health supplement"/>
    <m/>
    <n v="198154"/>
    <x v="6"/>
    <m/>
    <m/>
    <m/>
    <m/>
    <m/>
    <m/>
    <m/>
    <m/>
    <n v="0"/>
    <m/>
    <m/>
    <n v="0"/>
    <n v="0"/>
    <n v="0"/>
    <m/>
    <m/>
    <m/>
    <m/>
    <n v="0"/>
    <m/>
    <m/>
    <n v="0"/>
    <m/>
    <m/>
    <m/>
    <m/>
    <m/>
    <m/>
    <n v="0"/>
    <n v="0"/>
  </r>
  <r>
    <x v="9"/>
    <x v="3"/>
    <s v="Community or public service units"/>
    <m/>
    <n v="198154"/>
    <x v="6"/>
    <m/>
    <m/>
    <n v="170138"/>
    <n v="173354"/>
    <m/>
    <m/>
    <m/>
    <m/>
    <n v="0"/>
    <m/>
    <m/>
    <n v="0"/>
    <n v="170138"/>
    <n v="173354"/>
    <m/>
    <m/>
    <m/>
    <m/>
    <n v="0"/>
    <m/>
    <m/>
    <n v="0"/>
    <m/>
    <m/>
    <m/>
    <m/>
    <m/>
    <m/>
    <n v="170138"/>
    <n v="173354"/>
  </r>
  <r>
    <x v="9"/>
    <x v="44"/>
    <s v="Non-credit continuing education"/>
    <m/>
    <n v="198154"/>
    <x v="6"/>
    <m/>
    <m/>
    <n v="3623753"/>
    <n v="3556038"/>
    <m/>
    <m/>
    <n v="510385"/>
    <m/>
    <n v="510385"/>
    <n v="492407"/>
    <m/>
    <n v="492407"/>
    <n v="4134138"/>
    <n v="4048445"/>
    <m/>
    <m/>
    <m/>
    <m/>
    <n v="0"/>
    <m/>
    <m/>
    <n v="0"/>
    <m/>
    <m/>
    <m/>
    <m/>
    <m/>
    <m/>
    <n v="4134138"/>
    <n v="4048445"/>
  </r>
  <r>
    <x v="9"/>
    <x v="0"/>
    <s v="Central Piedmont Community College "/>
    <m/>
    <n v="198260"/>
    <x v="6"/>
    <n v="48697813"/>
    <n v="52836658"/>
    <m/>
    <m/>
    <n v="30883974"/>
    <n v="33084482"/>
    <n v="25517884"/>
    <m/>
    <n v="25517884"/>
    <n v="26025154"/>
    <m/>
    <n v="26025154"/>
    <n v="105099671"/>
    <n v="111946294"/>
    <m/>
    <m/>
    <m/>
    <m/>
    <n v="0"/>
    <m/>
    <m/>
    <n v="0"/>
    <m/>
    <m/>
    <m/>
    <m/>
    <m/>
    <m/>
    <n v="105099671"/>
    <n v="111946294"/>
  </r>
  <r>
    <x v="9"/>
    <x v="0"/>
    <s v="Nursing / allied health supplement"/>
    <m/>
    <n v="198260"/>
    <x v="6"/>
    <m/>
    <m/>
    <m/>
    <m/>
    <m/>
    <m/>
    <m/>
    <m/>
    <n v="0"/>
    <m/>
    <m/>
    <n v="0"/>
    <n v="0"/>
    <n v="0"/>
    <m/>
    <m/>
    <m/>
    <m/>
    <n v="0"/>
    <m/>
    <m/>
    <n v="0"/>
    <m/>
    <m/>
    <m/>
    <m/>
    <m/>
    <m/>
    <n v="0"/>
    <n v="0"/>
  </r>
  <r>
    <x v="9"/>
    <x v="3"/>
    <s v="Community or public service units"/>
    <m/>
    <n v="198260"/>
    <x v="6"/>
    <m/>
    <m/>
    <n v="174083"/>
    <n v="176388"/>
    <m/>
    <m/>
    <m/>
    <m/>
    <n v="0"/>
    <m/>
    <m/>
    <n v="0"/>
    <n v="174083"/>
    <n v="176388"/>
    <m/>
    <m/>
    <m/>
    <m/>
    <n v="0"/>
    <m/>
    <m/>
    <n v="0"/>
    <m/>
    <m/>
    <m/>
    <m/>
    <m/>
    <m/>
    <n v="174083"/>
    <n v="176388"/>
  </r>
  <r>
    <x v="9"/>
    <x v="44"/>
    <s v="Non-credit continuing education"/>
    <m/>
    <n v="198260"/>
    <x v="6"/>
    <m/>
    <m/>
    <n v="5816929"/>
    <n v="6009144"/>
    <m/>
    <m/>
    <n v="343211"/>
    <m/>
    <n v="343211"/>
    <n v="370400"/>
    <m/>
    <n v="370400"/>
    <n v="6160140"/>
    <n v="6379544"/>
    <m/>
    <m/>
    <m/>
    <m/>
    <n v="0"/>
    <m/>
    <m/>
    <n v="0"/>
    <m/>
    <m/>
    <m/>
    <m/>
    <m/>
    <m/>
    <n v="6160140"/>
    <n v="6379544"/>
  </r>
  <r>
    <x v="9"/>
    <x v="0"/>
    <s v="Fayetteville Technical Community College"/>
    <m/>
    <n v="198534"/>
    <x v="6"/>
    <n v="34192676"/>
    <n v="36265978"/>
    <m/>
    <m/>
    <n v="10662223"/>
    <n v="10798343"/>
    <n v="16637211"/>
    <m/>
    <n v="16637211"/>
    <n v="16528505"/>
    <m/>
    <n v="16528505"/>
    <n v="61492110"/>
    <n v="63592826"/>
    <m/>
    <m/>
    <m/>
    <m/>
    <n v="0"/>
    <m/>
    <m/>
    <n v="0"/>
    <m/>
    <m/>
    <m/>
    <m/>
    <m/>
    <m/>
    <n v="61492110"/>
    <n v="63592826"/>
  </r>
  <r>
    <x v="9"/>
    <x v="0"/>
    <s v="Nursing / allied health supplement"/>
    <m/>
    <n v="198534"/>
    <x v="6"/>
    <m/>
    <m/>
    <m/>
    <m/>
    <m/>
    <m/>
    <m/>
    <m/>
    <n v="0"/>
    <m/>
    <m/>
    <n v="0"/>
    <n v="0"/>
    <n v="0"/>
    <m/>
    <m/>
    <m/>
    <m/>
    <n v="0"/>
    <m/>
    <m/>
    <n v="0"/>
    <m/>
    <m/>
    <m/>
    <m/>
    <m/>
    <m/>
    <n v="0"/>
    <n v="0"/>
  </r>
  <r>
    <x v="9"/>
    <x v="3"/>
    <s v="Community or public service units"/>
    <m/>
    <n v="198534"/>
    <x v="6"/>
    <m/>
    <m/>
    <n v="168895"/>
    <n v="171588"/>
    <m/>
    <m/>
    <m/>
    <m/>
    <n v="0"/>
    <m/>
    <m/>
    <n v="0"/>
    <n v="168895"/>
    <n v="171588"/>
    <m/>
    <m/>
    <m/>
    <m/>
    <n v="0"/>
    <m/>
    <m/>
    <n v="0"/>
    <m/>
    <m/>
    <m/>
    <m/>
    <m/>
    <m/>
    <n v="168895"/>
    <n v="171588"/>
  </r>
  <r>
    <x v="9"/>
    <x v="44"/>
    <s v="Non-credit continuing education"/>
    <m/>
    <n v="198534"/>
    <x v="6"/>
    <m/>
    <m/>
    <n v="7766021"/>
    <n v="8026069"/>
    <m/>
    <m/>
    <n v="1224670"/>
    <m/>
    <n v="1224670"/>
    <n v="1228828"/>
    <m/>
    <n v="1228828"/>
    <n v="8990691"/>
    <n v="9254897"/>
    <m/>
    <m/>
    <m/>
    <m/>
    <n v="0"/>
    <m/>
    <m/>
    <n v="0"/>
    <m/>
    <m/>
    <m/>
    <m/>
    <m/>
    <m/>
    <n v="8990691"/>
    <n v="9254897"/>
  </r>
  <r>
    <x v="9"/>
    <x v="0"/>
    <s v="Forsyth Technical Community College"/>
    <m/>
    <n v="198552"/>
    <x v="6"/>
    <n v="26585395"/>
    <n v="27752171"/>
    <m/>
    <m/>
    <n v="8451742"/>
    <n v="9119402"/>
    <n v="13971921"/>
    <m/>
    <n v="13971921"/>
    <n v="13294944"/>
    <m/>
    <n v="13294944"/>
    <n v="49009058"/>
    <n v="50166517"/>
    <m/>
    <m/>
    <m/>
    <m/>
    <n v="0"/>
    <m/>
    <m/>
    <n v="0"/>
    <m/>
    <m/>
    <m/>
    <m/>
    <m/>
    <m/>
    <n v="49009058"/>
    <n v="50166517"/>
  </r>
  <r>
    <x v="9"/>
    <x v="0"/>
    <s v="Nursing / allied health supplement"/>
    <m/>
    <n v="198552"/>
    <x v="6"/>
    <m/>
    <m/>
    <m/>
    <m/>
    <m/>
    <m/>
    <m/>
    <m/>
    <n v="0"/>
    <m/>
    <m/>
    <n v="0"/>
    <n v="0"/>
    <n v="0"/>
    <m/>
    <m/>
    <m/>
    <m/>
    <n v="0"/>
    <m/>
    <m/>
    <n v="0"/>
    <m/>
    <m/>
    <m/>
    <m/>
    <m/>
    <m/>
    <n v="0"/>
    <n v="0"/>
  </r>
  <r>
    <x v="9"/>
    <x v="3"/>
    <s v="Community or public service units"/>
    <m/>
    <n v="198552"/>
    <x v="6"/>
    <m/>
    <m/>
    <n v="171651"/>
    <n v="173133"/>
    <m/>
    <m/>
    <m/>
    <m/>
    <n v="0"/>
    <m/>
    <m/>
    <n v="0"/>
    <n v="171651"/>
    <n v="173133"/>
    <m/>
    <m/>
    <m/>
    <m/>
    <n v="0"/>
    <m/>
    <m/>
    <n v="0"/>
    <m/>
    <m/>
    <m/>
    <m/>
    <m/>
    <m/>
    <n v="171651"/>
    <n v="173133"/>
  </r>
  <r>
    <x v="9"/>
    <x v="44"/>
    <s v="Non-credit continuing education"/>
    <m/>
    <n v="198552"/>
    <x v="6"/>
    <m/>
    <m/>
    <n v="4458082"/>
    <n v="4301087"/>
    <m/>
    <m/>
    <n v="624999"/>
    <m/>
    <n v="624999"/>
    <n v="559355"/>
    <m/>
    <n v="559355"/>
    <n v="5083081"/>
    <n v="4860442"/>
    <m/>
    <m/>
    <m/>
    <m/>
    <n v="0"/>
    <m/>
    <m/>
    <n v="0"/>
    <m/>
    <m/>
    <m/>
    <m/>
    <m/>
    <m/>
    <n v="5083081"/>
    <n v="4860442"/>
  </r>
  <r>
    <x v="9"/>
    <x v="0"/>
    <s v="Guilford Technical Community College"/>
    <m/>
    <n v="198622"/>
    <x v="6"/>
    <n v="39614351"/>
    <n v="40027200"/>
    <m/>
    <m/>
    <n v="12297690"/>
    <n v="13497690"/>
    <n v="21093865"/>
    <m/>
    <n v="21093865"/>
    <n v="19711057"/>
    <m/>
    <n v="19711057"/>
    <n v="73005906"/>
    <n v="73235947"/>
    <m/>
    <m/>
    <m/>
    <m/>
    <n v="0"/>
    <m/>
    <m/>
    <n v="0"/>
    <m/>
    <m/>
    <m/>
    <m/>
    <m/>
    <m/>
    <n v="73005906"/>
    <n v="73235947"/>
  </r>
  <r>
    <x v="9"/>
    <x v="0"/>
    <s v="Nursing / allied health supplement"/>
    <m/>
    <n v="198622"/>
    <x v="6"/>
    <m/>
    <m/>
    <m/>
    <m/>
    <m/>
    <m/>
    <m/>
    <m/>
    <n v="0"/>
    <m/>
    <m/>
    <n v="0"/>
    <n v="0"/>
    <n v="0"/>
    <m/>
    <m/>
    <m/>
    <m/>
    <n v="0"/>
    <m/>
    <m/>
    <n v="0"/>
    <m/>
    <m/>
    <m/>
    <m/>
    <m/>
    <m/>
    <n v="0"/>
    <n v="0"/>
  </r>
  <r>
    <x v="9"/>
    <x v="3"/>
    <s v="Community or public service units"/>
    <m/>
    <n v="198622"/>
    <x v="6"/>
    <m/>
    <m/>
    <n v="172354"/>
    <n v="173961"/>
    <m/>
    <m/>
    <m/>
    <m/>
    <n v="0"/>
    <m/>
    <m/>
    <n v="0"/>
    <n v="172354"/>
    <n v="173961"/>
    <m/>
    <m/>
    <m/>
    <m/>
    <n v="0"/>
    <m/>
    <m/>
    <n v="0"/>
    <m/>
    <m/>
    <m/>
    <m/>
    <m/>
    <m/>
    <n v="172354"/>
    <n v="173961"/>
  </r>
  <r>
    <x v="9"/>
    <x v="44"/>
    <s v="Non-credit continuing education"/>
    <m/>
    <n v="198622"/>
    <x v="6"/>
    <m/>
    <m/>
    <n v="4879089"/>
    <n v="5162804"/>
    <m/>
    <m/>
    <n v="498353"/>
    <m/>
    <n v="498353"/>
    <n v="515557"/>
    <m/>
    <n v="515557"/>
    <n v="5377442"/>
    <n v="5678361"/>
    <m/>
    <m/>
    <m/>
    <m/>
    <n v="0"/>
    <m/>
    <m/>
    <n v="0"/>
    <m/>
    <m/>
    <m/>
    <m/>
    <m/>
    <m/>
    <n v="5377442"/>
    <n v="5678361"/>
  </r>
  <r>
    <x v="9"/>
    <x v="0"/>
    <s v="Pitt Community College"/>
    <m/>
    <n v="199333"/>
    <x v="6"/>
    <n v="24220611"/>
    <n v="25927083"/>
    <m/>
    <m/>
    <n v="5095326"/>
    <n v="5245326"/>
    <n v="13099809"/>
    <m/>
    <n v="13099809"/>
    <n v="13127346"/>
    <m/>
    <n v="13127346"/>
    <n v="42415746"/>
    <n v="44299755"/>
    <m/>
    <m/>
    <m/>
    <m/>
    <n v="0"/>
    <m/>
    <m/>
    <n v="0"/>
    <m/>
    <m/>
    <m/>
    <m/>
    <m/>
    <m/>
    <n v="42415746"/>
    <n v="44299755"/>
  </r>
  <r>
    <x v="9"/>
    <x v="0"/>
    <s v="Nursing / allied health supplement"/>
    <m/>
    <n v="199333"/>
    <x v="6"/>
    <m/>
    <m/>
    <m/>
    <m/>
    <m/>
    <m/>
    <m/>
    <m/>
    <n v="0"/>
    <m/>
    <m/>
    <n v="0"/>
    <n v="0"/>
    <n v="0"/>
    <m/>
    <m/>
    <m/>
    <m/>
    <n v="0"/>
    <m/>
    <m/>
    <n v="0"/>
    <m/>
    <m/>
    <m/>
    <m/>
    <m/>
    <m/>
    <n v="0"/>
    <n v="0"/>
  </r>
  <r>
    <x v="9"/>
    <x v="3"/>
    <s v="Community or public service units"/>
    <m/>
    <n v="199333"/>
    <x v="6"/>
    <m/>
    <m/>
    <n v="170030"/>
    <n v="174347"/>
    <m/>
    <m/>
    <m/>
    <m/>
    <n v="0"/>
    <m/>
    <m/>
    <n v="0"/>
    <n v="170030"/>
    <n v="174347"/>
    <m/>
    <m/>
    <m/>
    <m/>
    <n v="0"/>
    <m/>
    <m/>
    <n v="0"/>
    <m/>
    <m/>
    <m/>
    <m/>
    <m/>
    <m/>
    <n v="170030"/>
    <n v="174347"/>
  </r>
  <r>
    <x v="9"/>
    <x v="44"/>
    <s v="Non-credit continuing education"/>
    <m/>
    <n v="199333"/>
    <x v="6"/>
    <m/>
    <m/>
    <n v="2709919"/>
    <n v="2617943"/>
    <m/>
    <m/>
    <n v="360309"/>
    <m/>
    <n v="360309"/>
    <n v="338491"/>
    <m/>
    <n v="338491"/>
    <n v="3070228"/>
    <n v="2956434"/>
    <m/>
    <m/>
    <m/>
    <m/>
    <n v="0"/>
    <m/>
    <m/>
    <n v="0"/>
    <m/>
    <m/>
    <m/>
    <m/>
    <m/>
    <m/>
    <n v="3070228"/>
    <n v="2956434"/>
  </r>
  <r>
    <x v="9"/>
    <x v="0"/>
    <s v="Rowan-Cabarrus Community College"/>
    <m/>
    <n v="199494"/>
    <x v="6"/>
    <n v="23556712"/>
    <n v="24776421"/>
    <m/>
    <m/>
    <n v="3942925"/>
    <n v="4027725"/>
    <n v="9562407"/>
    <m/>
    <n v="9562407"/>
    <n v="9547657"/>
    <m/>
    <n v="9547657"/>
    <n v="37062044"/>
    <n v="38351803"/>
    <m/>
    <m/>
    <m/>
    <m/>
    <n v="0"/>
    <m/>
    <m/>
    <n v="0"/>
    <m/>
    <m/>
    <m/>
    <m/>
    <m/>
    <m/>
    <n v="37062044"/>
    <n v="38351803"/>
  </r>
  <r>
    <x v="9"/>
    <x v="0"/>
    <s v="Nursing / allied health supplement"/>
    <m/>
    <n v="199494"/>
    <x v="6"/>
    <m/>
    <m/>
    <m/>
    <m/>
    <m/>
    <m/>
    <m/>
    <m/>
    <n v="0"/>
    <m/>
    <m/>
    <n v="0"/>
    <n v="0"/>
    <n v="0"/>
    <m/>
    <m/>
    <m/>
    <m/>
    <n v="0"/>
    <m/>
    <m/>
    <n v="0"/>
    <m/>
    <m/>
    <m/>
    <m/>
    <m/>
    <m/>
    <n v="0"/>
    <n v="0"/>
  </r>
  <r>
    <x v="9"/>
    <x v="3"/>
    <s v="Community or public service units"/>
    <m/>
    <n v="199494"/>
    <x v="6"/>
    <m/>
    <m/>
    <n v="169273"/>
    <n v="171919"/>
    <m/>
    <m/>
    <m/>
    <m/>
    <n v="0"/>
    <m/>
    <m/>
    <n v="0"/>
    <n v="169273"/>
    <n v="171919"/>
    <m/>
    <m/>
    <m/>
    <m/>
    <n v="0"/>
    <m/>
    <m/>
    <n v="0"/>
    <m/>
    <m/>
    <m/>
    <m/>
    <m/>
    <m/>
    <n v="169273"/>
    <n v="171919"/>
  </r>
  <r>
    <x v="9"/>
    <x v="44"/>
    <s v="Non-credit continuing education"/>
    <m/>
    <n v="199494"/>
    <x v="6"/>
    <m/>
    <m/>
    <n v="3158726"/>
    <n v="3218706"/>
    <m/>
    <m/>
    <n v="448961"/>
    <m/>
    <n v="448961"/>
    <n v="454867"/>
    <m/>
    <n v="454867"/>
    <n v="3607687"/>
    <n v="3673573"/>
    <m/>
    <m/>
    <m/>
    <m/>
    <n v="0"/>
    <m/>
    <m/>
    <n v="0"/>
    <m/>
    <m/>
    <m/>
    <m/>
    <m/>
    <m/>
    <n v="3607687"/>
    <n v="3673573"/>
  </r>
  <r>
    <x v="9"/>
    <x v="0"/>
    <s v="Wake Technical Community College"/>
    <m/>
    <n v="199856"/>
    <x v="6"/>
    <n v="51306986"/>
    <n v="56158648"/>
    <m/>
    <m/>
    <n v="16190938"/>
    <n v="16478000"/>
    <n v="26645646"/>
    <m/>
    <n v="26645646"/>
    <n v="27466138"/>
    <m/>
    <n v="27466138"/>
    <n v="94143570"/>
    <n v="100102786"/>
    <m/>
    <m/>
    <m/>
    <m/>
    <n v="0"/>
    <m/>
    <m/>
    <n v="0"/>
    <m/>
    <m/>
    <m/>
    <m/>
    <m/>
    <m/>
    <n v="94143570"/>
    <n v="100102786"/>
  </r>
  <r>
    <x v="9"/>
    <x v="0"/>
    <s v="Nursing / allied health supplement"/>
    <m/>
    <n v="199856"/>
    <x v="6"/>
    <m/>
    <m/>
    <m/>
    <m/>
    <m/>
    <m/>
    <m/>
    <m/>
    <n v="0"/>
    <m/>
    <m/>
    <n v="0"/>
    <n v="0"/>
    <n v="0"/>
    <m/>
    <m/>
    <m/>
    <m/>
    <n v="0"/>
    <m/>
    <m/>
    <n v="0"/>
    <m/>
    <m/>
    <m/>
    <m/>
    <m/>
    <m/>
    <n v="0"/>
    <n v="0"/>
  </r>
  <r>
    <x v="9"/>
    <x v="3"/>
    <s v="Community or public service units"/>
    <m/>
    <n v="199856"/>
    <x v="6"/>
    <m/>
    <m/>
    <n v="175056"/>
    <n v="176940"/>
    <m/>
    <m/>
    <m/>
    <m/>
    <n v="0"/>
    <m/>
    <m/>
    <n v="0"/>
    <n v="175056"/>
    <n v="176940"/>
    <m/>
    <m/>
    <m/>
    <m/>
    <n v="0"/>
    <m/>
    <m/>
    <n v="0"/>
    <m/>
    <m/>
    <m/>
    <m/>
    <m/>
    <m/>
    <n v="175056"/>
    <n v="176940"/>
  </r>
  <r>
    <x v="9"/>
    <x v="44"/>
    <s v="Non-credit continuing education"/>
    <m/>
    <n v="199856"/>
    <x v="6"/>
    <m/>
    <m/>
    <n v="8263528"/>
    <n v="8610431"/>
    <m/>
    <m/>
    <n v="1036600"/>
    <m/>
    <n v="1036600"/>
    <n v="1022355"/>
    <m/>
    <n v="1022355"/>
    <n v="9300128"/>
    <n v="9632786"/>
    <m/>
    <m/>
    <m/>
    <m/>
    <n v="0"/>
    <m/>
    <m/>
    <n v="0"/>
    <m/>
    <m/>
    <m/>
    <m/>
    <m/>
    <m/>
    <n v="9300128"/>
    <n v="9632786"/>
  </r>
  <r>
    <x v="9"/>
    <x v="0"/>
    <s v="Alamance Community College"/>
    <m/>
    <n v="199786"/>
    <x v="7"/>
    <n v="13605058"/>
    <n v="13544921"/>
    <m/>
    <m/>
    <n v="2754515"/>
    <n v="2830115"/>
    <n v="6739376"/>
    <m/>
    <n v="6739376"/>
    <n v="6288592"/>
    <m/>
    <n v="6288592"/>
    <n v="23098949"/>
    <n v="22663628"/>
    <m/>
    <m/>
    <m/>
    <m/>
    <n v="0"/>
    <m/>
    <m/>
    <n v="0"/>
    <m/>
    <m/>
    <m/>
    <m/>
    <m/>
    <m/>
    <n v="23098949"/>
    <n v="22663628"/>
  </r>
  <r>
    <x v="9"/>
    <x v="0"/>
    <s v="Nursing / allied health supplement"/>
    <m/>
    <n v="199786"/>
    <x v="7"/>
    <m/>
    <m/>
    <m/>
    <m/>
    <m/>
    <m/>
    <m/>
    <m/>
    <n v="0"/>
    <m/>
    <m/>
    <n v="0"/>
    <n v="0"/>
    <n v="0"/>
    <m/>
    <m/>
    <m/>
    <m/>
    <n v="0"/>
    <m/>
    <m/>
    <n v="0"/>
    <m/>
    <m/>
    <m/>
    <m/>
    <m/>
    <m/>
    <n v="0"/>
    <n v="0"/>
  </r>
  <r>
    <x v="9"/>
    <x v="3"/>
    <s v="Community or public service units"/>
    <m/>
    <n v="199786"/>
    <x v="7"/>
    <m/>
    <m/>
    <n v="163976"/>
    <n v="166512"/>
    <m/>
    <m/>
    <m/>
    <m/>
    <n v="0"/>
    <m/>
    <m/>
    <n v="0"/>
    <n v="163976"/>
    <n v="166512"/>
    <m/>
    <m/>
    <m/>
    <m/>
    <n v="0"/>
    <m/>
    <m/>
    <n v="0"/>
    <m/>
    <m/>
    <m/>
    <m/>
    <m/>
    <m/>
    <n v="163976"/>
    <n v="166512"/>
  </r>
  <r>
    <x v="9"/>
    <x v="44"/>
    <s v="Non-credit continuing education"/>
    <m/>
    <n v="199786"/>
    <x v="7"/>
    <m/>
    <m/>
    <n v="2025978"/>
    <n v="2003889"/>
    <m/>
    <m/>
    <n v="229863"/>
    <m/>
    <n v="229863"/>
    <n v="219612"/>
    <m/>
    <n v="219612"/>
    <n v="2255841"/>
    <n v="2223501"/>
    <m/>
    <m/>
    <m/>
    <m/>
    <n v="0"/>
    <m/>
    <m/>
    <n v="0"/>
    <m/>
    <m/>
    <m/>
    <m/>
    <m/>
    <m/>
    <n v="2255841"/>
    <n v="2223501"/>
  </r>
  <r>
    <x v="9"/>
    <x v="0"/>
    <s v="Caldwell Community College &amp; Technical Institute"/>
    <m/>
    <n v="198118"/>
    <x v="7"/>
    <n v="13744649"/>
    <n v="13603794"/>
    <m/>
    <m/>
    <n v="3986130"/>
    <n v="4016951"/>
    <n v="6561690"/>
    <m/>
    <n v="6561690"/>
    <n v="5876883"/>
    <m/>
    <n v="5876883"/>
    <n v="24292469"/>
    <n v="23497628"/>
    <m/>
    <m/>
    <m/>
    <m/>
    <n v="0"/>
    <m/>
    <m/>
    <n v="0"/>
    <m/>
    <m/>
    <m/>
    <m/>
    <m/>
    <m/>
    <n v="24292469"/>
    <n v="23497628"/>
  </r>
  <r>
    <x v="9"/>
    <x v="0"/>
    <s v="Nursing / allied health supplement"/>
    <m/>
    <n v="198118"/>
    <x v="7"/>
    <m/>
    <m/>
    <m/>
    <m/>
    <m/>
    <m/>
    <m/>
    <m/>
    <n v="0"/>
    <m/>
    <m/>
    <n v="0"/>
    <n v="0"/>
    <n v="0"/>
    <m/>
    <m/>
    <m/>
    <m/>
    <n v="0"/>
    <m/>
    <m/>
    <n v="0"/>
    <m/>
    <m/>
    <m/>
    <m/>
    <m/>
    <m/>
    <n v="0"/>
    <n v="0"/>
  </r>
  <r>
    <x v="9"/>
    <x v="3"/>
    <s v="Community or public service units"/>
    <m/>
    <n v="198118"/>
    <x v="7"/>
    <m/>
    <m/>
    <n v="149814"/>
    <n v="154692"/>
    <m/>
    <m/>
    <m/>
    <m/>
    <n v="0"/>
    <m/>
    <m/>
    <n v="0"/>
    <n v="149814"/>
    <n v="154692"/>
    <m/>
    <m/>
    <m/>
    <m/>
    <n v="0"/>
    <m/>
    <m/>
    <n v="0"/>
    <m/>
    <m/>
    <m/>
    <m/>
    <m/>
    <m/>
    <n v="149814"/>
    <n v="154692"/>
  </r>
  <r>
    <x v="9"/>
    <x v="44"/>
    <s v="Non-credit continuing education"/>
    <m/>
    <n v="198118"/>
    <x v="7"/>
    <m/>
    <m/>
    <n v="2300404"/>
    <n v="2440289"/>
    <m/>
    <m/>
    <n v="309650"/>
    <m/>
    <n v="309650"/>
    <n v="340994"/>
    <m/>
    <n v="340994"/>
    <n v="2610054"/>
    <n v="2781283"/>
    <m/>
    <m/>
    <m/>
    <m/>
    <n v="0"/>
    <m/>
    <m/>
    <n v="0"/>
    <m/>
    <m/>
    <m/>
    <m/>
    <m/>
    <m/>
    <n v="2610054"/>
    <n v="2781283"/>
  </r>
  <r>
    <x v="9"/>
    <x v="0"/>
    <s v="Catawba Valley Community College"/>
    <m/>
    <n v="198233"/>
    <x v="7"/>
    <n v="15155755"/>
    <n v="15206150"/>
    <m/>
    <m/>
    <n v="3850000"/>
    <n v="3848000"/>
    <n v="7109253"/>
    <m/>
    <n v="7109253"/>
    <n v="6645650"/>
    <m/>
    <n v="6645650"/>
    <n v="26115008"/>
    <n v="25699800"/>
    <m/>
    <m/>
    <m/>
    <m/>
    <n v="0"/>
    <m/>
    <m/>
    <n v="0"/>
    <m/>
    <m/>
    <m/>
    <m/>
    <m/>
    <m/>
    <n v="26115008"/>
    <n v="25699800"/>
  </r>
  <r>
    <x v="9"/>
    <x v="0"/>
    <s v="Nursing / allied health supplement"/>
    <m/>
    <n v="198233"/>
    <x v="7"/>
    <m/>
    <m/>
    <m/>
    <m/>
    <m/>
    <m/>
    <m/>
    <m/>
    <n v="0"/>
    <m/>
    <m/>
    <n v="0"/>
    <n v="0"/>
    <n v="0"/>
    <m/>
    <m/>
    <m/>
    <m/>
    <n v="0"/>
    <m/>
    <m/>
    <n v="0"/>
    <m/>
    <m/>
    <m/>
    <m/>
    <m/>
    <m/>
    <n v="0"/>
    <n v="0"/>
  </r>
  <r>
    <x v="9"/>
    <x v="3"/>
    <s v="Community or public service units"/>
    <m/>
    <n v="198233"/>
    <x v="7"/>
    <m/>
    <m/>
    <n v="167327"/>
    <n v="170871"/>
    <m/>
    <m/>
    <m/>
    <m/>
    <n v="0"/>
    <m/>
    <m/>
    <n v="0"/>
    <n v="167327"/>
    <n v="170871"/>
    <m/>
    <m/>
    <m/>
    <m/>
    <n v="0"/>
    <m/>
    <m/>
    <n v="0"/>
    <m/>
    <m/>
    <m/>
    <m/>
    <m/>
    <m/>
    <n v="167327"/>
    <n v="170871"/>
  </r>
  <r>
    <x v="9"/>
    <x v="44"/>
    <s v="Non-credit continuing education"/>
    <m/>
    <n v="198233"/>
    <x v="7"/>
    <m/>
    <m/>
    <n v="2363693"/>
    <n v="2330660"/>
    <m/>
    <m/>
    <n v="374873"/>
    <m/>
    <n v="374873"/>
    <n v="377283"/>
    <m/>
    <n v="377283"/>
    <n v="2738566"/>
    <n v="2707943"/>
    <m/>
    <m/>
    <m/>
    <m/>
    <n v="0"/>
    <m/>
    <m/>
    <n v="0"/>
    <m/>
    <m/>
    <m/>
    <m/>
    <m/>
    <m/>
    <n v="2738566"/>
    <n v="2707943"/>
  </r>
  <r>
    <x v="9"/>
    <x v="0"/>
    <s v="Central Carolina Commuity College"/>
    <m/>
    <n v="198251"/>
    <x v="7"/>
    <n v="15975446"/>
    <n v="17024699"/>
    <m/>
    <m/>
    <n v="4103793"/>
    <n v="3910197"/>
    <n v="6860855"/>
    <m/>
    <n v="6860855"/>
    <n v="6966274"/>
    <m/>
    <n v="6966274"/>
    <n v="26940094"/>
    <n v="27901170"/>
    <m/>
    <m/>
    <m/>
    <m/>
    <n v="0"/>
    <m/>
    <m/>
    <n v="0"/>
    <m/>
    <m/>
    <m/>
    <m/>
    <m/>
    <m/>
    <n v="26940094"/>
    <n v="27901170"/>
  </r>
  <r>
    <x v="9"/>
    <x v="0"/>
    <s v="Nursing / allied health supplement"/>
    <m/>
    <n v="198251"/>
    <x v="7"/>
    <m/>
    <m/>
    <m/>
    <m/>
    <m/>
    <m/>
    <m/>
    <m/>
    <n v="0"/>
    <m/>
    <m/>
    <n v="0"/>
    <n v="0"/>
    <n v="0"/>
    <m/>
    <m/>
    <m/>
    <m/>
    <n v="0"/>
    <m/>
    <m/>
    <n v="0"/>
    <m/>
    <m/>
    <m/>
    <m/>
    <m/>
    <m/>
    <n v="0"/>
    <n v="0"/>
  </r>
  <r>
    <x v="9"/>
    <x v="3"/>
    <s v="Community or public service units"/>
    <m/>
    <n v="198251"/>
    <x v="7"/>
    <m/>
    <m/>
    <n v="174029"/>
    <n v="175671"/>
    <m/>
    <m/>
    <m/>
    <m/>
    <n v="0"/>
    <m/>
    <m/>
    <n v="0"/>
    <n v="174029"/>
    <n v="175671"/>
    <m/>
    <m/>
    <m/>
    <m/>
    <n v="0"/>
    <m/>
    <m/>
    <n v="0"/>
    <m/>
    <m/>
    <m/>
    <m/>
    <m/>
    <m/>
    <n v="174029"/>
    <n v="175671"/>
  </r>
  <r>
    <x v="9"/>
    <x v="44"/>
    <s v="Non-credit continuing education"/>
    <m/>
    <n v="198251"/>
    <x v="7"/>
    <m/>
    <m/>
    <n v="4740719"/>
    <n v="4682604"/>
    <m/>
    <m/>
    <n v="547745"/>
    <m/>
    <n v="547745"/>
    <n v="534953"/>
    <m/>
    <n v="534953"/>
    <n v="5288464"/>
    <n v="5217557"/>
    <m/>
    <m/>
    <m/>
    <m/>
    <n v="0"/>
    <m/>
    <m/>
    <n v="0"/>
    <m/>
    <m/>
    <m/>
    <m/>
    <m/>
    <m/>
    <n v="5288464"/>
    <n v="5217557"/>
  </r>
  <r>
    <x v="9"/>
    <x v="0"/>
    <s v="Cleveland Community College"/>
    <m/>
    <n v="198321"/>
    <x v="7"/>
    <n v="10722327"/>
    <n v="11015152"/>
    <m/>
    <m/>
    <n v="1509973"/>
    <n v="1659976"/>
    <n v="5103939"/>
    <m/>
    <n v="5103939"/>
    <n v="4898617"/>
    <m/>
    <n v="4898617"/>
    <n v="17336239"/>
    <n v="17573745"/>
    <m/>
    <m/>
    <m/>
    <m/>
    <n v="0"/>
    <m/>
    <m/>
    <n v="0"/>
    <m/>
    <m/>
    <m/>
    <m/>
    <m/>
    <m/>
    <n v="17336239"/>
    <n v="17573745"/>
  </r>
  <r>
    <x v="9"/>
    <x v="0"/>
    <s v="Nursing / allied health supplement"/>
    <m/>
    <n v="198321"/>
    <x v="7"/>
    <m/>
    <m/>
    <m/>
    <m/>
    <m/>
    <m/>
    <m/>
    <m/>
    <n v="0"/>
    <m/>
    <m/>
    <n v="0"/>
    <n v="0"/>
    <n v="0"/>
    <m/>
    <m/>
    <m/>
    <m/>
    <n v="0"/>
    <m/>
    <m/>
    <n v="0"/>
    <m/>
    <m/>
    <m/>
    <m/>
    <m/>
    <m/>
    <n v="0"/>
    <n v="0"/>
  </r>
  <r>
    <x v="9"/>
    <x v="3"/>
    <s v="Community or public service units"/>
    <m/>
    <n v="198321"/>
    <x v="7"/>
    <m/>
    <m/>
    <n v="153274"/>
    <n v="154967"/>
    <m/>
    <m/>
    <m/>
    <m/>
    <n v="0"/>
    <m/>
    <m/>
    <n v="0"/>
    <n v="153274"/>
    <n v="154967"/>
    <m/>
    <m/>
    <m/>
    <m/>
    <n v="0"/>
    <m/>
    <m/>
    <n v="0"/>
    <m/>
    <m/>
    <m/>
    <m/>
    <m/>
    <m/>
    <n v="153274"/>
    <n v="154967"/>
  </r>
  <r>
    <x v="9"/>
    <x v="44"/>
    <s v="Non-credit continuing education"/>
    <m/>
    <n v="198321"/>
    <x v="7"/>
    <m/>
    <m/>
    <n v="1509790"/>
    <n v="1691932"/>
    <m/>
    <m/>
    <n v="262791"/>
    <m/>
    <n v="262791"/>
    <n v="286560"/>
    <m/>
    <n v="286560"/>
    <n v="1772581"/>
    <n v="1978492"/>
    <m/>
    <m/>
    <m/>
    <m/>
    <n v="0"/>
    <m/>
    <m/>
    <n v="0"/>
    <m/>
    <m/>
    <m/>
    <m/>
    <m/>
    <m/>
    <n v="1772581"/>
    <n v="1978492"/>
  </r>
  <r>
    <x v="9"/>
    <x v="0"/>
    <s v="Coastal Carolina Community College "/>
    <m/>
    <n v="198330"/>
    <x v="7"/>
    <n v="14089659"/>
    <n v="14609749"/>
    <m/>
    <m/>
    <n v="2266027"/>
    <n v="4169023"/>
    <n v="6859042"/>
    <m/>
    <n v="6859042"/>
    <n v="6683907"/>
    <m/>
    <n v="6683907"/>
    <n v="23214728"/>
    <n v="25462679"/>
    <m/>
    <m/>
    <m/>
    <m/>
    <n v="0"/>
    <m/>
    <m/>
    <n v="0"/>
    <m/>
    <m/>
    <m/>
    <m/>
    <m/>
    <m/>
    <n v="23214728"/>
    <n v="25462679"/>
  </r>
  <r>
    <x v="9"/>
    <x v="0"/>
    <s v="Nursing / allied health supplement"/>
    <m/>
    <n v="198330"/>
    <x v="7"/>
    <m/>
    <m/>
    <m/>
    <m/>
    <m/>
    <m/>
    <m/>
    <m/>
    <n v="0"/>
    <m/>
    <m/>
    <n v="0"/>
    <n v="0"/>
    <n v="0"/>
    <m/>
    <m/>
    <m/>
    <m/>
    <n v="0"/>
    <m/>
    <m/>
    <n v="0"/>
    <m/>
    <m/>
    <m/>
    <m/>
    <m/>
    <m/>
    <n v="0"/>
    <n v="0"/>
  </r>
  <r>
    <x v="9"/>
    <x v="3"/>
    <s v="Community or public service units"/>
    <m/>
    <n v="198330"/>
    <x v="7"/>
    <m/>
    <m/>
    <n v="158773"/>
    <n v="162123"/>
    <m/>
    <m/>
    <m/>
    <m/>
    <n v="0"/>
    <m/>
    <m/>
    <n v="0"/>
    <n v="158773"/>
    <n v="162123"/>
    <m/>
    <m/>
    <m/>
    <m/>
    <n v="0"/>
    <m/>
    <m/>
    <n v="0"/>
    <m/>
    <m/>
    <m/>
    <m/>
    <m/>
    <m/>
    <n v="158773"/>
    <n v="162123"/>
  </r>
  <r>
    <x v="9"/>
    <x v="44"/>
    <s v="Non-credit continuing education"/>
    <m/>
    <n v="198330"/>
    <x v="7"/>
    <m/>
    <m/>
    <n v="2582041"/>
    <n v="2454130"/>
    <m/>
    <m/>
    <n v="502153"/>
    <m/>
    <n v="502153"/>
    <n v="446733"/>
    <m/>
    <n v="446733"/>
    <n v="3084194"/>
    <n v="2900863"/>
    <m/>
    <m/>
    <m/>
    <m/>
    <n v="0"/>
    <m/>
    <m/>
    <n v="0"/>
    <m/>
    <m/>
    <m/>
    <m/>
    <m/>
    <m/>
    <n v="3084194"/>
    <n v="2900863"/>
  </r>
  <r>
    <x v="9"/>
    <x v="0"/>
    <s v="Craven Community College "/>
    <m/>
    <n v="198367"/>
    <x v="7"/>
    <n v="10197689"/>
    <n v="10730229"/>
    <m/>
    <m/>
    <n v="3461090"/>
    <n v="3482948"/>
    <n v="4616209"/>
    <m/>
    <n v="4616209"/>
    <n v="4528807"/>
    <m/>
    <n v="4528807"/>
    <n v="18274988"/>
    <n v="18741984"/>
    <m/>
    <m/>
    <m/>
    <m/>
    <n v="0"/>
    <m/>
    <m/>
    <n v="0"/>
    <m/>
    <m/>
    <m/>
    <m/>
    <m/>
    <m/>
    <n v="18274988"/>
    <n v="18741984"/>
  </r>
  <r>
    <x v="9"/>
    <x v="0"/>
    <s v="Nursing / allied health supplement"/>
    <m/>
    <n v="198367"/>
    <x v="7"/>
    <m/>
    <m/>
    <m/>
    <m/>
    <m/>
    <m/>
    <m/>
    <m/>
    <n v="0"/>
    <m/>
    <m/>
    <n v="0"/>
    <n v="0"/>
    <n v="0"/>
    <m/>
    <m/>
    <m/>
    <m/>
    <n v="0"/>
    <m/>
    <m/>
    <n v="0"/>
    <m/>
    <m/>
    <m/>
    <m/>
    <m/>
    <m/>
    <n v="0"/>
    <n v="0"/>
  </r>
  <r>
    <x v="9"/>
    <x v="3"/>
    <s v="Community or public service units"/>
    <m/>
    <n v="198367"/>
    <x v="7"/>
    <m/>
    <m/>
    <n v="155111"/>
    <n v="158223"/>
    <m/>
    <m/>
    <m/>
    <m/>
    <n v="0"/>
    <m/>
    <m/>
    <n v="0"/>
    <n v="155111"/>
    <n v="158223"/>
    <m/>
    <m/>
    <m/>
    <m/>
    <n v="0"/>
    <m/>
    <m/>
    <n v="0"/>
    <m/>
    <m/>
    <m/>
    <m/>
    <m/>
    <m/>
    <n v="155111"/>
    <n v="158223"/>
  </r>
  <r>
    <x v="9"/>
    <x v="44"/>
    <s v="Non-credit continuing education"/>
    <m/>
    <n v="198367"/>
    <x v="7"/>
    <m/>
    <m/>
    <n v="1295438"/>
    <n v="1469219"/>
    <m/>
    <m/>
    <n v="210866"/>
    <m/>
    <n v="210866"/>
    <n v="236506"/>
    <m/>
    <n v="236506"/>
    <n v="1506304"/>
    <n v="1705725"/>
    <m/>
    <m/>
    <m/>
    <m/>
    <n v="0"/>
    <m/>
    <m/>
    <n v="0"/>
    <m/>
    <m/>
    <m/>
    <m/>
    <m/>
    <m/>
    <n v="1506304"/>
    <n v="1705725"/>
  </r>
  <r>
    <x v="9"/>
    <x v="0"/>
    <s v="Davidson County Community College "/>
    <m/>
    <n v="198376"/>
    <x v="7"/>
    <n v="13061476"/>
    <n v="13617051"/>
    <m/>
    <m/>
    <n v="3613577"/>
    <n v="3684789"/>
    <n v="6010501"/>
    <m/>
    <n v="6010501"/>
    <n v="5860487"/>
    <m/>
    <n v="5860487"/>
    <n v="22685554"/>
    <n v="23162327"/>
    <m/>
    <m/>
    <m/>
    <m/>
    <n v="0"/>
    <m/>
    <m/>
    <n v="0"/>
    <m/>
    <m/>
    <m/>
    <m/>
    <m/>
    <m/>
    <n v="22685554"/>
    <n v="23162327"/>
  </r>
  <r>
    <x v="9"/>
    <x v="0"/>
    <s v="Nursing / allied health supplement"/>
    <m/>
    <n v="198376"/>
    <x v="7"/>
    <m/>
    <m/>
    <m/>
    <m/>
    <m/>
    <m/>
    <m/>
    <m/>
    <n v="0"/>
    <m/>
    <m/>
    <n v="0"/>
    <n v="0"/>
    <n v="0"/>
    <m/>
    <m/>
    <m/>
    <m/>
    <n v="0"/>
    <m/>
    <m/>
    <n v="0"/>
    <m/>
    <m/>
    <m/>
    <m/>
    <m/>
    <m/>
    <n v="0"/>
    <n v="0"/>
  </r>
  <r>
    <x v="9"/>
    <x v="3"/>
    <s v="Community or public service units"/>
    <m/>
    <n v="198376"/>
    <x v="7"/>
    <m/>
    <m/>
    <n v="156518"/>
    <n v="159174"/>
    <m/>
    <m/>
    <m/>
    <m/>
    <n v="0"/>
    <m/>
    <m/>
    <n v="0"/>
    <n v="156518"/>
    <n v="159174"/>
    <m/>
    <m/>
    <m/>
    <m/>
    <n v="0"/>
    <m/>
    <m/>
    <n v="0"/>
    <m/>
    <m/>
    <m/>
    <m/>
    <m/>
    <m/>
    <n v="156518"/>
    <n v="159174"/>
  </r>
  <r>
    <x v="9"/>
    <x v="44"/>
    <s v="Non-credit continuing education"/>
    <m/>
    <n v="198376"/>
    <x v="7"/>
    <m/>
    <m/>
    <n v="2590072"/>
    <n v="2512078"/>
    <m/>
    <m/>
    <n v="277355"/>
    <m/>
    <n v="277355"/>
    <n v="263410"/>
    <m/>
    <n v="263410"/>
    <n v="2867427"/>
    <n v="2775488"/>
    <m/>
    <m/>
    <m/>
    <m/>
    <n v="0"/>
    <m/>
    <m/>
    <n v="0"/>
    <m/>
    <m/>
    <m/>
    <m/>
    <m/>
    <m/>
    <n v="2867427"/>
    <n v="2775488"/>
  </r>
  <r>
    <x v="9"/>
    <x v="0"/>
    <s v="Durham Technical Community College"/>
    <m/>
    <n v="198455"/>
    <x v="7"/>
    <n v="14016429"/>
    <n v="14767448"/>
    <m/>
    <m/>
    <n v="6265689"/>
    <n v="6647695"/>
    <n v="6801022"/>
    <m/>
    <n v="6801022"/>
    <n v="6765884"/>
    <m/>
    <n v="6765884"/>
    <n v="27083140"/>
    <n v="28181027"/>
    <m/>
    <m/>
    <m/>
    <m/>
    <n v="0"/>
    <m/>
    <m/>
    <n v="0"/>
    <m/>
    <m/>
    <m/>
    <m/>
    <m/>
    <m/>
    <n v="27083140"/>
    <n v="28181027"/>
  </r>
  <r>
    <x v="9"/>
    <x v="0"/>
    <s v="Nursing / allied health supplement"/>
    <m/>
    <n v="198455"/>
    <x v="7"/>
    <m/>
    <m/>
    <m/>
    <m/>
    <m/>
    <m/>
    <m/>
    <m/>
    <n v="0"/>
    <m/>
    <m/>
    <n v="0"/>
    <n v="0"/>
    <n v="0"/>
    <m/>
    <m/>
    <m/>
    <m/>
    <n v="0"/>
    <m/>
    <m/>
    <n v="0"/>
    <m/>
    <m/>
    <m/>
    <m/>
    <m/>
    <m/>
    <n v="0"/>
    <n v="0"/>
  </r>
  <r>
    <x v="9"/>
    <x v="3"/>
    <s v="Community or public service units"/>
    <m/>
    <n v="198455"/>
    <x v="7"/>
    <m/>
    <m/>
    <n v="165760"/>
    <n v="169271"/>
    <m/>
    <m/>
    <m/>
    <m/>
    <n v="0"/>
    <m/>
    <m/>
    <n v="0"/>
    <n v="165760"/>
    <n v="169271"/>
    <m/>
    <m/>
    <m/>
    <m/>
    <n v="0"/>
    <m/>
    <m/>
    <n v="0"/>
    <m/>
    <m/>
    <m/>
    <m/>
    <m/>
    <m/>
    <n v="165760"/>
    <n v="169271"/>
  </r>
  <r>
    <x v="9"/>
    <x v="44"/>
    <s v="Non-credit continuing education"/>
    <m/>
    <n v="198455"/>
    <x v="7"/>
    <m/>
    <m/>
    <n v="2726325"/>
    <n v="2522023"/>
    <m/>
    <m/>
    <n v="385005"/>
    <m/>
    <n v="385005"/>
    <n v="339117"/>
    <m/>
    <n v="339117"/>
    <n v="3111330"/>
    <n v="2861140"/>
    <m/>
    <m/>
    <m/>
    <m/>
    <n v="0"/>
    <m/>
    <m/>
    <n v="0"/>
    <m/>
    <m/>
    <m/>
    <m/>
    <m/>
    <m/>
    <n v="3111330"/>
    <n v="2861140"/>
  </r>
  <r>
    <x v="9"/>
    <x v="0"/>
    <s v="Edgecombe Community College"/>
    <m/>
    <n v="198491"/>
    <x v="7"/>
    <n v="9963238"/>
    <n v="9909217"/>
    <m/>
    <m/>
    <n v="1406000"/>
    <n v="1344420"/>
    <n v="4485665"/>
    <m/>
    <n v="4485665"/>
    <n v="4175392"/>
    <m/>
    <n v="4175392"/>
    <n v="15854903"/>
    <n v="15429029"/>
    <m/>
    <m/>
    <m/>
    <m/>
    <n v="0"/>
    <m/>
    <m/>
    <n v="0"/>
    <m/>
    <m/>
    <m/>
    <m/>
    <m/>
    <m/>
    <n v="15854903"/>
    <n v="15429029"/>
  </r>
  <r>
    <x v="9"/>
    <x v="0"/>
    <s v="Nursing / allied health supplement"/>
    <m/>
    <n v="198491"/>
    <x v="7"/>
    <m/>
    <m/>
    <m/>
    <m/>
    <m/>
    <m/>
    <m/>
    <m/>
    <n v="0"/>
    <m/>
    <m/>
    <n v="0"/>
    <n v="0"/>
    <n v="0"/>
    <m/>
    <m/>
    <m/>
    <m/>
    <n v="0"/>
    <m/>
    <m/>
    <n v="0"/>
    <m/>
    <m/>
    <m/>
    <m/>
    <m/>
    <m/>
    <n v="0"/>
    <n v="0"/>
  </r>
  <r>
    <x v="9"/>
    <x v="3"/>
    <s v="Community or public service units"/>
    <m/>
    <n v="198491"/>
    <x v="7"/>
    <m/>
    <m/>
    <n v="149476"/>
    <n v="151474"/>
    <m/>
    <m/>
    <m/>
    <m/>
    <n v="0"/>
    <m/>
    <m/>
    <n v="0"/>
    <n v="149476"/>
    <n v="151474"/>
    <m/>
    <m/>
    <m/>
    <m/>
    <n v="0"/>
    <m/>
    <m/>
    <n v="0"/>
    <m/>
    <m/>
    <m/>
    <m/>
    <m/>
    <m/>
    <n v="149476"/>
    <n v="151474"/>
  </r>
  <r>
    <x v="9"/>
    <x v="44"/>
    <s v="Non-credit continuing education"/>
    <m/>
    <n v="198491"/>
    <x v="7"/>
    <m/>
    <m/>
    <n v="1507854"/>
    <n v="1443250"/>
    <m/>
    <m/>
    <n v="184904"/>
    <m/>
    <n v="184904"/>
    <n v="183323"/>
    <m/>
    <n v="183323"/>
    <n v="1692758"/>
    <n v="1626573"/>
    <m/>
    <m/>
    <m/>
    <m/>
    <n v="0"/>
    <m/>
    <m/>
    <n v="0"/>
    <m/>
    <m/>
    <m/>
    <m/>
    <m/>
    <m/>
    <n v="1692758"/>
    <n v="1626573"/>
  </r>
  <r>
    <x v="9"/>
    <x v="0"/>
    <s v="Gaston College "/>
    <m/>
    <n v="198570"/>
    <x v="7"/>
    <n v="18482177"/>
    <n v="18899813"/>
    <m/>
    <m/>
    <n v="4735723"/>
    <n v="4896926"/>
    <n v="8791830"/>
    <m/>
    <n v="8791830"/>
    <n v="8456444"/>
    <m/>
    <n v="8456444"/>
    <n v="32009730"/>
    <n v="32253183"/>
    <m/>
    <m/>
    <m/>
    <m/>
    <n v="0"/>
    <m/>
    <m/>
    <n v="0"/>
    <m/>
    <m/>
    <m/>
    <m/>
    <m/>
    <m/>
    <n v="32009730"/>
    <n v="32253183"/>
  </r>
  <r>
    <x v="9"/>
    <x v="0"/>
    <s v="Nursing / allied health supplement"/>
    <m/>
    <n v="198570"/>
    <x v="7"/>
    <m/>
    <m/>
    <m/>
    <m/>
    <m/>
    <m/>
    <m/>
    <m/>
    <n v="0"/>
    <m/>
    <m/>
    <n v="0"/>
    <n v="0"/>
    <n v="0"/>
    <m/>
    <m/>
    <m/>
    <m/>
    <n v="0"/>
    <m/>
    <m/>
    <n v="0"/>
    <m/>
    <m/>
    <m/>
    <m/>
    <m/>
    <m/>
    <n v="0"/>
    <n v="0"/>
  </r>
  <r>
    <x v="9"/>
    <x v="3"/>
    <s v="Community or public service units"/>
    <m/>
    <n v="198570"/>
    <x v="7"/>
    <m/>
    <m/>
    <n v="168246"/>
    <n v="170761"/>
    <m/>
    <m/>
    <m/>
    <m/>
    <n v="0"/>
    <m/>
    <m/>
    <n v="0"/>
    <n v="168246"/>
    <n v="170761"/>
    <m/>
    <m/>
    <m/>
    <m/>
    <n v="0"/>
    <m/>
    <m/>
    <n v="0"/>
    <m/>
    <m/>
    <m/>
    <m/>
    <m/>
    <m/>
    <n v="168246"/>
    <n v="170761"/>
  </r>
  <r>
    <x v="9"/>
    <x v="44"/>
    <s v="Non-credit continuing education"/>
    <m/>
    <n v="198570"/>
    <x v="7"/>
    <m/>
    <m/>
    <n v="2047183"/>
    <n v="1847947"/>
    <m/>
    <m/>
    <n v="233029"/>
    <m/>
    <n v="233029"/>
    <n v="222115"/>
    <m/>
    <n v="222115"/>
    <n v="2280212"/>
    <n v="2070062"/>
    <m/>
    <m/>
    <m/>
    <m/>
    <n v="0"/>
    <m/>
    <m/>
    <n v="0"/>
    <m/>
    <m/>
    <m/>
    <m/>
    <m/>
    <m/>
    <n v="2280212"/>
    <n v="2070062"/>
  </r>
  <r>
    <x v="9"/>
    <x v="0"/>
    <s v="Isothermal Community College "/>
    <s v="Reclassified: Met the criteria for Two-Year 3 in 2012-13, 2013-14, and 2014-15."/>
    <n v="198710"/>
    <x v="8"/>
    <n v="8067333"/>
    <n v="8211985"/>
    <m/>
    <m/>
    <n v="2098872"/>
    <n v="2329009"/>
    <n v="3715088"/>
    <m/>
    <n v="3715088"/>
    <n v="3519571"/>
    <m/>
    <n v="3519571"/>
    <n v="13881293"/>
    <n v="14060565"/>
    <m/>
    <m/>
    <m/>
    <m/>
    <n v="0"/>
    <m/>
    <m/>
    <n v="0"/>
    <m/>
    <m/>
    <m/>
    <m/>
    <m/>
    <m/>
    <n v="13881293"/>
    <n v="14060565"/>
  </r>
  <r>
    <x v="9"/>
    <x v="0"/>
    <s v="Nursing / allied health supplement"/>
    <m/>
    <n v="198710"/>
    <x v="8"/>
    <m/>
    <m/>
    <m/>
    <m/>
    <m/>
    <m/>
    <m/>
    <m/>
    <n v="0"/>
    <m/>
    <m/>
    <n v="0"/>
    <n v="0"/>
    <n v="0"/>
    <m/>
    <m/>
    <m/>
    <m/>
    <n v="0"/>
    <m/>
    <m/>
    <n v="0"/>
    <m/>
    <m/>
    <m/>
    <m/>
    <m/>
    <m/>
    <n v="0"/>
    <n v="0"/>
  </r>
  <r>
    <x v="9"/>
    <x v="3"/>
    <s v="Community or public service units"/>
    <m/>
    <n v="198710"/>
    <x v="8"/>
    <m/>
    <m/>
    <n v="154395"/>
    <n v="153681"/>
    <m/>
    <m/>
    <m/>
    <m/>
    <n v="0"/>
    <m/>
    <m/>
    <n v="0"/>
    <n v="154395"/>
    <n v="153681"/>
    <m/>
    <m/>
    <m/>
    <m/>
    <n v="0"/>
    <m/>
    <m/>
    <n v="0"/>
    <m/>
    <m/>
    <m/>
    <m/>
    <m/>
    <m/>
    <n v="154395"/>
    <n v="153681"/>
  </r>
  <r>
    <x v="9"/>
    <x v="44"/>
    <s v="Non-credit continuing education"/>
    <m/>
    <n v="198710"/>
    <x v="8"/>
    <m/>
    <m/>
    <n v="1236247"/>
    <n v="1127151"/>
    <m/>
    <m/>
    <n v="169706"/>
    <m/>
    <n v="169706"/>
    <n v="150162"/>
    <m/>
    <n v="150162"/>
    <n v="1405953"/>
    <n v="1277313"/>
    <m/>
    <m/>
    <m/>
    <m/>
    <n v="0"/>
    <m/>
    <m/>
    <n v="0"/>
    <m/>
    <m/>
    <m/>
    <m/>
    <m/>
    <m/>
    <n v="1405953"/>
    <n v="1277313"/>
  </r>
  <r>
    <x v="9"/>
    <x v="0"/>
    <s v="Johnston Community College"/>
    <m/>
    <n v="198774"/>
    <x v="7"/>
    <n v="13303682"/>
    <n v="14133901"/>
    <m/>
    <m/>
    <n v="3843000"/>
    <n v="3900000"/>
    <n v="6621523"/>
    <m/>
    <n v="6621523"/>
    <n v="6439796"/>
    <m/>
    <n v="6439796"/>
    <n v="23768205"/>
    <n v="24473697"/>
    <m/>
    <m/>
    <m/>
    <m/>
    <n v="0"/>
    <m/>
    <m/>
    <n v="0"/>
    <m/>
    <m/>
    <m/>
    <m/>
    <m/>
    <m/>
    <n v="23768205"/>
    <n v="24473697"/>
  </r>
  <r>
    <x v="9"/>
    <x v="0"/>
    <s v="Nursing / allied health supplement"/>
    <m/>
    <n v="198774"/>
    <x v="7"/>
    <m/>
    <m/>
    <m/>
    <m/>
    <m/>
    <m/>
    <m/>
    <m/>
    <n v="0"/>
    <m/>
    <m/>
    <n v="0"/>
    <n v="0"/>
    <n v="0"/>
    <m/>
    <m/>
    <m/>
    <m/>
    <n v="0"/>
    <m/>
    <m/>
    <n v="0"/>
    <m/>
    <m/>
    <m/>
    <m/>
    <m/>
    <m/>
    <n v="0"/>
    <n v="0"/>
  </r>
  <r>
    <x v="9"/>
    <x v="3"/>
    <s v="Community or public service units"/>
    <m/>
    <n v="198774"/>
    <x v="7"/>
    <m/>
    <m/>
    <n v="156192"/>
    <n v="158830"/>
    <m/>
    <m/>
    <m/>
    <m/>
    <n v="0"/>
    <m/>
    <m/>
    <n v="0"/>
    <n v="156192"/>
    <n v="158830"/>
    <m/>
    <m/>
    <m/>
    <m/>
    <n v="0"/>
    <m/>
    <m/>
    <n v="0"/>
    <m/>
    <m/>
    <m/>
    <m/>
    <m/>
    <m/>
    <n v="156192"/>
    <n v="158830"/>
  </r>
  <r>
    <x v="9"/>
    <x v="44"/>
    <s v="Non-credit continuing education"/>
    <m/>
    <n v="198774"/>
    <x v="7"/>
    <m/>
    <m/>
    <n v="2241938"/>
    <n v="2246255"/>
    <m/>
    <m/>
    <n v="339412"/>
    <m/>
    <n v="339412"/>
    <n v="343496"/>
    <m/>
    <n v="343496"/>
    <n v="2581350"/>
    <n v="2589751"/>
    <m/>
    <m/>
    <m/>
    <m/>
    <n v="0"/>
    <m/>
    <m/>
    <n v="0"/>
    <m/>
    <m/>
    <m/>
    <m/>
    <m/>
    <m/>
    <n v="2581350"/>
    <n v="2589751"/>
  </r>
  <r>
    <x v="9"/>
    <x v="0"/>
    <s v="Lenoir Community College "/>
    <m/>
    <n v="198817"/>
    <x v="7"/>
    <n v="11440378"/>
    <n v="11643049"/>
    <m/>
    <m/>
    <n v="2727264"/>
    <n v="2478708"/>
    <n v="4404074"/>
    <m/>
    <n v="4404074"/>
    <n v="4191788"/>
    <m/>
    <n v="4191788"/>
    <n v="18571716"/>
    <n v="18313545"/>
    <m/>
    <m/>
    <m/>
    <m/>
    <n v="0"/>
    <m/>
    <m/>
    <n v="0"/>
    <m/>
    <m/>
    <m/>
    <m/>
    <m/>
    <m/>
    <n v="18571716"/>
    <n v="18313545"/>
  </r>
  <r>
    <x v="9"/>
    <x v="0"/>
    <s v="Nursing / allied health supplement"/>
    <m/>
    <n v="198817"/>
    <x v="7"/>
    <m/>
    <m/>
    <m/>
    <m/>
    <m/>
    <m/>
    <m/>
    <m/>
    <n v="0"/>
    <m/>
    <m/>
    <n v="0"/>
    <n v="0"/>
    <n v="0"/>
    <m/>
    <m/>
    <m/>
    <m/>
    <n v="0"/>
    <m/>
    <m/>
    <n v="0"/>
    <m/>
    <m/>
    <m/>
    <m/>
    <m/>
    <m/>
    <n v="0"/>
    <n v="0"/>
  </r>
  <r>
    <x v="9"/>
    <x v="3"/>
    <s v="Community or public service units"/>
    <m/>
    <n v="198817"/>
    <x v="7"/>
    <m/>
    <m/>
    <n v="154084"/>
    <n v="156457"/>
    <m/>
    <m/>
    <m/>
    <m/>
    <n v="0"/>
    <m/>
    <m/>
    <n v="0"/>
    <n v="154084"/>
    <n v="156457"/>
    <m/>
    <m/>
    <m/>
    <m/>
    <n v="0"/>
    <m/>
    <m/>
    <n v="0"/>
    <m/>
    <m/>
    <m/>
    <m/>
    <m/>
    <m/>
    <n v="154084"/>
    <n v="156457"/>
  </r>
  <r>
    <x v="9"/>
    <x v="44"/>
    <s v="Non-credit continuing education"/>
    <m/>
    <n v="198817"/>
    <x v="7"/>
    <m/>
    <m/>
    <n v="5115259"/>
    <n v="5158920"/>
    <m/>
    <m/>
    <n v="1007471"/>
    <m/>
    <n v="1007471"/>
    <n v="985440"/>
    <m/>
    <n v="985440"/>
    <n v="6122730"/>
    <n v="6144360"/>
    <m/>
    <m/>
    <m/>
    <m/>
    <n v="0"/>
    <m/>
    <m/>
    <n v="0"/>
    <m/>
    <m/>
    <m/>
    <m/>
    <m/>
    <m/>
    <n v="6122730"/>
    <n v="6144360"/>
  </r>
  <r>
    <x v="9"/>
    <x v="0"/>
    <s v="Mitchell Community College "/>
    <m/>
    <n v="198987"/>
    <x v="7"/>
    <n v="9714569"/>
    <n v="9872468"/>
    <m/>
    <m/>
    <n v="2935071"/>
    <n v="3050713"/>
    <n v="4705052"/>
    <m/>
    <n v="4705052"/>
    <n v="4412216"/>
    <m/>
    <n v="4412216"/>
    <n v="17354692"/>
    <n v="17335397"/>
    <m/>
    <m/>
    <m/>
    <m/>
    <n v="0"/>
    <m/>
    <m/>
    <n v="0"/>
    <m/>
    <m/>
    <m/>
    <m/>
    <m/>
    <m/>
    <n v="17354692"/>
    <n v="17335397"/>
  </r>
  <r>
    <x v="9"/>
    <x v="0"/>
    <s v="Nursing / allied health supplement"/>
    <m/>
    <n v="198987"/>
    <x v="7"/>
    <m/>
    <m/>
    <m/>
    <m/>
    <m/>
    <m/>
    <m/>
    <m/>
    <n v="0"/>
    <m/>
    <m/>
    <n v="0"/>
    <n v="0"/>
    <n v="0"/>
    <m/>
    <m/>
    <m/>
    <m/>
    <n v="0"/>
    <m/>
    <m/>
    <n v="0"/>
    <m/>
    <m/>
    <m/>
    <m/>
    <m/>
    <m/>
    <n v="0"/>
    <n v="0"/>
  </r>
  <r>
    <x v="9"/>
    <x v="3"/>
    <s v="Community or public service units"/>
    <m/>
    <n v="198987"/>
    <x v="7"/>
    <m/>
    <m/>
    <n v="166354"/>
    <n v="169712"/>
    <m/>
    <m/>
    <m/>
    <m/>
    <n v="0"/>
    <m/>
    <m/>
    <n v="0"/>
    <n v="166354"/>
    <n v="169712"/>
    <m/>
    <m/>
    <m/>
    <m/>
    <n v="0"/>
    <m/>
    <m/>
    <n v="0"/>
    <m/>
    <m/>
    <m/>
    <m/>
    <m/>
    <m/>
    <n v="166354"/>
    <n v="169712"/>
  </r>
  <r>
    <x v="9"/>
    <x v="44"/>
    <s v="Non-credit continuing education"/>
    <m/>
    <n v="198987"/>
    <x v="7"/>
    <m/>
    <m/>
    <n v="1601450"/>
    <n v="1580885"/>
    <m/>
    <m/>
    <n v="198201"/>
    <m/>
    <n v="198201"/>
    <n v="207099"/>
    <m/>
    <n v="207099"/>
    <n v="1799651"/>
    <n v="1787984"/>
    <m/>
    <m/>
    <m/>
    <m/>
    <n v="0"/>
    <m/>
    <m/>
    <n v="0"/>
    <m/>
    <m/>
    <m/>
    <m/>
    <m/>
    <m/>
    <n v="1799651"/>
    <n v="1787984"/>
  </r>
  <r>
    <x v="9"/>
    <x v="0"/>
    <s v="Nash Community College"/>
    <m/>
    <n v="199087"/>
    <x v="7"/>
    <n v="9681560"/>
    <n v="10734180"/>
    <m/>
    <m/>
    <n v="1641676"/>
    <n v="1645000"/>
    <n v="4614396"/>
    <m/>
    <n v="4614396"/>
    <n v="4769274"/>
    <m/>
    <n v="4769274"/>
    <n v="15937632"/>
    <n v="17148454"/>
    <m/>
    <m/>
    <m/>
    <m/>
    <n v="0"/>
    <m/>
    <m/>
    <n v="0"/>
    <m/>
    <m/>
    <m/>
    <m/>
    <m/>
    <m/>
    <n v="15937632"/>
    <n v="17148454"/>
  </r>
  <r>
    <x v="9"/>
    <x v="0"/>
    <s v="Nursing / allied health supplement"/>
    <m/>
    <n v="199087"/>
    <x v="7"/>
    <m/>
    <m/>
    <m/>
    <m/>
    <m/>
    <m/>
    <m/>
    <m/>
    <n v="0"/>
    <m/>
    <m/>
    <n v="0"/>
    <n v="0"/>
    <n v="0"/>
    <m/>
    <m/>
    <m/>
    <m/>
    <n v="0"/>
    <m/>
    <m/>
    <n v="0"/>
    <m/>
    <m/>
    <m/>
    <m/>
    <m/>
    <m/>
    <n v="0"/>
    <n v="0"/>
  </r>
  <r>
    <x v="9"/>
    <x v="3"/>
    <s v="Community or public service units"/>
    <m/>
    <n v="199087"/>
    <x v="7"/>
    <m/>
    <m/>
    <n v="161490"/>
    <n v="152209"/>
    <m/>
    <m/>
    <m/>
    <m/>
    <n v="0"/>
    <m/>
    <m/>
    <n v="0"/>
    <n v="161490"/>
    <n v="152209"/>
    <m/>
    <m/>
    <m/>
    <m/>
    <n v="0"/>
    <m/>
    <m/>
    <n v="0"/>
    <m/>
    <m/>
    <m/>
    <m/>
    <m/>
    <m/>
    <n v="161490"/>
    <n v="152209"/>
  </r>
  <r>
    <x v="9"/>
    <x v="44"/>
    <s v="Non-credit continuing education"/>
    <m/>
    <n v="199087"/>
    <x v="7"/>
    <m/>
    <m/>
    <n v="1564714"/>
    <n v="1563943"/>
    <m/>
    <m/>
    <n v="271023"/>
    <m/>
    <n v="271023"/>
    <n v="265287"/>
    <m/>
    <n v="265287"/>
    <n v="1835737"/>
    <n v="1829230"/>
    <m/>
    <m/>
    <m/>
    <m/>
    <n v="0"/>
    <m/>
    <m/>
    <n v="0"/>
    <m/>
    <m/>
    <m/>
    <m/>
    <m/>
    <m/>
    <n v="1835737"/>
    <n v="1829230"/>
  </r>
  <r>
    <x v="9"/>
    <x v="0"/>
    <s v="Randolph Community College"/>
    <m/>
    <n v="199421"/>
    <x v="7"/>
    <n v="9064461"/>
    <n v="10099897"/>
    <m/>
    <m/>
    <n v="2328000"/>
    <n v="2328000"/>
    <n v="4193752"/>
    <m/>
    <n v="4193752"/>
    <n v="4415860"/>
    <m/>
    <n v="4415860"/>
    <n v="15586213"/>
    <n v="16843757"/>
    <m/>
    <m/>
    <m/>
    <m/>
    <n v="0"/>
    <m/>
    <m/>
    <n v="0"/>
    <m/>
    <m/>
    <m/>
    <m/>
    <m/>
    <m/>
    <n v="15586213"/>
    <n v="16843757"/>
  </r>
  <r>
    <x v="9"/>
    <x v="0"/>
    <s v="Nursing / allied health supplement"/>
    <m/>
    <n v="199421"/>
    <x v="7"/>
    <m/>
    <m/>
    <m/>
    <m/>
    <m/>
    <m/>
    <m/>
    <m/>
    <n v="0"/>
    <m/>
    <m/>
    <n v="0"/>
    <n v="0"/>
    <n v="0"/>
    <m/>
    <m/>
    <m/>
    <m/>
    <n v="0"/>
    <m/>
    <m/>
    <n v="0"/>
    <m/>
    <m/>
    <m/>
    <m/>
    <m/>
    <m/>
    <n v="0"/>
    <n v="0"/>
  </r>
  <r>
    <x v="9"/>
    <x v="3"/>
    <s v="Community or public service units"/>
    <m/>
    <n v="199421"/>
    <x v="7"/>
    <m/>
    <m/>
    <n v="162787"/>
    <n v="161436"/>
    <m/>
    <m/>
    <m/>
    <m/>
    <n v="0"/>
    <m/>
    <m/>
    <n v="0"/>
    <n v="162787"/>
    <n v="161436"/>
    <m/>
    <m/>
    <m/>
    <m/>
    <n v="0"/>
    <m/>
    <m/>
    <n v="0"/>
    <m/>
    <m/>
    <m/>
    <m/>
    <m/>
    <m/>
    <n v="162787"/>
    <n v="161436"/>
  </r>
  <r>
    <x v="9"/>
    <x v="44"/>
    <s v="Non-credit continuing education"/>
    <m/>
    <n v="199421"/>
    <x v="7"/>
    <m/>
    <m/>
    <n v="1804875"/>
    <n v="1717040"/>
    <m/>
    <m/>
    <n v="207700"/>
    <m/>
    <n v="207700"/>
    <n v="193960"/>
    <m/>
    <n v="193960"/>
    <n v="2012575"/>
    <n v="1911000"/>
    <m/>
    <m/>
    <m/>
    <m/>
    <n v="0"/>
    <m/>
    <m/>
    <n v="0"/>
    <m/>
    <m/>
    <m/>
    <m/>
    <m/>
    <m/>
    <n v="2012575"/>
    <n v="1911000"/>
  </r>
  <r>
    <x v="9"/>
    <x v="0"/>
    <s v="Robeson Community College"/>
    <m/>
    <n v="199476"/>
    <x v="7"/>
    <n v="10082993"/>
    <n v="9738382"/>
    <m/>
    <m/>
    <n v="2116520"/>
    <n v="2237797"/>
    <n v="4224575"/>
    <m/>
    <n v="4224575"/>
    <n v="3736357"/>
    <m/>
    <n v="3736357"/>
    <n v="16424088"/>
    <n v="15712536"/>
    <m/>
    <m/>
    <m/>
    <m/>
    <n v="0"/>
    <m/>
    <m/>
    <n v="0"/>
    <m/>
    <m/>
    <m/>
    <m/>
    <m/>
    <m/>
    <n v="16424088"/>
    <n v="15712536"/>
  </r>
  <r>
    <x v="9"/>
    <x v="0"/>
    <s v="Nursing / allied health supplement"/>
    <m/>
    <n v="199476"/>
    <x v="7"/>
    <m/>
    <m/>
    <m/>
    <m/>
    <m/>
    <m/>
    <m/>
    <m/>
    <n v="0"/>
    <m/>
    <m/>
    <n v="0"/>
    <n v="0"/>
    <n v="0"/>
    <m/>
    <m/>
    <m/>
    <m/>
    <n v="0"/>
    <m/>
    <m/>
    <n v="0"/>
    <m/>
    <m/>
    <m/>
    <m/>
    <m/>
    <m/>
    <n v="0"/>
    <n v="0"/>
  </r>
  <r>
    <x v="9"/>
    <x v="3"/>
    <s v="Community or public service units"/>
    <m/>
    <n v="199476"/>
    <x v="7"/>
    <m/>
    <m/>
    <n v="160354"/>
    <n v="161368"/>
    <m/>
    <m/>
    <m/>
    <m/>
    <n v="0"/>
    <m/>
    <m/>
    <n v="0"/>
    <n v="160354"/>
    <n v="161368"/>
    <m/>
    <m/>
    <m/>
    <m/>
    <n v="0"/>
    <m/>
    <m/>
    <n v="0"/>
    <m/>
    <m/>
    <m/>
    <m/>
    <m/>
    <m/>
    <n v="160354"/>
    <n v="161368"/>
  </r>
  <r>
    <x v="9"/>
    <x v="44"/>
    <s v="Non-credit continuing education"/>
    <m/>
    <n v="199476"/>
    <x v="7"/>
    <m/>
    <m/>
    <n v="3709409"/>
    <n v="3379523"/>
    <m/>
    <m/>
    <n v="377406"/>
    <m/>
    <n v="377406"/>
    <n v="391673"/>
    <m/>
    <n v="391673"/>
    <n v="4086815"/>
    <n v="3771196"/>
    <m/>
    <m/>
    <m/>
    <m/>
    <n v="0"/>
    <m/>
    <m/>
    <n v="0"/>
    <m/>
    <m/>
    <m/>
    <m/>
    <m/>
    <m/>
    <n v="4086815"/>
    <n v="3771196"/>
  </r>
  <r>
    <x v="9"/>
    <x v="0"/>
    <s v="Sandhills Community College "/>
    <m/>
    <n v="199634"/>
    <x v="7"/>
    <n v="12094243"/>
    <n v="12789405"/>
    <m/>
    <m/>
    <n v="4554581"/>
    <n v="4697826"/>
    <n v="5948854"/>
    <m/>
    <n v="5948854"/>
    <n v="5844092"/>
    <m/>
    <n v="5844092"/>
    <n v="22597678"/>
    <n v="23331323"/>
    <m/>
    <m/>
    <m/>
    <m/>
    <n v="0"/>
    <m/>
    <m/>
    <n v="0"/>
    <m/>
    <m/>
    <m/>
    <m/>
    <m/>
    <m/>
    <n v="22597678"/>
    <n v="23331323"/>
  </r>
  <r>
    <x v="9"/>
    <x v="0"/>
    <s v="Nursing / allied health supplement"/>
    <m/>
    <n v="199634"/>
    <x v="7"/>
    <m/>
    <m/>
    <m/>
    <m/>
    <m/>
    <m/>
    <m/>
    <m/>
    <n v="0"/>
    <m/>
    <m/>
    <n v="0"/>
    <n v="0"/>
    <n v="0"/>
    <m/>
    <m/>
    <m/>
    <m/>
    <n v="0"/>
    <m/>
    <m/>
    <n v="0"/>
    <m/>
    <m/>
    <m/>
    <m/>
    <m/>
    <m/>
    <n v="0"/>
    <n v="0"/>
  </r>
  <r>
    <x v="9"/>
    <x v="3"/>
    <s v="Community or public service units"/>
    <m/>
    <n v="199634"/>
    <x v="7"/>
    <m/>
    <m/>
    <n v="153814"/>
    <n v="155795"/>
    <m/>
    <m/>
    <m/>
    <m/>
    <n v="0"/>
    <m/>
    <m/>
    <n v="0"/>
    <n v="153814"/>
    <n v="155795"/>
    <m/>
    <m/>
    <m/>
    <m/>
    <n v="0"/>
    <m/>
    <m/>
    <n v="0"/>
    <m/>
    <m/>
    <m/>
    <m/>
    <m/>
    <m/>
    <n v="153814"/>
    <n v="155795"/>
  </r>
  <r>
    <x v="9"/>
    <x v="44"/>
    <s v="Non-credit continuing education"/>
    <m/>
    <n v="199634"/>
    <x v="7"/>
    <m/>
    <m/>
    <n v="1821652"/>
    <n v="1983180"/>
    <m/>
    <m/>
    <n v="185537"/>
    <m/>
    <n v="185537"/>
    <n v="222741"/>
    <m/>
    <n v="222741"/>
    <n v="2007189"/>
    <n v="2205921"/>
    <m/>
    <m/>
    <m/>
    <m/>
    <n v="0"/>
    <m/>
    <m/>
    <n v="0"/>
    <m/>
    <m/>
    <m/>
    <m/>
    <m/>
    <m/>
    <n v="2007189"/>
    <n v="2205921"/>
  </r>
  <r>
    <x v="9"/>
    <x v="0"/>
    <s v="Stanly Community College"/>
    <m/>
    <n v="199740"/>
    <x v="7"/>
    <n v="9635241"/>
    <n v="9855366"/>
    <m/>
    <m/>
    <n v="1267820"/>
    <n v="1312498"/>
    <n v="4186499"/>
    <m/>
    <n v="4186499"/>
    <n v="3960429"/>
    <m/>
    <n v="3960429"/>
    <n v="15089560"/>
    <n v="15128293"/>
    <m/>
    <m/>
    <m/>
    <m/>
    <n v="0"/>
    <m/>
    <m/>
    <n v="0"/>
    <m/>
    <m/>
    <m/>
    <m/>
    <m/>
    <m/>
    <n v="15089560"/>
    <n v="15128293"/>
  </r>
  <r>
    <x v="9"/>
    <x v="0"/>
    <s v="Nursing / allied health supplement"/>
    <m/>
    <n v="199740"/>
    <x v="7"/>
    <m/>
    <m/>
    <m/>
    <m/>
    <m/>
    <m/>
    <m/>
    <m/>
    <n v="0"/>
    <m/>
    <m/>
    <n v="0"/>
    <n v="0"/>
    <n v="0"/>
    <m/>
    <m/>
    <m/>
    <m/>
    <n v="0"/>
    <m/>
    <m/>
    <n v="0"/>
    <m/>
    <m/>
    <m/>
    <m/>
    <m/>
    <m/>
    <n v="0"/>
    <n v="0"/>
  </r>
  <r>
    <x v="9"/>
    <x v="3"/>
    <s v="Community or public service units"/>
    <m/>
    <n v="199740"/>
    <x v="7"/>
    <m/>
    <m/>
    <n v="149314"/>
    <n v="150095"/>
    <m/>
    <m/>
    <m/>
    <m/>
    <n v="0"/>
    <m/>
    <m/>
    <n v="0"/>
    <n v="149314"/>
    <n v="150095"/>
    <m/>
    <m/>
    <m/>
    <m/>
    <n v="0"/>
    <m/>
    <m/>
    <n v="0"/>
    <m/>
    <m/>
    <m/>
    <m/>
    <m/>
    <m/>
    <n v="149314"/>
    <n v="150095"/>
  </r>
  <r>
    <x v="9"/>
    <x v="44"/>
    <s v="Non-credit continuing education"/>
    <m/>
    <n v="199740"/>
    <x v="7"/>
    <m/>
    <m/>
    <n v="1831012"/>
    <n v="1749563"/>
    <m/>
    <m/>
    <n v="281155"/>
    <m/>
    <n v="281155"/>
    <n v="275923"/>
    <m/>
    <n v="275923"/>
    <n v="2112167"/>
    <n v="2025486"/>
    <m/>
    <m/>
    <m/>
    <m/>
    <n v="0"/>
    <m/>
    <m/>
    <n v="0"/>
    <m/>
    <m/>
    <m/>
    <m/>
    <m/>
    <m/>
    <n v="2112167"/>
    <n v="2025486"/>
  </r>
  <r>
    <x v="9"/>
    <x v="0"/>
    <s v="Surry Community College "/>
    <m/>
    <n v="199768"/>
    <x v="7"/>
    <n v="10491372"/>
    <n v="11124138"/>
    <m/>
    <m/>
    <n v="2462538"/>
    <n v="2462538"/>
    <n v="4935319"/>
    <m/>
    <n v="4935319"/>
    <n v="4867647"/>
    <m/>
    <n v="4867647"/>
    <n v="17889229"/>
    <n v="18454323"/>
    <m/>
    <m/>
    <m/>
    <m/>
    <n v="0"/>
    <m/>
    <m/>
    <n v="0"/>
    <m/>
    <m/>
    <m/>
    <m/>
    <m/>
    <m/>
    <n v="17889229"/>
    <n v="18454323"/>
  </r>
  <r>
    <x v="9"/>
    <x v="0"/>
    <s v="Nursing / allied health supplement"/>
    <m/>
    <n v="199768"/>
    <x v="7"/>
    <m/>
    <m/>
    <m/>
    <m/>
    <m/>
    <m/>
    <m/>
    <m/>
    <n v="0"/>
    <m/>
    <m/>
    <n v="0"/>
    <n v="0"/>
    <n v="0"/>
    <m/>
    <m/>
    <m/>
    <m/>
    <n v="0"/>
    <m/>
    <m/>
    <n v="0"/>
    <m/>
    <m/>
    <m/>
    <m/>
    <m/>
    <m/>
    <n v="0"/>
    <n v="0"/>
  </r>
  <r>
    <x v="9"/>
    <x v="3"/>
    <s v="Community or public service units"/>
    <m/>
    <n v="199768"/>
    <x v="7"/>
    <m/>
    <m/>
    <n v="149977"/>
    <n v="148701"/>
    <m/>
    <m/>
    <m/>
    <m/>
    <n v="0"/>
    <m/>
    <m/>
    <n v="0"/>
    <n v="149977"/>
    <n v="148701"/>
    <m/>
    <m/>
    <m/>
    <m/>
    <n v="0"/>
    <m/>
    <m/>
    <n v="0"/>
    <m/>
    <m/>
    <m/>
    <m/>
    <m/>
    <m/>
    <n v="149977"/>
    <n v="148701"/>
  </r>
  <r>
    <x v="9"/>
    <x v="44"/>
    <s v="Non-credit continuing education"/>
    <m/>
    <n v="199768"/>
    <x v="7"/>
    <m/>
    <m/>
    <n v="2027519"/>
    <n v="2028946"/>
    <m/>
    <m/>
    <n v="324214"/>
    <m/>
    <n v="324214"/>
    <n v="304704"/>
    <m/>
    <n v="304704"/>
    <n v="2351733"/>
    <n v="2333650"/>
    <m/>
    <m/>
    <m/>
    <m/>
    <n v="0"/>
    <m/>
    <m/>
    <n v="0"/>
    <m/>
    <m/>
    <m/>
    <m/>
    <m/>
    <m/>
    <n v="2351733"/>
    <n v="2333650"/>
  </r>
  <r>
    <x v="9"/>
    <x v="0"/>
    <s v="Vance-Granville Community College "/>
    <m/>
    <n v="199838"/>
    <x v="7"/>
    <n v="12564212"/>
    <n v="12824425"/>
    <m/>
    <m/>
    <n v="2168622"/>
    <n v="2351262"/>
    <n v="5470190"/>
    <m/>
    <n v="5470190"/>
    <n v="5180984"/>
    <m/>
    <n v="5180984"/>
    <n v="20203024"/>
    <n v="20356671"/>
    <m/>
    <m/>
    <m/>
    <m/>
    <n v="0"/>
    <m/>
    <m/>
    <n v="0"/>
    <m/>
    <m/>
    <m/>
    <m/>
    <m/>
    <m/>
    <n v="20203024"/>
    <n v="20356671"/>
  </r>
  <r>
    <x v="9"/>
    <x v="0"/>
    <s v="Nursing / allied health supplement"/>
    <m/>
    <n v="199838"/>
    <x v="7"/>
    <m/>
    <m/>
    <m/>
    <m/>
    <m/>
    <m/>
    <m/>
    <m/>
    <n v="0"/>
    <m/>
    <m/>
    <n v="0"/>
    <n v="0"/>
    <n v="0"/>
    <m/>
    <m/>
    <m/>
    <m/>
    <n v="0"/>
    <m/>
    <m/>
    <n v="0"/>
    <m/>
    <m/>
    <m/>
    <m/>
    <m/>
    <m/>
    <n v="0"/>
    <n v="0"/>
  </r>
  <r>
    <x v="9"/>
    <x v="3"/>
    <s v="Community or public service units"/>
    <m/>
    <n v="199838"/>
    <x v="7"/>
    <m/>
    <m/>
    <n v="161760"/>
    <n v="163974"/>
    <m/>
    <m/>
    <m/>
    <m/>
    <n v="0"/>
    <m/>
    <m/>
    <n v="0"/>
    <n v="161760"/>
    <n v="163974"/>
    <m/>
    <m/>
    <m/>
    <m/>
    <n v="0"/>
    <m/>
    <m/>
    <n v="0"/>
    <m/>
    <m/>
    <m/>
    <m/>
    <m/>
    <m/>
    <n v="161760"/>
    <n v="163974"/>
  </r>
  <r>
    <x v="9"/>
    <x v="44"/>
    <s v="Non-credit continuing education"/>
    <m/>
    <n v="199838"/>
    <x v="7"/>
    <m/>
    <m/>
    <n v="3069389"/>
    <n v="2647957"/>
    <m/>
    <m/>
    <n v="389437"/>
    <m/>
    <n v="389437"/>
    <n v="356010"/>
    <m/>
    <n v="356010"/>
    <n v="3458826"/>
    <n v="3003967"/>
    <m/>
    <m/>
    <m/>
    <m/>
    <n v="0"/>
    <m/>
    <m/>
    <n v="0"/>
    <m/>
    <m/>
    <m/>
    <m/>
    <m/>
    <m/>
    <n v="3458826"/>
    <n v="3003967"/>
  </r>
  <r>
    <x v="9"/>
    <x v="0"/>
    <s v="Wayne Community College"/>
    <m/>
    <n v="199892"/>
    <x v="7"/>
    <n v="11858514"/>
    <n v="12827920"/>
    <m/>
    <m/>
    <n v="3318403"/>
    <n v="3364685"/>
    <n v="5709522"/>
    <m/>
    <n v="5709522"/>
    <n v="5782153"/>
    <m/>
    <n v="5782153"/>
    <n v="20886439"/>
    <n v="21974758"/>
    <m/>
    <m/>
    <m/>
    <m/>
    <n v="0"/>
    <m/>
    <m/>
    <n v="0"/>
    <m/>
    <m/>
    <m/>
    <m/>
    <m/>
    <m/>
    <n v="20886439"/>
    <n v="21974758"/>
  </r>
  <r>
    <x v="9"/>
    <x v="0"/>
    <s v="Nursing / allied health supplement"/>
    <m/>
    <n v="199892"/>
    <x v="7"/>
    <m/>
    <m/>
    <m/>
    <m/>
    <m/>
    <m/>
    <m/>
    <m/>
    <n v="0"/>
    <m/>
    <m/>
    <n v="0"/>
    <n v="0"/>
    <n v="0"/>
    <m/>
    <m/>
    <m/>
    <m/>
    <n v="0"/>
    <m/>
    <m/>
    <n v="0"/>
    <m/>
    <m/>
    <m/>
    <m/>
    <m/>
    <m/>
    <n v="0"/>
    <n v="0"/>
  </r>
  <r>
    <x v="9"/>
    <x v="3"/>
    <s v="Community or public service units"/>
    <m/>
    <n v="199892"/>
    <x v="7"/>
    <m/>
    <m/>
    <n v="152463"/>
    <n v="154967"/>
    <m/>
    <m/>
    <m/>
    <m/>
    <n v="0"/>
    <m/>
    <m/>
    <n v="0"/>
    <n v="152463"/>
    <n v="154967"/>
    <m/>
    <m/>
    <m/>
    <m/>
    <n v="0"/>
    <m/>
    <m/>
    <n v="0"/>
    <m/>
    <m/>
    <m/>
    <m/>
    <m/>
    <m/>
    <n v="152463"/>
    <n v="154967"/>
  </r>
  <r>
    <x v="9"/>
    <x v="44"/>
    <s v="Non-credit continuing education"/>
    <m/>
    <n v="199892"/>
    <x v="7"/>
    <m/>
    <m/>
    <n v="2254643"/>
    <n v="2180461"/>
    <m/>
    <m/>
    <n v="314716"/>
    <m/>
    <n v="314716"/>
    <n v="276549"/>
    <m/>
    <n v="276549"/>
    <n v="2569359"/>
    <n v="2457010"/>
    <m/>
    <m/>
    <m/>
    <m/>
    <n v="0"/>
    <m/>
    <m/>
    <n v="0"/>
    <m/>
    <m/>
    <m/>
    <m/>
    <m/>
    <m/>
    <n v="2569359"/>
    <n v="2457010"/>
  </r>
  <r>
    <x v="9"/>
    <x v="0"/>
    <s v="Western Piedmont Community College "/>
    <m/>
    <n v="199908"/>
    <x v="7"/>
    <n v="9557563"/>
    <n v="9135441"/>
    <m/>
    <m/>
    <n v="2182000"/>
    <n v="2431329"/>
    <n v="4171994"/>
    <m/>
    <n v="4171994"/>
    <n v="3730891"/>
    <m/>
    <n v="3730891"/>
    <n v="15911557"/>
    <n v="15297661"/>
    <m/>
    <m/>
    <m/>
    <m/>
    <n v="0"/>
    <m/>
    <m/>
    <n v="0"/>
    <m/>
    <m/>
    <m/>
    <m/>
    <m/>
    <m/>
    <n v="15911557"/>
    <n v="15297661"/>
  </r>
  <r>
    <x v="9"/>
    <x v="0"/>
    <s v="Nursing / allied health supplement"/>
    <m/>
    <n v="199908"/>
    <x v="7"/>
    <m/>
    <m/>
    <m/>
    <m/>
    <m/>
    <m/>
    <m/>
    <m/>
    <n v="0"/>
    <m/>
    <m/>
    <n v="0"/>
    <n v="0"/>
    <n v="0"/>
    <m/>
    <m/>
    <m/>
    <m/>
    <n v="0"/>
    <m/>
    <m/>
    <n v="0"/>
    <m/>
    <m/>
    <m/>
    <m/>
    <m/>
    <m/>
    <n v="0"/>
    <n v="0"/>
  </r>
  <r>
    <x v="9"/>
    <x v="3"/>
    <s v="Community or public service units"/>
    <m/>
    <n v="199908"/>
    <x v="7"/>
    <m/>
    <m/>
    <n v="158408"/>
    <n v="160209"/>
    <m/>
    <m/>
    <m/>
    <m/>
    <n v="0"/>
    <m/>
    <m/>
    <n v="0"/>
    <n v="158408"/>
    <n v="160209"/>
    <m/>
    <m/>
    <m/>
    <m/>
    <n v="0"/>
    <m/>
    <m/>
    <n v="0"/>
    <m/>
    <m/>
    <m/>
    <m/>
    <m/>
    <m/>
    <n v="158408"/>
    <n v="160209"/>
  </r>
  <r>
    <x v="9"/>
    <x v="44"/>
    <s v="Non-credit continuing education"/>
    <m/>
    <n v="199908"/>
    <x v="7"/>
    <m/>
    <m/>
    <n v="2323033"/>
    <n v="2110943"/>
    <m/>
    <m/>
    <n v="233662"/>
    <m/>
    <n v="233662"/>
    <n v="222741"/>
    <m/>
    <n v="222741"/>
    <n v="2556695"/>
    <n v="2333684"/>
    <m/>
    <m/>
    <m/>
    <m/>
    <n v="0"/>
    <m/>
    <m/>
    <n v="0"/>
    <m/>
    <m/>
    <m/>
    <m/>
    <m/>
    <m/>
    <n v="2556695"/>
    <n v="2333684"/>
  </r>
  <r>
    <x v="9"/>
    <x v="0"/>
    <s v="Wilkes Community College "/>
    <m/>
    <n v="199926"/>
    <x v="7"/>
    <n v="9880749"/>
    <n v="10826987"/>
    <m/>
    <m/>
    <n v="3806179"/>
    <n v="3905521"/>
    <n v="4242706"/>
    <m/>
    <n v="4242706"/>
    <n v="4353921"/>
    <m/>
    <n v="4353921"/>
    <n v="17929634"/>
    <n v="19086429"/>
    <m/>
    <m/>
    <m/>
    <m/>
    <n v="0"/>
    <m/>
    <m/>
    <n v="0"/>
    <m/>
    <m/>
    <m/>
    <m/>
    <m/>
    <m/>
    <n v="17929634"/>
    <n v="19086429"/>
  </r>
  <r>
    <x v="9"/>
    <x v="0"/>
    <s v="Nursing / allied health supplement"/>
    <m/>
    <n v="199926"/>
    <x v="7"/>
    <m/>
    <m/>
    <m/>
    <m/>
    <m/>
    <m/>
    <m/>
    <m/>
    <n v="0"/>
    <m/>
    <m/>
    <n v="0"/>
    <n v="0"/>
    <n v="0"/>
    <m/>
    <m/>
    <m/>
    <m/>
    <n v="0"/>
    <m/>
    <m/>
    <n v="0"/>
    <m/>
    <m/>
    <m/>
    <m/>
    <m/>
    <m/>
    <n v="0"/>
    <n v="0"/>
  </r>
  <r>
    <x v="9"/>
    <x v="3"/>
    <s v="Community or public service units"/>
    <m/>
    <n v="199926"/>
    <x v="7"/>
    <m/>
    <m/>
    <n v="149328"/>
    <n v="152540"/>
    <m/>
    <m/>
    <m/>
    <m/>
    <n v="0"/>
    <m/>
    <m/>
    <n v="0"/>
    <n v="149328"/>
    <n v="152540"/>
    <m/>
    <m/>
    <m/>
    <m/>
    <n v="0"/>
    <m/>
    <m/>
    <n v="0"/>
    <m/>
    <m/>
    <m/>
    <m/>
    <m/>
    <m/>
    <n v="149328"/>
    <n v="152540"/>
  </r>
  <r>
    <x v="9"/>
    <x v="44"/>
    <s v="Non-credit continuing education"/>
    <m/>
    <n v="199926"/>
    <x v="7"/>
    <m/>
    <m/>
    <n v="2116589"/>
    <n v="1999142"/>
    <m/>
    <m/>
    <n v="324214"/>
    <m/>
    <n v="324214"/>
    <n v="295945"/>
    <m/>
    <n v="295945"/>
    <n v="2440803"/>
    <n v="2295087"/>
    <m/>
    <m/>
    <m/>
    <m/>
    <n v="0"/>
    <m/>
    <m/>
    <n v="0"/>
    <m/>
    <m/>
    <m/>
    <m/>
    <m/>
    <m/>
    <n v="2440803"/>
    <n v="2295087"/>
  </r>
  <r>
    <x v="9"/>
    <x v="0"/>
    <s v="Beaufort County Community College "/>
    <m/>
    <n v="197966"/>
    <x v="8"/>
    <n v="6551773"/>
    <n v="6943175"/>
    <m/>
    <m/>
    <n v="2232403"/>
    <n v="2270934"/>
    <n v="2868360"/>
    <m/>
    <n v="2868360"/>
    <n v="2841890"/>
    <m/>
    <n v="2841890"/>
    <n v="11652536"/>
    <n v="12055999"/>
    <m/>
    <m/>
    <m/>
    <m/>
    <n v="0"/>
    <m/>
    <m/>
    <n v="0"/>
    <m/>
    <m/>
    <m/>
    <m/>
    <m/>
    <m/>
    <n v="11652536"/>
    <n v="12055999"/>
  </r>
  <r>
    <x v="9"/>
    <x v="0"/>
    <s v="Nursing / allied health supplement"/>
    <m/>
    <n v="197966"/>
    <x v="8"/>
    <m/>
    <m/>
    <m/>
    <m/>
    <m/>
    <m/>
    <m/>
    <m/>
    <n v="0"/>
    <m/>
    <m/>
    <n v="0"/>
    <n v="0"/>
    <n v="0"/>
    <m/>
    <m/>
    <m/>
    <m/>
    <n v="0"/>
    <m/>
    <m/>
    <n v="0"/>
    <m/>
    <m/>
    <m/>
    <m/>
    <m/>
    <m/>
    <n v="0"/>
    <n v="0"/>
  </r>
  <r>
    <x v="9"/>
    <x v="3"/>
    <s v="Community or public service units"/>
    <m/>
    <n v="197966"/>
    <x v="8"/>
    <m/>
    <m/>
    <n v="148287"/>
    <n v="150923"/>
    <m/>
    <m/>
    <m/>
    <m/>
    <n v="0"/>
    <m/>
    <m/>
    <n v="0"/>
    <n v="148287"/>
    <n v="150923"/>
    <m/>
    <m/>
    <m/>
    <m/>
    <n v="0"/>
    <m/>
    <m/>
    <n v="0"/>
    <m/>
    <m/>
    <m/>
    <m/>
    <m/>
    <m/>
    <n v="148287"/>
    <n v="150923"/>
  </r>
  <r>
    <x v="9"/>
    <x v="44"/>
    <s v="Non-credit continuing education"/>
    <m/>
    <n v="197966"/>
    <x v="8"/>
    <m/>
    <m/>
    <n v="1107472"/>
    <n v="1014031"/>
    <m/>
    <m/>
    <n v="136145"/>
    <m/>
    <n v="136145"/>
    <n v="127012"/>
    <m/>
    <n v="127012"/>
    <n v="1243617"/>
    <n v="1141043"/>
    <m/>
    <m/>
    <m/>
    <m/>
    <n v="0"/>
    <m/>
    <m/>
    <n v="0"/>
    <m/>
    <m/>
    <m/>
    <m/>
    <m/>
    <m/>
    <n v="1243617"/>
    <n v="1141043"/>
  </r>
  <r>
    <x v="9"/>
    <x v="0"/>
    <s v="Bladen Community College"/>
    <m/>
    <n v="198011"/>
    <x v="8"/>
    <n v="5725840"/>
    <n v="5484586"/>
    <m/>
    <m/>
    <n v="765803"/>
    <n v="765803"/>
    <n v="2322610"/>
    <m/>
    <n v="2322610"/>
    <n v="2094983"/>
    <m/>
    <n v="2094983"/>
    <n v="8814253"/>
    <n v="8345372"/>
    <m/>
    <m/>
    <m/>
    <m/>
    <n v="0"/>
    <m/>
    <m/>
    <n v="0"/>
    <m/>
    <m/>
    <m/>
    <m/>
    <m/>
    <m/>
    <n v="8814253"/>
    <n v="8345372"/>
  </r>
  <r>
    <x v="9"/>
    <x v="0"/>
    <s v="Nursing / allied health supplement"/>
    <m/>
    <n v="198011"/>
    <x v="8"/>
    <m/>
    <m/>
    <m/>
    <m/>
    <m/>
    <m/>
    <m/>
    <m/>
    <n v="0"/>
    <m/>
    <m/>
    <n v="0"/>
    <n v="0"/>
    <n v="0"/>
    <m/>
    <m/>
    <m/>
    <m/>
    <n v="0"/>
    <m/>
    <m/>
    <n v="0"/>
    <m/>
    <m/>
    <m/>
    <m/>
    <m/>
    <m/>
    <n v="0"/>
    <n v="0"/>
  </r>
  <r>
    <x v="9"/>
    <x v="3"/>
    <s v="Community or public service units"/>
    <m/>
    <n v="198011"/>
    <x v="8"/>
    <m/>
    <m/>
    <n v="145977"/>
    <n v="147078"/>
    <m/>
    <m/>
    <m/>
    <m/>
    <n v="0"/>
    <m/>
    <m/>
    <n v="0"/>
    <n v="145977"/>
    <n v="147078"/>
    <m/>
    <m/>
    <m/>
    <m/>
    <n v="0"/>
    <m/>
    <m/>
    <n v="0"/>
    <m/>
    <m/>
    <m/>
    <m/>
    <m/>
    <m/>
    <n v="145977"/>
    <n v="147078"/>
  </r>
  <r>
    <x v="9"/>
    <x v="44"/>
    <s v="Non-credit continuing education"/>
    <m/>
    <n v="198011"/>
    <x v="8"/>
    <m/>
    <m/>
    <n v="924977"/>
    <n v="867955"/>
    <m/>
    <m/>
    <n v="153875"/>
    <m/>
    <n v="153875"/>
    <n v="141403"/>
    <m/>
    <n v="141403"/>
    <n v="1078852"/>
    <n v="1009358"/>
    <m/>
    <m/>
    <m/>
    <m/>
    <n v="0"/>
    <m/>
    <m/>
    <n v="0"/>
    <m/>
    <m/>
    <m/>
    <m/>
    <m/>
    <m/>
    <n v="1078852"/>
    <n v="1009358"/>
  </r>
  <r>
    <x v="9"/>
    <x v="0"/>
    <s v="Blue Ridge Community College"/>
    <m/>
    <n v="198039"/>
    <x v="8"/>
    <n v="7999994"/>
    <n v="8420799"/>
    <m/>
    <m/>
    <n v="2440308"/>
    <n v="2493841"/>
    <n v="3232797"/>
    <m/>
    <n v="3232797"/>
    <n v="3164335"/>
    <m/>
    <n v="3164335"/>
    <n v="13673099"/>
    <n v="14078975"/>
    <m/>
    <m/>
    <m/>
    <m/>
    <n v="0"/>
    <m/>
    <m/>
    <n v="0"/>
    <m/>
    <m/>
    <m/>
    <m/>
    <m/>
    <m/>
    <n v="13673099"/>
    <n v="14078975"/>
  </r>
  <r>
    <x v="9"/>
    <x v="0"/>
    <s v="Nursing / allied health supplement"/>
    <m/>
    <n v="198039"/>
    <x v="8"/>
    <m/>
    <m/>
    <m/>
    <m/>
    <m/>
    <m/>
    <m/>
    <m/>
    <n v="0"/>
    <m/>
    <m/>
    <n v="0"/>
    <n v="0"/>
    <n v="0"/>
    <m/>
    <m/>
    <m/>
    <m/>
    <n v="0"/>
    <m/>
    <m/>
    <n v="0"/>
    <m/>
    <m/>
    <m/>
    <m/>
    <m/>
    <m/>
    <n v="0"/>
    <n v="0"/>
  </r>
  <r>
    <x v="9"/>
    <x v="3"/>
    <s v="Community or public service units"/>
    <m/>
    <n v="198039"/>
    <x v="8"/>
    <m/>
    <m/>
    <n v="162840"/>
    <n v="164126"/>
    <m/>
    <m/>
    <m/>
    <m/>
    <n v="0"/>
    <m/>
    <m/>
    <n v="0"/>
    <n v="162840"/>
    <n v="164126"/>
    <m/>
    <m/>
    <m/>
    <m/>
    <n v="0"/>
    <m/>
    <m/>
    <n v="0"/>
    <m/>
    <m/>
    <m/>
    <m/>
    <m/>
    <m/>
    <n v="162840"/>
    <n v="164126"/>
  </r>
  <r>
    <x v="9"/>
    <x v="44"/>
    <s v="Non-credit continuing education"/>
    <m/>
    <n v="198039"/>
    <x v="8"/>
    <m/>
    <m/>
    <n v="1685472"/>
    <n v="1656372"/>
    <m/>
    <m/>
    <n v="307117"/>
    <m/>
    <n v="307117"/>
    <n v="293442"/>
    <m/>
    <n v="293442"/>
    <n v="1992589"/>
    <n v="1949814"/>
    <m/>
    <m/>
    <m/>
    <m/>
    <n v="0"/>
    <m/>
    <m/>
    <n v="0"/>
    <m/>
    <m/>
    <m/>
    <m/>
    <m/>
    <m/>
    <n v="1992589"/>
    <n v="1949814"/>
  </r>
  <r>
    <x v="9"/>
    <x v="0"/>
    <s v="Brunswick Community College"/>
    <m/>
    <n v="198084"/>
    <x v="8"/>
    <n v="5864510"/>
    <n v="6420867"/>
    <m/>
    <m/>
    <n v="3781447"/>
    <n v="3699447"/>
    <n v="2299039"/>
    <m/>
    <n v="2299039"/>
    <n v="2355490"/>
    <m/>
    <n v="2355490"/>
    <n v="11944996"/>
    <n v="12475804"/>
    <m/>
    <m/>
    <m/>
    <m/>
    <n v="0"/>
    <m/>
    <m/>
    <n v="0"/>
    <m/>
    <m/>
    <m/>
    <m/>
    <m/>
    <m/>
    <n v="11944996"/>
    <n v="12475804"/>
  </r>
  <r>
    <x v="9"/>
    <x v="0"/>
    <s v="Nursing / allied health supplement"/>
    <m/>
    <n v="198084"/>
    <x v="8"/>
    <m/>
    <m/>
    <m/>
    <m/>
    <m/>
    <m/>
    <m/>
    <m/>
    <n v="0"/>
    <m/>
    <m/>
    <n v="0"/>
    <n v="0"/>
    <n v="0"/>
    <m/>
    <m/>
    <m/>
    <m/>
    <n v="0"/>
    <m/>
    <m/>
    <n v="0"/>
    <m/>
    <m/>
    <m/>
    <m/>
    <m/>
    <m/>
    <n v="0"/>
    <n v="0"/>
  </r>
  <r>
    <x v="9"/>
    <x v="3"/>
    <s v="Community or public service units"/>
    <m/>
    <n v="198084"/>
    <x v="8"/>
    <m/>
    <m/>
    <n v="148287"/>
    <n v="149433"/>
    <m/>
    <m/>
    <m/>
    <m/>
    <n v="0"/>
    <m/>
    <m/>
    <n v="0"/>
    <n v="148287"/>
    <n v="149433"/>
    <m/>
    <m/>
    <m/>
    <m/>
    <n v="0"/>
    <m/>
    <m/>
    <n v="0"/>
    <m/>
    <m/>
    <m/>
    <m/>
    <m/>
    <m/>
    <n v="148287"/>
    <n v="149433"/>
  </r>
  <r>
    <x v="9"/>
    <x v="44"/>
    <s v="Non-credit continuing education"/>
    <m/>
    <n v="198084"/>
    <x v="8"/>
    <m/>
    <m/>
    <n v="1479578"/>
    <n v="1584071"/>
    <m/>
    <m/>
    <n v="178571"/>
    <m/>
    <n v="178571"/>
    <n v="204596"/>
    <m/>
    <n v="204596"/>
    <n v="1658149"/>
    <n v="1788667"/>
    <m/>
    <m/>
    <m/>
    <m/>
    <n v="0"/>
    <m/>
    <m/>
    <n v="0"/>
    <m/>
    <m/>
    <m/>
    <m/>
    <m/>
    <m/>
    <n v="1658149"/>
    <n v="1788667"/>
  </r>
  <r>
    <x v="9"/>
    <x v="0"/>
    <s v="Carteret Community College"/>
    <m/>
    <n v="198206"/>
    <x v="8"/>
    <n v="6251001"/>
    <n v="6557061"/>
    <m/>
    <m/>
    <n v="2130955"/>
    <n v="2440000"/>
    <n v="2605457"/>
    <m/>
    <n v="2605457"/>
    <n v="2564988"/>
    <m/>
    <n v="2564988"/>
    <n v="10987413"/>
    <n v="11562049"/>
    <m/>
    <m/>
    <m/>
    <m/>
    <n v="0"/>
    <m/>
    <m/>
    <n v="0"/>
    <m/>
    <m/>
    <m/>
    <m/>
    <m/>
    <m/>
    <n v="10987413"/>
    <n v="11562049"/>
  </r>
  <r>
    <x v="9"/>
    <x v="0"/>
    <s v="Nursing / allied health supplement"/>
    <m/>
    <n v="198206"/>
    <x v="8"/>
    <m/>
    <m/>
    <m/>
    <m/>
    <m/>
    <m/>
    <m/>
    <m/>
    <n v="0"/>
    <m/>
    <m/>
    <n v="0"/>
    <n v="0"/>
    <n v="0"/>
    <m/>
    <m/>
    <m/>
    <m/>
    <n v="0"/>
    <m/>
    <m/>
    <n v="0"/>
    <m/>
    <m/>
    <m/>
    <m/>
    <m/>
    <m/>
    <n v="0"/>
    <n v="0"/>
  </r>
  <r>
    <x v="9"/>
    <x v="3"/>
    <s v="Community or public service units"/>
    <m/>
    <n v="198206"/>
    <x v="8"/>
    <m/>
    <m/>
    <n v="151044"/>
    <n v="152302"/>
    <m/>
    <m/>
    <m/>
    <m/>
    <n v="0"/>
    <m/>
    <m/>
    <n v="0"/>
    <n v="151044"/>
    <n v="152302"/>
    <m/>
    <m/>
    <m/>
    <m/>
    <n v="0"/>
    <m/>
    <m/>
    <n v="0"/>
    <m/>
    <m/>
    <m/>
    <m/>
    <m/>
    <m/>
    <n v="151044"/>
    <n v="152302"/>
  </r>
  <r>
    <x v="9"/>
    <x v="44"/>
    <s v="Non-credit continuing education"/>
    <m/>
    <n v="198206"/>
    <x v="8"/>
    <m/>
    <m/>
    <n v="1267877"/>
    <n v="1249011"/>
    <m/>
    <m/>
    <n v="221631"/>
    <m/>
    <n v="221631"/>
    <n v="215233"/>
    <m/>
    <n v="215233"/>
    <n v="1489508"/>
    <n v="1464244"/>
    <m/>
    <m/>
    <m/>
    <m/>
    <n v="0"/>
    <m/>
    <m/>
    <n v="0"/>
    <m/>
    <m/>
    <m/>
    <m/>
    <m/>
    <m/>
    <n v="1489508"/>
    <n v="1464244"/>
  </r>
  <r>
    <x v="9"/>
    <x v="0"/>
    <s v="College of the Albemarle"/>
    <m/>
    <n v="197814"/>
    <x v="8"/>
    <n v="8597582"/>
    <n v="8950887"/>
    <m/>
    <m/>
    <n v="3913869"/>
    <n v="2281477"/>
    <n v="3753163"/>
    <m/>
    <n v="3753163"/>
    <n v="3636162"/>
    <m/>
    <n v="3636162"/>
    <n v="16264614"/>
    <n v="14868526"/>
    <m/>
    <m/>
    <m/>
    <m/>
    <n v="0"/>
    <m/>
    <m/>
    <n v="0"/>
    <m/>
    <m/>
    <m/>
    <m/>
    <m/>
    <m/>
    <n v="16264614"/>
    <n v="14868526"/>
  </r>
  <r>
    <x v="9"/>
    <x v="0"/>
    <s v="Nursing / allied health supplement"/>
    <m/>
    <n v="197814"/>
    <x v="8"/>
    <m/>
    <m/>
    <m/>
    <m/>
    <m/>
    <m/>
    <m/>
    <m/>
    <n v="0"/>
    <m/>
    <m/>
    <n v="0"/>
    <n v="0"/>
    <n v="0"/>
    <m/>
    <m/>
    <m/>
    <m/>
    <n v="0"/>
    <m/>
    <m/>
    <n v="0"/>
    <m/>
    <m/>
    <m/>
    <m/>
    <m/>
    <m/>
    <n v="0"/>
    <n v="0"/>
  </r>
  <r>
    <x v="9"/>
    <x v="3"/>
    <s v="Community or public service units"/>
    <m/>
    <n v="197814"/>
    <x v="8"/>
    <m/>
    <m/>
    <n v="153638"/>
    <n v="157047"/>
    <m/>
    <m/>
    <m/>
    <m/>
    <n v="0"/>
    <m/>
    <m/>
    <n v="0"/>
    <n v="153638"/>
    <n v="157047"/>
    <m/>
    <m/>
    <m/>
    <m/>
    <n v="0"/>
    <m/>
    <m/>
    <n v="0"/>
    <m/>
    <m/>
    <m/>
    <m/>
    <m/>
    <m/>
    <n v="153638"/>
    <n v="157047"/>
  </r>
  <r>
    <x v="9"/>
    <x v="44"/>
    <s v="Non-credit continuing education"/>
    <m/>
    <n v="197814"/>
    <x v="8"/>
    <m/>
    <m/>
    <n v="1468880"/>
    <n v="1337308"/>
    <m/>
    <m/>
    <n v="172239"/>
    <m/>
    <n v="172239"/>
    <n v="161424"/>
    <m/>
    <n v="161424"/>
    <n v="1641119"/>
    <n v="1498732"/>
    <m/>
    <m/>
    <m/>
    <m/>
    <n v="0"/>
    <m/>
    <m/>
    <n v="0"/>
    <m/>
    <m/>
    <m/>
    <m/>
    <m/>
    <m/>
    <n v="1641119"/>
    <n v="1498732"/>
  </r>
  <r>
    <x v="9"/>
    <x v="0"/>
    <s v="Halifax Community College "/>
    <m/>
    <n v="198640"/>
    <x v="8"/>
    <n v="6102368"/>
    <n v="6096191"/>
    <m/>
    <m/>
    <n v="1035404"/>
    <n v="1073364"/>
    <n v="2491230"/>
    <m/>
    <n v="2491230"/>
    <n v="2289907"/>
    <m/>
    <n v="2289907"/>
    <n v="9629002"/>
    <n v="9459462"/>
    <m/>
    <m/>
    <m/>
    <m/>
    <n v="0"/>
    <m/>
    <m/>
    <n v="0"/>
    <m/>
    <m/>
    <m/>
    <m/>
    <m/>
    <m/>
    <n v="9629002"/>
    <n v="9459462"/>
  </r>
  <r>
    <x v="9"/>
    <x v="0"/>
    <s v="Nursing / allied health supplement"/>
    <m/>
    <n v="198640"/>
    <x v="8"/>
    <m/>
    <m/>
    <m/>
    <m/>
    <m/>
    <m/>
    <m/>
    <m/>
    <n v="0"/>
    <m/>
    <m/>
    <n v="0"/>
    <n v="0"/>
    <n v="0"/>
    <m/>
    <m/>
    <m/>
    <m/>
    <n v="0"/>
    <m/>
    <m/>
    <n v="0"/>
    <m/>
    <m/>
    <m/>
    <m/>
    <m/>
    <m/>
    <n v="0"/>
    <n v="0"/>
  </r>
  <r>
    <x v="9"/>
    <x v="3"/>
    <s v="Community or public service units"/>
    <m/>
    <n v="198640"/>
    <x v="8"/>
    <m/>
    <m/>
    <n v="149422"/>
    <n v="150260"/>
    <m/>
    <m/>
    <m/>
    <m/>
    <n v="0"/>
    <m/>
    <m/>
    <n v="0"/>
    <n v="149422"/>
    <n v="150260"/>
    <m/>
    <m/>
    <m/>
    <m/>
    <n v="0"/>
    <m/>
    <m/>
    <n v="0"/>
    <m/>
    <m/>
    <m/>
    <m/>
    <m/>
    <m/>
    <n v="149422"/>
    <n v="150260"/>
  </r>
  <r>
    <x v="9"/>
    <x v="44"/>
    <s v="Non-credit continuing education"/>
    <m/>
    <n v="198640"/>
    <x v="8"/>
    <m/>
    <m/>
    <n v="1238695"/>
    <n v="1066292"/>
    <m/>
    <m/>
    <n v="220998"/>
    <m/>
    <n v="220998"/>
    <n v="183323"/>
    <m/>
    <n v="183323"/>
    <n v="1459693"/>
    <n v="1249615"/>
    <m/>
    <m/>
    <m/>
    <m/>
    <n v="0"/>
    <m/>
    <m/>
    <n v="0"/>
    <m/>
    <m/>
    <m/>
    <m/>
    <m/>
    <m/>
    <n v="1459693"/>
    <n v="1249615"/>
  </r>
  <r>
    <x v="9"/>
    <x v="0"/>
    <s v="Haywood Community College"/>
    <m/>
    <n v="198668"/>
    <x v="8"/>
    <n v="7243292"/>
    <n v="7391522"/>
    <m/>
    <m/>
    <n v="2100456"/>
    <n v="2141106"/>
    <n v="3341584"/>
    <m/>
    <n v="3341584"/>
    <n v="3142474"/>
    <m/>
    <n v="3142474"/>
    <n v="12685332"/>
    <n v="12675102"/>
    <m/>
    <m/>
    <m/>
    <m/>
    <n v="0"/>
    <m/>
    <m/>
    <n v="0"/>
    <m/>
    <m/>
    <m/>
    <m/>
    <m/>
    <m/>
    <n v="12685332"/>
    <n v="12675102"/>
  </r>
  <r>
    <x v="9"/>
    <x v="0"/>
    <s v="Nursing / allied health supplement"/>
    <m/>
    <n v="198668"/>
    <x v="8"/>
    <m/>
    <m/>
    <m/>
    <m/>
    <m/>
    <m/>
    <m/>
    <m/>
    <n v="0"/>
    <m/>
    <m/>
    <n v="0"/>
    <n v="0"/>
    <n v="0"/>
    <m/>
    <m/>
    <m/>
    <m/>
    <n v="0"/>
    <m/>
    <m/>
    <n v="0"/>
    <m/>
    <m/>
    <m/>
    <m/>
    <m/>
    <m/>
    <n v="0"/>
    <n v="0"/>
  </r>
  <r>
    <x v="9"/>
    <x v="3"/>
    <s v="Community or public service units"/>
    <m/>
    <n v="198668"/>
    <x v="8"/>
    <m/>
    <m/>
    <n v="153044"/>
    <n v="155833"/>
    <m/>
    <m/>
    <m/>
    <m/>
    <n v="0"/>
    <m/>
    <m/>
    <n v="0"/>
    <n v="153044"/>
    <n v="155833"/>
    <m/>
    <m/>
    <m/>
    <m/>
    <n v="0"/>
    <m/>
    <m/>
    <n v="0"/>
    <m/>
    <m/>
    <m/>
    <m/>
    <m/>
    <m/>
    <n v="153044"/>
    <n v="155833"/>
  </r>
  <r>
    <x v="9"/>
    <x v="44"/>
    <s v="Non-credit continuing education"/>
    <m/>
    <n v="198668"/>
    <x v="8"/>
    <m/>
    <m/>
    <n v="874276"/>
    <n v="884013"/>
    <m/>
    <m/>
    <n v="164640"/>
    <m/>
    <n v="164640"/>
    <n v="162676"/>
    <m/>
    <n v="162676"/>
    <n v="1038916"/>
    <n v="1046689"/>
    <m/>
    <m/>
    <m/>
    <m/>
    <n v="0"/>
    <m/>
    <m/>
    <n v="0"/>
    <m/>
    <m/>
    <m/>
    <m/>
    <m/>
    <m/>
    <n v="1038916"/>
    <n v="1046689"/>
  </r>
  <r>
    <x v="9"/>
    <x v="0"/>
    <s v="James Sprunt Community College"/>
    <m/>
    <n v="198729"/>
    <x v="8"/>
    <n v="5656510"/>
    <n v="5693296"/>
    <m/>
    <m/>
    <n v="1543970"/>
    <n v="1621168"/>
    <n v="2387882"/>
    <m/>
    <n v="2387882"/>
    <n v="2209752"/>
    <m/>
    <n v="2209752"/>
    <n v="9588362"/>
    <n v="9524216"/>
    <m/>
    <m/>
    <m/>
    <m/>
    <n v="0"/>
    <m/>
    <m/>
    <n v="0"/>
    <m/>
    <m/>
    <m/>
    <m/>
    <m/>
    <m/>
    <n v="9588362"/>
    <n v="9524216"/>
  </r>
  <r>
    <x v="9"/>
    <x v="0"/>
    <s v="Nursing / allied health supplement"/>
    <m/>
    <n v="198729"/>
    <x v="8"/>
    <m/>
    <m/>
    <m/>
    <m/>
    <m/>
    <m/>
    <m/>
    <m/>
    <n v="0"/>
    <m/>
    <m/>
    <n v="0"/>
    <n v="0"/>
    <n v="0"/>
    <m/>
    <m/>
    <m/>
    <m/>
    <n v="0"/>
    <m/>
    <m/>
    <n v="0"/>
    <m/>
    <m/>
    <m/>
    <m/>
    <m/>
    <m/>
    <n v="0"/>
    <n v="0"/>
  </r>
  <r>
    <x v="9"/>
    <x v="3"/>
    <s v="Community or public service units"/>
    <m/>
    <n v="198729"/>
    <x v="8"/>
    <m/>
    <m/>
    <n v="156354"/>
    <n v="156126"/>
    <m/>
    <m/>
    <m/>
    <m/>
    <n v="0"/>
    <m/>
    <m/>
    <n v="0"/>
    <n v="156354"/>
    <n v="156126"/>
    <m/>
    <m/>
    <m/>
    <m/>
    <n v="0"/>
    <m/>
    <m/>
    <n v="0"/>
    <m/>
    <m/>
    <m/>
    <m/>
    <m/>
    <m/>
    <n v="156354"/>
    <n v="156126"/>
  </r>
  <r>
    <x v="9"/>
    <x v="44"/>
    <s v="Non-credit continuing education"/>
    <m/>
    <n v="198729"/>
    <x v="8"/>
    <m/>
    <m/>
    <n v="946097"/>
    <n v="858902"/>
    <m/>
    <m/>
    <n v="164640"/>
    <m/>
    <n v="164640"/>
    <n v="142029"/>
    <m/>
    <n v="142029"/>
    <n v="1110737"/>
    <n v="1000931"/>
    <m/>
    <m/>
    <m/>
    <m/>
    <n v="0"/>
    <m/>
    <m/>
    <n v="0"/>
    <m/>
    <m/>
    <m/>
    <m/>
    <m/>
    <m/>
    <n v="1110737"/>
    <n v="1000931"/>
  </r>
  <r>
    <x v="9"/>
    <x v="0"/>
    <s v="Martin Community College "/>
    <m/>
    <n v="198905"/>
    <x v="8"/>
    <n v="3807260"/>
    <n v="3929674"/>
    <m/>
    <m/>
    <n v="916649"/>
    <n v="923950"/>
    <n v="1223858"/>
    <m/>
    <n v="1223858"/>
    <n v="1144043"/>
    <m/>
    <n v="1144043"/>
    <n v="5947767"/>
    <n v="5997667"/>
    <m/>
    <m/>
    <m/>
    <m/>
    <n v="0"/>
    <m/>
    <m/>
    <n v="0"/>
    <m/>
    <m/>
    <m/>
    <m/>
    <m/>
    <m/>
    <n v="5947767"/>
    <n v="5997667"/>
  </r>
  <r>
    <x v="9"/>
    <x v="0"/>
    <s v="Nursing / allied health supplement"/>
    <m/>
    <n v="198905"/>
    <x v="8"/>
    <m/>
    <m/>
    <m/>
    <m/>
    <m/>
    <m/>
    <m/>
    <m/>
    <n v="0"/>
    <m/>
    <m/>
    <n v="0"/>
    <n v="0"/>
    <n v="0"/>
    <m/>
    <m/>
    <m/>
    <m/>
    <n v="0"/>
    <m/>
    <m/>
    <n v="0"/>
    <m/>
    <m/>
    <m/>
    <m/>
    <m/>
    <m/>
    <n v="0"/>
    <n v="0"/>
  </r>
  <r>
    <x v="9"/>
    <x v="3"/>
    <s v="Community or public service units"/>
    <m/>
    <n v="198905"/>
    <x v="8"/>
    <m/>
    <m/>
    <n v="145963"/>
    <n v="145626"/>
    <m/>
    <m/>
    <m/>
    <m/>
    <n v="0"/>
    <m/>
    <m/>
    <n v="0"/>
    <n v="145963"/>
    <n v="145626"/>
    <m/>
    <m/>
    <m/>
    <m/>
    <n v="0"/>
    <m/>
    <m/>
    <n v="0"/>
    <m/>
    <m/>
    <m/>
    <m/>
    <m/>
    <m/>
    <n v="145963"/>
    <n v="145626"/>
  </r>
  <r>
    <x v="9"/>
    <x v="44"/>
    <s v="Non-credit continuing education"/>
    <m/>
    <n v="198905"/>
    <x v="8"/>
    <m/>
    <m/>
    <n v="985809"/>
    <n v="1011241"/>
    <m/>
    <m/>
    <n v="117148"/>
    <m/>
    <n v="117148"/>
    <n v="129515"/>
    <m/>
    <n v="129515"/>
    <n v="1102957"/>
    <n v="1140756"/>
    <m/>
    <m/>
    <m/>
    <m/>
    <n v="0"/>
    <m/>
    <m/>
    <n v="0"/>
    <m/>
    <m/>
    <m/>
    <m/>
    <m/>
    <m/>
    <n v="1102957"/>
    <n v="1140756"/>
  </r>
  <r>
    <x v="9"/>
    <x v="0"/>
    <s v="Mayland Community College"/>
    <m/>
    <n v="198914"/>
    <x v="8"/>
    <n v="5420931"/>
    <n v="5620380"/>
    <m/>
    <m/>
    <n v="910047"/>
    <n v="937616"/>
    <n v="1834880"/>
    <m/>
    <n v="1834880"/>
    <n v="1754321"/>
    <m/>
    <n v="1754321"/>
    <n v="8165858"/>
    <n v="8312317"/>
    <m/>
    <m/>
    <m/>
    <m/>
    <n v="0"/>
    <m/>
    <m/>
    <n v="0"/>
    <m/>
    <m/>
    <m/>
    <m/>
    <m/>
    <m/>
    <n v="8165858"/>
    <n v="8312317"/>
  </r>
  <r>
    <x v="9"/>
    <x v="0"/>
    <s v="Nursing / allied health supplement"/>
    <m/>
    <n v="198914"/>
    <x v="8"/>
    <m/>
    <m/>
    <m/>
    <m/>
    <m/>
    <m/>
    <m/>
    <m/>
    <n v="0"/>
    <m/>
    <m/>
    <n v="0"/>
    <n v="0"/>
    <n v="0"/>
    <m/>
    <m/>
    <m/>
    <m/>
    <n v="0"/>
    <m/>
    <m/>
    <n v="0"/>
    <m/>
    <m/>
    <m/>
    <m/>
    <m/>
    <m/>
    <n v="0"/>
    <n v="0"/>
  </r>
  <r>
    <x v="9"/>
    <x v="3"/>
    <s v="Community or public service units"/>
    <m/>
    <n v="198914"/>
    <x v="8"/>
    <m/>
    <m/>
    <n v="151800"/>
    <n v="152964"/>
    <m/>
    <m/>
    <m/>
    <m/>
    <n v="0"/>
    <m/>
    <m/>
    <n v="0"/>
    <n v="151800"/>
    <n v="152964"/>
    <m/>
    <m/>
    <m/>
    <m/>
    <n v="0"/>
    <m/>
    <m/>
    <n v="0"/>
    <m/>
    <m/>
    <m/>
    <m/>
    <m/>
    <m/>
    <n v="151800"/>
    <n v="152964"/>
  </r>
  <r>
    <x v="9"/>
    <x v="44"/>
    <s v="Non-credit continuing education"/>
    <m/>
    <n v="198914"/>
    <x v="8"/>
    <m/>
    <m/>
    <n v="2108177"/>
    <n v="2080864"/>
    <m/>
    <m/>
    <n v="278622"/>
    <m/>
    <n v="278622"/>
    <n v="263410"/>
    <m/>
    <n v="263410"/>
    <n v="2386799"/>
    <n v="2344274"/>
    <m/>
    <m/>
    <m/>
    <m/>
    <n v="0"/>
    <m/>
    <m/>
    <n v="0"/>
    <m/>
    <m/>
    <m/>
    <m/>
    <m/>
    <m/>
    <n v="2386799"/>
    <n v="2344274"/>
  </r>
  <r>
    <x v="9"/>
    <x v="0"/>
    <s v="McDowell Technical Community College"/>
    <m/>
    <n v="198923"/>
    <x v="8"/>
    <n v="5208609"/>
    <n v="5345154"/>
    <m/>
    <m/>
    <n v="881290"/>
    <n v="889650"/>
    <n v="1987182"/>
    <m/>
    <n v="1987182"/>
    <n v="1883663"/>
    <m/>
    <n v="1883663"/>
    <n v="8077081"/>
    <n v="8118467"/>
    <m/>
    <m/>
    <m/>
    <m/>
    <n v="0"/>
    <m/>
    <m/>
    <n v="0"/>
    <m/>
    <m/>
    <m/>
    <m/>
    <m/>
    <m/>
    <n v="8077081"/>
    <n v="8118467"/>
  </r>
  <r>
    <x v="9"/>
    <x v="0"/>
    <s v="Nursing / allied health supplement"/>
    <m/>
    <n v="198923"/>
    <x v="8"/>
    <m/>
    <m/>
    <m/>
    <m/>
    <m/>
    <m/>
    <m/>
    <m/>
    <n v="0"/>
    <m/>
    <m/>
    <n v="0"/>
    <n v="0"/>
    <n v="0"/>
    <m/>
    <m/>
    <m/>
    <m/>
    <n v="0"/>
    <m/>
    <m/>
    <n v="0"/>
    <m/>
    <m/>
    <m/>
    <m/>
    <m/>
    <m/>
    <n v="0"/>
    <n v="0"/>
  </r>
  <r>
    <x v="9"/>
    <x v="3"/>
    <s v="Community or public service units"/>
    <m/>
    <n v="198923"/>
    <x v="8"/>
    <m/>
    <m/>
    <n v="148734"/>
    <n v="152319"/>
    <m/>
    <m/>
    <m/>
    <m/>
    <n v="0"/>
    <m/>
    <m/>
    <n v="0"/>
    <n v="148734"/>
    <n v="152319"/>
    <m/>
    <m/>
    <m/>
    <m/>
    <n v="0"/>
    <m/>
    <m/>
    <n v="0"/>
    <m/>
    <m/>
    <m/>
    <m/>
    <m/>
    <m/>
    <n v="148734"/>
    <n v="152319"/>
  </r>
  <r>
    <x v="9"/>
    <x v="44"/>
    <s v="Non-credit continuing education"/>
    <m/>
    <n v="198923"/>
    <x v="8"/>
    <m/>
    <m/>
    <n v="1017433"/>
    <n v="983712"/>
    <m/>
    <m/>
    <n v="148176"/>
    <m/>
    <n v="148176"/>
    <n v="148285"/>
    <m/>
    <n v="148285"/>
    <n v="1165609"/>
    <n v="1131997"/>
    <m/>
    <m/>
    <m/>
    <m/>
    <n v="0"/>
    <m/>
    <m/>
    <n v="0"/>
    <m/>
    <m/>
    <m/>
    <m/>
    <m/>
    <m/>
    <n v="1165609"/>
    <n v="1131997"/>
  </r>
  <r>
    <x v="9"/>
    <x v="0"/>
    <s v="Montgomery Community College"/>
    <m/>
    <n v="199023"/>
    <x v="8"/>
    <n v="3784302"/>
    <n v="4123734"/>
    <m/>
    <m/>
    <n v="784000"/>
    <n v="728792"/>
    <n v="1227484"/>
    <m/>
    <n v="1227484"/>
    <n v="1271564"/>
    <m/>
    <n v="1271564"/>
    <n v="5795786"/>
    <n v="6124090"/>
    <m/>
    <m/>
    <m/>
    <m/>
    <n v="0"/>
    <m/>
    <m/>
    <n v="0"/>
    <m/>
    <m/>
    <m/>
    <m/>
    <m/>
    <m/>
    <n v="5795786"/>
    <n v="6124090"/>
  </r>
  <r>
    <x v="9"/>
    <x v="0"/>
    <s v="Nursing / allied health supplement"/>
    <m/>
    <n v="199023"/>
    <x v="8"/>
    <m/>
    <m/>
    <m/>
    <m/>
    <m/>
    <m/>
    <m/>
    <m/>
    <n v="0"/>
    <m/>
    <m/>
    <n v="0"/>
    <n v="0"/>
    <n v="0"/>
    <m/>
    <m/>
    <m/>
    <m/>
    <n v="0"/>
    <m/>
    <m/>
    <n v="0"/>
    <m/>
    <m/>
    <m/>
    <m/>
    <m/>
    <m/>
    <n v="0"/>
    <n v="0"/>
  </r>
  <r>
    <x v="9"/>
    <x v="3"/>
    <s v="Community or public service units"/>
    <m/>
    <n v="199023"/>
    <x v="8"/>
    <m/>
    <m/>
    <n v="151530"/>
    <n v="149985"/>
    <m/>
    <m/>
    <m/>
    <m/>
    <n v="0"/>
    <m/>
    <m/>
    <n v="0"/>
    <n v="151530"/>
    <n v="149985"/>
    <m/>
    <m/>
    <m/>
    <m/>
    <n v="0"/>
    <m/>
    <m/>
    <n v="0"/>
    <m/>
    <m/>
    <m/>
    <m/>
    <m/>
    <m/>
    <n v="151530"/>
    <n v="149985"/>
  </r>
  <r>
    <x v="9"/>
    <x v="44"/>
    <s v="Non-credit continuing education"/>
    <m/>
    <n v="199023"/>
    <x v="8"/>
    <m/>
    <m/>
    <n v="887137"/>
    <n v="855787"/>
    <m/>
    <m/>
    <n v="157675"/>
    <m/>
    <n v="157675"/>
    <n v="144531"/>
    <m/>
    <n v="144531"/>
    <n v="1044812"/>
    <n v="1000318"/>
    <m/>
    <m/>
    <m/>
    <m/>
    <n v="0"/>
    <m/>
    <m/>
    <n v="0"/>
    <m/>
    <m/>
    <m/>
    <m/>
    <m/>
    <m/>
    <n v="1044812"/>
    <n v="1000318"/>
  </r>
  <r>
    <x v="9"/>
    <x v="0"/>
    <s v="Pamlico Community College"/>
    <m/>
    <n v="199263"/>
    <x v="8"/>
    <n v="3134781"/>
    <n v="3341610"/>
    <m/>
    <m/>
    <n v="547993"/>
    <n v="562411"/>
    <n v="859420"/>
    <m/>
    <n v="859420"/>
    <n v="856210"/>
    <m/>
    <n v="856210"/>
    <n v="4542194"/>
    <n v="4760231"/>
    <m/>
    <m/>
    <m/>
    <m/>
    <n v="0"/>
    <m/>
    <m/>
    <n v="0"/>
    <m/>
    <m/>
    <m/>
    <m/>
    <m/>
    <m/>
    <n v="4542194"/>
    <n v="4760231"/>
  </r>
  <r>
    <x v="9"/>
    <x v="0"/>
    <s v="Nursing / allied health supplement"/>
    <m/>
    <n v="199263"/>
    <x v="8"/>
    <m/>
    <m/>
    <m/>
    <m/>
    <m/>
    <m/>
    <m/>
    <m/>
    <n v="0"/>
    <m/>
    <m/>
    <n v="0"/>
    <n v="0"/>
    <n v="0"/>
    <m/>
    <m/>
    <m/>
    <m/>
    <n v="0"/>
    <m/>
    <m/>
    <n v="0"/>
    <m/>
    <m/>
    <m/>
    <m/>
    <m/>
    <m/>
    <n v="0"/>
    <n v="0"/>
  </r>
  <r>
    <x v="9"/>
    <x v="3"/>
    <s v="Community or public service units"/>
    <m/>
    <n v="199263"/>
    <x v="8"/>
    <m/>
    <m/>
    <n v="98788"/>
    <n v="98953"/>
    <m/>
    <m/>
    <m/>
    <m/>
    <n v="0"/>
    <m/>
    <m/>
    <n v="0"/>
    <n v="98788"/>
    <n v="98953"/>
    <m/>
    <m/>
    <m/>
    <m/>
    <n v="0"/>
    <m/>
    <m/>
    <n v="0"/>
    <m/>
    <m/>
    <m/>
    <m/>
    <m/>
    <m/>
    <n v="98788"/>
    <n v="98953"/>
  </r>
  <r>
    <x v="9"/>
    <x v="44"/>
    <s v="Non-credit continuing education"/>
    <m/>
    <n v="199263"/>
    <x v="8"/>
    <m/>
    <m/>
    <n v="723598"/>
    <n v="689213"/>
    <m/>
    <m/>
    <n v="114615"/>
    <m/>
    <n v="114615"/>
    <n v="103237"/>
    <m/>
    <n v="103237"/>
    <n v="838213"/>
    <n v="792450"/>
    <m/>
    <m/>
    <m/>
    <m/>
    <n v="0"/>
    <m/>
    <m/>
    <n v="0"/>
    <m/>
    <m/>
    <m/>
    <m/>
    <m/>
    <m/>
    <n v="838213"/>
    <n v="792450"/>
  </r>
  <r>
    <x v="9"/>
    <x v="0"/>
    <s v="Piedmont Community College"/>
    <m/>
    <n v="199324"/>
    <x v="8"/>
    <n v="7910007"/>
    <n v="7335924"/>
    <m/>
    <m/>
    <n v="1246263"/>
    <n v="1328263"/>
    <n v="2833910"/>
    <m/>
    <n v="2833910"/>
    <n v="2450219"/>
    <m/>
    <n v="2450219"/>
    <n v="11990180"/>
    <n v="11114406"/>
    <m/>
    <m/>
    <m/>
    <m/>
    <n v="0"/>
    <m/>
    <m/>
    <n v="0"/>
    <m/>
    <m/>
    <m/>
    <m/>
    <m/>
    <m/>
    <n v="11990180"/>
    <n v="11114406"/>
  </r>
  <r>
    <x v="9"/>
    <x v="0"/>
    <s v="Nursing / allied health supplement"/>
    <m/>
    <n v="199324"/>
    <x v="8"/>
    <m/>
    <m/>
    <m/>
    <m/>
    <m/>
    <m/>
    <m/>
    <m/>
    <n v="0"/>
    <m/>
    <m/>
    <n v="0"/>
    <n v="0"/>
    <n v="0"/>
    <m/>
    <m/>
    <m/>
    <m/>
    <n v="0"/>
    <m/>
    <m/>
    <n v="0"/>
    <m/>
    <m/>
    <m/>
    <m/>
    <m/>
    <m/>
    <n v="0"/>
    <n v="0"/>
  </r>
  <r>
    <x v="9"/>
    <x v="3"/>
    <s v="Community or public service units"/>
    <m/>
    <n v="199324"/>
    <x v="8"/>
    <m/>
    <m/>
    <n v="146612"/>
    <n v="146398"/>
    <m/>
    <m/>
    <m/>
    <m/>
    <n v="0"/>
    <m/>
    <m/>
    <n v="0"/>
    <n v="146612"/>
    <n v="146398"/>
    <m/>
    <m/>
    <m/>
    <m/>
    <n v="0"/>
    <m/>
    <m/>
    <n v="0"/>
    <m/>
    <m/>
    <m/>
    <m/>
    <m/>
    <m/>
    <n v="146612"/>
    <n v="146398"/>
  </r>
  <r>
    <x v="9"/>
    <x v="44"/>
    <s v="Non-credit continuing education"/>
    <m/>
    <n v="199324"/>
    <x v="8"/>
    <m/>
    <m/>
    <n v="1998952"/>
    <n v="2097523"/>
    <m/>
    <m/>
    <n v="378039"/>
    <m/>
    <n v="378039"/>
    <n v="371652"/>
    <m/>
    <n v="371652"/>
    <n v="2376991"/>
    <n v="2469175"/>
    <m/>
    <m/>
    <m/>
    <m/>
    <n v="0"/>
    <m/>
    <m/>
    <n v="0"/>
    <m/>
    <m/>
    <m/>
    <m/>
    <m/>
    <m/>
    <n v="2376991"/>
    <n v="2469175"/>
  </r>
  <r>
    <x v="9"/>
    <x v="0"/>
    <s v="Richmond Community College"/>
    <s v="Reclassified: Met the criteria for Two-Year 2 in 2012-13, 2013-14, and 2014-15."/>
    <n v="199449"/>
    <x v="7"/>
    <n v="8255809"/>
    <n v="8802019"/>
    <m/>
    <m/>
    <n v="1999285"/>
    <n v="2111479"/>
    <n v="3542841"/>
    <m/>
    <n v="3542841"/>
    <n v="3501354"/>
    <m/>
    <n v="3501354"/>
    <n v="13797935"/>
    <n v="14414852"/>
    <m/>
    <m/>
    <m/>
    <m/>
    <n v="0"/>
    <m/>
    <m/>
    <n v="0"/>
    <m/>
    <m/>
    <m/>
    <m/>
    <m/>
    <m/>
    <n v="13797935"/>
    <n v="14414852"/>
  </r>
  <r>
    <x v="9"/>
    <x v="0"/>
    <s v="Nursing / allied health supplement"/>
    <m/>
    <n v="199449"/>
    <x v="7"/>
    <m/>
    <m/>
    <m/>
    <m/>
    <m/>
    <m/>
    <m/>
    <m/>
    <n v="0"/>
    <m/>
    <m/>
    <n v="0"/>
    <n v="0"/>
    <n v="0"/>
    <m/>
    <m/>
    <m/>
    <m/>
    <n v="0"/>
    <m/>
    <m/>
    <n v="0"/>
    <m/>
    <m/>
    <m/>
    <m/>
    <m/>
    <m/>
    <n v="0"/>
    <n v="0"/>
  </r>
  <r>
    <x v="9"/>
    <x v="3"/>
    <s v="Community or public service units"/>
    <m/>
    <n v="199449"/>
    <x v="7"/>
    <m/>
    <m/>
    <n v="156733"/>
    <n v="156236"/>
    <m/>
    <m/>
    <m/>
    <m/>
    <n v="0"/>
    <m/>
    <m/>
    <n v="0"/>
    <n v="156733"/>
    <n v="156236"/>
    <m/>
    <m/>
    <m/>
    <m/>
    <n v="0"/>
    <m/>
    <m/>
    <n v="0"/>
    <m/>
    <m/>
    <m/>
    <m/>
    <m/>
    <m/>
    <n v="156733"/>
    <n v="156236"/>
  </r>
  <r>
    <x v="9"/>
    <x v="44"/>
    <s v="Non-credit continuing education"/>
    <m/>
    <n v="199449"/>
    <x v="7"/>
    <m/>
    <m/>
    <n v="2279520"/>
    <n v="2381037"/>
    <m/>
    <m/>
    <n v="217832"/>
    <m/>
    <n v="217832"/>
    <n v="225243"/>
    <m/>
    <n v="225243"/>
    <n v="2497352"/>
    <n v="2606280"/>
    <m/>
    <m/>
    <m/>
    <m/>
    <n v="0"/>
    <m/>
    <m/>
    <n v="0"/>
    <m/>
    <m/>
    <m/>
    <m/>
    <m/>
    <m/>
    <n v="2497352"/>
    <n v="2606280"/>
  </r>
  <r>
    <x v="9"/>
    <x v="0"/>
    <s v="Roanoke-Chowan Community College"/>
    <m/>
    <n v="199467"/>
    <x v="8"/>
    <n v="3826328"/>
    <n v="3928150"/>
    <m/>
    <m/>
    <n v="932389"/>
    <n v="930839"/>
    <n v="1283691"/>
    <m/>
    <n v="1283691"/>
    <n v="1227842"/>
    <m/>
    <n v="1227842"/>
    <n v="6042408"/>
    <n v="6086831"/>
    <m/>
    <m/>
    <m/>
    <m/>
    <n v="0"/>
    <m/>
    <m/>
    <n v="0"/>
    <m/>
    <m/>
    <m/>
    <m/>
    <m/>
    <m/>
    <n v="6042408"/>
    <n v="6086831"/>
  </r>
  <r>
    <x v="9"/>
    <x v="0"/>
    <s v="Nursing / allied health supplement"/>
    <m/>
    <n v="199467"/>
    <x v="8"/>
    <m/>
    <m/>
    <m/>
    <m/>
    <m/>
    <m/>
    <m/>
    <m/>
    <n v="0"/>
    <m/>
    <m/>
    <n v="0"/>
    <n v="0"/>
    <n v="0"/>
    <m/>
    <m/>
    <m/>
    <m/>
    <n v="0"/>
    <m/>
    <m/>
    <n v="0"/>
    <m/>
    <m/>
    <m/>
    <m/>
    <m/>
    <m/>
    <n v="0"/>
    <n v="0"/>
  </r>
  <r>
    <x v="9"/>
    <x v="3"/>
    <s v="Community or public service units"/>
    <m/>
    <n v="199467"/>
    <x v="8"/>
    <m/>
    <m/>
    <n v="147855"/>
    <n v="150592"/>
    <m/>
    <m/>
    <m/>
    <m/>
    <n v="0"/>
    <m/>
    <m/>
    <n v="0"/>
    <n v="147855"/>
    <n v="150592"/>
    <m/>
    <m/>
    <m/>
    <m/>
    <n v="0"/>
    <m/>
    <m/>
    <n v="0"/>
    <m/>
    <m/>
    <m/>
    <m/>
    <m/>
    <m/>
    <n v="147855"/>
    <n v="150592"/>
  </r>
  <r>
    <x v="9"/>
    <x v="44"/>
    <s v="Non-credit continuing education"/>
    <m/>
    <n v="199467"/>
    <x v="8"/>
    <m/>
    <m/>
    <n v="839018"/>
    <n v="734634"/>
    <m/>
    <m/>
    <n v="115881"/>
    <m/>
    <n v="115881"/>
    <n v="105739"/>
    <m/>
    <n v="105739"/>
    <n v="954899"/>
    <n v="840373"/>
    <m/>
    <m/>
    <m/>
    <m/>
    <n v="0"/>
    <m/>
    <m/>
    <n v="0"/>
    <m/>
    <m/>
    <m/>
    <m/>
    <m/>
    <m/>
    <n v="954899"/>
    <n v="840373"/>
  </r>
  <r>
    <x v="9"/>
    <x v="0"/>
    <s v="Rockingham Community College "/>
    <m/>
    <n v="199485"/>
    <x v="8"/>
    <n v="7068317"/>
    <n v="6987539"/>
    <m/>
    <m/>
    <n v="2364473"/>
    <n v="2504877"/>
    <n v="3069616"/>
    <m/>
    <n v="3069616"/>
    <n v="2841890"/>
    <m/>
    <n v="2841890"/>
    <n v="12502406"/>
    <n v="12334306"/>
    <m/>
    <m/>
    <m/>
    <m/>
    <n v="0"/>
    <m/>
    <m/>
    <n v="0"/>
    <m/>
    <m/>
    <m/>
    <m/>
    <m/>
    <m/>
    <n v="12502406"/>
    <n v="12334306"/>
  </r>
  <r>
    <x v="9"/>
    <x v="0"/>
    <s v="Nursing / allied health supplement"/>
    <m/>
    <n v="199485"/>
    <x v="8"/>
    <m/>
    <m/>
    <m/>
    <m/>
    <m/>
    <m/>
    <m/>
    <m/>
    <n v="0"/>
    <m/>
    <m/>
    <n v="0"/>
    <n v="0"/>
    <n v="0"/>
    <m/>
    <m/>
    <m/>
    <m/>
    <n v="0"/>
    <m/>
    <m/>
    <n v="0"/>
    <m/>
    <m/>
    <m/>
    <m/>
    <m/>
    <m/>
    <n v="0"/>
    <n v="0"/>
  </r>
  <r>
    <x v="9"/>
    <x v="3"/>
    <s v="Community or public service units"/>
    <m/>
    <n v="199485"/>
    <x v="8"/>
    <m/>
    <m/>
    <n v="154030"/>
    <n v="145312"/>
    <m/>
    <m/>
    <m/>
    <m/>
    <n v="0"/>
    <m/>
    <m/>
    <n v="0"/>
    <n v="154030"/>
    <n v="145312"/>
    <m/>
    <m/>
    <m/>
    <m/>
    <n v="0"/>
    <m/>
    <m/>
    <n v="0"/>
    <m/>
    <m/>
    <m/>
    <m/>
    <m/>
    <m/>
    <n v="154030"/>
    <n v="145312"/>
  </r>
  <r>
    <x v="9"/>
    <x v="44"/>
    <s v="Non-credit continuing education"/>
    <m/>
    <n v="199485"/>
    <x v="8"/>
    <m/>
    <m/>
    <n v="1065473"/>
    <n v="1055012"/>
    <m/>
    <m/>
    <n v="172239"/>
    <m/>
    <n v="172239"/>
    <n v="165179"/>
    <m/>
    <n v="165179"/>
    <n v="1237712"/>
    <n v="1220191"/>
    <m/>
    <m/>
    <m/>
    <m/>
    <n v="0"/>
    <m/>
    <m/>
    <n v="0"/>
    <m/>
    <m/>
    <m/>
    <m/>
    <m/>
    <m/>
    <n v="1237712"/>
    <n v="1220191"/>
  </r>
  <r>
    <x v="9"/>
    <x v="0"/>
    <s v="Sampson Community College"/>
    <m/>
    <n v="199625"/>
    <x v="8"/>
    <n v="5764508"/>
    <n v="6102643"/>
    <m/>
    <m/>
    <n v="1300754"/>
    <n v="1436064"/>
    <n v="2175747"/>
    <m/>
    <n v="2175747"/>
    <n v="2136883"/>
    <m/>
    <n v="2136883"/>
    <n v="9241009"/>
    <n v="9675590"/>
    <m/>
    <m/>
    <m/>
    <m/>
    <n v="0"/>
    <m/>
    <m/>
    <n v="0"/>
    <m/>
    <m/>
    <m/>
    <m/>
    <m/>
    <m/>
    <n v="9241009"/>
    <n v="9675590"/>
  </r>
  <r>
    <x v="9"/>
    <x v="0"/>
    <s v="Nursing / allied health supplement"/>
    <m/>
    <n v="199625"/>
    <x v="8"/>
    <m/>
    <m/>
    <m/>
    <m/>
    <m/>
    <m/>
    <m/>
    <m/>
    <n v="0"/>
    <m/>
    <m/>
    <n v="0"/>
    <n v="0"/>
    <n v="0"/>
    <m/>
    <m/>
    <m/>
    <m/>
    <n v="0"/>
    <m/>
    <m/>
    <n v="0"/>
    <m/>
    <m/>
    <m/>
    <m/>
    <m/>
    <m/>
    <n v="0"/>
    <n v="0"/>
  </r>
  <r>
    <x v="9"/>
    <x v="3"/>
    <s v="Community or public service units"/>
    <m/>
    <n v="199625"/>
    <x v="8"/>
    <m/>
    <m/>
    <n v="150503"/>
    <n v="152688"/>
    <m/>
    <m/>
    <m/>
    <m/>
    <n v="0"/>
    <m/>
    <m/>
    <n v="0"/>
    <n v="150503"/>
    <n v="152688"/>
    <m/>
    <m/>
    <m/>
    <m/>
    <n v="0"/>
    <m/>
    <m/>
    <n v="0"/>
    <m/>
    <m/>
    <m/>
    <m/>
    <m/>
    <m/>
    <n v="150503"/>
    <n v="152688"/>
  </r>
  <r>
    <x v="9"/>
    <x v="44"/>
    <s v="Non-credit continuing education"/>
    <m/>
    <n v="199625"/>
    <x v="8"/>
    <m/>
    <m/>
    <n v="1873764"/>
    <n v="1900401"/>
    <m/>
    <m/>
    <n v="200734"/>
    <m/>
    <n v="200734"/>
    <n v="202719"/>
    <m/>
    <n v="202719"/>
    <n v="2074498"/>
    <n v="2103120"/>
    <m/>
    <m/>
    <m/>
    <m/>
    <n v="0"/>
    <m/>
    <m/>
    <n v="0"/>
    <m/>
    <m/>
    <m/>
    <m/>
    <m/>
    <m/>
    <n v="2074498"/>
    <n v="2103120"/>
  </r>
  <r>
    <x v="9"/>
    <x v="0"/>
    <s v="South Piedmont Community College"/>
    <m/>
    <n v="197850"/>
    <x v="8"/>
    <n v="8300390"/>
    <n v="8702504"/>
    <m/>
    <m/>
    <n v="1792129"/>
    <n v="3406670"/>
    <n v="3122197"/>
    <m/>
    <n v="3122197"/>
    <n v="3093288"/>
    <m/>
    <n v="3093288"/>
    <n v="13214716"/>
    <n v="15202462"/>
    <m/>
    <m/>
    <m/>
    <m/>
    <n v="0"/>
    <m/>
    <m/>
    <n v="0"/>
    <m/>
    <m/>
    <m/>
    <m/>
    <m/>
    <m/>
    <n v="13214716"/>
    <n v="15202462"/>
  </r>
  <r>
    <x v="9"/>
    <x v="0"/>
    <s v="Nursing / allied health supplement"/>
    <m/>
    <n v="197850"/>
    <x v="8"/>
    <m/>
    <m/>
    <m/>
    <m/>
    <m/>
    <m/>
    <m/>
    <m/>
    <n v="0"/>
    <m/>
    <m/>
    <n v="0"/>
    <n v="0"/>
    <n v="0"/>
    <m/>
    <m/>
    <m/>
    <m/>
    <n v="0"/>
    <m/>
    <m/>
    <n v="0"/>
    <m/>
    <m/>
    <m/>
    <m/>
    <m/>
    <m/>
    <n v="0"/>
    <n v="0"/>
  </r>
  <r>
    <x v="9"/>
    <x v="3"/>
    <s v="Community or public service units"/>
    <m/>
    <n v="197850"/>
    <x v="8"/>
    <m/>
    <m/>
    <n v="157058"/>
    <n v="159947"/>
    <m/>
    <m/>
    <m/>
    <m/>
    <n v="0"/>
    <m/>
    <m/>
    <n v="0"/>
    <n v="157058"/>
    <n v="159947"/>
    <m/>
    <m/>
    <m/>
    <m/>
    <n v="0"/>
    <m/>
    <m/>
    <n v="0"/>
    <m/>
    <m/>
    <m/>
    <m/>
    <m/>
    <m/>
    <n v="157058"/>
    <n v="159947"/>
  </r>
  <r>
    <x v="9"/>
    <x v="44"/>
    <s v="Non-credit continuing education"/>
    <m/>
    <n v="197850"/>
    <x v="8"/>
    <m/>
    <m/>
    <n v="2744396"/>
    <n v="2645489"/>
    <m/>
    <m/>
    <n v="426165"/>
    <m/>
    <n v="426165"/>
    <n v="391673"/>
    <m/>
    <n v="391673"/>
    <n v="3170561"/>
    <n v="3037162"/>
    <m/>
    <m/>
    <m/>
    <m/>
    <n v="0"/>
    <m/>
    <m/>
    <n v="0"/>
    <m/>
    <m/>
    <m/>
    <m/>
    <m/>
    <m/>
    <n v="3170561"/>
    <n v="3037162"/>
  </r>
  <r>
    <x v="9"/>
    <x v="0"/>
    <s v="Southeastern Community College "/>
    <m/>
    <n v="199722"/>
    <x v="8"/>
    <n v="7379271"/>
    <n v="7040397"/>
    <m/>
    <m/>
    <n v="1242525"/>
    <n v="1267376"/>
    <n v="2743254"/>
    <m/>
    <n v="2743254"/>
    <n v="2368242"/>
    <m/>
    <n v="2368242"/>
    <n v="11365050"/>
    <n v="10676015"/>
    <m/>
    <m/>
    <m/>
    <m/>
    <n v="0"/>
    <m/>
    <m/>
    <n v="0"/>
    <m/>
    <m/>
    <m/>
    <m/>
    <m/>
    <m/>
    <n v="11365050"/>
    <n v="10676015"/>
  </r>
  <r>
    <x v="9"/>
    <x v="0"/>
    <s v="Nursing / allied health supplement"/>
    <m/>
    <n v="199722"/>
    <x v="8"/>
    <m/>
    <m/>
    <m/>
    <m/>
    <m/>
    <m/>
    <m/>
    <m/>
    <n v="0"/>
    <m/>
    <m/>
    <n v="0"/>
    <n v="0"/>
    <n v="0"/>
    <m/>
    <m/>
    <m/>
    <m/>
    <n v="0"/>
    <m/>
    <m/>
    <n v="0"/>
    <m/>
    <m/>
    <m/>
    <m/>
    <m/>
    <m/>
    <n v="0"/>
    <n v="0"/>
  </r>
  <r>
    <x v="9"/>
    <x v="3"/>
    <s v="Community or public service units"/>
    <m/>
    <n v="199722"/>
    <x v="8"/>
    <m/>
    <m/>
    <n v="155260"/>
    <n v="156606"/>
    <m/>
    <m/>
    <m/>
    <m/>
    <n v="0"/>
    <m/>
    <m/>
    <n v="0"/>
    <n v="155260"/>
    <n v="156606"/>
    <m/>
    <m/>
    <m/>
    <m/>
    <n v="0"/>
    <m/>
    <m/>
    <n v="0"/>
    <m/>
    <m/>
    <m/>
    <m/>
    <m/>
    <m/>
    <n v="155260"/>
    <n v="156606"/>
  </r>
  <r>
    <x v="9"/>
    <x v="44"/>
    <s v="Non-credit continuing education"/>
    <m/>
    <n v="199722"/>
    <x v="8"/>
    <m/>
    <m/>
    <n v="2637054"/>
    <n v="2607053"/>
    <m/>
    <m/>
    <n v="405901"/>
    <m/>
    <n v="405901"/>
    <n v="397304"/>
    <m/>
    <n v="397304"/>
    <n v="3042955"/>
    <n v="3004357"/>
    <m/>
    <m/>
    <m/>
    <m/>
    <n v="0"/>
    <m/>
    <m/>
    <n v="0"/>
    <m/>
    <m/>
    <m/>
    <m/>
    <m/>
    <m/>
    <n v="3042955"/>
    <n v="3004357"/>
  </r>
  <r>
    <x v="9"/>
    <x v="0"/>
    <s v="Southwestern Community College "/>
    <m/>
    <n v="199731"/>
    <x v="8"/>
    <n v="8761926"/>
    <n v="9163310"/>
    <m/>
    <m/>
    <n v="2154623"/>
    <n v="2182523"/>
    <n v="3707835"/>
    <m/>
    <n v="3707835"/>
    <n v="3612479"/>
    <m/>
    <n v="3612479"/>
    <n v="14624384"/>
    <n v="14958312"/>
    <m/>
    <m/>
    <m/>
    <m/>
    <n v="0"/>
    <m/>
    <m/>
    <n v="0"/>
    <m/>
    <m/>
    <m/>
    <m/>
    <m/>
    <m/>
    <n v="14624384"/>
    <n v="14958312"/>
  </r>
  <r>
    <x v="9"/>
    <x v="0"/>
    <s v="Nursing / allied health supplement"/>
    <m/>
    <n v="199731"/>
    <x v="8"/>
    <m/>
    <m/>
    <m/>
    <m/>
    <m/>
    <m/>
    <m/>
    <m/>
    <n v="0"/>
    <m/>
    <m/>
    <n v="0"/>
    <n v="0"/>
    <n v="0"/>
    <m/>
    <m/>
    <m/>
    <m/>
    <n v="0"/>
    <m/>
    <m/>
    <n v="0"/>
    <m/>
    <m/>
    <m/>
    <m/>
    <m/>
    <m/>
    <n v="0"/>
    <n v="0"/>
  </r>
  <r>
    <x v="9"/>
    <x v="3"/>
    <s v="Community or public service units"/>
    <m/>
    <n v="199731"/>
    <x v="8"/>
    <m/>
    <m/>
    <n v="144396"/>
    <n v="146509"/>
    <m/>
    <m/>
    <m/>
    <m/>
    <n v="0"/>
    <m/>
    <m/>
    <n v="0"/>
    <n v="144396"/>
    <n v="146509"/>
    <m/>
    <m/>
    <m/>
    <m/>
    <n v="0"/>
    <m/>
    <m/>
    <n v="0"/>
    <m/>
    <m/>
    <m/>
    <m/>
    <m/>
    <m/>
    <n v="144396"/>
    <n v="146509"/>
  </r>
  <r>
    <x v="9"/>
    <x v="44"/>
    <s v="Non-credit continuing education"/>
    <m/>
    <n v="199731"/>
    <x v="8"/>
    <m/>
    <m/>
    <n v="1660944"/>
    <n v="1567526"/>
    <m/>
    <m/>
    <n v="285587"/>
    <m/>
    <n v="285587"/>
    <n v="286560"/>
    <m/>
    <n v="286560"/>
    <n v="1946531"/>
    <n v="1854086"/>
    <m/>
    <m/>
    <m/>
    <m/>
    <n v="0"/>
    <m/>
    <m/>
    <n v="0"/>
    <m/>
    <m/>
    <m/>
    <m/>
    <m/>
    <m/>
    <n v="1946531"/>
    <n v="1854086"/>
  </r>
  <r>
    <x v="9"/>
    <x v="0"/>
    <s v="Tri-County Community College "/>
    <m/>
    <n v="199795"/>
    <x v="8"/>
    <n v="5001305"/>
    <n v="5296552"/>
    <m/>
    <m/>
    <n v="894205"/>
    <n v="969581"/>
    <n v="2057894"/>
    <m/>
    <n v="2057894"/>
    <n v="2054905"/>
    <m/>
    <n v="2054905"/>
    <n v="7953404"/>
    <n v="8321038"/>
    <m/>
    <m/>
    <m/>
    <m/>
    <n v="0"/>
    <m/>
    <m/>
    <n v="0"/>
    <m/>
    <m/>
    <m/>
    <m/>
    <m/>
    <m/>
    <n v="7953404"/>
    <n v="8321038"/>
  </r>
  <r>
    <x v="9"/>
    <x v="0"/>
    <s v="Nursing / allied health supplement"/>
    <m/>
    <n v="199795"/>
    <x v="8"/>
    <m/>
    <m/>
    <m/>
    <m/>
    <m/>
    <m/>
    <m/>
    <m/>
    <n v="0"/>
    <m/>
    <m/>
    <n v="0"/>
    <n v="0"/>
    <n v="0"/>
    <m/>
    <m/>
    <m/>
    <m/>
    <n v="0"/>
    <m/>
    <m/>
    <n v="0"/>
    <m/>
    <m/>
    <m/>
    <m/>
    <m/>
    <m/>
    <n v="0"/>
    <n v="0"/>
  </r>
  <r>
    <x v="9"/>
    <x v="3"/>
    <s v="Community or public service units"/>
    <m/>
    <n v="199795"/>
    <x v="8"/>
    <m/>
    <m/>
    <n v="147206"/>
    <n v="147502"/>
    <m/>
    <m/>
    <m/>
    <m/>
    <n v="0"/>
    <m/>
    <m/>
    <n v="0"/>
    <n v="147206"/>
    <n v="147502"/>
    <m/>
    <m/>
    <m/>
    <m/>
    <n v="0"/>
    <m/>
    <m/>
    <n v="0"/>
    <m/>
    <m/>
    <m/>
    <m/>
    <m/>
    <m/>
    <n v="147206"/>
    <n v="147502"/>
  </r>
  <r>
    <x v="9"/>
    <x v="44"/>
    <s v="Non-credit continuing education"/>
    <m/>
    <n v="199795"/>
    <x v="8"/>
    <m/>
    <m/>
    <n v="643495"/>
    <n v="583966"/>
    <m/>
    <m/>
    <n v="105750"/>
    <m/>
    <n v="105750"/>
    <n v="88220"/>
    <m/>
    <n v="88220"/>
    <n v="749245"/>
    <n v="672186"/>
    <m/>
    <m/>
    <m/>
    <m/>
    <n v="0"/>
    <m/>
    <m/>
    <n v="0"/>
    <m/>
    <m/>
    <m/>
    <m/>
    <m/>
    <m/>
    <n v="749245"/>
    <n v="672186"/>
  </r>
  <r>
    <x v="9"/>
    <x v="0"/>
    <s v="Wilson Technical Community College"/>
    <m/>
    <n v="199953"/>
    <x v="8"/>
    <n v="6427771"/>
    <n v="6764111"/>
    <m/>
    <m/>
    <n v="1949294"/>
    <n v="2309259"/>
    <n v="2625400"/>
    <m/>
    <n v="2625400"/>
    <n v="2636035"/>
    <m/>
    <n v="2636035"/>
    <n v="11002465"/>
    <n v="11709405"/>
    <m/>
    <m/>
    <m/>
    <m/>
    <n v="0"/>
    <m/>
    <m/>
    <n v="0"/>
    <m/>
    <m/>
    <m/>
    <m/>
    <m/>
    <m/>
    <n v="11002465"/>
    <n v="11709405"/>
  </r>
  <r>
    <x v="9"/>
    <x v="0"/>
    <s v="Nursing / allied health supplement"/>
    <m/>
    <n v="199953"/>
    <x v="8"/>
    <m/>
    <m/>
    <m/>
    <m/>
    <m/>
    <m/>
    <m/>
    <m/>
    <n v="0"/>
    <m/>
    <m/>
    <n v="0"/>
    <n v="0"/>
    <n v="0"/>
    <m/>
    <m/>
    <m/>
    <m/>
    <n v="0"/>
    <m/>
    <m/>
    <n v="0"/>
    <m/>
    <m/>
    <m/>
    <m/>
    <m/>
    <m/>
    <n v="0"/>
    <n v="0"/>
  </r>
  <r>
    <x v="9"/>
    <x v="3"/>
    <s v="Community or public service units"/>
    <m/>
    <n v="199953"/>
    <x v="8"/>
    <m/>
    <m/>
    <n v="170464"/>
    <n v="171370"/>
    <m/>
    <m/>
    <m/>
    <m/>
    <n v="0"/>
    <m/>
    <m/>
    <n v="0"/>
    <n v="170464"/>
    <n v="171370"/>
    <m/>
    <m/>
    <m/>
    <m/>
    <n v="0"/>
    <m/>
    <m/>
    <n v="0"/>
    <m/>
    <m/>
    <m/>
    <m/>
    <m/>
    <m/>
    <n v="170464"/>
    <n v="171370"/>
  </r>
  <r>
    <x v="9"/>
    <x v="44"/>
    <s v="Non-credit continuing education"/>
    <m/>
    <n v="199953"/>
    <x v="8"/>
    <m/>
    <m/>
    <n v="1487618"/>
    <n v="1481062"/>
    <m/>
    <m/>
    <n v="197570"/>
    <m/>
    <n v="197570"/>
    <n v="196464"/>
    <m/>
    <n v="196464"/>
    <n v="1685188"/>
    <n v="1677526"/>
    <m/>
    <m/>
    <m/>
    <m/>
    <n v="0"/>
    <m/>
    <m/>
    <n v="0"/>
    <m/>
    <m/>
    <m/>
    <m/>
    <m/>
    <m/>
    <n v="1685188"/>
    <n v="1677526"/>
  </r>
  <r>
    <x v="9"/>
    <x v="12"/>
    <s v="Educational special-purpose funds to statewide units"/>
    <m/>
    <m/>
    <x v="12"/>
    <m/>
    <m/>
    <m/>
    <m/>
    <m/>
    <m/>
    <m/>
    <m/>
    <n v="0"/>
    <m/>
    <m/>
    <n v="0"/>
    <n v="0"/>
    <n v="0"/>
    <m/>
    <m/>
    <m/>
    <m/>
    <n v="0"/>
    <m/>
    <m/>
    <n v="0"/>
    <m/>
    <m/>
    <m/>
    <m/>
    <m/>
    <m/>
    <n v="0"/>
    <n v="0"/>
  </r>
  <r>
    <x v="9"/>
    <x v="12"/>
    <s v="Prison Education"/>
    <m/>
    <m/>
    <x v="12"/>
    <m/>
    <m/>
    <n v="1405957"/>
    <n v="1071079"/>
    <m/>
    <m/>
    <m/>
    <m/>
    <n v="0"/>
    <m/>
    <m/>
    <n v="0"/>
    <n v="1405957"/>
    <n v="1071079"/>
    <m/>
    <m/>
    <m/>
    <m/>
    <n v="0"/>
    <m/>
    <m/>
    <n v="0"/>
    <m/>
    <m/>
    <m/>
    <m/>
    <m/>
    <m/>
    <n v="1405957"/>
    <n v="1071079"/>
  </r>
  <r>
    <x v="9"/>
    <x v="12"/>
    <s v="New &amp; Expanding Industry"/>
    <m/>
    <m/>
    <x v="12"/>
    <m/>
    <m/>
    <n v="19635508"/>
    <n v="20198683"/>
    <m/>
    <m/>
    <m/>
    <m/>
    <n v="0"/>
    <m/>
    <m/>
    <n v="0"/>
    <n v="19635508"/>
    <n v="20198683"/>
    <m/>
    <m/>
    <m/>
    <m/>
    <n v="0"/>
    <m/>
    <m/>
    <n v="0"/>
    <m/>
    <m/>
    <m/>
    <m/>
    <m/>
    <m/>
    <n v="19635508"/>
    <n v="20198683"/>
  </r>
  <r>
    <x v="9"/>
    <x v="14"/>
    <s v="Statewide System Operations"/>
    <m/>
    <m/>
    <x v="12"/>
    <m/>
    <m/>
    <m/>
    <m/>
    <m/>
    <m/>
    <m/>
    <m/>
    <n v="0"/>
    <m/>
    <m/>
    <n v="0"/>
    <n v="0"/>
    <n v="0"/>
    <m/>
    <m/>
    <m/>
    <m/>
    <n v="0"/>
    <m/>
    <m/>
    <n v="0"/>
    <m/>
    <m/>
    <m/>
    <m/>
    <m/>
    <m/>
    <n v="0"/>
    <n v="0"/>
  </r>
  <r>
    <x v="9"/>
    <x v="16"/>
    <s v="Two-year system(s), if any"/>
    <m/>
    <m/>
    <x v="12"/>
    <m/>
    <m/>
    <m/>
    <m/>
    <m/>
    <m/>
    <m/>
    <m/>
    <n v="0"/>
    <m/>
    <m/>
    <n v="0"/>
    <n v="0"/>
    <n v="0"/>
    <m/>
    <m/>
    <m/>
    <m/>
    <n v="0"/>
    <m/>
    <m/>
    <n v="0"/>
    <m/>
    <m/>
    <m/>
    <m/>
    <m/>
    <m/>
    <n v="0"/>
    <n v="0"/>
  </r>
  <r>
    <x v="9"/>
    <x v="16"/>
    <s v="NC State Board for Community Colleges"/>
    <m/>
    <m/>
    <x v="12"/>
    <m/>
    <m/>
    <m/>
    <m/>
    <m/>
    <m/>
    <m/>
    <m/>
    <n v="0"/>
    <m/>
    <m/>
    <n v="0"/>
    <n v="0"/>
    <n v="0"/>
    <n v="24555569"/>
    <n v="25670137"/>
    <m/>
    <m/>
    <n v="0"/>
    <m/>
    <m/>
    <n v="0"/>
    <m/>
    <m/>
    <m/>
    <m/>
    <m/>
    <m/>
    <n v="24555569"/>
    <n v="25670137"/>
  </r>
  <r>
    <x v="10"/>
    <x v="0"/>
    <s v="Oklahoma State University Main Campus"/>
    <m/>
    <n v="207388"/>
    <x v="0"/>
    <n v="120972506"/>
    <n v="120972506"/>
    <m/>
    <m/>
    <m/>
    <m/>
    <n v="216489111"/>
    <m/>
    <n v="216489111"/>
    <n v="228882812"/>
    <m/>
    <n v="228882812"/>
    <n v="337461617"/>
    <n v="349855318"/>
    <m/>
    <m/>
    <m/>
    <m/>
    <n v="0"/>
    <m/>
    <m/>
    <n v="0"/>
    <m/>
    <m/>
    <m/>
    <m/>
    <m/>
    <m/>
    <n v="337461617"/>
    <n v="349855318"/>
  </r>
  <r>
    <x v="10"/>
    <x v="1"/>
    <s v="Veterinary School"/>
    <m/>
    <n v="207388"/>
    <x v="0"/>
    <m/>
    <m/>
    <m/>
    <m/>
    <m/>
    <m/>
    <m/>
    <m/>
    <n v="0"/>
    <m/>
    <m/>
    <n v="0"/>
    <n v="0"/>
    <n v="0"/>
    <m/>
    <m/>
    <m/>
    <m/>
    <n v="0"/>
    <m/>
    <m/>
    <n v="0"/>
    <n v="10902937"/>
    <n v="10902937"/>
    <m/>
    <m/>
    <m/>
    <m/>
    <n v="10902937"/>
    <n v="10902937"/>
  </r>
  <r>
    <x v="10"/>
    <x v="1"/>
    <s v="College of Osteopathic Medicine"/>
    <m/>
    <n v="207389"/>
    <x v="0"/>
    <m/>
    <m/>
    <m/>
    <m/>
    <m/>
    <m/>
    <m/>
    <m/>
    <n v="0"/>
    <m/>
    <m/>
    <n v="0"/>
    <n v="0"/>
    <n v="0"/>
    <m/>
    <m/>
    <m/>
    <m/>
    <n v="0"/>
    <m/>
    <m/>
    <n v="0"/>
    <n v="14194766"/>
    <n v="14194766"/>
    <m/>
    <m/>
    <m/>
    <m/>
    <n v="14194766"/>
    <n v="14194766"/>
  </r>
  <r>
    <x v="10"/>
    <x v="5"/>
    <s v="Agricultural cooperative extension"/>
    <m/>
    <n v="207388"/>
    <x v="0"/>
    <m/>
    <m/>
    <m/>
    <m/>
    <m/>
    <m/>
    <m/>
    <m/>
    <n v="0"/>
    <m/>
    <m/>
    <n v="0"/>
    <n v="0"/>
    <n v="0"/>
    <m/>
    <m/>
    <m/>
    <m/>
    <n v="0"/>
    <m/>
    <m/>
    <n v="0"/>
    <m/>
    <m/>
    <m/>
    <m/>
    <m/>
    <m/>
    <n v="0"/>
    <n v="0"/>
  </r>
  <r>
    <x v="10"/>
    <x v="6"/>
    <s v="Agricultural experiment stations"/>
    <m/>
    <n v="207388"/>
    <x v="0"/>
    <m/>
    <m/>
    <m/>
    <m/>
    <m/>
    <m/>
    <m/>
    <m/>
    <n v="0"/>
    <m/>
    <m/>
    <n v="0"/>
    <n v="0"/>
    <n v="0"/>
    <m/>
    <m/>
    <m/>
    <m/>
    <n v="0"/>
    <m/>
    <m/>
    <n v="0"/>
    <m/>
    <m/>
    <m/>
    <m/>
    <m/>
    <m/>
    <n v="0"/>
    <n v="0"/>
  </r>
  <r>
    <x v="10"/>
    <x v="0"/>
    <s v="Tulsa Branch"/>
    <m/>
    <n v="207388"/>
    <x v="0"/>
    <n v="11295149"/>
    <n v="11295149"/>
    <m/>
    <m/>
    <m/>
    <m/>
    <n v="9829677"/>
    <m/>
    <n v="9829677"/>
    <n v="9405253"/>
    <m/>
    <n v="9405253"/>
    <n v="21124826"/>
    <n v="20700402"/>
    <m/>
    <m/>
    <m/>
    <m/>
    <n v="0"/>
    <m/>
    <m/>
    <n v="0"/>
    <m/>
    <m/>
    <m/>
    <m/>
    <m/>
    <m/>
    <n v="21124826"/>
    <n v="20700402"/>
  </r>
  <r>
    <x v="10"/>
    <x v="0"/>
    <s v="University of Oklahoma Norman Campus"/>
    <m/>
    <n v="207500"/>
    <x v="0"/>
    <n v="136742638"/>
    <n v="136742658"/>
    <m/>
    <m/>
    <m/>
    <m/>
    <n v="248258976"/>
    <m/>
    <n v="248258976"/>
    <n v="268540868"/>
    <m/>
    <n v="268540868"/>
    <n v="385001614"/>
    <n v="405283526"/>
    <m/>
    <m/>
    <m/>
    <m/>
    <n v="0"/>
    <m/>
    <m/>
    <n v="0"/>
    <m/>
    <m/>
    <m/>
    <m/>
    <m/>
    <m/>
    <n v="385001614"/>
    <n v="405283526"/>
  </r>
  <r>
    <x v="10"/>
    <x v="1"/>
    <s v="Health Sciences Center"/>
    <m/>
    <n v="207500"/>
    <x v="0"/>
    <m/>
    <m/>
    <m/>
    <m/>
    <m/>
    <m/>
    <m/>
    <m/>
    <n v="0"/>
    <m/>
    <m/>
    <n v="0"/>
    <n v="0"/>
    <n v="0"/>
    <m/>
    <m/>
    <m/>
    <m/>
    <n v="0"/>
    <m/>
    <m/>
    <n v="0"/>
    <n v="93389130"/>
    <n v="93389130"/>
    <m/>
    <m/>
    <m/>
    <m/>
    <n v="93389130"/>
    <n v="93389130"/>
  </r>
  <r>
    <x v="10"/>
    <x v="0"/>
    <s v="Law Center"/>
    <m/>
    <n v="207500"/>
    <x v="0"/>
    <n v="5991730"/>
    <n v="5991730"/>
    <m/>
    <m/>
    <m/>
    <m/>
    <n v="9830839"/>
    <m/>
    <n v="9830839"/>
    <n v="10389944"/>
    <m/>
    <n v="10389944"/>
    <n v="15822569"/>
    <n v="16381674"/>
    <m/>
    <m/>
    <m/>
    <m/>
    <n v="0"/>
    <m/>
    <m/>
    <n v="0"/>
    <m/>
    <m/>
    <m/>
    <m/>
    <m/>
    <m/>
    <n v="15822569"/>
    <n v="16381674"/>
  </r>
  <r>
    <x v="10"/>
    <x v="0"/>
    <s v="Northeastern State University"/>
    <m/>
    <n v="207263"/>
    <x v="2"/>
    <n v="37109185"/>
    <n v="37109185"/>
    <m/>
    <m/>
    <m/>
    <m/>
    <n v="39455396"/>
    <m/>
    <n v="39455396"/>
    <n v="41572323"/>
    <m/>
    <n v="41572323"/>
    <n v="76564581"/>
    <n v="78681508"/>
    <m/>
    <m/>
    <m/>
    <m/>
    <n v="0"/>
    <m/>
    <m/>
    <n v="0"/>
    <m/>
    <m/>
    <m/>
    <m/>
    <m/>
    <m/>
    <n v="76564581"/>
    <n v="78681508"/>
  </r>
  <r>
    <x v="10"/>
    <x v="0"/>
    <s v="University of Central Oklahoma"/>
    <m/>
    <n v="206941"/>
    <x v="2"/>
    <n v="53342761"/>
    <n v="53342761"/>
    <m/>
    <m/>
    <m/>
    <m/>
    <n v="94953747"/>
    <m/>
    <n v="94953747"/>
    <n v="101677180"/>
    <m/>
    <n v="101677180"/>
    <n v="148296508"/>
    <n v="155019941"/>
    <m/>
    <m/>
    <m/>
    <m/>
    <n v="0"/>
    <m/>
    <m/>
    <n v="0"/>
    <m/>
    <m/>
    <m/>
    <m/>
    <m/>
    <m/>
    <n v="148296508"/>
    <n v="155019941"/>
  </r>
  <r>
    <x v="10"/>
    <x v="0"/>
    <s v="Southeastern Oklahoma State University "/>
    <m/>
    <n v="207847"/>
    <x v="3"/>
    <n v="18844628"/>
    <n v="18844628"/>
    <m/>
    <m/>
    <m/>
    <m/>
    <n v="26379334"/>
    <m/>
    <n v="26379334"/>
    <n v="27501405"/>
    <m/>
    <n v="27501405"/>
    <n v="45223962"/>
    <n v="46346033"/>
    <m/>
    <m/>
    <m/>
    <m/>
    <n v="0"/>
    <m/>
    <m/>
    <n v="0"/>
    <m/>
    <m/>
    <m/>
    <m/>
    <m/>
    <m/>
    <n v="45223962"/>
    <n v="46346033"/>
  </r>
  <r>
    <x v="10"/>
    <x v="0"/>
    <s v="Cameron University "/>
    <m/>
    <n v="206914"/>
    <x v="4"/>
    <n v="21783765"/>
    <n v="21783765"/>
    <m/>
    <m/>
    <m/>
    <m/>
    <n v="25514344"/>
    <m/>
    <n v="25514344"/>
    <n v="27482792"/>
    <m/>
    <n v="27482792"/>
    <n v="47298109"/>
    <n v="49266557"/>
    <m/>
    <m/>
    <m/>
    <m/>
    <n v="0"/>
    <m/>
    <m/>
    <n v="0"/>
    <m/>
    <m/>
    <m/>
    <m/>
    <m/>
    <m/>
    <n v="47298109"/>
    <n v="49266557"/>
  </r>
  <r>
    <x v="10"/>
    <x v="0"/>
    <s v="East Central University "/>
    <m/>
    <n v="207041"/>
    <x v="4"/>
    <n v="17647803"/>
    <n v="17647803"/>
    <m/>
    <m/>
    <m/>
    <m/>
    <n v="18994692"/>
    <m/>
    <n v="18994692"/>
    <n v="21662849"/>
    <m/>
    <n v="21662849"/>
    <n v="36642495"/>
    <n v="39310652"/>
    <m/>
    <m/>
    <m/>
    <m/>
    <n v="0"/>
    <m/>
    <m/>
    <n v="0"/>
    <m/>
    <m/>
    <m/>
    <m/>
    <m/>
    <m/>
    <n v="36642495"/>
    <n v="39310652"/>
  </r>
  <r>
    <x v="10"/>
    <x v="0"/>
    <s v="Langston University"/>
    <m/>
    <n v="207209"/>
    <x v="4"/>
    <n v="18764155"/>
    <n v="18764155"/>
    <m/>
    <m/>
    <m/>
    <m/>
    <n v="13206005"/>
    <m/>
    <n v="13206005"/>
    <n v="14201713"/>
    <m/>
    <n v="14201713"/>
    <n v="31970160"/>
    <n v="32965868"/>
    <m/>
    <m/>
    <m/>
    <m/>
    <n v="0"/>
    <m/>
    <m/>
    <n v="0"/>
    <m/>
    <m/>
    <m/>
    <m/>
    <m/>
    <m/>
    <n v="31970160"/>
    <n v="32965868"/>
  </r>
  <r>
    <x v="10"/>
    <x v="0"/>
    <s v="Northwestern Oklahoma State University "/>
    <m/>
    <n v="207306"/>
    <x v="4"/>
    <n v="10241745"/>
    <n v="10241745"/>
    <m/>
    <m/>
    <m/>
    <m/>
    <n v="13583205"/>
    <m/>
    <n v="13583205"/>
    <n v="14166968"/>
    <m/>
    <n v="14166968"/>
    <n v="23824950"/>
    <n v="24408713"/>
    <m/>
    <m/>
    <m/>
    <m/>
    <n v="0"/>
    <m/>
    <m/>
    <n v="0"/>
    <m/>
    <m/>
    <m/>
    <m/>
    <m/>
    <m/>
    <n v="23824950"/>
    <n v="24408713"/>
  </r>
  <r>
    <x v="10"/>
    <x v="0"/>
    <s v="Southwestern Oklahoma State University"/>
    <m/>
    <n v="207865"/>
    <x v="4"/>
    <n v="22841203"/>
    <n v="22841203"/>
    <m/>
    <m/>
    <m/>
    <m/>
    <n v="29064356"/>
    <m/>
    <n v="29064356"/>
    <n v="30879450"/>
    <m/>
    <n v="30879450"/>
    <n v="51905559"/>
    <n v="53720653"/>
    <m/>
    <m/>
    <m/>
    <m/>
    <n v="0"/>
    <m/>
    <m/>
    <n v="0"/>
    <m/>
    <m/>
    <m/>
    <m/>
    <m/>
    <m/>
    <n v="51905559"/>
    <n v="53720653"/>
  </r>
  <r>
    <x v="10"/>
    <x v="0"/>
    <s v="Oklahoma Panhandle State University "/>
    <m/>
    <n v="207351"/>
    <x v="5"/>
    <n v="7274030"/>
    <n v="7274030"/>
    <m/>
    <m/>
    <m/>
    <m/>
    <n v="10428175"/>
    <m/>
    <n v="10428175"/>
    <n v="9920738"/>
    <m/>
    <n v="9920738"/>
    <n v="17702205"/>
    <n v="17194768"/>
    <m/>
    <m/>
    <m/>
    <m/>
    <n v="0"/>
    <m/>
    <m/>
    <n v="0"/>
    <m/>
    <m/>
    <m/>
    <m/>
    <m/>
    <m/>
    <n v="17702205"/>
    <n v="17194768"/>
  </r>
  <r>
    <x v="10"/>
    <x v="0"/>
    <s v="Rogers State University"/>
    <m/>
    <n v="207661"/>
    <x v="5"/>
    <n v="14129080"/>
    <n v="14129080"/>
    <m/>
    <m/>
    <m/>
    <m/>
    <n v="16737076"/>
    <m/>
    <n v="16737076"/>
    <n v="16288835"/>
    <m/>
    <n v="16288835"/>
    <n v="30866156"/>
    <n v="30417915"/>
    <m/>
    <m/>
    <m/>
    <m/>
    <n v="0"/>
    <m/>
    <m/>
    <n v="0"/>
    <m/>
    <m/>
    <m/>
    <m/>
    <m/>
    <m/>
    <n v="30866156"/>
    <n v="30417915"/>
  </r>
  <r>
    <x v="10"/>
    <x v="0"/>
    <s v="University of Science and Arts of Oklahoma"/>
    <m/>
    <n v="207722"/>
    <x v="5"/>
    <n v="7463210"/>
    <n v="7463210"/>
    <m/>
    <m/>
    <m/>
    <m/>
    <n v="4871123"/>
    <m/>
    <n v="4871123"/>
    <n v="5128115"/>
    <m/>
    <n v="5128115"/>
    <n v="12334333"/>
    <n v="12591325"/>
    <m/>
    <m/>
    <m/>
    <m/>
    <n v="0"/>
    <m/>
    <m/>
    <n v="0"/>
    <m/>
    <m/>
    <m/>
    <m/>
    <m/>
    <m/>
    <n v="12334333"/>
    <n v="12591325"/>
  </r>
  <r>
    <x v="10"/>
    <x v="0"/>
    <s v="Oklahoma State University-Oklahoma City "/>
    <m/>
    <n v="207564"/>
    <x v="14"/>
    <n v="11663314"/>
    <n v="11663314"/>
    <m/>
    <m/>
    <m/>
    <m/>
    <n v="14353583"/>
    <m/>
    <n v="14353583"/>
    <n v="13585450"/>
    <m/>
    <n v="13585450"/>
    <n v="26016897"/>
    <n v="25248764"/>
    <m/>
    <m/>
    <m/>
    <m/>
    <n v="0"/>
    <m/>
    <m/>
    <n v="0"/>
    <m/>
    <m/>
    <m/>
    <m/>
    <m/>
    <m/>
    <n v="26016897"/>
    <n v="25248764"/>
  </r>
  <r>
    <x v="10"/>
    <x v="0"/>
    <s v="Oklahoma State University Technical Branch-Okmulgee "/>
    <m/>
    <n v="207397"/>
    <x v="14"/>
    <n v="14553129"/>
    <n v="14553129"/>
    <m/>
    <m/>
    <m/>
    <m/>
    <n v="14151789"/>
    <m/>
    <n v="14151789"/>
    <n v="14802928"/>
    <m/>
    <n v="14802928"/>
    <n v="28704918"/>
    <n v="29356057"/>
    <m/>
    <m/>
    <m/>
    <m/>
    <n v="0"/>
    <m/>
    <m/>
    <n v="0"/>
    <m/>
    <m/>
    <m/>
    <m/>
    <m/>
    <m/>
    <n v="28704918"/>
    <n v="29356057"/>
  </r>
  <r>
    <x v="10"/>
    <x v="0"/>
    <s v="Oklahoma City Community College "/>
    <m/>
    <n v="207449"/>
    <x v="6"/>
    <n v="25464664"/>
    <n v="25464664"/>
    <m/>
    <m/>
    <n v="5000000"/>
    <n v="5000000"/>
    <n v="24744180"/>
    <m/>
    <n v="24744180"/>
    <n v="25607935"/>
    <m/>
    <n v="25607935"/>
    <n v="55208844"/>
    <n v="56072599"/>
    <m/>
    <m/>
    <m/>
    <m/>
    <n v="0"/>
    <m/>
    <m/>
    <n v="0"/>
    <m/>
    <m/>
    <m/>
    <m/>
    <m/>
    <m/>
    <n v="55208844"/>
    <n v="56072599"/>
  </r>
  <r>
    <x v="10"/>
    <x v="0"/>
    <s v="Rose State College "/>
    <s v="Met the criteria for Two-Year 2 institution in 2013-14 and 2014-15."/>
    <n v="207670"/>
    <x v="6"/>
    <n v="20970932"/>
    <n v="20970932"/>
    <m/>
    <m/>
    <n v="1300000"/>
    <n v="1300000"/>
    <n v="14440134"/>
    <m/>
    <n v="14440134"/>
    <n v="14637441"/>
    <m/>
    <n v="14637441"/>
    <n v="36711066"/>
    <n v="36908373"/>
    <m/>
    <m/>
    <m/>
    <m/>
    <n v="0"/>
    <m/>
    <m/>
    <n v="0"/>
    <m/>
    <m/>
    <m/>
    <m/>
    <m/>
    <m/>
    <n v="36711066"/>
    <n v="36908373"/>
  </r>
  <r>
    <x v="10"/>
    <x v="0"/>
    <s v="Tulsa Community College "/>
    <m/>
    <n v="207935"/>
    <x v="6"/>
    <n v="36946614"/>
    <n v="36946914"/>
    <m/>
    <m/>
    <n v="40325073"/>
    <n v="36912149"/>
    <n v="37061333"/>
    <m/>
    <n v="37061333"/>
    <n v="38360581"/>
    <m/>
    <n v="38360581"/>
    <n v="114333020"/>
    <n v="112219644"/>
    <m/>
    <m/>
    <m/>
    <m/>
    <n v="0"/>
    <m/>
    <m/>
    <n v="0"/>
    <m/>
    <m/>
    <m/>
    <m/>
    <m/>
    <m/>
    <n v="114333020"/>
    <n v="112219644"/>
  </r>
  <r>
    <x v="10"/>
    <x v="0"/>
    <s v="Carl Albert State College"/>
    <s v="Met the criteria for Two-Year 3 institution in 2013-14 and 2014-15."/>
    <n v="206923"/>
    <x v="7"/>
    <n v="6488628"/>
    <n v="6488628"/>
    <m/>
    <m/>
    <m/>
    <m/>
    <n v="5911877"/>
    <m/>
    <n v="5911877"/>
    <n v="5271417"/>
    <m/>
    <n v="5271417"/>
    <n v="12400505"/>
    <n v="11760045"/>
    <m/>
    <m/>
    <m/>
    <m/>
    <n v="0"/>
    <m/>
    <m/>
    <n v="0"/>
    <m/>
    <m/>
    <m/>
    <m/>
    <m/>
    <m/>
    <n v="12400505"/>
    <n v="11760045"/>
  </r>
  <r>
    <x v="10"/>
    <x v="0"/>
    <s v="Northern Oklahoma College "/>
    <m/>
    <n v="207281"/>
    <x v="7"/>
    <n v="10292753"/>
    <n v="10292753"/>
    <m/>
    <m/>
    <m/>
    <m/>
    <n v="14033769"/>
    <m/>
    <n v="14033769"/>
    <n v="14946119"/>
    <m/>
    <n v="14946119"/>
    <n v="24326522"/>
    <n v="25238872"/>
    <m/>
    <m/>
    <m/>
    <m/>
    <n v="0"/>
    <m/>
    <m/>
    <n v="0"/>
    <m/>
    <m/>
    <m/>
    <m/>
    <m/>
    <m/>
    <n v="24326522"/>
    <n v="25238872"/>
  </r>
  <r>
    <x v="10"/>
    <x v="0"/>
    <s v="Connors State College "/>
    <m/>
    <n v="206996"/>
    <x v="8"/>
    <n v="6859019"/>
    <n v="6859019"/>
    <m/>
    <m/>
    <m/>
    <m/>
    <n v="5406922"/>
    <m/>
    <n v="5406922"/>
    <n v="5716486"/>
    <m/>
    <n v="5716486"/>
    <n v="12265941"/>
    <n v="12575505"/>
    <m/>
    <m/>
    <m/>
    <m/>
    <n v="0"/>
    <m/>
    <m/>
    <n v="0"/>
    <m/>
    <m/>
    <m/>
    <m/>
    <m/>
    <m/>
    <n v="12265941"/>
    <n v="12575505"/>
  </r>
  <r>
    <x v="10"/>
    <x v="0"/>
    <s v="Eastern Oklahoma State College "/>
    <m/>
    <n v="207050"/>
    <x v="8"/>
    <n v="6545605"/>
    <n v="6545605"/>
    <m/>
    <m/>
    <m/>
    <m/>
    <n v="4026416"/>
    <m/>
    <n v="4026416"/>
    <n v="4747803"/>
    <m/>
    <n v="4747803"/>
    <n v="10572021"/>
    <n v="11293408"/>
    <m/>
    <m/>
    <m/>
    <m/>
    <n v="0"/>
    <m/>
    <m/>
    <n v="0"/>
    <m/>
    <m/>
    <m/>
    <m/>
    <m/>
    <m/>
    <n v="10572021"/>
    <n v="11293408"/>
  </r>
  <r>
    <x v="10"/>
    <x v="0"/>
    <s v="Murray State College "/>
    <m/>
    <n v="207236"/>
    <x v="8"/>
    <n v="5827964"/>
    <n v="5827964"/>
    <m/>
    <m/>
    <m/>
    <m/>
    <n v="7072634"/>
    <m/>
    <n v="7072634"/>
    <n v="6889187"/>
    <m/>
    <n v="6889187"/>
    <n v="12900598"/>
    <n v="12717151"/>
    <m/>
    <m/>
    <m/>
    <m/>
    <n v="0"/>
    <m/>
    <m/>
    <n v="0"/>
    <m/>
    <m/>
    <m/>
    <m/>
    <m/>
    <m/>
    <n v="12900598"/>
    <n v="12717151"/>
  </r>
  <r>
    <x v="10"/>
    <x v="0"/>
    <s v="Northeastern Oklahoma A &amp; M College "/>
    <m/>
    <n v="207290"/>
    <x v="8"/>
    <n v="8971076"/>
    <n v="8971076"/>
    <m/>
    <m/>
    <m/>
    <m/>
    <n v="7416107"/>
    <m/>
    <n v="7416107"/>
    <n v="7827500"/>
    <m/>
    <n v="7827500"/>
    <n v="16387183"/>
    <n v="16798576"/>
    <m/>
    <m/>
    <m/>
    <m/>
    <n v="0"/>
    <m/>
    <m/>
    <n v="0"/>
    <m/>
    <m/>
    <m/>
    <m/>
    <m/>
    <m/>
    <n v="16387183"/>
    <n v="16798576"/>
  </r>
  <r>
    <x v="10"/>
    <x v="0"/>
    <s v="Redlands Community College"/>
    <m/>
    <n v="207069"/>
    <x v="8"/>
    <n v="6435417"/>
    <n v="6435417"/>
    <m/>
    <m/>
    <m/>
    <m/>
    <n v="5151638"/>
    <m/>
    <n v="5151638"/>
    <n v="3330968"/>
    <m/>
    <n v="3330968"/>
    <n v="11587055"/>
    <n v="9766385"/>
    <m/>
    <m/>
    <m/>
    <m/>
    <n v="0"/>
    <m/>
    <m/>
    <n v="0"/>
    <m/>
    <m/>
    <m/>
    <m/>
    <m/>
    <m/>
    <n v="11587055"/>
    <n v="9766385"/>
  </r>
  <r>
    <x v="10"/>
    <x v="0"/>
    <s v="Seminole State College "/>
    <m/>
    <n v="207740"/>
    <x v="8"/>
    <n v="6026195"/>
    <n v="6026195"/>
    <m/>
    <m/>
    <m/>
    <m/>
    <n v="5044681"/>
    <m/>
    <n v="5044681"/>
    <n v="5162517"/>
    <m/>
    <n v="5162517"/>
    <n v="11070876"/>
    <n v="11188712"/>
    <m/>
    <m/>
    <m/>
    <m/>
    <n v="0"/>
    <m/>
    <m/>
    <n v="0"/>
    <m/>
    <m/>
    <m/>
    <m/>
    <m/>
    <m/>
    <n v="11070876"/>
    <n v="11188712"/>
  </r>
  <r>
    <x v="10"/>
    <x v="0"/>
    <s v="Western Oklahoma State College "/>
    <m/>
    <n v="208035"/>
    <x v="8"/>
    <n v="5810048"/>
    <n v="5810048"/>
    <m/>
    <m/>
    <m/>
    <m/>
    <n v="3982800"/>
    <m/>
    <n v="3982800"/>
    <n v="3818000"/>
    <m/>
    <n v="3818000"/>
    <n v="9792848"/>
    <n v="9628048"/>
    <m/>
    <m/>
    <m/>
    <m/>
    <n v="0"/>
    <m/>
    <m/>
    <n v="0"/>
    <m/>
    <m/>
    <m/>
    <m/>
    <m/>
    <m/>
    <n v="9792848"/>
    <n v="9628048"/>
  </r>
  <r>
    <x v="10"/>
    <x v="10"/>
    <s v="Statewide Special-Purpose Units"/>
    <m/>
    <m/>
    <x v="12"/>
    <m/>
    <m/>
    <m/>
    <m/>
    <m/>
    <m/>
    <m/>
    <m/>
    <n v="0"/>
    <m/>
    <m/>
    <n v="0"/>
    <n v="0"/>
    <n v="0"/>
    <m/>
    <m/>
    <m/>
    <m/>
    <n v="0"/>
    <m/>
    <m/>
    <n v="0"/>
    <m/>
    <m/>
    <m/>
    <m/>
    <m/>
    <m/>
    <n v="0"/>
    <n v="0"/>
  </r>
  <r>
    <x v="10"/>
    <x v="42"/>
    <s v="Community or public service units"/>
    <m/>
    <m/>
    <x v="12"/>
    <m/>
    <m/>
    <m/>
    <m/>
    <m/>
    <m/>
    <m/>
    <m/>
    <n v="0"/>
    <m/>
    <m/>
    <n v="0"/>
    <n v="0"/>
    <n v="0"/>
    <m/>
    <m/>
    <m/>
    <m/>
    <n v="0"/>
    <m/>
    <m/>
    <n v="0"/>
    <m/>
    <m/>
    <m/>
    <m/>
    <m/>
    <m/>
    <n v="0"/>
    <n v="0"/>
  </r>
  <r>
    <x v="10"/>
    <x v="42"/>
    <s v="Kerr Conference Center"/>
    <m/>
    <m/>
    <x v="12"/>
    <m/>
    <m/>
    <n v="0"/>
    <m/>
    <m/>
    <m/>
    <m/>
    <m/>
    <n v="0"/>
    <m/>
    <m/>
    <n v="0"/>
    <n v="0"/>
    <n v="0"/>
    <m/>
    <m/>
    <m/>
    <m/>
    <n v="0"/>
    <m/>
    <m/>
    <n v="0"/>
    <m/>
    <m/>
    <m/>
    <m/>
    <m/>
    <m/>
    <n v="0"/>
    <n v="0"/>
  </r>
  <r>
    <x v="10"/>
    <x v="13"/>
    <s v="Educational special-purpose funds — all other"/>
    <m/>
    <m/>
    <x v="12"/>
    <m/>
    <m/>
    <m/>
    <m/>
    <m/>
    <m/>
    <m/>
    <m/>
    <n v="0"/>
    <m/>
    <m/>
    <n v="0"/>
    <n v="0"/>
    <n v="0"/>
    <m/>
    <m/>
    <m/>
    <m/>
    <n v="0"/>
    <m/>
    <m/>
    <n v="0"/>
    <m/>
    <m/>
    <m/>
    <m/>
    <m/>
    <m/>
    <n v="0"/>
    <n v="0"/>
  </r>
  <r>
    <x v="10"/>
    <x v="13"/>
    <s v="Ardmore H.Ed. Program"/>
    <m/>
    <m/>
    <x v="12"/>
    <m/>
    <m/>
    <n v="647396"/>
    <n v="647396"/>
    <m/>
    <m/>
    <m/>
    <m/>
    <n v="0"/>
    <m/>
    <m/>
    <n v="0"/>
    <n v="647396"/>
    <n v="647396"/>
    <m/>
    <m/>
    <m/>
    <m/>
    <n v="0"/>
    <m/>
    <m/>
    <n v="0"/>
    <m/>
    <m/>
    <m/>
    <m/>
    <m/>
    <m/>
    <n v="647396"/>
    <n v="647396"/>
  </r>
  <r>
    <x v="10"/>
    <x v="13"/>
    <s v="Jane Brooks School-USAO"/>
    <m/>
    <m/>
    <x v="12"/>
    <m/>
    <m/>
    <n v="25283"/>
    <n v="25283"/>
    <m/>
    <m/>
    <m/>
    <m/>
    <n v="0"/>
    <m/>
    <m/>
    <n v="0"/>
    <n v="25283"/>
    <n v="25283"/>
    <m/>
    <m/>
    <m/>
    <m/>
    <n v="0"/>
    <m/>
    <m/>
    <n v="0"/>
    <m/>
    <m/>
    <m/>
    <m/>
    <m/>
    <m/>
    <n v="25283"/>
    <n v="25283"/>
  </r>
  <r>
    <x v="10"/>
    <x v="13"/>
    <s v="Fire Science Training"/>
    <m/>
    <m/>
    <x v="12"/>
    <m/>
    <m/>
    <n v="1686184"/>
    <n v="1686184"/>
    <m/>
    <m/>
    <m/>
    <m/>
    <n v="0"/>
    <m/>
    <m/>
    <n v="0"/>
    <n v="1686184"/>
    <n v="1686184"/>
    <m/>
    <m/>
    <m/>
    <m/>
    <n v="0"/>
    <m/>
    <m/>
    <n v="0"/>
    <m/>
    <m/>
    <m/>
    <m/>
    <m/>
    <m/>
    <n v="1686184"/>
    <n v="1686184"/>
  </r>
  <r>
    <x v="10"/>
    <x v="13"/>
    <s v="Scholar Leadership Program"/>
    <m/>
    <m/>
    <x v="12"/>
    <m/>
    <m/>
    <n v="286030"/>
    <n v="286030"/>
    <m/>
    <m/>
    <m/>
    <m/>
    <n v="0"/>
    <m/>
    <m/>
    <n v="0"/>
    <n v="286030"/>
    <n v="286030"/>
    <m/>
    <m/>
    <m/>
    <m/>
    <n v="0"/>
    <m/>
    <m/>
    <n v="0"/>
    <m/>
    <m/>
    <m/>
    <m/>
    <m/>
    <m/>
    <n v="286030"/>
    <n v="286030"/>
  </r>
  <r>
    <x v="10"/>
    <x v="13"/>
    <s v="Academic Scholar Program"/>
    <m/>
    <m/>
    <x v="12"/>
    <m/>
    <m/>
    <n v="8329363"/>
    <n v="8329363"/>
    <m/>
    <m/>
    <m/>
    <m/>
    <n v="0"/>
    <m/>
    <m/>
    <n v="0"/>
    <n v="8329363"/>
    <n v="8329363"/>
    <m/>
    <m/>
    <m/>
    <m/>
    <n v="0"/>
    <m/>
    <m/>
    <n v="0"/>
    <m/>
    <m/>
    <m/>
    <m/>
    <m/>
    <m/>
    <n v="8329363"/>
    <n v="8329363"/>
  </r>
  <r>
    <x v="10"/>
    <x v="13"/>
    <s v="Oklahoma Teacher Connection Center"/>
    <m/>
    <m/>
    <x v="12"/>
    <m/>
    <m/>
    <n v="391220"/>
    <n v="391220"/>
    <m/>
    <m/>
    <m/>
    <m/>
    <n v="0"/>
    <m/>
    <m/>
    <n v="0"/>
    <n v="391220"/>
    <n v="391220"/>
    <m/>
    <m/>
    <m/>
    <m/>
    <n v="0"/>
    <m/>
    <m/>
    <n v="0"/>
    <m/>
    <m/>
    <m/>
    <m/>
    <m/>
    <m/>
    <n v="391220"/>
    <n v="391220"/>
  </r>
  <r>
    <x v="10"/>
    <x v="13"/>
    <s v="OneNet User Fee Charges"/>
    <m/>
    <m/>
    <x v="12"/>
    <m/>
    <m/>
    <n v="3120185"/>
    <n v="3120185"/>
    <m/>
    <m/>
    <m/>
    <m/>
    <n v="0"/>
    <m/>
    <m/>
    <n v="0"/>
    <n v="3120185"/>
    <n v="3120185"/>
    <m/>
    <m/>
    <m/>
    <m/>
    <n v="0"/>
    <m/>
    <m/>
    <n v="0"/>
    <m/>
    <m/>
    <m/>
    <m/>
    <m/>
    <m/>
    <n v="3120185"/>
    <n v="3120185"/>
  </r>
  <r>
    <x v="10"/>
    <x v="13"/>
    <s v="Student Preparation  Program"/>
    <m/>
    <m/>
    <x v="12"/>
    <m/>
    <m/>
    <n v="1098472"/>
    <n v="1098472"/>
    <m/>
    <m/>
    <m/>
    <m/>
    <n v="0"/>
    <m/>
    <m/>
    <n v="0"/>
    <n v="1098472"/>
    <n v="1098472"/>
    <m/>
    <m/>
    <m/>
    <m/>
    <n v="0"/>
    <m/>
    <m/>
    <n v="0"/>
    <m/>
    <m/>
    <m/>
    <m/>
    <m/>
    <m/>
    <n v="1098472"/>
    <n v="1098472"/>
  </r>
  <r>
    <x v="10"/>
    <x v="13"/>
    <s v="Statewide Literacy Program"/>
    <m/>
    <m/>
    <x v="12"/>
    <m/>
    <m/>
    <n v="68476"/>
    <n v="68476"/>
    <m/>
    <m/>
    <m/>
    <m/>
    <n v="0"/>
    <m/>
    <m/>
    <n v="0"/>
    <n v="68476"/>
    <n v="68476"/>
    <m/>
    <m/>
    <m/>
    <m/>
    <n v="0"/>
    <m/>
    <m/>
    <n v="0"/>
    <m/>
    <m/>
    <m/>
    <m/>
    <m/>
    <m/>
    <n v="68476"/>
    <n v="68476"/>
  </r>
  <r>
    <x v="10"/>
    <x v="14"/>
    <s v="Statewide System Operations"/>
    <m/>
    <m/>
    <x v="12"/>
    <m/>
    <m/>
    <m/>
    <m/>
    <m/>
    <m/>
    <m/>
    <m/>
    <n v="0"/>
    <m/>
    <m/>
    <n v="0"/>
    <n v="0"/>
    <n v="0"/>
    <m/>
    <m/>
    <m/>
    <m/>
    <n v="0"/>
    <m/>
    <m/>
    <n v="0"/>
    <m/>
    <m/>
    <m/>
    <m/>
    <m/>
    <m/>
    <n v="0"/>
    <n v="0"/>
  </r>
  <r>
    <x v="10"/>
    <x v="15"/>
    <s v="Colleges and universities"/>
    <m/>
    <m/>
    <x v="12"/>
    <m/>
    <m/>
    <m/>
    <m/>
    <m/>
    <m/>
    <m/>
    <m/>
    <n v="0"/>
    <m/>
    <m/>
    <n v="0"/>
    <n v="0"/>
    <n v="0"/>
    <m/>
    <m/>
    <m/>
    <m/>
    <n v="0"/>
    <m/>
    <m/>
    <n v="0"/>
    <m/>
    <m/>
    <m/>
    <m/>
    <m/>
    <m/>
    <n v="0"/>
    <n v="0"/>
  </r>
  <r>
    <x v="10"/>
    <x v="15"/>
    <s v="Ok State Regents for H. Ed."/>
    <m/>
    <m/>
    <x v="12"/>
    <m/>
    <m/>
    <m/>
    <m/>
    <m/>
    <m/>
    <m/>
    <m/>
    <n v="0"/>
    <m/>
    <m/>
    <n v="0"/>
    <n v="0"/>
    <n v="0"/>
    <n v="10139942"/>
    <n v="10139942"/>
    <m/>
    <m/>
    <n v="0"/>
    <m/>
    <m/>
    <n v="0"/>
    <m/>
    <m/>
    <m/>
    <m/>
    <m/>
    <m/>
    <n v="10139942"/>
    <n v="10139942"/>
  </r>
  <r>
    <x v="10"/>
    <x v="15"/>
    <s v="Oklahoma College System"/>
    <m/>
    <m/>
    <x v="12"/>
    <m/>
    <m/>
    <m/>
    <m/>
    <m/>
    <m/>
    <m/>
    <m/>
    <n v="0"/>
    <m/>
    <m/>
    <n v="0"/>
    <n v="0"/>
    <n v="0"/>
    <m/>
    <m/>
    <m/>
    <m/>
    <n v="0"/>
    <m/>
    <m/>
    <n v="0"/>
    <m/>
    <m/>
    <m/>
    <m/>
    <m/>
    <m/>
    <n v="0"/>
    <n v="0"/>
  </r>
  <r>
    <x v="10"/>
    <x v="16"/>
    <s v="Two-year system(s), if any"/>
    <m/>
    <m/>
    <x v="12"/>
    <m/>
    <m/>
    <m/>
    <m/>
    <m/>
    <m/>
    <m/>
    <m/>
    <n v="0"/>
    <m/>
    <m/>
    <n v="0"/>
    <n v="0"/>
    <n v="0"/>
    <m/>
    <m/>
    <m/>
    <m/>
    <n v="0"/>
    <m/>
    <m/>
    <n v="0"/>
    <m/>
    <m/>
    <m/>
    <m/>
    <m/>
    <m/>
    <n v="0"/>
    <n v="0"/>
  </r>
  <r>
    <x v="10"/>
    <x v="17"/>
    <s v="National or regional associations, compacts or consortia"/>
    <m/>
    <m/>
    <x v="12"/>
    <m/>
    <m/>
    <m/>
    <m/>
    <m/>
    <m/>
    <m/>
    <m/>
    <n v="0"/>
    <m/>
    <m/>
    <n v="0"/>
    <n v="0"/>
    <n v="0"/>
    <m/>
    <m/>
    <m/>
    <m/>
    <n v="0"/>
    <m/>
    <m/>
    <n v="0"/>
    <m/>
    <m/>
    <m/>
    <m/>
    <m/>
    <m/>
    <n v="0"/>
    <n v="0"/>
  </r>
  <r>
    <x v="10"/>
    <x v="17"/>
    <s v="SREB Dues"/>
    <m/>
    <m/>
    <x v="12"/>
    <m/>
    <m/>
    <m/>
    <m/>
    <m/>
    <m/>
    <m/>
    <m/>
    <n v="0"/>
    <m/>
    <m/>
    <n v="0"/>
    <n v="0"/>
    <n v="0"/>
    <m/>
    <m/>
    <m/>
    <m/>
    <n v="0"/>
    <m/>
    <m/>
    <n v="0"/>
    <m/>
    <m/>
    <m/>
    <m/>
    <m/>
    <m/>
    <n v="0"/>
    <n v="0"/>
  </r>
  <r>
    <x v="10"/>
    <x v="18"/>
    <s v="Adm. of Statewide Student Aid Progs. (incldng centralized guaranteed student loans)"/>
    <m/>
    <m/>
    <x v="12"/>
    <m/>
    <m/>
    <m/>
    <m/>
    <m/>
    <m/>
    <m/>
    <m/>
    <n v="0"/>
    <m/>
    <m/>
    <n v="0"/>
    <n v="0"/>
    <n v="0"/>
    <m/>
    <m/>
    <m/>
    <m/>
    <n v="0"/>
    <m/>
    <m/>
    <n v="0"/>
    <m/>
    <m/>
    <m/>
    <m/>
    <m/>
    <m/>
    <n v="0"/>
    <n v="0"/>
  </r>
  <r>
    <x v="10"/>
    <x v="19"/>
    <s v="State Support to Private Colleges Other Than Student Aid"/>
    <m/>
    <m/>
    <x v="12"/>
    <m/>
    <m/>
    <m/>
    <m/>
    <m/>
    <m/>
    <m/>
    <m/>
    <n v="0"/>
    <m/>
    <m/>
    <n v="0"/>
    <n v="0"/>
    <n v="0"/>
    <m/>
    <m/>
    <m/>
    <m/>
    <n v="0"/>
    <m/>
    <m/>
    <n v="0"/>
    <m/>
    <m/>
    <m/>
    <m/>
    <m/>
    <m/>
    <n v="0"/>
    <n v="0"/>
  </r>
  <r>
    <x v="10"/>
    <x v="20"/>
    <s v="Contract Education Programs"/>
    <m/>
    <m/>
    <x v="12"/>
    <m/>
    <m/>
    <m/>
    <m/>
    <m/>
    <m/>
    <m/>
    <m/>
    <n v="0"/>
    <m/>
    <m/>
    <n v="0"/>
    <n v="0"/>
    <n v="0"/>
    <m/>
    <m/>
    <m/>
    <m/>
    <n v="0"/>
    <m/>
    <m/>
    <n v="0"/>
    <m/>
    <m/>
    <m/>
    <m/>
    <m/>
    <m/>
    <n v="0"/>
    <n v="0"/>
  </r>
  <r>
    <x v="10"/>
    <x v="21"/>
    <s v="SREB contract program with private colleges"/>
    <m/>
    <m/>
    <x v="12"/>
    <m/>
    <m/>
    <m/>
    <m/>
    <m/>
    <m/>
    <m/>
    <m/>
    <n v="0"/>
    <m/>
    <m/>
    <n v="0"/>
    <n v="0"/>
    <n v="0"/>
    <m/>
    <m/>
    <m/>
    <m/>
    <n v="0"/>
    <m/>
    <m/>
    <n v="0"/>
    <m/>
    <m/>
    <m/>
    <m/>
    <m/>
    <m/>
    <n v="0"/>
    <n v="0"/>
  </r>
  <r>
    <x v="10"/>
    <x v="22"/>
    <s v="SREB contract program with public colleges"/>
    <m/>
    <m/>
    <x v="12"/>
    <m/>
    <m/>
    <m/>
    <m/>
    <m/>
    <m/>
    <m/>
    <m/>
    <n v="0"/>
    <m/>
    <m/>
    <n v="0"/>
    <n v="0"/>
    <n v="0"/>
    <m/>
    <m/>
    <m/>
    <m/>
    <n v="0"/>
    <m/>
    <m/>
    <n v="0"/>
    <m/>
    <m/>
    <m/>
    <m/>
    <m/>
    <m/>
    <n v="0"/>
    <n v="0"/>
  </r>
  <r>
    <x v="10"/>
    <x v="23"/>
    <s v="Other contract education programs"/>
    <m/>
    <m/>
    <x v="12"/>
    <m/>
    <m/>
    <m/>
    <m/>
    <m/>
    <m/>
    <m/>
    <m/>
    <n v="0"/>
    <m/>
    <m/>
    <n v="0"/>
    <n v="0"/>
    <n v="0"/>
    <m/>
    <m/>
    <m/>
    <m/>
    <n v="0"/>
    <m/>
    <m/>
    <n v="0"/>
    <m/>
    <m/>
    <m/>
    <m/>
    <m/>
    <m/>
    <n v="0"/>
    <n v="0"/>
  </r>
  <r>
    <x v="10"/>
    <x v="24"/>
    <s v="Statewide Student Financial Aid Programs Administered Off Campus"/>
    <m/>
    <m/>
    <x v="12"/>
    <m/>
    <m/>
    <m/>
    <m/>
    <m/>
    <m/>
    <m/>
    <m/>
    <n v="0"/>
    <m/>
    <m/>
    <n v="0"/>
    <n v="0"/>
    <n v="0"/>
    <m/>
    <m/>
    <m/>
    <m/>
    <n v="0"/>
    <m/>
    <m/>
    <n v="0"/>
    <m/>
    <m/>
    <m/>
    <m/>
    <m/>
    <m/>
    <n v="0"/>
    <n v="0"/>
  </r>
  <r>
    <x v="10"/>
    <x v="25"/>
    <s v="Available to public &amp; private sector students"/>
    <m/>
    <m/>
    <x v="12"/>
    <m/>
    <m/>
    <m/>
    <m/>
    <m/>
    <m/>
    <m/>
    <m/>
    <n v="0"/>
    <m/>
    <m/>
    <n v="0"/>
    <n v="0"/>
    <n v="0"/>
    <m/>
    <m/>
    <m/>
    <m/>
    <n v="0"/>
    <m/>
    <m/>
    <n v="0"/>
    <m/>
    <m/>
    <m/>
    <m/>
    <m/>
    <m/>
    <n v="0"/>
    <n v="0"/>
  </r>
  <r>
    <x v="10"/>
    <x v="25"/>
    <s v="Oklahoma Promise"/>
    <m/>
    <m/>
    <x v="12"/>
    <m/>
    <m/>
    <m/>
    <m/>
    <m/>
    <m/>
    <m/>
    <m/>
    <n v="0"/>
    <m/>
    <m/>
    <n v="0"/>
    <n v="0"/>
    <n v="0"/>
    <n v="57000000"/>
    <n v="57000000"/>
    <m/>
    <m/>
    <n v="0"/>
    <m/>
    <m/>
    <n v="0"/>
    <m/>
    <m/>
    <m/>
    <m/>
    <m/>
    <m/>
    <n v="57000000"/>
    <n v="57000000"/>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Chiropractic Education Assistance"/>
    <m/>
    <m/>
    <x v="12"/>
    <m/>
    <m/>
    <m/>
    <m/>
    <m/>
    <m/>
    <m/>
    <m/>
    <n v="0"/>
    <m/>
    <m/>
    <n v="0"/>
    <n v="0"/>
    <n v="0"/>
    <n v="37404"/>
    <n v="37404"/>
    <m/>
    <m/>
    <n v="0"/>
    <m/>
    <m/>
    <n v="0"/>
    <m/>
    <m/>
    <m/>
    <m/>
    <m/>
    <m/>
    <n v="37404"/>
    <n v="37404"/>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Prospective Teachers Scholars"/>
    <m/>
    <m/>
    <x v="12"/>
    <m/>
    <m/>
    <m/>
    <m/>
    <m/>
    <m/>
    <m/>
    <m/>
    <n v="0"/>
    <m/>
    <m/>
    <n v="0"/>
    <n v="0"/>
    <n v="0"/>
    <n v="93510"/>
    <n v="93510"/>
    <m/>
    <m/>
    <n v="0"/>
    <m/>
    <m/>
    <n v="0"/>
    <m/>
    <m/>
    <m/>
    <m/>
    <m/>
    <m/>
    <n v="93510"/>
    <n v="93510"/>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Regional University Scholarships"/>
    <m/>
    <m/>
    <x v="12"/>
    <m/>
    <m/>
    <m/>
    <m/>
    <m/>
    <m/>
    <m/>
    <m/>
    <n v="0"/>
    <m/>
    <m/>
    <n v="0"/>
    <n v="0"/>
    <n v="0"/>
    <n v="986068"/>
    <n v="986068"/>
    <m/>
    <m/>
    <n v="0"/>
    <m/>
    <m/>
    <n v="0"/>
    <m/>
    <m/>
    <m/>
    <m/>
    <m/>
    <m/>
    <n v="986068"/>
    <n v="986068"/>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25"/>
    <s v="OTAG"/>
    <m/>
    <m/>
    <x v="12"/>
    <m/>
    <m/>
    <m/>
    <m/>
    <m/>
    <m/>
    <m/>
    <m/>
    <n v="0"/>
    <m/>
    <m/>
    <n v="0"/>
    <n v="0"/>
    <n v="0"/>
    <n v="19115722"/>
    <n v="19115722"/>
    <m/>
    <m/>
    <n v="0"/>
    <m/>
    <m/>
    <n v="0"/>
    <m/>
    <m/>
    <m/>
    <m/>
    <m/>
    <m/>
    <n v="19115722"/>
    <n v="19115722"/>
  </r>
  <r>
    <x v="10"/>
    <x v="26"/>
    <s v="Need-based"/>
    <m/>
    <m/>
    <x v="12"/>
    <m/>
    <m/>
    <m/>
    <m/>
    <m/>
    <m/>
    <m/>
    <m/>
    <n v="0"/>
    <m/>
    <m/>
    <n v="0"/>
    <n v="0"/>
    <n v="0"/>
    <m/>
    <m/>
    <m/>
    <m/>
    <n v="0"/>
    <m/>
    <m/>
    <n v="0"/>
    <m/>
    <m/>
    <m/>
    <m/>
    <m/>
    <m/>
    <n v="0"/>
    <n v="0"/>
  </r>
  <r>
    <x v="10"/>
    <x v="27"/>
    <s v="Non need-based"/>
    <m/>
    <m/>
    <x v="12"/>
    <m/>
    <m/>
    <m/>
    <m/>
    <m/>
    <m/>
    <m/>
    <m/>
    <n v="0"/>
    <m/>
    <m/>
    <n v="0"/>
    <n v="0"/>
    <n v="0"/>
    <m/>
    <m/>
    <m/>
    <m/>
    <n v="0"/>
    <m/>
    <m/>
    <n v="0"/>
    <m/>
    <m/>
    <m/>
    <m/>
    <m/>
    <m/>
    <n v="0"/>
    <n v="0"/>
  </r>
  <r>
    <x v="10"/>
    <x v="28"/>
    <s v="Amount to public sector students"/>
    <m/>
    <m/>
    <x v="12"/>
    <m/>
    <m/>
    <m/>
    <m/>
    <m/>
    <m/>
    <m/>
    <m/>
    <n v="0"/>
    <m/>
    <m/>
    <n v="0"/>
    <n v="0"/>
    <n v="0"/>
    <m/>
    <m/>
    <m/>
    <m/>
    <n v="0"/>
    <m/>
    <m/>
    <n v="0"/>
    <m/>
    <m/>
    <m/>
    <m/>
    <m/>
    <m/>
    <n v="0"/>
    <n v="0"/>
  </r>
  <r>
    <x v="10"/>
    <x v="29"/>
    <s v="Need-based"/>
    <m/>
    <m/>
    <x v="12"/>
    <m/>
    <m/>
    <m/>
    <m/>
    <m/>
    <m/>
    <m/>
    <m/>
    <n v="0"/>
    <m/>
    <m/>
    <n v="0"/>
    <n v="0"/>
    <n v="0"/>
    <m/>
    <m/>
    <m/>
    <m/>
    <n v="0"/>
    <m/>
    <m/>
    <n v="0"/>
    <m/>
    <m/>
    <m/>
    <m/>
    <m/>
    <m/>
    <n v="0"/>
    <n v="0"/>
  </r>
  <r>
    <x v="10"/>
    <x v="27"/>
    <s v="Non need-based"/>
    <m/>
    <m/>
    <x v="12"/>
    <m/>
    <m/>
    <m/>
    <m/>
    <m/>
    <m/>
    <m/>
    <m/>
    <n v="0"/>
    <m/>
    <m/>
    <n v="0"/>
    <n v="0"/>
    <n v="0"/>
    <m/>
    <m/>
    <m/>
    <m/>
    <n v="0"/>
    <m/>
    <m/>
    <n v="0"/>
    <m/>
    <m/>
    <m/>
    <m/>
    <m/>
    <m/>
    <n v="0"/>
    <n v="0"/>
  </r>
  <r>
    <x v="10"/>
    <x v="31"/>
    <s v="Amount to private sector students"/>
    <m/>
    <m/>
    <x v="12"/>
    <m/>
    <m/>
    <m/>
    <m/>
    <m/>
    <m/>
    <m/>
    <m/>
    <n v="0"/>
    <m/>
    <m/>
    <n v="0"/>
    <n v="0"/>
    <n v="0"/>
    <m/>
    <m/>
    <m/>
    <m/>
    <n v="0"/>
    <m/>
    <m/>
    <n v="0"/>
    <m/>
    <m/>
    <m/>
    <m/>
    <m/>
    <m/>
    <n v="0"/>
    <n v="0"/>
  </r>
  <r>
    <x v="10"/>
    <x v="32"/>
    <s v="Need-based"/>
    <m/>
    <m/>
    <x v="12"/>
    <m/>
    <m/>
    <m/>
    <m/>
    <m/>
    <m/>
    <m/>
    <m/>
    <n v="0"/>
    <m/>
    <m/>
    <n v="0"/>
    <n v="0"/>
    <n v="0"/>
    <m/>
    <m/>
    <m/>
    <m/>
    <n v="0"/>
    <m/>
    <m/>
    <n v="0"/>
    <m/>
    <m/>
    <m/>
    <m/>
    <m/>
    <m/>
    <n v="0"/>
    <n v="0"/>
  </r>
  <r>
    <x v="10"/>
    <x v="27"/>
    <s v="Non need-based"/>
    <m/>
    <m/>
    <x v="12"/>
    <m/>
    <m/>
    <m/>
    <m/>
    <m/>
    <m/>
    <m/>
    <m/>
    <n v="0"/>
    <m/>
    <m/>
    <n v="0"/>
    <n v="0"/>
    <n v="0"/>
    <m/>
    <m/>
    <m/>
    <m/>
    <n v="0"/>
    <m/>
    <m/>
    <n v="0"/>
    <m/>
    <m/>
    <m/>
    <m/>
    <m/>
    <m/>
    <n v="0"/>
    <n v="0"/>
  </r>
  <r>
    <x v="10"/>
    <x v="34"/>
    <s v="Limited to public college students only"/>
    <m/>
    <m/>
    <x v="12"/>
    <m/>
    <m/>
    <m/>
    <m/>
    <m/>
    <m/>
    <m/>
    <m/>
    <n v="0"/>
    <m/>
    <m/>
    <n v="0"/>
    <n v="0"/>
    <n v="0"/>
    <m/>
    <m/>
    <m/>
    <m/>
    <n v="0"/>
    <m/>
    <m/>
    <n v="0"/>
    <m/>
    <m/>
    <m/>
    <m/>
    <m/>
    <m/>
    <n v="0"/>
    <n v="0"/>
  </r>
  <r>
    <x v="10"/>
    <x v="35"/>
    <s v="Need-based"/>
    <m/>
    <m/>
    <x v="12"/>
    <m/>
    <m/>
    <m/>
    <m/>
    <m/>
    <m/>
    <m/>
    <m/>
    <n v="0"/>
    <m/>
    <m/>
    <n v="0"/>
    <n v="0"/>
    <n v="0"/>
    <m/>
    <m/>
    <m/>
    <m/>
    <n v="0"/>
    <m/>
    <m/>
    <n v="0"/>
    <m/>
    <m/>
    <m/>
    <m/>
    <m/>
    <m/>
    <n v="0"/>
    <n v="0"/>
  </r>
  <r>
    <x v="10"/>
    <x v="36"/>
    <s v="Non need-based"/>
    <m/>
    <m/>
    <x v="12"/>
    <m/>
    <m/>
    <m/>
    <m/>
    <m/>
    <m/>
    <m/>
    <m/>
    <n v="0"/>
    <m/>
    <m/>
    <n v="0"/>
    <n v="0"/>
    <n v="0"/>
    <m/>
    <m/>
    <m/>
    <m/>
    <n v="0"/>
    <m/>
    <m/>
    <n v="0"/>
    <m/>
    <m/>
    <m/>
    <m/>
    <m/>
    <m/>
    <n v="0"/>
    <n v="0"/>
  </r>
  <r>
    <x v="10"/>
    <x v="37"/>
    <s v="Limited to private college students only"/>
    <m/>
    <m/>
    <x v="12"/>
    <m/>
    <m/>
    <m/>
    <m/>
    <m/>
    <m/>
    <m/>
    <m/>
    <n v="0"/>
    <m/>
    <m/>
    <n v="0"/>
    <n v="0"/>
    <n v="0"/>
    <m/>
    <m/>
    <m/>
    <m/>
    <n v="0"/>
    <m/>
    <m/>
    <n v="0"/>
    <m/>
    <m/>
    <m/>
    <m/>
    <m/>
    <m/>
    <n v="0"/>
    <n v="0"/>
  </r>
  <r>
    <x v="10"/>
    <x v="37"/>
    <s v="OTEG"/>
    <m/>
    <m/>
    <x v="12"/>
    <m/>
    <m/>
    <m/>
    <m/>
    <m/>
    <m/>
    <m/>
    <m/>
    <n v="0"/>
    <m/>
    <m/>
    <n v="0"/>
    <n v="0"/>
    <n v="0"/>
    <n v="3406848"/>
    <n v="3406848"/>
    <m/>
    <m/>
    <n v="0"/>
    <m/>
    <m/>
    <n v="0"/>
    <m/>
    <m/>
    <m/>
    <m/>
    <m/>
    <m/>
    <n v="3406848"/>
    <n v="3406848"/>
  </r>
  <r>
    <x v="10"/>
    <x v="38"/>
    <s v="Need-based"/>
    <m/>
    <m/>
    <x v="12"/>
    <m/>
    <m/>
    <m/>
    <m/>
    <m/>
    <m/>
    <m/>
    <m/>
    <n v="0"/>
    <m/>
    <m/>
    <n v="0"/>
    <n v="0"/>
    <n v="0"/>
    <m/>
    <m/>
    <m/>
    <m/>
    <n v="0"/>
    <m/>
    <m/>
    <n v="0"/>
    <m/>
    <m/>
    <m/>
    <m/>
    <m/>
    <m/>
    <n v="0"/>
    <n v="0"/>
  </r>
  <r>
    <x v="10"/>
    <x v="39"/>
    <s v="Non need-based"/>
    <m/>
    <m/>
    <x v="12"/>
    <m/>
    <m/>
    <m/>
    <m/>
    <m/>
    <m/>
    <m/>
    <m/>
    <n v="0"/>
    <m/>
    <m/>
    <n v="0"/>
    <n v="0"/>
    <n v="0"/>
    <m/>
    <m/>
    <m/>
    <m/>
    <n v="0"/>
    <m/>
    <m/>
    <n v="0"/>
    <m/>
    <m/>
    <m/>
    <m/>
    <m/>
    <m/>
    <n v="0"/>
    <n v="0"/>
  </r>
  <r>
    <x v="10"/>
    <x v="0"/>
    <s v="Canadian Valley Technology Center                 "/>
    <m/>
    <n v="365374"/>
    <x v="9"/>
    <n v="4347856"/>
    <n v="4182479"/>
    <m/>
    <m/>
    <m/>
    <m/>
    <n v="991436"/>
    <m/>
    <n v="991436"/>
    <n v="1183233"/>
    <m/>
    <n v="1183233"/>
    <n v="5339292"/>
    <n v="5365712"/>
    <m/>
    <m/>
    <m/>
    <m/>
    <n v="0"/>
    <m/>
    <m/>
    <n v="0"/>
    <m/>
    <m/>
    <m/>
    <m/>
    <m/>
    <m/>
    <n v="5339292"/>
    <n v="5365712"/>
  </r>
  <r>
    <x v="10"/>
    <x v="0"/>
    <s v="Francis Tuttle Technology Center                  "/>
    <m/>
    <n v="245999"/>
    <x v="9"/>
    <n v="4428261"/>
    <n v="4302613"/>
    <m/>
    <m/>
    <m/>
    <m/>
    <n v="2455235"/>
    <m/>
    <n v="2455235"/>
    <n v="2878399"/>
    <m/>
    <n v="2878399"/>
    <n v="6883496"/>
    <n v="7181012"/>
    <m/>
    <m/>
    <m/>
    <m/>
    <n v="0"/>
    <m/>
    <m/>
    <n v="0"/>
    <m/>
    <m/>
    <m/>
    <m/>
    <m/>
    <m/>
    <n v="6883496"/>
    <n v="7181012"/>
  </r>
  <r>
    <x v="10"/>
    <x v="0"/>
    <s v="Metro Technology Centers                          "/>
    <m/>
    <n v="363165"/>
    <x v="9"/>
    <n v="5154631"/>
    <n v="5134918"/>
    <m/>
    <m/>
    <m/>
    <m/>
    <n v="1741551"/>
    <m/>
    <n v="1741551"/>
    <n v="2521476"/>
    <m/>
    <n v="2521476"/>
    <n v="6896182"/>
    <n v="7656394"/>
    <m/>
    <m/>
    <m/>
    <m/>
    <n v="0"/>
    <m/>
    <m/>
    <n v="0"/>
    <m/>
    <m/>
    <m/>
    <m/>
    <m/>
    <m/>
    <n v="6896182"/>
    <n v="7656394"/>
  </r>
  <r>
    <x v="10"/>
    <x v="0"/>
    <s v="Autry Technology Center                           "/>
    <m/>
    <n v="365213"/>
    <x v="10"/>
    <n v="3832632"/>
    <n v="3762040"/>
    <m/>
    <m/>
    <m/>
    <m/>
    <n v="953042"/>
    <m/>
    <n v="953042"/>
    <n v="1048869"/>
    <m/>
    <n v="1048869"/>
    <n v="4785674"/>
    <n v="4810909"/>
    <m/>
    <m/>
    <m/>
    <m/>
    <n v="0"/>
    <m/>
    <m/>
    <n v="0"/>
    <m/>
    <m/>
    <m/>
    <m/>
    <m/>
    <m/>
    <n v="4785674"/>
    <n v="4810909"/>
  </r>
  <r>
    <x v="10"/>
    <x v="0"/>
    <s v="Caddo Kiowa Technology Center                     "/>
    <m/>
    <n v="364946"/>
    <x v="10"/>
    <n v="4674634"/>
    <n v="4908602"/>
    <m/>
    <m/>
    <m/>
    <m/>
    <n v="850892"/>
    <m/>
    <n v="850892"/>
    <n v="1009590"/>
    <m/>
    <n v="1009590"/>
    <n v="5525526"/>
    <n v="5918192"/>
    <m/>
    <m/>
    <m/>
    <m/>
    <n v="0"/>
    <m/>
    <m/>
    <n v="0"/>
    <m/>
    <m/>
    <m/>
    <m/>
    <m/>
    <m/>
    <n v="5525526"/>
    <n v="5918192"/>
  </r>
  <r>
    <x v="10"/>
    <x v="0"/>
    <s v="Central Technology Center                         "/>
    <m/>
    <n v="246017"/>
    <x v="10"/>
    <n v="5797180"/>
    <n v="5664209"/>
    <m/>
    <m/>
    <m/>
    <m/>
    <n v="1659202"/>
    <m/>
    <n v="1659202"/>
    <n v="1959256"/>
    <m/>
    <n v="1959256"/>
    <n v="7456382"/>
    <n v="7623465"/>
    <m/>
    <m/>
    <m/>
    <m/>
    <n v="0"/>
    <m/>
    <m/>
    <n v="0"/>
    <m/>
    <m/>
    <m/>
    <m/>
    <m/>
    <m/>
    <n v="7456382"/>
    <n v="7623465"/>
  </r>
  <r>
    <x v="10"/>
    <x v="0"/>
    <s v="Chisholm Trail Technology Center                  "/>
    <m/>
    <n v="375656"/>
    <x v="10"/>
    <n v="1357976"/>
    <n v="1281095"/>
    <m/>
    <m/>
    <m/>
    <m/>
    <n v="298073"/>
    <m/>
    <n v="298073"/>
    <n v="183119"/>
    <m/>
    <n v="183119"/>
    <n v="1656049"/>
    <n v="1464214"/>
    <m/>
    <m/>
    <m/>
    <m/>
    <n v="0"/>
    <m/>
    <m/>
    <n v="0"/>
    <m/>
    <m/>
    <m/>
    <m/>
    <m/>
    <m/>
    <n v="1656049"/>
    <n v="1464214"/>
  </r>
  <r>
    <x v="10"/>
    <x v="0"/>
    <s v="Eastern Oklahoma County Technology Center         "/>
    <m/>
    <n v="418348"/>
    <x v="10"/>
    <n v="1972465"/>
    <n v="2180416"/>
    <m/>
    <m/>
    <m/>
    <m/>
    <n v="314467"/>
    <m/>
    <n v="314467"/>
    <n v="260826"/>
    <m/>
    <n v="260826"/>
    <n v="2286932"/>
    <n v="2441242"/>
    <m/>
    <m/>
    <m/>
    <m/>
    <n v="0"/>
    <m/>
    <m/>
    <n v="0"/>
    <m/>
    <m/>
    <m/>
    <m/>
    <m/>
    <m/>
    <n v="2286932"/>
    <n v="2441242"/>
  </r>
  <r>
    <x v="10"/>
    <x v="0"/>
    <s v="Gordon Cooper Technology Center                   "/>
    <m/>
    <n v="375683"/>
    <x v="10"/>
    <n v="3792370"/>
    <n v="3657540"/>
    <m/>
    <m/>
    <m/>
    <m/>
    <n v="620230"/>
    <m/>
    <n v="620230"/>
    <n v="686478"/>
    <m/>
    <n v="686478"/>
    <n v="4412600"/>
    <n v="4344018"/>
    <m/>
    <m/>
    <m/>
    <m/>
    <n v="0"/>
    <m/>
    <m/>
    <n v="0"/>
    <m/>
    <m/>
    <m/>
    <m/>
    <m/>
    <m/>
    <n v="4412600"/>
    <n v="4344018"/>
  </r>
  <r>
    <x v="10"/>
    <x v="0"/>
    <s v="Great Plains Technology Center                    "/>
    <m/>
    <n v="364548"/>
    <x v="10"/>
    <n v="6475133"/>
    <n v="6457915"/>
    <m/>
    <m/>
    <m/>
    <m/>
    <n v="1753061"/>
    <m/>
    <n v="1753061"/>
    <n v="1787444"/>
    <m/>
    <n v="1787444"/>
    <n v="8228194"/>
    <n v="8245359"/>
    <m/>
    <m/>
    <m/>
    <m/>
    <n v="0"/>
    <m/>
    <m/>
    <n v="0"/>
    <m/>
    <m/>
    <m/>
    <m/>
    <m/>
    <m/>
    <n v="8228194"/>
    <n v="8245359"/>
  </r>
  <r>
    <x v="10"/>
    <x v="0"/>
    <s v="Green Country Technology Center                   "/>
    <m/>
    <n v="428019"/>
    <x v="10"/>
    <n v="1560110"/>
    <n v="1564824"/>
    <m/>
    <m/>
    <m/>
    <m/>
    <n v="310640"/>
    <m/>
    <n v="310640"/>
    <n v="396594"/>
    <m/>
    <n v="396594"/>
    <n v="1870750"/>
    <n v="1961418"/>
    <m/>
    <m/>
    <m/>
    <m/>
    <n v="0"/>
    <m/>
    <m/>
    <n v="0"/>
    <m/>
    <m/>
    <m/>
    <m/>
    <m/>
    <m/>
    <n v="1870750"/>
    <n v="1961418"/>
  </r>
  <r>
    <x v="10"/>
    <x v="0"/>
    <s v="High Plains Technology Center                     "/>
    <m/>
    <n v="208053"/>
    <x v="10"/>
    <n v="1900769"/>
    <n v="2201633"/>
    <m/>
    <m/>
    <m/>
    <m/>
    <n v="298208"/>
    <m/>
    <n v="298208"/>
    <n v="304061"/>
    <m/>
    <n v="304061"/>
    <n v="2198977"/>
    <n v="2505694"/>
    <m/>
    <m/>
    <m/>
    <m/>
    <n v="0"/>
    <m/>
    <m/>
    <n v="0"/>
    <m/>
    <m/>
    <m/>
    <m/>
    <m/>
    <m/>
    <n v="2198977"/>
    <n v="2505694"/>
  </r>
  <r>
    <x v="10"/>
    <x v="0"/>
    <s v="Indian Capital Technology Center-Muskogee         "/>
    <m/>
    <n v="418296"/>
    <x v="10"/>
    <m/>
    <m/>
    <m/>
    <m/>
    <m/>
    <m/>
    <m/>
    <m/>
    <n v="0"/>
    <m/>
    <m/>
    <n v="0"/>
    <n v="0"/>
    <n v="0"/>
    <m/>
    <m/>
    <m/>
    <m/>
    <n v="0"/>
    <m/>
    <m/>
    <n v="0"/>
    <m/>
    <m/>
    <m/>
    <m/>
    <m/>
    <m/>
    <n v="0"/>
    <n v="0"/>
  </r>
  <r>
    <x v="10"/>
    <x v="0"/>
    <s v="Indian Capital Technology Center-Sallisaw         "/>
    <m/>
    <n v="421540"/>
    <x v="10"/>
    <m/>
    <m/>
    <m/>
    <m/>
    <m/>
    <m/>
    <m/>
    <m/>
    <n v="0"/>
    <m/>
    <m/>
    <n v="0"/>
    <n v="0"/>
    <n v="0"/>
    <m/>
    <m/>
    <m/>
    <m/>
    <n v="0"/>
    <m/>
    <m/>
    <n v="0"/>
    <m/>
    <m/>
    <m/>
    <m/>
    <m/>
    <m/>
    <n v="0"/>
    <n v="0"/>
  </r>
  <r>
    <x v="10"/>
    <x v="0"/>
    <s v="Indian Capital Technology Center-Stilwell         "/>
    <m/>
    <n v="421559"/>
    <x v="10"/>
    <m/>
    <m/>
    <m/>
    <m/>
    <m/>
    <m/>
    <m/>
    <m/>
    <n v="0"/>
    <m/>
    <m/>
    <n v="0"/>
    <n v="0"/>
    <n v="0"/>
    <m/>
    <m/>
    <m/>
    <m/>
    <n v="0"/>
    <m/>
    <m/>
    <n v="0"/>
    <m/>
    <m/>
    <m/>
    <m/>
    <m/>
    <m/>
    <n v="0"/>
    <n v="0"/>
  </r>
  <r>
    <x v="10"/>
    <x v="0"/>
    <s v="Indian Capital Technology Center-Tahlequah        "/>
    <m/>
    <n v="208026"/>
    <x v="10"/>
    <m/>
    <m/>
    <m/>
    <m/>
    <m/>
    <m/>
    <m/>
    <m/>
    <n v="0"/>
    <m/>
    <m/>
    <n v="0"/>
    <n v="0"/>
    <n v="0"/>
    <m/>
    <m/>
    <m/>
    <m/>
    <n v="0"/>
    <m/>
    <m/>
    <n v="0"/>
    <m/>
    <m/>
    <m/>
    <m/>
    <m/>
    <m/>
    <n v="0"/>
    <n v="0"/>
  </r>
  <r>
    <x v="10"/>
    <x v="0"/>
    <s v="Kiamichi Technology Center-Atoka                  "/>
    <m/>
    <n v="375692"/>
    <x v="10"/>
    <m/>
    <m/>
    <m/>
    <m/>
    <m/>
    <m/>
    <m/>
    <m/>
    <n v="0"/>
    <m/>
    <m/>
    <n v="0"/>
    <n v="0"/>
    <n v="0"/>
    <m/>
    <m/>
    <m/>
    <m/>
    <n v="0"/>
    <m/>
    <m/>
    <n v="0"/>
    <m/>
    <m/>
    <m/>
    <m/>
    <m/>
    <m/>
    <n v="0"/>
    <n v="0"/>
  </r>
  <r>
    <x v="10"/>
    <x v="0"/>
    <s v="Kiamichi Technology Center-Durant                 "/>
    <m/>
    <n v="375708"/>
    <x v="10"/>
    <m/>
    <m/>
    <m/>
    <m/>
    <m/>
    <m/>
    <m/>
    <m/>
    <n v="0"/>
    <m/>
    <m/>
    <n v="0"/>
    <n v="0"/>
    <n v="0"/>
    <m/>
    <m/>
    <m/>
    <m/>
    <n v="0"/>
    <m/>
    <m/>
    <n v="0"/>
    <m/>
    <m/>
    <m/>
    <m/>
    <m/>
    <m/>
    <n v="0"/>
    <n v="0"/>
  </r>
  <r>
    <x v="10"/>
    <x v="0"/>
    <s v="Kiamichi Technology Center-Hugo                   "/>
    <m/>
    <n v="375717"/>
    <x v="10"/>
    <m/>
    <m/>
    <m/>
    <m/>
    <m/>
    <m/>
    <m/>
    <m/>
    <n v="0"/>
    <m/>
    <m/>
    <n v="0"/>
    <n v="0"/>
    <n v="0"/>
    <m/>
    <m/>
    <m/>
    <m/>
    <n v="0"/>
    <m/>
    <m/>
    <n v="0"/>
    <m/>
    <m/>
    <m/>
    <m/>
    <m/>
    <m/>
    <n v="0"/>
    <n v="0"/>
  </r>
  <r>
    <x v="10"/>
    <x v="0"/>
    <s v="Kiamichi Technology Center-Idabel                 "/>
    <m/>
    <n v="375735"/>
    <x v="10"/>
    <m/>
    <m/>
    <m/>
    <m/>
    <m/>
    <m/>
    <m/>
    <m/>
    <n v="0"/>
    <m/>
    <m/>
    <n v="0"/>
    <n v="0"/>
    <n v="0"/>
    <m/>
    <m/>
    <m/>
    <m/>
    <n v="0"/>
    <m/>
    <m/>
    <n v="0"/>
    <m/>
    <m/>
    <m/>
    <m/>
    <m/>
    <m/>
    <n v="0"/>
    <n v="0"/>
  </r>
  <r>
    <x v="10"/>
    <x v="0"/>
    <s v="Kiamichi Technology Center-McAlester              "/>
    <m/>
    <n v="375726"/>
    <x v="10"/>
    <m/>
    <m/>
    <m/>
    <m/>
    <m/>
    <m/>
    <m/>
    <m/>
    <n v="0"/>
    <m/>
    <m/>
    <n v="0"/>
    <n v="0"/>
    <n v="0"/>
    <m/>
    <m/>
    <m/>
    <m/>
    <n v="0"/>
    <m/>
    <m/>
    <n v="0"/>
    <m/>
    <m/>
    <m/>
    <m/>
    <m/>
    <m/>
    <n v="0"/>
    <n v="0"/>
  </r>
  <r>
    <x v="10"/>
    <x v="0"/>
    <s v="Kiamichi Technology Center-Poteau                 "/>
    <m/>
    <n v="375744"/>
    <x v="10"/>
    <m/>
    <m/>
    <m/>
    <m/>
    <m/>
    <m/>
    <m/>
    <m/>
    <n v="0"/>
    <m/>
    <m/>
    <n v="0"/>
    <n v="0"/>
    <n v="0"/>
    <m/>
    <m/>
    <m/>
    <m/>
    <n v="0"/>
    <m/>
    <m/>
    <n v="0"/>
    <m/>
    <m/>
    <m/>
    <m/>
    <m/>
    <m/>
    <n v="0"/>
    <n v="0"/>
  </r>
  <r>
    <x v="10"/>
    <x v="0"/>
    <s v="Kiamichi Technology Center-Spiro                  "/>
    <m/>
    <n v="375753"/>
    <x v="10"/>
    <m/>
    <m/>
    <m/>
    <m/>
    <m/>
    <m/>
    <m/>
    <m/>
    <n v="0"/>
    <m/>
    <m/>
    <n v="0"/>
    <n v="0"/>
    <n v="0"/>
    <m/>
    <m/>
    <m/>
    <m/>
    <n v="0"/>
    <m/>
    <m/>
    <n v="0"/>
    <m/>
    <m/>
    <m/>
    <m/>
    <m/>
    <m/>
    <n v="0"/>
    <n v="0"/>
  </r>
  <r>
    <x v="10"/>
    <x v="0"/>
    <s v="Kiamichi Technology Center-Stigler                "/>
    <m/>
    <n v="405748"/>
    <x v="10"/>
    <m/>
    <m/>
    <m/>
    <m/>
    <m/>
    <m/>
    <m/>
    <m/>
    <n v="0"/>
    <m/>
    <m/>
    <n v="0"/>
    <n v="0"/>
    <n v="0"/>
    <m/>
    <m/>
    <m/>
    <m/>
    <n v="0"/>
    <m/>
    <m/>
    <n v="0"/>
    <m/>
    <m/>
    <m/>
    <m/>
    <m/>
    <m/>
    <n v="0"/>
    <n v="0"/>
  </r>
  <r>
    <x v="10"/>
    <x v="0"/>
    <s v="Kiamichi Technology Center-Talihina               "/>
    <m/>
    <n v="375762"/>
    <x v="10"/>
    <m/>
    <m/>
    <m/>
    <m/>
    <m/>
    <m/>
    <m/>
    <m/>
    <n v="0"/>
    <m/>
    <m/>
    <n v="0"/>
    <n v="0"/>
    <n v="0"/>
    <m/>
    <m/>
    <m/>
    <m/>
    <n v="0"/>
    <m/>
    <m/>
    <n v="0"/>
    <m/>
    <m/>
    <m/>
    <m/>
    <m/>
    <m/>
    <n v="0"/>
    <n v="0"/>
  </r>
  <r>
    <x v="10"/>
    <x v="0"/>
    <s v="Meridian Technology Center                        "/>
    <m/>
    <n v="365480"/>
    <x v="10"/>
    <n v="3411804"/>
    <n v="3673119"/>
    <m/>
    <m/>
    <m/>
    <m/>
    <n v="834215"/>
    <m/>
    <n v="834215"/>
    <n v="886649"/>
    <m/>
    <n v="886649"/>
    <n v="4246019"/>
    <n v="4559768"/>
    <m/>
    <m/>
    <m/>
    <m/>
    <n v="0"/>
    <m/>
    <m/>
    <n v="0"/>
    <m/>
    <m/>
    <m/>
    <m/>
    <m/>
    <m/>
    <n v="4246019"/>
    <n v="4559768"/>
  </r>
  <r>
    <x v="10"/>
    <x v="0"/>
    <s v="Mid-America Technology Center                     "/>
    <m/>
    <n v="418320"/>
    <x v="10"/>
    <n v="2743533"/>
    <n v="2800490"/>
    <m/>
    <m/>
    <m/>
    <m/>
    <n v="555120"/>
    <m/>
    <n v="555120"/>
    <n v="534847"/>
    <m/>
    <n v="534847"/>
    <n v="3298653"/>
    <n v="3335337"/>
    <m/>
    <m/>
    <m/>
    <m/>
    <n v="0"/>
    <m/>
    <m/>
    <n v="0"/>
    <m/>
    <m/>
    <m/>
    <m/>
    <m/>
    <m/>
    <n v="3298653"/>
    <n v="3335337"/>
  </r>
  <r>
    <x v="10"/>
    <x v="0"/>
    <s v="Mid-Del Technology Center                         "/>
    <m/>
    <n v="431017"/>
    <x v="10"/>
    <n v="1995116"/>
    <n v="1865713"/>
    <m/>
    <m/>
    <m/>
    <m/>
    <n v="68211"/>
    <m/>
    <n v="68211"/>
    <n v="186350"/>
    <m/>
    <n v="186350"/>
    <n v="2063327"/>
    <n v="2052063"/>
    <m/>
    <m/>
    <m/>
    <m/>
    <n v="0"/>
    <m/>
    <m/>
    <n v="0"/>
    <m/>
    <m/>
    <m/>
    <m/>
    <m/>
    <m/>
    <n v="2063327"/>
    <n v="2052063"/>
  </r>
  <r>
    <x v="10"/>
    <x v="0"/>
    <s v="Moore Norman Technology Center                    "/>
    <m/>
    <n v="248606"/>
    <x v="10"/>
    <n v="3458751"/>
    <n v="3300677"/>
    <m/>
    <m/>
    <m/>
    <m/>
    <n v="1729409"/>
    <m/>
    <n v="1729409"/>
    <n v="2150349"/>
    <m/>
    <n v="2150349"/>
    <n v="5188160"/>
    <n v="5451026"/>
    <m/>
    <m/>
    <m/>
    <m/>
    <n v="0"/>
    <m/>
    <m/>
    <n v="0"/>
    <m/>
    <m/>
    <m/>
    <m/>
    <m/>
    <m/>
    <n v="5188160"/>
    <n v="5451026"/>
  </r>
  <r>
    <x v="10"/>
    <x v="0"/>
    <s v="Northeast Technology Center-Afton                 "/>
    <m/>
    <n v="420459"/>
    <x v="10"/>
    <m/>
    <m/>
    <m/>
    <m/>
    <m/>
    <m/>
    <m/>
    <m/>
    <n v="0"/>
    <m/>
    <m/>
    <n v="0"/>
    <n v="0"/>
    <n v="0"/>
    <m/>
    <m/>
    <m/>
    <m/>
    <n v="0"/>
    <m/>
    <m/>
    <n v="0"/>
    <m/>
    <m/>
    <m/>
    <m/>
    <m/>
    <m/>
    <n v="0"/>
    <n v="0"/>
  </r>
  <r>
    <x v="10"/>
    <x v="0"/>
    <s v="Northeast Technology Center-Claremore"/>
    <m/>
    <n v="456560"/>
    <x v="10"/>
    <m/>
    <m/>
    <m/>
    <m/>
    <m/>
    <m/>
    <m/>
    <m/>
    <n v="0"/>
    <m/>
    <m/>
    <n v="0"/>
    <n v="0"/>
    <n v="0"/>
    <m/>
    <m/>
    <m/>
    <m/>
    <n v="0"/>
    <m/>
    <m/>
    <n v="0"/>
    <m/>
    <m/>
    <m/>
    <m/>
    <m/>
    <m/>
    <n v="0"/>
    <n v="0"/>
  </r>
  <r>
    <x v="10"/>
    <x v="0"/>
    <s v="Northeast Technology Center-Kansas                "/>
    <m/>
    <n v="432074"/>
    <x v="10"/>
    <m/>
    <m/>
    <m/>
    <m/>
    <m/>
    <m/>
    <m/>
    <m/>
    <n v="0"/>
    <m/>
    <m/>
    <n v="0"/>
    <n v="0"/>
    <n v="0"/>
    <m/>
    <m/>
    <m/>
    <m/>
    <n v="0"/>
    <m/>
    <m/>
    <n v="0"/>
    <m/>
    <m/>
    <m/>
    <m/>
    <m/>
    <m/>
    <n v="0"/>
    <n v="0"/>
  </r>
  <r>
    <x v="10"/>
    <x v="0"/>
    <s v="Northeast Technology Center-Pryor                 "/>
    <m/>
    <n v="418339"/>
    <x v="10"/>
    <m/>
    <m/>
    <m/>
    <m/>
    <m/>
    <m/>
    <m/>
    <m/>
    <n v="0"/>
    <m/>
    <m/>
    <n v="0"/>
    <n v="0"/>
    <n v="0"/>
    <m/>
    <m/>
    <m/>
    <m/>
    <n v="0"/>
    <m/>
    <m/>
    <n v="0"/>
    <m/>
    <m/>
    <m/>
    <m/>
    <m/>
    <m/>
    <n v="0"/>
    <n v="0"/>
  </r>
  <r>
    <x v="10"/>
    <x v="0"/>
    <s v="Northwest Technology Center-Alva                  "/>
    <m/>
    <n v="366623"/>
    <x v="10"/>
    <m/>
    <m/>
    <m/>
    <m/>
    <m/>
    <m/>
    <m/>
    <m/>
    <n v="0"/>
    <m/>
    <m/>
    <n v="0"/>
    <n v="0"/>
    <n v="0"/>
    <m/>
    <m/>
    <m/>
    <m/>
    <n v="0"/>
    <m/>
    <m/>
    <n v="0"/>
    <m/>
    <m/>
    <m/>
    <m/>
    <m/>
    <m/>
    <n v="0"/>
    <n v="0"/>
  </r>
  <r>
    <x v="10"/>
    <x v="0"/>
    <s v="Northwest Technology Center-Fairview              "/>
    <m/>
    <n v="407601"/>
    <x v="10"/>
    <m/>
    <m/>
    <m/>
    <m/>
    <m/>
    <m/>
    <m/>
    <m/>
    <n v="0"/>
    <m/>
    <m/>
    <n v="0"/>
    <n v="0"/>
    <n v="0"/>
    <m/>
    <m/>
    <m/>
    <m/>
    <n v="0"/>
    <m/>
    <m/>
    <n v="0"/>
    <m/>
    <m/>
    <m/>
    <m/>
    <m/>
    <m/>
    <n v="0"/>
    <n v="0"/>
  </r>
  <r>
    <x v="10"/>
    <x v="0"/>
    <s v="Pioneer Technology Center                         "/>
    <m/>
    <n v="364627"/>
    <x v="10"/>
    <n v="2459148"/>
    <n v="2355295"/>
    <m/>
    <m/>
    <m/>
    <m/>
    <n v="481702"/>
    <m/>
    <n v="481702"/>
    <n v="551325"/>
    <m/>
    <n v="551325"/>
    <n v="2940850"/>
    <n v="2906620"/>
    <m/>
    <m/>
    <m/>
    <m/>
    <n v="0"/>
    <m/>
    <m/>
    <n v="0"/>
    <m/>
    <m/>
    <m/>
    <m/>
    <m/>
    <m/>
    <n v="2940850"/>
    <n v="2906620"/>
  </r>
  <r>
    <x v="10"/>
    <x v="0"/>
    <s v="Pontotoc Technology Center                        "/>
    <m/>
    <n v="206905"/>
    <x v="10"/>
    <n v="1543151"/>
    <n v="1733830"/>
    <m/>
    <m/>
    <m/>
    <m/>
    <n v="446263"/>
    <m/>
    <n v="446263"/>
    <n v="404439"/>
    <m/>
    <n v="404439"/>
    <n v="1989414"/>
    <n v="2138269"/>
    <m/>
    <m/>
    <m/>
    <m/>
    <n v="0"/>
    <m/>
    <m/>
    <n v="0"/>
    <m/>
    <m/>
    <m/>
    <m/>
    <m/>
    <m/>
    <n v="1989414"/>
    <n v="2138269"/>
  </r>
  <r>
    <x v="10"/>
    <x v="0"/>
    <s v="Red River Technology Center                       "/>
    <m/>
    <n v="250993"/>
    <x v="10"/>
    <n v="2217083"/>
    <n v="2190500"/>
    <m/>
    <m/>
    <m/>
    <m/>
    <n v="288296"/>
    <m/>
    <n v="288296"/>
    <n v="304837"/>
    <m/>
    <n v="304837"/>
    <n v="2505379"/>
    <n v="2495337"/>
    <m/>
    <m/>
    <m/>
    <m/>
    <n v="0"/>
    <m/>
    <m/>
    <n v="0"/>
    <m/>
    <m/>
    <m/>
    <m/>
    <m/>
    <m/>
    <n v="2505379"/>
    <n v="2495337"/>
  </r>
  <r>
    <x v="10"/>
    <x v="0"/>
    <s v="Southern Oklahoma Technology Center               "/>
    <m/>
    <n v="365198"/>
    <x v="10"/>
    <n v="2074397"/>
    <n v="2191600"/>
    <m/>
    <m/>
    <m/>
    <m/>
    <n v="438319"/>
    <m/>
    <n v="438319"/>
    <n v="422455"/>
    <m/>
    <n v="422455"/>
    <n v="2512716"/>
    <n v="2614055"/>
    <m/>
    <m/>
    <m/>
    <m/>
    <n v="0"/>
    <m/>
    <m/>
    <n v="0"/>
    <m/>
    <m/>
    <m/>
    <m/>
    <m/>
    <m/>
    <n v="2512716"/>
    <n v="2614055"/>
  </r>
  <r>
    <x v="10"/>
    <x v="0"/>
    <s v="Southwest Technology Center                       "/>
    <m/>
    <n v="368364"/>
    <x v="10"/>
    <n v="2239703"/>
    <n v="2380063"/>
    <m/>
    <m/>
    <m/>
    <m/>
    <n v="219024"/>
    <m/>
    <n v="219024"/>
    <n v="317166"/>
    <m/>
    <n v="317166"/>
    <n v="2458727"/>
    <n v="2697229"/>
    <m/>
    <m/>
    <m/>
    <m/>
    <n v="0"/>
    <m/>
    <m/>
    <n v="0"/>
    <m/>
    <m/>
    <m/>
    <m/>
    <m/>
    <m/>
    <n v="2458727"/>
    <n v="2697229"/>
  </r>
  <r>
    <x v="10"/>
    <x v="0"/>
    <s v="Tri County Technology Center                      "/>
    <m/>
    <n v="418287"/>
    <x v="10"/>
    <n v="2945357"/>
    <n v="2643461"/>
    <m/>
    <m/>
    <m/>
    <m/>
    <n v="745257"/>
    <m/>
    <n v="745257"/>
    <n v="524029"/>
    <m/>
    <n v="524029"/>
    <n v="3690614"/>
    <n v="3167490"/>
    <m/>
    <m/>
    <m/>
    <m/>
    <n v="0"/>
    <m/>
    <m/>
    <n v="0"/>
    <m/>
    <m/>
    <m/>
    <m/>
    <m/>
    <m/>
    <n v="3690614"/>
    <n v="3167490"/>
  </r>
  <r>
    <x v="10"/>
    <x v="0"/>
    <s v="Tulsa County Area Voc Tech School Dist 18-Peoria  "/>
    <m/>
    <n v="207607"/>
    <x v="10"/>
    <m/>
    <m/>
    <m/>
    <m/>
    <m/>
    <m/>
    <m/>
    <m/>
    <n v="0"/>
    <m/>
    <m/>
    <n v="0"/>
    <n v="0"/>
    <n v="0"/>
    <m/>
    <m/>
    <m/>
    <m/>
    <n v="0"/>
    <m/>
    <m/>
    <n v="0"/>
    <m/>
    <m/>
    <m/>
    <m/>
    <m/>
    <m/>
    <n v="0"/>
    <n v="0"/>
  </r>
  <r>
    <x v="10"/>
    <x v="0"/>
    <s v="Tulsa Technology Center-Broken Arrow Campus       "/>
    <m/>
    <n v="261393"/>
    <x v="10"/>
    <m/>
    <m/>
    <m/>
    <m/>
    <m/>
    <m/>
    <m/>
    <m/>
    <n v="0"/>
    <m/>
    <m/>
    <n v="0"/>
    <n v="0"/>
    <n v="0"/>
    <m/>
    <m/>
    <m/>
    <m/>
    <n v="0"/>
    <m/>
    <m/>
    <n v="0"/>
    <m/>
    <m/>
    <m/>
    <m/>
    <m/>
    <m/>
    <n v="0"/>
    <n v="0"/>
  </r>
  <r>
    <x v="10"/>
    <x v="0"/>
    <s v="Tulsa Technology Center-Lemley Campus             "/>
    <s v="Met the criteria for Technical Institute or College 1 in 2013-14 and 2014-15."/>
    <n v="261375"/>
    <x v="10"/>
    <m/>
    <m/>
    <m/>
    <m/>
    <m/>
    <m/>
    <m/>
    <m/>
    <n v="0"/>
    <m/>
    <m/>
    <n v="0"/>
    <n v="0"/>
    <n v="0"/>
    <m/>
    <m/>
    <m/>
    <m/>
    <n v="0"/>
    <m/>
    <m/>
    <n v="0"/>
    <m/>
    <m/>
    <m/>
    <m/>
    <m/>
    <m/>
    <n v="0"/>
    <n v="0"/>
  </r>
  <r>
    <x v="10"/>
    <x v="0"/>
    <s v="Tulsa Technology Center-Owasso - NEW"/>
    <m/>
    <n v="482264"/>
    <x v="10"/>
    <m/>
    <m/>
    <m/>
    <m/>
    <m/>
    <m/>
    <m/>
    <m/>
    <n v="0"/>
    <m/>
    <m/>
    <n v="0"/>
    <n v="0"/>
    <n v="0"/>
    <m/>
    <m/>
    <m/>
    <m/>
    <n v="0"/>
    <m/>
    <m/>
    <n v="0"/>
    <m/>
    <m/>
    <m/>
    <m/>
    <m/>
    <m/>
    <n v="0"/>
    <n v="0"/>
  </r>
  <r>
    <x v="10"/>
    <x v="0"/>
    <s v="Tulsa Technology Center-Riverside Campus          "/>
    <m/>
    <n v="261384"/>
    <x v="10"/>
    <m/>
    <m/>
    <m/>
    <m/>
    <m/>
    <m/>
    <m/>
    <m/>
    <n v="0"/>
    <m/>
    <m/>
    <n v="0"/>
    <n v="0"/>
    <n v="0"/>
    <m/>
    <m/>
    <m/>
    <m/>
    <n v="0"/>
    <m/>
    <m/>
    <n v="0"/>
    <m/>
    <m/>
    <m/>
    <m/>
    <m/>
    <m/>
    <n v="0"/>
    <n v="0"/>
  </r>
  <r>
    <x v="10"/>
    <x v="0"/>
    <s v="Tulsa Technology Center-Sand Springs - NEW"/>
    <m/>
    <n v="482273"/>
    <x v="10"/>
    <m/>
    <m/>
    <m/>
    <m/>
    <m/>
    <m/>
    <m/>
    <m/>
    <n v="0"/>
    <m/>
    <m/>
    <n v="0"/>
    <n v="0"/>
    <n v="0"/>
    <m/>
    <m/>
    <m/>
    <m/>
    <n v="0"/>
    <m/>
    <m/>
    <n v="0"/>
    <m/>
    <m/>
    <m/>
    <m/>
    <m/>
    <m/>
    <n v="0"/>
    <n v="0"/>
  </r>
  <r>
    <x v="10"/>
    <x v="0"/>
    <s v="Wes Watkins Technology Center                     "/>
    <m/>
    <n v="418357"/>
    <x v="10"/>
    <n v="2528012"/>
    <n v="2480109"/>
    <m/>
    <m/>
    <m/>
    <m/>
    <n v="94956"/>
    <m/>
    <n v="94956"/>
    <n v="168374"/>
    <m/>
    <n v="168374"/>
    <n v="2622968"/>
    <n v="2648483"/>
    <m/>
    <m/>
    <m/>
    <m/>
    <n v="0"/>
    <m/>
    <m/>
    <n v="0"/>
    <m/>
    <m/>
    <m/>
    <m/>
    <m/>
    <m/>
    <n v="2622968"/>
    <n v="2648483"/>
  </r>
  <r>
    <x v="10"/>
    <x v="0"/>
    <s v="Western Technology Center                         "/>
    <m/>
    <n v="418302"/>
    <x v="10"/>
    <n v="2421941"/>
    <n v="2788493"/>
    <m/>
    <m/>
    <m/>
    <m/>
    <n v="491475"/>
    <m/>
    <n v="491475"/>
    <n v="347331"/>
    <m/>
    <n v="347331"/>
    <n v="2913416"/>
    <n v="3135824"/>
    <m/>
    <m/>
    <m/>
    <m/>
    <n v="0"/>
    <m/>
    <m/>
    <n v="0"/>
    <m/>
    <m/>
    <m/>
    <m/>
    <m/>
    <m/>
    <n v="2913416"/>
    <n v="3135824"/>
  </r>
  <r>
    <x v="10"/>
    <x v="0"/>
    <s v="Indian Capital……..All Campuses"/>
    <m/>
    <m/>
    <x v="10"/>
    <n v="4264619"/>
    <n v="4440244"/>
    <m/>
    <m/>
    <m/>
    <m/>
    <n v="903803"/>
    <m/>
    <n v="903803"/>
    <n v="817253"/>
    <m/>
    <n v="817253"/>
    <n v="5168422"/>
    <n v="5257497"/>
    <m/>
    <m/>
    <m/>
    <m/>
    <n v="0"/>
    <m/>
    <m/>
    <n v="0"/>
    <m/>
    <m/>
    <m/>
    <m/>
    <m/>
    <m/>
    <n v="5168422"/>
    <n v="5257497"/>
  </r>
  <r>
    <x v="10"/>
    <x v="0"/>
    <s v="Kiamichi………All Campuses"/>
    <m/>
    <m/>
    <x v="10"/>
    <n v="8008580"/>
    <n v="7886961"/>
    <m/>
    <m/>
    <m/>
    <m/>
    <n v="1963465"/>
    <m/>
    <n v="1963465"/>
    <n v="1599300"/>
    <m/>
    <n v="1599300"/>
    <n v="9972045"/>
    <n v="9486261"/>
    <m/>
    <m/>
    <m/>
    <m/>
    <n v="0"/>
    <m/>
    <m/>
    <n v="0"/>
    <m/>
    <m/>
    <m/>
    <m/>
    <m/>
    <m/>
    <n v="9972045"/>
    <n v="9486261"/>
  </r>
  <r>
    <x v="10"/>
    <x v="0"/>
    <s v="Northeast………..All Campuses"/>
    <m/>
    <m/>
    <x v="10"/>
    <n v="2774005"/>
    <n v="2888987"/>
    <m/>
    <m/>
    <m/>
    <m/>
    <n v="734607"/>
    <m/>
    <n v="734607"/>
    <n v="804634"/>
    <m/>
    <n v="804634"/>
    <n v="3508612"/>
    <n v="3693621"/>
    <m/>
    <m/>
    <m/>
    <m/>
    <n v="0"/>
    <m/>
    <m/>
    <n v="0"/>
    <m/>
    <m/>
    <m/>
    <m/>
    <m/>
    <m/>
    <n v="3508612"/>
    <n v="3693621"/>
  </r>
  <r>
    <x v="10"/>
    <x v="0"/>
    <s v="Northwest………..All Campuses"/>
    <m/>
    <m/>
    <x v="10"/>
    <n v="1847089"/>
    <n v="1926688"/>
    <m/>
    <m/>
    <m/>
    <m/>
    <n v="287115"/>
    <m/>
    <n v="287115"/>
    <n v="389701"/>
    <m/>
    <n v="389701"/>
    <n v="2134204"/>
    <n v="2316389"/>
    <m/>
    <m/>
    <m/>
    <m/>
    <n v="0"/>
    <m/>
    <m/>
    <n v="0"/>
    <m/>
    <m/>
    <m/>
    <m/>
    <m/>
    <m/>
    <n v="2134204"/>
    <n v="2316389"/>
  </r>
  <r>
    <x v="10"/>
    <x v="0"/>
    <s v="Tulsa County Dist 18………..All Campuses"/>
    <m/>
    <m/>
    <x v="10"/>
    <n v="7216512"/>
    <n v="6968274"/>
    <m/>
    <m/>
    <m/>
    <m/>
    <n v="5412719"/>
    <m/>
    <n v="5412719"/>
    <n v="6092476"/>
    <m/>
    <n v="6092476"/>
    <n v="12629231"/>
    <n v="13060750"/>
    <m/>
    <m/>
    <m/>
    <m/>
    <n v="0"/>
    <m/>
    <m/>
    <n v="0"/>
    <m/>
    <m/>
    <m/>
    <m/>
    <m/>
    <m/>
    <n v="12629231"/>
    <n v="13060750"/>
  </r>
  <r>
    <x v="10"/>
    <x v="14"/>
    <s v="Statewide System Operations"/>
    <m/>
    <m/>
    <x v="12"/>
    <m/>
    <m/>
    <m/>
    <m/>
    <m/>
    <m/>
    <m/>
    <m/>
    <n v="0"/>
    <m/>
    <m/>
    <n v="0"/>
    <n v="0"/>
    <n v="0"/>
    <m/>
    <m/>
    <m/>
    <m/>
    <n v="0"/>
    <m/>
    <m/>
    <n v="0"/>
    <m/>
    <m/>
    <m/>
    <m/>
    <m/>
    <m/>
    <n v="0"/>
    <n v="0"/>
  </r>
  <r>
    <x v="10"/>
    <x v="16"/>
    <s v="Two-year system(s), if any"/>
    <m/>
    <m/>
    <x v="12"/>
    <m/>
    <m/>
    <m/>
    <m/>
    <m/>
    <m/>
    <m/>
    <m/>
    <n v="0"/>
    <m/>
    <m/>
    <n v="0"/>
    <n v="0"/>
    <n v="0"/>
    <m/>
    <m/>
    <m/>
    <m/>
    <n v="0"/>
    <m/>
    <m/>
    <n v="0"/>
    <m/>
    <m/>
    <m/>
    <m/>
    <m/>
    <m/>
    <n v="0"/>
    <n v="0"/>
  </r>
  <r>
    <x v="10"/>
    <x v="16"/>
    <s v="State Board "/>
    <m/>
    <m/>
    <x v="12"/>
    <m/>
    <m/>
    <m/>
    <m/>
    <m/>
    <m/>
    <m/>
    <m/>
    <n v="0"/>
    <m/>
    <m/>
    <n v="0"/>
    <n v="0"/>
    <n v="0"/>
    <m/>
    <m/>
    <m/>
    <m/>
    <n v="0"/>
    <m/>
    <m/>
    <n v="0"/>
    <m/>
    <m/>
    <m/>
    <m/>
    <m/>
    <m/>
    <n v="0"/>
    <n v="0"/>
  </r>
  <r>
    <x v="11"/>
    <x v="0"/>
    <s v="Clemson University"/>
    <m/>
    <n v="217882"/>
    <x v="0"/>
    <n v="52601494"/>
    <n v="50914720"/>
    <m/>
    <m/>
    <m/>
    <m/>
    <n v="350285375"/>
    <n v="27557495"/>
    <n v="377842870"/>
    <n v="372333637"/>
    <n v="29578944"/>
    <n v="401912581"/>
    <n v="402886869"/>
    <n v="423248357"/>
    <m/>
    <m/>
    <m/>
    <m/>
    <n v="0"/>
    <m/>
    <m/>
    <n v="0"/>
    <m/>
    <m/>
    <m/>
    <m/>
    <m/>
    <m/>
    <n v="402886869"/>
    <n v="423248357"/>
  </r>
  <r>
    <x v="11"/>
    <x v="0"/>
    <s v="Fringe Benefits"/>
    <m/>
    <n v="217882"/>
    <x v="0"/>
    <n v="10789110"/>
    <n v="16540435"/>
    <m/>
    <m/>
    <m/>
    <m/>
    <m/>
    <m/>
    <n v="0"/>
    <m/>
    <m/>
    <n v="0"/>
    <n v="10789110"/>
    <n v="16540435"/>
    <m/>
    <m/>
    <m/>
    <m/>
    <n v="0"/>
    <m/>
    <m/>
    <n v="0"/>
    <m/>
    <m/>
    <m/>
    <m/>
    <m/>
    <m/>
    <n v="10789110"/>
    <n v="16540435"/>
  </r>
  <r>
    <x v="11"/>
    <x v="0"/>
    <s v="Other Operating Expense"/>
    <m/>
    <n v="217882"/>
    <x v="0"/>
    <m/>
    <n v="900000"/>
    <m/>
    <m/>
    <m/>
    <m/>
    <m/>
    <m/>
    <n v="0"/>
    <m/>
    <m/>
    <n v="0"/>
    <n v="0"/>
    <n v="900000"/>
    <m/>
    <m/>
    <m/>
    <m/>
    <n v="0"/>
    <m/>
    <m/>
    <n v="0"/>
    <m/>
    <m/>
    <m/>
    <m/>
    <m/>
    <m/>
    <n v="0"/>
    <n v="900000"/>
  </r>
  <r>
    <x v="11"/>
    <x v="3"/>
    <s v="Community or public service units"/>
    <m/>
    <n v="217882"/>
    <x v="0"/>
    <m/>
    <m/>
    <m/>
    <m/>
    <m/>
    <m/>
    <m/>
    <m/>
    <n v="0"/>
    <m/>
    <m/>
    <n v="0"/>
    <n v="0"/>
    <n v="0"/>
    <m/>
    <m/>
    <m/>
    <m/>
    <n v="0"/>
    <m/>
    <m/>
    <n v="0"/>
    <m/>
    <m/>
    <m/>
    <m/>
    <m/>
    <m/>
    <n v="0"/>
    <n v="0"/>
  </r>
  <r>
    <x v="11"/>
    <x v="5"/>
    <s v="Ag Cooperative Extension Service"/>
    <m/>
    <n v="217882"/>
    <x v="0"/>
    <m/>
    <m/>
    <m/>
    <m/>
    <m/>
    <m/>
    <m/>
    <m/>
    <n v="0"/>
    <m/>
    <m/>
    <n v="0"/>
    <n v="0"/>
    <n v="0"/>
    <m/>
    <m/>
    <m/>
    <m/>
    <n v="0"/>
    <m/>
    <m/>
    <n v="0"/>
    <m/>
    <m/>
    <m/>
    <m/>
    <m/>
    <m/>
    <n v="0"/>
    <n v="0"/>
  </r>
  <r>
    <x v="11"/>
    <x v="5"/>
    <s v="Ag Research, Extension Service, and Inspection"/>
    <m/>
    <n v="217882"/>
    <x v="0"/>
    <m/>
    <m/>
    <n v="31282186"/>
    <n v="32871650"/>
    <m/>
    <m/>
    <m/>
    <m/>
    <n v="0"/>
    <m/>
    <m/>
    <n v="0"/>
    <n v="31282186"/>
    <n v="32871650"/>
    <m/>
    <m/>
    <m/>
    <m/>
    <n v="0"/>
    <m/>
    <m/>
    <n v="0"/>
    <m/>
    <m/>
    <m/>
    <m/>
    <m/>
    <m/>
    <n v="31282186"/>
    <n v="32871650"/>
  </r>
  <r>
    <x v="11"/>
    <x v="5"/>
    <s v="Ag Research, Ext. Svc, &amp; Insp. Supplemental for Other Op.Exp. (NR)"/>
    <m/>
    <n v="217882"/>
    <x v="0"/>
    <m/>
    <m/>
    <m/>
    <m/>
    <m/>
    <m/>
    <m/>
    <m/>
    <n v="0"/>
    <m/>
    <m/>
    <n v="0"/>
    <n v="0"/>
    <n v="0"/>
    <m/>
    <m/>
    <m/>
    <m/>
    <n v="0"/>
    <m/>
    <m/>
    <n v="0"/>
    <m/>
    <m/>
    <m/>
    <m/>
    <m/>
    <m/>
    <n v="0"/>
    <n v="0"/>
  </r>
  <r>
    <x v="11"/>
    <x v="7"/>
    <s v="Research Centers/institutes"/>
    <m/>
    <n v="217882"/>
    <x v="0"/>
    <m/>
    <m/>
    <m/>
    <m/>
    <m/>
    <m/>
    <m/>
    <m/>
    <n v="0"/>
    <m/>
    <m/>
    <n v="0"/>
    <n v="0"/>
    <n v="0"/>
    <m/>
    <m/>
    <m/>
    <m/>
    <n v="0"/>
    <m/>
    <m/>
    <n v="0"/>
    <m/>
    <m/>
    <m/>
    <m/>
    <m/>
    <m/>
    <n v="0"/>
    <n v="0"/>
  </r>
  <r>
    <x v="11"/>
    <x v="7"/>
    <s v="Centers for Energy Systems"/>
    <m/>
    <n v="217882"/>
    <x v="0"/>
    <s v=" "/>
    <m/>
    <n v="3000000"/>
    <m/>
    <m/>
    <m/>
    <m/>
    <m/>
    <n v="0"/>
    <m/>
    <m/>
    <n v="0"/>
    <n v="3000000"/>
    <n v="0"/>
    <m/>
    <m/>
    <m/>
    <m/>
    <n v="0"/>
    <m/>
    <m/>
    <n v="0"/>
    <m/>
    <m/>
    <m/>
    <m/>
    <m/>
    <m/>
    <n v="3000000"/>
    <n v="0"/>
  </r>
  <r>
    <x v="11"/>
    <x v="8"/>
    <s v="Special Line items for education operations"/>
    <m/>
    <n v="217882"/>
    <x v="0"/>
    <m/>
    <m/>
    <m/>
    <m/>
    <m/>
    <m/>
    <m/>
    <m/>
    <n v="0"/>
    <m/>
    <m/>
    <n v="0"/>
    <n v="0"/>
    <n v="0"/>
    <m/>
    <m/>
    <m/>
    <m/>
    <n v="0"/>
    <m/>
    <m/>
    <n v="0"/>
    <m/>
    <m/>
    <m/>
    <m/>
    <m/>
    <m/>
    <n v="0"/>
    <n v="0"/>
  </r>
  <r>
    <x v="11"/>
    <x v="8"/>
    <s v="Student Career Opportunity Program(NR)"/>
    <m/>
    <n v="217882"/>
    <x v="0"/>
    <m/>
    <m/>
    <n v="1000000"/>
    <n v="1000000"/>
    <m/>
    <m/>
    <m/>
    <m/>
    <n v="0"/>
    <m/>
    <m/>
    <n v="0"/>
    <n v="1000000"/>
    <n v="1000000"/>
    <m/>
    <m/>
    <m/>
    <m/>
    <n v="0"/>
    <m/>
    <m/>
    <n v="0"/>
    <m/>
    <m/>
    <m/>
    <m/>
    <m/>
    <m/>
    <n v="1000000"/>
    <n v="1000000"/>
  </r>
  <r>
    <x v="11"/>
    <x v="8"/>
    <s v="Deferred Maintenance (NR &amp; Lottery)"/>
    <m/>
    <n v="217882"/>
    <x v="0"/>
    <m/>
    <m/>
    <m/>
    <m/>
    <m/>
    <m/>
    <m/>
    <m/>
    <n v="0"/>
    <m/>
    <m/>
    <n v="0"/>
    <n v="0"/>
    <n v="0"/>
    <m/>
    <m/>
    <m/>
    <m/>
    <n v="0"/>
    <m/>
    <m/>
    <n v="0"/>
    <m/>
    <m/>
    <m/>
    <m/>
    <m/>
    <m/>
    <n v="0"/>
    <n v="0"/>
  </r>
  <r>
    <x v="11"/>
    <x v="8"/>
    <s v="Building Repair &amp; Maintenance (Lottery)"/>
    <m/>
    <n v="217882"/>
    <x v="0"/>
    <m/>
    <m/>
    <n v="2717813"/>
    <s v=" "/>
    <m/>
    <m/>
    <m/>
    <m/>
    <n v="0"/>
    <m/>
    <m/>
    <n v="0"/>
    <n v="2717813"/>
    <n v="0"/>
    <m/>
    <m/>
    <m/>
    <m/>
    <n v="0"/>
    <m/>
    <m/>
    <n v="0"/>
    <m/>
    <m/>
    <m/>
    <m/>
    <m/>
    <m/>
    <n v="2717813"/>
    <n v="0"/>
  </r>
  <r>
    <x v="11"/>
    <x v="8"/>
    <s v="Critical EquipRepair &amp; Replacement(Lottery)"/>
    <m/>
    <n v="217882"/>
    <x v="0"/>
    <m/>
    <m/>
    <m/>
    <n v="825209"/>
    <m/>
    <m/>
    <m/>
    <m/>
    <n v="0"/>
    <m/>
    <m/>
    <n v="0"/>
    <n v="0"/>
    <n v="825209"/>
    <m/>
    <m/>
    <m/>
    <m/>
    <n v="0"/>
    <m/>
    <m/>
    <n v="0"/>
    <m/>
    <m/>
    <m/>
    <m/>
    <m/>
    <m/>
    <n v="0"/>
    <n v="825209"/>
  </r>
  <r>
    <x v="11"/>
    <x v="8"/>
    <s v="Academic Endowment"/>
    <m/>
    <n v="217882"/>
    <x v="0"/>
    <m/>
    <m/>
    <n v="28539"/>
    <n v="28233"/>
    <m/>
    <m/>
    <m/>
    <m/>
    <n v="0"/>
    <m/>
    <m/>
    <n v="0"/>
    <n v="28539"/>
    <n v="28233"/>
    <m/>
    <m/>
    <m/>
    <m/>
    <n v="0"/>
    <m/>
    <m/>
    <n v="0"/>
    <m/>
    <m/>
    <m/>
    <m/>
    <m/>
    <m/>
    <n v="28539"/>
    <n v="28233"/>
  </r>
  <r>
    <x v="11"/>
    <x v="8"/>
    <s v="Focus on Student Success"/>
    <m/>
    <n v="217882"/>
    <x v="0"/>
    <m/>
    <m/>
    <m/>
    <n v="200000"/>
    <m/>
    <m/>
    <m/>
    <m/>
    <n v="0"/>
    <m/>
    <m/>
    <n v="0"/>
    <n v="0"/>
    <n v="200000"/>
    <m/>
    <m/>
    <m/>
    <m/>
    <n v="0"/>
    <m/>
    <m/>
    <n v="0"/>
    <m/>
    <m/>
    <m/>
    <m/>
    <m/>
    <m/>
    <n v="0"/>
    <n v="200000"/>
  </r>
  <r>
    <x v="11"/>
    <x v="8"/>
    <s v="Higher Ed Efficiency, Effectiveness &amp; Accountability Review(NR)"/>
    <m/>
    <n v="217882"/>
    <x v="0"/>
    <m/>
    <m/>
    <m/>
    <n v="596066"/>
    <m/>
    <m/>
    <m/>
    <m/>
    <n v="0"/>
    <m/>
    <m/>
    <n v="0"/>
    <n v="0"/>
    <n v="596066"/>
    <m/>
    <m/>
    <m/>
    <m/>
    <n v="0"/>
    <m/>
    <m/>
    <n v="0"/>
    <m/>
    <m/>
    <m/>
    <m/>
    <m/>
    <m/>
    <n v="0"/>
    <n v="596066"/>
  </r>
  <r>
    <x v="11"/>
    <x v="8"/>
    <s v="Main Campus Electrical Infrastructure Maintenance &amp; Improvements(NR)"/>
    <m/>
    <n v="217882"/>
    <x v="0"/>
    <m/>
    <m/>
    <m/>
    <n v="1118674"/>
    <m/>
    <m/>
    <m/>
    <m/>
    <n v="0"/>
    <m/>
    <m/>
    <n v="0"/>
    <n v="0"/>
    <n v="1118674"/>
    <m/>
    <m/>
    <m/>
    <m/>
    <n v="0"/>
    <m/>
    <m/>
    <n v="0"/>
    <m/>
    <m/>
    <m/>
    <m/>
    <m/>
    <m/>
    <n v="0"/>
    <n v="1118674"/>
  </r>
  <r>
    <x v="11"/>
    <x v="0"/>
    <s v="University of South Carolina-Columbia"/>
    <m/>
    <n v="218663"/>
    <x v="0"/>
    <n v="68905595"/>
    <n v="73928655"/>
    <m/>
    <m/>
    <m/>
    <m/>
    <n v="491089989"/>
    <n v="25358755"/>
    <n v="516448744"/>
    <n v="534047944"/>
    <n v="26637242"/>
    <n v="560685186"/>
    <n v="559995584"/>
    <n v="607976599"/>
    <m/>
    <m/>
    <m/>
    <m/>
    <n v="0"/>
    <m/>
    <m/>
    <n v="0"/>
    <m/>
    <m/>
    <m/>
    <m/>
    <m/>
    <m/>
    <n v="559995584"/>
    <n v="607976599"/>
  </r>
  <r>
    <x v="11"/>
    <x v="0"/>
    <s v="Fringe Benefits"/>
    <m/>
    <n v="218663"/>
    <x v="0"/>
    <n v="19563395"/>
    <n v="20811228"/>
    <m/>
    <m/>
    <m/>
    <m/>
    <m/>
    <m/>
    <n v="0"/>
    <m/>
    <m/>
    <n v="0"/>
    <n v="19563395"/>
    <n v="20811228"/>
    <m/>
    <m/>
    <m/>
    <m/>
    <n v="0"/>
    <m/>
    <m/>
    <n v="0"/>
    <m/>
    <m/>
    <m/>
    <m/>
    <m/>
    <m/>
    <n v="19563395"/>
    <n v="20811228"/>
  </r>
  <r>
    <x v="11"/>
    <x v="0"/>
    <s v="Other Operating Expense"/>
    <m/>
    <n v="218663"/>
    <x v="0"/>
    <m/>
    <n v="2115000"/>
    <m/>
    <m/>
    <m/>
    <m/>
    <m/>
    <m/>
    <n v="0"/>
    <m/>
    <m/>
    <n v="0"/>
    <n v="0"/>
    <n v="2115000"/>
    <m/>
    <m/>
    <m/>
    <m/>
    <n v="0"/>
    <m/>
    <m/>
    <n v="0"/>
    <m/>
    <m/>
    <m/>
    <m/>
    <m/>
    <m/>
    <n v="0"/>
    <n v="2115000"/>
  </r>
  <r>
    <x v="11"/>
    <x v="3"/>
    <s v="Community or public service units"/>
    <m/>
    <n v="218663"/>
    <x v="0"/>
    <m/>
    <m/>
    <m/>
    <m/>
    <m/>
    <m/>
    <m/>
    <m/>
    <n v="0"/>
    <m/>
    <m/>
    <n v="0"/>
    <n v="0"/>
    <n v="0"/>
    <m/>
    <m/>
    <m/>
    <m/>
    <n v="0"/>
    <m/>
    <m/>
    <n v="0"/>
    <m/>
    <m/>
    <m/>
    <m/>
    <m/>
    <m/>
    <n v="0"/>
    <n v="0"/>
  </r>
  <r>
    <x v="11"/>
    <x v="3"/>
    <s v="Palmetto Poison Center"/>
    <m/>
    <n v="218663"/>
    <x v="0"/>
    <m/>
    <m/>
    <n v="251763"/>
    <n v="251763"/>
    <m/>
    <m/>
    <m/>
    <m/>
    <n v="0"/>
    <m/>
    <m/>
    <n v="0"/>
    <n v="251763"/>
    <n v="251763"/>
    <m/>
    <m/>
    <m/>
    <m/>
    <n v="0"/>
    <m/>
    <m/>
    <n v="0"/>
    <m/>
    <m/>
    <m/>
    <m/>
    <m/>
    <m/>
    <n v="251763"/>
    <n v="251763"/>
  </r>
  <r>
    <x v="11"/>
    <x v="3"/>
    <s v="Palmetto College (Recurring &amp; NR)"/>
    <m/>
    <n v="218663"/>
    <x v="0"/>
    <m/>
    <m/>
    <n v="2748500"/>
    <n v="1775500"/>
    <m/>
    <m/>
    <m/>
    <m/>
    <n v="0"/>
    <m/>
    <m/>
    <n v="0"/>
    <n v="2748500"/>
    <n v="1775500"/>
    <m/>
    <m/>
    <m/>
    <m/>
    <n v="0"/>
    <m/>
    <m/>
    <n v="0"/>
    <m/>
    <m/>
    <m/>
    <m/>
    <m/>
    <m/>
    <n v="2748500"/>
    <n v="1775500"/>
  </r>
  <r>
    <x v="11"/>
    <x v="3"/>
    <s v="School Improvement Council"/>
    <m/>
    <n v="218663"/>
    <x v="0"/>
    <m/>
    <m/>
    <n v="100000"/>
    <m/>
    <m/>
    <m/>
    <m/>
    <m/>
    <n v="0"/>
    <m/>
    <m/>
    <n v="0"/>
    <n v="100000"/>
    <n v="0"/>
    <m/>
    <m/>
    <m/>
    <m/>
    <n v="0"/>
    <m/>
    <m/>
    <n v="0"/>
    <m/>
    <m/>
    <m/>
    <m/>
    <m/>
    <m/>
    <n v="100000"/>
    <n v="0"/>
  </r>
  <r>
    <x v="11"/>
    <x v="3"/>
    <s v="Small Business Development Center"/>
    <m/>
    <n v="218663"/>
    <x v="0"/>
    <m/>
    <m/>
    <n v="791734"/>
    <n v="791734"/>
    <m/>
    <m/>
    <m/>
    <m/>
    <n v="0"/>
    <m/>
    <m/>
    <n v="0"/>
    <n v="791734"/>
    <n v="791734"/>
    <m/>
    <m/>
    <m/>
    <m/>
    <n v="0"/>
    <m/>
    <m/>
    <n v="0"/>
    <m/>
    <m/>
    <m/>
    <m/>
    <m/>
    <m/>
    <n v="791734"/>
    <n v="791734"/>
  </r>
  <r>
    <x v="11"/>
    <x v="7"/>
    <s v="Research centers/institutes"/>
    <m/>
    <n v="218663"/>
    <x v="0"/>
    <m/>
    <m/>
    <m/>
    <m/>
    <m/>
    <m/>
    <m/>
    <m/>
    <n v="0"/>
    <m/>
    <m/>
    <n v="0"/>
    <n v="0"/>
    <n v="0"/>
    <m/>
    <m/>
    <m/>
    <m/>
    <n v="0"/>
    <m/>
    <m/>
    <n v="0"/>
    <m/>
    <m/>
    <m/>
    <m/>
    <m/>
    <m/>
    <n v="0"/>
    <n v="0"/>
  </r>
  <r>
    <x v="11"/>
    <x v="8"/>
    <s v="Special Line items for education operations"/>
    <m/>
    <n v="218663"/>
    <x v="0"/>
    <m/>
    <m/>
    <m/>
    <m/>
    <m/>
    <m/>
    <m/>
    <m/>
    <n v="0"/>
    <m/>
    <m/>
    <n v="0"/>
    <n v="0"/>
    <n v="0"/>
    <m/>
    <m/>
    <m/>
    <m/>
    <n v="0"/>
    <m/>
    <m/>
    <n v="0"/>
    <m/>
    <m/>
    <m/>
    <m/>
    <m/>
    <m/>
    <n v="0"/>
    <n v="0"/>
  </r>
  <r>
    <x v="11"/>
    <x v="8"/>
    <s v="On Your Time (NR &amp; Rec)"/>
    <m/>
    <n v="218663"/>
    <x v="0"/>
    <m/>
    <m/>
    <n v="2500000"/>
    <n v="2418674"/>
    <m/>
    <m/>
    <m/>
    <m/>
    <n v="0"/>
    <m/>
    <m/>
    <n v="0"/>
    <n v="2500000"/>
    <n v="2418674"/>
    <m/>
    <m/>
    <m/>
    <m/>
    <n v="0"/>
    <m/>
    <m/>
    <n v="0"/>
    <m/>
    <m/>
    <m/>
    <m/>
    <m/>
    <m/>
    <n v="2500000"/>
    <n v="2418674"/>
  </r>
  <r>
    <x v="11"/>
    <x v="8"/>
    <s v="Deferred Maintenance (Lottery)"/>
    <m/>
    <n v="218663"/>
    <x v="0"/>
    <m/>
    <m/>
    <m/>
    <m/>
    <m/>
    <m/>
    <m/>
    <m/>
    <n v="0"/>
    <m/>
    <m/>
    <n v="0"/>
    <n v="0"/>
    <n v="0"/>
    <m/>
    <m/>
    <m/>
    <m/>
    <n v="0"/>
    <m/>
    <m/>
    <n v="0"/>
    <m/>
    <m/>
    <m/>
    <m/>
    <m/>
    <m/>
    <n v="0"/>
    <n v="0"/>
  </r>
  <r>
    <x v="11"/>
    <x v="8"/>
    <s v="Building Repair &amp; Maintenance (Lottery)"/>
    <m/>
    <n v="218663"/>
    <x v="0"/>
    <m/>
    <m/>
    <n v="4527916"/>
    <m/>
    <m/>
    <m/>
    <m/>
    <m/>
    <n v="0"/>
    <m/>
    <m/>
    <n v="0"/>
    <n v="4527916"/>
    <n v="0"/>
    <m/>
    <m/>
    <m/>
    <m/>
    <n v="0"/>
    <m/>
    <m/>
    <n v="0"/>
    <m/>
    <m/>
    <m/>
    <m/>
    <m/>
    <m/>
    <n v="4527916"/>
    <n v="0"/>
  </r>
  <r>
    <x v="11"/>
    <x v="8"/>
    <s v="Critical EquipRepair &amp; Replacement(Lottery)"/>
    <m/>
    <n v="218663"/>
    <x v="0"/>
    <m/>
    <m/>
    <m/>
    <n v="1345527"/>
    <m/>
    <m/>
    <m/>
    <m/>
    <n v="0"/>
    <m/>
    <m/>
    <n v="0"/>
    <n v="0"/>
    <n v="1345527"/>
    <m/>
    <m/>
    <m/>
    <m/>
    <n v="0"/>
    <m/>
    <m/>
    <n v="0"/>
    <m/>
    <m/>
    <m/>
    <m/>
    <m/>
    <m/>
    <n v="0"/>
    <n v="1345527"/>
  </r>
  <r>
    <x v="11"/>
    <x v="8"/>
    <s v="Academic Endowment"/>
    <m/>
    <n v="218663"/>
    <x v="0"/>
    <m/>
    <m/>
    <n v="26275"/>
    <n v="26598"/>
    <m/>
    <m/>
    <m/>
    <m/>
    <n v="0"/>
    <m/>
    <m/>
    <n v="0"/>
    <n v="26275"/>
    <n v="26598"/>
    <m/>
    <m/>
    <m/>
    <m/>
    <n v="0"/>
    <m/>
    <m/>
    <n v="0"/>
    <m/>
    <m/>
    <m/>
    <m/>
    <m/>
    <m/>
    <n v="26275"/>
    <n v="26598"/>
  </r>
  <r>
    <x v="11"/>
    <x v="8"/>
    <s v="Law Library"/>
    <m/>
    <n v="218663"/>
    <x v="0"/>
    <m/>
    <m/>
    <n v="344074"/>
    <n v="344076"/>
    <m/>
    <m/>
    <m/>
    <m/>
    <n v="0"/>
    <m/>
    <m/>
    <n v="0"/>
    <n v="344074"/>
    <n v="344076"/>
    <m/>
    <m/>
    <m/>
    <m/>
    <n v="0"/>
    <m/>
    <m/>
    <n v="0"/>
    <m/>
    <m/>
    <m/>
    <m/>
    <m/>
    <m/>
    <n v="344074"/>
    <n v="344076"/>
  </r>
  <r>
    <x v="11"/>
    <x v="8"/>
    <s v="Higher Ed Efficiency, Effectiveness &amp; Accountability Review(NR)"/>
    <m/>
    <n v="218663"/>
    <x v="0"/>
    <m/>
    <m/>
    <m/>
    <n v="971902"/>
    <m/>
    <m/>
    <m/>
    <m/>
    <n v="0"/>
    <m/>
    <m/>
    <n v="0"/>
    <n v="0"/>
    <n v="971902"/>
    <m/>
    <m/>
    <m/>
    <m/>
    <n v="0"/>
    <m/>
    <m/>
    <n v="0"/>
    <m/>
    <m/>
    <m/>
    <m/>
    <m/>
    <m/>
    <n v="0"/>
    <n v="971902"/>
  </r>
  <r>
    <x v="11"/>
    <x v="1"/>
    <s v="Health professions education"/>
    <m/>
    <n v="218663"/>
    <x v="0"/>
    <m/>
    <m/>
    <m/>
    <m/>
    <m/>
    <m/>
    <m/>
    <m/>
    <n v="0"/>
    <m/>
    <m/>
    <n v="0"/>
    <n v="0"/>
    <n v="0"/>
    <m/>
    <m/>
    <m/>
    <m/>
    <n v="0"/>
    <m/>
    <m/>
    <n v="0"/>
    <m/>
    <m/>
    <m/>
    <m/>
    <m/>
    <m/>
    <n v="0"/>
    <n v="0"/>
  </r>
  <r>
    <x v="11"/>
    <x v="1"/>
    <s v="Medical School-E&amp;G"/>
    <m/>
    <n v="218663"/>
    <x v="0"/>
    <m/>
    <m/>
    <m/>
    <m/>
    <m/>
    <m/>
    <m/>
    <m/>
    <n v="0"/>
    <m/>
    <m/>
    <n v="0"/>
    <n v="0"/>
    <n v="0"/>
    <m/>
    <m/>
    <m/>
    <m/>
    <n v="0"/>
    <m/>
    <m/>
    <n v="0"/>
    <n v="9999646"/>
    <n v="10575806"/>
    <m/>
    <m/>
    <m/>
    <m/>
    <n v="9999646"/>
    <n v="10575806"/>
  </r>
  <r>
    <x v="11"/>
    <x v="1"/>
    <s v="Medical School-Fringe Benefits"/>
    <m/>
    <n v="218663"/>
    <x v="0"/>
    <m/>
    <m/>
    <m/>
    <m/>
    <m/>
    <m/>
    <m/>
    <m/>
    <n v="0"/>
    <m/>
    <m/>
    <n v="0"/>
    <n v="0"/>
    <n v="0"/>
    <m/>
    <m/>
    <m/>
    <m/>
    <n v="0"/>
    <m/>
    <m/>
    <n v="0"/>
    <n v="2719428"/>
    <n v="2846289"/>
    <m/>
    <m/>
    <m/>
    <m/>
    <n v="2719428"/>
    <n v="2846289"/>
  </r>
  <r>
    <x v="11"/>
    <x v="1"/>
    <s v="Medical School-Child Abuse"/>
    <m/>
    <n v="218663"/>
    <x v="0"/>
    <m/>
    <m/>
    <m/>
    <m/>
    <m/>
    <m/>
    <m/>
    <m/>
    <n v="0"/>
    <m/>
    <m/>
    <n v="0"/>
    <n v="0"/>
    <n v="0"/>
    <m/>
    <m/>
    <m/>
    <m/>
    <n v="0"/>
    <m/>
    <m/>
    <n v="0"/>
    <n v="801160"/>
    <n v="225000"/>
    <m/>
    <m/>
    <m/>
    <m/>
    <n v="801160"/>
    <n v="225000"/>
  </r>
  <r>
    <x v="11"/>
    <x v="0"/>
    <s v="College of Charleston"/>
    <m/>
    <n v="217819"/>
    <x v="2"/>
    <n v="15204116"/>
    <n v="15471926"/>
    <m/>
    <m/>
    <m/>
    <m/>
    <n v="133179427"/>
    <n v="6713021"/>
    <n v="139892448"/>
    <n v="130870683"/>
    <n v="10811115"/>
    <n v="141681798"/>
    <n v="148383543"/>
    <n v="146342609"/>
    <m/>
    <m/>
    <m/>
    <m/>
    <n v="0"/>
    <m/>
    <m/>
    <n v="0"/>
    <m/>
    <m/>
    <m/>
    <m/>
    <m/>
    <m/>
    <n v="148383543"/>
    <n v="146342609"/>
  </r>
  <r>
    <x v="11"/>
    <x v="0"/>
    <s v="Fringe Benefits"/>
    <m/>
    <n v="217819"/>
    <x v="2"/>
    <n v="4083102"/>
    <n v="4431381"/>
    <m/>
    <m/>
    <m/>
    <m/>
    <m/>
    <m/>
    <n v="0"/>
    <m/>
    <m/>
    <n v="0"/>
    <n v="4083102"/>
    <n v="4431381"/>
    <m/>
    <m/>
    <m/>
    <m/>
    <n v="0"/>
    <m/>
    <m/>
    <n v="0"/>
    <m/>
    <m/>
    <m/>
    <m/>
    <m/>
    <m/>
    <n v="4083102"/>
    <n v="4431381"/>
  </r>
  <r>
    <x v="11"/>
    <x v="0"/>
    <s v="Other Operating Expenses"/>
    <m/>
    <n v="217819"/>
    <x v="2"/>
    <m/>
    <n v="670066"/>
    <m/>
    <m/>
    <m/>
    <m/>
    <m/>
    <m/>
    <n v="0"/>
    <m/>
    <m/>
    <n v="0"/>
    <n v="0"/>
    <n v="670066"/>
    <m/>
    <m/>
    <m/>
    <m/>
    <n v="0"/>
    <m/>
    <m/>
    <n v="0"/>
    <m/>
    <m/>
    <m/>
    <m/>
    <m/>
    <m/>
    <n v="0"/>
    <n v="670066"/>
  </r>
  <r>
    <x v="11"/>
    <x v="3"/>
    <s v="Community or public service units"/>
    <m/>
    <n v="217819"/>
    <x v="2"/>
    <m/>
    <m/>
    <m/>
    <m/>
    <m/>
    <m/>
    <m/>
    <m/>
    <n v="0"/>
    <m/>
    <m/>
    <n v="0"/>
    <n v="0"/>
    <n v="0"/>
    <m/>
    <m/>
    <m/>
    <m/>
    <n v="0"/>
    <m/>
    <m/>
    <n v="0"/>
    <m/>
    <m/>
    <m/>
    <m/>
    <m/>
    <m/>
    <n v="0"/>
    <n v="0"/>
  </r>
  <r>
    <x v="11"/>
    <x v="7"/>
    <s v="Research centers/institutes"/>
    <m/>
    <n v="217819"/>
    <x v="2"/>
    <m/>
    <m/>
    <m/>
    <m/>
    <m/>
    <m/>
    <m/>
    <m/>
    <n v="0"/>
    <m/>
    <m/>
    <n v="0"/>
    <n v="0"/>
    <n v="0"/>
    <m/>
    <m/>
    <m/>
    <m/>
    <n v="0"/>
    <m/>
    <m/>
    <n v="0"/>
    <m/>
    <m/>
    <m/>
    <m/>
    <m/>
    <m/>
    <n v="0"/>
    <n v="0"/>
  </r>
  <r>
    <x v="11"/>
    <x v="8"/>
    <s v="Special Line items for education operations"/>
    <m/>
    <n v="217819"/>
    <x v="2"/>
    <m/>
    <m/>
    <m/>
    <m/>
    <m/>
    <m/>
    <m/>
    <m/>
    <n v="0"/>
    <m/>
    <m/>
    <n v="0"/>
    <n v="0"/>
    <n v="0"/>
    <m/>
    <m/>
    <m/>
    <m/>
    <n v="0"/>
    <m/>
    <m/>
    <n v="0"/>
    <m/>
    <m/>
    <m/>
    <m/>
    <m/>
    <m/>
    <n v="0"/>
    <n v="0"/>
  </r>
  <r>
    <x v="11"/>
    <x v="8"/>
    <s v="Avery Center"/>
    <m/>
    <n v="217819"/>
    <x v="2"/>
    <m/>
    <m/>
    <n v="300000"/>
    <m/>
    <m/>
    <m/>
    <m/>
    <m/>
    <n v="0"/>
    <m/>
    <m/>
    <n v="0"/>
    <n v="300000"/>
    <n v="0"/>
    <m/>
    <m/>
    <m/>
    <m/>
    <n v="0"/>
    <m/>
    <m/>
    <n v="0"/>
    <m/>
    <m/>
    <m/>
    <m/>
    <m/>
    <m/>
    <n v="300000"/>
    <n v="0"/>
  </r>
  <r>
    <x v="11"/>
    <x v="8"/>
    <s v="Computer Science Program"/>
    <m/>
    <n v="217819"/>
    <x v="2"/>
    <m/>
    <m/>
    <n v="500000"/>
    <m/>
    <m/>
    <m/>
    <m/>
    <m/>
    <n v="0"/>
    <m/>
    <m/>
    <n v="0"/>
    <n v="500000"/>
    <n v="0"/>
    <m/>
    <m/>
    <m/>
    <m/>
    <n v="0"/>
    <m/>
    <m/>
    <n v="0"/>
    <m/>
    <m/>
    <m/>
    <m/>
    <m/>
    <m/>
    <n v="500000"/>
    <n v="0"/>
  </r>
  <r>
    <x v="11"/>
    <x v="8"/>
    <s v="Deferred Maintenance (Lottery)"/>
    <m/>
    <n v="217819"/>
    <x v="2"/>
    <m/>
    <m/>
    <m/>
    <m/>
    <m/>
    <m/>
    <m/>
    <m/>
    <n v="0"/>
    <m/>
    <m/>
    <n v="0"/>
    <n v="0"/>
    <n v="0"/>
    <m/>
    <m/>
    <m/>
    <m/>
    <n v="0"/>
    <m/>
    <m/>
    <n v="0"/>
    <m/>
    <m/>
    <m/>
    <m/>
    <m/>
    <m/>
    <n v="0"/>
    <n v="0"/>
  </r>
  <r>
    <x v="11"/>
    <x v="8"/>
    <s v="Critical Equip Repair &amp; Replacement (Lottery)"/>
    <m/>
    <n v="217819"/>
    <x v="2"/>
    <m/>
    <m/>
    <m/>
    <n v="244704"/>
    <m/>
    <m/>
    <m/>
    <m/>
    <n v="0"/>
    <m/>
    <m/>
    <n v="0"/>
    <n v="0"/>
    <n v="244704"/>
    <m/>
    <m/>
    <m/>
    <m/>
    <n v="0"/>
    <m/>
    <m/>
    <n v="0"/>
    <m/>
    <m/>
    <m/>
    <m/>
    <m/>
    <m/>
    <n v="0"/>
    <n v="244704"/>
  </r>
  <r>
    <x v="11"/>
    <x v="8"/>
    <s v="Higher Ed Efficiency, Effectiveness &amp; Accountability Review(NR)"/>
    <m/>
    <n v="217819"/>
    <x v="2"/>
    <m/>
    <m/>
    <m/>
    <n v="176755"/>
    <m/>
    <m/>
    <m/>
    <m/>
    <n v="0"/>
    <m/>
    <m/>
    <n v="0"/>
    <n v="0"/>
    <n v="176755"/>
    <m/>
    <m/>
    <m/>
    <m/>
    <n v="0"/>
    <m/>
    <m/>
    <n v="0"/>
    <m/>
    <m/>
    <m/>
    <m/>
    <m/>
    <m/>
    <n v="0"/>
    <n v="176755"/>
  </r>
  <r>
    <x v="11"/>
    <x v="8"/>
    <s v="Building Repair &amp; Maintenance (Lottery)"/>
    <m/>
    <n v="217819"/>
    <x v="2"/>
    <m/>
    <m/>
    <n v="825970"/>
    <m/>
    <m/>
    <m/>
    <m/>
    <m/>
    <n v="0"/>
    <m/>
    <m/>
    <n v="0"/>
    <n v="825970"/>
    <n v="0"/>
    <m/>
    <m/>
    <m/>
    <m/>
    <n v="0"/>
    <m/>
    <m/>
    <n v="0"/>
    <m/>
    <m/>
    <m/>
    <m/>
    <m/>
    <m/>
    <n v="825970"/>
    <n v="0"/>
  </r>
  <r>
    <x v="11"/>
    <x v="8"/>
    <s v="Interactive Digital Technology Pilot Project"/>
    <m/>
    <n v="217819"/>
    <x v="2"/>
    <m/>
    <m/>
    <s v=" "/>
    <m/>
    <m/>
    <m/>
    <m/>
    <m/>
    <n v="0"/>
    <m/>
    <m/>
    <n v="0"/>
    <n v="0"/>
    <n v="0"/>
    <m/>
    <m/>
    <m/>
    <m/>
    <n v="0"/>
    <m/>
    <m/>
    <n v="0"/>
    <m/>
    <m/>
    <m/>
    <m/>
    <m/>
    <m/>
    <n v="0"/>
    <n v="0"/>
  </r>
  <r>
    <x v="11"/>
    <x v="8"/>
    <s v="Academic Endowment"/>
    <m/>
    <n v="217819"/>
    <x v="2"/>
    <m/>
    <m/>
    <n v="8683"/>
    <n v="7916"/>
    <m/>
    <m/>
    <m/>
    <m/>
    <n v="0"/>
    <m/>
    <m/>
    <n v="0"/>
    <n v="8683"/>
    <n v="7916"/>
    <m/>
    <m/>
    <m/>
    <m/>
    <n v="0"/>
    <m/>
    <m/>
    <n v="0"/>
    <m/>
    <m/>
    <m/>
    <m/>
    <m/>
    <m/>
    <n v="8683"/>
    <n v="7916"/>
  </r>
  <r>
    <x v="11"/>
    <x v="8"/>
    <s v="Lottery Technology (NR)"/>
    <m/>
    <n v="217819"/>
    <x v="2"/>
    <m/>
    <m/>
    <n v="892573"/>
    <n v="834356"/>
    <m/>
    <m/>
    <m/>
    <m/>
    <n v="0"/>
    <m/>
    <m/>
    <n v="0"/>
    <n v="892573"/>
    <n v="834356"/>
    <m/>
    <m/>
    <m/>
    <m/>
    <n v="0"/>
    <m/>
    <m/>
    <n v="0"/>
    <m/>
    <m/>
    <m/>
    <m/>
    <m/>
    <m/>
    <n v="892573"/>
    <n v="834356"/>
  </r>
  <r>
    <x v="11"/>
    <x v="0"/>
    <s v="The Citadel, the Military College of South Carolina "/>
    <m/>
    <n v="217864"/>
    <x v="2"/>
    <n v="7209044"/>
    <n v="7334160"/>
    <m/>
    <m/>
    <m/>
    <m/>
    <n v="40954098"/>
    <n v="648053"/>
    <n v="41602151"/>
    <n v="41510527"/>
    <n v="638010"/>
    <n v="42148537"/>
    <n v="48163142"/>
    <n v="48844687"/>
    <m/>
    <m/>
    <m/>
    <m/>
    <n v="0"/>
    <m/>
    <m/>
    <n v="0"/>
    <m/>
    <m/>
    <m/>
    <m/>
    <m/>
    <m/>
    <n v="48163142"/>
    <n v="48844687"/>
  </r>
  <r>
    <x v="11"/>
    <x v="0"/>
    <s v="Fringe Benefits"/>
    <m/>
    <n v="217864"/>
    <x v="2"/>
    <n v="1845205"/>
    <n v="2012786"/>
    <m/>
    <m/>
    <m/>
    <m/>
    <m/>
    <m/>
    <n v="0"/>
    <m/>
    <m/>
    <n v="0"/>
    <n v="1845205"/>
    <n v="2012786"/>
    <m/>
    <m/>
    <m/>
    <m/>
    <n v="0"/>
    <m/>
    <m/>
    <n v="0"/>
    <m/>
    <m/>
    <m/>
    <m/>
    <m/>
    <m/>
    <n v="1845205"/>
    <n v="2012786"/>
  </r>
  <r>
    <x v="11"/>
    <x v="0"/>
    <s v="Other Operating Expenses"/>
    <m/>
    <n v="217864"/>
    <x v="2"/>
    <m/>
    <n v="123393"/>
    <m/>
    <m/>
    <m/>
    <m/>
    <m/>
    <m/>
    <n v="0"/>
    <m/>
    <m/>
    <n v="0"/>
    <n v="0"/>
    <n v="123393"/>
    <m/>
    <m/>
    <m/>
    <m/>
    <n v="0"/>
    <m/>
    <m/>
    <n v="0"/>
    <m/>
    <m/>
    <m/>
    <m/>
    <m/>
    <m/>
    <n v="0"/>
    <n v="123393"/>
  </r>
  <r>
    <x v="11"/>
    <x v="8"/>
    <s v="Special Line items for education operations"/>
    <m/>
    <n v="217864"/>
    <x v="2"/>
    <m/>
    <m/>
    <m/>
    <m/>
    <m/>
    <m/>
    <m/>
    <m/>
    <n v="0"/>
    <m/>
    <m/>
    <n v="0"/>
    <n v="0"/>
    <n v="0"/>
    <m/>
    <m/>
    <m/>
    <m/>
    <n v="0"/>
    <m/>
    <m/>
    <n v="0"/>
    <m/>
    <m/>
    <m/>
    <m/>
    <m/>
    <m/>
    <n v="0"/>
    <n v="0"/>
  </r>
  <r>
    <x v="11"/>
    <x v="8"/>
    <s v="Deferred Maintenance (NR &amp; Lottery)"/>
    <m/>
    <n v="217864"/>
    <x v="2"/>
    <m/>
    <m/>
    <m/>
    <m/>
    <m/>
    <m/>
    <m/>
    <m/>
    <n v="0"/>
    <m/>
    <m/>
    <n v="0"/>
    <n v="0"/>
    <n v="0"/>
    <m/>
    <m/>
    <m/>
    <m/>
    <n v="0"/>
    <m/>
    <m/>
    <n v="0"/>
    <m/>
    <m/>
    <m/>
    <m/>
    <m/>
    <m/>
    <n v="0"/>
    <n v="0"/>
  </r>
  <r>
    <x v="11"/>
    <x v="8"/>
    <s v="Critical Equipment Repair &amp; Replacement"/>
    <m/>
    <n v="217864"/>
    <x v="2"/>
    <m/>
    <m/>
    <m/>
    <n v="112541"/>
    <m/>
    <m/>
    <m/>
    <m/>
    <n v="0"/>
    <m/>
    <m/>
    <n v="0"/>
    <n v="0"/>
    <n v="112541"/>
    <m/>
    <m/>
    <m/>
    <m/>
    <n v="0"/>
    <m/>
    <m/>
    <n v="0"/>
    <m/>
    <m/>
    <m/>
    <m/>
    <m/>
    <m/>
    <n v="0"/>
    <n v="112541"/>
  </r>
  <r>
    <x v="11"/>
    <x v="8"/>
    <s v="Building Repair &amp; Maintenance (Lottery)"/>
    <m/>
    <n v="217864"/>
    <x v="2"/>
    <m/>
    <m/>
    <n v="387663"/>
    <m/>
    <m/>
    <m/>
    <m/>
    <m/>
    <n v="0"/>
    <m/>
    <m/>
    <n v="0"/>
    <n v="387663"/>
    <n v="0"/>
    <m/>
    <m/>
    <m/>
    <m/>
    <n v="0"/>
    <m/>
    <m/>
    <n v="0"/>
    <m/>
    <m/>
    <m/>
    <m/>
    <m/>
    <m/>
    <n v="387663"/>
    <n v="0"/>
  </r>
  <r>
    <x v="11"/>
    <x v="8"/>
    <s v="Cadet Accountability System"/>
    <m/>
    <n v="217864"/>
    <x v="2"/>
    <m/>
    <m/>
    <n v="1500000"/>
    <m/>
    <m/>
    <m/>
    <m/>
    <m/>
    <n v="0"/>
    <m/>
    <m/>
    <n v="0"/>
    <n v="1500000"/>
    <n v="0"/>
    <m/>
    <m/>
    <m/>
    <m/>
    <n v="0"/>
    <m/>
    <m/>
    <n v="0"/>
    <m/>
    <m/>
    <m/>
    <m/>
    <m/>
    <m/>
    <n v="1500000"/>
    <n v="0"/>
  </r>
  <r>
    <x v="11"/>
    <x v="8"/>
    <s v="Jenkins Hall Arms Room Upgrade (NR)"/>
    <m/>
    <n v="217864"/>
    <x v="2"/>
    <m/>
    <m/>
    <m/>
    <m/>
    <m/>
    <m/>
    <m/>
    <m/>
    <n v="0"/>
    <m/>
    <m/>
    <n v="0"/>
    <n v="0"/>
    <n v="0"/>
    <m/>
    <m/>
    <m/>
    <m/>
    <n v="0"/>
    <m/>
    <m/>
    <n v="0"/>
    <m/>
    <m/>
    <m/>
    <m/>
    <m/>
    <m/>
    <n v="0"/>
    <n v="0"/>
  </r>
  <r>
    <x v="11"/>
    <x v="8"/>
    <s v="Academic Endowment"/>
    <m/>
    <n v="217864"/>
    <x v="2"/>
    <m/>
    <m/>
    <n v="10621"/>
    <n v="11768"/>
    <m/>
    <m/>
    <m/>
    <m/>
    <n v="0"/>
    <m/>
    <m/>
    <n v="0"/>
    <n v="10621"/>
    <n v="11768"/>
    <m/>
    <m/>
    <m/>
    <m/>
    <n v="0"/>
    <m/>
    <m/>
    <n v="0"/>
    <m/>
    <m/>
    <m/>
    <m/>
    <m/>
    <m/>
    <n v="10621"/>
    <n v="11768"/>
  </r>
  <r>
    <x v="11"/>
    <x v="8"/>
    <s v="Lottery Technology (NR)"/>
    <m/>
    <n v="217864"/>
    <x v="2"/>
    <m/>
    <m/>
    <n v="407818"/>
    <n v="387754"/>
    <m/>
    <m/>
    <m/>
    <m/>
    <n v="0"/>
    <m/>
    <m/>
    <n v="0"/>
    <n v="407818"/>
    <n v="387754"/>
    <m/>
    <m/>
    <m/>
    <m/>
    <n v="0"/>
    <m/>
    <m/>
    <n v="0"/>
    <m/>
    <m/>
    <m/>
    <m/>
    <m/>
    <m/>
    <n v="407818"/>
    <n v="387754"/>
  </r>
  <r>
    <x v="11"/>
    <x v="8"/>
    <s v="Higher Ed Efficiency, Effectiveness &amp; Accountability Review(NR)"/>
    <m/>
    <n v="217864"/>
    <x v="2"/>
    <m/>
    <m/>
    <m/>
    <n v="81290"/>
    <m/>
    <m/>
    <m/>
    <m/>
    <n v="0"/>
    <m/>
    <m/>
    <n v="0"/>
    <n v="0"/>
    <n v="81290"/>
    <m/>
    <m/>
    <m/>
    <m/>
    <n v="0"/>
    <m/>
    <m/>
    <n v="0"/>
    <m/>
    <m/>
    <m/>
    <m/>
    <m/>
    <m/>
    <n v="0"/>
    <n v="81290"/>
  </r>
  <r>
    <x v="11"/>
    <x v="8"/>
    <s v="Mechanical Engineering Lab &amp; Equip"/>
    <m/>
    <n v="217864"/>
    <x v="2"/>
    <m/>
    <m/>
    <m/>
    <n v="1055678"/>
    <m/>
    <m/>
    <m/>
    <m/>
    <n v="0"/>
    <m/>
    <m/>
    <n v="0"/>
    <n v="0"/>
    <n v="1055678"/>
    <m/>
    <m/>
    <m/>
    <m/>
    <n v="0"/>
    <m/>
    <m/>
    <n v="0"/>
    <m/>
    <m/>
    <m/>
    <m/>
    <m/>
    <m/>
    <n v="0"/>
    <n v="1055678"/>
  </r>
  <r>
    <x v="11"/>
    <x v="0"/>
    <s v="Winthrop University "/>
    <m/>
    <n v="218964"/>
    <x v="2"/>
    <n v="10415863"/>
    <n v="11031936"/>
    <m/>
    <m/>
    <m/>
    <m/>
    <n v="70414812"/>
    <n v="6346831"/>
    <n v="76761643"/>
    <n v="72914251"/>
    <n v="6337364"/>
    <n v="79251615"/>
    <n v="80830675"/>
    <n v="83946187"/>
    <m/>
    <m/>
    <m/>
    <m/>
    <n v="0"/>
    <m/>
    <m/>
    <n v="0"/>
    <m/>
    <m/>
    <m/>
    <m/>
    <m/>
    <m/>
    <n v="80830675"/>
    <n v="83946187"/>
  </r>
  <r>
    <x v="11"/>
    <x v="0"/>
    <s v="Fringe Benefits"/>
    <m/>
    <n v="218964"/>
    <x v="2"/>
    <n v="2920230"/>
    <n v="3130863"/>
    <m/>
    <m/>
    <m/>
    <m/>
    <m/>
    <m/>
    <n v="0"/>
    <m/>
    <m/>
    <n v="0"/>
    <n v="2920230"/>
    <n v="3130863"/>
    <m/>
    <m/>
    <m/>
    <m/>
    <n v="0"/>
    <m/>
    <m/>
    <n v="0"/>
    <m/>
    <m/>
    <m/>
    <m/>
    <m/>
    <m/>
    <n v="2920230"/>
    <n v="3130863"/>
  </r>
  <r>
    <x v="11"/>
    <x v="0"/>
    <s v="Other Operating Expenses"/>
    <m/>
    <n v="218964"/>
    <x v="2"/>
    <m/>
    <n v="162052"/>
    <m/>
    <m/>
    <m/>
    <m/>
    <m/>
    <m/>
    <n v="0"/>
    <m/>
    <m/>
    <n v="0"/>
    <n v="0"/>
    <n v="162052"/>
    <m/>
    <m/>
    <m/>
    <m/>
    <n v="0"/>
    <m/>
    <m/>
    <n v="0"/>
    <m/>
    <m/>
    <m/>
    <m/>
    <m/>
    <m/>
    <n v="0"/>
    <n v="162052"/>
  </r>
  <r>
    <x v="11"/>
    <x v="8"/>
    <s v="Special Line items for education operations"/>
    <m/>
    <n v="218964"/>
    <x v="2"/>
    <m/>
    <m/>
    <m/>
    <m/>
    <m/>
    <m/>
    <m/>
    <m/>
    <n v="0"/>
    <m/>
    <m/>
    <n v="0"/>
    <n v="0"/>
    <n v="0"/>
    <m/>
    <m/>
    <m/>
    <m/>
    <n v="0"/>
    <m/>
    <m/>
    <n v="0"/>
    <m/>
    <m/>
    <m/>
    <m/>
    <m/>
    <m/>
    <n v="0"/>
    <n v="0"/>
  </r>
  <r>
    <x v="11"/>
    <x v="8"/>
    <s v="Deferred Maintenance (NR &amp; Lottery)"/>
    <m/>
    <n v="218964"/>
    <x v="2"/>
    <m/>
    <m/>
    <m/>
    <m/>
    <m/>
    <m/>
    <m/>
    <m/>
    <n v="0"/>
    <m/>
    <m/>
    <n v="0"/>
    <n v="0"/>
    <n v="0"/>
    <m/>
    <m/>
    <m/>
    <m/>
    <n v="0"/>
    <m/>
    <m/>
    <n v="0"/>
    <m/>
    <m/>
    <m/>
    <m/>
    <m/>
    <m/>
    <n v="0"/>
    <n v="0"/>
  </r>
  <r>
    <x v="11"/>
    <x v="8"/>
    <s v="Critical Equip Repair &amp; Replacement(Lottery)"/>
    <m/>
    <n v="218964"/>
    <x v="2"/>
    <m/>
    <m/>
    <m/>
    <n v="170113"/>
    <m/>
    <m/>
    <m/>
    <m/>
    <n v="0"/>
    <m/>
    <m/>
    <n v="0"/>
    <n v="0"/>
    <n v="170113"/>
    <m/>
    <m/>
    <m/>
    <m/>
    <n v="0"/>
    <m/>
    <m/>
    <n v="0"/>
    <m/>
    <m/>
    <m/>
    <m/>
    <m/>
    <m/>
    <n v="0"/>
    <n v="170113"/>
  </r>
  <r>
    <x v="11"/>
    <x v="8"/>
    <s v="Higher Ed Efficiency, Effectiveness &amp; Accountability Review(NR)"/>
    <m/>
    <n v="218964"/>
    <x v="2"/>
    <m/>
    <m/>
    <m/>
    <n v="81917"/>
    <m/>
    <m/>
    <m/>
    <m/>
    <n v="0"/>
    <m/>
    <m/>
    <n v="0"/>
    <n v="0"/>
    <n v="81917"/>
    <m/>
    <m/>
    <m/>
    <m/>
    <n v="0"/>
    <m/>
    <m/>
    <n v="0"/>
    <m/>
    <m/>
    <m/>
    <m/>
    <m/>
    <m/>
    <n v="0"/>
    <n v="81917"/>
  </r>
  <r>
    <x v="11"/>
    <x v="8"/>
    <s v="Personal Services &amp; Operating"/>
    <m/>
    <n v="218964"/>
    <x v="2"/>
    <m/>
    <m/>
    <n v="350000"/>
    <m/>
    <m/>
    <m/>
    <m/>
    <m/>
    <n v="0"/>
    <m/>
    <m/>
    <n v="0"/>
    <n v="350000"/>
    <n v="0"/>
    <m/>
    <m/>
    <m/>
    <m/>
    <n v="0"/>
    <m/>
    <m/>
    <n v="0"/>
    <m/>
    <m/>
    <m/>
    <m/>
    <m/>
    <m/>
    <n v="350000"/>
    <n v="0"/>
  </r>
  <r>
    <x v="11"/>
    <x v="8"/>
    <s v="Withers Roof Replacement Maint. &amp; Repairs"/>
    <m/>
    <n v="218964"/>
    <x v="2"/>
    <m/>
    <m/>
    <n v="750000"/>
    <n v="159738"/>
    <m/>
    <m/>
    <m/>
    <m/>
    <n v="0"/>
    <m/>
    <m/>
    <n v="0"/>
    <n v="750000"/>
    <n v="159738"/>
    <m/>
    <m/>
    <m/>
    <m/>
    <n v="0"/>
    <m/>
    <m/>
    <n v="0"/>
    <m/>
    <m/>
    <m/>
    <m/>
    <m/>
    <m/>
    <n v="750000"/>
    <n v="159738"/>
  </r>
  <r>
    <x v="11"/>
    <x v="8"/>
    <s v="Visual &amp; Performing Arts Accreditation/ADA Access"/>
    <m/>
    <n v="218964"/>
    <x v="2"/>
    <m/>
    <m/>
    <m/>
    <n v="750000"/>
    <m/>
    <m/>
    <m/>
    <m/>
    <n v="0"/>
    <m/>
    <m/>
    <n v="0"/>
    <n v="0"/>
    <n v="750000"/>
    <m/>
    <m/>
    <m/>
    <m/>
    <n v="0"/>
    <m/>
    <m/>
    <n v="0"/>
    <m/>
    <m/>
    <m/>
    <m/>
    <m/>
    <m/>
    <n v="0"/>
    <n v="750000"/>
  </r>
  <r>
    <x v="11"/>
    <x v="8"/>
    <s v="Building Repair &amp; Maintenance (Lottery)"/>
    <m/>
    <n v="218964"/>
    <x v="2"/>
    <m/>
    <m/>
    <n v="569307"/>
    <m/>
    <m/>
    <m/>
    <m/>
    <m/>
    <n v="0"/>
    <m/>
    <m/>
    <n v="0"/>
    <n v="569307"/>
    <n v="0"/>
    <m/>
    <m/>
    <m/>
    <m/>
    <n v="0"/>
    <m/>
    <m/>
    <n v="0"/>
    <m/>
    <m/>
    <m/>
    <m/>
    <m/>
    <m/>
    <n v="569307"/>
    <n v="0"/>
  </r>
  <r>
    <x v="11"/>
    <x v="8"/>
    <s v="Student Info. Technology Infrastructure Update (NR)"/>
    <m/>
    <n v="218964"/>
    <x v="2"/>
    <m/>
    <m/>
    <m/>
    <m/>
    <m/>
    <m/>
    <m/>
    <m/>
    <n v="0"/>
    <m/>
    <m/>
    <n v="0"/>
    <n v="0"/>
    <n v="0"/>
    <m/>
    <m/>
    <m/>
    <m/>
    <n v="0"/>
    <m/>
    <m/>
    <n v="0"/>
    <m/>
    <m/>
    <m/>
    <m/>
    <m/>
    <m/>
    <n v="0"/>
    <n v="0"/>
  </r>
  <r>
    <x v="11"/>
    <x v="8"/>
    <s v="Academic Endowment"/>
    <m/>
    <n v="218964"/>
    <x v="2"/>
    <m/>
    <m/>
    <n v="9071"/>
    <n v="8907"/>
    <m/>
    <m/>
    <m/>
    <m/>
    <n v="0"/>
    <m/>
    <m/>
    <n v="0"/>
    <n v="9071"/>
    <n v="8907"/>
    <m/>
    <m/>
    <m/>
    <m/>
    <n v="0"/>
    <m/>
    <m/>
    <n v="0"/>
    <m/>
    <m/>
    <m/>
    <m/>
    <m/>
    <m/>
    <n v="9071"/>
    <n v="8907"/>
  </r>
  <r>
    <x v="11"/>
    <x v="8"/>
    <s v="Lottery Technology (NR)"/>
    <m/>
    <n v="218964"/>
    <x v="2"/>
    <m/>
    <m/>
    <n v="535585"/>
    <n v="496121"/>
    <m/>
    <m/>
    <m/>
    <m/>
    <n v="0"/>
    <m/>
    <m/>
    <n v="0"/>
    <n v="535585"/>
    <n v="496121"/>
    <m/>
    <m/>
    <m/>
    <m/>
    <n v="0"/>
    <m/>
    <m/>
    <n v="0"/>
    <m/>
    <m/>
    <m/>
    <m/>
    <m/>
    <m/>
    <n v="535585"/>
    <n v="496121"/>
  </r>
  <r>
    <x v="11"/>
    <x v="0"/>
    <s v="Coastal Carolina University"/>
    <s v="Met the criteria for Four-Year 4 in 2013-14 and 2014-15."/>
    <n v="218724"/>
    <x v="4"/>
    <n v="7114430"/>
    <n v="7290286"/>
    <m/>
    <m/>
    <n v="294580"/>
    <n v="393324"/>
    <n v="123863485"/>
    <n v="7149984"/>
    <n v="131013469"/>
    <n v="138795561"/>
    <n v="7103562"/>
    <n v="145899123"/>
    <n v="131272495"/>
    <n v="146479171"/>
    <m/>
    <m/>
    <m/>
    <m/>
    <n v="0"/>
    <m/>
    <m/>
    <n v="0"/>
    <m/>
    <m/>
    <m/>
    <m/>
    <m/>
    <m/>
    <n v="131272495"/>
    <n v="146479171"/>
  </r>
  <r>
    <x v="11"/>
    <x v="0"/>
    <s v="Fringe Benefits"/>
    <m/>
    <n v="218724"/>
    <x v="4"/>
    <n v="2001312"/>
    <n v="2104660"/>
    <m/>
    <m/>
    <m/>
    <m/>
    <m/>
    <m/>
    <n v="0"/>
    <m/>
    <m/>
    <n v="0"/>
    <n v="2001312"/>
    <n v="2104660"/>
    <m/>
    <m/>
    <m/>
    <m/>
    <n v="0"/>
    <m/>
    <m/>
    <n v="0"/>
    <m/>
    <m/>
    <m/>
    <m/>
    <m/>
    <m/>
    <n v="2001312"/>
    <n v="2104660"/>
  </r>
  <r>
    <x v="11"/>
    <x v="0"/>
    <s v="Other Operating Expenses"/>
    <m/>
    <n v="218724"/>
    <x v="4"/>
    <m/>
    <n v="227452"/>
    <m/>
    <m/>
    <m/>
    <m/>
    <m/>
    <m/>
    <n v="0"/>
    <m/>
    <m/>
    <n v="0"/>
    <n v="0"/>
    <n v="227452"/>
    <m/>
    <m/>
    <m/>
    <m/>
    <n v="0"/>
    <m/>
    <m/>
    <n v="0"/>
    <m/>
    <m/>
    <m/>
    <m/>
    <m/>
    <m/>
    <n v="0"/>
    <n v="227452"/>
  </r>
  <r>
    <x v="11"/>
    <x v="8"/>
    <s v="Special Line items for education operations"/>
    <m/>
    <n v="218724"/>
    <x v="4"/>
    <m/>
    <m/>
    <m/>
    <m/>
    <m/>
    <m/>
    <m/>
    <m/>
    <n v="0"/>
    <m/>
    <m/>
    <n v="0"/>
    <n v="0"/>
    <n v="0"/>
    <m/>
    <m/>
    <m/>
    <m/>
    <n v="0"/>
    <m/>
    <m/>
    <n v="0"/>
    <m/>
    <m/>
    <m/>
    <m/>
    <m/>
    <m/>
    <n v="0"/>
    <n v="0"/>
  </r>
  <r>
    <x v="11"/>
    <x v="8"/>
    <s v="Deferred Maintenance (Lottery)"/>
    <m/>
    <n v="218724"/>
    <x v="4"/>
    <m/>
    <m/>
    <m/>
    <m/>
    <m/>
    <m/>
    <m/>
    <m/>
    <n v="0"/>
    <m/>
    <m/>
    <n v="0"/>
    <n v="0"/>
    <n v="0"/>
    <m/>
    <m/>
    <m/>
    <m/>
    <n v="0"/>
    <m/>
    <m/>
    <n v="0"/>
    <m/>
    <m/>
    <m/>
    <m/>
    <m/>
    <m/>
    <n v="0"/>
    <n v="0"/>
  </r>
  <r>
    <x v="11"/>
    <x v="8"/>
    <s v="Critical Equip Repair &amp; Replacement(Lottery)"/>
    <m/>
    <n v="218724"/>
    <x v="4"/>
    <m/>
    <m/>
    <m/>
    <n v="113305"/>
    <m/>
    <m/>
    <m/>
    <m/>
    <n v="0"/>
    <m/>
    <m/>
    <n v="0"/>
    <n v="0"/>
    <n v="113305"/>
    <m/>
    <m/>
    <m/>
    <m/>
    <n v="0"/>
    <m/>
    <m/>
    <n v="0"/>
    <m/>
    <m/>
    <m/>
    <m/>
    <m/>
    <m/>
    <n v="0"/>
    <n v="113305"/>
  </r>
  <r>
    <x v="11"/>
    <x v="8"/>
    <s v="Building Repair &amp; Maintenance (Lottery)"/>
    <m/>
    <n v="218724"/>
    <x v="4"/>
    <m/>
    <m/>
    <n v="390953"/>
    <m/>
    <m/>
    <m/>
    <m/>
    <m/>
    <n v="0"/>
    <m/>
    <m/>
    <n v="0"/>
    <n v="390953"/>
    <n v="0"/>
    <m/>
    <m/>
    <m/>
    <m/>
    <n v="0"/>
    <m/>
    <m/>
    <n v="0"/>
    <m/>
    <m/>
    <m/>
    <m/>
    <m/>
    <m/>
    <n v="390953"/>
    <n v="0"/>
  </r>
  <r>
    <x v="11"/>
    <x v="8"/>
    <s v="Research Vessel (NR)"/>
    <m/>
    <n v="218724"/>
    <x v="4"/>
    <m/>
    <m/>
    <m/>
    <m/>
    <m/>
    <m/>
    <m/>
    <m/>
    <n v="0"/>
    <m/>
    <m/>
    <n v="0"/>
    <n v="0"/>
    <n v="0"/>
    <m/>
    <m/>
    <m/>
    <m/>
    <n v="0"/>
    <m/>
    <m/>
    <n v="0"/>
    <m/>
    <m/>
    <m/>
    <m/>
    <m/>
    <m/>
    <n v="0"/>
    <n v="0"/>
  </r>
  <r>
    <x v="11"/>
    <x v="8"/>
    <s v="Scientific Equipment for Research Vessel (NR)"/>
    <m/>
    <n v="218724"/>
    <x v="4"/>
    <m/>
    <m/>
    <m/>
    <m/>
    <m/>
    <m/>
    <m/>
    <m/>
    <n v="0"/>
    <m/>
    <m/>
    <n v="0"/>
    <n v="0"/>
    <n v="0"/>
    <m/>
    <m/>
    <m/>
    <m/>
    <n v="0"/>
    <m/>
    <m/>
    <n v="0"/>
    <m/>
    <m/>
    <m/>
    <m/>
    <m/>
    <m/>
    <n v="0"/>
    <n v="0"/>
  </r>
  <r>
    <x v="11"/>
    <x v="8"/>
    <s v="Academic Endowment"/>
    <m/>
    <n v="218724"/>
    <x v="4"/>
    <m/>
    <m/>
    <n v="6309"/>
    <n v="5674"/>
    <m/>
    <m/>
    <m/>
    <m/>
    <n v="0"/>
    <m/>
    <m/>
    <n v="0"/>
    <n v="6309"/>
    <n v="5674"/>
    <m/>
    <m/>
    <m/>
    <m/>
    <n v="0"/>
    <m/>
    <m/>
    <n v="0"/>
    <m/>
    <m/>
    <m/>
    <m/>
    <m/>
    <m/>
    <n v="6309"/>
    <n v="5674"/>
  </r>
  <r>
    <x v="11"/>
    <x v="8"/>
    <s v="Lottery Technology (NR)"/>
    <m/>
    <n v="218724"/>
    <x v="4"/>
    <m/>
    <m/>
    <n v="751735"/>
    <n v="703938"/>
    <m/>
    <m/>
    <m/>
    <m/>
    <n v="0"/>
    <m/>
    <m/>
    <n v="0"/>
    <n v="751735"/>
    <n v="703938"/>
    <m/>
    <m/>
    <m/>
    <m/>
    <n v="0"/>
    <m/>
    <m/>
    <n v="0"/>
    <m/>
    <m/>
    <m/>
    <m/>
    <m/>
    <m/>
    <n v="751735"/>
    <n v="703938"/>
  </r>
  <r>
    <x v="11"/>
    <x v="8"/>
    <s v="Higher Ed Efficiency, Effectiveness &amp; Accountability Review(NR)"/>
    <m/>
    <n v="218724"/>
    <x v="4"/>
    <m/>
    <m/>
    <m/>
    <n v="81842"/>
    <m/>
    <m/>
    <m/>
    <m/>
    <n v="0"/>
    <m/>
    <m/>
    <n v="0"/>
    <n v="0"/>
    <n v="81842"/>
    <m/>
    <m/>
    <m/>
    <m/>
    <n v="0"/>
    <m/>
    <m/>
    <n v="0"/>
    <m/>
    <m/>
    <m/>
    <m/>
    <m/>
    <m/>
    <n v="0"/>
    <n v="81842"/>
  </r>
  <r>
    <x v="11"/>
    <x v="8"/>
    <s v="Parity Funding"/>
    <m/>
    <n v="218724"/>
    <x v="4"/>
    <m/>
    <m/>
    <m/>
    <n v="406395"/>
    <m/>
    <m/>
    <m/>
    <m/>
    <n v="0"/>
    <m/>
    <m/>
    <n v="0"/>
    <n v="0"/>
    <n v="406395"/>
    <m/>
    <m/>
    <m/>
    <m/>
    <n v="0"/>
    <m/>
    <m/>
    <n v="0"/>
    <m/>
    <m/>
    <m/>
    <m/>
    <m/>
    <m/>
    <n v="0"/>
    <n v="406395"/>
  </r>
  <r>
    <x v="11"/>
    <x v="0"/>
    <s v="Francis Marion University "/>
    <m/>
    <n v="218061"/>
    <x v="4"/>
    <n v="8689055"/>
    <n v="9757796"/>
    <m/>
    <m/>
    <m/>
    <m/>
    <n v="35629990"/>
    <n v="787516"/>
    <n v="36417506"/>
    <n v="36659572"/>
    <n v="799772"/>
    <n v="37459344"/>
    <n v="44319045"/>
    <n v="46417368"/>
    <m/>
    <m/>
    <m/>
    <m/>
    <n v="0"/>
    <m/>
    <m/>
    <n v="0"/>
    <m/>
    <m/>
    <m/>
    <m/>
    <m/>
    <m/>
    <n v="44319045"/>
    <n v="46417368"/>
  </r>
  <r>
    <x v="11"/>
    <x v="0"/>
    <s v="Fringe Benefits"/>
    <m/>
    <n v="218061"/>
    <x v="4"/>
    <n v="2370144"/>
    <n v="2600011"/>
    <m/>
    <m/>
    <m/>
    <m/>
    <m/>
    <m/>
    <n v="0"/>
    <m/>
    <m/>
    <n v="0"/>
    <n v="2370144"/>
    <n v="2600011"/>
    <m/>
    <m/>
    <m/>
    <m/>
    <n v="0"/>
    <m/>
    <m/>
    <n v="0"/>
    <m/>
    <m/>
    <m/>
    <m/>
    <m/>
    <m/>
    <n v="2370144"/>
    <n v="2600011"/>
  </r>
  <r>
    <x v="11"/>
    <x v="0"/>
    <s v="Other Operating Expenses"/>
    <m/>
    <n v="218061"/>
    <x v="4"/>
    <m/>
    <n v="123230"/>
    <m/>
    <m/>
    <m/>
    <m/>
    <m/>
    <m/>
    <n v="0"/>
    <m/>
    <m/>
    <n v="0"/>
    <n v="0"/>
    <n v="123230"/>
    <m/>
    <m/>
    <m/>
    <m/>
    <n v="0"/>
    <m/>
    <m/>
    <n v="0"/>
    <m/>
    <m/>
    <m/>
    <m/>
    <m/>
    <m/>
    <n v="0"/>
    <n v="123230"/>
  </r>
  <r>
    <x v="11"/>
    <x v="3"/>
    <s v="Community or public service units"/>
    <m/>
    <n v="218061"/>
    <x v="4"/>
    <m/>
    <m/>
    <m/>
    <m/>
    <m/>
    <m/>
    <m/>
    <m/>
    <n v="0"/>
    <m/>
    <m/>
    <n v="0"/>
    <n v="0"/>
    <n v="0"/>
    <m/>
    <m/>
    <m/>
    <m/>
    <n v="0"/>
    <m/>
    <m/>
    <n v="0"/>
    <m/>
    <m/>
    <m/>
    <m/>
    <m/>
    <m/>
    <n v="0"/>
    <n v="0"/>
  </r>
  <r>
    <x v="11"/>
    <x v="7"/>
    <s v="Research centers/institutes"/>
    <m/>
    <n v="218061"/>
    <x v="4"/>
    <m/>
    <m/>
    <m/>
    <m/>
    <m/>
    <m/>
    <m/>
    <m/>
    <n v="0"/>
    <m/>
    <m/>
    <n v="0"/>
    <n v="0"/>
    <n v="0"/>
    <m/>
    <m/>
    <m/>
    <m/>
    <n v="0"/>
    <m/>
    <m/>
    <n v="0"/>
    <m/>
    <m/>
    <m/>
    <m/>
    <m/>
    <m/>
    <n v="0"/>
    <n v="0"/>
  </r>
  <r>
    <x v="11"/>
    <x v="8"/>
    <s v="Special Line items for education operations"/>
    <m/>
    <n v="218061"/>
    <x v="4"/>
    <m/>
    <m/>
    <m/>
    <m/>
    <m/>
    <m/>
    <m/>
    <m/>
    <n v="0"/>
    <m/>
    <m/>
    <n v="0"/>
    <n v="0"/>
    <n v="0"/>
    <m/>
    <m/>
    <m/>
    <m/>
    <n v="0"/>
    <m/>
    <m/>
    <n v="0"/>
    <m/>
    <m/>
    <m/>
    <m/>
    <m/>
    <m/>
    <n v="0"/>
    <n v="0"/>
  </r>
  <r>
    <x v="11"/>
    <x v="8"/>
    <s v="Deferred Maintenance (NR &amp; Lottery)"/>
    <m/>
    <n v="218061"/>
    <x v="4"/>
    <m/>
    <m/>
    <m/>
    <m/>
    <m/>
    <m/>
    <m/>
    <m/>
    <n v="0"/>
    <m/>
    <m/>
    <n v="0"/>
    <n v="0"/>
    <n v="0"/>
    <m/>
    <m/>
    <m/>
    <m/>
    <n v="0"/>
    <m/>
    <m/>
    <n v="0"/>
    <m/>
    <m/>
    <m/>
    <m/>
    <m/>
    <m/>
    <n v="0"/>
    <n v="0"/>
  </r>
  <r>
    <x v="11"/>
    <x v="8"/>
    <s v="Critical Equip Repair &amp; Replacement(Lottery)"/>
    <m/>
    <n v="218061"/>
    <x v="4"/>
    <m/>
    <m/>
    <m/>
    <n v="148648"/>
    <m/>
    <m/>
    <m/>
    <m/>
    <n v="0"/>
    <m/>
    <m/>
    <n v="0"/>
    <n v="0"/>
    <n v="148648"/>
    <m/>
    <m/>
    <m/>
    <m/>
    <n v="0"/>
    <m/>
    <m/>
    <n v="0"/>
    <m/>
    <m/>
    <m/>
    <m/>
    <m/>
    <m/>
    <n v="0"/>
    <n v="148648"/>
  </r>
  <r>
    <x v="11"/>
    <x v="8"/>
    <s v="Higher Ed Efficiency, Effectiveness &amp; Accountability Review(NR)"/>
    <m/>
    <n v="218061"/>
    <x v="4"/>
    <m/>
    <m/>
    <m/>
    <n v="107372"/>
    <m/>
    <m/>
    <m/>
    <m/>
    <n v="0"/>
    <m/>
    <m/>
    <n v="0"/>
    <n v="0"/>
    <n v="107372"/>
    <m/>
    <m/>
    <m/>
    <m/>
    <n v="0"/>
    <m/>
    <m/>
    <n v="0"/>
    <m/>
    <m/>
    <m/>
    <m/>
    <m/>
    <m/>
    <n v="0"/>
    <n v="107372"/>
  </r>
  <r>
    <x v="11"/>
    <x v="8"/>
    <s v="Building Repair &amp; Maintenance (Lottery)"/>
    <m/>
    <n v="218061"/>
    <x v="4"/>
    <m/>
    <m/>
    <n v="494624"/>
    <m/>
    <m/>
    <m/>
    <m/>
    <m/>
    <n v="0"/>
    <m/>
    <m/>
    <n v="0"/>
    <n v="494624"/>
    <n v="0"/>
    <m/>
    <m/>
    <m/>
    <m/>
    <n v="0"/>
    <m/>
    <m/>
    <n v="0"/>
    <m/>
    <m/>
    <m/>
    <m/>
    <m/>
    <m/>
    <n v="494624"/>
    <n v="0"/>
  </r>
  <r>
    <x v="11"/>
    <x v="8"/>
    <s v="Nurse Practitioner Program"/>
    <m/>
    <n v="218061"/>
    <x v="4"/>
    <m/>
    <m/>
    <n v="500000"/>
    <m/>
    <m/>
    <m/>
    <m/>
    <m/>
    <n v="0"/>
    <m/>
    <m/>
    <n v="0"/>
    <n v="500000"/>
    <n v="0"/>
    <m/>
    <m/>
    <m/>
    <m/>
    <n v="0"/>
    <m/>
    <m/>
    <n v="0"/>
    <m/>
    <m/>
    <m/>
    <m/>
    <m/>
    <m/>
    <n v="500000"/>
    <n v="0"/>
  </r>
  <r>
    <x v="11"/>
    <x v="8"/>
    <s v="Industrial Engineering"/>
    <m/>
    <n v="218061"/>
    <x v="4"/>
    <m/>
    <m/>
    <n v="400000"/>
    <m/>
    <m/>
    <m/>
    <m/>
    <m/>
    <n v="0"/>
    <m/>
    <m/>
    <n v="0"/>
    <n v="400000"/>
    <n v="0"/>
    <m/>
    <m/>
    <m/>
    <m/>
    <n v="0"/>
    <m/>
    <m/>
    <n v="0"/>
    <m/>
    <m/>
    <m/>
    <m/>
    <m/>
    <m/>
    <n v="400000"/>
    <n v="0"/>
  </r>
  <r>
    <x v="11"/>
    <x v="8"/>
    <s v="Academic Endowment"/>
    <m/>
    <n v="218061"/>
    <x v="4"/>
    <m/>
    <m/>
    <n v="4509"/>
    <n v="4291"/>
    <m/>
    <m/>
    <m/>
    <m/>
    <n v="0"/>
    <m/>
    <m/>
    <n v="0"/>
    <n v="4509"/>
    <n v="4291"/>
    <m/>
    <m/>
    <m/>
    <m/>
    <n v="0"/>
    <m/>
    <m/>
    <n v="0"/>
    <m/>
    <m/>
    <m/>
    <m/>
    <m/>
    <m/>
    <n v="4509"/>
    <n v="4291"/>
  </r>
  <r>
    <x v="11"/>
    <x v="8"/>
    <s v="Lottery Technology (NR)"/>
    <m/>
    <n v="218061"/>
    <x v="4"/>
    <m/>
    <m/>
    <n v="407279"/>
    <n v="379959"/>
    <m/>
    <m/>
    <m/>
    <m/>
    <n v="0"/>
    <m/>
    <m/>
    <n v="0"/>
    <n v="407279"/>
    <n v="379959"/>
    <m/>
    <m/>
    <m/>
    <m/>
    <n v="0"/>
    <m/>
    <m/>
    <n v="0"/>
    <m/>
    <m/>
    <m/>
    <m/>
    <m/>
    <m/>
    <n v="407279"/>
    <n v="379959"/>
  </r>
  <r>
    <x v="11"/>
    <x v="8"/>
    <s v="Physicians Assistant Degree Program"/>
    <m/>
    <n v="218061"/>
    <x v="4"/>
    <m/>
    <m/>
    <m/>
    <n v="380000"/>
    <m/>
    <m/>
    <m/>
    <m/>
    <n v="0"/>
    <m/>
    <m/>
    <n v="0"/>
    <n v="0"/>
    <n v="380000"/>
    <m/>
    <m/>
    <m/>
    <m/>
    <n v="0"/>
    <m/>
    <m/>
    <n v="0"/>
    <m/>
    <m/>
    <m/>
    <m/>
    <m/>
    <m/>
    <n v="0"/>
    <n v="380000"/>
  </r>
  <r>
    <x v="11"/>
    <x v="8"/>
    <s v="Repair &amp; Maintenance-Classroom Buildings Renovation"/>
    <m/>
    <n v="218061"/>
    <x v="4"/>
    <m/>
    <m/>
    <m/>
    <n v="139583"/>
    <m/>
    <m/>
    <m/>
    <m/>
    <n v="0"/>
    <m/>
    <m/>
    <n v="0"/>
    <n v="0"/>
    <n v="139583"/>
    <m/>
    <m/>
    <m/>
    <m/>
    <n v="0"/>
    <m/>
    <m/>
    <n v="0"/>
    <m/>
    <m/>
    <m/>
    <m/>
    <m/>
    <m/>
    <n v="0"/>
    <n v="139583"/>
  </r>
  <r>
    <x v="11"/>
    <x v="8"/>
    <s v="Founders Hall Renovation"/>
    <m/>
    <n v="218061"/>
    <x v="4"/>
    <m/>
    <m/>
    <m/>
    <n v="1500000"/>
    <m/>
    <m/>
    <m/>
    <m/>
    <n v="0"/>
    <m/>
    <m/>
    <n v="0"/>
    <n v="0"/>
    <n v="1500000"/>
    <m/>
    <m/>
    <m/>
    <m/>
    <n v="0"/>
    <m/>
    <m/>
    <n v="0"/>
    <m/>
    <m/>
    <m/>
    <m/>
    <m/>
    <m/>
    <n v="0"/>
    <n v="1500000"/>
  </r>
  <r>
    <x v="11"/>
    <x v="0"/>
    <s v="South Carolina State University "/>
    <m/>
    <n v="218733"/>
    <x v="4"/>
    <n v="9032510"/>
    <n v="9609745"/>
    <m/>
    <m/>
    <m/>
    <m/>
    <n v="27087322"/>
    <n v="3012052"/>
    <n v="30099374"/>
    <n v="25817578"/>
    <n v="3017991"/>
    <n v="28835569"/>
    <n v="36119832"/>
    <n v="35427323"/>
    <m/>
    <m/>
    <m/>
    <m/>
    <n v="0"/>
    <m/>
    <m/>
    <n v="0"/>
    <m/>
    <m/>
    <m/>
    <m/>
    <m/>
    <m/>
    <n v="36119832"/>
    <n v="35427323"/>
  </r>
  <r>
    <x v="11"/>
    <x v="0"/>
    <s v="Fringe Benefits"/>
    <m/>
    <n v="218733"/>
    <x v="4"/>
    <n v="3079047"/>
    <n v="3236362"/>
    <m/>
    <m/>
    <m/>
    <m/>
    <m/>
    <m/>
    <n v="0"/>
    <m/>
    <m/>
    <n v="0"/>
    <n v="3079047"/>
    <n v="3236362"/>
    <m/>
    <m/>
    <m/>
    <m/>
    <n v="0"/>
    <m/>
    <m/>
    <n v="0"/>
    <m/>
    <m/>
    <m/>
    <m/>
    <m/>
    <m/>
    <n v="3079047"/>
    <n v="3236362"/>
  </r>
  <r>
    <x v="11"/>
    <x v="3"/>
    <s v="Community or public service units"/>
    <m/>
    <n v="218733"/>
    <x v="4"/>
    <m/>
    <m/>
    <m/>
    <m/>
    <m/>
    <m/>
    <m/>
    <m/>
    <n v="0"/>
    <m/>
    <m/>
    <n v="0"/>
    <n v="0"/>
    <n v="0"/>
    <m/>
    <m/>
    <m/>
    <m/>
    <n v="0"/>
    <m/>
    <m/>
    <n v="0"/>
    <m/>
    <m/>
    <m/>
    <m/>
    <m/>
    <m/>
    <n v="0"/>
    <n v="0"/>
  </r>
  <r>
    <x v="11"/>
    <x v="5"/>
    <s v="Public Service Activities"/>
    <m/>
    <n v="218733"/>
    <x v="4"/>
    <m/>
    <m/>
    <n v="3020244"/>
    <n v="3405200"/>
    <m/>
    <m/>
    <m/>
    <m/>
    <n v="0"/>
    <m/>
    <m/>
    <n v="0"/>
    <n v="3020244"/>
    <n v="3405200"/>
    <m/>
    <m/>
    <m/>
    <m/>
    <n v="0"/>
    <m/>
    <m/>
    <n v="0"/>
    <m/>
    <m/>
    <m/>
    <m/>
    <m/>
    <m/>
    <n v="3020244"/>
    <n v="3405200"/>
  </r>
  <r>
    <x v="11"/>
    <x v="7"/>
    <s v="Research centers/institutes"/>
    <m/>
    <n v="218733"/>
    <x v="4"/>
    <m/>
    <m/>
    <m/>
    <m/>
    <m/>
    <m/>
    <m/>
    <m/>
    <n v="0"/>
    <m/>
    <m/>
    <n v="0"/>
    <n v="0"/>
    <n v="0"/>
    <m/>
    <m/>
    <m/>
    <m/>
    <n v="0"/>
    <m/>
    <m/>
    <n v="0"/>
    <m/>
    <m/>
    <m/>
    <m/>
    <m/>
    <m/>
    <n v="0"/>
    <n v="0"/>
  </r>
  <r>
    <x v="11"/>
    <x v="8"/>
    <s v="Special Line items for education operations"/>
    <m/>
    <n v="218733"/>
    <x v="4"/>
    <m/>
    <m/>
    <m/>
    <m/>
    <m/>
    <m/>
    <m/>
    <m/>
    <n v="0"/>
    <m/>
    <m/>
    <n v="0"/>
    <n v="0"/>
    <n v="0"/>
    <m/>
    <m/>
    <m/>
    <m/>
    <n v="0"/>
    <m/>
    <m/>
    <n v="0"/>
    <m/>
    <m/>
    <m/>
    <m/>
    <m/>
    <m/>
    <n v="0"/>
    <n v="0"/>
  </r>
  <r>
    <x v="11"/>
    <x v="8"/>
    <s v="Deferred Maintenance (NR &amp; Lottery)"/>
    <m/>
    <n v="218733"/>
    <x v="4"/>
    <m/>
    <m/>
    <m/>
    <m/>
    <m/>
    <m/>
    <m/>
    <m/>
    <n v="0"/>
    <m/>
    <m/>
    <n v="0"/>
    <n v="0"/>
    <n v="0"/>
    <m/>
    <m/>
    <m/>
    <m/>
    <n v="0"/>
    <m/>
    <m/>
    <n v="0"/>
    <m/>
    <m/>
    <m/>
    <m/>
    <m/>
    <m/>
    <n v="0"/>
    <n v="0"/>
  </r>
  <r>
    <x v="11"/>
    <x v="8"/>
    <s v="Critical Equip Repair &amp; Replacement(lottery)"/>
    <m/>
    <n v="218733"/>
    <x v="4"/>
    <m/>
    <m/>
    <m/>
    <n v="154842"/>
    <m/>
    <m/>
    <m/>
    <m/>
    <n v="0"/>
    <m/>
    <m/>
    <n v="0"/>
    <n v="0"/>
    <n v="154842"/>
    <m/>
    <m/>
    <m/>
    <m/>
    <n v="0"/>
    <m/>
    <m/>
    <n v="0"/>
    <m/>
    <m/>
    <m/>
    <m/>
    <m/>
    <m/>
    <n v="0"/>
    <n v="154842"/>
  </r>
  <r>
    <x v="11"/>
    <x v="8"/>
    <s v="Higher Education Efficiency, Effectiveness &amp; Accountability Review"/>
    <m/>
    <n v="218733"/>
    <x v="4"/>
    <m/>
    <m/>
    <m/>
    <n v="624142"/>
    <m/>
    <m/>
    <m/>
    <m/>
    <n v="0"/>
    <m/>
    <m/>
    <n v="0"/>
    <n v="0"/>
    <n v="624142"/>
    <m/>
    <m/>
    <m/>
    <m/>
    <n v="0"/>
    <m/>
    <m/>
    <n v="0"/>
    <m/>
    <m/>
    <m/>
    <m/>
    <m/>
    <m/>
    <n v="0"/>
    <n v="624142"/>
  </r>
  <r>
    <x v="11"/>
    <x v="8"/>
    <s v="Building Repair &amp; Maintenance (Lottery)"/>
    <m/>
    <n v="218733"/>
    <x v="4"/>
    <m/>
    <m/>
    <n v="518277"/>
    <m/>
    <m/>
    <m/>
    <m/>
    <m/>
    <n v="0"/>
    <m/>
    <m/>
    <n v="0"/>
    <n v="518277"/>
    <n v="0"/>
    <m/>
    <m/>
    <m/>
    <m/>
    <n v="0"/>
    <m/>
    <m/>
    <n v="0"/>
    <m/>
    <m/>
    <m/>
    <m/>
    <m/>
    <m/>
    <n v="518277"/>
    <n v="0"/>
  </r>
  <r>
    <x v="11"/>
    <x v="8"/>
    <s v="Academic Endowment"/>
    <m/>
    <n v="218733"/>
    <x v="4"/>
    <m/>
    <m/>
    <n v="1793"/>
    <n v="1610"/>
    <m/>
    <m/>
    <m/>
    <m/>
    <n v="0"/>
    <m/>
    <m/>
    <n v="0"/>
    <n v="1793"/>
    <n v="1610"/>
    <m/>
    <m/>
    <m/>
    <m/>
    <n v="0"/>
    <m/>
    <m/>
    <n v="0"/>
    <m/>
    <m/>
    <m/>
    <m/>
    <m/>
    <m/>
    <n v="1793"/>
    <n v="1610"/>
  </r>
  <r>
    <x v="11"/>
    <x v="8"/>
    <s v="S.C. State Univ. Business School "/>
    <m/>
    <n v="218733"/>
    <x v="4"/>
    <m/>
    <m/>
    <n v="279504"/>
    <n v="279504"/>
    <m/>
    <m/>
    <m/>
    <m/>
    <n v="0"/>
    <m/>
    <m/>
    <n v="0"/>
    <n v="279504"/>
    <n v="279504"/>
    <m/>
    <m/>
    <m/>
    <m/>
    <n v="0"/>
    <m/>
    <m/>
    <n v="0"/>
    <m/>
    <m/>
    <m/>
    <m/>
    <m/>
    <m/>
    <n v="279504"/>
    <n v="279504"/>
  </r>
  <r>
    <x v="11"/>
    <x v="8"/>
    <s v="Enrollment Management"/>
    <m/>
    <n v="218733"/>
    <x v="4"/>
    <m/>
    <m/>
    <n v="346000"/>
    <m/>
    <m/>
    <m/>
    <m/>
    <m/>
    <n v="0"/>
    <m/>
    <m/>
    <n v="0"/>
    <n v="346000"/>
    <n v="0"/>
    <m/>
    <m/>
    <m/>
    <m/>
    <n v="0"/>
    <m/>
    <m/>
    <n v="0"/>
    <m/>
    <m/>
    <m/>
    <m/>
    <m/>
    <m/>
    <n v="346000"/>
    <n v="0"/>
  </r>
  <r>
    <x v="11"/>
    <x v="8"/>
    <s v="Transportation Center Match"/>
    <m/>
    <n v="218733"/>
    <x v="4"/>
    <m/>
    <m/>
    <m/>
    <m/>
    <m/>
    <m/>
    <m/>
    <m/>
    <n v="0"/>
    <m/>
    <m/>
    <n v="0"/>
    <n v="0"/>
    <n v="0"/>
    <m/>
    <m/>
    <m/>
    <m/>
    <n v="0"/>
    <m/>
    <m/>
    <n v="0"/>
    <m/>
    <m/>
    <m/>
    <m/>
    <m/>
    <m/>
    <n v="0"/>
    <n v="0"/>
  </r>
  <r>
    <x v="11"/>
    <x v="8"/>
    <s v="South Carolina Alliance for Minority Participation (SCAMP)"/>
    <m/>
    <n v="218733"/>
    <x v="4"/>
    <m/>
    <m/>
    <m/>
    <m/>
    <m/>
    <m/>
    <m/>
    <m/>
    <n v="0"/>
    <m/>
    <m/>
    <n v="0"/>
    <n v="0"/>
    <n v="0"/>
    <m/>
    <m/>
    <m/>
    <m/>
    <n v="0"/>
    <m/>
    <m/>
    <n v="0"/>
    <m/>
    <m/>
    <m/>
    <m/>
    <m/>
    <m/>
    <n v="0"/>
    <n v="0"/>
  </r>
  <r>
    <x v="11"/>
    <x v="8"/>
    <s v="African American Loan Program"/>
    <m/>
    <n v="218733"/>
    <x v="4"/>
    <m/>
    <m/>
    <n v="87924"/>
    <n v="87924"/>
    <m/>
    <m/>
    <m/>
    <m/>
    <n v="0"/>
    <m/>
    <m/>
    <n v="0"/>
    <n v="87924"/>
    <n v="87924"/>
    <m/>
    <m/>
    <m/>
    <m/>
    <n v="0"/>
    <m/>
    <m/>
    <n v="0"/>
    <m/>
    <m/>
    <m/>
    <m/>
    <m/>
    <m/>
    <n v="87924"/>
    <n v="87924"/>
  </r>
  <r>
    <x v="11"/>
    <x v="8"/>
    <s v="Operating Funds (Lottery) (NR)"/>
    <m/>
    <n v="218733"/>
    <x v="4"/>
    <m/>
    <m/>
    <n v="2500000"/>
    <n v="2500000"/>
    <m/>
    <m/>
    <m/>
    <m/>
    <n v="0"/>
    <m/>
    <m/>
    <n v="0"/>
    <n v="2500000"/>
    <n v="2500000"/>
    <m/>
    <m/>
    <m/>
    <m/>
    <n v="0"/>
    <m/>
    <m/>
    <n v="0"/>
    <m/>
    <m/>
    <m/>
    <m/>
    <m/>
    <m/>
    <n v="2500000"/>
    <n v="2500000"/>
  </r>
  <r>
    <x v="11"/>
    <x v="8"/>
    <s v="Higher Education Excellence Enhancement Program (Lottery)(NR)"/>
    <m/>
    <n v="218733"/>
    <x v="4"/>
    <m/>
    <m/>
    <n v="497256"/>
    <n v="538387"/>
    <m/>
    <m/>
    <m/>
    <m/>
    <n v="0"/>
    <m/>
    <m/>
    <n v="0"/>
    <n v="497256"/>
    <n v="538387"/>
    <m/>
    <m/>
    <m/>
    <m/>
    <n v="0"/>
    <m/>
    <m/>
    <n v="0"/>
    <m/>
    <m/>
    <m/>
    <m/>
    <m/>
    <m/>
    <n v="497256"/>
    <n v="538387"/>
  </r>
  <r>
    <x v="11"/>
    <x v="8"/>
    <s v="Lottery Technology (NR)"/>
    <m/>
    <n v="218733"/>
    <x v="4"/>
    <m/>
    <m/>
    <n v="422737"/>
    <n v="364857"/>
    <m/>
    <m/>
    <m/>
    <m/>
    <n v="0"/>
    <m/>
    <m/>
    <n v="0"/>
    <n v="422737"/>
    <n v="364857"/>
    <m/>
    <m/>
    <m/>
    <m/>
    <n v="0"/>
    <m/>
    <m/>
    <n v="0"/>
    <m/>
    <m/>
    <m/>
    <m/>
    <m/>
    <m/>
    <n v="422737"/>
    <n v="364857"/>
  </r>
  <r>
    <x v="11"/>
    <x v="0"/>
    <s v="Lander University"/>
    <m/>
    <n v="218229"/>
    <x v="5"/>
    <n v="4728621"/>
    <n v="4813533"/>
    <m/>
    <m/>
    <m/>
    <m/>
    <n v="29841412"/>
    <n v="128772"/>
    <n v="29970184"/>
    <n v="29769886"/>
    <n v="128244"/>
    <n v="29898130"/>
    <n v="34570033"/>
    <n v="34583419"/>
    <m/>
    <m/>
    <m/>
    <m/>
    <n v="0"/>
    <m/>
    <m/>
    <n v="0"/>
    <m/>
    <m/>
    <m/>
    <m/>
    <m/>
    <m/>
    <n v="34570033"/>
    <n v="34583419"/>
  </r>
  <r>
    <x v="11"/>
    <x v="0"/>
    <s v="Fringe Benefits"/>
    <m/>
    <n v="218229"/>
    <x v="5"/>
    <n v="1504011"/>
    <n v="1614038"/>
    <m/>
    <m/>
    <m/>
    <m/>
    <m/>
    <m/>
    <n v="0"/>
    <m/>
    <m/>
    <n v="0"/>
    <n v="1504011"/>
    <n v="1614038"/>
    <m/>
    <m/>
    <m/>
    <m/>
    <n v="0"/>
    <m/>
    <m/>
    <n v="0"/>
    <m/>
    <m/>
    <m/>
    <m/>
    <m/>
    <m/>
    <n v="1504011"/>
    <n v="1614038"/>
  </r>
  <r>
    <x v="11"/>
    <x v="0"/>
    <s v="Other Operaing Expenses"/>
    <m/>
    <n v="218229"/>
    <x v="5"/>
    <m/>
    <n v="110196"/>
    <m/>
    <m/>
    <m/>
    <m/>
    <m/>
    <m/>
    <n v="0"/>
    <m/>
    <m/>
    <n v="0"/>
    <n v="0"/>
    <n v="110196"/>
    <m/>
    <m/>
    <m/>
    <m/>
    <n v="0"/>
    <m/>
    <m/>
    <n v="0"/>
    <m/>
    <m/>
    <m/>
    <m/>
    <m/>
    <m/>
    <n v="0"/>
    <n v="110196"/>
  </r>
  <r>
    <x v="11"/>
    <x v="8"/>
    <s v="Special Line items for education operations"/>
    <m/>
    <n v="218229"/>
    <x v="5"/>
    <m/>
    <m/>
    <m/>
    <m/>
    <m/>
    <m/>
    <m/>
    <m/>
    <n v="0"/>
    <m/>
    <m/>
    <n v="0"/>
    <n v="0"/>
    <n v="0"/>
    <m/>
    <m/>
    <m/>
    <m/>
    <n v="0"/>
    <m/>
    <m/>
    <n v="0"/>
    <m/>
    <m/>
    <m/>
    <m/>
    <m/>
    <m/>
    <n v="0"/>
    <n v="0"/>
  </r>
  <r>
    <x v="11"/>
    <x v="8"/>
    <s v="Deferred Maintenance (NR &amp; Lottery)"/>
    <m/>
    <n v="218229"/>
    <x v="5"/>
    <m/>
    <m/>
    <m/>
    <m/>
    <m/>
    <m/>
    <m/>
    <m/>
    <n v="0"/>
    <m/>
    <m/>
    <n v="0"/>
    <n v="0"/>
    <n v="0"/>
    <m/>
    <m/>
    <m/>
    <m/>
    <n v="0"/>
    <m/>
    <m/>
    <n v="0"/>
    <m/>
    <m/>
    <m/>
    <m/>
    <m/>
    <m/>
    <n v="0"/>
    <n v="0"/>
  </r>
  <r>
    <x v="11"/>
    <x v="8"/>
    <s v="Critical Equip Repair &amp; Replacement(Lottery)"/>
    <m/>
    <n v="218229"/>
    <x v="5"/>
    <m/>
    <m/>
    <m/>
    <n v="77469"/>
    <m/>
    <m/>
    <m/>
    <m/>
    <n v="0"/>
    <m/>
    <m/>
    <n v="0"/>
    <n v="0"/>
    <n v="77469"/>
    <m/>
    <m/>
    <m/>
    <m/>
    <n v="0"/>
    <m/>
    <m/>
    <n v="0"/>
    <m/>
    <m/>
    <m/>
    <m/>
    <m/>
    <m/>
    <n v="0"/>
    <n v="77469"/>
  </r>
  <r>
    <x v="11"/>
    <x v="8"/>
    <s v="Higher Ed Efficiency, Effectiveness &amp; Accountability Review(NR)"/>
    <m/>
    <n v="218229"/>
    <x v="5"/>
    <m/>
    <m/>
    <m/>
    <n v="55958"/>
    <m/>
    <m/>
    <m/>
    <m/>
    <n v="0"/>
    <m/>
    <m/>
    <n v="0"/>
    <n v="0"/>
    <n v="55958"/>
    <m/>
    <m/>
    <m/>
    <m/>
    <n v="0"/>
    <m/>
    <m/>
    <n v="0"/>
    <m/>
    <m/>
    <m/>
    <m/>
    <m/>
    <m/>
    <n v="0"/>
    <n v="55958"/>
  </r>
  <r>
    <x v="11"/>
    <x v="8"/>
    <s v="Energy Management"/>
    <m/>
    <n v="218229"/>
    <x v="5"/>
    <m/>
    <m/>
    <m/>
    <n v="272745"/>
    <m/>
    <m/>
    <m/>
    <m/>
    <n v="0"/>
    <m/>
    <m/>
    <n v="0"/>
    <n v="0"/>
    <n v="272745"/>
    <m/>
    <m/>
    <m/>
    <m/>
    <n v="0"/>
    <m/>
    <m/>
    <n v="0"/>
    <m/>
    <m/>
    <m/>
    <m/>
    <m/>
    <m/>
    <n v="0"/>
    <n v="272745"/>
  </r>
  <r>
    <x v="11"/>
    <x v="8"/>
    <s v="Building Repair &amp; Maintenance (Lottery)"/>
    <m/>
    <n v="218229"/>
    <x v="5"/>
    <m/>
    <m/>
    <n v="266807"/>
    <m/>
    <m/>
    <m/>
    <m/>
    <m/>
    <n v="0"/>
    <m/>
    <m/>
    <n v="0"/>
    <n v="266807"/>
    <n v="0"/>
    <m/>
    <m/>
    <m/>
    <m/>
    <n v="0"/>
    <m/>
    <m/>
    <n v="0"/>
    <m/>
    <m/>
    <m/>
    <m/>
    <m/>
    <m/>
    <n v="266807"/>
    <n v="0"/>
  </r>
  <r>
    <x v="11"/>
    <x v="8"/>
    <s v="National Center for Montessori Education"/>
    <m/>
    <n v="218229"/>
    <x v="5"/>
    <m/>
    <m/>
    <n v="750000"/>
    <m/>
    <m/>
    <m/>
    <m/>
    <m/>
    <n v="0"/>
    <m/>
    <m/>
    <n v="0"/>
    <n v="750000"/>
    <n v="0"/>
    <m/>
    <m/>
    <m/>
    <m/>
    <n v="0"/>
    <m/>
    <m/>
    <n v="0"/>
    <m/>
    <m/>
    <m/>
    <m/>
    <m/>
    <m/>
    <n v="750000"/>
    <n v="0"/>
  </r>
  <r>
    <x v="11"/>
    <x v="8"/>
    <s v="Academic Endowment"/>
    <m/>
    <n v="218229"/>
    <x v="5"/>
    <m/>
    <m/>
    <m/>
    <n v="3322"/>
    <m/>
    <m/>
    <m/>
    <m/>
    <n v="0"/>
    <m/>
    <m/>
    <n v="0"/>
    <n v="0"/>
    <n v="3322"/>
    <m/>
    <m/>
    <m/>
    <m/>
    <n v="0"/>
    <m/>
    <m/>
    <n v="0"/>
    <m/>
    <m/>
    <m/>
    <m/>
    <m/>
    <m/>
    <n v="0"/>
    <n v="3322"/>
  </r>
  <r>
    <x v="11"/>
    <x v="8"/>
    <s v="Lottery Technology (NR)"/>
    <m/>
    <n v="218229"/>
    <x v="5"/>
    <m/>
    <m/>
    <n v="364199"/>
    <n v="331314"/>
    <m/>
    <m/>
    <m/>
    <m/>
    <n v="0"/>
    <m/>
    <m/>
    <n v="0"/>
    <n v="364199"/>
    <n v="331314"/>
    <m/>
    <m/>
    <m/>
    <m/>
    <n v="0"/>
    <m/>
    <m/>
    <n v="0"/>
    <m/>
    <m/>
    <m/>
    <m/>
    <m/>
    <m/>
    <n v="364199"/>
    <n v="331314"/>
  </r>
  <r>
    <x v="11"/>
    <x v="0"/>
    <s v="University of South Carolina-Aiken"/>
    <m/>
    <n v="218645"/>
    <x v="5"/>
    <n v="4997592"/>
    <n v="5377284"/>
    <m/>
    <m/>
    <m/>
    <m/>
    <n v="28709998"/>
    <n v="1305172"/>
    <n v="30015170"/>
    <n v="28709998"/>
    <n v="1305172"/>
    <n v="30015170"/>
    <n v="33707590"/>
    <n v="34087282"/>
    <m/>
    <m/>
    <m/>
    <m/>
    <n v="0"/>
    <m/>
    <m/>
    <n v="0"/>
    <m/>
    <m/>
    <m/>
    <m/>
    <m/>
    <m/>
    <n v="33707590"/>
    <n v="34087282"/>
  </r>
  <r>
    <x v="11"/>
    <x v="0"/>
    <s v="Fringe Benefits"/>
    <m/>
    <n v="218645"/>
    <x v="5"/>
    <n v="1315210"/>
    <n v="1398816"/>
    <m/>
    <m/>
    <m/>
    <m/>
    <m/>
    <m/>
    <n v="0"/>
    <m/>
    <m/>
    <n v="0"/>
    <n v="1315210"/>
    <n v="1398816"/>
    <m/>
    <m/>
    <m/>
    <m/>
    <n v="0"/>
    <m/>
    <m/>
    <n v="0"/>
    <m/>
    <m/>
    <m/>
    <m/>
    <m/>
    <m/>
    <n v="1315210"/>
    <n v="1398816"/>
  </r>
  <r>
    <x v="11"/>
    <x v="8"/>
    <s v="Special Line items for education operations"/>
    <m/>
    <n v="218645"/>
    <x v="5"/>
    <m/>
    <m/>
    <m/>
    <m/>
    <m/>
    <m/>
    <m/>
    <m/>
    <n v="0"/>
    <m/>
    <m/>
    <n v="0"/>
    <n v="0"/>
    <n v="0"/>
    <m/>
    <m/>
    <m/>
    <m/>
    <n v="0"/>
    <m/>
    <m/>
    <n v="0"/>
    <m/>
    <m/>
    <m/>
    <m/>
    <m/>
    <m/>
    <n v="0"/>
    <n v="0"/>
  </r>
  <r>
    <x v="11"/>
    <x v="8"/>
    <s v="Deferred Maintenance (NR &amp; Lottery)"/>
    <m/>
    <n v="218645"/>
    <x v="5"/>
    <m/>
    <m/>
    <m/>
    <m/>
    <m/>
    <m/>
    <m/>
    <m/>
    <n v="0"/>
    <m/>
    <m/>
    <n v="0"/>
    <n v="0"/>
    <n v="0"/>
    <m/>
    <m/>
    <m/>
    <m/>
    <n v="0"/>
    <m/>
    <m/>
    <n v="0"/>
    <m/>
    <m/>
    <m/>
    <m/>
    <m/>
    <m/>
    <n v="0"/>
    <n v="0"/>
  </r>
  <r>
    <x v="11"/>
    <x v="8"/>
    <s v="Personal Services and Operating"/>
    <m/>
    <n v="218645"/>
    <x v="5"/>
    <m/>
    <m/>
    <n v="250000"/>
    <m/>
    <m/>
    <m/>
    <m/>
    <m/>
    <n v="0"/>
    <m/>
    <m/>
    <n v="0"/>
    <n v="250000"/>
    <n v="0"/>
    <m/>
    <m/>
    <m/>
    <m/>
    <n v="0"/>
    <m/>
    <m/>
    <n v="0"/>
    <m/>
    <m/>
    <m/>
    <m/>
    <m/>
    <m/>
    <n v="250000"/>
    <n v="0"/>
  </r>
  <r>
    <x v="11"/>
    <x v="8"/>
    <s v="Palmetto College (Recurring)"/>
    <m/>
    <n v="218645"/>
    <x v="5"/>
    <m/>
    <m/>
    <n v="474500"/>
    <n v="280500"/>
    <m/>
    <m/>
    <m/>
    <m/>
    <n v="0"/>
    <m/>
    <m/>
    <n v="0"/>
    <n v="474500"/>
    <n v="280500"/>
    <m/>
    <m/>
    <m/>
    <m/>
    <n v="0"/>
    <m/>
    <m/>
    <n v="0"/>
    <m/>
    <m/>
    <m/>
    <m/>
    <m/>
    <m/>
    <n v="474500"/>
    <n v="280500"/>
  </r>
  <r>
    <x v="11"/>
    <x v="8"/>
    <s v="Building-Roof &amp; HVAC Repair/Replacement"/>
    <m/>
    <n v="218645"/>
    <x v="5"/>
    <m/>
    <m/>
    <n v="575000"/>
    <m/>
    <m/>
    <m/>
    <m/>
    <m/>
    <n v="0"/>
    <m/>
    <m/>
    <n v="0"/>
    <n v="575000"/>
    <n v="0"/>
    <m/>
    <m/>
    <m/>
    <m/>
    <n v="0"/>
    <m/>
    <m/>
    <n v="0"/>
    <m/>
    <m/>
    <m/>
    <m/>
    <m/>
    <m/>
    <n v="575000"/>
    <n v="0"/>
  </r>
  <r>
    <x v="11"/>
    <x v="8"/>
    <s v="Building Repair &amp; Maintenance (Lottery)"/>
    <m/>
    <n v="218645"/>
    <x v="5"/>
    <m/>
    <m/>
    <n v="270221"/>
    <m/>
    <m/>
    <m/>
    <m/>
    <m/>
    <n v="0"/>
    <m/>
    <m/>
    <n v="0"/>
    <n v="270221"/>
    <n v="0"/>
    <m/>
    <m/>
    <m/>
    <m/>
    <n v="0"/>
    <m/>
    <m/>
    <n v="0"/>
    <m/>
    <m/>
    <m/>
    <m/>
    <m/>
    <m/>
    <n v="270221"/>
    <n v="0"/>
  </r>
  <r>
    <x v="11"/>
    <x v="8"/>
    <s v="Critical Equip Repair &amp; Replacement(Lottery)"/>
    <m/>
    <n v="218645"/>
    <x v="5"/>
    <m/>
    <m/>
    <m/>
    <n v="81573"/>
    <m/>
    <m/>
    <m/>
    <m/>
    <n v="0"/>
    <m/>
    <m/>
    <n v="0"/>
    <n v="0"/>
    <n v="81573"/>
    <m/>
    <m/>
    <m/>
    <m/>
    <n v="0"/>
    <m/>
    <m/>
    <n v="0"/>
    <m/>
    <m/>
    <m/>
    <m/>
    <m/>
    <m/>
    <n v="0"/>
    <n v="81573"/>
  </r>
  <r>
    <x v="11"/>
    <x v="8"/>
    <s v="Higher Ed Efficiency, Effectiveness &amp; Accountability Review(NR)"/>
    <m/>
    <n v="218645"/>
    <x v="5"/>
    <m/>
    <m/>
    <m/>
    <n v="58922"/>
    <m/>
    <m/>
    <m/>
    <m/>
    <n v="0"/>
    <m/>
    <m/>
    <n v="0"/>
    <n v="0"/>
    <n v="58922"/>
    <m/>
    <m/>
    <m/>
    <m/>
    <n v="0"/>
    <m/>
    <m/>
    <n v="0"/>
    <m/>
    <m/>
    <m/>
    <m/>
    <m/>
    <m/>
    <n v="0"/>
    <n v="58922"/>
  </r>
  <r>
    <x v="11"/>
    <x v="8"/>
    <s v="Academic Endowment"/>
    <m/>
    <n v="218645"/>
    <x v="5"/>
    <m/>
    <m/>
    <n v="4148"/>
    <n v="3530"/>
    <m/>
    <m/>
    <m/>
    <m/>
    <n v="0"/>
    <m/>
    <m/>
    <n v="0"/>
    <n v="4148"/>
    <n v="3530"/>
    <m/>
    <m/>
    <m/>
    <m/>
    <n v="0"/>
    <m/>
    <m/>
    <n v="0"/>
    <m/>
    <m/>
    <m/>
    <m/>
    <m/>
    <m/>
    <n v="4148"/>
    <n v="3530"/>
  </r>
  <r>
    <x v="11"/>
    <x v="8"/>
    <s v="Lottery Technology (NR)"/>
    <m/>
    <n v="218645"/>
    <x v="5"/>
    <m/>
    <m/>
    <n v="357395"/>
    <n v="333720"/>
    <m/>
    <m/>
    <m/>
    <m/>
    <n v="0"/>
    <m/>
    <m/>
    <n v="0"/>
    <n v="357395"/>
    <n v="333720"/>
    <m/>
    <m/>
    <m/>
    <m/>
    <n v="0"/>
    <m/>
    <m/>
    <n v="0"/>
    <m/>
    <m/>
    <m/>
    <m/>
    <m/>
    <m/>
    <n v="357395"/>
    <n v="333720"/>
  </r>
  <r>
    <x v="11"/>
    <x v="8"/>
    <s v="Parity Funding"/>
    <m/>
    <n v="218645"/>
    <x v="5"/>
    <m/>
    <m/>
    <m/>
    <n v="300000"/>
    <m/>
    <m/>
    <m/>
    <m/>
    <n v="0"/>
    <m/>
    <m/>
    <n v="0"/>
    <n v="0"/>
    <n v="300000"/>
    <m/>
    <m/>
    <m/>
    <m/>
    <n v="0"/>
    <m/>
    <m/>
    <n v="0"/>
    <m/>
    <m/>
    <m/>
    <m/>
    <m/>
    <m/>
    <n v="0"/>
    <n v="300000"/>
  </r>
  <r>
    <x v="11"/>
    <x v="0"/>
    <s v="University of South Carolina-Beaufort"/>
    <m/>
    <n v="218654"/>
    <x v="5"/>
    <n v="1145720"/>
    <n v="2403695"/>
    <m/>
    <m/>
    <m/>
    <m/>
    <n v="15689191"/>
    <n v="224078"/>
    <n v="15913269"/>
    <n v="15624208"/>
    <n v="270150"/>
    <n v="15894358"/>
    <n v="16834911"/>
    <n v="18027903"/>
    <m/>
    <m/>
    <m/>
    <m/>
    <n v="0"/>
    <m/>
    <m/>
    <n v="0"/>
    <m/>
    <m/>
    <m/>
    <m/>
    <m/>
    <m/>
    <n v="16834911"/>
    <n v="18027903"/>
  </r>
  <r>
    <x v="11"/>
    <x v="0"/>
    <s v="Fringe Benefits"/>
    <m/>
    <n v="218654"/>
    <x v="5"/>
    <n v="302775"/>
    <n v="326497"/>
    <m/>
    <m/>
    <m/>
    <m/>
    <m/>
    <m/>
    <n v="0"/>
    <m/>
    <m/>
    <n v="0"/>
    <n v="302775"/>
    <n v="326497"/>
    <m/>
    <m/>
    <m/>
    <m/>
    <n v="0"/>
    <m/>
    <m/>
    <n v="0"/>
    <m/>
    <m/>
    <m/>
    <m/>
    <m/>
    <m/>
    <n v="302775"/>
    <n v="326497"/>
  </r>
  <r>
    <x v="11"/>
    <x v="3"/>
    <s v="Community or public service units"/>
    <m/>
    <n v="218654"/>
    <x v="5"/>
    <m/>
    <m/>
    <m/>
    <m/>
    <m/>
    <m/>
    <m/>
    <m/>
    <n v="0"/>
    <m/>
    <m/>
    <n v="0"/>
    <n v="0"/>
    <n v="0"/>
    <m/>
    <m/>
    <m/>
    <m/>
    <n v="0"/>
    <m/>
    <m/>
    <n v="0"/>
    <m/>
    <m/>
    <m/>
    <m/>
    <m/>
    <m/>
    <n v="0"/>
    <n v="0"/>
  </r>
  <r>
    <x v="11"/>
    <x v="8"/>
    <s v="Special Line items for education operations"/>
    <m/>
    <n v="218654"/>
    <x v="5"/>
    <m/>
    <m/>
    <m/>
    <m/>
    <m/>
    <m/>
    <m/>
    <m/>
    <n v="0"/>
    <m/>
    <m/>
    <n v="0"/>
    <n v="0"/>
    <n v="0"/>
    <m/>
    <m/>
    <m/>
    <m/>
    <n v="0"/>
    <m/>
    <m/>
    <n v="0"/>
    <m/>
    <m/>
    <m/>
    <m/>
    <m/>
    <m/>
    <n v="0"/>
    <n v="0"/>
  </r>
  <r>
    <x v="11"/>
    <x v="8"/>
    <s v="Deferred Maintenance (NR &amp; Lottery)"/>
    <m/>
    <n v="218654"/>
    <x v="5"/>
    <m/>
    <m/>
    <m/>
    <m/>
    <m/>
    <m/>
    <m/>
    <m/>
    <n v="0"/>
    <m/>
    <m/>
    <n v="0"/>
    <n v="0"/>
    <n v="0"/>
    <m/>
    <m/>
    <m/>
    <m/>
    <n v="0"/>
    <m/>
    <m/>
    <n v="0"/>
    <m/>
    <m/>
    <m/>
    <m/>
    <m/>
    <m/>
    <n v="0"/>
    <n v="0"/>
  </r>
  <r>
    <x v="11"/>
    <x v="8"/>
    <s v="Critical Equip Repair &amp; Replacement(Lottery)"/>
    <m/>
    <n v="218654"/>
    <x v="5"/>
    <m/>
    <m/>
    <m/>
    <n v="32920"/>
    <m/>
    <m/>
    <m/>
    <m/>
    <n v="0"/>
    <m/>
    <m/>
    <n v="0"/>
    <n v="0"/>
    <n v="32920"/>
    <m/>
    <m/>
    <m/>
    <m/>
    <n v="0"/>
    <m/>
    <m/>
    <n v="0"/>
    <m/>
    <m/>
    <m/>
    <m/>
    <m/>
    <m/>
    <n v="0"/>
    <n v="32920"/>
  </r>
  <r>
    <x v="11"/>
    <x v="8"/>
    <s v="Higher Ed Efficiency, Effectiveness &amp; Accountability Review(NR)"/>
    <m/>
    <n v="218654"/>
    <x v="5"/>
    <m/>
    <m/>
    <m/>
    <n v="23779"/>
    <m/>
    <m/>
    <m/>
    <m/>
    <n v="0"/>
    <m/>
    <m/>
    <n v="0"/>
    <n v="0"/>
    <n v="23779"/>
    <m/>
    <m/>
    <m/>
    <m/>
    <n v="0"/>
    <m/>
    <m/>
    <n v="0"/>
    <m/>
    <m/>
    <m/>
    <m/>
    <m/>
    <m/>
    <n v="0"/>
    <n v="23779"/>
  </r>
  <r>
    <x v="11"/>
    <x v="8"/>
    <s v="Personal Services &amp; Operating"/>
    <m/>
    <n v="218654"/>
    <x v="5"/>
    <m/>
    <m/>
    <n v="1200000"/>
    <m/>
    <m/>
    <m/>
    <m/>
    <m/>
    <n v="0"/>
    <m/>
    <m/>
    <n v="0"/>
    <n v="1200000"/>
    <n v="0"/>
    <m/>
    <m/>
    <m/>
    <m/>
    <n v="0"/>
    <m/>
    <m/>
    <n v="0"/>
    <m/>
    <m/>
    <m/>
    <m/>
    <m/>
    <m/>
    <n v="1200000"/>
    <n v="0"/>
  </r>
  <r>
    <x v="11"/>
    <x v="8"/>
    <s v="Palmetto College"/>
    <m/>
    <n v="218654"/>
    <x v="5"/>
    <m/>
    <m/>
    <n v="459500"/>
    <n v="265500"/>
    <m/>
    <m/>
    <m/>
    <m/>
    <n v="0"/>
    <m/>
    <m/>
    <n v="0"/>
    <n v="459500"/>
    <n v="265500"/>
    <m/>
    <m/>
    <m/>
    <m/>
    <n v="0"/>
    <m/>
    <m/>
    <n v="0"/>
    <m/>
    <m/>
    <m/>
    <m/>
    <m/>
    <m/>
    <n v="459500"/>
    <n v="265500"/>
  </r>
  <r>
    <x v="11"/>
    <x v="8"/>
    <s v="Building Repair &amp; Maintenance (Lottery)"/>
    <m/>
    <n v="218654"/>
    <x v="5"/>
    <m/>
    <m/>
    <n v="61899"/>
    <m/>
    <m/>
    <m/>
    <m/>
    <m/>
    <n v="0"/>
    <m/>
    <m/>
    <n v="0"/>
    <n v="61899"/>
    <n v="0"/>
    <m/>
    <m/>
    <m/>
    <m/>
    <n v="0"/>
    <m/>
    <m/>
    <n v="0"/>
    <m/>
    <m/>
    <m/>
    <m/>
    <m/>
    <m/>
    <n v="61899"/>
    <n v="0"/>
  </r>
  <r>
    <x v="11"/>
    <x v="8"/>
    <s v="Academic Endowment"/>
    <m/>
    <n v="218654"/>
    <x v="5"/>
    <m/>
    <m/>
    <n v="1054"/>
    <n v="904"/>
    <m/>
    <m/>
    <m/>
    <m/>
    <n v="0"/>
    <m/>
    <m/>
    <n v="0"/>
    <n v="1054"/>
    <n v="904"/>
    <m/>
    <m/>
    <m/>
    <m/>
    <n v="0"/>
    <m/>
    <m/>
    <n v="0"/>
    <m/>
    <m/>
    <m/>
    <m/>
    <m/>
    <m/>
    <n v="1054"/>
    <n v="904"/>
  </r>
  <r>
    <x v="11"/>
    <x v="8"/>
    <s v="Lottery Technology (NR)"/>
    <m/>
    <n v="218654"/>
    <x v="5"/>
    <m/>
    <m/>
    <n v="275291"/>
    <n v="254666"/>
    <m/>
    <m/>
    <m/>
    <m/>
    <n v="0"/>
    <m/>
    <m/>
    <n v="0"/>
    <n v="275291"/>
    <n v="254666"/>
    <m/>
    <m/>
    <m/>
    <m/>
    <n v="0"/>
    <m/>
    <m/>
    <n v="0"/>
    <m/>
    <m/>
    <m/>
    <m/>
    <m/>
    <m/>
    <n v="275291"/>
    <n v="254666"/>
  </r>
  <r>
    <x v="11"/>
    <x v="8"/>
    <s v="Parity Funding"/>
    <m/>
    <n v="218654"/>
    <x v="5"/>
    <m/>
    <m/>
    <m/>
    <n v="321176"/>
    <m/>
    <m/>
    <m/>
    <m/>
    <n v="0"/>
    <m/>
    <m/>
    <n v="0"/>
    <n v="0"/>
    <n v="321176"/>
    <m/>
    <m/>
    <m/>
    <m/>
    <n v="0"/>
    <m/>
    <m/>
    <n v="0"/>
    <m/>
    <m/>
    <m/>
    <m/>
    <m/>
    <m/>
    <n v="0"/>
    <n v="321176"/>
  </r>
  <r>
    <x v="11"/>
    <x v="0"/>
    <s v="University of South Carolina-Upstate"/>
    <m/>
    <n v="218742"/>
    <x v="5"/>
    <n v="6583977"/>
    <n v="7499404"/>
    <m/>
    <m/>
    <m/>
    <m/>
    <n v="50550187"/>
    <n v="2554533"/>
    <n v="53104720"/>
    <n v="52646996"/>
    <n v="2563812"/>
    <n v="55210808"/>
    <n v="57134164"/>
    <n v="60146400"/>
    <m/>
    <m/>
    <m/>
    <m/>
    <n v="0"/>
    <m/>
    <m/>
    <n v="0"/>
    <m/>
    <m/>
    <m/>
    <m/>
    <m/>
    <m/>
    <n v="57134164"/>
    <n v="60146400"/>
  </r>
  <r>
    <x v="11"/>
    <x v="0"/>
    <s v="Fringe Benefits"/>
    <m/>
    <n v="218742"/>
    <x v="5"/>
    <n v="1718636"/>
    <n v="1939667"/>
    <m/>
    <m/>
    <m/>
    <m/>
    <m/>
    <m/>
    <n v="0"/>
    <m/>
    <m/>
    <n v="0"/>
    <n v="1718636"/>
    <n v="1939667"/>
    <m/>
    <m/>
    <m/>
    <m/>
    <n v="0"/>
    <m/>
    <m/>
    <n v="0"/>
    <m/>
    <m/>
    <m/>
    <m/>
    <m/>
    <m/>
    <n v="1718636"/>
    <n v="1939667"/>
  </r>
  <r>
    <x v="11"/>
    <x v="8"/>
    <s v="Special Line items for education operations"/>
    <m/>
    <n v="218742"/>
    <x v="5"/>
    <m/>
    <m/>
    <m/>
    <m/>
    <m/>
    <m/>
    <m/>
    <m/>
    <n v="0"/>
    <m/>
    <m/>
    <n v="0"/>
    <n v="0"/>
    <n v="0"/>
    <m/>
    <m/>
    <m/>
    <m/>
    <n v="0"/>
    <m/>
    <m/>
    <n v="0"/>
    <m/>
    <m/>
    <m/>
    <m/>
    <m/>
    <m/>
    <n v="0"/>
    <n v="0"/>
  </r>
  <r>
    <x v="11"/>
    <x v="8"/>
    <s v="Deferred Maintenance (NR &amp; Lottery)"/>
    <m/>
    <n v="218742"/>
    <x v="5"/>
    <m/>
    <m/>
    <m/>
    <m/>
    <m/>
    <m/>
    <m/>
    <m/>
    <n v="0"/>
    <m/>
    <m/>
    <n v="0"/>
    <n v="0"/>
    <n v="0"/>
    <m/>
    <m/>
    <m/>
    <m/>
    <n v="0"/>
    <m/>
    <m/>
    <n v="0"/>
    <m/>
    <m/>
    <m/>
    <m/>
    <m/>
    <m/>
    <n v="0"/>
    <n v="0"/>
  </r>
  <r>
    <x v="11"/>
    <x v="8"/>
    <s v="Critical Equip Repair &amp; Replacement(Lottery)"/>
    <m/>
    <n v="218654"/>
    <x v="5"/>
    <m/>
    <m/>
    <m/>
    <n v="113741"/>
    <m/>
    <m/>
    <m/>
    <m/>
    <n v="0"/>
    <m/>
    <m/>
    <n v="0"/>
    <n v="0"/>
    <n v="113741"/>
    <m/>
    <m/>
    <m/>
    <m/>
    <n v="0"/>
    <m/>
    <m/>
    <n v="0"/>
    <m/>
    <m/>
    <m/>
    <m/>
    <m/>
    <m/>
    <n v="0"/>
    <n v="113741"/>
  </r>
  <r>
    <x v="11"/>
    <x v="8"/>
    <s v="Higher Ed Efficiency, Effectiveness &amp; Accountability Review(NR)"/>
    <m/>
    <n v="218654"/>
    <x v="5"/>
    <m/>
    <m/>
    <m/>
    <n v="82157"/>
    <m/>
    <m/>
    <m/>
    <m/>
    <n v="0"/>
    <m/>
    <m/>
    <n v="0"/>
    <n v="0"/>
    <n v="82157"/>
    <m/>
    <m/>
    <m/>
    <m/>
    <n v="0"/>
    <m/>
    <m/>
    <n v="0"/>
    <m/>
    <m/>
    <m/>
    <m/>
    <m/>
    <m/>
    <n v="0"/>
    <n v="82157"/>
  </r>
  <r>
    <x v="11"/>
    <x v="8"/>
    <s v="Personal Services and Operating"/>
    <m/>
    <n v="218742"/>
    <x v="5"/>
    <m/>
    <m/>
    <n v="848200"/>
    <m/>
    <m/>
    <m/>
    <m/>
    <m/>
    <n v="0"/>
    <m/>
    <m/>
    <n v="0"/>
    <n v="848200"/>
    <n v="0"/>
    <m/>
    <m/>
    <m/>
    <m/>
    <n v="0"/>
    <m/>
    <m/>
    <n v="0"/>
    <m/>
    <m/>
    <m/>
    <m/>
    <m/>
    <m/>
    <n v="848200"/>
    <n v="0"/>
  </r>
  <r>
    <x v="11"/>
    <x v="8"/>
    <s v="Palmetto College"/>
    <m/>
    <n v="218742"/>
    <x v="5"/>
    <m/>
    <m/>
    <n v="723500"/>
    <n v="375500"/>
    <m/>
    <m/>
    <m/>
    <m/>
    <n v="0"/>
    <m/>
    <m/>
    <n v="0"/>
    <n v="723500"/>
    <n v="375500"/>
    <m/>
    <m/>
    <m/>
    <m/>
    <n v="0"/>
    <m/>
    <m/>
    <n v="0"/>
    <m/>
    <m/>
    <m/>
    <m/>
    <m/>
    <m/>
    <n v="723500"/>
    <n v="375500"/>
  </r>
  <r>
    <x v="11"/>
    <x v="8"/>
    <s v="Building Repair &amp; Maintenance (Lottery)"/>
    <m/>
    <n v="218742"/>
    <x v="5"/>
    <m/>
    <m/>
    <n v="355543"/>
    <m/>
    <m/>
    <m/>
    <m/>
    <m/>
    <n v="0"/>
    <m/>
    <m/>
    <n v="0"/>
    <n v="355543"/>
    <n v="0"/>
    <m/>
    <m/>
    <m/>
    <m/>
    <n v="0"/>
    <m/>
    <m/>
    <n v="0"/>
    <m/>
    <m/>
    <m/>
    <m/>
    <m/>
    <m/>
    <n v="355543"/>
    <n v="0"/>
  </r>
  <r>
    <x v="11"/>
    <x v="8"/>
    <s v="Academic Endowment"/>
    <m/>
    <n v="218742"/>
    <x v="5"/>
    <m/>
    <m/>
    <n v="2719"/>
    <n v="2589"/>
    <m/>
    <m/>
    <m/>
    <m/>
    <n v="0"/>
    <m/>
    <m/>
    <n v="0"/>
    <n v="2719"/>
    <n v="2589"/>
    <m/>
    <m/>
    <m/>
    <m/>
    <n v="0"/>
    <m/>
    <m/>
    <n v="0"/>
    <m/>
    <m/>
    <m/>
    <m/>
    <m/>
    <m/>
    <n v="2719"/>
    <n v="2589"/>
  </r>
  <r>
    <x v="11"/>
    <x v="8"/>
    <s v="Lottery Technology (NR)"/>
    <m/>
    <n v="218742"/>
    <x v="5"/>
    <m/>
    <m/>
    <n v="498796"/>
    <n v="468543"/>
    <m/>
    <m/>
    <m/>
    <m/>
    <n v="0"/>
    <m/>
    <m/>
    <n v="0"/>
    <n v="498796"/>
    <n v="468543"/>
    <m/>
    <m/>
    <m/>
    <m/>
    <n v="0"/>
    <m/>
    <m/>
    <n v="0"/>
    <m/>
    <m/>
    <m/>
    <m/>
    <m/>
    <m/>
    <n v="498796"/>
    <n v="468543"/>
  </r>
  <r>
    <x v="11"/>
    <x v="8"/>
    <s v="Parity Funding"/>
    <m/>
    <n v="218742"/>
    <x v="5"/>
    <m/>
    <m/>
    <m/>
    <n v="371176"/>
    <m/>
    <m/>
    <m/>
    <m/>
    <n v="0"/>
    <m/>
    <m/>
    <n v="0"/>
    <n v="0"/>
    <n v="371176"/>
    <m/>
    <m/>
    <m/>
    <m/>
    <n v="0"/>
    <m/>
    <m/>
    <n v="0"/>
    <m/>
    <m/>
    <m/>
    <m/>
    <m/>
    <m/>
    <n v="0"/>
    <n v="371176"/>
  </r>
  <r>
    <x v="11"/>
    <x v="0"/>
    <s v="Florence-Darlington Technical College "/>
    <m/>
    <n v="218025"/>
    <x v="6"/>
    <n v="5933996"/>
    <n v="5933996"/>
    <m/>
    <m/>
    <n v="4885289"/>
    <n v="5305730"/>
    <n v="20004621"/>
    <n v="2852463"/>
    <n v="22857084"/>
    <n v="21453214"/>
    <n v="2852743"/>
    <n v="24305957"/>
    <n v="30823906"/>
    <n v="32692940"/>
    <m/>
    <m/>
    <m/>
    <m/>
    <n v="0"/>
    <m/>
    <m/>
    <n v="0"/>
    <m/>
    <m/>
    <m/>
    <m/>
    <m/>
    <m/>
    <n v="30823906"/>
    <n v="32692940"/>
  </r>
  <r>
    <x v="11"/>
    <x v="0"/>
    <s v="Personnel Services"/>
    <m/>
    <n v="218025"/>
    <x v="6"/>
    <m/>
    <n v="166475"/>
    <m/>
    <m/>
    <m/>
    <m/>
    <m/>
    <m/>
    <n v="0"/>
    <m/>
    <m/>
    <n v="0"/>
    <n v="0"/>
    <n v="166475"/>
    <m/>
    <m/>
    <m/>
    <m/>
    <n v="0"/>
    <m/>
    <m/>
    <n v="0"/>
    <m/>
    <m/>
    <m/>
    <m/>
    <m/>
    <m/>
    <n v="0"/>
    <n v="166475"/>
  </r>
  <r>
    <x v="11"/>
    <x v="8"/>
    <s v="Special Line items for education operations"/>
    <m/>
    <n v="218025"/>
    <x v="6"/>
    <m/>
    <m/>
    <m/>
    <m/>
    <m/>
    <m/>
    <m/>
    <m/>
    <n v="0"/>
    <m/>
    <m/>
    <n v="0"/>
    <n v="0"/>
    <n v="0"/>
    <m/>
    <m/>
    <m/>
    <m/>
    <n v="0"/>
    <m/>
    <m/>
    <n v="0"/>
    <m/>
    <m/>
    <m/>
    <m/>
    <m/>
    <m/>
    <n v="0"/>
    <n v="0"/>
  </r>
  <r>
    <x v="11"/>
    <x v="8"/>
    <s v="Academic Endowment"/>
    <m/>
    <n v="218025"/>
    <x v="6"/>
    <m/>
    <m/>
    <n v="168"/>
    <n v="168"/>
    <m/>
    <m/>
    <m/>
    <m/>
    <n v="0"/>
    <m/>
    <m/>
    <n v="0"/>
    <n v="168"/>
    <n v="168"/>
    <m/>
    <m/>
    <m/>
    <m/>
    <n v="0"/>
    <m/>
    <m/>
    <n v="0"/>
    <m/>
    <m/>
    <m/>
    <m/>
    <m/>
    <m/>
    <n v="168"/>
    <n v="168"/>
  </r>
  <r>
    <x v="11"/>
    <x v="8"/>
    <s v="Performance Funding"/>
    <m/>
    <n v="218025"/>
    <x v="6"/>
    <m/>
    <m/>
    <n v="75771"/>
    <n v="105479"/>
    <m/>
    <m/>
    <m/>
    <m/>
    <n v="0"/>
    <m/>
    <m/>
    <n v="0"/>
    <n v="75771"/>
    <n v="105479"/>
    <m/>
    <m/>
    <m/>
    <m/>
    <n v="0"/>
    <m/>
    <m/>
    <n v="0"/>
    <m/>
    <m/>
    <m/>
    <m/>
    <m/>
    <m/>
    <n v="75771"/>
    <n v="105479"/>
  </r>
  <r>
    <x v="11"/>
    <x v="8"/>
    <s v="Critical Needs Workforce"/>
    <m/>
    <n v="218025"/>
    <x v="6"/>
    <m/>
    <m/>
    <m/>
    <n v="174205"/>
    <m/>
    <m/>
    <m/>
    <m/>
    <n v="0"/>
    <m/>
    <m/>
    <n v="0"/>
    <n v="0"/>
    <n v="174205"/>
    <m/>
    <m/>
    <m/>
    <m/>
    <n v="0"/>
    <m/>
    <m/>
    <n v="0"/>
    <m/>
    <m/>
    <m/>
    <m/>
    <m/>
    <m/>
    <n v="0"/>
    <n v="174205"/>
  </r>
  <r>
    <x v="11"/>
    <x v="8"/>
    <s v="Critical Needs Nursing Initiative"/>
    <m/>
    <n v="218025"/>
    <x v="6"/>
    <m/>
    <m/>
    <n v="22374"/>
    <n v="22374"/>
    <m/>
    <m/>
    <m/>
    <m/>
    <n v="0"/>
    <m/>
    <m/>
    <n v="0"/>
    <n v="22374"/>
    <n v="22374"/>
    <m/>
    <m/>
    <m/>
    <m/>
    <n v="0"/>
    <m/>
    <m/>
    <n v="0"/>
    <m/>
    <m/>
    <m/>
    <m/>
    <m/>
    <m/>
    <n v="22374"/>
    <n v="22374"/>
  </r>
  <r>
    <x v="11"/>
    <x v="8"/>
    <s v="Deferred Maintenance"/>
    <m/>
    <n v="218025"/>
    <x v="6"/>
    <m/>
    <m/>
    <m/>
    <m/>
    <m/>
    <m/>
    <m/>
    <m/>
    <n v="0"/>
    <m/>
    <m/>
    <n v="0"/>
    <n v="0"/>
    <n v="0"/>
    <m/>
    <m/>
    <m/>
    <m/>
    <n v="0"/>
    <m/>
    <m/>
    <n v="0"/>
    <m/>
    <m/>
    <m/>
    <m/>
    <m/>
    <m/>
    <n v="0"/>
    <n v="0"/>
  </r>
  <r>
    <x v="11"/>
    <x v="8"/>
    <s v="SIMT"/>
    <m/>
    <n v="218025"/>
    <x v="6"/>
    <m/>
    <m/>
    <n v="1209088"/>
    <n v="906817"/>
    <m/>
    <m/>
    <m/>
    <m/>
    <n v="0"/>
    <m/>
    <m/>
    <n v="0"/>
    <n v="1209088"/>
    <n v="906817"/>
    <m/>
    <m/>
    <m/>
    <m/>
    <n v="0"/>
    <m/>
    <m/>
    <n v="0"/>
    <m/>
    <m/>
    <m/>
    <m/>
    <m/>
    <m/>
    <n v="1209088"/>
    <n v="906817"/>
  </r>
  <r>
    <x v="11"/>
    <x v="8"/>
    <s v="Operations"/>
    <m/>
    <n v="218025"/>
    <x v="6"/>
    <m/>
    <m/>
    <m/>
    <n v="302271"/>
    <m/>
    <m/>
    <m/>
    <m/>
    <n v="0"/>
    <m/>
    <m/>
    <n v="0"/>
    <n v="0"/>
    <n v="302271"/>
    <m/>
    <m/>
    <m/>
    <m/>
    <n v="0"/>
    <m/>
    <m/>
    <n v="0"/>
    <m/>
    <m/>
    <m/>
    <m/>
    <m/>
    <m/>
    <n v="0"/>
    <n v="302271"/>
  </r>
  <r>
    <x v="11"/>
    <x v="8"/>
    <s v="Pathways to Prosperity"/>
    <m/>
    <n v="218025"/>
    <x v="6"/>
    <m/>
    <m/>
    <n v="37784"/>
    <n v="37784"/>
    <m/>
    <m/>
    <m/>
    <m/>
    <n v="0"/>
    <m/>
    <m/>
    <n v="0"/>
    <n v="37784"/>
    <n v="37784"/>
    <m/>
    <m/>
    <m/>
    <m/>
    <n v="0"/>
    <m/>
    <m/>
    <n v="0"/>
    <m/>
    <m/>
    <m/>
    <m/>
    <m/>
    <m/>
    <n v="37784"/>
    <n v="37784"/>
  </r>
  <r>
    <x v="11"/>
    <x v="8"/>
    <s v="Lottery Technology (NR)"/>
    <m/>
    <n v="218025"/>
    <x v="6"/>
    <m/>
    <m/>
    <n v="228366"/>
    <n v="208226"/>
    <m/>
    <m/>
    <m/>
    <m/>
    <n v="0"/>
    <m/>
    <m/>
    <n v="0"/>
    <n v="228366"/>
    <n v="208226"/>
    <m/>
    <m/>
    <m/>
    <m/>
    <n v="0"/>
    <m/>
    <m/>
    <n v="0"/>
    <m/>
    <m/>
    <m/>
    <m/>
    <m/>
    <m/>
    <n v="228366"/>
    <n v="208226"/>
  </r>
  <r>
    <x v="11"/>
    <x v="8"/>
    <s v="Automotive Technology Program Equipment"/>
    <m/>
    <n v="218025"/>
    <x v="6"/>
    <m/>
    <m/>
    <m/>
    <n v="1750000"/>
    <m/>
    <m/>
    <m/>
    <m/>
    <n v="0"/>
    <m/>
    <m/>
    <n v="0"/>
    <n v="0"/>
    <n v="1750000"/>
    <m/>
    <m/>
    <m/>
    <m/>
    <n v="0"/>
    <m/>
    <m/>
    <n v="0"/>
    <m/>
    <m/>
    <m/>
    <m/>
    <m/>
    <m/>
    <n v="0"/>
    <n v="1750000"/>
  </r>
  <r>
    <x v="11"/>
    <x v="8"/>
    <s v="Critical  Equip Repair &amp; Replacement(Lottery)"/>
    <m/>
    <n v="218025"/>
    <x v="6"/>
    <m/>
    <m/>
    <m/>
    <n v="58729"/>
    <m/>
    <m/>
    <m/>
    <m/>
    <n v="0"/>
    <m/>
    <m/>
    <n v="0"/>
    <n v="0"/>
    <n v="58729"/>
    <m/>
    <m/>
    <m/>
    <m/>
    <n v="0"/>
    <m/>
    <m/>
    <n v="0"/>
    <m/>
    <m/>
    <m/>
    <m/>
    <m/>
    <m/>
    <n v="0"/>
    <n v="58729"/>
  </r>
  <r>
    <x v="11"/>
    <x v="0"/>
    <s v="Greenville Technical College "/>
    <m/>
    <n v="218113"/>
    <x v="6"/>
    <n v="15688160"/>
    <n v="15688161"/>
    <m/>
    <m/>
    <n v="10515010"/>
    <n v="11341851"/>
    <n v="49716703"/>
    <n v="2205890"/>
    <n v="51922593"/>
    <n v="21453214"/>
    <n v="2852743"/>
    <n v="24305957"/>
    <n v="75919873"/>
    <n v="48483226"/>
    <m/>
    <m/>
    <m/>
    <m/>
    <n v="0"/>
    <m/>
    <m/>
    <n v="0"/>
    <m/>
    <m/>
    <m/>
    <m/>
    <m/>
    <m/>
    <n v="75919873"/>
    <n v="48483226"/>
  </r>
  <r>
    <x v="11"/>
    <x v="0"/>
    <s v="Personnel Services"/>
    <m/>
    <n v="218113"/>
    <x v="6"/>
    <m/>
    <n v="440123"/>
    <m/>
    <m/>
    <m/>
    <m/>
    <m/>
    <m/>
    <n v="0"/>
    <m/>
    <m/>
    <n v="0"/>
    <n v="0"/>
    <n v="440123"/>
    <m/>
    <m/>
    <m/>
    <m/>
    <n v="0"/>
    <m/>
    <m/>
    <n v="0"/>
    <m/>
    <m/>
    <m/>
    <m/>
    <m/>
    <m/>
    <n v="0"/>
    <n v="440123"/>
  </r>
  <r>
    <x v="11"/>
    <x v="8"/>
    <s v="Special Line items for education operations"/>
    <m/>
    <n v="218113"/>
    <x v="6"/>
    <m/>
    <m/>
    <m/>
    <m/>
    <m/>
    <m/>
    <m/>
    <m/>
    <n v="0"/>
    <m/>
    <m/>
    <n v="0"/>
    <n v="0"/>
    <n v="0"/>
    <m/>
    <m/>
    <m/>
    <m/>
    <n v="0"/>
    <m/>
    <m/>
    <n v="0"/>
    <m/>
    <m/>
    <m/>
    <m/>
    <m/>
    <m/>
    <n v="0"/>
    <n v="0"/>
  </r>
  <r>
    <x v="11"/>
    <x v="8"/>
    <s v="Academic Endowment"/>
    <m/>
    <n v="218113"/>
    <x v="6"/>
    <m/>
    <m/>
    <n v="1927"/>
    <n v="1707"/>
    <m/>
    <m/>
    <m/>
    <m/>
    <n v="0"/>
    <m/>
    <m/>
    <n v="0"/>
    <n v="1927"/>
    <n v="1707"/>
    <m/>
    <m/>
    <m/>
    <m/>
    <n v="0"/>
    <m/>
    <m/>
    <n v="0"/>
    <m/>
    <m/>
    <m/>
    <m/>
    <m/>
    <m/>
    <n v="1927"/>
    <n v="1707"/>
  </r>
  <r>
    <x v="11"/>
    <x v="8"/>
    <s v="Performance Funding"/>
    <m/>
    <n v="218113"/>
    <x v="6"/>
    <m/>
    <m/>
    <n v="193782"/>
    <n v="144687"/>
    <m/>
    <m/>
    <m/>
    <m/>
    <n v="0"/>
    <m/>
    <m/>
    <n v="0"/>
    <n v="193782"/>
    <n v="144687"/>
    <m/>
    <m/>
    <m/>
    <m/>
    <n v="0"/>
    <m/>
    <m/>
    <n v="0"/>
    <m/>
    <m/>
    <m/>
    <m/>
    <m/>
    <m/>
    <n v="193782"/>
    <n v="144687"/>
  </r>
  <r>
    <x v="11"/>
    <x v="8"/>
    <s v="Critical Needs Workforce"/>
    <m/>
    <n v="218113"/>
    <x v="6"/>
    <m/>
    <m/>
    <m/>
    <n v="360991"/>
    <m/>
    <m/>
    <m/>
    <m/>
    <n v="0"/>
    <m/>
    <m/>
    <n v="0"/>
    <n v="0"/>
    <n v="360991"/>
    <m/>
    <m/>
    <m/>
    <m/>
    <n v="0"/>
    <m/>
    <m/>
    <n v="0"/>
    <m/>
    <m/>
    <m/>
    <m/>
    <m/>
    <m/>
    <n v="0"/>
    <n v="360991"/>
  </r>
  <r>
    <x v="11"/>
    <x v="8"/>
    <s v="Critical Needs Nursing Initiative"/>
    <m/>
    <n v="218113"/>
    <x v="6"/>
    <m/>
    <m/>
    <n v="54586"/>
    <n v="54585"/>
    <m/>
    <m/>
    <m/>
    <m/>
    <n v="0"/>
    <m/>
    <m/>
    <n v="0"/>
    <n v="54586"/>
    <n v="54585"/>
    <m/>
    <m/>
    <m/>
    <m/>
    <n v="0"/>
    <m/>
    <m/>
    <n v="0"/>
    <m/>
    <m/>
    <m/>
    <m/>
    <m/>
    <m/>
    <n v="54586"/>
    <n v="54585"/>
  </r>
  <r>
    <x v="11"/>
    <x v="8"/>
    <s v="Deferred Maintenance"/>
    <m/>
    <n v="218113"/>
    <x v="6"/>
    <m/>
    <m/>
    <m/>
    <m/>
    <m/>
    <m/>
    <m/>
    <m/>
    <n v="0"/>
    <m/>
    <m/>
    <n v="0"/>
    <n v="0"/>
    <n v="0"/>
    <m/>
    <m/>
    <m/>
    <m/>
    <n v="0"/>
    <m/>
    <m/>
    <n v="0"/>
    <m/>
    <m/>
    <m/>
    <m/>
    <m/>
    <m/>
    <n v="0"/>
    <n v="0"/>
  </r>
  <r>
    <x v="11"/>
    <x v="8"/>
    <s v="Pathways to Prosperity"/>
    <m/>
    <n v="218113"/>
    <x v="6"/>
    <m/>
    <m/>
    <n v="37784"/>
    <n v="37784"/>
    <m/>
    <m/>
    <m/>
    <m/>
    <n v="0"/>
    <m/>
    <m/>
    <n v="0"/>
    <n v="37784"/>
    <n v="37784"/>
    <m/>
    <m/>
    <m/>
    <m/>
    <n v="0"/>
    <m/>
    <m/>
    <n v="0"/>
    <m/>
    <m/>
    <m/>
    <m/>
    <m/>
    <m/>
    <n v="37784"/>
    <n v="37784"/>
  </r>
  <r>
    <x v="11"/>
    <x v="8"/>
    <s v="Lottery Technology (NR)"/>
    <m/>
    <n v="218113"/>
    <x v="6"/>
    <m/>
    <m/>
    <n v="603749"/>
    <n v="550504"/>
    <m/>
    <m/>
    <m/>
    <m/>
    <n v="0"/>
    <m/>
    <m/>
    <n v="0"/>
    <n v="603749"/>
    <n v="550504"/>
    <m/>
    <m/>
    <m/>
    <m/>
    <n v="0"/>
    <m/>
    <m/>
    <n v="0"/>
    <m/>
    <m/>
    <m/>
    <m/>
    <m/>
    <m/>
    <n v="603749"/>
    <n v="550504"/>
  </r>
  <r>
    <x v="11"/>
    <x v="8"/>
    <s v="Critical  Equip Repair &amp; Replacement(Lottery)"/>
    <m/>
    <n v="218113"/>
    <x v="6"/>
    <m/>
    <m/>
    <m/>
    <n v="155267"/>
    <m/>
    <m/>
    <m/>
    <m/>
    <n v="0"/>
    <m/>
    <m/>
    <n v="0"/>
    <n v="0"/>
    <n v="155267"/>
    <m/>
    <m/>
    <m/>
    <m/>
    <n v="0"/>
    <m/>
    <m/>
    <n v="0"/>
    <m/>
    <m/>
    <m/>
    <m/>
    <m/>
    <m/>
    <n v="0"/>
    <n v="155267"/>
  </r>
  <r>
    <x v="11"/>
    <x v="0"/>
    <s v="Horry-Georgetown Technical College "/>
    <m/>
    <n v="218140"/>
    <x v="6"/>
    <n v="7030895"/>
    <n v="7030895"/>
    <m/>
    <m/>
    <n v="3811000"/>
    <n v="3888000"/>
    <n v="26352388"/>
    <n v="0"/>
    <n v="26352388"/>
    <n v="27174766"/>
    <n v="0"/>
    <n v="27174766"/>
    <n v="37194283"/>
    <n v="38093661"/>
    <m/>
    <m/>
    <m/>
    <m/>
    <n v="0"/>
    <m/>
    <m/>
    <n v="0"/>
    <m/>
    <m/>
    <m/>
    <m/>
    <m/>
    <m/>
    <n v="37194283"/>
    <n v="38093661"/>
  </r>
  <r>
    <x v="11"/>
    <x v="0"/>
    <s v="Personnel Services"/>
    <m/>
    <n v="218140"/>
    <x v="6"/>
    <m/>
    <n v="197248"/>
    <m/>
    <m/>
    <m/>
    <m/>
    <m/>
    <m/>
    <n v="0"/>
    <m/>
    <m/>
    <n v="0"/>
    <n v="0"/>
    <n v="197248"/>
    <m/>
    <m/>
    <m/>
    <m/>
    <n v="0"/>
    <m/>
    <m/>
    <n v="0"/>
    <m/>
    <m/>
    <m/>
    <m/>
    <m/>
    <m/>
    <n v="0"/>
    <n v="197248"/>
  </r>
  <r>
    <x v="11"/>
    <x v="8"/>
    <s v="Special Line items for education operations"/>
    <m/>
    <n v="218140"/>
    <x v="6"/>
    <m/>
    <m/>
    <m/>
    <m/>
    <m/>
    <m/>
    <m/>
    <m/>
    <n v="0"/>
    <m/>
    <m/>
    <n v="0"/>
    <n v="0"/>
    <n v="0"/>
    <m/>
    <m/>
    <m/>
    <m/>
    <n v="0"/>
    <m/>
    <m/>
    <n v="0"/>
    <m/>
    <m/>
    <m/>
    <m/>
    <m/>
    <m/>
    <n v="0"/>
    <n v="0"/>
  </r>
  <r>
    <x v="11"/>
    <x v="8"/>
    <s v="Academic Endowment"/>
    <m/>
    <n v="218140"/>
    <x v="6"/>
    <m/>
    <m/>
    <n v="26"/>
    <n v="30"/>
    <m/>
    <m/>
    <m/>
    <m/>
    <n v="0"/>
    <m/>
    <m/>
    <n v="0"/>
    <n v="26"/>
    <n v="30"/>
    <m/>
    <m/>
    <m/>
    <m/>
    <n v="0"/>
    <m/>
    <m/>
    <n v="0"/>
    <m/>
    <m/>
    <m/>
    <m/>
    <m/>
    <m/>
    <n v="26"/>
    <n v="30"/>
  </r>
  <r>
    <x v="11"/>
    <x v="8"/>
    <s v="Performance Funding"/>
    <m/>
    <n v="218140"/>
    <x v="6"/>
    <m/>
    <m/>
    <n v="135154"/>
    <n v="131287"/>
    <m/>
    <m/>
    <m/>
    <m/>
    <n v="0"/>
    <m/>
    <m/>
    <n v="0"/>
    <n v="135154"/>
    <n v="131287"/>
    <m/>
    <m/>
    <m/>
    <m/>
    <n v="0"/>
    <m/>
    <m/>
    <n v="0"/>
    <m/>
    <m/>
    <m/>
    <m/>
    <m/>
    <m/>
    <n v="135154"/>
    <n v="131287"/>
  </r>
  <r>
    <x v="11"/>
    <x v="8"/>
    <s v="Critical Needs Workforce"/>
    <m/>
    <n v="218140"/>
    <x v="6"/>
    <m/>
    <m/>
    <m/>
    <n v="168927"/>
    <m/>
    <m/>
    <m/>
    <m/>
    <n v="0"/>
    <m/>
    <m/>
    <n v="0"/>
    <n v="0"/>
    <n v="168927"/>
    <m/>
    <m/>
    <m/>
    <m/>
    <n v="0"/>
    <m/>
    <m/>
    <n v="0"/>
    <m/>
    <m/>
    <m/>
    <m/>
    <m/>
    <m/>
    <n v="0"/>
    <n v="168927"/>
  </r>
  <r>
    <x v="11"/>
    <x v="8"/>
    <s v="Critical Needs Nursing Initiative"/>
    <m/>
    <n v="218140"/>
    <x v="6"/>
    <m/>
    <m/>
    <n v="17790"/>
    <n v="17790"/>
    <m/>
    <m/>
    <m/>
    <m/>
    <n v="0"/>
    <m/>
    <m/>
    <n v="0"/>
    <n v="17790"/>
    <n v="17790"/>
    <m/>
    <m/>
    <m/>
    <m/>
    <n v="0"/>
    <m/>
    <m/>
    <n v="0"/>
    <m/>
    <m/>
    <m/>
    <m/>
    <m/>
    <m/>
    <n v="17790"/>
    <n v="17790"/>
  </r>
  <r>
    <x v="11"/>
    <x v="8"/>
    <s v="Deferred Maintenance"/>
    <m/>
    <n v="218140"/>
    <x v="6"/>
    <m/>
    <m/>
    <m/>
    <m/>
    <m/>
    <m/>
    <m/>
    <m/>
    <n v="0"/>
    <m/>
    <m/>
    <n v="0"/>
    <n v="0"/>
    <n v="0"/>
    <m/>
    <m/>
    <m/>
    <m/>
    <n v="0"/>
    <m/>
    <m/>
    <n v="0"/>
    <m/>
    <m/>
    <m/>
    <m/>
    <m/>
    <m/>
    <n v="0"/>
    <n v="0"/>
  </r>
  <r>
    <x v="11"/>
    <x v="8"/>
    <s v="Capital Reserve and Surplus 90.20"/>
    <m/>
    <n v="218140"/>
    <x v="6"/>
    <m/>
    <m/>
    <m/>
    <m/>
    <m/>
    <m/>
    <m/>
    <m/>
    <n v="0"/>
    <m/>
    <m/>
    <n v="0"/>
    <n v="0"/>
    <n v="0"/>
    <m/>
    <m/>
    <m/>
    <m/>
    <n v="0"/>
    <m/>
    <m/>
    <n v="0"/>
    <m/>
    <m/>
    <m/>
    <m/>
    <m/>
    <m/>
    <n v="0"/>
    <n v="0"/>
  </r>
  <r>
    <x v="11"/>
    <x v="8"/>
    <s v="Pathways to Prosperity"/>
    <m/>
    <n v="218140"/>
    <x v="6"/>
    <m/>
    <m/>
    <n v="37784"/>
    <n v="37784"/>
    <m/>
    <m/>
    <m/>
    <m/>
    <n v="0"/>
    <m/>
    <m/>
    <n v="0"/>
    <n v="37784"/>
    <n v="37784"/>
    <m/>
    <m/>
    <m/>
    <m/>
    <n v="0"/>
    <m/>
    <m/>
    <n v="0"/>
    <m/>
    <m/>
    <m/>
    <m/>
    <m/>
    <m/>
    <n v="37784"/>
    <n v="37784"/>
  </r>
  <r>
    <x v="11"/>
    <x v="8"/>
    <s v="Lottery Technology (NR)"/>
    <m/>
    <n v="218140"/>
    <x v="6"/>
    <m/>
    <m/>
    <n v="270579"/>
    <n v="246717"/>
    <m/>
    <m/>
    <m/>
    <m/>
    <n v="0"/>
    <m/>
    <m/>
    <n v="0"/>
    <n v="270579"/>
    <n v="246717"/>
    <m/>
    <m/>
    <m/>
    <m/>
    <n v="0"/>
    <m/>
    <m/>
    <n v="0"/>
    <m/>
    <m/>
    <m/>
    <m/>
    <m/>
    <m/>
    <n v="270579"/>
    <n v="246717"/>
  </r>
  <r>
    <x v="11"/>
    <x v="8"/>
    <s v="Critical  Equip Repair &amp; Replacement(Lottery)"/>
    <m/>
    <n v="218140"/>
    <x v="6"/>
    <m/>
    <m/>
    <m/>
    <n v="69585"/>
    <m/>
    <m/>
    <m/>
    <m/>
    <n v="0"/>
    <m/>
    <m/>
    <n v="0"/>
    <n v="0"/>
    <n v="69585"/>
    <m/>
    <m/>
    <m/>
    <m/>
    <n v="0"/>
    <m/>
    <m/>
    <n v="0"/>
    <m/>
    <m/>
    <m/>
    <m/>
    <m/>
    <m/>
    <n v="0"/>
    <n v="69585"/>
  </r>
  <r>
    <x v="11"/>
    <x v="8"/>
    <s v="Culinary Arts Academic Building"/>
    <m/>
    <n v="218140"/>
    <x v="6"/>
    <m/>
    <m/>
    <m/>
    <n v="1750000"/>
    <m/>
    <m/>
    <m/>
    <m/>
    <n v="0"/>
    <m/>
    <m/>
    <n v="0"/>
    <n v="0"/>
    <n v="1750000"/>
    <m/>
    <m/>
    <m/>
    <m/>
    <n v="0"/>
    <m/>
    <m/>
    <n v="0"/>
    <m/>
    <m/>
    <m/>
    <m/>
    <m/>
    <m/>
    <n v="0"/>
    <n v="1750000"/>
  </r>
  <r>
    <x v="11"/>
    <x v="0"/>
    <s v="Midlands Technical College "/>
    <m/>
    <n v="218353"/>
    <x v="6"/>
    <n v="13162580"/>
    <n v="13162579"/>
    <m/>
    <m/>
    <n v="8691390"/>
    <n v="9906990"/>
    <n v="52572905"/>
    <n v="2890918"/>
    <n v="55463823"/>
    <n v="52625641"/>
    <n v="2890918"/>
    <n v="55516559"/>
    <n v="74426875"/>
    <n v="75695210"/>
    <m/>
    <m/>
    <m/>
    <m/>
    <n v="0"/>
    <m/>
    <m/>
    <n v="0"/>
    <m/>
    <m/>
    <m/>
    <m/>
    <m/>
    <m/>
    <n v="74426875"/>
    <n v="75695210"/>
  </r>
  <r>
    <x v="11"/>
    <x v="0"/>
    <s v="Personnel Services"/>
    <m/>
    <n v="218353"/>
    <x v="6"/>
    <m/>
    <n v="369270"/>
    <m/>
    <m/>
    <m/>
    <m/>
    <m/>
    <m/>
    <n v="0"/>
    <m/>
    <m/>
    <n v="0"/>
    <n v="0"/>
    <n v="369270"/>
    <m/>
    <m/>
    <m/>
    <m/>
    <n v="0"/>
    <m/>
    <m/>
    <n v="0"/>
    <m/>
    <m/>
    <m/>
    <m/>
    <m/>
    <m/>
    <n v="0"/>
    <n v="369270"/>
  </r>
  <r>
    <x v="11"/>
    <x v="8"/>
    <s v="Special Line items for education operations"/>
    <m/>
    <n v="218353"/>
    <x v="6"/>
    <m/>
    <m/>
    <m/>
    <m/>
    <m/>
    <m/>
    <m/>
    <m/>
    <n v="0"/>
    <m/>
    <m/>
    <n v="0"/>
    <n v="0"/>
    <n v="0"/>
    <m/>
    <m/>
    <m/>
    <m/>
    <n v="0"/>
    <m/>
    <m/>
    <n v="0"/>
    <m/>
    <m/>
    <m/>
    <m/>
    <m/>
    <m/>
    <n v="0"/>
    <n v="0"/>
  </r>
  <r>
    <x v="11"/>
    <x v="8"/>
    <s v="Academic Endowment"/>
    <m/>
    <n v="218353"/>
    <x v="6"/>
    <m/>
    <m/>
    <n v="602"/>
    <n v="410"/>
    <m/>
    <m/>
    <m/>
    <m/>
    <n v="0"/>
    <m/>
    <m/>
    <n v="0"/>
    <n v="602"/>
    <n v="410"/>
    <m/>
    <m/>
    <m/>
    <m/>
    <n v="0"/>
    <m/>
    <m/>
    <n v="0"/>
    <m/>
    <m/>
    <m/>
    <m/>
    <m/>
    <m/>
    <n v="602"/>
    <n v="410"/>
  </r>
  <r>
    <x v="11"/>
    <x v="8"/>
    <s v="Performance Funding"/>
    <m/>
    <n v="218353"/>
    <x v="6"/>
    <m/>
    <m/>
    <n v="176540"/>
    <n v="140228"/>
    <m/>
    <m/>
    <m/>
    <m/>
    <n v="0"/>
    <m/>
    <m/>
    <n v="0"/>
    <n v="176540"/>
    <n v="140228"/>
    <m/>
    <m/>
    <m/>
    <m/>
    <n v="0"/>
    <m/>
    <m/>
    <n v="0"/>
    <m/>
    <m/>
    <m/>
    <m/>
    <m/>
    <m/>
    <n v="176540"/>
    <n v="140228"/>
  </r>
  <r>
    <x v="11"/>
    <x v="8"/>
    <s v="Critical Needs Workforce"/>
    <m/>
    <n v="218353"/>
    <x v="6"/>
    <m/>
    <m/>
    <m/>
    <n v="292706"/>
    <m/>
    <m/>
    <m/>
    <m/>
    <n v="0"/>
    <m/>
    <m/>
    <n v="0"/>
    <n v="0"/>
    <n v="292706"/>
    <m/>
    <m/>
    <m/>
    <m/>
    <n v="0"/>
    <m/>
    <m/>
    <n v="0"/>
    <m/>
    <m/>
    <m/>
    <m/>
    <m/>
    <m/>
    <n v="0"/>
    <n v="292706"/>
  </r>
  <r>
    <x v="11"/>
    <x v="8"/>
    <s v="Critical Needs Nursing Initiative"/>
    <m/>
    <n v="218353"/>
    <x v="6"/>
    <m/>
    <m/>
    <n v="51948"/>
    <n v="51948"/>
    <m/>
    <m/>
    <m/>
    <m/>
    <n v="0"/>
    <m/>
    <m/>
    <n v="0"/>
    <n v="51948"/>
    <n v="51948"/>
    <m/>
    <m/>
    <m/>
    <m/>
    <n v="0"/>
    <m/>
    <m/>
    <n v="0"/>
    <m/>
    <m/>
    <m/>
    <m/>
    <m/>
    <m/>
    <n v="51948"/>
    <n v="51948"/>
  </r>
  <r>
    <x v="11"/>
    <x v="8"/>
    <s v="Deferred Maintenance"/>
    <m/>
    <n v="218353"/>
    <x v="6"/>
    <m/>
    <m/>
    <m/>
    <m/>
    <m/>
    <m/>
    <m/>
    <m/>
    <n v="0"/>
    <m/>
    <m/>
    <n v="0"/>
    <n v="0"/>
    <n v="0"/>
    <m/>
    <m/>
    <m/>
    <m/>
    <n v="0"/>
    <m/>
    <m/>
    <n v="0"/>
    <m/>
    <m/>
    <m/>
    <m/>
    <m/>
    <m/>
    <n v="0"/>
    <n v="0"/>
  </r>
  <r>
    <x v="11"/>
    <x v="8"/>
    <s v="Nursing Program"/>
    <m/>
    <n v="218353"/>
    <x v="6"/>
    <m/>
    <m/>
    <n v="370943"/>
    <n v="370943"/>
    <m/>
    <m/>
    <m/>
    <m/>
    <n v="0"/>
    <m/>
    <m/>
    <n v="0"/>
    <n v="370943"/>
    <n v="370943"/>
    <m/>
    <m/>
    <m/>
    <m/>
    <n v="0"/>
    <m/>
    <m/>
    <n v="0"/>
    <m/>
    <m/>
    <m/>
    <m/>
    <m/>
    <m/>
    <n v="370943"/>
    <n v="370943"/>
  </r>
  <r>
    <x v="11"/>
    <x v="8"/>
    <s v="Pathways to Prosperity"/>
    <m/>
    <n v="218353"/>
    <x v="6"/>
    <m/>
    <m/>
    <n v="37784"/>
    <n v="37784"/>
    <m/>
    <m/>
    <m/>
    <m/>
    <n v="0"/>
    <m/>
    <m/>
    <n v="0"/>
    <n v="37784"/>
    <n v="37784"/>
    <m/>
    <m/>
    <m/>
    <m/>
    <n v="0"/>
    <m/>
    <m/>
    <n v="0"/>
    <m/>
    <m/>
    <m/>
    <m/>
    <m/>
    <m/>
    <n v="37784"/>
    <n v="37784"/>
  </r>
  <r>
    <x v="11"/>
    <x v="8"/>
    <s v="Lottery Technology (NR)"/>
    <m/>
    <n v="218353"/>
    <x v="6"/>
    <m/>
    <m/>
    <n v="506553"/>
    <n v="461880"/>
    <m/>
    <m/>
    <m/>
    <m/>
    <n v="0"/>
    <m/>
    <m/>
    <n v="0"/>
    <n v="506553"/>
    <n v="461880"/>
    <m/>
    <m/>
    <m/>
    <m/>
    <n v="0"/>
    <m/>
    <m/>
    <n v="0"/>
    <m/>
    <m/>
    <m/>
    <m/>
    <m/>
    <m/>
    <n v="506553"/>
    <n v="461880"/>
  </r>
  <r>
    <x v="11"/>
    <x v="8"/>
    <s v="Critical  Equip Repair &amp; Replacement(Lottery)"/>
    <m/>
    <n v="218353"/>
    <x v="6"/>
    <m/>
    <m/>
    <m/>
    <n v="130270"/>
    <m/>
    <m/>
    <m/>
    <m/>
    <n v="0"/>
    <m/>
    <m/>
    <n v="0"/>
    <n v="0"/>
    <n v="130270"/>
    <m/>
    <m/>
    <m/>
    <m/>
    <n v="0"/>
    <m/>
    <m/>
    <n v="0"/>
    <m/>
    <m/>
    <m/>
    <m/>
    <m/>
    <m/>
    <n v="0"/>
    <n v="130270"/>
  </r>
  <r>
    <x v="11"/>
    <x v="8"/>
    <s v="Midlands Quick Jobs Program-Equipment"/>
    <m/>
    <n v="218353"/>
    <x v="6"/>
    <m/>
    <m/>
    <n v="1500000"/>
    <n v="750000"/>
    <m/>
    <m/>
    <m/>
    <m/>
    <n v="0"/>
    <m/>
    <m/>
    <n v="0"/>
    <n v="1500000"/>
    <n v="750000"/>
    <m/>
    <m/>
    <m/>
    <m/>
    <n v="0"/>
    <m/>
    <m/>
    <n v="0"/>
    <m/>
    <m/>
    <m/>
    <m/>
    <m/>
    <m/>
    <n v="1500000"/>
    <n v="750000"/>
  </r>
  <r>
    <x v="11"/>
    <x v="8"/>
    <s v="Building Capacity for STEM Education"/>
    <m/>
    <n v="218353"/>
    <x v="6"/>
    <m/>
    <m/>
    <m/>
    <n v="750000"/>
    <m/>
    <m/>
    <m/>
    <m/>
    <n v="0"/>
    <m/>
    <m/>
    <n v="0"/>
    <n v="0"/>
    <n v="750000"/>
    <m/>
    <m/>
    <m/>
    <m/>
    <n v="0"/>
    <m/>
    <m/>
    <n v="0"/>
    <m/>
    <m/>
    <m/>
    <m/>
    <m/>
    <m/>
    <n v="0"/>
    <n v="750000"/>
  </r>
  <r>
    <x v="11"/>
    <x v="0"/>
    <s v="Piedmont Technical College "/>
    <s v="Met the criteria for Two-Year 2 in 2014-15."/>
    <n v="218520"/>
    <x v="6"/>
    <n v="6441348"/>
    <n v="6441348"/>
    <m/>
    <m/>
    <n v="1968467"/>
    <n v="2219817"/>
    <n v="24318486"/>
    <n v="0"/>
    <n v="24318486"/>
    <n v="22770113"/>
    <n v="0"/>
    <n v="22770113"/>
    <n v="32728301"/>
    <n v="31431278"/>
    <m/>
    <m/>
    <m/>
    <m/>
    <n v="0"/>
    <m/>
    <m/>
    <n v="0"/>
    <m/>
    <m/>
    <m/>
    <m/>
    <m/>
    <m/>
    <n v="32728301"/>
    <n v="31431278"/>
  </r>
  <r>
    <x v="11"/>
    <x v="0"/>
    <s v="Personnel Services"/>
    <m/>
    <n v="218520"/>
    <x v="6"/>
    <m/>
    <n v="180709"/>
    <m/>
    <m/>
    <m/>
    <m/>
    <m/>
    <m/>
    <n v="0"/>
    <m/>
    <m/>
    <n v="0"/>
    <n v="0"/>
    <n v="180709"/>
    <m/>
    <m/>
    <m/>
    <m/>
    <n v="0"/>
    <m/>
    <m/>
    <n v="0"/>
    <m/>
    <m/>
    <m/>
    <m/>
    <m/>
    <m/>
    <n v="0"/>
    <n v="180709"/>
  </r>
  <r>
    <x v="11"/>
    <x v="8"/>
    <s v="Special Line items for education operations"/>
    <m/>
    <n v="218520"/>
    <x v="6"/>
    <m/>
    <m/>
    <m/>
    <m/>
    <m/>
    <m/>
    <m/>
    <m/>
    <n v="0"/>
    <m/>
    <m/>
    <n v="0"/>
    <n v="0"/>
    <n v="0"/>
    <m/>
    <m/>
    <m/>
    <m/>
    <n v="0"/>
    <m/>
    <m/>
    <n v="0"/>
    <m/>
    <m/>
    <m/>
    <m/>
    <m/>
    <m/>
    <n v="0"/>
    <n v="0"/>
  </r>
  <r>
    <x v="11"/>
    <x v="8"/>
    <s v="Academic Endowment"/>
    <m/>
    <n v="218520"/>
    <x v="6"/>
    <m/>
    <m/>
    <n v="164"/>
    <n v="135"/>
    <m/>
    <m/>
    <m/>
    <m/>
    <n v="0"/>
    <m/>
    <m/>
    <n v="0"/>
    <n v="164"/>
    <n v="135"/>
    <m/>
    <m/>
    <m/>
    <m/>
    <n v="0"/>
    <m/>
    <m/>
    <n v="0"/>
    <m/>
    <m/>
    <m/>
    <m/>
    <m/>
    <m/>
    <n v="164"/>
    <n v="135"/>
  </r>
  <r>
    <x v="11"/>
    <x v="8"/>
    <s v="Performance Funding"/>
    <m/>
    <n v="218520"/>
    <x v="6"/>
    <m/>
    <m/>
    <n v="122709"/>
    <n v="122937"/>
    <m/>
    <m/>
    <m/>
    <m/>
    <n v="0"/>
    <m/>
    <m/>
    <n v="0"/>
    <n v="122709"/>
    <n v="122937"/>
    <m/>
    <m/>
    <m/>
    <m/>
    <n v="0"/>
    <m/>
    <m/>
    <n v="0"/>
    <m/>
    <m/>
    <m/>
    <m/>
    <m/>
    <m/>
    <n v="122709"/>
    <n v="122937"/>
  </r>
  <r>
    <x v="11"/>
    <x v="8"/>
    <s v="Critical Needs Workforce"/>
    <m/>
    <n v="218520"/>
    <x v="6"/>
    <m/>
    <m/>
    <m/>
    <n v="138356"/>
    <m/>
    <m/>
    <m/>
    <m/>
    <n v="0"/>
    <m/>
    <m/>
    <n v="0"/>
    <n v="0"/>
    <n v="138356"/>
    <m/>
    <m/>
    <m/>
    <m/>
    <n v="0"/>
    <m/>
    <m/>
    <n v="0"/>
    <m/>
    <m/>
    <m/>
    <m/>
    <m/>
    <m/>
    <n v="0"/>
    <n v="138356"/>
  </r>
  <r>
    <x v="11"/>
    <x v="8"/>
    <s v="Critical Needs Nursing Initiative"/>
    <m/>
    <n v="218520"/>
    <x v="6"/>
    <m/>
    <m/>
    <n v="39557"/>
    <n v="39557"/>
    <m/>
    <m/>
    <m/>
    <m/>
    <n v="0"/>
    <m/>
    <m/>
    <n v="0"/>
    <n v="39557"/>
    <n v="39557"/>
    <m/>
    <m/>
    <m/>
    <m/>
    <n v="0"/>
    <m/>
    <m/>
    <n v="0"/>
    <m/>
    <m/>
    <m/>
    <m/>
    <m/>
    <m/>
    <n v="39557"/>
    <n v="39557"/>
  </r>
  <r>
    <x v="11"/>
    <x v="8"/>
    <s v="Deferred Maintenance"/>
    <m/>
    <n v="218520"/>
    <x v="6"/>
    <m/>
    <m/>
    <m/>
    <m/>
    <m/>
    <m/>
    <m/>
    <m/>
    <n v="0"/>
    <m/>
    <m/>
    <n v="0"/>
    <n v="0"/>
    <n v="0"/>
    <m/>
    <m/>
    <m/>
    <m/>
    <n v="0"/>
    <m/>
    <m/>
    <n v="0"/>
    <m/>
    <m/>
    <m/>
    <m/>
    <m/>
    <m/>
    <n v="0"/>
    <n v="0"/>
  </r>
  <r>
    <x v="11"/>
    <x v="8"/>
    <s v="Pathways to Prosperity"/>
    <m/>
    <n v="218520"/>
    <x v="6"/>
    <m/>
    <m/>
    <n v="37784"/>
    <n v="37784"/>
    <m/>
    <m/>
    <m/>
    <m/>
    <n v="0"/>
    <m/>
    <m/>
    <n v="0"/>
    <n v="37784"/>
    <n v="37784"/>
    <m/>
    <m/>
    <m/>
    <m/>
    <n v="0"/>
    <m/>
    <m/>
    <n v="0"/>
    <m/>
    <m/>
    <m/>
    <m/>
    <m/>
    <m/>
    <n v="37784"/>
    <n v="37784"/>
  </r>
  <r>
    <x v="11"/>
    <x v="8"/>
    <s v="Lottery Technology (NR)"/>
    <m/>
    <n v="218520"/>
    <x v="6"/>
    <m/>
    <m/>
    <n v="247891"/>
    <n v="226029"/>
    <m/>
    <m/>
    <m/>
    <m/>
    <n v="0"/>
    <m/>
    <m/>
    <n v="0"/>
    <n v="247891"/>
    <n v="226029"/>
    <m/>
    <m/>
    <m/>
    <m/>
    <n v="0"/>
    <m/>
    <m/>
    <n v="0"/>
    <m/>
    <m/>
    <m/>
    <m/>
    <m/>
    <m/>
    <n v="247891"/>
    <n v="226029"/>
  </r>
  <r>
    <x v="11"/>
    <x v="8"/>
    <s v="Critical  Equip Repair &amp; Replacement(Lottery)"/>
    <m/>
    <n v="218520"/>
    <x v="6"/>
    <m/>
    <m/>
    <m/>
    <n v="63750"/>
    <m/>
    <m/>
    <m/>
    <m/>
    <n v="0"/>
    <m/>
    <m/>
    <n v="0"/>
    <n v="0"/>
    <n v="63750"/>
    <m/>
    <m/>
    <m/>
    <m/>
    <n v="0"/>
    <m/>
    <m/>
    <n v="0"/>
    <m/>
    <m/>
    <m/>
    <m/>
    <m/>
    <m/>
    <n v="0"/>
    <n v="63750"/>
  </r>
  <r>
    <x v="11"/>
    <x v="0"/>
    <s v="Tri-County Technical College "/>
    <m/>
    <n v="218885"/>
    <x v="6"/>
    <n v="6653649"/>
    <n v="6653650"/>
    <m/>
    <m/>
    <n v="2889507"/>
    <n v="3000000"/>
    <n v="29138218"/>
    <n v="0"/>
    <n v="29138218"/>
    <n v="22770113"/>
    <n v="0"/>
    <n v="22770113"/>
    <n v="38681374"/>
    <n v="32423763"/>
    <m/>
    <m/>
    <m/>
    <m/>
    <n v="0"/>
    <m/>
    <m/>
    <n v="0"/>
    <m/>
    <m/>
    <m/>
    <m/>
    <m/>
    <m/>
    <n v="38681374"/>
    <n v="32423763"/>
  </r>
  <r>
    <x v="11"/>
    <x v="0"/>
    <s v="Personnel Services"/>
    <m/>
    <n v="218885"/>
    <x v="6"/>
    <m/>
    <n v="186665"/>
    <m/>
    <m/>
    <m/>
    <m/>
    <m/>
    <m/>
    <n v="0"/>
    <m/>
    <m/>
    <n v="0"/>
    <n v="0"/>
    <n v="186665"/>
    <m/>
    <m/>
    <m/>
    <m/>
    <n v="0"/>
    <m/>
    <m/>
    <n v="0"/>
    <m/>
    <m/>
    <m/>
    <m/>
    <m/>
    <m/>
    <n v="0"/>
    <n v="186665"/>
  </r>
  <r>
    <x v="11"/>
    <x v="8"/>
    <s v="Special Line items for education operations"/>
    <m/>
    <n v="218885"/>
    <x v="6"/>
    <m/>
    <m/>
    <m/>
    <m/>
    <m/>
    <m/>
    <m/>
    <m/>
    <n v="0"/>
    <m/>
    <m/>
    <n v="0"/>
    <n v="0"/>
    <n v="0"/>
    <m/>
    <m/>
    <m/>
    <m/>
    <n v="0"/>
    <m/>
    <m/>
    <n v="0"/>
    <m/>
    <m/>
    <m/>
    <m/>
    <m/>
    <m/>
    <n v="0"/>
    <n v="0"/>
  </r>
  <r>
    <x v="11"/>
    <x v="8"/>
    <s v="Academic Endowment"/>
    <m/>
    <n v="218885"/>
    <x v="6"/>
    <m/>
    <m/>
    <n v="2685"/>
    <n v="2615"/>
    <m/>
    <m/>
    <m/>
    <m/>
    <n v="0"/>
    <m/>
    <m/>
    <n v="0"/>
    <n v="2685"/>
    <n v="2615"/>
    <m/>
    <m/>
    <m/>
    <m/>
    <n v="0"/>
    <m/>
    <m/>
    <n v="0"/>
    <m/>
    <m/>
    <m/>
    <m/>
    <m/>
    <m/>
    <n v="2685"/>
    <n v="2615"/>
  </r>
  <r>
    <x v="11"/>
    <x v="8"/>
    <s v="Performance Funding"/>
    <m/>
    <n v="218885"/>
    <x v="6"/>
    <m/>
    <m/>
    <n v="100665"/>
    <n v="115164"/>
    <m/>
    <m/>
    <m/>
    <m/>
    <n v="0"/>
    <m/>
    <m/>
    <n v="0"/>
    <n v="100665"/>
    <n v="115164"/>
    <m/>
    <m/>
    <m/>
    <m/>
    <n v="0"/>
    <m/>
    <m/>
    <n v="0"/>
    <m/>
    <m/>
    <m/>
    <m/>
    <m/>
    <m/>
    <n v="100665"/>
    <n v="115164"/>
  </r>
  <r>
    <x v="11"/>
    <x v="8"/>
    <s v="Critical Needs Workforce"/>
    <m/>
    <n v="218885"/>
    <x v="6"/>
    <m/>
    <m/>
    <m/>
    <n v="1181301"/>
    <m/>
    <m/>
    <m/>
    <m/>
    <n v="0"/>
    <m/>
    <m/>
    <n v="0"/>
    <n v="0"/>
    <n v="1181301"/>
    <m/>
    <m/>
    <m/>
    <m/>
    <n v="0"/>
    <m/>
    <m/>
    <n v="0"/>
    <m/>
    <m/>
    <m/>
    <m/>
    <m/>
    <m/>
    <n v="0"/>
    <n v="1181301"/>
  </r>
  <r>
    <x v="11"/>
    <x v="8"/>
    <s v="Critical Needs Nursing Initiative"/>
    <m/>
    <n v="218885"/>
    <x v="6"/>
    <m/>
    <m/>
    <n v="29903"/>
    <n v="29903"/>
    <m/>
    <m/>
    <m/>
    <m/>
    <n v="0"/>
    <m/>
    <m/>
    <n v="0"/>
    <n v="29903"/>
    <n v="29903"/>
    <m/>
    <m/>
    <m/>
    <m/>
    <n v="0"/>
    <m/>
    <m/>
    <n v="0"/>
    <m/>
    <m/>
    <m/>
    <m/>
    <m/>
    <m/>
    <n v="29903"/>
    <n v="29903"/>
  </r>
  <r>
    <x v="11"/>
    <x v="8"/>
    <s v="Deferred Maintenance"/>
    <m/>
    <n v="218885"/>
    <x v="6"/>
    <m/>
    <m/>
    <m/>
    <m/>
    <m/>
    <m/>
    <m/>
    <m/>
    <n v="0"/>
    <m/>
    <m/>
    <n v="0"/>
    <n v="0"/>
    <n v="0"/>
    <m/>
    <m/>
    <m/>
    <m/>
    <n v="0"/>
    <m/>
    <m/>
    <n v="0"/>
    <m/>
    <m/>
    <m/>
    <m/>
    <m/>
    <m/>
    <n v="0"/>
    <n v="0"/>
  </r>
  <r>
    <x v="11"/>
    <x v="8"/>
    <s v="Capital Reserve and Surplus 90.20"/>
    <m/>
    <n v="218885"/>
    <x v="6"/>
    <m/>
    <m/>
    <m/>
    <m/>
    <m/>
    <m/>
    <m/>
    <m/>
    <n v="0"/>
    <m/>
    <m/>
    <n v="0"/>
    <n v="0"/>
    <n v="0"/>
    <m/>
    <m/>
    <m/>
    <m/>
    <n v="0"/>
    <m/>
    <m/>
    <n v="0"/>
    <m/>
    <m/>
    <m/>
    <m/>
    <m/>
    <m/>
    <n v="0"/>
    <n v="0"/>
  </r>
  <r>
    <x v="11"/>
    <x v="8"/>
    <s v="Pathways to Prosperity"/>
    <m/>
    <n v="218885"/>
    <x v="6"/>
    <m/>
    <m/>
    <n v="37784"/>
    <n v="37784"/>
    <m/>
    <m/>
    <m/>
    <m/>
    <n v="0"/>
    <m/>
    <m/>
    <n v="0"/>
    <n v="37784"/>
    <n v="37784"/>
    <m/>
    <m/>
    <m/>
    <m/>
    <n v="0"/>
    <m/>
    <m/>
    <n v="0"/>
    <m/>
    <m/>
    <m/>
    <m/>
    <m/>
    <m/>
    <n v="37784"/>
    <n v="37784"/>
  </r>
  <r>
    <x v="11"/>
    <x v="8"/>
    <s v="Lottery Technology (NR)"/>
    <m/>
    <n v="218885"/>
    <x v="6"/>
    <m/>
    <m/>
    <n v="256061"/>
    <n v="233479"/>
    <m/>
    <m/>
    <m/>
    <m/>
    <n v="0"/>
    <m/>
    <m/>
    <n v="0"/>
    <n v="256061"/>
    <n v="233479"/>
    <m/>
    <m/>
    <m/>
    <m/>
    <n v="0"/>
    <m/>
    <m/>
    <n v="0"/>
    <m/>
    <m/>
    <m/>
    <m/>
    <m/>
    <m/>
    <n v="256061"/>
    <n v="233479"/>
  </r>
  <r>
    <x v="11"/>
    <x v="8"/>
    <s v="Critical  Equip Repair &amp; Replacement(Lottery)"/>
    <m/>
    <n v="218885"/>
    <x v="6"/>
    <m/>
    <m/>
    <m/>
    <n v="65851"/>
    <m/>
    <m/>
    <m/>
    <m/>
    <n v="0"/>
    <m/>
    <m/>
    <n v="0"/>
    <n v="0"/>
    <n v="65851"/>
    <m/>
    <m/>
    <m/>
    <m/>
    <n v="0"/>
    <m/>
    <m/>
    <n v="0"/>
    <m/>
    <m/>
    <m/>
    <m/>
    <m/>
    <m/>
    <n v="0"/>
    <n v="65851"/>
  </r>
  <r>
    <x v="11"/>
    <x v="8"/>
    <s v="CNC and Megatronics Program"/>
    <m/>
    <n v="218885"/>
    <x v="6"/>
    <m/>
    <m/>
    <m/>
    <n v="1000000"/>
    <m/>
    <m/>
    <m/>
    <m/>
    <n v="0"/>
    <m/>
    <m/>
    <n v="0"/>
    <n v="0"/>
    <n v="1000000"/>
    <m/>
    <m/>
    <m/>
    <m/>
    <n v="0"/>
    <m/>
    <m/>
    <n v="0"/>
    <m/>
    <m/>
    <m/>
    <m/>
    <m/>
    <m/>
    <n v="0"/>
    <n v="1000000"/>
  </r>
  <r>
    <x v="11"/>
    <x v="0"/>
    <s v="Trident Technical College "/>
    <m/>
    <n v="218894"/>
    <x v="6"/>
    <n v="14169950"/>
    <n v="14169951"/>
    <m/>
    <m/>
    <n v="10268017"/>
    <n v="10491560"/>
    <n v="63840300"/>
    <n v="1103081"/>
    <n v="64943381"/>
    <n v="60299775"/>
    <n v="1327128"/>
    <n v="61626903"/>
    <n v="88278267"/>
    <n v="84961286"/>
    <m/>
    <m/>
    <m/>
    <m/>
    <n v="0"/>
    <m/>
    <m/>
    <n v="0"/>
    <m/>
    <m/>
    <m/>
    <m/>
    <m/>
    <m/>
    <n v="88278267"/>
    <n v="84961286"/>
  </r>
  <r>
    <x v="11"/>
    <x v="0"/>
    <s v="Personnel Services"/>
    <m/>
    <n v="218894"/>
    <x v="6"/>
    <m/>
    <n v="397531"/>
    <m/>
    <m/>
    <m/>
    <m/>
    <m/>
    <m/>
    <n v="0"/>
    <m/>
    <m/>
    <n v="0"/>
    <n v="0"/>
    <n v="397531"/>
    <m/>
    <m/>
    <m/>
    <m/>
    <n v="0"/>
    <m/>
    <m/>
    <n v="0"/>
    <m/>
    <m/>
    <m/>
    <m/>
    <m/>
    <m/>
    <n v="0"/>
    <n v="397531"/>
  </r>
  <r>
    <x v="11"/>
    <x v="8"/>
    <s v="Special Line items for education operations"/>
    <m/>
    <n v="218894"/>
    <x v="6"/>
    <m/>
    <m/>
    <m/>
    <m/>
    <m/>
    <m/>
    <m/>
    <m/>
    <n v="0"/>
    <m/>
    <m/>
    <n v="0"/>
    <n v="0"/>
    <n v="0"/>
    <m/>
    <m/>
    <m/>
    <m/>
    <n v="0"/>
    <m/>
    <m/>
    <n v="0"/>
    <m/>
    <m/>
    <m/>
    <m/>
    <m/>
    <m/>
    <n v="0"/>
    <n v="0"/>
  </r>
  <r>
    <x v="11"/>
    <x v="8"/>
    <s v="Academic Endowment"/>
    <m/>
    <n v="218894"/>
    <x v="6"/>
    <m/>
    <m/>
    <n v="599"/>
    <n v="688"/>
    <m/>
    <m/>
    <m/>
    <m/>
    <n v="0"/>
    <m/>
    <m/>
    <n v="0"/>
    <n v="599"/>
    <n v="688"/>
    <m/>
    <m/>
    <m/>
    <m/>
    <n v="0"/>
    <m/>
    <m/>
    <n v="0"/>
    <m/>
    <m/>
    <m/>
    <m/>
    <m/>
    <m/>
    <n v="599"/>
    <n v="688"/>
  </r>
  <r>
    <x v="11"/>
    <x v="8"/>
    <s v="Performance Funding"/>
    <m/>
    <n v="218894"/>
    <x v="6"/>
    <m/>
    <m/>
    <n v="258899"/>
    <n v="199135"/>
    <m/>
    <m/>
    <m/>
    <m/>
    <n v="0"/>
    <m/>
    <m/>
    <n v="0"/>
    <n v="258899"/>
    <n v="199135"/>
    <m/>
    <m/>
    <m/>
    <m/>
    <n v="0"/>
    <m/>
    <m/>
    <n v="0"/>
    <m/>
    <m/>
    <m/>
    <m/>
    <m/>
    <m/>
    <n v="258899"/>
    <n v="199135"/>
  </r>
  <r>
    <x v="11"/>
    <x v="8"/>
    <s v="Critical Needs Workforce"/>
    <m/>
    <n v="218894"/>
    <x v="6"/>
    <m/>
    <m/>
    <m/>
    <n v="435946"/>
    <m/>
    <m/>
    <m/>
    <m/>
    <n v="0"/>
    <m/>
    <m/>
    <n v="0"/>
    <n v="0"/>
    <n v="435946"/>
    <m/>
    <m/>
    <m/>
    <m/>
    <n v="0"/>
    <m/>
    <m/>
    <n v="0"/>
    <m/>
    <m/>
    <m/>
    <m/>
    <m/>
    <m/>
    <n v="0"/>
    <n v="435946"/>
  </r>
  <r>
    <x v="11"/>
    <x v="8"/>
    <s v="Critical Needs Nursing Initiative"/>
    <m/>
    <n v="218894"/>
    <x v="6"/>
    <m/>
    <m/>
    <n v="37643"/>
    <n v="37643"/>
    <m/>
    <m/>
    <m/>
    <m/>
    <n v="0"/>
    <m/>
    <m/>
    <n v="0"/>
    <n v="37643"/>
    <n v="37643"/>
    <m/>
    <m/>
    <m/>
    <m/>
    <n v="0"/>
    <m/>
    <m/>
    <n v="0"/>
    <m/>
    <m/>
    <m/>
    <m/>
    <m/>
    <m/>
    <n v="37643"/>
    <n v="37643"/>
  </r>
  <r>
    <x v="11"/>
    <x v="8"/>
    <s v="Deferred Maintenance"/>
    <m/>
    <n v="218894"/>
    <x v="6"/>
    <m/>
    <m/>
    <m/>
    <m/>
    <m/>
    <m/>
    <m/>
    <m/>
    <n v="0"/>
    <m/>
    <m/>
    <n v="0"/>
    <n v="0"/>
    <n v="0"/>
    <m/>
    <m/>
    <m/>
    <m/>
    <n v="0"/>
    <m/>
    <m/>
    <n v="0"/>
    <m/>
    <m/>
    <m/>
    <m/>
    <m/>
    <m/>
    <n v="0"/>
    <n v="0"/>
  </r>
  <r>
    <x v="11"/>
    <x v="8"/>
    <s v="Capital Reserve and Surplus 90.20"/>
    <m/>
    <n v="218894"/>
    <x v="6"/>
    <m/>
    <m/>
    <m/>
    <m/>
    <m/>
    <m/>
    <m/>
    <m/>
    <n v="0"/>
    <m/>
    <m/>
    <n v="0"/>
    <n v="0"/>
    <n v="0"/>
    <m/>
    <m/>
    <m/>
    <m/>
    <n v="0"/>
    <m/>
    <m/>
    <n v="0"/>
    <m/>
    <m/>
    <m/>
    <m/>
    <m/>
    <m/>
    <n v="0"/>
    <n v="0"/>
  </r>
  <r>
    <x v="11"/>
    <x v="8"/>
    <s v="Culinary Arts"/>
    <m/>
    <n v="218894"/>
    <x v="6"/>
    <m/>
    <m/>
    <n v="468522"/>
    <n v="468522"/>
    <m/>
    <m/>
    <m/>
    <m/>
    <n v="0"/>
    <m/>
    <m/>
    <n v="0"/>
    <n v="468522"/>
    <n v="468522"/>
    <m/>
    <m/>
    <m/>
    <m/>
    <n v="0"/>
    <m/>
    <m/>
    <n v="0"/>
    <m/>
    <m/>
    <m/>
    <m/>
    <m/>
    <m/>
    <n v="468522"/>
    <n v="468522"/>
  </r>
  <r>
    <x v="11"/>
    <x v="8"/>
    <s v="Pathways to Prosperity"/>
    <m/>
    <n v="218894"/>
    <x v="6"/>
    <m/>
    <m/>
    <n v="37784"/>
    <n v="37784"/>
    <m/>
    <m/>
    <m/>
    <m/>
    <n v="0"/>
    <m/>
    <m/>
    <n v="0"/>
    <n v="37784"/>
    <n v="37784"/>
    <m/>
    <m/>
    <m/>
    <m/>
    <n v="0"/>
    <m/>
    <m/>
    <n v="0"/>
    <m/>
    <m/>
    <m/>
    <m/>
    <m/>
    <m/>
    <n v="37784"/>
    <n v="37784"/>
  </r>
  <r>
    <x v="11"/>
    <x v="8"/>
    <s v="Lottery Technology (NR)"/>
    <m/>
    <n v="218894"/>
    <x v="6"/>
    <m/>
    <m/>
    <n v="545321"/>
    <n v="497229"/>
    <m/>
    <m/>
    <m/>
    <m/>
    <n v="0"/>
    <m/>
    <m/>
    <n v="0"/>
    <n v="545321"/>
    <n v="497229"/>
    <m/>
    <m/>
    <m/>
    <m/>
    <n v="0"/>
    <m/>
    <m/>
    <n v="0"/>
    <m/>
    <m/>
    <m/>
    <m/>
    <m/>
    <m/>
    <n v="545321"/>
    <n v="497229"/>
  </r>
  <r>
    <x v="11"/>
    <x v="8"/>
    <s v="Critical  Equip Repair &amp; Replacement(Lottery)"/>
    <m/>
    <n v="218894"/>
    <x v="6"/>
    <m/>
    <m/>
    <m/>
    <n v="140240"/>
    <m/>
    <m/>
    <m/>
    <m/>
    <n v="0"/>
    <m/>
    <m/>
    <n v="0"/>
    <n v="0"/>
    <n v="140240"/>
    <m/>
    <m/>
    <m/>
    <m/>
    <n v="0"/>
    <m/>
    <m/>
    <n v="0"/>
    <m/>
    <m/>
    <m/>
    <m/>
    <m/>
    <m/>
    <n v="0"/>
    <n v="140240"/>
  </r>
  <r>
    <x v="11"/>
    <x v="0"/>
    <s v="Aiken Technical College "/>
    <s v="Met the criteria for Two-Year 3 in 2014-15."/>
    <n v="217615"/>
    <x v="7"/>
    <n v="3686643"/>
    <n v="3686643"/>
    <m/>
    <m/>
    <n v="1878420"/>
    <n v="1974243"/>
    <n v="10247441"/>
    <n v="39330"/>
    <n v="10286771"/>
    <n v="9410671"/>
    <n v="367557"/>
    <n v="9778228"/>
    <n v="15812504"/>
    <n v="15071557"/>
    <m/>
    <m/>
    <m/>
    <m/>
    <n v="0"/>
    <m/>
    <m/>
    <n v="0"/>
    <m/>
    <m/>
    <m/>
    <m/>
    <m/>
    <m/>
    <n v="15812504"/>
    <n v="15071557"/>
  </r>
  <r>
    <x v="11"/>
    <x v="0"/>
    <s v="Personnel Services"/>
    <m/>
    <n v="217615"/>
    <x v="7"/>
    <m/>
    <n v="103427"/>
    <m/>
    <m/>
    <m/>
    <m/>
    <m/>
    <m/>
    <n v="0"/>
    <m/>
    <m/>
    <n v="0"/>
    <n v="0"/>
    <n v="103427"/>
    <m/>
    <m/>
    <m/>
    <m/>
    <n v="0"/>
    <m/>
    <m/>
    <n v="0"/>
    <m/>
    <m/>
    <m/>
    <m/>
    <m/>
    <m/>
    <n v="0"/>
    <n v="103427"/>
  </r>
  <r>
    <x v="11"/>
    <x v="8"/>
    <s v="Special Line items for education operations"/>
    <m/>
    <n v="217615"/>
    <x v="7"/>
    <m/>
    <m/>
    <m/>
    <m/>
    <m/>
    <m/>
    <m/>
    <m/>
    <n v="0"/>
    <m/>
    <m/>
    <n v="0"/>
    <n v="0"/>
    <n v="0"/>
    <m/>
    <m/>
    <m/>
    <m/>
    <n v="0"/>
    <m/>
    <m/>
    <n v="0"/>
    <m/>
    <m/>
    <m/>
    <m/>
    <m/>
    <m/>
    <n v="0"/>
    <n v="0"/>
  </r>
  <r>
    <x v="11"/>
    <x v="8"/>
    <s v="Academic Endowment"/>
    <m/>
    <n v="217615"/>
    <x v="7"/>
    <m/>
    <m/>
    <n v="735"/>
    <n v="707"/>
    <m/>
    <m/>
    <m/>
    <m/>
    <n v="0"/>
    <m/>
    <m/>
    <n v="0"/>
    <n v="735"/>
    <n v="707"/>
    <m/>
    <m/>
    <m/>
    <m/>
    <n v="0"/>
    <m/>
    <m/>
    <n v="0"/>
    <m/>
    <m/>
    <m/>
    <m/>
    <m/>
    <m/>
    <n v="735"/>
    <n v="707"/>
  </r>
  <r>
    <x v="11"/>
    <x v="8"/>
    <s v="Performance Funding"/>
    <m/>
    <n v="217615"/>
    <x v="7"/>
    <m/>
    <m/>
    <n v="96324"/>
    <n v="97161"/>
    <m/>
    <m/>
    <m/>
    <m/>
    <n v="0"/>
    <m/>
    <m/>
    <n v="0"/>
    <n v="96324"/>
    <n v="97161"/>
    <m/>
    <m/>
    <m/>
    <m/>
    <n v="0"/>
    <m/>
    <m/>
    <n v="0"/>
    <m/>
    <m/>
    <m/>
    <m/>
    <m/>
    <m/>
    <n v="96324"/>
    <n v="97161"/>
  </r>
  <r>
    <x v="11"/>
    <x v="8"/>
    <s v="Critical Needs Workforce"/>
    <m/>
    <n v="217615"/>
    <x v="7"/>
    <m/>
    <m/>
    <m/>
    <n v="97092"/>
    <m/>
    <m/>
    <m/>
    <m/>
    <n v="0"/>
    <m/>
    <m/>
    <n v="0"/>
    <n v="0"/>
    <n v="97092"/>
    <m/>
    <m/>
    <m/>
    <m/>
    <n v="0"/>
    <m/>
    <m/>
    <n v="0"/>
    <m/>
    <m/>
    <m/>
    <m/>
    <m/>
    <m/>
    <n v="0"/>
    <n v="97092"/>
  </r>
  <r>
    <x v="11"/>
    <x v="8"/>
    <s v="Critical Needs Nursing Initiative"/>
    <m/>
    <n v="217615"/>
    <x v="7"/>
    <m/>
    <m/>
    <n v="9618"/>
    <n v="8618"/>
    <m/>
    <m/>
    <m/>
    <m/>
    <n v="0"/>
    <m/>
    <m/>
    <n v="0"/>
    <n v="9618"/>
    <n v="8618"/>
    <m/>
    <m/>
    <m/>
    <m/>
    <n v="0"/>
    <m/>
    <m/>
    <n v="0"/>
    <m/>
    <m/>
    <m/>
    <m/>
    <m/>
    <m/>
    <n v="9618"/>
    <n v="8618"/>
  </r>
  <r>
    <x v="11"/>
    <x v="8"/>
    <s v="Deferred Maintenance"/>
    <m/>
    <n v="217615"/>
    <x v="7"/>
    <m/>
    <m/>
    <m/>
    <m/>
    <m/>
    <m/>
    <m/>
    <m/>
    <n v="0"/>
    <m/>
    <m/>
    <n v="0"/>
    <n v="0"/>
    <n v="0"/>
    <m/>
    <m/>
    <m/>
    <m/>
    <n v="0"/>
    <m/>
    <m/>
    <n v="0"/>
    <m/>
    <m/>
    <m/>
    <m/>
    <m/>
    <m/>
    <n v="0"/>
    <n v="0"/>
  </r>
  <r>
    <x v="11"/>
    <x v="8"/>
    <s v="Capital Reserve and Surplus 90.20"/>
    <m/>
    <n v="217615"/>
    <x v="7"/>
    <m/>
    <m/>
    <m/>
    <m/>
    <m/>
    <m/>
    <m/>
    <m/>
    <n v="0"/>
    <m/>
    <m/>
    <n v="0"/>
    <n v="0"/>
    <n v="0"/>
    <m/>
    <m/>
    <m/>
    <m/>
    <n v="0"/>
    <m/>
    <m/>
    <n v="0"/>
    <m/>
    <m/>
    <m/>
    <m/>
    <m/>
    <m/>
    <n v="0"/>
    <n v="0"/>
  </r>
  <r>
    <x v="11"/>
    <x v="8"/>
    <s v="Pathways to Prosperity"/>
    <m/>
    <n v="217615"/>
    <x v="7"/>
    <m/>
    <m/>
    <n v="37784"/>
    <n v="37784"/>
    <m/>
    <m/>
    <m/>
    <m/>
    <n v="0"/>
    <m/>
    <m/>
    <n v="0"/>
    <n v="37784"/>
    <n v="37784"/>
    <m/>
    <m/>
    <m/>
    <m/>
    <n v="0"/>
    <m/>
    <m/>
    <n v="0"/>
    <m/>
    <m/>
    <m/>
    <m/>
    <m/>
    <m/>
    <n v="37784"/>
    <n v="37784"/>
  </r>
  <r>
    <x v="11"/>
    <x v="8"/>
    <s v="Lottery Technology (NR)"/>
    <m/>
    <n v="217615"/>
    <x v="7"/>
    <m/>
    <m/>
    <n v="141878"/>
    <n v="129366"/>
    <m/>
    <m/>
    <m/>
    <m/>
    <n v="0"/>
    <m/>
    <m/>
    <n v="0"/>
    <n v="141878"/>
    <n v="129366"/>
    <m/>
    <m/>
    <m/>
    <m/>
    <n v="0"/>
    <m/>
    <m/>
    <n v="0"/>
    <m/>
    <m/>
    <m/>
    <m/>
    <m/>
    <m/>
    <n v="141878"/>
    <n v="129366"/>
  </r>
  <r>
    <x v="11"/>
    <x v="8"/>
    <s v="Critical  Equip Repair &amp; Replacement(Lottery)"/>
    <m/>
    <n v="217615"/>
    <x v="7"/>
    <m/>
    <m/>
    <m/>
    <n v="36487"/>
    <m/>
    <m/>
    <m/>
    <m/>
    <n v="0"/>
    <m/>
    <m/>
    <n v="0"/>
    <n v="0"/>
    <n v="36487"/>
    <m/>
    <m/>
    <m/>
    <m/>
    <n v="0"/>
    <m/>
    <m/>
    <n v="0"/>
    <m/>
    <m/>
    <m/>
    <m/>
    <m/>
    <m/>
    <n v="0"/>
    <n v="36487"/>
  </r>
  <r>
    <x v="11"/>
    <x v="8"/>
    <s v="Renovation of IT Infrastructure"/>
    <m/>
    <n v="217615"/>
    <x v="7"/>
    <m/>
    <m/>
    <m/>
    <n v="608500"/>
    <m/>
    <m/>
    <m/>
    <m/>
    <n v="0"/>
    <m/>
    <m/>
    <n v="0"/>
    <n v="0"/>
    <n v="608500"/>
    <m/>
    <m/>
    <m/>
    <m/>
    <n v="0"/>
    <m/>
    <m/>
    <n v="0"/>
    <m/>
    <m/>
    <m/>
    <m/>
    <m/>
    <m/>
    <n v="0"/>
    <n v="608500"/>
  </r>
  <r>
    <x v="11"/>
    <x v="0"/>
    <s v="Central Carolina Technical College "/>
    <m/>
    <n v="218858"/>
    <x v="7"/>
    <n v="3911593"/>
    <n v="3911593"/>
    <m/>
    <m/>
    <n v="2218907"/>
    <n v="2154563"/>
    <n v="13228929"/>
    <n v="402550"/>
    <n v="13631479"/>
    <n v="12602732"/>
    <n v="396618"/>
    <n v="12999350"/>
    <n v="19359429"/>
    <n v="18668888"/>
    <m/>
    <m/>
    <m/>
    <m/>
    <n v="0"/>
    <m/>
    <m/>
    <n v="0"/>
    <m/>
    <m/>
    <m/>
    <m/>
    <m/>
    <m/>
    <n v="19359429"/>
    <n v="18668888"/>
  </r>
  <r>
    <x v="11"/>
    <x v="0"/>
    <s v="Personnel Services"/>
    <m/>
    <n v="218858"/>
    <x v="6"/>
    <m/>
    <n v="109738"/>
    <m/>
    <m/>
    <m/>
    <m/>
    <m/>
    <m/>
    <n v="0"/>
    <m/>
    <m/>
    <n v="0"/>
    <n v="0"/>
    <n v="109738"/>
    <m/>
    <m/>
    <m/>
    <m/>
    <n v="0"/>
    <m/>
    <m/>
    <n v="0"/>
    <m/>
    <m/>
    <m/>
    <m/>
    <m/>
    <m/>
    <n v="0"/>
    <n v="109738"/>
  </r>
  <r>
    <x v="11"/>
    <x v="8"/>
    <s v="Special Line items for education operations"/>
    <m/>
    <n v="218858"/>
    <x v="7"/>
    <m/>
    <m/>
    <m/>
    <m/>
    <m/>
    <m/>
    <m/>
    <m/>
    <n v="0"/>
    <m/>
    <m/>
    <n v="0"/>
    <n v="0"/>
    <n v="0"/>
    <m/>
    <m/>
    <m/>
    <m/>
    <n v="0"/>
    <m/>
    <m/>
    <n v="0"/>
    <m/>
    <m/>
    <m/>
    <m/>
    <m/>
    <m/>
    <n v="0"/>
    <n v="0"/>
  </r>
  <r>
    <x v="11"/>
    <x v="8"/>
    <s v="Academic Endowment"/>
    <m/>
    <n v="218858"/>
    <x v="7"/>
    <m/>
    <m/>
    <n v="53"/>
    <n v="29"/>
    <m/>
    <m/>
    <m/>
    <m/>
    <n v="0"/>
    <m/>
    <m/>
    <n v="0"/>
    <n v="53"/>
    <n v="29"/>
    <m/>
    <m/>
    <m/>
    <m/>
    <n v="0"/>
    <m/>
    <m/>
    <n v="0"/>
    <m/>
    <m/>
    <m/>
    <m/>
    <m/>
    <m/>
    <n v="53"/>
    <n v="29"/>
  </r>
  <r>
    <x v="11"/>
    <x v="8"/>
    <s v="Performance Funding"/>
    <m/>
    <n v="218858"/>
    <x v="7"/>
    <m/>
    <m/>
    <n v="88256"/>
    <n v="102801"/>
    <m/>
    <m/>
    <m/>
    <m/>
    <n v="0"/>
    <m/>
    <m/>
    <n v="0"/>
    <n v="88256"/>
    <n v="102801"/>
    <m/>
    <m/>
    <m/>
    <m/>
    <n v="0"/>
    <m/>
    <m/>
    <n v="0"/>
    <m/>
    <m/>
    <m/>
    <m/>
    <m/>
    <m/>
    <n v="88256"/>
    <n v="102801"/>
  </r>
  <r>
    <x v="11"/>
    <x v="8"/>
    <s v="Critical Needs Workforce"/>
    <m/>
    <n v="218858"/>
    <x v="7"/>
    <m/>
    <m/>
    <m/>
    <n v="1074089"/>
    <m/>
    <m/>
    <m/>
    <m/>
    <n v="0"/>
    <m/>
    <m/>
    <n v="0"/>
    <n v="0"/>
    <n v="1074089"/>
    <m/>
    <m/>
    <m/>
    <m/>
    <n v="0"/>
    <m/>
    <m/>
    <n v="0"/>
    <m/>
    <m/>
    <m/>
    <m/>
    <m/>
    <m/>
    <n v="0"/>
    <n v="1074089"/>
  </r>
  <r>
    <x v="11"/>
    <x v="8"/>
    <s v="Critical Needs Nursing Initiative"/>
    <m/>
    <n v="218858"/>
    <x v="7"/>
    <m/>
    <m/>
    <n v="18794"/>
    <n v="18794"/>
    <m/>
    <m/>
    <m/>
    <m/>
    <n v="0"/>
    <m/>
    <m/>
    <n v="0"/>
    <n v="18794"/>
    <n v="18794"/>
    <m/>
    <m/>
    <m/>
    <m/>
    <n v="0"/>
    <m/>
    <m/>
    <n v="0"/>
    <m/>
    <m/>
    <m/>
    <m/>
    <m/>
    <m/>
    <n v="18794"/>
    <n v="18794"/>
  </r>
  <r>
    <x v="11"/>
    <x v="8"/>
    <s v="Deferred Maintenance"/>
    <m/>
    <n v="218858"/>
    <x v="7"/>
    <m/>
    <m/>
    <m/>
    <m/>
    <m/>
    <m/>
    <m/>
    <m/>
    <n v="0"/>
    <m/>
    <m/>
    <n v="0"/>
    <n v="0"/>
    <n v="0"/>
    <m/>
    <m/>
    <m/>
    <m/>
    <n v="0"/>
    <m/>
    <m/>
    <n v="0"/>
    <m/>
    <m/>
    <m/>
    <m/>
    <m/>
    <m/>
    <n v="0"/>
    <n v="0"/>
  </r>
  <r>
    <x v="11"/>
    <x v="8"/>
    <s v="Capital Reserve and Surplus 90.20"/>
    <m/>
    <n v="218858"/>
    <x v="7"/>
    <m/>
    <m/>
    <m/>
    <m/>
    <m/>
    <m/>
    <m/>
    <m/>
    <n v="0"/>
    <m/>
    <m/>
    <n v="0"/>
    <n v="0"/>
    <n v="0"/>
    <m/>
    <m/>
    <m/>
    <m/>
    <n v="0"/>
    <m/>
    <m/>
    <n v="0"/>
    <m/>
    <m/>
    <m/>
    <m/>
    <m/>
    <m/>
    <n v="0"/>
    <n v="0"/>
  </r>
  <r>
    <x v="11"/>
    <x v="8"/>
    <s v="Pathways to Prosperity"/>
    <m/>
    <n v="218858"/>
    <x v="7"/>
    <m/>
    <m/>
    <n v="37784"/>
    <n v="37784"/>
    <m/>
    <m/>
    <m/>
    <m/>
    <n v="0"/>
    <m/>
    <m/>
    <n v="0"/>
    <n v="37784"/>
    <n v="37784"/>
    <m/>
    <m/>
    <m/>
    <m/>
    <n v="0"/>
    <m/>
    <m/>
    <n v="0"/>
    <m/>
    <m/>
    <m/>
    <m/>
    <m/>
    <m/>
    <n v="37784"/>
    <n v="37784"/>
  </r>
  <r>
    <x v="11"/>
    <x v="8"/>
    <s v="Lottery Technology (NR)"/>
    <m/>
    <n v="218858"/>
    <x v="7"/>
    <m/>
    <m/>
    <n v="150535"/>
    <n v="137259"/>
    <m/>
    <m/>
    <m/>
    <m/>
    <n v="0"/>
    <m/>
    <m/>
    <n v="0"/>
    <n v="150535"/>
    <n v="137259"/>
    <m/>
    <m/>
    <m/>
    <m/>
    <n v="0"/>
    <m/>
    <m/>
    <n v="0"/>
    <m/>
    <m/>
    <m/>
    <m/>
    <m/>
    <m/>
    <n v="150535"/>
    <n v="137259"/>
  </r>
  <r>
    <x v="11"/>
    <x v="8"/>
    <s v="Critical  Equip Repair &amp; Replacement(Lottery)"/>
    <m/>
    <n v="218858"/>
    <x v="7"/>
    <m/>
    <m/>
    <m/>
    <n v="38713"/>
    <m/>
    <m/>
    <m/>
    <m/>
    <n v="0"/>
    <m/>
    <m/>
    <n v="0"/>
    <n v="0"/>
    <n v="38713"/>
    <m/>
    <m/>
    <m/>
    <m/>
    <n v="0"/>
    <m/>
    <m/>
    <n v="0"/>
    <m/>
    <m/>
    <m/>
    <m/>
    <m/>
    <m/>
    <n v="0"/>
    <n v="38713"/>
  </r>
  <r>
    <x v="11"/>
    <x v="8"/>
    <s v="Kershaw Campus &amp; Industrial Building Renovation"/>
    <m/>
    <n v="218858"/>
    <x v="7"/>
    <m/>
    <m/>
    <m/>
    <n v="1594513"/>
    <m/>
    <m/>
    <m/>
    <m/>
    <n v="0"/>
    <m/>
    <m/>
    <n v="0"/>
    <n v="0"/>
    <n v="1594513"/>
    <m/>
    <m/>
    <m/>
    <m/>
    <n v="0"/>
    <m/>
    <m/>
    <n v="0"/>
    <m/>
    <m/>
    <m/>
    <m/>
    <m/>
    <m/>
    <n v="0"/>
    <n v="1594513"/>
  </r>
  <r>
    <x v="11"/>
    <x v="0"/>
    <s v="Orangeburg-Calhoun Technical College "/>
    <m/>
    <n v="218487"/>
    <x v="7"/>
    <n v="3867437"/>
    <n v="3867437"/>
    <m/>
    <m/>
    <n v="1374948"/>
    <n v="1428740"/>
    <n v="10779200"/>
    <n v="0"/>
    <n v="10779200"/>
    <n v="11411982"/>
    <n v="0"/>
    <n v="11411982"/>
    <n v="16021585"/>
    <n v="16708159"/>
    <m/>
    <m/>
    <m/>
    <m/>
    <n v="0"/>
    <m/>
    <m/>
    <n v="0"/>
    <m/>
    <m/>
    <m/>
    <m/>
    <m/>
    <m/>
    <n v="16021585"/>
    <n v="16708159"/>
  </r>
  <r>
    <x v="11"/>
    <x v="0"/>
    <s v="Personnel Services"/>
    <m/>
    <n v="218487"/>
    <x v="7"/>
    <m/>
    <n v="108499"/>
    <m/>
    <m/>
    <m/>
    <m/>
    <m/>
    <m/>
    <n v="0"/>
    <m/>
    <m/>
    <n v="0"/>
    <n v="0"/>
    <n v="108499"/>
    <m/>
    <m/>
    <m/>
    <m/>
    <n v="0"/>
    <m/>
    <m/>
    <n v="0"/>
    <m/>
    <m/>
    <m/>
    <m/>
    <m/>
    <m/>
    <n v="0"/>
    <n v="108499"/>
  </r>
  <r>
    <x v="11"/>
    <x v="8"/>
    <s v="Special Line items for education operations"/>
    <m/>
    <n v="218487"/>
    <x v="7"/>
    <m/>
    <m/>
    <m/>
    <m/>
    <m/>
    <m/>
    <m/>
    <m/>
    <n v="0"/>
    <m/>
    <m/>
    <n v="0"/>
    <n v="0"/>
    <n v="0"/>
    <m/>
    <m/>
    <m/>
    <m/>
    <n v="0"/>
    <m/>
    <m/>
    <n v="0"/>
    <m/>
    <m/>
    <m/>
    <m/>
    <m/>
    <m/>
    <n v="0"/>
    <n v="0"/>
  </r>
  <r>
    <x v="11"/>
    <x v="8"/>
    <s v="Academic Endowment"/>
    <m/>
    <n v="218487"/>
    <x v="7"/>
    <m/>
    <m/>
    <n v="63"/>
    <n v="66"/>
    <m/>
    <m/>
    <m/>
    <m/>
    <n v="0"/>
    <m/>
    <m/>
    <n v="0"/>
    <n v="63"/>
    <n v="66"/>
    <m/>
    <m/>
    <m/>
    <m/>
    <n v="0"/>
    <m/>
    <m/>
    <n v="0"/>
    <m/>
    <m/>
    <m/>
    <m/>
    <m/>
    <m/>
    <n v="63"/>
    <n v="66"/>
  </r>
  <r>
    <x v="11"/>
    <x v="8"/>
    <s v="Performance Funding"/>
    <m/>
    <n v="218487"/>
    <x v="7"/>
    <m/>
    <m/>
    <n v="63643"/>
    <n v="97432"/>
    <m/>
    <m/>
    <m/>
    <m/>
    <n v="0"/>
    <m/>
    <m/>
    <n v="0"/>
    <n v="63643"/>
    <n v="97432"/>
    <m/>
    <m/>
    <m/>
    <m/>
    <n v="0"/>
    <m/>
    <m/>
    <n v="0"/>
    <m/>
    <m/>
    <m/>
    <m/>
    <m/>
    <m/>
    <n v="63643"/>
    <n v="97432"/>
  </r>
  <r>
    <x v="11"/>
    <x v="8"/>
    <s v="Critical Needs Workforce"/>
    <m/>
    <n v="218487"/>
    <x v="7"/>
    <m/>
    <m/>
    <m/>
    <n v="75999"/>
    <m/>
    <m/>
    <m/>
    <m/>
    <n v="0"/>
    <m/>
    <m/>
    <n v="0"/>
    <n v="0"/>
    <n v="75999"/>
    <m/>
    <m/>
    <m/>
    <m/>
    <n v="0"/>
    <m/>
    <m/>
    <n v="0"/>
    <m/>
    <m/>
    <m/>
    <m/>
    <m/>
    <m/>
    <n v="0"/>
    <n v="75999"/>
  </r>
  <r>
    <x v="11"/>
    <x v="8"/>
    <s v="Critical Needs Nursing Initiative"/>
    <m/>
    <n v="218487"/>
    <x v="7"/>
    <m/>
    <m/>
    <n v="17672"/>
    <n v="17672"/>
    <m/>
    <m/>
    <m/>
    <m/>
    <n v="0"/>
    <m/>
    <m/>
    <n v="0"/>
    <n v="17672"/>
    <n v="17672"/>
    <m/>
    <m/>
    <m/>
    <m/>
    <n v="0"/>
    <m/>
    <m/>
    <n v="0"/>
    <m/>
    <m/>
    <m/>
    <m/>
    <m/>
    <m/>
    <n v="17672"/>
    <n v="17672"/>
  </r>
  <r>
    <x v="11"/>
    <x v="8"/>
    <s v="Deferred Maintenance"/>
    <m/>
    <n v="218487"/>
    <x v="7"/>
    <m/>
    <m/>
    <m/>
    <m/>
    <m/>
    <m/>
    <m/>
    <m/>
    <n v="0"/>
    <m/>
    <m/>
    <n v="0"/>
    <n v="0"/>
    <n v="0"/>
    <m/>
    <m/>
    <m/>
    <m/>
    <n v="0"/>
    <m/>
    <m/>
    <n v="0"/>
    <m/>
    <m/>
    <m/>
    <m/>
    <m/>
    <m/>
    <n v="0"/>
    <n v="0"/>
  </r>
  <r>
    <x v="11"/>
    <x v="8"/>
    <s v="Capital Reserve and Surplus 90.20"/>
    <m/>
    <n v="218487"/>
    <x v="7"/>
    <m/>
    <m/>
    <m/>
    <m/>
    <m/>
    <m/>
    <m/>
    <m/>
    <n v="0"/>
    <m/>
    <m/>
    <n v="0"/>
    <n v="0"/>
    <n v="0"/>
    <m/>
    <m/>
    <m/>
    <m/>
    <n v="0"/>
    <m/>
    <m/>
    <n v="0"/>
    <m/>
    <m/>
    <m/>
    <m/>
    <m/>
    <m/>
    <n v="0"/>
    <n v="0"/>
  </r>
  <r>
    <x v="11"/>
    <x v="8"/>
    <s v="Pathways to Prosperity"/>
    <m/>
    <n v="218487"/>
    <x v="7"/>
    <m/>
    <m/>
    <n v="37784"/>
    <n v="37784"/>
    <m/>
    <m/>
    <m/>
    <m/>
    <n v="0"/>
    <m/>
    <m/>
    <n v="0"/>
    <n v="37784"/>
    <n v="37784"/>
    <m/>
    <m/>
    <m/>
    <m/>
    <n v="0"/>
    <m/>
    <m/>
    <n v="0"/>
    <m/>
    <m/>
    <m/>
    <m/>
    <m/>
    <m/>
    <n v="37784"/>
    <n v="37784"/>
  </r>
  <r>
    <x v="11"/>
    <x v="8"/>
    <s v="Lottery Technology (NR)"/>
    <m/>
    <n v="218487"/>
    <x v="7"/>
    <m/>
    <m/>
    <n v="148836"/>
    <n v="135710"/>
    <m/>
    <m/>
    <m/>
    <m/>
    <n v="0"/>
    <m/>
    <m/>
    <n v="0"/>
    <n v="148836"/>
    <n v="135710"/>
    <m/>
    <m/>
    <m/>
    <m/>
    <n v="0"/>
    <m/>
    <m/>
    <n v="0"/>
    <m/>
    <m/>
    <m/>
    <m/>
    <m/>
    <m/>
    <n v="148836"/>
    <n v="135710"/>
  </r>
  <r>
    <x v="11"/>
    <x v="8"/>
    <s v="Critical  Equip Repair &amp; Replacement(Lottery)"/>
    <m/>
    <n v="218487"/>
    <x v="7"/>
    <m/>
    <m/>
    <m/>
    <n v="38276"/>
    <m/>
    <m/>
    <m/>
    <m/>
    <n v="0"/>
    <m/>
    <m/>
    <n v="0"/>
    <n v="0"/>
    <n v="38276"/>
    <m/>
    <m/>
    <m/>
    <m/>
    <n v="0"/>
    <m/>
    <m/>
    <n v="0"/>
    <m/>
    <m/>
    <m/>
    <m/>
    <m/>
    <m/>
    <n v="0"/>
    <n v="38276"/>
  </r>
  <r>
    <x v="11"/>
    <x v="8"/>
    <s v="Health Sciences &amp; Nursing Building Annex"/>
    <m/>
    <n v="218487"/>
    <x v="7"/>
    <m/>
    <m/>
    <m/>
    <n v="1000000"/>
    <m/>
    <m/>
    <m/>
    <m/>
    <n v="0"/>
    <m/>
    <m/>
    <n v="0"/>
    <n v="0"/>
    <n v="1000000"/>
    <m/>
    <m/>
    <m/>
    <m/>
    <n v="0"/>
    <m/>
    <m/>
    <n v="0"/>
    <m/>
    <m/>
    <m/>
    <m/>
    <m/>
    <m/>
    <n v="0"/>
    <n v="1000000"/>
  </r>
  <r>
    <x v="11"/>
    <x v="0"/>
    <s v="Spartanburg Community College "/>
    <m/>
    <n v="218830"/>
    <x v="7"/>
    <n v="6079404"/>
    <n v="6079404"/>
    <m/>
    <m/>
    <n v="5182712"/>
    <n v="5531593"/>
    <n v="22249780"/>
    <n v="1096963"/>
    <n v="23346743"/>
    <n v="21756683"/>
    <n v="1024494"/>
    <n v="22781177"/>
    <n v="33511896"/>
    <n v="33367680"/>
    <m/>
    <m/>
    <m/>
    <m/>
    <n v="0"/>
    <m/>
    <m/>
    <n v="0"/>
    <m/>
    <m/>
    <m/>
    <m/>
    <m/>
    <m/>
    <n v="33511896"/>
    <n v="33367680"/>
  </r>
  <r>
    <x v="11"/>
    <x v="0"/>
    <s v="Personnel Services"/>
    <m/>
    <n v="218830"/>
    <x v="7"/>
    <m/>
    <n v="170555"/>
    <m/>
    <m/>
    <m/>
    <m/>
    <m/>
    <m/>
    <n v="0"/>
    <m/>
    <m/>
    <n v="0"/>
    <n v="0"/>
    <n v="170555"/>
    <m/>
    <m/>
    <m/>
    <m/>
    <n v="0"/>
    <m/>
    <m/>
    <n v="0"/>
    <m/>
    <m/>
    <m/>
    <m/>
    <m/>
    <m/>
    <n v="0"/>
    <n v="170555"/>
  </r>
  <r>
    <x v="11"/>
    <x v="8"/>
    <s v="Special Line items for education operations"/>
    <m/>
    <n v="218830"/>
    <x v="7"/>
    <m/>
    <m/>
    <m/>
    <m/>
    <m/>
    <m/>
    <m/>
    <m/>
    <n v="0"/>
    <m/>
    <m/>
    <n v="0"/>
    <n v="0"/>
    <n v="0"/>
    <m/>
    <m/>
    <m/>
    <m/>
    <n v="0"/>
    <m/>
    <m/>
    <n v="0"/>
    <m/>
    <m/>
    <m/>
    <m/>
    <m/>
    <m/>
    <n v="0"/>
    <n v="0"/>
  </r>
  <r>
    <x v="11"/>
    <x v="8"/>
    <s v="Academic Endowment"/>
    <m/>
    <n v="218830"/>
    <x v="7"/>
    <m/>
    <m/>
    <n v="2521"/>
    <n v="2262"/>
    <m/>
    <m/>
    <m/>
    <m/>
    <n v="0"/>
    <m/>
    <m/>
    <n v="0"/>
    <n v="2521"/>
    <n v="2262"/>
    <m/>
    <m/>
    <m/>
    <m/>
    <n v="0"/>
    <m/>
    <m/>
    <n v="0"/>
    <m/>
    <m/>
    <m/>
    <m/>
    <m/>
    <m/>
    <n v="2521"/>
    <n v="2262"/>
  </r>
  <r>
    <x v="11"/>
    <x v="8"/>
    <s v="Performance Funding"/>
    <m/>
    <n v="218830"/>
    <x v="7"/>
    <m/>
    <m/>
    <n v="82714"/>
    <n v="113210"/>
    <m/>
    <m/>
    <m/>
    <m/>
    <n v="0"/>
    <m/>
    <m/>
    <n v="0"/>
    <n v="82714"/>
    <n v="113210"/>
    <m/>
    <m/>
    <m/>
    <m/>
    <n v="0"/>
    <m/>
    <m/>
    <n v="0"/>
    <m/>
    <m/>
    <m/>
    <m/>
    <m/>
    <m/>
    <n v="82714"/>
    <n v="113210"/>
  </r>
  <r>
    <x v="11"/>
    <x v="8"/>
    <s v="Critical Needs Workforce"/>
    <m/>
    <n v="218830"/>
    <x v="7"/>
    <m/>
    <m/>
    <m/>
    <n v="152748"/>
    <m/>
    <m/>
    <m/>
    <m/>
    <n v="0"/>
    <m/>
    <m/>
    <n v="0"/>
    <n v="0"/>
    <n v="152748"/>
    <m/>
    <m/>
    <m/>
    <m/>
    <n v="0"/>
    <m/>
    <m/>
    <n v="0"/>
    <m/>
    <m/>
    <m/>
    <m/>
    <m/>
    <m/>
    <n v="0"/>
    <n v="152748"/>
  </r>
  <r>
    <x v="11"/>
    <x v="8"/>
    <s v="Deferred Maintenance"/>
    <m/>
    <n v="218830"/>
    <x v="7"/>
    <m/>
    <m/>
    <m/>
    <m/>
    <m/>
    <m/>
    <m/>
    <m/>
    <n v="0"/>
    <m/>
    <m/>
    <n v="0"/>
    <n v="0"/>
    <n v="0"/>
    <m/>
    <m/>
    <m/>
    <m/>
    <n v="0"/>
    <m/>
    <m/>
    <n v="0"/>
    <m/>
    <m/>
    <m/>
    <m/>
    <m/>
    <m/>
    <n v="0"/>
    <n v="0"/>
  </r>
  <r>
    <x v="11"/>
    <x v="8"/>
    <s v="Capital Reserve and Surplus 90.20"/>
    <m/>
    <n v="218830"/>
    <x v="7"/>
    <m/>
    <m/>
    <m/>
    <m/>
    <m/>
    <m/>
    <m/>
    <m/>
    <n v="0"/>
    <m/>
    <m/>
    <n v="0"/>
    <n v="0"/>
    <n v="0"/>
    <m/>
    <m/>
    <m/>
    <m/>
    <n v="0"/>
    <m/>
    <m/>
    <n v="0"/>
    <m/>
    <m/>
    <m/>
    <m/>
    <m/>
    <m/>
    <n v="0"/>
    <n v="0"/>
  </r>
  <r>
    <x v="11"/>
    <x v="8"/>
    <s v="Academic Student Center-Industry  Training"/>
    <m/>
    <n v="218830"/>
    <x v="7"/>
    <m/>
    <m/>
    <n v="840000"/>
    <n v="750000"/>
    <m/>
    <m/>
    <m/>
    <m/>
    <n v="0"/>
    <m/>
    <m/>
    <n v="0"/>
    <n v="840000"/>
    <n v="750000"/>
    <m/>
    <m/>
    <m/>
    <m/>
    <n v="0"/>
    <m/>
    <m/>
    <n v="0"/>
    <m/>
    <m/>
    <m/>
    <m/>
    <m/>
    <m/>
    <n v="840000"/>
    <n v="750000"/>
  </r>
  <r>
    <x v="11"/>
    <x v="8"/>
    <s v="Spartanburg-Cherokee Expansion"/>
    <m/>
    <n v="218830"/>
    <x v="7"/>
    <m/>
    <m/>
    <n v="906816"/>
    <n v="906816"/>
    <m/>
    <m/>
    <m/>
    <m/>
    <n v="0"/>
    <m/>
    <m/>
    <n v="0"/>
    <n v="906816"/>
    <n v="906816"/>
    <m/>
    <m/>
    <m/>
    <m/>
    <n v="0"/>
    <m/>
    <m/>
    <n v="0"/>
    <m/>
    <m/>
    <m/>
    <m/>
    <m/>
    <m/>
    <n v="906816"/>
    <n v="906816"/>
  </r>
  <r>
    <x v="11"/>
    <x v="8"/>
    <s v="Pathways to Prosperity"/>
    <m/>
    <n v="218830"/>
    <x v="7"/>
    <m/>
    <m/>
    <n v="37784"/>
    <n v="37784"/>
    <m/>
    <m/>
    <m/>
    <m/>
    <n v="0"/>
    <m/>
    <m/>
    <n v="0"/>
    <n v="37784"/>
    <n v="37784"/>
    <m/>
    <m/>
    <m/>
    <m/>
    <n v="0"/>
    <m/>
    <m/>
    <n v="0"/>
    <m/>
    <m/>
    <m/>
    <m/>
    <m/>
    <m/>
    <n v="37784"/>
    <n v="37784"/>
  </r>
  <r>
    <x v="11"/>
    <x v="8"/>
    <s v="Lottery Technology (NR)"/>
    <m/>
    <n v="218830"/>
    <x v="7"/>
    <m/>
    <m/>
    <n v="233962"/>
    <n v="213329"/>
    <m/>
    <m/>
    <m/>
    <m/>
    <n v="0"/>
    <m/>
    <m/>
    <n v="0"/>
    <n v="233962"/>
    <n v="213329"/>
    <m/>
    <m/>
    <m/>
    <m/>
    <n v="0"/>
    <m/>
    <m/>
    <n v="0"/>
    <m/>
    <m/>
    <m/>
    <m/>
    <m/>
    <m/>
    <n v="233962"/>
    <n v="213329"/>
  </r>
  <r>
    <x v="11"/>
    <x v="8"/>
    <s v="Critical  Equip Repair &amp; Replacement(Lottery)"/>
    <m/>
    <n v="218830"/>
    <x v="7"/>
    <m/>
    <m/>
    <m/>
    <n v="60168"/>
    <m/>
    <m/>
    <m/>
    <m/>
    <n v="0"/>
    <m/>
    <m/>
    <n v="0"/>
    <n v="0"/>
    <n v="60168"/>
    <m/>
    <m/>
    <m/>
    <m/>
    <n v="0"/>
    <m/>
    <m/>
    <n v="0"/>
    <m/>
    <m/>
    <m/>
    <m/>
    <m/>
    <m/>
    <n v="0"/>
    <n v="60168"/>
  </r>
  <r>
    <x v="11"/>
    <x v="8"/>
    <s v="Cherokee Campus-Adv. Manufacturing &amp; Industrial Equip"/>
    <m/>
    <n v="218830"/>
    <x v="7"/>
    <m/>
    <m/>
    <m/>
    <n v="500000"/>
    <m/>
    <m/>
    <m/>
    <m/>
    <n v="0"/>
    <m/>
    <m/>
    <n v="0"/>
    <n v="0"/>
    <n v="500000"/>
    <m/>
    <m/>
    <m/>
    <m/>
    <n v="0"/>
    <m/>
    <m/>
    <n v="0"/>
    <m/>
    <m/>
    <m/>
    <m/>
    <m/>
    <m/>
    <n v="0"/>
    <n v="500000"/>
  </r>
  <r>
    <x v="11"/>
    <x v="0"/>
    <s v="York Technical College"/>
    <m/>
    <n v="218991"/>
    <x v="7"/>
    <n v="5698246"/>
    <n v="5698246"/>
    <m/>
    <m/>
    <n v="3927139"/>
    <n v="4125384"/>
    <n v="21976950"/>
    <n v="0"/>
    <n v="21976950"/>
    <n v="22291928"/>
    <n v="0"/>
    <n v="22291928"/>
    <n v="31602335"/>
    <n v="32115558"/>
    <m/>
    <m/>
    <m/>
    <m/>
    <n v="0"/>
    <m/>
    <m/>
    <n v="0"/>
    <m/>
    <m/>
    <m/>
    <m/>
    <m/>
    <m/>
    <n v="31602335"/>
    <n v="32115558"/>
  </r>
  <r>
    <x v="11"/>
    <x v="0"/>
    <s v="Personnel Services"/>
    <m/>
    <n v="218991"/>
    <x v="7"/>
    <m/>
    <n v="159862"/>
    <m/>
    <m/>
    <m/>
    <m/>
    <m/>
    <m/>
    <n v="0"/>
    <m/>
    <m/>
    <n v="0"/>
    <n v="0"/>
    <n v="159862"/>
    <m/>
    <m/>
    <m/>
    <m/>
    <n v="0"/>
    <m/>
    <m/>
    <n v="0"/>
    <m/>
    <m/>
    <m/>
    <m/>
    <m/>
    <m/>
    <n v="0"/>
    <n v="159862"/>
  </r>
  <r>
    <x v="11"/>
    <x v="8"/>
    <s v="Special Line items for education operations"/>
    <m/>
    <n v="218991"/>
    <x v="7"/>
    <m/>
    <m/>
    <m/>
    <m/>
    <m/>
    <m/>
    <m/>
    <m/>
    <n v="0"/>
    <m/>
    <m/>
    <n v="0"/>
    <n v="0"/>
    <n v="0"/>
    <m/>
    <m/>
    <m/>
    <m/>
    <n v="0"/>
    <m/>
    <m/>
    <n v="0"/>
    <m/>
    <m/>
    <m/>
    <m/>
    <m/>
    <m/>
    <n v="0"/>
    <n v="0"/>
  </r>
  <r>
    <x v="11"/>
    <x v="8"/>
    <s v="Academic Endowment"/>
    <m/>
    <n v="218991"/>
    <x v="7"/>
    <m/>
    <m/>
    <n v="500"/>
    <n v="411"/>
    <m/>
    <m/>
    <m/>
    <m/>
    <n v="0"/>
    <m/>
    <m/>
    <n v="0"/>
    <n v="500"/>
    <n v="411"/>
    <m/>
    <m/>
    <m/>
    <m/>
    <n v="0"/>
    <m/>
    <m/>
    <n v="0"/>
    <m/>
    <m/>
    <m/>
    <m/>
    <m/>
    <m/>
    <n v="500"/>
    <n v="411"/>
  </r>
  <r>
    <x v="11"/>
    <x v="8"/>
    <s v="Performance Funding"/>
    <m/>
    <n v="218991"/>
    <x v="7"/>
    <m/>
    <m/>
    <n v="119539"/>
    <n v="105628"/>
    <m/>
    <m/>
    <m/>
    <m/>
    <n v="0"/>
    <m/>
    <m/>
    <n v="0"/>
    <n v="119539"/>
    <n v="105628"/>
    <m/>
    <m/>
    <m/>
    <m/>
    <n v="0"/>
    <m/>
    <m/>
    <n v="0"/>
    <m/>
    <m/>
    <m/>
    <m/>
    <m/>
    <m/>
    <n v="119539"/>
    <n v="105628"/>
  </r>
  <r>
    <x v="11"/>
    <x v="8"/>
    <s v="Critical Needs Workforce"/>
    <m/>
    <n v="218991"/>
    <x v="7"/>
    <m/>
    <m/>
    <m/>
    <n v="147640"/>
    <m/>
    <m/>
    <m/>
    <m/>
    <n v="0"/>
    <m/>
    <m/>
    <n v="0"/>
    <n v="0"/>
    <n v="147640"/>
    <m/>
    <m/>
    <m/>
    <m/>
    <n v="0"/>
    <m/>
    <m/>
    <n v="0"/>
    <m/>
    <m/>
    <m/>
    <m/>
    <m/>
    <m/>
    <n v="0"/>
    <n v="147640"/>
  </r>
  <r>
    <x v="11"/>
    <x v="8"/>
    <s v="Critical Needs Nursing Initiative"/>
    <m/>
    <n v="218991"/>
    <x v="7"/>
    <m/>
    <m/>
    <n v="7538"/>
    <n v="7539"/>
    <m/>
    <m/>
    <m/>
    <m/>
    <n v="0"/>
    <m/>
    <m/>
    <n v="0"/>
    <n v="7538"/>
    <n v="7539"/>
    <m/>
    <m/>
    <m/>
    <m/>
    <n v="0"/>
    <m/>
    <m/>
    <n v="0"/>
    <m/>
    <m/>
    <m/>
    <m/>
    <m/>
    <m/>
    <n v="7538"/>
    <n v="7539"/>
  </r>
  <r>
    <x v="11"/>
    <x v="8"/>
    <s v="Deferred Maintenance"/>
    <m/>
    <n v="218991"/>
    <x v="7"/>
    <m/>
    <m/>
    <m/>
    <m/>
    <m/>
    <m/>
    <m/>
    <m/>
    <n v="0"/>
    <m/>
    <m/>
    <n v="0"/>
    <n v="0"/>
    <n v="0"/>
    <m/>
    <m/>
    <m/>
    <m/>
    <n v="0"/>
    <m/>
    <m/>
    <n v="0"/>
    <m/>
    <m/>
    <m/>
    <m/>
    <m/>
    <m/>
    <n v="0"/>
    <n v="0"/>
  </r>
  <r>
    <x v="11"/>
    <x v="8"/>
    <s v="Pathways to Prosperity"/>
    <m/>
    <n v="218991"/>
    <x v="7"/>
    <m/>
    <m/>
    <n v="37784"/>
    <n v="37784"/>
    <m/>
    <m/>
    <m/>
    <m/>
    <n v="0"/>
    <m/>
    <m/>
    <n v="0"/>
    <n v="37784"/>
    <n v="37784"/>
    <m/>
    <m/>
    <m/>
    <m/>
    <n v="0"/>
    <m/>
    <m/>
    <n v="0"/>
    <m/>
    <m/>
    <m/>
    <m/>
    <m/>
    <m/>
    <n v="37784"/>
    <n v="37784"/>
  </r>
  <r>
    <x v="11"/>
    <x v="8"/>
    <s v="Lottery Technology (NR)"/>
    <m/>
    <n v="218991"/>
    <x v="7"/>
    <m/>
    <m/>
    <n v="219293"/>
    <n v="199954"/>
    <m/>
    <m/>
    <m/>
    <m/>
    <n v="0"/>
    <m/>
    <m/>
    <n v="0"/>
    <n v="219293"/>
    <n v="199954"/>
    <m/>
    <m/>
    <m/>
    <m/>
    <n v="0"/>
    <m/>
    <m/>
    <n v="0"/>
    <m/>
    <m/>
    <m/>
    <m/>
    <m/>
    <m/>
    <n v="219293"/>
    <n v="199954"/>
  </r>
  <r>
    <x v="11"/>
    <x v="8"/>
    <s v="Critical  Equip Repair &amp; Replacement(Lottery)"/>
    <m/>
    <n v="218991"/>
    <x v="7"/>
    <m/>
    <m/>
    <m/>
    <n v="56396"/>
    <m/>
    <m/>
    <m/>
    <m/>
    <n v="0"/>
    <m/>
    <m/>
    <n v="0"/>
    <n v="0"/>
    <n v="56396"/>
    <m/>
    <m/>
    <m/>
    <m/>
    <n v="0"/>
    <m/>
    <m/>
    <n v="0"/>
    <m/>
    <m/>
    <m/>
    <m/>
    <m/>
    <m/>
    <n v="0"/>
    <n v="56396"/>
  </r>
  <r>
    <x v="11"/>
    <x v="0"/>
    <s v="Denmark Technical College "/>
    <m/>
    <n v="217989"/>
    <x v="8"/>
    <n v="2116371"/>
    <n v="2116371"/>
    <m/>
    <m/>
    <n v="5500"/>
    <n v="3300"/>
    <n v="4669270"/>
    <n v="0"/>
    <n v="4669270"/>
    <n v="4161168"/>
    <n v="0"/>
    <n v="4161168"/>
    <n v="6791141"/>
    <n v="6280839"/>
    <m/>
    <m/>
    <m/>
    <m/>
    <n v="0"/>
    <m/>
    <m/>
    <n v="0"/>
    <m/>
    <m/>
    <m/>
    <m/>
    <m/>
    <m/>
    <n v="6791141"/>
    <n v="6280839"/>
  </r>
  <r>
    <x v="11"/>
    <x v="0"/>
    <s v="Personnel Services"/>
    <m/>
    <n v="217989"/>
    <x v="8"/>
    <m/>
    <n v="59374"/>
    <m/>
    <m/>
    <m/>
    <m/>
    <m/>
    <m/>
    <n v="0"/>
    <m/>
    <m/>
    <n v="0"/>
    <n v="0"/>
    <n v="59374"/>
    <m/>
    <m/>
    <m/>
    <m/>
    <n v="0"/>
    <m/>
    <m/>
    <n v="0"/>
    <m/>
    <m/>
    <m/>
    <m/>
    <m/>
    <m/>
    <n v="0"/>
    <n v="59374"/>
  </r>
  <r>
    <x v="11"/>
    <x v="8"/>
    <s v="Special Line items for education operations"/>
    <m/>
    <n v="217989"/>
    <x v="8"/>
    <m/>
    <m/>
    <m/>
    <m/>
    <m/>
    <m/>
    <m/>
    <m/>
    <n v="0"/>
    <m/>
    <m/>
    <n v="0"/>
    <n v="0"/>
    <n v="0"/>
    <m/>
    <m/>
    <m/>
    <m/>
    <n v="0"/>
    <m/>
    <m/>
    <n v="0"/>
    <m/>
    <m/>
    <m/>
    <m/>
    <m/>
    <m/>
    <n v="0"/>
    <n v="0"/>
  </r>
  <r>
    <x v="11"/>
    <x v="8"/>
    <s v="Deferred Maintenance"/>
    <m/>
    <n v="217989"/>
    <x v="8"/>
    <m/>
    <m/>
    <m/>
    <m/>
    <m/>
    <m/>
    <m/>
    <m/>
    <n v="0"/>
    <m/>
    <m/>
    <n v="0"/>
    <n v="0"/>
    <n v="0"/>
    <m/>
    <m/>
    <m/>
    <m/>
    <n v="0"/>
    <m/>
    <m/>
    <n v="0"/>
    <m/>
    <m/>
    <m/>
    <m/>
    <m/>
    <m/>
    <n v="0"/>
    <n v="0"/>
  </r>
  <r>
    <x v="11"/>
    <x v="8"/>
    <s v="Performance Funding"/>
    <m/>
    <n v="217989"/>
    <x v="8"/>
    <m/>
    <m/>
    <n v="39477"/>
    <n v="52207"/>
    <m/>
    <m/>
    <m/>
    <m/>
    <n v="0"/>
    <m/>
    <m/>
    <n v="0"/>
    <n v="39477"/>
    <n v="52207"/>
    <m/>
    <m/>
    <m/>
    <m/>
    <n v="0"/>
    <m/>
    <m/>
    <n v="0"/>
    <m/>
    <m/>
    <m/>
    <m/>
    <m/>
    <m/>
    <n v="39477"/>
    <n v="52207"/>
  </r>
  <r>
    <x v="11"/>
    <x v="8"/>
    <s v="Critical Needs Workforce"/>
    <m/>
    <n v="217989"/>
    <x v="8"/>
    <m/>
    <m/>
    <m/>
    <n v="52605"/>
    <m/>
    <m/>
    <m/>
    <m/>
    <n v="0"/>
    <m/>
    <m/>
    <n v="0"/>
    <n v="0"/>
    <n v="52605"/>
    <m/>
    <m/>
    <m/>
    <m/>
    <n v="0"/>
    <m/>
    <m/>
    <n v="0"/>
    <m/>
    <m/>
    <m/>
    <m/>
    <m/>
    <m/>
    <n v="0"/>
    <n v="52605"/>
  </r>
  <r>
    <x v="11"/>
    <x v="8"/>
    <s v="Plant Funding for Science Building"/>
    <m/>
    <n v="217989"/>
    <x v="8"/>
    <m/>
    <m/>
    <n v="435750"/>
    <m/>
    <m/>
    <m/>
    <m/>
    <m/>
    <n v="0"/>
    <m/>
    <m/>
    <n v="0"/>
    <n v="435750"/>
    <n v="0"/>
    <m/>
    <m/>
    <m/>
    <m/>
    <n v="0"/>
    <m/>
    <m/>
    <n v="0"/>
    <m/>
    <m/>
    <m/>
    <m/>
    <m/>
    <m/>
    <n v="435750"/>
    <n v="0"/>
  </r>
  <r>
    <x v="11"/>
    <x v="8"/>
    <s v="Capital Reserve and Surplus 90.20"/>
    <m/>
    <n v="217989"/>
    <x v="8"/>
    <m/>
    <m/>
    <m/>
    <m/>
    <m/>
    <m/>
    <m/>
    <m/>
    <n v="0"/>
    <m/>
    <m/>
    <n v="0"/>
    <n v="0"/>
    <n v="0"/>
    <m/>
    <m/>
    <m/>
    <m/>
    <n v="0"/>
    <m/>
    <m/>
    <n v="0"/>
    <m/>
    <m/>
    <m/>
    <m/>
    <m/>
    <m/>
    <n v="0"/>
    <n v="0"/>
  </r>
  <r>
    <x v="11"/>
    <x v="8"/>
    <s v="Pathways to Prosperity"/>
    <m/>
    <n v="217989"/>
    <x v="8"/>
    <m/>
    <m/>
    <n v="37784"/>
    <n v="37784"/>
    <m/>
    <m/>
    <m/>
    <m/>
    <n v="0"/>
    <m/>
    <m/>
    <n v="0"/>
    <n v="37784"/>
    <n v="37784"/>
    <m/>
    <m/>
    <m/>
    <m/>
    <n v="0"/>
    <m/>
    <m/>
    <n v="0"/>
    <m/>
    <m/>
    <m/>
    <m/>
    <m/>
    <m/>
    <n v="37784"/>
    <n v="37784"/>
  </r>
  <r>
    <x v="11"/>
    <x v="8"/>
    <s v="Lottery Technology (NR)"/>
    <m/>
    <n v="217989"/>
    <x v="8"/>
    <m/>
    <m/>
    <n v="93108"/>
    <n v="91112.33"/>
    <m/>
    <m/>
    <m/>
    <m/>
    <n v="0"/>
    <m/>
    <m/>
    <n v="0"/>
    <n v="93108"/>
    <n v="91112.33"/>
    <m/>
    <m/>
    <m/>
    <m/>
    <n v="0"/>
    <m/>
    <m/>
    <n v="0"/>
    <m/>
    <m/>
    <m/>
    <m/>
    <m/>
    <m/>
    <n v="93108"/>
    <n v="91112.33"/>
  </r>
  <r>
    <x v="11"/>
    <x v="8"/>
    <s v="Critical  Equip Repair &amp; Replacement(Lottery)"/>
    <m/>
    <n v="217989"/>
    <x v="8"/>
    <m/>
    <m/>
    <m/>
    <n v="24156"/>
    <m/>
    <m/>
    <m/>
    <m/>
    <n v="0"/>
    <m/>
    <m/>
    <n v="0"/>
    <n v="0"/>
    <n v="24156"/>
    <m/>
    <m/>
    <m/>
    <m/>
    <n v="0"/>
    <m/>
    <m/>
    <n v="0"/>
    <m/>
    <m/>
    <m/>
    <m/>
    <m/>
    <m/>
    <n v="0"/>
    <n v="24156"/>
  </r>
  <r>
    <x v="11"/>
    <x v="0"/>
    <s v="Northeastern Technical College"/>
    <m/>
    <n v="217837"/>
    <x v="8"/>
    <n v="1699467"/>
    <n v="1699466"/>
    <m/>
    <m/>
    <n v="720680"/>
    <n v="743762"/>
    <n v="4229327"/>
    <n v="0"/>
    <n v="4229327"/>
    <n v="4253764"/>
    <n v="0"/>
    <n v="4253764"/>
    <n v="6649474"/>
    <n v="6696992"/>
    <m/>
    <m/>
    <m/>
    <m/>
    <n v="0"/>
    <m/>
    <m/>
    <n v="0"/>
    <m/>
    <m/>
    <m/>
    <m/>
    <m/>
    <m/>
    <n v="6649474"/>
    <n v="6696992"/>
  </r>
  <r>
    <x v="11"/>
    <x v="0"/>
    <s v="Personnel Services"/>
    <m/>
    <n v="217837"/>
    <x v="8"/>
    <m/>
    <n v="47678"/>
    <m/>
    <m/>
    <m/>
    <m/>
    <m/>
    <m/>
    <n v="0"/>
    <m/>
    <m/>
    <n v="0"/>
    <n v="0"/>
    <n v="47678"/>
    <m/>
    <m/>
    <m/>
    <m/>
    <n v="0"/>
    <m/>
    <m/>
    <n v="0"/>
    <m/>
    <m/>
    <m/>
    <m/>
    <m/>
    <m/>
    <n v="0"/>
    <n v="47678"/>
  </r>
  <r>
    <x v="11"/>
    <x v="8"/>
    <s v="Special Line items for education operations"/>
    <m/>
    <n v="217837"/>
    <x v="8"/>
    <m/>
    <m/>
    <m/>
    <m/>
    <m/>
    <m/>
    <m/>
    <m/>
    <n v="0"/>
    <m/>
    <m/>
    <n v="0"/>
    <n v="0"/>
    <n v="0"/>
    <m/>
    <m/>
    <m/>
    <m/>
    <n v="0"/>
    <m/>
    <m/>
    <n v="0"/>
    <m/>
    <m/>
    <m/>
    <m/>
    <m/>
    <m/>
    <n v="0"/>
    <n v="0"/>
  </r>
  <r>
    <x v="11"/>
    <x v="8"/>
    <s v="Academic Endowment"/>
    <m/>
    <n v="217837"/>
    <x v="8"/>
    <m/>
    <m/>
    <n v="12"/>
    <n v="9"/>
    <m/>
    <m/>
    <m/>
    <m/>
    <n v="0"/>
    <m/>
    <m/>
    <n v="0"/>
    <n v="12"/>
    <n v="9"/>
    <m/>
    <m/>
    <m/>
    <m/>
    <n v="0"/>
    <m/>
    <m/>
    <n v="0"/>
    <m/>
    <m/>
    <m/>
    <m/>
    <m/>
    <m/>
    <n v="12"/>
    <n v="9"/>
  </r>
  <r>
    <x v="11"/>
    <x v="8"/>
    <s v="Performance Funding"/>
    <m/>
    <n v="217837"/>
    <x v="8"/>
    <m/>
    <m/>
    <n v="78412"/>
    <n v="85142"/>
    <m/>
    <m/>
    <m/>
    <m/>
    <n v="0"/>
    <m/>
    <m/>
    <n v="0"/>
    <n v="78412"/>
    <n v="85142"/>
    <m/>
    <m/>
    <m/>
    <m/>
    <n v="0"/>
    <m/>
    <m/>
    <n v="0"/>
    <m/>
    <m/>
    <m/>
    <m/>
    <m/>
    <m/>
    <n v="78412"/>
    <n v="85142"/>
  </r>
  <r>
    <x v="11"/>
    <x v="8"/>
    <s v="Critical Needs Workforce"/>
    <m/>
    <n v="217837"/>
    <x v="8"/>
    <m/>
    <m/>
    <m/>
    <n v="49792"/>
    <m/>
    <m/>
    <m/>
    <m/>
    <n v="0"/>
    <m/>
    <m/>
    <n v="0"/>
    <n v="0"/>
    <n v="49792"/>
    <m/>
    <m/>
    <m/>
    <m/>
    <n v="0"/>
    <m/>
    <m/>
    <n v="0"/>
    <m/>
    <m/>
    <m/>
    <m/>
    <m/>
    <m/>
    <n v="0"/>
    <n v="49792"/>
  </r>
  <r>
    <x v="11"/>
    <x v="8"/>
    <s v="Deferred Maintenance"/>
    <m/>
    <n v="217837"/>
    <x v="8"/>
    <m/>
    <m/>
    <m/>
    <m/>
    <m/>
    <m/>
    <m/>
    <m/>
    <n v="0"/>
    <m/>
    <m/>
    <n v="0"/>
    <n v="0"/>
    <n v="0"/>
    <m/>
    <m/>
    <m/>
    <m/>
    <n v="0"/>
    <m/>
    <m/>
    <n v="0"/>
    <m/>
    <m/>
    <m/>
    <m/>
    <m/>
    <m/>
    <n v="0"/>
    <n v="0"/>
  </r>
  <r>
    <x v="11"/>
    <x v="8"/>
    <s v="Pathways to Prosperity"/>
    <m/>
    <n v="217837"/>
    <x v="8"/>
    <m/>
    <m/>
    <n v="37784"/>
    <n v="37784"/>
    <m/>
    <m/>
    <m/>
    <m/>
    <n v="0"/>
    <m/>
    <m/>
    <n v="0"/>
    <n v="37784"/>
    <n v="37784"/>
    <m/>
    <m/>
    <m/>
    <m/>
    <n v="0"/>
    <m/>
    <m/>
    <n v="0"/>
    <m/>
    <m/>
    <m/>
    <m/>
    <m/>
    <m/>
    <n v="37784"/>
    <n v="37784"/>
  </r>
  <r>
    <x v="11"/>
    <x v="8"/>
    <s v="Lottery Technology (NR)"/>
    <m/>
    <n v="217837"/>
    <x v="8"/>
    <m/>
    <m/>
    <n v="93108"/>
    <n v="91112"/>
    <m/>
    <m/>
    <m/>
    <m/>
    <n v="0"/>
    <m/>
    <m/>
    <n v="0"/>
    <n v="93108"/>
    <n v="91112"/>
    <m/>
    <m/>
    <m/>
    <m/>
    <n v="0"/>
    <m/>
    <m/>
    <n v="0"/>
    <m/>
    <m/>
    <m/>
    <m/>
    <m/>
    <m/>
    <n v="93108"/>
    <n v="91112"/>
  </r>
  <r>
    <x v="11"/>
    <x v="8"/>
    <s v="Critical  Equip Repair &amp; Replacement(Lottery)"/>
    <m/>
    <n v="217837"/>
    <x v="8"/>
    <m/>
    <m/>
    <m/>
    <n v="24156"/>
    <m/>
    <m/>
    <m/>
    <m/>
    <n v="0"/>
    <m/>
    <m/>
    <n v="0"/>
    <n v="0"/>
    <n v="24156"/>
    <m/>
    <m/>
    <m/>
    <m/>
    <n v="0"/>
    <m/>
    <m/>
    <n v="0"/>
    <m/>
    <m/>
    <m/>
    <m/>
    <m/>
    <m/>
    <n v="0"/>
    <n v="24156"/>
  </r>
  <r>
    <x v="11"/>
    <x v="0"/>
    <s v="Technical College of the Lowcountry"/>
    <m/>
    <n v="217712"/>
    <x v="8"/>
    <n v="2651049"/>
    <n v="2651049"/>
    <m/>
    <m/>
    <n v="2069000"/>
    <n v="2025000"/>
    <n v="8515264"/>
    <n v="115168"/>
    <n v="8630432"/>
    <n v="9008337"/>
    <n v="116882"/>
    <n v="9125219"/>
    <n v="13235313"/>
    <n v="13684386"/>
    <m/>
    <m/>
    <m/>
    <m/>
    <n v="0"/>
    <m/>
    <m/>
    <n v="0"/>
    <m/>
    <m/>
    <m/>
    <m/>
    <m/>
    <m/>
    <n v="13235313"/>
    <n v="13684386"/>
  </r>
  <r>
    <x v="11"/>
    <x v="0"/>
    <s v="Personnel Services"/>
    <m/>
    <n v="217712"/>
    <x v="8"/>
    <m/>
    <n v="74374"/>
    <m/>
    <m/>
    <m/>
    <m/>
    <m/>
    <m/>
    <n v="0"/>
    <m/>
    <m/>
    <n v="0"/>
    <n v="0"/>
    <n v="74374"/>
    <m/>
    <m/>
    <m/>
    <m/>
    <n v="0"/>
    <m/>
    <m/>
    <n v="0"/>
    <m/>
    <m/>
    <m/>
    <m/>
    <m/>
    <m/>
    <n v="0"/>
    <n v="74374"/>
  </r>
  <r>
    <x v="11"/>
    <x v="8"/>
    <s v="Special Line items for education operations"/>
    <m/>
    <n v="217712"/>
    <x v="8"/>
    <m/>
    <m/>
    <m/>
    <m/>
    <m/>
    <m/>
    <m/>
    <m/>
    <n v="0"/>
    <m/>
    <m/>
    <n v="0"/>
    <n v="0"/>
    <n v="0"/>
    <m/>
    <m/>
    <m/>
    <m/>
    <n v="0"/>
    <m/>
    <m/>
    <n v="0"/>
    <m/>
    <m/>
    <m/>
    <m/>
    <m/>
    <m/>
    <n v="0"/>
    <n v="0"/>
  </r>
  <r>
    <x v="11"/>
    <x v="8"/>
    <s v="Academic Endowment"/>
    <m/>
    <n v="217712"/>
    <x v="8"/>
    <m/>
    <m/>
    <n v="169"/>
    <n v="167"/>
    <m/>
    <m/>
    <m/>
    <m/>
    <n v="0"/>
    <m/>
    <m/>
    <n v="0"/>
    <n v="169"/>
    <n v="167"/>
    <m/>
    <m/>
    <m/>
    <m/>
    <n v="0"/>
    <m/>
    <m/>
    <n v="0"/>
    <m/>
    <m/>
    <m/>
    <m/>
    <m/>
    <m/>
    <n v="169"/>
    <n v="167"/>
  </r>
  <r>
    <x v="11"/>
    <x v="8"/>
    <s v="Performance Funding"/>
    <m/>
    <n v="217712"/>
    <x v="8"/>
    <m/>
    <m/>
    <n v="71446"/>
    <n v="87486"/>
    <m/>
    <m/>
    <m/>
    <m/>
    <n v="0"/>
    <m/>
    <m/>
    <n v="0"/>
    <n v="71446"/>
    <n v="87486"/>
    <m/>
    <m/>
    <m/>
    <m/>
    <n v="0"/>
    <m/>
    <m/>
    <n v="0"/>
    <m/>
    <m/>
    <m/>
    <m/>
    <m/>
    <m/>
    <n v="71446"/>
    <n v="87486"/>
  </r>
  <r>
    <x v="11"/>
    <x v="8"/>
    <s v="Critical Needs Workforce"/>
    <m/>
    <n v="217712"/>
    <x v="8"/>
    <m/>
    <m/>
    <m/>
    <n v="73163"/>
    <m/>
    <m/>
    <m/>
    <m/>
    <n v="0"/>
    <m/>
    <m/>
    <n v="0"/>
    <n v="0"/>
    <n v="73163"/>
    <m/>
    <m/>
    <m/>
    <m/>
    <n v="0"/>
    <m/>
    <m/>
    <n v="0"/>
    <m/>
    <m/>
    <m/>
    <m/>
    <m/>
    <m/>
    <n v="0"/>
    <n v="73163"/>
  </r>
  <r>
    <x v="11"/>
    <x v="8"/>
    <s v="Critical Needs Nursing Initiative"/>
    <m/>
    <n v="217712"/>
    <x v="8"/>
    <m/>
    <m/>
    <n v="15089"/>
    <n v="15089"/>
    <m/>
    <m/>
    <m/>
    <m/>
    <n v="0"/>
    <m/>
    <m/>
    <n v="0"/>
    <n v="15089"/>
    <n v="15089"/>
    <m/>
    <m/>
    <m/>
    <m/>
    <n v="0"/>
    <m/>
    <m/>
    <n v="0"/>
    <m/>
    <m/>
    <m/>
    <m/>
    <m/>
    <m/>
    <n v="15089"/>
    <n v="15089"/>
  </r>
  <r>
    <x v="11"/>
    <x v="8"/>
    <s v="Transitioning Milt. Support and Training"/>
    <m/>
    <n v="217712"/>
    <x v="8"/>
    <m/>
    <m/>
    <n v="318000"/>
    <n v="1500000"/>
    <m/>
    <m/>
    <m/>
    <m/>
    <n v="0"/>
    <m/>
    <m/>
    <n v="0"/>
    <n v="318000"/>
    <n v="1500000"/>
    <m/>
    <m/>
    <m/>
    <m/>
    <n v="0"/>
    <m/>
    <m/>
    <n v="0"/>
    <m/>
    <m/>
    <m/>
    <m/>
    <m/>
    <m/>
    <n v="318000"/>
    <n v="1500000"/>
  </r>
  <r>
    <x v="11"/>
    <x v="8"/>
    <s v="Deferred Maintenance"/>
    <m/>
    <n v="217712"/>
    <x v="8"/>
    <m/>
    <m/>
    <m/>
    <m/>
    <m/>
    <m/>
    <m/>
    <m/>
    <n v="0"/>
    <m/>
    <m/>
    <n v="0"/>
    <n v="0"/>
    <n v="0"/>
    <m/>
    <m/>
    <m/>
    <m/>
    <n v="0"/>
    <m/>
    <m/>
    <n v="0"/>
    <m/>
    <m/>
    <m/>
    <m/>
    <m/>
    <m/>
    <n v="0"/>
    <n v="0"/>
  </r>
  <r>
    <x v="11"/>
    <x v="8"/>
    <s v="Capital Reserve and Surplus 90.20"/>
    <m/>
    <n v="217712"/>
    <x v="8"/>
    <m/>
    <m/>
    <m/>
    <m/>
    <m/>
    <m/>
    <m/>
    <m/>
    <n v="0"/>
    <m/>
    <m/>
    <n v="0"/>
    <n v="0"/>
    <n v="0"/>
    <m/>
    <m/>
    <m/>
    <m/>
    <n v="0"/>
    <m/>
    <m/>
    <n v="0"/>
    <m/>
    <m/>
    <m/>
    <m/>
    <m/>
    <m/>
    <n v="0"/>
    <n v="0"/>
  </r>
  <r>
    <x v="11"/>
    <x v="8"/>
    <s v="Pathways to Prosperity"/>
    <m/>
    <n v="217712"/>
    <x v="8"/>
    <m/>
    <m/>
    <n v="37784"/>
    <n v="37784"/>
    <m/>
    <m/>
    <m/>
    <m/>
    <n v="0"/>
    <m/>
    <m/>
    <n v="0"/>
    <n v="37784"/>
    <n v="37784"/>
    <m/>
    <m/>
    <m/>
    <m/>
    <n v="0"/>
    <m/>
    <m/>
    <n v="0"/>
    <m/>
    <m/>
    <m/>
    <m/>
    <m/>
    <m/>
    <n v="37784"/>
    <n v="37784"/>
  </r>
  <r>
    <x v="11"/>
    <x v="8"/>
    <s v="Lottery Technology (NR)"/>
    <m/>
    <n v="217712"/>
    <x v="8"/>
    <m/>
    <m/>
    <n v="102024"/>
    <n v="93026"/>
    <m/>
    <m/>
    <m/>
    <m/>
    <n v="0"/>
    <m/>
    <m/>
    <n v="0"/>
    <n v="102024"/>
    <n v="93026"/>
    <m/>
    <m/>
    <m/>
    <m/>
    <n v="0"/>
    <m/>
    <m/>
    <n v="0"/>
    <m/>
    <m/>
    <m/>
    <m/>
    <m/>
    <m/>
    <n v="102024"/>
    <n v="93026"/>
  </r>
  <r>
    <x v="11"/>
    <x v="8"/>
    <s v="Critical  Equip Repair &amp; Replacement(Lottery)"/>
    <m/>
    <n v="217712"/>
    <x v="8"/>
    <m/>
    <m/>
    <m/>
    <n v="26238"/>
    <m/>
    <m/>
    <m/>
    <m/>
    <n v="0"/>
    <m/>
    <m/>
    <n v="0"/>
    <n v="0"/>
    <n v="26238"/>
    <m/>
    <m/>
    <m/>
    <m/>
    <n v="0"/>
    <m/>
    <m/>
    <n v="0"/>
    <m/>
    <m/>
    <m/>
    <m/>
    <m/>
    <m/>
    <n v="0"/>
    <n v="26238"/>
  </r>
  <r>
    <x v="11"/>
    <x v="0"/>
    <s v="University of South Carolina-Lancaster"/>
    <m/>
    <n v="218672"/>
    <x v="8"/>
    <n v="1244208"/>
    <n v="1274953"/>
    <m/>
    <m/>
    <m/>
    <m/>
    <n v="7560117"/>
    <n v="19140"/>
    <n v="7579257"/>
    <n v="7560117"/>
    <n v="19140"/>
    <n v="7579257"/>
    <n v="8804325"/>
    <n v="8835070"/>
    <m/>
    <m/>
    <m/>
    <m/>
    <n v="0"/>
    <m/>
    <m/>
    <n v="0"/>
    <m/>
    <m/>
    <m/>
    <m/>
    <m/>
    <m/>
    <n v="8804325"/>
    <n v="8835070"/>
  </r>
  <r>
    <x v="11"/>
    <x v="0"/>
    <s v="Fringe Benefits"/>
    <m/>
    <n v="218672"/>
    <x v="8"/>
    <n v="314446"/>
    <n v="331350"/>
    <m/>
    <m/>
    <m/>
    <m/>
    <m/>
    <m/>
    <n v="0"/>
    <m/>
    <m/>
    <n v="0"/>
    <n v="314446"/>
    <n v="331350"/>
    <m/>
    <m/>
    <m/>
    <m/>
    <n v="0"/>
    <m/>
    <m/>
    <n v="0"/>
    <m/>
    <m/>
    <m/>
    <m/>
    <m/>
    <m/>
    <n v="314446"/>
    <n v="331350"/>
  </r>
  <r>
    <x v="11"/>
    <x v="8"/>
    <s v="Special Line items for education operations"/>
    <m/>
    <n v="218672"/>
    <x v="8"/>
    <m/>
    <m/>
    <m/>
    <m/>
    <m/>
    <m/>
    <m/>
    <m/>
    <n v="0"/>
    <m/>
    <m/>
    <n v="0"/>
    <n v="0"/>
    <n v="0"/>
    <m/>
    <m/>
    <m/>
    <m/>
    <n v="0"/>
    <m/>
    <m/>
    <n v="0"/>
    <m/>
    <m/>
    <m/>
    <m/>
    <m/>
    <m/>
    <n v="0"/>
    <n v="0"/>
  </r>
  <r>
    <x v="11"/>
    <x v="8"/>
    <s v="Deferred Maintenance (NR)"/>
    <m/>
    <n v="218672"/>
    <x v="8"/>
    <m/>
    <m/>
    <n v="400000"/>
    <m/>
    <m/>
    <m/>
    <m/>
    <m/>
    <n v="0"/>
    <m/>
    <m/>
    <n v="0"/>
    <n v="400000"/>
    <n v="0"/>
    <m/>
    <m/>
    <m/>
    <m/>
    <n v="0"/>
    <m/>
    <m/>
    <n v="0"/>
    <m/>
    <m/>
    <m/>
    <m/>
    <m/>
    <m/>
    <n v="400000"/>
    <n v="0"/>
  </r>
  <r>
    <x v="11"/>
    <x v="8"/>
    <s v="Parity Funding"/>
    <m/>
    <n v="218672"/>
    <x v="8"/>
    <m/>
    <m/>
    <n v="148400"/>
    <n v="196786"/>
    <m/>
    <m/>
    <m/>
    <m/>
    <n v="0"/>
    <m/>
    <m/>
    <n v="0"/>
    <n v="148400"/>
    <n v="196786"/>
    <m/>
    <m/>
    <m/>
    <m/>
    <n v="0"/>
    <m/>
    <m/>
    <n v="0"/>
    <m/>
    <m/>
    <m/>
    <m/>
    <m/>
    <m/>
    <n v="148400"/>
    <n v="196786"/>
  </r>
  <r>
    <x v="11"/>
    <x v="8"/>
    <s v="Palmetto College"/>
    <m/>
    <n v="218672"/>
    <x v="8"/>
    <m/>
    <m/>
    <n v="148500"/>
    <n v="223283"/>
    <m/>
    <m/>
    <m/>
    <m/>
    <n v="0"/>
    <m/>
    <m/>
    <n v="0"/>
    <n v="148500"/>
    <n v="223283"/>
    <m/>
    <m/>
    <m/>
    <m/>
    <n v="0"/>
    <m/>
    <m/>
    <n v="0"/>
    <m/>
    <m/>
    <m/>
    <m/>
    <m/>
    <m/>
    <n v="148500"/>
    <n v="223283"/>
  </r>
  <r>
    <x v="11"/>
    <x v="8"/>
    <s v="Building Repair &amp; Maintenance (Lottery)"/>
    <m/>
    <n v="218672"/>
    <x v="8"/>
    <m/>
    <m/>
    <n v="66878"/>
    <m/>
    <m/>
    <m/>
    <m/>
    <m/>
    <n v="0"/>
    <m/>
    <m/>
    <n v="0"/>
    <n v="66878"/>
    <n v="0"/>
    <m/>
    <m/>
    <m/>
    <m/>
    <n v="0"/>
    <m/>
    <m/>
    <n v="0"/>
    <m/>
    <m/>
    <m/>
    <m/>
    <m/>
    <m/>
    <n v="66878"/>
    <n v="0"/>
  </r>
  <r>
    <x v="11"/>
    <x v="8"/>
    <s v="Critical  Equip Repair &amp; Replacement(Lottery)"/>
    <m/>
    <n v="218672"/>
    <x v="8"/>
    <m/>
    <m/>
    <m/>
    <n v="19373"/>
    <m/>
    <m/>
    <m/>
    <m/>
    <n v="0"/>
    <m/>
    <m/>
    <n v="0"/>
    <n v="0"/>
    <n v="19373"/>
    <m/>
    <m/>
    <m/>
    <m/>
    <n v="0"/>
    <m/>
    <m/>
    <n v="0"/>
    <m/>
    <m/>
    <m/>
    <m/>
    <m/>
    <m/>
    <n v="0"/>
    <n v="19373"/>
  </r>
  <r>
    <x v="11"/>
    <x v="8"/>
    <s v="Academic Endowment"/>
    <m/>
    <n v="218672"/>
    <x v="8"/>
    <m/>
    <m/>
    <n v="3817"/>
    <n v="3185"/>
    <m/>
    <m/>
    <m/>
    <m/>
    <n v="0"/>
    <m/>
    <m/>
    <n v="0"/>
    <n v="3817"/>
    <n v="3185"/>
    <m/>
    <m/>
    <m/>
    <m/>
    <n v="0"/>
    <m/>
    <m/>
    <n v="0"/>
    <m/>
    <m/>
    <m/>
    <m/>
    <m/>
    <m/>
    <n v="3817"/>
    <n v="3185"/>
  </r>
  <r>
    <x v="11"/>
    <x v="8"/>
    <s v="Lottery Technology (NR)"/>
    <m/>
    <n v="218672"/>
    <x v="8"/>
    <m/>
    <m/>
    <n v="99759"/>
    <n v="92296"/>
    <m/>
    <m/>
    <m/>
    <m/>
    <n v="0"/>
    <m/>
    <m/>
    <n v="0"/>
    <n v="99759"/>
    <n v="92296"/>
    <m/>
    <m/>
    <m/>
    <m/>
    <n v="0"/>
    <m/>
    <m/>
    <n v="0"/>
    <m/>
    <m/>
    <m/>
    <m/>
    <m/>
    <m/>
    <n v="99759"/>
    <n v="92296"/>
  </r>
  <r>
    <x v="11"/>
    <x v="8"/>
    <s v="Repair &amp; Renewal for Science Labs &amp; Nursing Simulation"/>
    <m/>
    <n v="218672"/>
    <x v="8"/>
    <m/>
    <m/>
    <m/>
    <n v="495000"/>
    <m/>
    <m/>
    <m/>
    <m/>
    <n v="0"/>
    <m/>
    <m/>
    <n v="0"/>
    <n v="0"/>
    <n v="495000"/>
    <m/>
    <m/>
    <m/>
    <m/>
    <n v="0"/>
    <m/>
    <m/>
    <n v="0"/>
    <m/>
    <m/>
    <m/>
    <m/>
    <m/>
    <m/>
    <n v="0"/>
    <n v="495000"/>
  </r>
  <r>
    <x v="11"/>
    <x v="0"/>
    <s v="University of South Carolina-Salkehatchie"/>
    <m/>
    <n v="218681"/>
    <x v="8"/>
    <n v="974631"/>
    <n v="998716"/>
    <m/>
    <m/>
    <m/>
    <m/>
    <n v="5512360"/>
    <n v="34110"/>
    <n v="5546470"/>
    <n v="5270320"/>
    <n v="0"/>
    <n v="5270320"/>
    <n v="6486991"/>
    <n v="6269036"/>
    <m/>
    <m/>
    <m/>
    <m/>
    <n v="0"/>
    <m/>
    <m/>
    <n v="0"/>
    <m/>
    <m/>
    <m/>
    <m/>
    <m/>
    <m/>
    <n v="6486991"/>
    <n v="6269036"/>
  </r>
  <r>
    <x v="11"/>
    <x v="0"/>
    <s v="Fringe Benefits"/>
    <m/>
    <n v="218681"/>
    <x v="8"/>
    <n v="248511"/>
    <n v="262704"/>
    <m/>
    <m/>
    <m/>
    <m/>
    <m/>
    <m/>
    <n v="0"/>
    <m/>
    <m/>
    <n v="0"/>
    <n v="248511"/>
    <n v="262704"/>
    <m/>
    <m/>
    <m/>
    <m/>
    <n v="0"/>
    <m/>
    <m/>
    <n v="0"/>
    <m/>
    <m/>
    <m/>
    <m/>
    <m/>
    <m/>
    <n v="248511"/>
    <n v="262704"/>
  </r>
  <r>
    <x v="11"/>
    <x v="3"/>
    <s v="Community or public service units"/>
    <m/>
    <n v="218681"/>
    <x v="8"/>
    <m/>
    <m/>
    <m/>
    <m/>
    <m/>
    <m/>
    <m/>
    <m/>
    <n v="0"/>
    <m/>
    <m/>
    <n v="0"/>
    <n v="0"/>
    <n v="0"/>
    <m/>
    <m/>
    <m/>
    <m/>
    <n v="0"/>
    <m/>
    <m/>
    <n v="0"/>
    <m/>
    <m/>
    <m/>
    <m/>
    <m/>
    <m/>
    <n v="0"/>
    <n v="0"/>
  </r>
  <r>
    <x v="11"/>
    <x v="3"/>
    <s v="  Salkehatchie Leadership Institute"/>
    <m/>
    <n v="218681"/>
    <x v="8"/>
    <m/>
    <m/>
    <n v="100460"/>
    <n v="100460"/>
    <m/>
    <m/>
    <m/>
    <m/>
    <n v="0"/>
    <m/>
    <m/>
    <n v="0"/>
    <n v="100460"/>
    <n v="100460"/>
    <m/>
    <m/>
    <m/>
    <m/>
    <n v="0"/>
    <m/>
    <m/>
    <n v="0"/>
    <m/>
    <m/>
    <m/>
    <m/>
    <m/>
    <m/>
    <n v="100460"/>
    <n v="100460"/>
  </r>
  <r>
    <x v="11"/>
    <x v="8"/>
    <s v="Special Line items for education operations"/>
    <m/>
    <n v="218681"/>
    <x v="8"/>
    <m/>
    <m/>
    <m/>
    <m/>
    <m/>
    <m/>
    <m/>
    <m/>
    <n v="0"/>
    <m/>
    <m/>
    <n v="0"/>
    <n v="0"/>
    <n v="0"/>
    <m/>
    <m/>
    <m/>
    <m/>
    <n v="0"/>
    <m/>
    <m/>
    <n v="0"/>
    <m/>
    <m/>
    <m/>
    <m/>
    <m/>
    <m/>
    <n v="0"/>
    <n v="0"/>
  </r>
  <r>
    <x v="11"/>
    <x v="8"/>
    <s v="Deferred Maintenance (NR &amp; Lottery)"/>
    <m/>
    <n v="218681"/>
    <x v="8"/>
    <m/>
    <m/>
    <m/>
    <m/>
    <m/>
    <m/>
    <m/>
    <m/>
    <n v="0"/>
    <m/>
    <m/>
    <n v="0"/>
    <n v="0"/>
    <n v="0"/>
    <m/>
    <m/>
    <m/>
    <m/>
    <n v="0"/>
    <m/>
    <m/>
    <n v="0"/>
    <m/>
    <m/>
    <m/>
    <m/>
    <m/>
    <m/>
    <n v="0"/>
    <n v="0"/>
  </r>
  <r>
    <x v="11"/>
    <x v="8"/>
    <s v="Parity Funding"/>
    <m/>
    <n v="218681"/>
    <x v="8"/>
    <m/>
    <m/>
    <n v="118720"/>
    <n v="149097"/>
    <m/>
    <m/>
    <m/>
    <m/>
    <n v="0"/>
    <m/>
    <m/>
    <n v="0"/>
    <n v="118720"/>
    <n v="149097"/>
    <m/>
    <m/>
    <m/>
    <m/>
    <n v="0"/>
    <m/>
    <m/>
    <n v="0"/>
    <m/>
    <m/>
    <m/>
    <m/>
    <m/>
    <m/>
    <n v="118720"/>
    <n v="149097"/>
  </r>
  <r>
    <x v="11"/>
    <x v="8"/>
    <s v="Palmetto College"/>
    <m/>
    <n v="218681"/>
    <x v="8"/>
    <m/>
    <m/>
    <n v="148500"/>
    <n v="214587"/>
    <m/>
    <m/>
    <m/>
    <m/>
    <n v="0"/>
    <m/>
    <m/>
    <n v="0"/>
    <n v="148500"/>
    <n v="214587"/>
    <m/>
    <m/>
    <m/>
    <m/>
    <n v="0"/>
    <m/>
    <m/>
    <n v="0"/>
    <m/>
    <m/>
    <m/>
    <m/>
    <m/>
    <m/>
    <n v="148500"/>
    <n v="214587"/>
  </r>
  <r>
    <x v="11"/>
    <x v="8"/>
    <s v="Building Repair &amp; Maintenance (Lottery)"/>
    <m/>
    <n v="218681"/>
    <x v="8"/>
    <m/>
    <m/>
    <n v="56797"/>
    <m/>
    <m/>
    <m/>
    <m/>
    <m/>
    <n v="0"/>
    <m/>
    <m/>
    <n v="0"/>
    <n v="56797"/>
    <n v="0"/>
    <m/>
    <m/>
    <m/>
    <m/>
    <n v="0"/>
    <m/>
    <m/>
    <n v="0"/>
    <m/>
    <m/>
    <m/>
    <m/>
    <m/>
    <m/>
    <n v="56797"/>
    <n v="0"/>
  </r>
  <r>
    <x v="11"/>
    <x v="8"/>
    <s v="Critical Equip Repair &amp; Replacement(Lottery)"/>
    <m/>
    <n v="218681"/>
    <x v="8"/>
    <m/>
    <m/>
    <m/>
    <n v="16452"/>
    <m/>
    <m/>
    <m/>
    <m/>
    <n v="0"/>
    <m/>
    <m/>
    <n v="0"/>
    <n v="0"/>
    <n v="16452"/>
    <m/>
    <m/>
    <m/>
    <m/>
    <n v="0"/>
    <m/>
    <m/>
    <n v="0"/>
    <m/>
    <m/>
    <m/>
    <m/>
    <m/>
    <m/>
    <n v="0"/>
    <n v="16452"/>
  </r>
  <r>
    <x v="11"/>
    <x v="8"/>
    <s v="Academic Endowment"/>
    <m/>
    <n v="218681"/>
    <x v="8"/>
    <m/>
    <m/>
    <n v="247"/>
    <n v="238"/>
    <m/>
    <m/>
    <m/>
    <m/>
    <n v="0"/>
    <m/>
    <m/>
    <n v="0"/>
    <n v="247"/>
    <n v="238"/>
    <m/>
    <m/>
    <m/>
    <m/>
    <n v="0"/>
    <m/>
    <m/>
    <n v="0"/>
    <m/>
    <m/>
    <m/>
    <m/>
    <m/>
    <m/>
    <n v="247"/>
    <n v="238"/>
  </r>
  <r>
    <x v="11"/>
    <x v="8"/>
    <s v="Lottery Technology (NR)"/>
    <m/>
    <n v="218681"/>
    <x v="8"/>
    <m/>
    <m/>
    <n v="99759"/>
    <n v="92296"/>
    <m/>
    <m/>
    <m/>
    <m/>
    <n v="0"/>
    <m/>
    <m/>
    <n v="0"/>
    <n v="99759"/>
    <n v="92296"/>
    <m/>
    <m/>
    <m/>
    <m/>
    <n v="0"/>
    <m/>
    <m/>
    <n v="0"/>
    <m/>
    <m/>
    <m/>
    <m/>
    <m/>
    <m/>
    <n v="99759"/>
    <n v="92296"/>
  </r>
  <r>
    <x v="11"/>
    <x v="0"/>
    <s v="University of South Carolina-Sumter"/>
    <m/>
    <n v="218690"/>
    <x v="8"/>
    <n v="1954444"/>
    <n v="2002739"/>
    <m/>
    <m/>
    <m/>
    <m/>
    <n v="4508329"/>
    <n v="57091"/>
    <n v="4565420"/>
    <n v="4618168"/>
    <n v="57686"/>
    <n v="4675854"/>
    <n v="6462773"/>
    <n v="6620907"/>
    <m/>
    <m/>
    <m/>
    <m/>
    <n v="0"/>
    <m/>
    <m/>
    <n v="0"/>
    <m/>
    <m/>
    <m/>
    <m/>
    <m/>
    <m/>
    <n v="6462773"/>
    <n v="6620907"/>
  </r>
  <r>
    <x v="11"/>
    <x v="0"/>
    <s v="Fringe Benefits"/>
    <m/>
    <n v="218690"/>
    <x v="8"/>
    <n v="525276"/>
    <n v="555945"/>
    <m/>
    <m/>
    <m/>
    <m/>
    <m/>
    <m/>
    <n v="0"/>
    <m/>
    <m/>
    <n v="0"/>
    <n v="525276"/>
    <n v="555945"/>
    <m/>
    <m/>
    <m/>
    <m/>
    <n v="0"/>
    <m/>
    <m/>
    <n v="0"/>
    <m/>
    <m/>
    <m/>
    <m/>
    <m/>
    <m/>
    <n v="525276"/>
    <n v="555945"/>
  </r>
  <r>
    <x v="11"/>
    <x v="8"/>
    <s v="Special Line items for education operations"/>
    <m/>
    <n v="218690"/>
    <x v="8"/>
    <m/>
    <m/>
    <m/>
    <m/>
    <m/>
    <m/>
    <m/>
    <m/>
    <n v="0"/>
    <m/>
    <m/>
    <n v="0"/>
    <n v="0"/>
    <n v="0"/>
    <m/>
    <m/>
    <m/>
    <m/>
    <n v="0"/>
    <m/>
    <m/>
    <n v="0"/>
    <m/>
    <m/>
    <m/>
    <m/>
    <m/>
    <m/>
    <n v="0"/>
    <n v="0"/>
  </r>
  <r>
    <x v="11"/>
    <x v="8"/>
    <s v="Deferred Maintenance (NR &amp; Lottery)"/>
    <m/>
    <n v="218690"/>
    <x v="8"/>
    <m/>
    <m/>
    <m/>
    <m/>
    <m/>
    <m/>
    <m/>
    <m/>
    <n v="0"/>
    <m/>
    <m/>
    <n v="0"/>
    <n v="0"/>
    <n v="0"/>
    <m/>
    <m/>
    <m/>
    <m/>
    <n v="0"/>
    <m/>
    <m/>
    <n v="0"/>
    <m/>
    <m/>
    <m/>
    <m/>
    <m/>
    <m/>
    <n v="0"/>
    <n v="0"/>
  </r>
  <r>
    <x v="11"/>
    <x v="8"/>
    <s v="Parity Funding"/>
    <m/>
    <n v="218690"/>
    <x v="8"/>
    <m/>
    <m/>
    <n v="176270"/>
    <n v="150000"/>
    <m/>
    <m/>
    <m/>
    <m/>
    <n v="0"/>
    <m/>
    <m/>
    <n v="0"/>
    <n v="176270"/>
    <n v="150000"/>
    <m/>
    <m/>
    <m/>
    <m/>
    <n v="0"/>
    <m/>
    <m/>
    <n v="0"/>
    <m/>
    <m/>
    <m/>
    <m/>
    <m/>
    <m/>
    <n v="176270"/>
    <n v="150000"/>
  </r>
  <r>
    <x v="11"/>
    <x v="8"/>
    <s v="Palmetto College"/>
    <m/>
    <n v="218690"/>
    <x v="8"/>
    <m/>
    <m/>
    <n v="148500"/>
    <n v="205891"/>
    <m/>
    <m/>
    <m/>
    <m/>
    <n v="0"/>
    <m/>
    <m/>
    <n v="0"/>
    <n v="148500"/>
    <n v="205891"/>
    <m/>
    <m/>
    <m/>
    <m/>
    <n v="0"/>
    <m/>
    <m/>
    <n v="0"/>
    <m/>
    <m/>
    <m/>
    <m/>
    <m/>
    <m/>
    <n v="148500"/>
    <n v="205891"/>
  </r>
  <r>
    <x v="11"/>
    <x v="8"/>
    <s v="Building Repair &amp; Maintenance (Lottery)"/>
    <m/>
    <n v="218690"/>
    <x v="8"/>
    <m/>
    <m/>
    <n v="106232"/>
    <m/>
    <m/>
    <m/>
    <m/>
    <m/>
    <n v="0"/>
    <m/>
    <m/>
    <n v="0"/>
    <n v="106232"/>
    <n v="0"/>
    <m/>
    <m/>
    <m/>
    <m/>
    <n v="0"/>
    <m/>
    <m/>
    <n v="0"/>
    <m/>
    <m/>
    <m/>
    <m/>
    <m/>
    <m/>
    <n v="106232"/>
    <n v="0"/>
  </r>
  <r>
    <x v="11"/>
    <x v="8"/>
    <s v="Critical Equip Repair &amp; Replacement(Lottery)"/>
    <m/>
    <n v="218690"/>
    <x v="8"/>
    <m/>
    <m/>
    <m/>
    <n v="30822"/>
    <m/>
    <m/>
    <m/>
    <m/>
    <n v="0"/>
    <m/>
    <m/>
    <n v="0"/>
    <n v="0"/>
    <n v="30822"/>
    <m/>
    <m/>
    <m/>
    <m/>
    <n v="0"/>
    <m/>
    <m/>
    <n v="0"/>
    <m/>
    <m/>
    <m/>
    <m/>
    <m/>
    <m/>
    <n v="0"/>
    <n v="30822"/>
  </r>
  <r>
    <x v="11"/>
    <x v="8"/>
    <s v="Academic Endowment"/>
    <m/>
    <n v="218690"/>
    <x v="8"/>
    <m/>
    <m/>
    <n v="792"/>
    <n v="658"/>
    <m/>
    <m/>
    <m/>
    <m/>
    <n v="0"/>
    <m/>
    <m/>
    <n v="0"/>
    <n v="792"/>
    <n v="658"/>
    <m/>
    <m/>
    <m/>
    <m/>
    <n v="0"/>
    <m/>
    <m/>
    <n v="0"/>
    <m/>
    <m/>
    <m/>
    <m/>
    <m/>
    <m/>
    <n v="792"/>
    <n v="658"/>
  </r>
  <r>
    <x v="11"/>
    <x v="8"/>
    <s v="Lottery Technology (NR)"/>
    <m/>
    <n v="218690"/>
    <x v="8"/>
    <m/>
    <m/>
    <n v="99759"/>
    <n v="92296"/>
    <m/>
    <m/>
    <m/>
    <m/>
    <n v="0"/>
    <m/>
    <m/>
    <n v="0"/>
    <n v="99759"/>
    <n v="92296"/>
    <m/>
    <m/>
    <m/>
    <m/>
    <n v="0"/>
    <m/>
    <m/>
    <n v="0"/>
    <m/>
    <m/>
    <m/>
    <m/>
    <m/>
    <m/>
    <n v="99759"/>
    <n v="92296"/>
  </r>
  <r>
    <x v="11"/>
    <x v="0"/>
    <s v="University of South Carolina-Union"/>
    <m/>
    <n v="218706"/>
    <x v="8"/>
    <n v="487317"/>
    <n v="499360"/>
    <m/>
    <m/>
    <m/>
    <m/>
    <n v="2569149"/>
    <n v="22350"/>
    <n v="2591499"/>
    <n v="2609217"/>
    <n v="0"/>
    <n v="2609217"/>
    <n v="3056466"/>
    <n v="3108577"/>
    <m/>
    <m/>
    <m/>
    <m/>
    <n v="0"/>
    <m/>
    <m/>
    <n v="0"/>
    <m/>
    <m/>
    <m/>
    <m/>
    <m/>
    <m/>
    <n v="3056466"/>
    <n v="3108577"/>
  </r>
  <r>
    <x v="11"/>
    <x v="0"/>
    <s v="Fringe Benefits"/>
    <m/>
    <n v="218706"/>
    <x v="8"/>
    <n v="121815"/>
    <n v="130463"/>
    <m/>
    <m/>
    <m/>
    <m/>
    <m/>
    <m/>
    <n v="0"/>
    <m/>
    <m/>
    <n v="0"/>
    <n v="121815"/>
    <n v="130463"/>
    <m/>
    <m/>
    <m/>
    <m/>
    <n v="0"/>
    <m/>
    <m/>
    <n v="0"/>
    <m/>
    <m/>
    <m/>
    <m/>
    <m/>
    <m/>
    <n v="121815"/>
    <n v="130463"/>
  </r>
  <r>
    <x v="11"/>
    <x v="8"/>
    <s v="Special Line items for education operations"/>
    <m/>
    <n v="218706"/>
    <x v="8"/>
    <m/>
    <m/>
    <m/>
    <m/>
    <m/>
    <m/>
    <m/>
    <m/>
    <n v="0"/>
    <m/>
    <m/>
    <n v="0"/>
    <n v="0"/>
    <n v="0"/>
    <m/>
    <m/>
    <m/>
    <m/>
    <n v="0"/>
    <m/>
    <m/>
    <n v="0"/>
    <m/>
    <m/>
    <m/>
    <m/>
    <m/>
    <m/>
    <n v="0"/>
    <n v="0"/>
  </r>
  <r>
    <x v="11"/>
    <x v="8"/>
    <s v="Deferred Maintenance (NR &amp; Lottery)"/>
    <m/>
    <n v="218706"/>
    <x v="8"/>
    <m/>
    <m/>
    <m/>
    <m/>
    <m/>
    <m/>
    <m/>
    <m/>
    <n v="0"/>
    <m/>
    <m/>
    <n v="0"/>
    <n v="0"/>
    <n v="0"/>
    <m/>
    <m/>
    <m/>
    <m/>
    <n v="0"/>
    <m/>
    <m/>
    <n v="0"/>
    <m/>
    <m/>
    <m/>
    <m/>
    <m/>
    <m/>
    <n v="0"/>
    <n v="0"/>
  </r>
  <r>
    <x v="11"/>
    <x v="8"/>
    <s v="Parity Funding"/>
    <m/>
    <n v="218706"/>
    <x v="8"/>
    <m/>
    <m/>
    <n v="59360"/>
    <n v="87723"/>
    <m/>
    <m/>
    <m/>
    <m/>
    <n v="0"/>
    <m/>
    <m/>
    <n v="0"/>
    <n v="59360"/>
    <n v="87723"/>
    <m/>
    <m/>
    <m/>
    <m/>
    <n v="0"/>
    <m/>
    <m/>
    <n v="0"/>
    <m/>
    <m/>
    <m/>
    <m/>
    <m/>
    <m/>
    <n v="59360"/>
    <n v="87723"/>
  </r>
  <r>
    <x v="11"/>
    <x v="8"/>
    <s v="Palmetto College"/>
    <m/>
    <n v="218706"/>
    <x v="8"/>
    <m/>
    <m/>
    <n v="148500"/>
    <n v="210239"/>
    <m/>
    <m/>
    <m/>
    <m/>
    <n v="0"/>
    <m/>
    <m/>
    <n v="0"/>
    <n v="148500"/>
    <n v="210239"/>
    <m/>
    <m/>
    <m/>
    <m/>
    <n v="0"/>
    <m/>
    <m/>
    <n v="0"/>
    <m/>
    <m/>
    <m/>
    <m/>
    <m/>
    <m/>
    <n v="148500"/>
    <n v="210239"/>
  </r>
  <r>
    <x v="11"/>
    <x v="8"/>
    <s v="Building Repair &amp; Maintenance (Lottery)"/>
    <m/>
    <n v="218706"/>
    <x v="8"/>
    <m/>
    <m/>
    <n v="26047"/>
    <m/>
    <m/>
    <m/>
    <m/>
    <m/>
    <n v="0"/>
    <m/>
    <m/>
    <n v="0"/>
    <n v="26047"/>
    <n v="0"/>
    <m/>
    <m/>
    <m/>
    <m/>
    <n v="0"/>
    <m/>
    <m/>
    <n v="0"/>
    <m/>
    <m/>
    <m/>
    <m/>
    <m/>
    <m/>
    <n v="26047"/>
    <n v="0"/>
  </r>
  <r>
    <x v="11"/>
    <x v="8"/>
    <s v="Critical Equip Repair &amp; Replacement(Lottery)"/>
    <m/>
    <n v="218706"/>
    <x v="8"/>
    <m/>
    <m/>
    <m/>
    <n v="7571"/>
    <m/>
    <m/>
    <m/>
    <m/>
    <n v="0"/>
    <m/>
    <m/>
    <n v="0"/>
    <n v="0"/>
    <n v="7571"/>
    <m/>
    <m/>
    <m/>
    <m/>
    <n v="0"/>
    <m/>
    <m/>
    <n v="0"/>
    <m/>
    <m/>
    <m/>
    <m/>
    <m/>
    <m/>
    <n v="0"/>
    <n v="7571"/>
  </r>
  <r>
    <x v="11"/>
    <x v="8"/>
    <s v="Academic Endowment"/>
    <m/>
    <n v="218706"/>
    <x v="8"/>
    <m/>
    <m/>
    <n v="248"/>
    <n v="239"/>
    <m/>
    <m/>
    <m/>
    <m/>
    <n v="0"/>
    <m/>
    <m/>
    <n v="0"/>
    <n v="248"/>
    <n v="239"/>
    <m/>
    <m/>
    <m/>
    <m/>
    <n v="0"/>
    <m/>
    <m/>
    <n v="0"/>
    <m/>
    <m/>
    <m/>
    <m/>
    <m/>
    <m/>
    <n v="248"/>
    <n v="239"/>
  </r>
  <r>
    <x v="11"/>
    <x v="8"/>
    <s v="Lottery Technology (NR)"/>
    <m/>
    <n v="218706"/>
    <x v="8"/>
    <m/>
    <m/>
    <n v="99759"/>
    <n v="92296"/>
    <m/>
    <m/>
    <m/>
    <m/>
    <n v="0"/>
    <m/>
    <m/>
    <n v="0"/>
    <n v="99759"/>
    <n v="92296"/>
    <m/>
    <m/>
    <m/>
    <m/>
    <n v="0"/>
    <m/>
    <m/>
    <n v="0"/>
    <m/>
    <m/>
    <m/>
    <m/>
    <m/>
    <m/>
    <n v="99759"/>
    <n v="92296"/>
  </r>
  <r>
    <x v="11"/>
    <x v="0"/>
    <s v="Willamsburg Technical College "/>
    <m/>
    <n v="218955"/>
    <x v="8"/>
    <n v="1308221"/>
    <n v="1308220"/>
    <m/>
    <m/>
    <n v="976932"/>
    <n v="1031545"/>
    <n v="2338397"/>
    <n v="0"/>
    <n v="2338397"/>
    <n v="2263860"/>
    <m/>
    <n v="2263860"/>
    <n v="4623550"/>
    <n v="4603625"/>
    <m/>
    <m/>
    <m/>
    <m/>
    <n v="0"/>
    <m/>
    <m/>
    <n v="0"/>
    <m/>
    <m/>
    <m/>
    <m/>
    <m/>
    <m/>
    <n v="4623550"/>
    <n v="4603625"/>
  </r>
  <r>
    <x v="11"/>
    <x v="0"/>
    <s v="Personnel Services"/>
    <m/>
    <n v="218955"/>
    <x v="8"/>
    <m/>
    <n v="36701"/>
    <m/>
    <m/>
    <m/>
    <m/>
    <m/>
    <m/>
    <n v="0"/>
    <m/>
    <m/>
    <n v="0"/>
    <n v="0"/>
    <n v="36701"/>
    <m/>
    <m/>
    <m/>
    <m/>
    <n v="0"/>
    <m/>
    <m/>
    <n v="0"/>
    <m/>
    <m/>
    <m/>
    <m/>
    <m/>
    <m/>
    <n v="0"/>
    <n v="36701"/>
  </r>
  <r>
    <x v="11"/>
    <x v="8"/>
    <s v="Special Line items for education operations"/>
    <m/>
    <n v="218955"/>
    <x v="8"/>
    <m/>
    <m/>
    <m/>
    <m/>
    <m/>
    <m/>
    <m/>
    <m/>
    <n v="0"/>
    <m/>
    <m/>
    <n v="0"/>
    <n v="0"/>
    <n v="0"/>
    <m/>
    <m/>
    <m/>
    <m/>
    <n v="0"/>
    <m/>
    <m/>
    <n v="0"/>
    <m/>
    <m/>
    <m/>
    <m/>
    <m/>
    <m/>
    <n v="0"/>
    <n v="0"/>
  </r>
  <r>
    <x v="11"/>
    <x v="8"/>
    <s v="Academic Endowment"/>
    <m/>
    <n v="218955"/>
    <x v="8"/>
    <m/>
    <m/>
    <n v="2"/>
    <n v="2"/>
    <m/>
    <m/>
    <m/>
    <m/>
    <n v="0"/>
    <m/>
    <m/>
    <n v="0"/>
    <n v="2"/>
    <n v="2"/>
    <m/>
    <m/>
    <m/>
    <m/>
    <n v="0"/>
    <m/>
    <m/>
    <n v="0"/>
    <m/>
    <m/>
    <m/>
    <m/>
    <m/>
    <m/>
    <n v="2"/>
    <n v="2"/>
  </r>
  <r>
    <x v="11"/>
    <x v="8"/>
    <s v="Performance Funding"/>
    <m/>
    <n v="218955"/>
    <x v="8"/>
    <m/>
    <m/>
    <n v="46669"/>
    <n v="50016"/>
    <m/>
    <m/>
    <m/>
    <m/>
    <n v="0"/>
    <m/>
    <m/>
    <n v="0"/>
    <n v="46669"/>
    <n v="50016"/>
    <m/>
    <m/>
    <m/>
    <m/>
    <n v="0"/>
    <m/>
    <m/>
    <n v="0"/>
    <m/>
    <m/>
    <m/>
    <m/>
    <m/>
    <m/>
    <n v="46669"/>
    <n v="50016"/>
  </r>
  <r>
    <x v="11"/>
    <x v="8"/>
    <s v="Critical Needs Workforce"/>
    <m/>
    <n v="218955"/>
    <x v="8"/>
    <m/>
    <m/>
    <m/>
    <n v="24440"/>
    <m/>
    <m/>
    <m/>
    <m/>
    <n v="0"/>
    <m/>
    <m/>
    <n v="0"/>
    <n v="0"/>
    <n v="24440"/>
    <m/>
    <m/>
    <m/>
    <m/>
    <n v="0"/>
    <m/>
    <m/>
    <n v="0"/>
    <m/>
    <m/>
    <m/>
    <m/>
    <m/>
    <m/>
    <n v="0"/>
    <n v="24440"/>
  </r>
  <r>
    <x v="11"/>
    <x v="8"/>
    <s v="Deferred Maintenance"/>
    <m/>
    <n v="218955"/>
    <x v="8"/>
    <m/>
    <m/>
    <m/>
    <m/>
    <m/>
    <m/>
    <m/>
    <m/>
    <n v="0"/>
    <m/>
    <m/>
    <n v="0"/>
    <n v="0"/>
    <n v="0"/>
    <m/>
    <m/>
    <m/>
    <m/>
    <n v="0"/>
    <m/>
    <m/>
    <n v="0"/>
    <m/>
    <m/>
    <m/>
    <m/>
    <m/>
    <m/>
    <n v="0"/>
    <n v="0"/>
  </r>
  <r>
    <x v="11"/>
    <x v="8"/>
    <s v="Pathways to Prosperity"/>
    <m/>
    <n v="218955"/>
    <x v="8"/>
    <m/>
    <m/>
    <n v="37785"/>
    <n v="37785"/>
    <m/>
    <m/>
    <m/>
    <m/>
    <n v="0"/>
    <m/>
    <m/>
    <n v="0"/>
    <n v="37785"/>
    <n v="37785"/>
    <m/>
    <m/>
    <m/>
    <m/>
    <n v="0"/>
    <m/>
    <m/>
    <n v="0"/>
    <m/>
    <m/>
    <m/>
    <m/>
    <m/>
    <m/>
    <n v="37785"/>
    <n v="37785"/>
  </r>
  <r>
    <x v="11"/>
    <x v="8"/>
    <s v="Lottery Technology (NR)"/>
    <m/>
    <n v="218955"/>
    <x v="8"/>
    <m/>
    <m/>
    <n v="93108"/>
    <n v="91112"/>
    <m/>
    <m/>
    <m/>
    <m/>
    <n v="0"/>
    <m/>
    <m/>
    <n v="0"/>
    <n v="93108"/>
    <n v="91112"/>
    <m/>
    <m/>
    <m/>
    <m/>
    <n v="0"/>
    <m/>
    <m/>
    <n v="0"/>
    <m/>
    <m/>
    <m/>
    <m/>
    <m/>
    <m/>
    <n v="93108"/>
    <n v="91112"/>
  </r>
  <r>
    <x v="11"/>
    <x v="8"/>
    <s v="Critical  Equip Repair &amp; Replacement(Lottery)"/>
    <m/>
    <n v="218955"/>
    <x v="8"/>
    <m/>
    <m/>
    <m/>
    <n v="24156"/>
    <m/>
    <m/>
    <m/>
    <m/>
    <n v="0"/>
    <m/>
    <m/>
    <n v="0"/>
    <n v="0"/>
    <n v="24156"/>
    <m/>
    <m/>
    <m/>
    <m/>
    <n v="0"/>
    <m/>
    <m/>
    <n v="0"/>
    <m/>
    <m/>
    <m/>
    <m/>
    <m/>
    <m/>
    <n v="0"/>
    <n v="24156"/>
  </r>
  <r>
    <x v="11"/>
    <x v="8"/>
    <s v="Facilities Management Building"/>
    <m/>
    <n v="218955"/>
    <x v="8"/>
    <m/>
    <m/>
    <m/>
    <n v="750000"/>
    <m/>
    <m/>
    <m/>
    <m/>
    <n v="0"/>
    <m/>
    <m/>
    <n v="0"/>
    <n v="0"/>
    <n v="750000"/>
    <m/>
    <m/>
    <m/>
    <m/>
    <n v="0"/>
    <m/>
    <m/>
    <n v="0"/>
    <m/>
    <m/>
    <m/>
    <m/>
    <m/>
    <m/>
    <n v="0"/>
    <n v="750000"/>
  </r>
  <r>
    <x v="11"/>
    <x v="41"/>
    <s v="Medical University of South Carolina"/>
    <m/>
    <n v="218335"/>
    <x v="11"/>
    <m/>
    <m/>
    <m/>
    <m/>
    <m/>
    <m/>
    <m/>
    <m/>
    <n v="0"/>
    <m/>
    <m/>
    <n v="0"/>
    <n v="0"/>
    <n v="0"/>
    <m/>
    <m/>
    <m/>
    <m/>
    <n v="0"/>
    <m/>
    <m/>
    <n v="0"/>
    <n v="41346426"/>
    <n v="42010738"/>
    <m/>
    <m/>
    <m/>
    <m/>
    <n v="41346426"/>
    <n v="42010738"/>
  </r>
  <r>
    <x v="11"/>
    <x v="41"/>
    <s v="Fringe Benefits"/>
    <m/>
    <n v="218335"/>
    <x v="11"/>
    <m/>
    <m/>
    <m/>
    <m/>
    <m/>
    <m/>
    <m/>
    <m/>
    <n v="0"/>
    <m/>
    <m/>
    <n v="0"/>
    <n v="0"/>
    <n v="0"/>
    <m/>
    <m/>
    <m/>
    <m/>
    <n v="0"/>
    <m/>
    <m/>
    <n v="0"/>
    <n v="13060732"/>
    <n v="14121384"/>
    <m/>
    <m/>
    <m/>
    <m/>
    <n v="13060732"/>
    <n v="14121384"/>
  </r>
  <r>
    <x v="11"/>
    <x v="41"/>
    <s v="E&amp;G Other-Operating"/>
    <m/>
    <n v="218335"/>
    <x v="11"/>
    <m/>
    <m/>
    <m/>
    <m/>
    <m/>
    <m/>
    <m/>
    <m/>
    <n v="0"/>
    <m/>
    <m/>
    <n v="0"/>
    <n v="0"/>
    <n v="0"/>
    <m/>
    <m/>
    <m/>
    <m/>
    <n v="0"/>
    <m/>
    <m/>
    <n v="0"/>
    <m/>
    <n v="900000"/>
    <m/>
    <m/>
    <m/>
    <m/>
    <n v="0"/>
    <n v="900000"/>
  </r>
  <r>
    <x v="11"/>
    <x v="8"/>
    <s v="Deferred Maintenance (NR &amp; Lottery)"/>
    <m/>
    <n v="218335"/>
    <x v="11"/>
    <m/>
    <m/>
    <m/>
    <m/>
    <m/>
    <m/>
    <m/>
    <m/>
    <n v="0"/>
    <m/>
    <m/>
    <n v="0"/>
    <n v="0"/>
    <n v="0"/>
    <m/>
    <m/>
    <m/>
    <m/>
    <n v="0"/>
    <m/>
    <m/>
    <n v="0"/>
    <m/>
    <m/>
    <m/>
    <m/>
    <m/>
    <m/>
    <n v="0"/>
    <n v="0"/>
  </r>
  <r>
    <x v="11"/>
    <x v="8"/>
    <s v="Critical EquipRepair &amp; Replacement(Lottery)"/>
    <m/>
    <n v="218335"/>
    <x v="11"/>
    <m/>
    <m/>
    <m/>
    <m/>
    <m/>
    <m/>
    <m/>
    <m/>
    <n v="0"/>
    <m/>
    <m/>
    <n v="0"/>
    <n v="0"/>
    <n v="0"/>
    <m/>
    <m/>
    <m/>
    <m/>
    <n v="0"/>
    <m/>
    <m/>
    <n v="0"/>
    <m/>
    <n v="732690"/>
    <m/>
    <m/>
    <m/>
    <m/>
    <n v="0"/>
    <n v="732690"/>
  </r>
  <r>
    <x v="11"/>
    <x v="8"/>
    <s v="Building Repair &amp; Maintenance (Lottery)"/>
    <m/>
    <n v="218335"/>
    <x v="11"/>
    <m/>
    <m/>
    <m/>
    <m/>
    <m/>
    <m/>
    <m/>
    <m/>
    <n v="0"/>
    <m/>
    <m/>
    <n v="0"/>
    <n v="0"/>
    <n v="0"/>
    <m/>
    <m/>
    <m/>
    <m/>
    <n v="0"/>
    <m/>
    <m/>
    <n v="0"/>
    <n v="2351936"/>
    <m/>
    <m/>
    <m/>
    <m/>
    <m/>
    <n v="2351936"/>
    <n v="0"/>
  </r>
  <r>
    <x v="11"/>
    <x v="41"/>
    <s v="Academic Endowment"/>
    <m/>
    <n v="218335"/>
    <x v="11"/>
    <m/>
    <m/>
    <m/>
    <m/>
    <m/>
    <m/>
    <m/>
    <m/>
    <n v="0"/>
    <m/>
    <m/>
    <n v="0"/>
    <n v="0"/>
    <n v="0"/>
    <m/>
    <m/>
    <m/>
    <m/>
    <n v="0"/>
    <m/>
    <m/>
    <n v="0"/>
    <n v="41541"/>
    <n v="41524"/>
    <m/>
    <m/>
    <m/>
    <m/>
    <n v="41541"/>
    <n v="41524"/>
  </r>
  <r>
    <x v="11"/>
    <x v="41"/>
    <s v="Hypertension Initiative"/>
    <m/>
    <n v="218335"/>
    <x v="11"/>
    <m/>
    <m/>
    <m/>
    <m/>
    <m/>
    <m/>
    <m/>
    <m/>
    <n v="0"/>
    <m/>
    <m/>
    <n v="0"/>
    <n v="0"/>
    <n v="0"/>
    <m/>
    <m/>
    <m/>
    <m/>
    <n v="0"/>
    <m/>
    <m/>
    <n v="0"/>
    <n v="240433"/>
    <n v="240433"/>
    <m/>
    <m/>
    <m/>
    <m/>
    <n v="240433"/>
    <n v="240433"/>
  </r>
  <r>
    <x v="11"/>
    <x v="41"/>
    <s v="Diabetic Center (MUSC)"/>
    <m/>
    <n v="218335"/>
    <x v="11"/>
    <m/>
    <m/>
    <m/>
    <m/>
    <m/>
    <m/>
    <m/>
    <m/>
    <n v="0"/>
    <m/>
    <m/>
    <n v="0"/>
    <n v="0"/>
    <n v="0"/>
    <m/>
    <m/>
    <m/>
    <m/>
    <n v="0"/>
    <m/>
    <m/>
    <n v="0"/>
    <n v="123470"/>
    <n v="123470"/>
    <m/>
    <m/>
    <m/>
    <m/>
    <n v="123470"/>
    <n v="123470"/>
  </r>
  <r>
    <x v="11"/>
    <x v="41"/>
    <s v="Rural Dentist Incentive(MUSC)"/>
    <m/>
    <n v="218335"/>
    <x v="11"/>
    <m/>
    <m/>
    <m/>
    <m/>
    <m/>
    <m/>
    <m/>
    <m/>
    <n v="0"/>
    <m/>
    <m/>
    <n v="0"/>
    <n v="0"/>
    <n v="0"/>
    <m/>
    <m/>
    <m/>
    <m/>
    <n v="0"/>
    <m/>
    <m/>
    <n v="0"/>
    <n v="176101"/>
    <n v="176101"/>
    <m/>
    <m/>
    <m/>
    <m/>
    <n v="176101"/>
    <n v="176101"/>
  </r>
  <r>
    <x v="11"/>
    <x v="41"/>
    <s v="Institute of Medicine"/>
    <m/>
    <n v="218335"/>
    <x v="11"/>
    <m/>
    <m/>
    <m/>
    <m/>
    <m/>
    <m/>
    <m/>
    <m/>
    <n v="0"/>
    <m/>
    <m/>
    <n v="0"/>
    <n v="0"/>
    <n v="0"/>
    <m/>
    <m/>
    <m/>
    <m/>
    <n v="0"/>
    <m/>
    <m/>
    <n v="0"/>
    <m/>
    <n v="400000"/>
    <m/>
    <m/>
    <m/>
    <m/>
    <n v="0"/>
    <n v="400000"/>
  </r>
  <r>
    <x v="11"/>
    <x v="41"/>
    <s v="Mobile Cancer Screening &amp; Early Detection"/>
    <m/>
    <n v="218335"/>
    <x v="11"/>
    <m/>
    <m/>
    <m/>
    <m/>
    <m/>
    <m/>
    <m/>
    <m/>
    <n v="0"/>
    <m/>
    <m/>
    <n v="0"/>
    <n v="0"/>
    <n v="0"/>
    <m/>
    <m/>
    <m/>
    <m/>
    <n v="0"/>
    <m/>
    <m/>
    <n v="0"/>
    <m/>
    <n v="1000000"/>
    <m/>
    <m/>
    <m/>
    <m/>
    <n v="0"/>
    <n v="1000000"/>
  </r>
  <r>
    <x v="11"/>
    <x v="41"/>
    <s v="Higher Ed Efficiency, Effectiveness &amp; Accountability Review(NR)"/>
    <m/>
    <n v="218335"/>
    <x v="11"/>
    <m/>
    <m/>
    <m/>
    <m/>
    <m/>
    <m/>
    <m/>
    <m/>
    <n v="0"/>
    <m/>
    <m/>
    <n v="0"/>
    <n v="0"/>
    <n v="0"/>
    <m/>
    <m/>
    <m/>
    <m/>
    <n v="0"/>
    <m/>
    <m/>
    <n v="0"/>
    <m/>
    <n v="352825"/>
    <m/>
    <m/>
    <m/>
    <m/>
    <n v="0"/>
    <n v="352825"/>
  </r>
  <r>
    <x v="11"/>
    <x v="41"/>
    <s v="Hospital Authority-Telemedicine"/>
    <m/>
    <n v="218335"/>
    <x v="11"/>
    <m/>
    <m/>
    <m/>
    <m/>
    <m/>
    <m/>
    <m/>
    <m/>
    <n v="0"/>
    <m/>
    <m/>
    <n v="0"/>
    <n v="0"/>
    <n v="0"/>
    <m/>
    <m/>
    <m/>
    <m/>
    <n v="0"/>
    <m/>
    <m/>
    <n v="0"/>
    <m/>
    <n v="4000000"/>
    <m/>
    <m/>
    <m/>
    <m/>
    <n v="0"/>
    <n v="4000000"/>
  </r>
  <r>
    <x v="11"/>
    <x v="41"/>
    <s v="Telemedicine"/>
    <m/>
    <n v="218335"/>
    <x v="11"/>
    <m/>
    <m/>
    <m/>
    <m/>
    <m/>
    <m/>
    <m/>
    <m/>
    <n v="0"/>
    <m/>
    <m/>
    <n v="0"/>
    <n v="0"/>
    <n v="0"/>
    <m/>
    <m/>
    <m/>
    <m/>
    <n v="0"/>
    <m/>
    <m/>
    <n v="0"/>
    <m/>
    <n v="1000000"/>
    <m/>
    <m/>
    <m/>
    <m/>
    <n v="0"/>
    <n v="1000000"/>
  </r>
  <r>
    <x v="11"/>
    <x v="41"/>
    <s v="AHEC-Administration"/>
    <m/>
    <n v="218335"/>
    <x v="11"/>
    <m/>
    <m/>
    <m/>
    <m/>
    <m/>
    <m/>
    <m/>
    <m/>
    <n v="0"/>
    <m/>
    <m/>
    <n v="0"/>
    <n v="0"/>
    <n v="0"/>
    <m/>
    <m/>
    <m/>
    <m/>
    <n v="0"/>
    <m/>
    <m/>
    <n v="0"/>
    <n v="3922744"/>
    <n v="4015584"/>
    <m/>
    <m/>
    <m/>
    <m/>
    <n v="3922744"/>
    <n v="4015584"/>
  </r>
  <r>
    <x v="11"/>
    <x v="41"/>
    <s v="AHEC-Fringe Benefits"/>
    <m/>
    <n v="218335"/>
    <x v="11"/>
    <m/>
    <m/>
    <m/>
    <m/>
    <m/>
    <m/>
    <m/>
    <m/>
    <n v="0"/>
    <m/>
    <m/>
    <n v="0"/>
    <n v="0"/>
    <n v="0"/>
    <m/>
    <m/>
    <m/>
    <m/>
    <n v="0"/>
    <m/>
    <m/>
    <n v="0"/>
    <n v="1087885"/>
    <n v="1124698"/>
    <m/>
    <m/>
    <m/>
    <m/>
    <n v="1087885"/>
    <n v="1124698"/>
  </r>
  <r>
    <x v="11"/>
    <x v="41"/>
    <s v="AHEC-Operating Expenses"/>
    <m/>
    <n v="218335"/>
    <x v="11"/>
    <m/>
    <m/>
    <m/>
    <m/>
    <m/>
    <m/>
    <m/>
    <m/>
    <n v="0"/>
    <m/>
    <m/>
    <n v="0"/>
    <n v="0"/>
    <n v="0"/>
    <m/>
    <m/>
    <m/>
    <m/>
    <n v="0"/>
    <m/>
    <m/>
    <n v="0"/>
    <n v="3692360"/>
    <n v="3692360"/>
    <m/>
    <m/>
    <m/>
    <m/>
    <n v="3692360"/>
    <n v="3692360"/>
  </r>
  <r>
    <x v="11"/>
    <x v="41"/>
    <s v="AHEC-Health Professions Students' Rural Infrastructure Prog."/>
    <m/>
    <n v="218335"/>
    <x v="11"/>
    <m/>
    <m/>
    <m/>
    <m/>
    <m/>
    <m/>
    <m/>
    <m/>
    <n v="0"/>
    <m/>
    <m/>
    <n v="0"/>
    <n v="0"/>
    <n v="0"/>
    <m/>
    <m/>
    <m/>
    <m/>
    <n v="0"/>
    <m/>
    <m/>
    <n v="0"/>
    <n v="400000"/>
    <n v="400000"/>
    <m/>
    <m/>
    <m/>
    <m/>
    <n v="400000"/>
    <n v="400000"/>
  </r>
  <r>
    <x v="11"/>
    <x v="41"/>
    <s v="AHEC-Rural Physicans Program"/>
    <m/>
    <n v="218335"/>
    <x v="11"/>
    <m/>
    <m/>
    <m/>
    <m/>
    <m/>
    <m/>
    <m/>
    <m/>
    <n v="0"/>
    <m/>
    <m/>
    <n v="0"/>
    <n v="0"/>
    <n v="0"/>
    <m/>
    <m/>
    <m/>
    <m/>
    <n v="0"/>
    <m/>
    <m/>
    <n v="0"/>
    <n v="500000"/>
    <n v="500000"/>
    <m/>
    <m/>
    <m/>
    <m/>
    <n v="500000"/>
    <n v="500000"/>
  </r>
  <r>
    <x v="11"/>
    <x v="41"/>
    <s v="AHEC-Nursing Recruitment"/>
    <m/>
    <n v="218335"/>
    <x v="11"/>
    <m/>
    <m/>
    <m/>
    <m/>
    <m/>
    <m/>
    <m/>
    <m/>
    <n v="0"/>
    <m/>
    <m/>
    <n v="0"/>
    <n v="0"/>
    <n v="0"/>
    <m/>
    <m/>
    <m/>
    <m/>
    <n v="0"/>
    <m/>
    <m/>
    <n v="0"/>
    <n v="20000"/>
    <n v="20000"/>
    <m/>
    <m/>
    <m/>
    <m/>
    <n v="20000"/>
    <n v="20000"/>
  </r>
  <r>
    <x v="11"/>
    <x v="41"/>
    <s v="Office of Healthcare Workforce &amp; Analysis Planning"/>
    <m/>
    <n v="218335"/>
    <x v="11"/>
    <m/>
    <m/>
    <m/>
    <m/>
    <m/>
    <m/>
    <m/>
    <m/>
    <n v="0"/>
    <m/>
    <m/>
    <n v="0"/>
    <n v="0"/>
    <n v="0"/>
    <m/>
    <m/>
    <m/>
    <m/>
    <n v="0"/>
    <m/>
    <m/>
    <n v="0"/>
    <n v="20000"/>
    <n v="200000"/>
    <m/>
    <m/>
    <m/>
    <m/>
    <n v="20000"/>
    <n v="200000"/>
  </r>
  <r>
    <x v="11"/>
    <x v="13"/>
    <s v="Educational special purpose funds — all other"/>
    <m/>
    <m/>
    <x v="12"/>
    <m/>
    <m/>
    <m/>
    <m/>
    <m/>
    <m/>
    <m/>
    <m/>
    <n v="0"/>
    <m/>
    <m/>
    <n v="0"/>
    <n v="0"/>
    <n v="0"/>
    <m/>
    <m/>
    <m/>
    <m/>
    <n v="0"/>
    <m/>
    <m/>
    <n v="0"/>
    <m/>
    <m/>
    <m/>
    <m/>
    <m/>
    <m/>
    <n v="0"/>
    <n v="0"/>
  </r>
  <r>
    <x v="11"/>
    <x v="13"/>
    <s v="Greenville Tech-Univ Center"/>
    <m/>
    <m/>
    <x v="12"/>
    <m/>
    <m/>
    <n v="594390"/>
    <n v="594390"/>
    <m/>
    <m/>
    <m/>
    <m/>
    <n v="0"/>
    <m/>
    <m/>
    <n v="0"/>
    <n v="594390"/>
    <n v="594390"/>
    <m/>
    <m/>
    <m/>
    <m/>
    <n v="0"/>
    <m/>
    <m/>
    <n v="0"/>
    <m/>
    <m/>
    <m/>
    <m/>
    <m/>
    <m/>
    <n v="594390"/>
    <n v="594390"/>
  </r>
  <r>
    <x v="11"/>
    <x v="13"/>
    <s v="Greenville Center Operating Cost"/>
    <m/>
    <m/>
    <x v="12"/>
    <m/>
    <m/>
    <n v="1084899"/>
    <n v="1084899"/>
    <m/>
    <m/>
    <m/>
    <m/>
    <n v="0"/>
    <m/>
    <m/>
    <n v="0"/>
    <n v="1084899"/>
    <n v="1084899"/>
    <m/>
    <m/>
    <m/>
    <m/>
    <n v="0"/>
    <m/>
    <m/>
    <n v="0"/>
    <m/>
    <m/>
    <m/>
    <m/>
    <m/>
    <m/>
    <n v="1084899"/>
    <n v="1084899"/>
  </r>
  <r>
    <x v="11"/>
    <x v="13"/>
    <s v="University Center of Greenville-Infrastructure Development(NR)"/>
    <m/>
    <m/>
    <x v="12"/>
    <m/>
    <m/>
    <n v="200000"/>
    <m/>
    <m/>
    <m/>
    <m/>
    <m/>
    <n v="0"/>
    <m/>
    <m/>
    <n v="0"/>
    <n v="200000"/>
    <n v="0"/>
    <m/>
    <m/>
    <m/>
    <m/>
    <n v="0"/>
    <m/>
    <m/>
    <n v="0"/>
    <m/>
    <m/>
    <m/>
    <m/>
    <m/>
    <m/>
    <n v="200000"/>
    <n v="0"/>
  </r>
  <r>
    <x v="11"/>
    <x v="13"/>
    <s v="Lowcountry Graduate Center"/>
    <m/>
    <m/>
    <x v="12"/>
    <m/>
    <m/>
    <n v="785099"/>
    <n v="785099"/>
    <m/>
    <m/>
    <m/>
    <m/>
    <n v="0"/>
    <m/>
    <m/>
    <n v="0"/>
    <n v="785099"/>
    <n v="785099"/>
    <m/>
    <m/>
    <m/>
    <m/>
    <n v="0"/>
    <m/>
    <m/>
    <n v="0"/>
    <m/>
    <m/>
    <m/>
    <m/>
    <m/>
    <m/>
    <n v="785099"/>
    <n v="785099"/>
  </r>
  <r>
    <x v="11"/>
    <x v="13"/>
    <s v=" National Foundation of Teaching Entrepreneurship (NFTE)"/>
    <m/>
    <m/>
    <x v="12"/>
    <m/>
    <m/>
    <n v="0"/>
    <m/>
    <m/>
    <m/>
    <m/>
    <m/>
    <n v="0"/>
    <m/>
    <m/>
    <n v="0"/>
    <n v="0"/>
    <n v="0"/>
    <m/>
    <m/>
    <m/>
    <m/>
    <n v="0"/>
    <m/>
    <m/>
    <n v="0"/>
    <m/>
    <m/>
    <m/>
    <m/>
    <m/>
    <m/>
    <n v="0"/>
    <n v="0"/>
  </r>
  <r>
    <x v="11"/>
    <x v="13"/>
    <s v="South Carolina Manufacturing Extension Program (SCMEP)"/>
    <m/>
    <m/>
    <x v="12"/>
    <m/>
    <m/>
    <n v="0"/>
    <m/>
    <m/>
    <m/>
    <m/>
    <m/>
    <n v="0"/>
    <m/>
    <m/>
    <n v="0"/>
    <n v="0"/>
    <n v="0"/>
    <m/>
    <m/>
    <m/>
    <m/>
    <n v="0"/>
    <m/>
    <m/>
    <n v="0"/>
    <m/>
    <m/>
    <m/>
    <m/>
    <m/>
    <m/>
    <n v="0"/>
    <n v="0"/>
  </r>
  <r>
    <x v="11"/>
    <x v="13"/>
    <s v="GEARUP"/>
    <m/>
    <m/>
    <x v="12"/>
    <m/>
    <m/>
    <n v="177201"/>
    <n v="177201"/>
    <m/>
    <m/>
    <m/>
    <m/>
    <n v="0"/>
    <m/>
    <m/>
    <n v="0"/>
    <n v="177201"/>
    <n v="177201"/>
    <m/>
    <m/>
    <m/>
    <m/>
    <n v="0"/>
    <m/>
    <m/>
    <n v="0"/>
    <m/>
    <m/>
    <m/>
    <m/>
    <m/>
    <m/>
    <n v="177201"/>
    <n v="177201"/>
  </r>
  <r>
    <x v="11"/>
    <x v="13"/>
    <s v="Statewide Electronic Library Supplemental"/>
    <m/>
    <m/>
    <x v="12"/>
    <m/>
    <m/>
    <n v="164289"/>
    <n v="164289"/>
    <m/>
    <m/>
    <m/>
    <m/>
    <n v="0"/>
    <m/>
    <m/>
    <n v="0"/>
    <n v="164289"/>
    <n v="164289"/>
    <m/>
    <m/>
    <m/>
    <m/>
    <n v="0"/>
    <m/>
    <m/>
    <n v="0"/>
    <m/>
    <m/>
    <m/>
    <m/>
    <m/>
    <m/>
    <n v="164289"/>
    <n v="164289"/>
  </r>
  <r>
    <x v="11"/>
    <x v="13"/>
    <s v="Experimental Program for the Stimulation of Competitive Research (EPSCOR) Constorium"/>
    <m/>
    <m/>
    <x v="12"/>
    <m/>
    <m/>
    <n v="1279330"/>
    <n v="1279330"/>
    <m/>
    <m/>
    <m/>
    <m/>
    <n v="0"/>
    <m/>
    <m/>
    <n v="0"/>
    <n v="1279330"/>
    <n v="1279330"/>
    <m/>
    <m/>
    <m/>
    <m/>
    <n v="0"/>
    <m/>
    <m/>
    <n v="0"/>
    <m/>
    <m/>
    <m/>
    <m/>
    <m/>
    <m/>
    <n v="1279330"/>
    <n v="1279330"/>
  </r>
  <r>
    <x v="11"/>
    <x v="13"/>
    <s v="Charleston Transition Connection"/>
    <m/>
    <m/>
    <x v="12"/>
    <m/>
    <m/>
    <n v="179178"/>
    <n v="179178"/>
    <m/>
    <m/>
    <m/>
    <m/>
    <n v="0"/>
    <m/>
    <m/>
    <n v="0"/>
    <n v="179178"/>
    <n v="179178"/>
    <m/>
    <m/>
    <m/>
    <m/>
    <n v="0"/>
    <m/>
    <m/>
    <n v="0"/>
    <m/>
    <m/>
    <m/>
    <m/>
    <m/>
    <m/>
    <n v="179178"/>
    <n v="179178"/>
  </r>
  <r>
    <x v="11"/>
    <x v="13"/>
    <s v="African American Loan Program"/>
    <m/>
    <m/>
    <x v="12"/>
    <m/>
    <m/>
    <n v="31376"/>
    <n v="31376"/>
    <m/>
    <m/>
    <m/>
    <m/>
    <n v="0"/>
    <m/>
    <m/>
    <n v="0"/>
    <n v="31376"/>
    <n v="31376"/>
    <m/>
    <m/>
    <m/>
    <m/>
    <n v="0"/>
    <m/>
    <m/>
    <n v="0"/>
    <m/>
    <m/>
    <m/>
    <m/>
    <m/>
    <m/>
    <n v="31376"/>
    <n v="31376"/>
  </r>
  <r>
    <x v="11"/>
    <x v="14"/>
    <s v="Statewide System Operations"/>
    <m/>
    <m/>
    <x v="12"/>
    <m/>
    <m/>
    <m/>
    <m/>
    <m/>
    <m/>
    <m/>
    <m/>
    <n v="0"/>
    <m/>
    <m/>
    <n v="0"/>
    <n v="0"/>
    <n v="0"/>
    <m/>
    <m/>
    <m/>
    <m/>
    <n v="0"/>
    <m/>
    <m/>
    <n v="0"/>
    <m/>
    <m/>
    <m/>
    <m/>
    <m/>
    <m/>
    <n v="0"/>
    <n v="0"/>
  </r>
  <r>
    <x v="11"/>
    <x v="15"/>
    <s v="Colleges and universities"/>
    <m/>
    <m/>
    <x v="12"/>
    <m/>
    <m/>
    <m/>
    <m/>
    <m/>
    <m/>
    <m/>
    <m/>
    <n v="0"/>
    <m/>
    <m/>
    <n v="0"/>
    <n v="0"/>
    <n v="0"/>
    <m/>
    <m/>
    <m/>
    <m/>
    <n v="0"/>
    <m/>
    <m/>
    <n v="0"/>
    <m/>
    <m/>
    <m/>
    <m/>
    <m/>
    <m/>
    <n v="0"/>
    <n v="0"/>
  </r>
  <r>
    <x v="11"/>
    <x v="15"/>
    <s v="SC Commission on H.Ed."/>
    <m/>
    <m/>
    <x v="12"/>
    <m/>
    <m/>
    <m/>
    <m/>
    <m/>
    <m/>
    <m/>
    <m/>
    <n v="0"/>
    <m/>
    <m/>
    <n v="0"/>
    <n v="0"/>
    <n v="0"/>
    <n v="2131281"/>
    <n v="2180389"/>
    <m/>
    <m/>
    <n v="0"/>
    <m/>
    <m/>
    <n v="0"/>
    <m/>
    <m/>
    <m/>
    <m/>
    <m/>
    <m/>
    <n v="2131281"/>
    <n v="2180389"/>
  </r>
  <r>
    <x v="11"/>
    <x v="15"/>
    <s v="Education &amp; Economic Development Act"/>
    <m/>
    <m/>
    <x v="12"/>
    <m/>
    <m/>
    <m/>
    <m/>
    <m/>
    <m/>
    <m/>
    <m/>
    <n v="0"/>
    <m/>
    <m/>
    <n v="0"/>
    <n v="0"/>
    <n v="0"/>
    <n v="1180576"/>
    <n v="1180576"/>
    <m/>
    <m/>
    <n v="0"/>
    <m/>
    <m/>
    <n v="0"/>
    <m/>
    <m/>
    <m/>
    <m/>
    <m/>
    <m/>
    <n v="1180576"/>
    <n v="1180576"/>
  </r>
  <r>
    <x v="11"/>
    <x v="15"/>
    <s v="African American Loan Program"/>
    <m/>
    <m/>
    <x v="12"/>
    <m/>
    <m/>
    <m/>
    <m/>
    <m/>
    <m/>
    <m/>
    <m/>
    <n v="0"/>
    <m/>
    <m/>
    <n v="0"/>
    <n v="0"/>
    <n v="0"/>
    <m/>
    <m/>
    <m/>
    <m/>
    <n v="0"/>
    <m/>
    <m/>
    <n v="0"/>
    <m/>
    <m/>
    <m/>
    <m/>
    <m/>
    <m/>
    <n v="0"/>
    <n v="0"/>
  </r>
  <r>
    <x v="11"/>
    <x v="15"/>
    <s v="Statewide Electronic Library-Admin"/>
    <m/>
    <m/>
    <x v="12"/>
    <m/>
    <m/>
    <m/>
    <m/>
    <m/>
    <m/>
    <m/>
    <m/>
    <n v="0"/>
    <m/>
    <m/>
    <n v="0"/>
    <n v="0"/>
    <n v="0"/>
    <m/>
    <m/>
    <m/>
    <m/>
    <n v="0"/>
    <m/>
    <m/>
    <n v="0"/>
    <m/>
    <m/>
    <m/>
    <m/>
    <m/>
    <m/>
    <n v="0"/>
    <n v="0"/>
  </r>
  <r>
    <x v="11"/>
    <x v="15"/>
    <s v="National Guard Tuition"/>
    <m/>
    <m/>
    <x v="12"/>
    <m/>
    <m/>
    <m/>
    <m/>
    <m/>
    <m/>
    <m/>
    <m/>
    <n v="0"/>
    <m/>
    <m/>
    <n v="0"/>
    <n v="0"/>
    <n v="0"/>
    <n v="89968"/>
    <n v="89968"/>
    <m/>
    <m/>
    <n v="0"/>
    <m/>
    <m/>
    <n v="0"/>
    <m/>
    <m/>
    <m/>
    <m/>
    <m/>
    <m/>
    <n v="89968"/>
    <n v="89968"/>
  </r>
  <r>
    <x v="11"/>
    <x v="15"/>
    <s v="LIFE Scholarships Admin"/>
    <m/>
    <m/>
    <x v="12"/>
    <m/>
    <m/>
    <m/>
    <m/>
    <m/>
    <m/>
    <m/>
    <m/>
    <n v="0"/>
    <m/>
    <m/>
    <n v="0"/>
    <n v="0"/>
    <n v="0"/>
    <m/>
    <m/>
    <m/>
    <m/>
    <n v="0"/>
    <m/>
    <m/>
    <n v="0"/>
    <m/>
    <m/>
    <m/>
    <m/>
    <m/>
    <m/>
    <n v="0"/>
    <n v="0"/>
  </r>
  <r>
    <x v="11"/>
    <x v="16"/>
    <s v="Two-year system(s), if any"/>
    <m/>
    <m/>
    <x v="12"/>
    <m/>
    <m/>
    <m/>
    <m/>
    <m/>
    <m/>
    <m/>
    <m/>
    <n v="0"/>
    <m/>
    <m/>
    <n v="0"/>
    <n v="0"/>
    <n v="0"/>
    <m/>
    <m/>
    <m/>
    <m/>
    <n v="0"/>
    <m/>
    <m/>
    <n v="0"/>
    <m/>
    <m/>
    <m/>
    <m/>
    <m/>
    <m/>
    <n v="0"/>
    <n v="0"/>
  </r>
  <r>
    <x v="11"/>
    <x v="16"/>
    <s v="SC Tech College System"/>
    <m/>
    <m/>
    <x v="12"/>
    <m/>
    <m/>
    <m/>
    <m/>
    <m/>
    <m/>
    <m/>
    <m/>
    <n v="0"/>
    <m/>
    <m/>
    <n v="0"/>
    <n v="0"/>
    <n v="0"/>
    <n v="3405058"/>
    <n v="2357669"/>
    <m/>
    <m/>
    <n v="0"/>
    <m/>
    <m/>
    <n v="0"/>
    <m/>
    <m/>
    <m/>
    <m/>
    <m/>
    <m/>
    <n v="3405058"/>
    <n v="2357669"/>
  </r>
  <r>
    <x v="11"/>
    <x v="16"/>
    <s v="Other Operating Expenses"/>
    <m/>
    <m/>
    <x v="12"/>
    <m/>
    <m/>
    <m/>
    <m/>
    <m/>
    <m/>
    <m/>
    <m/>
    <n v="0"/>
    <m/>
    <m/>
    <n v="0"/>
    <n v="0"/>
    <n v="0"/>
    <m/>
    <n v="1075500"/>
    <m/>
    <m/>
    <n v="0"/>
    <m/>
    <m/>
    <n v="0"/>
    <m/>
    <m/>
    <m/>
    <m/>
    <m/>
    <m/>
    <n v="0"/>
    <n v="1075500"/>
  </r>
  <r>
    <x v="11"/>
    <x v="16"/>
    <s v="SC Tech College System-Fringe Benefits"/>
    <m/>
    <m/>
    <x v="12"/>
    <m/>
    <m/>
    <m/>
    <m/>
    <m/>
    <m/>
    <m/>
    <m/>
    <n v="0"/>
    <m/>
    <m/>
    <n v="0"/>
    <n v="0"/>
    <n v="0"/>
    <n v="1935408"/>
    <n v="1775289"/>
    <m/>
    <m/>
    <n v="0"/>
    <m/>
    <m/>
    <n v="0"/>
    <m/>
    <m/>
    <m/>
    <m/>
    <m/>
    <m/>
    <n v="1935408"/>
    <n v="1775289"/>
  </r>
  <r>
    <x v="11"/>
    <x v="16"/>
    <s v="SC Tech College System Data Processing Support"/>
    <m/>
    <m/>
    <x v="12"/>
    <m/>
    <m/>
    <m/>
    <m/>
    <m/>
    <m/>
    <m/>
    <m/>
    <n v="0"/>
    <m/>
    <m/>
    <n v="0"/>
    <n v="0"/>
    <n v="0"/>
    <m/>
    <m/>
    <m/>
    <m/>
    <n v="0"/>
    <m/>
    <m/>
    <n v="0"/>
    <m/>
    <m/>
    <m/>
    <m/>
    <m/>
    <m/>
    <n v="0"/>
    <n v="0"/>
  </r>
  <r>
    <x v="11"/>
    <x v="16"/>
    <s v="Manufacturing Skills Standards Council Initiative"/>
    <m/>
    <m/>
    <x v="12"/>
    <m/>
    <m/>
    <m/>
    <m/>
    <m/>
    <m/>
    <m/>
    <m/>
    <n v="0"/>
    <m/>
    <m/>
    <n v="0"/>
    <n v="0"/>
    <n v="0"/>
    <n v="3775000"/>
    <m/>
    <m/>
    <m/>
    <n v="0"/>
    <m/>
    <m/>
    <n v="0"/>
    <m/>
    <m/>
    <m/>
    <m/>
    <m/>
    <m/>
    <n v="3775000"/>
    <n v="0"/>
  </r>
  <r>
    <x v="11"/>
    <x v="16"/>
    <s v="Innovative Technical Training"/>
    <m/>
    <m/>
    <x v="12"/>
    <m/>
    <m/>
    <m/>
    <m/>
    <m/>
    <m/>
    <m/>
    <m/>
    <n v="0"/>
    <m/>
    <m/>
    <n v="0"/>
    <n v="0"/>
    <n v="0"/>
    <m/>
    <m/>
    <m/>
    <m/>
    <n v="0"/>
    <m/>
    <m/>
    <n v="0"/>
    <m/>
    <m/>
    <m/>
    <m/>
    <m/>
    <m/>
    <n v="0"/>
    <n v="0"/>
  </r>
  <r>
    <x v="11"/>
    <x v="16"/>
    <s v="SBTCE Special Schools (Economic Development)"/>
    <m/>
    <m/>
    <x v="12"/>
    <m/>
    <m/>
    <m/>
    <m/>
    <m/>
    <m/>
    <m/>
    <m/>
    <n v="0"/>
    <m/>
    <m/>
    <n v="0"/>
    <n v="0"/>
    <n v="0"/>
    <n v="1134307"/>
    <n v="2404520"/>
    <m/>
    <m/>
    <n v="0"/>
    <m/>
    <m/>
    <n v="0"/>
    <m/>
    <m/>
    <m/>
    <m/>
    <m/>
    <m/>
    <n v="1134307"/>
    <n v="2404520"/>
  </r>
  <r>
    <x v="11"/>
    <x v="16"/>
    <s v="System Wide Programs"/>
    <m/>
    <m/>
    <x v="12"/>
    <m/>
    <m/>
    <m/>
    <m/>
    <m/>
    <m/>
    <m/>
    <m/>
    <n v="0"/>
    <m/>
    <m/>
    <n v="0"/>
    <n v="0"/>
    <n v="0"/>
    <n v="0"/>
    <n v="550058"/>
    <m/>
    <m/>
    <n v="0"/>
    <m/>
    <m/>
    <n v="0"/>
    <m/>
    <m/>
    <m/>
    <m/>
    <m/>
    <m/>
    <n v="0"/>
    <n v="550058"/>
  </r>
  <r>
    <x v="11"/>
    <x v="16"/>
    <s v="System Wide Programs(Lottery)"/>
    <m/>
    <m/>
    <x v="12"/>
    <m/>
    <m/>
    <m/>
    <m/>
    <m/>
    <m/>
    <m/>
    <m/>
    <n v="0"/>
    <m/>
    <m/>
    <n v="0"/>
    <n v="0"/>
    <n v="0"/>
    <n v="330000"/>
    <n v="330000"/>
    <m/>
    <m/>
    <n v="0"/>
    <m/>
    <m/>
    <n v="0"/>
    <m/>
    <m/>
    <m/>
    <m/>
    <m/>
    <m/>
    <n v="330000"/>
    <n v="330000"/>
  </r>
  <r>
    <x v="11"/>
    <x v="17"/>
    <s v="Other Direct Training Costs"/>
    <m/>
    <m/>
    <x v="12"/>
    <m/>
    <m/>
    <m/>
    <m/>
    <m/>
    <m/>
    <m/>
    <m/>
    <n v="0"/>
    <m/>
    <m/>
    <n v="0"/>
    <n v="0"/>
    <n v="0"/>
    <n v="1033566"/>
    <m/>
    <m/>
    <m/>
    <n v="0"/>
    <m/>
    <m/>
    <n v="0"/>
    <m/>
    <m/>
    <m/>
    <m/>
    <m/>
    <m/>
    <n v="1033566"/>
    <n v="0"/>
  </r>
  <r>
    <x v="11"/>
    <x v="16"/>
    <s v="SBTCE CATT (NR)"/>
    <m/>
    <m/>
    <x v="12"/>
    <m/>
    <m/>
    <m/>
    <m/>
    <m/>
    <m/>
    <m/>
    <m/>
    <n v="0"/>
    <m/>
    <m/>
    <n v="0"/>
    <n v="0"/>
    <n v="0"/>
    <n v="7538694"/>
    <s v=" "/>
    <m/>
    <m/>
    <n v="0"/>
    <m/>
    <m/>
    <n v="0"/>
    <m/>
    <m/>
    <m/>
    <m/>
    <m/>
    <m/>
    <n v="7538694"/>
    <n v="0"/>
  </r>
  <r>
    <x v="11"/>
    <x v="17"/>
    <s v="SBTCE CATT"/>
    <m/>
    <m/>
    <x v="12"/>
    <m/>
    <m/>
    <m/>
    <m/>
    <m/>
    <m/>
    <m/>
    <m/>
    <n v="0"/>
    <m/>
    <m/>
    <n v="0"/>
    <n v="0"/>
    <n v="0"/>
    <n v="7970379"/>
    <n v="7239253"/>
    <m/>
    <m/>
    <n v="0"/>
    <m/>
    <m/>
    <n v="0"/>
    <m/>
    <m/>
    <m/>
    <m/>
    <m/>
    <m/>
    <n v="7970379"/>
    <n v="7239253"/>
  </r>
  <r>
    <x v="11"/>
    <x v="17"/>
    <s v="National or regional associations, compacts or consortia"/>
    <m/>
    <m/>
    <x v="12"/>
    <m/>
    <m/>
    <m/>
    <m/>
    <m/>
    <m/>
    <m/>
    <m/>
    <n v="0"/>
    <m/>
    <m/>
    <n v="0"/>
    <n v="0"/>
    <n v="0"/>
    <m/>
    <m/>
    <m/>
    <m/>
    <n v="0"/>
    <m/>
    <m/>
    <n v="0"/>
    <m/>
    <m/>
    <m/>
    <m/>
    <m/>
    <m/>
    <n v="0"/>
    <n v="0"/>
  </r>
  <r>
    <x v="11"/>
    <x v="17"/>
    <s v="SREB"/>
    <m/>
    <m/>
    <x v="12"/>
    <m/>
    <m/>
    <m/>
    <m/>
    <m/>
    <m/>
    <m/>
    <m/>
    <n v="0"/>
    <m/>
    <m/>
    <n v="0"/>
    <n v="0"/>
    <n v="0"/>
    <n v="193500"/>
    <n v="193550"/>
    <m/>
    <m/>
    <n v="0"/>
    <m/>
    <m/>
    <n v="0"/>
    <m/>
    <m/>
    <m/>
    <m/>
    <m/>
    <m/>
    <n v="193500"/>
    <n v="193550"/>
  </r>
  <r>
    <x v="11"/>
    <x v="18"/>
    <s v="SREB - Technology Cooperative"/>
    <m/>
    <m/>
    <x v="12"/>
    <m/>
    <m/>
    <m/>
    <m/>
    <m/>
    <m/>
    <m/>
    <m/>
    <n v="0"/>
    <m/>
    <m/>
    <n v="0"/>
    <n v="0"/>
    <n v="0"/>
    <n v="8000"/>
    <n v="8000"/>
    <m/>
    <m/>
    <n v="0"/>
    <m/>
    <m/>
    <n v="0"/>
    <m/>
    <m/>
    <m/>
    <m/>
    <m/>
    <m/>
    <n v="8000"/>
    <n v="8000"/>
  </r>
  <r>
    <x v="11"/>
    <x v="18"/>
    <s v="Adm. of Statewide Student Aid Progs. (incldng centralized guaranteed student loans)"/>
    <m/>
    <m/>
    <x v="12"/>
    <m/>
    <m/>
    <m/>
    <m/>
    <m/>
    <m/>
    <m/>
    <m/>
    <n v="0"/>
    <m/>
    <m/>
    <n v="0"/>
    <n v="0"/>
    <n v="0"/>
    <m/>
    <m/>
    <m/>
    <m/>
    <n v="0"/>
    <m/>
    <m/>
    <n v="0"/>
    <m/>
    <m/>
    <m/>
    <m/>
    <m/>
    <m/>
    <n v="0"/>
    <n v="0"/>
  </r>
  <r>
    <x v="11"/>
    <x v="19"/>
    <s v="State Support to Private Colleges Other Than Student Aid"/>
    <m/>
    <m/>
    <x v="12"/>
    <m/>
    <m/>
    <m/>
    <m/>
    <m/>
    <m/>
    <m/>
    <m/>
    <n v="0"/>
    <m/>
    <m/>
    <n v="0"/>
    <n v="0"/>
    <n v="0"/>
    <m/>
    <m/>
    <m/>
    <m/>
    <n v="0"/>
    <m/>
    <m/>
    <n v="0"/>
    <m/>
    <m/>
    <m/>
    <m/>
    <m/>
    <m/>
    <n v="0"/>
    <n v="0"/>
  </r>
  <r>
    <x v="11"/>
    <x v="19"/>
    <s v="Higher Education Excellence Enhancement Program (Lottery)"/>
    <m/>
    <m/>
    <x v="12"/>
    <m/>
    <m/>
    <m/>
    <m/>
    <m/>
    <m/>
    <m/>
    <m/>
    <n v="0"/>
    <m/>
    <m/>
    <n v="0"/>
    <n v="0"/>
    <n v="0"/>
    <n v="3480797"/>
    <n v="3768708"/>
    <m/>
    <m/>
    <n v="0"/>
    <m/>
    <m/>
    <n v="0"/>
    <m/>
    <m/>
    <m/>
    <m/>
    <m/>
    <m/>
    <n v="3480797"/>
    <n v="3768708"/>
  </r>
  <r>
    <x v="11"/>
    <x v="19"/>
    <s v="Other Private Institutions(Lottery)"/>
    <m/>
    <m/>
    <x v="12"/>
    <m/>
    <m/>
    <m/>
    <m/>
    <m/>
    <m/>
    <m/>
    <m/>
    <n v="0"/>
    <m/>
    <m/>
    <n v="0"/>
    <n v="0"/>
    <n v="0"/>
    <s v=" "/>
    <n v="227799"/>
    <m/>
    <m/>
    <n v="0"/>
    <m/>
    <m/>
    <n v="0"/>
    <m/>
    <m/>
    <m/>
    <m/>
    <m/>
    <m/>
    <n v="0"/>
    <n v="227799"/>
  </r>
  <r>
    <x v="11"/>
    <x v="20"/>
    <s v="Contract Education Programs"/>
    <m/>
    <m/>
    <x v="12"/>
    <m/>
    <m/>
    <m/>
    <m/>
    <m/>
    <m/>
    <m/>
    <m/>
    <n v="0"/>
    <m/>
    <m/>
    <n v="0"/>
    <n v="0"/>
    <n v="0"/>
    <m/>
    <m/>
    <m/>
    <m/>
    <n v="0"/>
    <m/>
    <m/>
    <n v="0"/>
    <m/>
    <m/>
    <m/>
    <m/>
    <m/>
    <m/>
    <n v="0"/>
    <n v="0"/>
  </r>
  <r>
    <x v="11"/>
    <x v="21"/>
    <s v="SREB contract program with private colleges"/>
    <m/>
    <m/>
    <x v="12"/>
    <m/>
    <m/>
    <m/>
    <m/>
    <m/>
    <m/>
    <m/>
    <m/>
    <n v="0"/>
    <m/>
    <m/>
    <n v="0"/>
    <n v="0"/>
    <n v="0"/>
    <m/>
    <m/>
    <m/>
    <m/>
    <n v="0"/>
    <m/>
    <m/>
    <n v="0"/>
    <m/>
    <m/>
    <m/>
    <m/>
    <m/>
    <m/>
    <n v="0"/>
    <n v="0"/>
  </r>
  <r>
    <x v="11"/>
    <x v="21"/>
    <s v="Tuskegee University (Veterinary Medicine)"/>
    <m/>
    <m/>
    <x v="12"/>
    <m/>
    <m/>
    <m/>
    <m/>
    <m/>
    <m/>
    <m/>
    <m/>
    <n v="0"/>
    <m/>
    <m/>
    <n v="0"/>
    <n v="0"/>
    <n v="0"/>
    <n v="399000"/>
    <n v="443200"/>
    <m/>
    <m/>
    <n v="0"/>
    <m/>
    <m/>
    <n v="0"/>
    <m/>
    <m/>
    <m/>
    <m/>
    <m/>
    <m/>
    <n v="399000"/>
    <n v="443200"/>
  </r>
  <r>
    <x v="11"/>
    <x v="21"/>
    <s v="Southern College of Optometry"/>
    <m/>
    <m/>
    <x v="12"/>
    <m/>
    <m/>
    <m/>
    <m/>
    <m/>
    <m/>
    <m/>
    <m/>
    <n v="0"/>
    <m/>
    <m/>
    <n v="0"/>
    <n v="0"/>
    <n v="0"/>
    <n v="214200"/>
    <n v="206700"/>
    <m/>
    <m/>
    <n v="0"/>
    <m/>
    <m/>
    <n v="0"/>
    <m/>
    <m/>
    <m/>
    <m/>
    <m/>
    <m/>
    <n v="214200"/>
    <n v="206700"/>
  </r>
  <r>
    <x v="11"/>
    <x v="22"/>
    <s v="SREB contract program with public colleges"/>
    <m/>
    <m/>
    <x v="12"/>
    <m/>
    <m/>
    <m/>
    <m/>
    <m/>
    <m/>
    <m/>
    <m/>
    <n v="0"/>
    <m/>
    <m/>
    <n v="0"/>
    <n v="0"/>
    <n v="0"/>
    <m/>
    <m/>
    <m/>
    <m/>
    <n v="0"/>
    <m/>
    <m/>
    <n v="0"/>
    <m/>
    <m/>
    <m/>
    <m/>
    <m/>
    <m/>
    <n v="0"/>
    <n v="0"/>
  </r>
  <r>
    <x v="11"/>
    <x v="22"/>
    <s v="University of Alabama at Birmingham (Optometry)"/>
    <m/>
    <m/>
    <x v="12"/>
    <m/>
    <m/>
    <m/>
    <m/>
    <m/>
    <m/>
    <m/>
    <m/>
    <n v="0"/>
    <m/>
    <m/>
    <n v="0"/>
    <n v="0"/>
    <n v="0"/>
    <n v="99450"/>
    <n v="95400"/>
    <m/>
    <m/>
    <n v="0"/>
    <m/>
    <m/>
    <n v="0"/>
    <m/>
    <m/>
    <m/>
    <m/>
    <m/>
    <m/>
    <n v="99450"/>
    <n v="95400"/>
  </r>
  <r>
    <x v="11"/>
    <x v="22"/>
    <s v="University of Georgia (Veterinary Medicine)"/>
    <m/>
    <m/>
    <x v="12"/>
    <m/>
    <m/>
    <m/>
    <m/>
    <m/>
    <m/>
    <m/>
    <m/>
    <n v="0"/>
    <m/>
    <m/>
    <n v="0"/>
    <n v="0"/>
    <n v="0"/>
    <n v="1808800"/>
    <n v="1883600"/>
    <m/>
    <m/>
    <n v="0"/>
    <m/>
    <m/>
    <n v="0"/>
    <m/>
    <m/>
    <m/>
    <m/>
    <m/>
    <m/>
    <n v="1808800"/>
    <n v="1883600"/>
  </r>
  <r>
    <x v="11"/>
    <x v="22"/>
    <s v="Mississippi State University (Veterinary Medicine)"/>
    <m/>
    <m/>
    <x v="12"/>
    <m/>
    <m/>
    <m/>
    <m/>
    <m/>
    <m/>
    <m/>
    <m/>
    <n v="0"/>
    <m/>
    <m/>
    <n v="0"/>
    <n v="0"/>
    <n v="0"/>
    <n v="532000"/>
    <n v="554000"/>
    <m/>
    <m/>
    <n v="0"/>
    <m/>
    <m/>
    <n v="0"/>
    <m/>
    <m/>
    <m/>
    <m/>
    <m/>
    <m/>
    <n v="532000"/>
    <n v="554000"/>
  </r>
  <r>
    <x v="11"/>
    <x v="23"/>
    <s v="Other contract education programs"/>
    <m/>
    <m/>
    <x v="12"/>
    <m/>
    <m/>
    <m/>
    <m/>
    <m/>
    <m/>
    <m/>
    <m/>
    <n v="0"/>
    <m/>
    <m/>
    <n v="0"/>
    <n v="0"/>
    <n v="0"/>
    <m/>
    <m/>
    <m/>
    <m/>
    <n v="0"/>
    <m/>
    <m/>
    <n v="0"/>
    <m/>
    <m/>
    <m/>
    <m/>
    <m/>
    <m/>
    <n v="0"/>
    <n v="0"/>
  </r>
  <r>
    <x v="11"/>
    <x v="23"/>
    <s v="Doctoral Scholars Program"/>
    <m/>
    <m/>
    <x v="12"/>
    <m/>
    <m/>
    <m/>
    <m/>
    <m/>
    <m/>
    <m/>
    <m/>
    <n v="0"/>
    <m/>
    <m/>
    <n v="0"/>
    <n v="0"/>
    <n v="0"/>
    <n v="300000"/>
    <n v="300000"/>
    <m/>
    <m/>
    <n v="0"/>
    <m/>
    <m/>
    <n v="0"/>
    <m/>
    <m/>
    <m/>
    <m/>
    <m/>
    <m/>
    <n v="300000"/>
    <n v="300000"/>
  </r>
  <r>
    <x v="11"/>
    <x v="23"/>
    <s v="North Carolina School of the Arts"/>
    <m/>
    <m/>
    <x v="12"/>
    <m/>
    <m/>
    <m/>
    <m/>
    <m/>
    <m/>
    <m/>
    <m/>
    <n v="0"/>
    <m/>
    <m/>
    <n v="0"/>
    <n v="0"/>
    <n v="0"/>
    <n v="7177"/>
    <n v="7177"/>
    <m/>
    <m/>
    <n v="0"/>
    <m/>
    <m/>
    <n v="0"/>
    <m/>
    <m/>
    <m/>
    <m/>
    <m/>
    <m/>
    <n v="7177"/>
    <n v="7177"/>
  </r>
  <r>
    <x v="11"/>
    <x v="24"/>
    <s v="Statewide Student Financial Aid Programs Administered Off Campus"/>
    <m/>
    <m/>
    <x v="12"/>
    <m/>
    <m/>
    <m/>
    <m/>
    <m/>
    <m/>
    <m/>
    <m/>
    <n v="0"/>
    <m/>
    <m/>
    <n v="0"/>
    <n v="0"/>
    <n v="0"/>
    <m/>
    <m/>
    <m/>
    <m/>
    <n v="0"/>
    <m/>
    <m/>
    <n v="0"/>
    <m/>
    <m/>
    <m/>
    <m/>
    <m/>
    <m/>
    <n v="0"/>
    <n v="0"/>
  </r>
  <r>
    <x v="11"/>
    <x v="25"/>
    <s v="Available to public &amp; private sector students"/>
    <m/>
    <m/>
    <x v="12"/>
    <m/>
    <m/>
    <m/>
    <m/>
    <m/>
    <m/>
    <m/>
    <m/>
    <n v="0"/>
    <m/>
    <m/>
    <n v="0"/>
    <n v="0"/>
    <n v="0"/>
    <m/>
    <m/>
    <m/>
    <m/>
    <n v="0"/>
    <m/>
    <m/>
    <n v="0"/>
    <m/>
    <m/>
    <m/>
    <m/>
    <m/>
    <m/>
    <n v="0"/>
    <n v="0"/>
  </r>
  <r>
    <x v="11"/>
    <x v="25"/>
    <s v="Life Scholarships"/>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141005228.13133919"/>
    <n v="158312150"/>
    <m/>
    <m/>
    <n v="0"/>
    <m/>
    <m/>
    <n v="0"/>
    <m/>
    <m/>
    <m/>
    <m/>
    <m/>
    <m/>
    <n v="141005228.13133919"/>
    <n v="158312150"/>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29385056.868660793"/>
    <n v="33087172"/>
    <m/>
    <m/>
    <n v="0"/>
    <m/>
    <m/>
    <n v="0"/>
    <m/>
    <m/>
    <m/>
    <m/>
    <m/>
    <m/>
    <n v="29385056.868660793"/>
    <n v="33087172"/>
  </r>
  <r>
    <x v="11"/>
    <x v="25"/>
    <s v="Lottery Tuition Assistance Program"/>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48418078.441039331"/>
    <n v="48486217"/>
    <m/>
    <m/>
    <n v="0"/>
    <m/>
    <m/>
    <n v="0"/>
    <m/>
    <m/>
    <m/>
    <m/>
    <m/>
    <m/>
    <n v="48418078.441039331"/>
    <n v="48486217"/>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681921.55896067037"/>
    <n v="613783"/>
    <m/>
    <m/>
    <n v="0"/>
    <m/>
    <m/>
    <n v="0"/>
    <m/>
    <m/>
    <m/>
    <m/>
    <m/>
    <m/>
    <n v="681921.55896067037"/>
    <n v="613783"/>
  </r>
  <r>
    <x v="11"/>
    <x v="25"/>
    <s v="  Palmetto Fellows Scholarships"/>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40096810.073983558"/>
    <n v="47422028"/>
    <m/>
    <m/>
    <n v="0"/>
    <m/>
    <m/>
    <n v="0"/>
    <m/>
    <m/>
    <m/>
    <m/>
    <m/>
    <m/>
    <n v="40096810.073983558"/>
    <n v="47422028"/>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9789856.9260164462"/>
    <n v="10665570"/>
    <m/>
    <m/>
    <n v="0"/>
    <m/>
    <m/>
    <n v="0"/>
    <m/>
    <m/>
    <m/>
    <m/>
    <m/>
    <m/>
    <n v="9789856.9260164462"/>
    <n v="10665570"/>
  </r>
  <r>
    <x v="11"/>
    <x v="25"/>
    <s v="SC HOPE"/>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m/>
    <m/>
    <m/>
    <m/>
    <n v="0"/>
    <m/>
    <m/>
    <n v="0"/>
    <m/>
    <m/>
    <m/>
    <m/>
    <m/>
    <m/>
    <n v="0"/>
    <n v="0"/>
  </r>
  <r>
    <x v="11"/>
    <x v="30"/>
    <s v="Non need-based"/>
    <m/>
    <m/>
    <x v="12"/>
    <m/>
    <m/>
    <m/>
    <m/>
    <m/>
    <m/>
    <m/>
    <m/>
    <n v="0"/>
    <m/>
    <m/>
    <n v="0"/>
    <n v="0"/>
    <n v="0"/>
    <n v="5631637.8007988781"/>
    <n v="5980334"/>
    <m/>
    <m/>
    <n v="0"/>
    <m/>
    <m/>
    <n v="0"/>
    <m/>
    <m/>
    <m/>
    <m/>
    <m/>
    <m/>
    <n v="5631637.8007988781"/>
    <n v="5980334"/>
  </r>
  <r>
    <x v="11"/>
    <x v="31"/>
    <s v="Amount to private sector students"/>
    <m/>
    <m/>
    <x v="12"/>
    <m/>
    <m/>
    <m/>
    <m/>
    <m/>
    <m/>
    <m/>
    <m/>
    <n v="0"/>
    <m/>
    <m/>
    <n v="0"/>
    <n v="0"/>
    <n v="0"/>
    <m/>
    <m/>
    <m/>
    <m/>
    <n v="0"/>
    <m/>
    <m/>
    <n v="0"/>
    <m/>
    <m/>
    <m/>
    <m/>
    <m/>
    <m/>
    <n v="0"/>
    <n v="0"/>
  </r>
  <r>
    <x v="11"/>
    <x v="32"/>
    <s v="Need-based"/>
    <m/>
    <m/>
    <x v="12"/>
    <m/>
    <m/>
    <m/>
    <m/>
    <m/>
    <m/>
    <m/>
    <m/>
    <n v="0"/>
    <m/>
    <m/>
    <n v="0"/>
    <n v="0"/>
    <n v="0"/>
    <m/>
    <m/>
    <m/>
    <m/>
    <n v="0"/>
    <m/>
    <m/>
    <n v="0"/>
    <m/>
    <m/>
    <m/>
    <m/>
    <m/>
    <m/>
    <n v="0"/>
    <n v="0"/>
  </r>
  <r>
    <x v="11"/>
    <x v="33"/>
    <s v="Non need-based"/>
    <m/>
    <m/>
    <x v="12"/>
    <m/>
    <m/>
    <m/>
    <m/>
    <m/>
    <m/>
    <m/>
    <m/>
    <n v="0"/>
    <m/>
    <m/>
    <n v="0"/>
    <n v="0"/>
    <n v="0"/>
    <n v="2379945.1992011215"/>
    <n v="2727638"/>
    <m/>
    <m/>
    <n v="0"/>
    <m/>
    <m/>
    <n v="0"/>
    <m/>
    <m/>
    <m/>
    <m/>
    <m/>
    <m/>
    <n v="2379945.1992011215"/>
    <n v="2727638"/>
  </r>
  <r>
    <x v="11"/>
    <x v="25"/>
    <s v="SC Need-Based Grants"/>
    <m/>
    <m/>
    <x v="12"/>
    <m/>
    <m/>
    <m/>
    <m/>
    <m/>
    <m/>
    <m/>
    <m/>
    <n v="0"/>
    <m/>
    <m/>
    <n v="0"/>
    <n v="0"/>
    <n v="0"/>
    <m/>
    <m/>
    <m/>
    <m/>
    <n v="0"/>
    <m/>
    <m/>
    <n v="0"/>
    <m/>
    <m/>
    <m/>
    <m/>
    <m/>
    <m/>
    <n v="0"/>
    <n v="0"/>
  </r>
  <r>
    <x v="11"/>
    <x v="28"/>
    <s v="Amount to public sector students"/>
    <m/>
    <m/>
    <x v="12"/>
    <m/>
    <m/>
    <m/>
    <m/>
    <m/>
    <m/>
    <m/>
    <m/>
    <n v="0"/>
    <m/>
    <m/>
    <n v="0"/>
    <n v="0"/>
    <n v="0"/>
    <m/>
    <m/>
    <m/>
    <m/>
    <n v="0"/>
    <m/>
    <m/>
    <n v="0"/>
    <m/>
    <m/>
    <m/>
    <m/>
    <m/>
    <m/>
    <n v="0"/>
    <n v="0"/>
  </r>
  <r>
    <x v="11"/>
    <x v="29"/>
    <s v="Need-based"/>
    <m/>
    <m/>
    <x v="12"/>
    <m/>
    <m/>
    <m/>
    <m/>
    <m/>
    <m/>
    <m/>
    <m/>
    <n v="0"/>
    <m/>
    <m/>
    <n v="0"/>
    <n v="0"/>
    <n v="0"/>
    <n v="20449021.582770318"/>
    <n v="22514935"/>
    <m/>
    <m/>
    <n v="0"/>
    <m/>
    <m/>
    <n v="0"/>
    <m/>
    <m/>
    <m/>
    <m/>
    <m/>
    <m/>
    <n v="20449021.582770318"/>
    <n v="22514935"/>
  </r>
  <r>
    <x v="11"/>
    <x v="30"/>
    <s v="Non need-based"/>
    <m/>
    <m/>
    <x v="12"/>
    <m/>
    <m/>
    <m/>
    <m/>
    <m/>
    <m/>
    <m/>
    <m/>
    <n v="0"/>
    <m/>
    <m/>
    <n v="0"/>
    <n v="0"/>
    <n v="0"/>
    <m/>
    <m/>
    <m/>
    <m/>
    <n v="0"/>
    <m/>
    <m/>
    <n v="0"/>
    <m/>
    <m/>
    <m/>
    <m/>
    <m/>
    <m/>
    <n v="0"/>
    <n v="0"/>
  </r>
  <r>
    <x v="11"/>
    <x v="31"/>
    <s v="Amount to private sector students"/>
    <m/>
    <m/>
    <x v="12"/>
    <m/>
    <m/>
    <m/>
    <m/>
    <m/>
    <m/>
    <m/>
    <m/>
    <n v="0"/>
    <m/>
    <m/>
    <n v="0"/>
    <n v="0"/>
    <n v="0"/>
    <m/>
    <m/>
    <m/>
    <m/>
    <n v="0"/>
    <m/>
    <m/>
    <n v="0"/>
    <m/>
    <m/>
    <m/>
    <m/>
    <m/>
    <m/>
    <n v="0"/>
    <n v="0"/>
  </r>
  <r>
    <x v="11"/>
    <x v="32"/>
    <s v="Need-based"/>
    <m/>
    <m/>
    <x v="12"/>
    <m/>
    <m/>
    <m/>
    <m/>
    <m/>
    <m/>
    <m/>
    <m/>
    <n v="0"/>
    <m/>
    <m/>
    <n v="0"/>
    <n v="0"/>
    <n v="0"/>
    <n v="4550978.4172296831"/>
    <n v="5085065"/>
    <m/>
    <m/>
    <n v="0"/>
    <m/>
    <m/>
    <n v="0"/>
    <m/>
    <m/>
    <m/>
    <m/>
    <m/>
    <m/>
    <n v="4550978.4172296831"/>
    <n v="5085065"/>
  </r>
  <r>
    <x v="11"/>
    <x v="33"/>
    <s v="Non need-based"/>
    <m/>
    <m/>
    <x v="12"/>
    <m/>
    <m/>
    <m/>
    <m/>
    <m/>
    <m/>
    <m/>
    <m/>
    <n v="0"/>
    <m/>
    <m/>
    <n v="0"/>
    <n v="0"/>
    <n v="0"/>
    <m/>
    <m/>
    <m/>
    <m/>
    <n v="0"/>
    <m/>
    <m/>
    <n v="0"/>
    <m/>
    <m/>
    <m/>
    <m/>
    <m/>
    <m/>
    <n v="0"/>
    <n v="0"/>
  </r>
  <r>
    <x v="11"/>
    <x v="25"/>
    <s v="National Guard College Assistance Program"/>
    <m/>
    <m/>
    <x v="12"/>
    <m/>
    <m/>
    <m/>
    <m/>
    <m/>
    <m/>
    <m/>
    <m/>
    <n v="0"/>
    <m/>
    <m/>
    <n v="0"/>
    <n v="0"/>
    <n v="0"/>
    <m/>
    <m/>
    <m/>
    <m/>
    <n v="0"/>
    <m/>
    <m/>
    <n v="0"/>
    <m/>
    <m/>
    <m/>
    <m/>
    <m/>
    <m/>
    <n v="0"/>
    <n v="0"/>
  </r>
  <r>
    <x v="11"/>
    <x v="26"/>
    <s v="Need-based"/>
    <m/>
    <m/>
    <x v="12"/>
    <m/>
    <m/>
    <m/>
    <m/>
    <m/>
    <m/>
    <m/>
    <m/>
    <n v="0"/>
    <m/>
    <m/>
    <n v="0"/>
    <n v="0"/>
    <n v="0"/>
    <m/>
    <m/>
    <m/>
    <m/>
    <n v="0"/>
    <m/>
    <m/>
    <n v="0"/>
    <m/>
    <m/>
    <m/>
    <m/>
    <m/>
    <m/>
    <n v="0"/>
    <n v="0"/>
  </r>
  <r>
    <x v="11"/>
    <x v="27"/>
    <s v="Non need-based"/>
    <m/>
    <m/>
    <x v="12"/>
    <m/>
    <m/>
    <m/>
    <m/>
    <m/>
    <m/>
    <m/>
    <m/>
    <n v="0"/>
    <m/>
    <m/>
    <n v="0"/>
    <n v="0"/>
    <n v="0"/>
    <n v="4545000"/>
    <n v="4545000"/>
    <m/>
    <m/>
    <n v="0"/>
    <m/>
    <m/>
    <n v="0"/>
    <m/>
    <m/>
    <m/>
    <m/>
    <m/>
    <m/>
    <n v="4545000"/>
    <n v="4545000"/>
  </r>
  <r>
    <x v="11"/>
    <x v="34"/>
    <s v="Limited to public college students"/>
    <m/>
    <m/>
    <x v="12"/>
    <m/>
    <m/>
    <m/>
    <m/>
    <m/>
    <m/>
    <m/>
    <m/>
    <n v="0"/>
    <m/>
    <m/>
    <n v="0"/>
    <n v="0"/>
    <n v="0"/>
    <m/>
    <m/>
    <m/>
    <m/>
    <n v="0"/>
    <m/>
    <m/>
    <n v="0"/>
    <m/>
    <m/>
    <m/>
    <m/>
    <m/>
    <m/>
    <n v="0"/>
    <n v="0"/>
  </r>
  <r>
    <x v="11"/>
    <x v="37"/>
    <s v="Limited to private college students"/>
    <m/>
    <m/>
    <x v="12"/>
    <m/>
    <m/>
    <m/>
    <m/>
    <m/>
    <m/>
    <m/>
    <m/>
    <n v="0"/>
    <m/>
    <m/>
    <n v="0"/>
    <n v="0"/>
    <n v="0"/>
    <m/>
    <m/>
    <m/>
    <m/>
    <n v="0"/>
    <m/>
    <m/>
    <n v="0"/>
    <m/>
    <m/>
    <m/>
    <m/>
    <m/>
    <m/>
    <n v="0"/>
    <n v="0"/>
  </r>
  <r>
    <x v="11"/>
    <x v="37"/>
    <s v="S.C. Tuition Grants"/>
    <m/>
    <m/>
    <x v="12"/>
    <m/>
    <m/>
    <m/>
    <m/>
    <m/>
    <m/>
    <m/>
    <m/>
    <n v="0"/>
    <m/>
    <m/>
    <n v="0"/>
    <n v="0"/>
    <n v="0"/>
    <m/>
    <m/>
    <m/>
    <m/>
    <n v="0"/>
    <m/>
    <m/>
    <n v="0"/>
    <m/>
    <m/>
    <m/>
    <m/>
    <m/>
    <m/>
    <n v="0"/>
    <n v="0"/>
  </r>
  <r>
    <x v="11"/>
    <x v="38"/>
    <s v="Need-based"/>
    <m/>
    <m/>
    <x v="12"/>
    <m/>
    <m/>
    <m/>
    <m/>
    <m/>
    <m/>
    <m/>
    <m/>
    <n v="0"/>
    <m/>
    <m/>
    <n v="0"/>
    <n v="0"/>
    <n v="0"/>
    <n v="31288622"/>
    <n v="31547386"/>
    <m/>
    <m/>
    <n v="0"/>
    <m/>
    <m/>
    <n v="0"/>
    <m/>
    <m/>
    <m/>
    <m/>
    <m/>
    <m/>
    <n v="31288622"/>
    <n v="31547386"/>
  </r>
  <r>
    <x v="11"/>
    <x v="39"/>
    <s v="Non need-based"/>
    <m/>
    <m/>
    <x v="12"/>
    <m/>
    <m/>
    <m/>
    <m/>
    <m/>
    <m/>
    <m/>
    <m/>
    <n v="0"/>
    <m/>
    <m/>
    <n v="0"/>
    <n v="0"/>
    <n v="0"/>
    <m/>
    <m/>
    <m/>
    <m/>
    <n v="0"/>
    <m/>
    <m/>
    <n v="0"/>
    <m/>
    <m/>
    <m/>
    <m/>
    <m/>
    <m/>
    <n v="0"/>
    <n v="0"/>
  </r>
  <r>
    <x v="12"/>
    <x v="0"/>
    <s v="University of Memphis"/>
    <m/>
    <n v="220862"/>
    <x v="0"/>
    <n v="100079647"/>
    <n v="97238318"/>
    <m/>
    <m/>
    <m/>
    <m/>
    <n v="161375900"/>
    <n v="3658000"/>
    <n v="165033900"/>
    <n v="156009950"/>
    <n v="8305000"/>
    <n v="164314950"/>
    <n v="261455547"/>
    <n v="253248268"/>
    <m/>
    <m/>
    <m/>
    <m/>
    <n v="0"/>
    <m/>
    <m/>
    <n v="0"/>
    <m/>
    <m/>
    <m/>
    <m/>
    <m/>
    <m/>
    <n v="261455547"/>
    <n v="253248268"/>
  </r>
  <r>
    <x v="12"/>
    <x v="0"/>
    <s v="University of Tennessee, Knoxville"/>
    <m/>
    <n v="221759"/>
    <x v="0"/>
    <n v="183530942.87731534"/>
    <n v="188251386.04415557"/>
    <m/>
    <m/>
    <m/>
    <m/>
    <n v="271563300"/>
    <n v="1100000"/>
    <n v="272663300"/>
    <n v="290285693"/>
    <n v="1100000"/>
    <n v="291385693"/>
    <n v="455094242.87731534"/>
    <n v="478537079.0441556"/>
    <m/>
    <m/>
    <m/>
    <m/>
    <n v="0"/>
    <m/>
    <m/>
    <n v="0"/>
    <m/>
    <m/>
    <m/>
    <m/>
    <m/>
    <m/>
    <n v="455094242.87731534"/>
    <n v="478537079.0441556"/>
  </r>
  <r>
    <x v="12"/>
    <x v="3"/>
    <s v="Community/Public Service Units"/>
    <m/>
    <n v="221759"/>
    <x v="0"/>
    <m/>
    <m/>
    <m/>
    <m/>
    <m/>
    <m/>
    <m/>
    <m/>
    <n v="0"/>
    <m/>
    <m/>
    <n v="0"/>
    <n v="0"/>
    <n v="0"/>
    <m/>
    <m/>
    <m/>
    <m/>
    <n v="0"/>
    <m/>
    <m/>
    <n v="0"/>
    <m/>
    <m/>
    <m/>
    <m/>
    <m/>
    <m/>
    <n v="0"/>
    <n v="0"/>
  </r>
  <r>
    <x v="12"/>
    <x v="3"/>
    <s v="Municipal Technology Advisory Service"/>
    <m/>
    <n v="221759"/>
    <x v="0"/>
    <m/>
    <m/>
    <n v="2892013"/>
    <n v="2903313"/>
    <m/>
    <m/>
    <n v="0"/>
    <n v="0"/>
    <n v="0"/>
    <n v="0"/>
    <n v="0"/>
    <n v="0"/>
    <n v="2892013"/>
    <n v="2903313"/>
    <m/>
    <m/>
    <m/>
    <m/>
    <n v="0"/>
    <m/>
    <m/>
    <n v="0"/>
    <m/>
    <m/>
    <m/>
    <m/>
    <m/>
    <m/>
    <n v="2892013"/>
    <n v="2903313"/>
  </r>
  <r>
    <x v="12"/>
    <x v="3"/>
    <s v="County Technology Advisory Service"/>
    <m/>
    <n v="221759"/>
    <x v="0"/>
    <m/>
    <m/>
    <n v="1758013"/>
    <n v="1767913"/>
    <m/>
    <m/>
    <n v="0"/>
    <n v="0"/>
    <n v="0"/>
    <n v="0"/>
    <n v="0"/>
    <n v="0"/>
    <n v="1758013"/>
    <n v="1767913"/>
    <m/>
    <m/>
    <m/>
    <m/>
    <n v="0"/>
    <m/>
    <m/>
    <n v="0"/>
    <m/>
    <m/>
    <m/>
    <m/>
    <m/>
    <m/>
    <n v="1758013"/>
    <n v="1767913"/>
  </r>
  <r>
    <x v="12"/>
    <x v="3"/>
    <s v="Institute for Public Service"/>
    <m/>
    <n v="221759"/>
    <x v="0"/>
    <m/>
    <m/>
    <n v="5249898"/>
    <n v="5265298"/>
    <m/>
    <m/>
    <n v="0"/>
    <n v="0"/>
    <n v="0"/>
    <n v="0"/>
    <n v="0"/>
    <n v="0"/>
    <n v="5249898"/>
    <n v="5265298"/>
    <m/>
    <m/>
    <m/>
    <m/>
    <n v="0"/>
    <m/>
    <m/>
    <n v="0"/>
    <m/>
    <m/>
    <m/>
    <m/>
    <m/>
    <m/>
    <n v="5249898"/>
    <n v="5265298"/>
  </r>
  <r>
    <x v="12"/>
    <x v="5"/>
    <s v="Agricultural cooperative extension"/>
    <m/>
    <n v="221759"/>
    <x v="0"/>
    <m/>
    <m/>
    <n v="30987767"/>
    <n v="31195267"/>
    <m/>
    <m/>
    <n v="0"/>
    <n v="0"/>
    <n v="0"/>
    <n v="0"/>
    <n v="0"/>
    <n v="0"/>
    <n v="30987767"/>
    <n v="31195267"/>
    <m/>
    <m/>
    <m/>
    <m/>
    <n v="0"/>
    <m/>
    <m/>
    <n v="0"/>
    <m/>
    <m/>
    <m/>
    <m/>
    <m/>
    <m/>
    <n v="30987767"/>
    <n v="31195267"/>
  </r>
  <r>
    <x v="12"/>
    <x v="6"/>
    <s v="Agricultural experiment stations"/>
    <m/>
    <n v="221759"/>
    <x v="0"/>
    <m/>
    <m/>
    <n v="25579486"/>
    <n v="25698486"/>
    <m/>
    <m/>
    <n v="0"/>
    <n v="0"/>
    <n v="0"/>
    <n v="0"/>
    <n v="0"/>
    <n v="0"/>
    <n v="25579486"/>
    <n v="25698486"/>
    <m/>
    <m/>
    <m/>
    <m/>
    <n v="0"/>
    <m/>
    <m/>
    <n v="0"/>
    <m/>
    <m/>
    <m/>
    <m/>
    <m/>
    <m/>
    <n v="25579486"/>
    <n v="25698486"/>
  </r>
  <r>
    <x v="12"/>
    <x v="0"/>
    <s v="Tennessee State University "/>
    <m/>
    <n v="221838"/>
    <x v="1"/>
    <n v="36031535"/>
    <n v="35316164.799999997"/>
    <m/>
    <m/>
    <m/>
    <m/>
    <n v="69406700"/>
    <n v="1537500"/>
    <n v="70944200"/>
    <n v="77231800"/>
    <n v="1552900"/>
    <n v="78784700"/>
    <n v="105438235"/>
    <n v="112547964.8"/>
    <m/>
    <m/>
    <m/>
    <m/>
    <n v="0"/>
    <m/>
    <m/>
    <n v="0"/>
    <m/>
    <m/>
    <m/>
    <m/>
    <m/>
    <m/>
    <n v="105438235"/>
    <n v="112547964.8"/>
  </r>
  <r>
    <x v="12"/>
    <x v="5"/>
    <s v="Agricultural experiment stations"/>
    <m/>
    <n v="221838"/>
    <x v="1"/>
    <m/>
    <m/>
    <m/>
    <m/>
    <m/>
    <m/>
    <m/>
    <m/>
    <n v="0"/>
    <m/>
    <m/>
    <n v="0"/>
    <n v="0"/>
    <n v="0"/>
    <m/>
    <m/>
    <m/>
    <m/>
    <n v="0"/>
    <m/>
    <m/>
    <n v="0"/>
    <m/>
    <m/>
    <m/>
    <m/>
    <m/>
    <m/>
    <n v="0"/>
    <n v="0"/>
  </r>
  <r>
    <x v="12"/>
    <x v="5"/>
    <s v="McMinnville Center Station"/>
    <m/>
    <n v="221838"/>
    <x v="1"/>
    <m/>
    <m/>
    <n v="560700"/>
    <n v="560700"/>
    <m/>
    <m/>
    <n v="0"/>
    <n v="0"/>
    <n v="0"/>
    <n v="0"/>
    <n v="0"/>
    <n v="0"/>
    <n v="560700"/>
    <n v="560700"/>
    <m/>
    <m/>
    <m/>
    <m/>
    <n v="0"/>
    <m/>
    <m/>
    <n v="0"/>
    <m/>
    <m/>
    <m/>
    <m/>
    <m/>
    <m/>
    <n v="560700"/>
    <n v="560700"/>
  </r>
  <r>
    <x v="12"/>
    <x v="5"/>
    <s v="TSU Institute of Agr and Environmental Research"/>
    <m/>
    <n v="221838"/>
    <x v="1"/>
    <m/>
    <m/>
    <n v="2280500"/>
    <n v="2278500"/>
    <m/>
    <m/>
    <n v="0"/>
    <n v="0"/>
    <n v="0"/>
    <n v="0"/>
    <n v="0"/>
    <n v="0"/>
    <n v="2280500"/>
    <n v="2278500"/>
    <m/>
    <m/>
    <m/>
    <m/>
    <n v="0"/>
    <m/>
    <m/>
    <n v="0"/>
    <m/>
    <m/>
    <m/>
    <m/>
    <m/>
    <m/>
    <n v="2280500"/>
    <n v="2278500"/>
  </r>
  <r>
    <x v="12"/>
    <x v="5"/>
    <s v="TSU Cooperative Education"/>
    <m/>
    <n v="221838"/>
    <x v="1"/>
    <m/>
    <m/>
    <n v="3110400"/>
    <n v="3108900"/>
    <m/>
    <m/>
    <n v="0"/>
    <n v="0"/>
    <n v="0"/>
    <n v="0"/>
    <n v="0"/>
    <n v="0"/>
    <n v="3110400"/>
    <n v="3108900"/>
    <m/>
    <m/>
    <m/>
    <m/>
    <n v="0"/>
    <m/>
    <m/>
    <n v="0"/>
    <m/>
    <m/>
    <m/>
    <m/>
    <m/>
    <m/>
    <n v="3110400"/>
    <n v="3108900"/>
  </r>
  <r>
    <x v="12"/>
    <x v="5"/>
    <s v="TSU McIntire-Stennis Forestry Research"/>
    <m/>
    <n v="221838"/>
    <x v="1"/>
    <m/>
    <m/>
    <n v="179400"/>
    <n v="179400"/>
    <m/>
    <m/>
    <n v="0"/>
    <n v="0"/>
    <n v="0"/>
    <n v="0"/>
    <n v="0"/>
    <n v="0"/>
    <n v="179400"/>
    <n v="179400"/>
    <m/>
    <m/>
    <m/>
    <m/>
    <n v="0"/>
    <m/>
    <m/>
    <n v="0"/>
    <m/>
    <m/>
    <m/>
    <m/>
    <m/>
    <m/>
    <n v="179400"/>
    <n v="179400"/>
  </r>
  <r>
    <x v="12"/>
    <x v="0"/>
    <s v="Austin Peay State University "/>
    <m/>
    <n v="219602"/>
    <x v="2"/>
    <n v="34495044.329999998"/>
    <n v="35681529"/>
    <m/>
    <m/>
    <m/>
    <m/>
    <n v="63726600"/>
    <n v="2370800"/>
    <n v="66097400"/>
    <n v="64609000"/>
    <n v="2269600"/>
    <n v="66878600"/>
    <n v="98221644.329999998"/>
    <n v="100290529"/>
    <m/>
    <m/>
    <m/>
    <m/>
    <n v="0"/>
    <m/>
    <m/>
    <n v="0"/>
    <m/>
    <m/>
    <m/>
    <m/>
    <m/>
    <m/>
    <n v="98221644.329999998"/>
    <n v="100290529"/>
  </r>
  <r>
    <x v="12"/>
    <x v="0"/>
    <s v="East Tennessee State University "/>
    <s v="Met the criteria for Four-Year 2 in 2013-14 and 2014-15."/>
    <n v="220075"/>
    <x v="2"/>
    <n v="50382270.659999996"/>
    <n v="49822847"/>
    <m/>
    <m/>
    <m/>
    <m/>
    <n v="100945380"/>
    <n v="2641000"/>
    <n v="103586380"/>
    <n v="106101350"/>
    <n v="2587800"/>
    <n v="108689150"/>
    <n v="151327650.66"/>
    <n v="155924197"/>
    <m/>
    <m/>
    <m/>
    <m/>
    <n v="0"/>
    <m/>
    <m/>
    <n v="0"/>
    <m/>
    <m/>
    <m/>
    <m/>
    <m/>
    <m/>
    <n v="151327650.66"/>
    <n v="155924197"/>
  </r>
  <r>
    <x v="12"/>
    <x v="1"/>
    <s v="Medical School"/>
    <m/>
    <n v="220075"/>
    <x v="2"/>
    <m/>
    <m/>
    <m/>
    <m/>
    <m/>
    <m/>
    <m/>
    <m/>
    <n v="0"/>
    <m/>
    <m/>
    <n v="0"/>
    <n v="0"/>
    <n v="0"/>
    <m/>
    <m/>
    <m/>
    <m/>
    <n v="0"/>
    <m/>
    <m/>
    <n v="0"/>
    <n v="35236200"/>
    <n v="35304100"/>
    <n v="19499200"/>
    <n v="164600"/>
    <n v="19811300"/>
    <n v="147300"/>
    <n v="54735400"/>
    <n v="55115400"/>
  </r>
  <r>
    <x v="12"/>
    <x v="0"/>
    <s v="Middle Tennessee State University "/>
    <m/>
    <n v="220978"/>
    <x v="2"/>
    <n v="83052580"/>
    <n v="85047215"/>
    <m/>
    <m/>
    <m/>
    <m/>
    <n v="160637379"/>
    <n v="8700000"/>
    <n v="169337379"/>
    <n v="160549122"/>
    <n v="8378400"/>
    <n v="168927522"/>
    <n v="243689959"/>
    <n v="245596337"/>
    <m/>
    <m/>
    <m/>
    <m/>
    <n v="0"/>
    <m/>
    <m/>
    <n v="0"/>
    <m/>
    <m/>
    <m/>
    <m/>
    <m/>
    <m/>
    <n v="243689959"/>
    <n v="245596337"/>
  </r>
  <r>
    <x v="12"/>
    <x v="0"/>
    <s v="Tennessee Technological University "/>
    <m/>
    <n v="221847"/>
    <x v="2"/>
    <n v="43912465"/>
    <n v="42509040"/>
    <m/>
    <m/>
    <m/>
    <m/>
    <n v="80670620"/>
    <n v="587000"/>
    <n v="81257620"/>
    <n v="90506800"/>
    <n v="1613700"/>
    <n v="92120500"/>
    <n v="124583085"/>
    <n v="133015840"/>
    <m/>
    <m/>
    <m/>
    <m/>
    <n v="0"/>
    <m/>
    <m/>
    <n v="0"/>
    <m/>
    <m/>
    <m/>
    <m/>
    <m/>
    <m/>
    <n v="124583085"/>
    <n v="133015840"/>
  </r>
  <r>
    <x v="12"/>
    <x v="0"/>
    <s v="University of Tennessee at Chattanooga"/>
    <m/>
    <n v="221740"/>
    <x v="2"/>
    <n v="38681641.691104561"/>
    <n v="39686595.586178131"/>
    <m/>
    <m/>
    <m/>
    <m/>
    <n v="74434353"/>
    <n v="3000000"/>
    <n v="77434353"/>
    <n v="80140908"/>
    <n v="3000000"/>
    <n v="83140908"/>
    <n v="113115994.69110456"/>
    <n v="119827503.58617812"/>
    <m/>
    <m/>
    <m/>
    <m/>
    <n v="0"/>
    <m/>
    <m/>
    <n v="0"/>
    <m/>
    <m/>
    <m/>
    <m/>
    <m/>
    <m/>
    <n v="113115994.69110456"/>
    <n v="119827503.58617812"/>
  </r>
  <r>
    <x v="12"/>
    <x v="0"/>
    <s v="University of Tennessee at Martin"/>
    <m/>
    <n v="221768"/>
    <x v="4"/>
    <n v="26780564.698208787"/>
    <n v="27467642.664461784"/>
    <m/>
    <m/>
    <m/>
    <m/>
    <n v="52866500"/>
    <n v="2500000"/>
    <n v="55366500"/>
    <n v="54584186"/>
    <n v="2500000"/>
    <n v="57084186"/>
    <n v="79647064.698208779"/>
    <n v="82051828.664461792"/>
    <m/>
    <m/>
    <m/>
    <m/>
    <n v="0"/>
    <m/>
    <m/>
    <n v="0"/>
    <m/>
    <m/>
    <m/>
    <m/>
    <m/>
    <m/>
    <n v="79647064.698208779"/>
    <n v="82051828.664461792"/>
  </r>
  <r>
    <x v="12"/>
    <x v="0"/>
    <s v="Chattanooga State Technical Community College "/>
    <m/>
    <n v="219824"/>
    <x v="6"/>
    <n v="27016809.209693097"/>
    <n v="26378631"/>
    <m/>
    <m/>
    <m/>
    <m/>
    <n v="30475000"/>
    <n v="0"/>
    <n v="30475000"/>
    <n v="29450000"/>
    <n v="0"/>
    <n v="29450000"/>
    <n v="57491809.209693097"/>
    <n v="55828631"/>
    <m/>
    <m/>
    <m/>
    <m/>
    <n v="0"/>
    <m/>
    <m/>
    <n v="0"/>
    <m/>
    <m/>
    <m/>
    <m/>
    <m/>
    <m/>
    <n v="57491809.209693097"/>
    <n v="55828631"/>
  </r>
  <r>
    <x v="12"/>
    <x v="0"/>
    <s v="Nashville State Technical Community College"/>
    <m/>
    <n v="221184"/>
    <x v="6"/>
    <n v="16231044.744341064"/>
    <n v="16100004"/>
    <m/>
    <m/>
    <m/>
    <m/>
    <n v="27606600"/>
    <n v="0"/>
    <n v="27606600"/>
    <n v="27640860"/>
    <n v="0"/>
    <n v="27640860"/>
    <n v="43837644.744341061"/>
    <n v="43740864"/>
    <m/>
    <m/>
    <m/>
    <m/>
    <n v="0"/>
    <m/>
    <m/>
    <n v="0"/>
    <m/>
    <m/>
    <m/>
    <m/>
    <m/>
    <m/>
    <n v="43837644.744341061"/>
    <n v="43740864"/>
  </r>
  <r>
    <x v="12"/>
    <x v="0"/>
    <s v="Pellissippi State Technical Community College"/>
    <m/>
    <n v="221643"/>
    <x v="6"/>
    <n v="23198377.195389528"/>
    <n v="23688940"/>
    <m/>
    <m/>
    <m/>
    <m/>
    <n v="33250000"/>
    <n v="330000"/>
    <n v="33580000"/>
    <n v="34035000"/>
    <n v="310000"/>
    <n v="34345000"/>
    <n v="56448377.195389524"/>
    <n v="57723940"/>
    <m/>
    <m/>
    <m/>
    <m/>
    <n v="0"/>
    <m/>
    <m/>
    <n v="0"/>
    <m/>
    <m/>
    <m/>
    <m/>
    <m/>
    <m/>
    <n v="56448377.195389524"/>
    <n v="57723940"/>
  </r>
  <r>
    <x v="12"/>
    <x v="0"/>
    <s v="Southwest Tennessee Community College"/>
    <m/>
    <n v="221485"/>
    <x v="6"/>
    <n v="28442513.386474099"/>
    <n v="25210496"/>
    <m/>
    <m/>
    <m/>
    <m/>
    <n v="35031400"/>
    <n v="0"/>
    <n v="35031400"/>
    <n v="31923000"/>
    <n v="0"/>
    <n v="31923000"/>
    <n v="63473913.386474103"/>
    <n v="57133496"/>
    <m/>
    <m/>
    <m/>
    <m/>
    <n v="0"/>
    <m/>
    <m/>
    <n v="0"/>
    <m/>
    <m/>
    <m/>
    <m/>
    <m/>
    <m/>
    <n v="63473913.386474103"/>
    <n v="57133496"/>
  </r>
  <r>
    <x v="12"/>
    <x v="0"/>
    <s v="Volunteer State Community College "/>
    <m/>
    <n v="222053"/>
    <x v="6"/>
    <n v="16423090.356894875"/>
    <n v="16501160"/>
    <m/>
    <m/>
    <m/>
    <m/>
    <n v="23862800"/>
    <n v="0"/>
    <n v="23862800"/>
    <n v="24399700"/>
    <n v="0"/>
    <n v="24399700"/>
    <n v="40285890.356894873"/>
    <n v="40900860"/>
    <m/>
    <m/>
    <m/>
    <m/>
    <n v="0"/>
    <m/>
    <m/>
    <n v="0"/>
    <m/>
    <m/>
    <m/>
    <m/>
    <m/>
    <m/>
    <n v="40285890.356894873"/>
    <n v="40900860"/>
  </r>
  <r>
    <x v="12"/>
    <x v="0"/>
    <s v="Cleveland State Community College "/>
    <m/>
    <n v="219879"/>
    <x v="7"/>
    <n v="9259459.8889043182"/>
    <n v="9023560"/>
    <m/>
    <m/>
    <m/>
    <m/>
    <n v="11253000"/>
    <n v="0"/>
    <n v="11253000"/>
    <n v="10401800"/>
    <n v="0"/>
    <n v="10401800"/>
    <n v="20512459.888904318"/>
    <n v="19425360"/>
    <m/>
    <m/>
    <m/>
    <m/>
    <n v="0"/>
    <m/>
    <m/>
    <n v="0"/>
    <m/>
    <m/>
    <m/>
    <m/>
    <m/>
    <m/>
    <n v="20512459.888904318"/>
    <n v="19425360"/>
  </r>
  <r>
    <x v="12"/>
    <x v="0"/>
    <s v="Columbia State Community College "/>
    <m/>
    <n v="219888"/>
    <x v="7"/>
    <n v="12717070.659630606"/>
    <n v="12602340"/>
    <m/>
    <m/>
    <m/>
    <m/>
    <n v="13997000"/>
    <n v="0"/>
    <n v="13997000"/>
    <n v="14230000"/>
    <n v="0"/>
    <n v="14230000"/>
    <n v="26714070.659630604"/>
    <n v="26832340"/>
    <m/>
    <m/>
    <m/>
    <m/>
    <n v="0"/>
    <m/>
    <m/>
    <n v="0"/>
    <m/>
    <m/>
    <m/>
    <m/>
    <m/>
    <m/>
    <n v="26714070.659630604"/>
    <n v="26832340"/>
  </r>
  <r>
    <x v="12"/>
    <x v="0"/>
    <s v="Dyersburg State Community College "/>
    <s v="Met the criteria for Two-Year 3 in 2014-15."/>
    <n v="220057"/>
    <x v="7"/>
    <n v="7480695.2398278015"/>
    <n v="7500780"/>
    <m/>
    <m/>
    <m/>
    <m/>
    <n v="8113300"/>
    <n v="0"/>
    <n v="8113300"/>
    <n v="7824000"/>
    <n v="0"/>
    <n v="7824000"/>
    <n v="15593995.239827801"/>
    <n v="15324780"/>
    <m/>
    <m/>
    <m/>
    <m/>
    <n v="0"/>
    <m/>
    <m/>
    <n v="0"/>
    <m/>
    <m/>
    <m/>
    <m/>
    <m/>
    <m/>
    <n v="15593995.239827801"/>
    <n v="15324780"/>
  </r>
  <r>
    <x v="12"/>
    <x v="0"/>
    <s v="Jackson State Community College "/>
    <m/>
    <n v="220400"/>
    <x v="7"/>
    <n v="11748943.921677545"/>
    <n v="11326080"/>
    <m/>
    <m/>
    <m/>
    <m/>
    <n v="13620600"/>
    <n v="0"/>
    <n v="13620600"/>
    <n v="14052200"/>
    <n v="0"/>
    <n v="14052200"/>
    <n v="25369543.921677545"/>
    <n v="25378280"/>
    <m/>
    <m/>
    <m/>
    <m/>
    <n v="0"/>
    <m/>
    <m/>
    <n v="0"/>
    <m/>
    <m/>
    <m/>
    <m/>
    <m/>
    <m/>
    <n v="25369543.921677545"/>
    <n v="25378280"/>
  </r>
  <r>
    <x v="12"/>
    <x v="0"/>
    <s v="Motlow State Community College "/>
    <m/>
    <n v="221096"/>
    <x v="7"/>
    <n v="11258285.41452576"/>
    <n v="10889670"/>
    <m/>
    <m/>
    <m/>
    <m/>
    <n v="13236700"/>
    <n v="0"/>
    <n v="13236700"/>
    <n v="14366800"/>
    <n v="0"/>
    <n v="14366800"/>
    <n v="24494985.414525762"/>
    <n v="25256470"/>
    <m/>
    <m/>
    <m/>
    <m/>
    <n v="0"/>
    <m/>
    <m/>
    <n v="0"/>
    <m/>
    <m/>
    <m/>
    <m/>
    <m/>
    <m/>
    <n v="24494985.414525762"/>
    <n v="25256470"/>
  </r>
  <r>
    <x v="12"/>
    <x v="0"/>
    <s v="Northeast State Technical Community College"/>
    <m/>
    <n v="221908"/>
    <x v="7"/>
    <n v="13919104.006388001"/>
    <n v="13442388"/>
    <m/>
    <m/>
    <m/>
    <m/>
    <n v="17941580"/>
    <n v="0"/>
    <n v="17941580"/>
    <n v="18254600"/>
    <n v="0"/>
    <n v="18254600"/>
    <n v="31860684.006388001"/>
    <n v="31696988"/>
    <m/>
    <m/>
    <m/>
    <m/>
    <n v="0"/>
    <m/>
    <m/>
    <n v="0"/>
    <m/>
    <m/>
    <m/>
    <m/>
    <m/>
    <m/>
    <n v="31860684.006388001"/>
    <n v="31696988"/>
  </r>
  <r>
    <x v="12"/>
    <x v="0"/>
    <s v="Roane State Community College "/>
    <m/>
    <n v="221397"/>
    <x v="7"/>
    <n v="16901186.059852798"/>
    <n v="17628775.079999998"/>
    <m/>
    <m/>
    <m/>
    <m/>
    <n v="18165100"/>
    <n v="0"/>
    <n v="18165100"/>
    <n v="17666300"/>
    <n v="0"/>
    <n v="17666300"/>
    <n v="35066286.059852794"/>
    <n v="35295075.079999998"/>
    <m/>
    <m/>
    <m/>
    <m/>
    <n v="0"/>
    <m/>
    <m/>
    <n v="0"/>
    <m/>
    <m/>
    <m/>
    <m/>
    <m/>
    <m/>
    <n v="35066286.059852794"/>
    <n v="35295075.079999998"/>
  </r>
  <r>
    <x v="12"/>
    <x v="0"/>
    <s v="Walters State Community College "/>
    <m/>
    <n v="222062"/>
    <x v="7"/>
    <n v="20234755.9164005"/>
    <n v="20634164"/>
    <m/>
    <m/>
    <m/>
    <m/>
    <n v="19544400"/>
    <n v="0"/>
    <n v="19544400"/>
    <n v="19918200"/>
    <n v="0"/>
    <n v="19918200"/>
    <n v="39779155.9164005"/>
    <n v="40552364"/>
    <m/>
    <m/>
    <m/>
    <m/>
    <n v="0"/>
    <m/>
    <m/>
    <n v="0"/>
    <m/>
    <m/>
    <m/>
    <m/>
    <m/>
    <m/>
    <n v="39779155.9164005"/>
    <n v="40552364"/>
  </r>
  <r>
    <x v="12"/>
    <x v="0"/>
    <s v="Tennessee College of Applied Technology at Chattanooga"/>
    <m/>
    <s v="219824B"/>
    <x v="9"/>
    <n v="3387500"/>
    <n v="3264000"/>
    <m/>
    <m/>
    <m/>
    <m/>
    <n v="2676000"/>
    <n v="0"/>
    <n v="2676000"/>
    <n v="2404500"/>
    <n v="0"/>
    <n v="2404500"/>
    <n v="6063500"/>
    <n v="5668500"/>
    <m/>
    <m/>
    <m/>
    <m/>
    <n v="0"/>
    <m/>
    <m/>
    <n v="0"/>
    <m/>
    <m/>
    <m/>
    <m/>
    <m/>
    <m/>
    <n v="6063500"/>
    <n v="5668500"/>
  </r>
  <r>
    <x v="12"/>
    <x v="0"/>
    <s v="Tennessee College of Applied Technology at Athens"/>
    <m/>
    <n v="219596"/>
    <x v="10"/>
    <n v="1473700"/>
    <n v="1420000"/>
    <m/>
    <m/>
    <m/>
    <m/>
    <n v="581500"/>
    <n v="0"/>
    <n v="581500"/>
    <n v="664600"/>
    <n v="0"/>
    <n v="664600"/>
    <n v="2055200"/>
    <n v="2084600"/>
    <m/>
    <m/>
    <m/>
    <m/>
    <n v="0"/>
    <m/>
    <m/>
    <n v="0"/>
    <m/>
    <m/>
    <m/>
    <m/>
    <m/>
    <m/>
    <n v="2055200"/>
    <n v="2084600"/>
  </r>
  <r>
    <x v="12"/>
    <x v="0"/>
    <s v="Tennessee College of Applied Technology at Covington"/>
    <m/>
    <n v="219921"/>
    <x v="10"/>
    <n v="1235700"/>
    <n v="1190600"/>
    <m/>
    <m/>
    <m/>
    <m/>
    <n v="459800"/>
    <n v="0"/>
    <n v="459800"/>
    <n v="474000"/>
    <n v="0"/>
    <n v="474000"/>
    <n v="1695500"/>
    <n v="1664600"/>
    <m/>
    <m/>
    <m/>
    <m/>
    <n v="0"/>
    <m/>
    <m/>
    <n v="0"/>
    <m/>
    <m/>
    <m/>
    <m/>
    <m/>
    <m/>
    <n v="1695500"/>
    <n v="1664600"/>
  </r>
  <r>
    <x v="12"/>
    <x v="0"/>
    <s v="Tennessee College of Applied Technology at Crossville"/>
    <m/>
    <n v="221591"/>
    <x v="10"/>
    <n v="2472100"/>
    <n v="2382000"/>
    <m/>
    <m/>
    <m/>
    <m/>
    <n v="825000"/>
    <n v="0"/>
    <n v="825000"/>
    <n v="951500"/>
    <n v="0"/>
    <n v="951500"/>
    <n v="3297100"/>
    <n v="3333500"/>
    <m/>
    <m/>
    <m/>
    <m/>
    <n v="0"/>
    <m/>
    <m/>
    <n v="0"/>
    <m/>
    <m/>
    <m/>
    <m/>
    <m/>
    <m/>
    <n v="3297100"/>
    <n v="3333500"/>
  </r>
  <r>
    <x v="12"/>
    <x v="0"/>
    <s v="Tennessee College of Applied Technology at Crump"/>
    <m/>
    <n v="221430"/>
    <x v="10"/>
    <n v="1701600"/>
    <n v="1639600"/>
    <m/>
    <m/>
    <m/>
    <m/>
    <n v="745300"/>
    <n v="0"/>
    <n v="745300"/>
    <n v="706500"/>
    <n v="0"/>
    <n v="706500"/>
    <n v="2446900"/>
    <n v="2346100"/>
    <m/>
    <m/>
    <m/>
    <m/>
    <n v="0"/>
    <m/>
    <m/>
    <n v="0"/>
    <m/>
    <m/>
    <m/>
    <m/>
    <m/>
    <m/>
    <n v="2446900"/>
    <n v="2346100"/>
  </r>
  <r>
    <x v="12"/>
    <x v="0"/>
    <s v="Tennessee College of Applied Technology at Dickson"/>
    <m/>
    <n v="219994"/>
    <x v="10"/>
    <n v="2518800"/>
    <n v="2427000"/>
    <m/>
    <m/>
    <m/>
    <m/>
    <n v="1371500"/>
    <n v="0"/>
    <n v="1371500"/>
    <n v="1442300"/>
    <n v="0"/>
    <n v="1442300"/>
    <n v="3890300"/>
    <n v="3869300"/>
    <m/>
    <m/>
    <m/>
    <m/>
    <n v="0"/>
    <m/>
    <m/>
    <n v="0"/>
    <m/>
    <m/>
    <m/>
    <m/>
    <m/>
    <m/>
    <n v="3890300"/>
    <n v="3869300"/>
  </r>
  <r>
    <x v="12"/>
    <x v="0"/>
    <s v="Tennessee College of Applied Technology at Elizabethton"/>
    <m/>
    <n v="220127"/>
    <x v="10"/>
    <n v="1629500"/>
    <n v="1570100"/>
    <m/>
    <m/>
    <m/>
    <m/>
    <n v="1444800"/>
    <n v="0"/>
    <n v="1444800"/>
    <n v="1503650"/>
    <n v="0"/>
    <n v="1503650"/>
    <n v="3074300"/>
    <n v="3073750"/>
    <m/>
    <m/>
    <m/>
    <m/>
    <n v="0"/>
    <m/>
    <m/>
    <n v="0"/>
    <m/>
    <m/>
    <m/>
    <m/>
    <m/>
    <m/>
    <n v="3074300"/>
    <n v="3073750"/>
  </r>
  <r>
    <x v="12"/>
    <x v="0"/>
    <s v="Tennessee College of Applied Technology at Harriman"/>
    <m/>
    <n v="220251"/>
    <x v="10"/>
    <n v="1520900"/>
    <n v="1465400"/>
    <m/>
    <m/>
    <m/>
    <m/>
    <n v="744900"/>
    <n v="0"/>
    <n v="744900"/>
    <n v="760900"/>
    <n v="0"/>
    <n v="760900"/>
    <n v="2265800"/>
    <n v="2226300"/>
    <m/>
    <m/>
    <m/>
    <m/>
    <n v="0"/>
    <m/>
    <m/>
    <n v="0"/>
    <m/>
    <m/>
    <m/>
    <m/>
    <m/>
    <m/>
    <n v="2265800"/>
    <n v="2226300"/>
  </r>
  <r>
    <x v="12"/>
    <x v="0"/>
    <s v="Tennessee College of Applied Technology at Hartsville"/>
    <m/>
    <n v="220279"/>
    <x v="10"/>
    <n v="1209800"/>
    <n v="1165700"/>
    <m/>
    <m/>
    <m/>
    <m/>
    <n v="901200"/>
    <n v="0"/>
    <n v="901200"/>
    <n v="918200"/>
    <n v="0"/>
    <n v="918200"/>
    <n v="2111000"/>
    <n v="2083900"/>
    <m/>
    <m/>
    <m/>
    <m/>
    <n v="0"/>
    <m/>
    <m/>
    <n v="0"/>
    <m/>
    <m/>
    <m/>
    <m/>
    <m/>
    <m/>
    <n v="2111000"/>
    <n v="2083900"/>
  </r>
  <r>
    <x v="12"/>
    <x v="0"/>
    <s v="Tennessee College of Applied Technology at Hohenwald"/>
    <m/>
    <n v="220321"/>
    <x v="10"/>
    <n v="1654900"/>
    <n v="1594600"/>
    <m/>
    <m/>
    <m/>
    <m/>
    <n v="930700"/>
    <n v="0"/>
    <n v="930700"/>
    <n v="975800"/>
    <n v="0"/>
    <n v="975800"/>
    <n v="2585600"/>
    <n v="2570400"/>
    <m/>
    <m/>
    <m/>
    <m/>
    <n v="0"/>
    <m/>
    <m/>
    <n v="0"/>
    <m/>
    <m/>
    <m/>
    <m/>
    <m/>
    <m/>
    <n v="2585600"/>
    <n v="2570400"/>
  </r>
  <r>
    <x v="12"/>
    <x v="0"/>
    <s v="Tennessee College of Applied Technology at Jacksboro"/>
    <m/>
    <n v="220394"/>
    <x v="10"/>
    <n v="1419200"/>
    <n v="1367500"/>
    <m/>
    <m/>
    <m/>
    <m/>
    <n v="405800"/>
    <n v="0"/>
    <n v="405800"/>
    <n v="457400"/>
    <n v="0"/>
    <n v="457400"/>
    <n v="1825000"/>
    <n v="1824900"/>
    <m/>
    <m/>
    <m/>
    <m/>
    <n v="0"/>
    <m/>
    <m/>
    <n v="0"/>
    <m/>
    <m/>
    <m/>
    <m/>
    <m/>
    <m/>
    <n v="1825000"/>
    <n v="1824900"/>
  </r>
  <r>
    <x v="12"/>
    <x v="0"/>
    <s v="Tennessee College of Applied Technology at Jackson"/>
    <m/>
    <n v="221616"/>
    <x v="10"/>
    <n v="3269900"/>
    <n v="3150700"/>
    <m/>
    <m/>
    <m/>
    <m/>
    <n v="1339500"/>
    <n v="0"/>
    <n v="1339500"/>
    <n v="1311900"/>
    <n v="0"/>
    <n v="1311900"/>
    <n v="4609400"/>
    <n v="4462600"/>
    <m/>
    <m/>
    <m/>
    <m/>
    <n v="0"/>
    <m/>
    <m/>
    <n v="0"/>
    <m/>
    <m/>
    <m/>
    <m/>
    <m/>
    <m/>
    <n v="4609400"/>
    <n v="4462600"/>
  </r>
  <r>
    <x v="12"/>
    <x v="0"/>
    <s v="Tennessee College of Applied Technology at Knoxville"/>
    <m/>
    <n v="221625"/>
    <x v="10"/>
    <n v="3424000"/>
    <n v="3299100"/>
    <m/>
    <m/>
    <m/>
    <m/>
    <n v="1761500"/>
    <n v="0"/>
    <n v="1761500"/>
    <n v="2127300"/>
    <n v="0"/>
    <n v="2127300"/>
    <n v="5185500"/>
    <n v="5426400"/>
    <m/>
    <m/>
    <m/>
    <m/>
    <n v="0"/>
    <m/>
    <m/>
    <n v="0"/>
    <m/>
    <m/>
    <m/>
    <m/>
    <m/>
    <m/>
    <n v="5185500"/>
    <n v="5426400"/>
  </r>
  <r>
    <x v="12"/>
    <x v="0"/>
    <s v="Tennessee College of Applied Technology at Livingston"/>
    <m/>
    <n v="220640"/>
    <x v="10"/>
    <n v="2278100"/>
    <n v="2195000"/>
    <m/>
    <m/>
    <m/>
    <m/>
    <n v="955600"/>
    <n v="0"/>
    <n v="955600"/>
    <n v="955600"/>
    <n v="0"/>
    <n v="955600"/>
    <n v="3233700"/>
    <n v="3150600"/>
    <m/>
    <m/>
    <m/>
    <m/>
    <n v="0"/>
    <m/>
    <m/>
    <n v="0"/>
    <m/>
    <m/>
    <m/>
    <m/>
    <m/>
    <m/>
    <n v="3233700"/>
    <n v="3150600"/>
  </r>
  <r>
    <x v="12"/>
    <x v="0"/>
    <s v="Tennessee College of Applied Technology at McKenzie"/>
    <m/>
    <n v="220756"/>
    <x v="10"/>
    <n v="1364700"/>
    <n v="1314900"/>
    <m/>
    <m/>
    <m/>
    <m/>
    <n v="667800"/>
    <n v="0"/>
    <n v="667800"/>
    <n v="560200"/>
    <n v="0"/>
    <n v="560200"/>
    <n v="2032500"/>
    <n v="1875100"/>
    <m/>
    <m/>
    <m/>
    <m/>
    <n v="0"/>
    <m/>
    <m/>
    <n v="0"/>
    <m/>
    <m/>
    <m/>
    <m/>
    <m/>
    <m/>
    <n v="2032500"/>
    <n v="1875100"/>
  </r>
  <r>
    <x v="12"/>
    <x v="0"/>
    <s v="Tennessee College of Applied Technology at McMinnville"/>
    <m/>
    <n v="221607"/>
    <x v="10"/>
    <n v="1495800"/>
    <n v="1441300"/>
    <m/>
    <m/>
    <m/>
    <m/>
    <n v="638900"/>
    <n v="0"/>
    <n v="638900"/>
    <n v="641700"/>
    <n v="0"/>
    <n v="641700"/>
    <n v="2134700"/>
    <n v="2083000"/>
    <m/>
    <m/>
    <m/>
    <m/>
    <n v="0"/>
    <m/>
    <m/>
    <n v="0"/>
    <m/>
    <m/>
    <m/>
    <m/>
    <m/>
    <m/>
    <n v="2134700"/>
    <n v="2083000"/>
  </r>
  <r>
    <x v="12"/>
    <x v="0"/>
    <s v="Tennessee College of Applied Technology at Memphis"/>
    <m/>
    <n v="220853"/>
    <x v="10"/>
    <n v="4527800"/>
    <n v="4362700"/>
    <m/>
    <m/>
    <m/>
    <m/>
    <n v="2425050"/>
    <n v="0"/>
    <n v="2425050"/>
    <n v="2654800"/>
    <n v="0"/>
    <n v="2654800"/>
    <n v="6952850"/>
    <n v="7017500"/>
    <m/>
    <m/>
    <m/>
    <m/>
    <n v="0"/>
    <m/>
    <m/>
    <n v="0"/>
    <m/>
    <m/>
    <m/>
    <m/>
    <m/>
    <m/>
    <n v="6952850"/>
    <n v="7017500"/>
  </r>
  <r>
    <x v="12"/>
    <x v="0"/>
    <s v="Tennessee College of Applied Technology at Morristown"/>
    <m/>
    <n v="221050"/>
    <x v="10"/>
    <n v="4181400"/>
    <n v="4028900"/>
    <m/>
    <m/>
    <m/>
    <m/>
    <n v="1561000"/>
    <n v="0"/>
    <n v="1561000"/>
    <n v="1783800"/>
    <n v="0"/>
    <n v="1783800"/>
    <n v="5742400"/>
    <n v="5812700"/>
    <m/>
    <m/>
    <m/>
    <m/>
    <n v="0"/>
    <m/>
    <m/>
    <n v="0"/>
    <m/>
    <m/>
    <m/>
    <m/>
    <m/>
    <m/>
    <n v="5742400"/>
    <n v="5812700"/>
  </r>
  <r>
    <x v="12"/>
    <x v="0"/>
    <s v="Tennessee College of Applied Technology at Murfreesboro"/>
    <m/>
    <n v="221102"/>
    <x v="10"/>
    <n v="1851800"/>
    <n v="1784300"/>
    <m/>
    <m/>
    <m/>
    <m/>
    <n v="1136600"/>
    <n v="0"/>
    <n v="1136600"/>
    <n v="1188900"/>
    <n v="0"/>
    <n v="1188900"/>
    <n v="2988400"/>
    <n v="2973200"/>
    <m/>
    <m/>
    <m/>
    <m/>
    <n v="0"/>
    <m/>
    <m/>
    <n v="0"/>
    <m/>
    <m/>
    <m/>
    <m/>
    <m/>
    <m/>
    <n v="2988400"/>
    <n v="2973200"/>
  </r>
  <r>
    <x v="12"/>
    <x v="0"/>
    <s v="Tennessee College of Applied Technology at Nashville"/>
    <m/>
    <n v="248925"/>
    <x v="10"/>
    <n v="3920000"/>
    <n v="3777100"/>
    <m/>
    <m/>
    <m/>
    <m/>
    <n v="2166300"/>
    <n v="0"/>
    <n v="2166300"/>
    <n v="2485700"/>
    <n v="0"/>
    <n v="2485700"/>
    <n v="6086300"/>
    <n v="6262800"/>
    <m/>
    <m/>
    <m/>
    <m/>
    <n v="0"/>
    <m/>
    <m/>
    <n v="0"/>
    <m/>
    <m/>
    <m/>
    <m/>
    <m/>
    <m/>
    <n v="6086300"/>
    <n v="6262800"/>
  </r>
  <r>
    <x v="12"/>
    <x v="0"/>
    <s v="Tennessee College of Applied Technology at Newbern"/>
    <m/>
    <n v="221236"/>
    <x v="10"/>
    <n v="1484900"/>
    <n v="1430800"/>
    <m/>
    <m/>
    <m/>
    <m/>
    <n v="725600"/>
    <n v="0"/>
    <n v="725600"/>
    <n v="766900"/>
    <n v="0"/>
    <n v="766900"/>
    <n v="2210500"/>
    <n v="2197700"/>
    <m/>
    <m/>
    <m/>
    <m/>
    <n v="0"/>
    <m/>
    <m/>
    <n v="0"/>
    <m/>
    <m/>
    <m/>
    <m/>
    <m/>
    <m/>
    <n v="2210500"/>
    <n v="2197700"/>
  </r>
  <r>
    <x v="12"/>
    <x v="0"/>
    <s v="Tennessee College of Applied Technology at Oneida"/>
    <m/>
    <n v="221582"/>
    <x v="10"/>
    <n v="1419300"/>
    <n v="1367500"/>
    <m/>
    <m/>
    <m/>
    <m/>
    <n v="605000"/>
    <n v="0"/>
    <n v="605000"/>
    <n v="602000"/>
    <n v="0"/>
    <n v="602000"/>
    <n v="2024300"/>
    <n v="1969500"/>
    <m/>
    <m/>
    <m/>
    <m/>
    <n v="0"/>
    <m/>
    <m/>
    <n v="0"/>
    <m/>
    <m/>
    <m/>
    <m/>
    <m/>
    <m/>
    <n v="2024300"/>
    <n v="1969500"/>
  </r>
  <r>
    <x v="12"/>
    <x v="0"/>
    <s v="Tennessee College of Applied Technology at Paris"/>
    <m/>
    <n v="221281"/>
    <x v="10"/>
    <n v="1900100"/>
    <n v="1830800"/>
    <m/>
    <m/>
    <m/>
    <m/>
    <n v="907500"/>
    <n v="0"/>
    <n v="907500"/>
    <n v="1061800"/>
    <n v="0"/>
    <n v="1061800"/>
    <n v="2807600"/>
    <n v="2892600"/>
    <m/>
    <m/>
    <m/>
    <m/>
    <n v="0"/>
    <m/>
    <m/>
    <n v="0"/>
    <m/>
    <m/>
    <m/>
    <m/>
    <m/>
    <m/>
    <n v="2807600"/>
    <n v="2892600"/>
  </r>
  <r>
    <x v="12"/>
    <x v="0"/>
    <s v="Tennessee College of Applied Technology at Pulaski"/>
    <m/>
    <n v="221333"/>
    <x v="10"/>
    <n v="1507400"/>
    <n v="1452400"/>
    <m/>
    <m/>
    <m/>
    <m/>
    <n v="688800"/>
    <n v="0"/>
    <n v="688800"/>
    <n v="857300"/>
    <n v="0"/>
    <n v="857300"/>
    <n v="2196200"/>
    <n v="2309700"/>
    <m/>
    <m/>
    <m/>
    <m/>
    <n v="0"/>
    <m/>
    <m/>
    <n v="0"/>
    <m/>
    <m/>
    <m/>
    <m/>
    <m/>
    <m/>
    <n v="2196200"/>
    <n v="2309700"/>
  </r>
  <r>
    <x v="12"/>
    <x v="0"/>
    <s v="Tennessee College of Applied Technology at Ripley"/>
    <m/>
    <n v="221388"/>
    <x v="10"/>
    <n v="1209100"/>
    <n v="1165000"/>
    <m/>
    <m/>
    <m/>
    <m/>
    <n v="355400"/>
    <n v="0"/>
    <n v="355400"/>
    <n v="349200"/>
    <n v="0"/>
    <n v="349200"/>
    <n v="1564500"/>
    <n v="1514200"/>
    <m/>
    <m/>
    <m/>
    <m/>
    <n v="0"/>
    <m/>
    <m/>
    <n v="0"/>
    <m/>
    <m/>
    <m/>
    <m/>
    <m/>
    <m/>
    <n v="1564500"/>
    <n v="1514200"/>
  </r>
  <r>
    <x v="12"/>
    <x v="0"/>
    <s v="Tennessee College of Applied Technology at Shelbyville"/>
    <m/>
    <n v="221494"/>
    <x v="10"/>
    <n v="2128200"/>
    <n v="2050600"/>
    <m/>
    <m/>
    <m/>
    <m/>
    <n v="1272500"/>
    <n v="0"/>
    <n v="1272500"/>
    <n v="1449100"/>
    <n v="0"/>
    <n v="1449100"/>
    <n v="3400700"/>
    <n v="3499700"/>
    <m/>
    <m/>
    <m/>
    <m/>
    <n v="0"/>
    <m/>
    <m/>
    <n v="0"/>
    <m/>
    <m/>
    <m/>
    <m/>
    <m/>
    <m/>
    <n v="3400700"/>
    <n v="3499700"/>
  </r>
  <r>
    <x v="12"/>
    <x v="0"/>
    <s v="Tennessee College of Applied Technology at Whiteville"/>
    <m/>
    <n v="221634"/>
    <x v="10"/>
    <n v="1389700"/>
    <n v="1339000"/>
    <m/>
    <m/>
    <m/>
    <m/>
    <n v="497200"/>
    <n v="0"/>
    <n v="497200"/>
    <n v="550500"/>
    <n v="0"/>
    <n v="550500"/>
    <n v="1886900"/>
    <n v="1889500"/>
    <m/>
    <m/>
    <m/>
    <m/>
    <n v="0"/>
    <m/>
    <m/>
    <n v="0"/>
    <m/>
    <m/>
    <m/>
    <m/>
    <m/>
    <m/>
    <n v="1886900"/>
    <n v="1889500"/>
  </r>
  <r>
    <x v="12"/>
    <x v="41"/>
    <s v="University of Tennessee Health Science Center"/>
    <m/>
    <n v="221704"/>
    <x v="11"/>
    <m/>
    <m/>
    <m/>
    <m/>
    <m/>
    <m/>
    <m/>
    <m/>
    <n v="0"/>
    <m/>
    <n v="0"/>
    <n v="0"/>
    <n v="0"/>
    <n v="0"/>
    <m/>
    <m/>
    <m/>
    <m/>
    <n v="0"/>
    <m/>
    <m/>
    <n v="0"/>
    <m/>
    <m/>
    <m/>
    <m/>
    <m/>
    <m/>
    <n v="0"/>
    <n v="0"/>
  </r>
  <r>
    <x v="12"/>
    <x v="41"/>
    <s v="Health professions education"/>
    <m/>
    <n v="221704"/>
    <x v="11"/>
    <m/>
    <m/>
    <m/>
    <m/>
    <m/>
    <m/>
    <m/>
    <m/>
    <n v="0"/>
    <m/>
    <m/>
    <n v="0"/>
    <n v="0"/>
    <n v="0"/>
    <m/>
    <m/>
    <m/>
    <m/>
    <n v="0"/>
    <m/>
    <m/>
    <n v="0"/>
    <n v="78284887.135669321"/>
    <n v="78898145.99670884"/>
    <n v="45327760"/>
    <n v="157975"/>
    <n v="48912960"/>
    <n v="158182"/>
    <n v="123612647.13566932"/>
    <n v="127811105.99670884"/>
  </r>
  <r>
    <x v="12"/>
    <x v="41"/>
    <s v="Medical School"/>
    <m/>
    <n v="221704"/>
    <x v="11"/>
    <m/>
    <m/>
    <m/>
    <m/>
    <m/>
    <m/>
    <m/>
    <m/>
    <n v="0"/>
    <m/>
    <m/>
    <n v="0"/>
    <n v="0"/>
    <n v="0"/>
    <m/>
    <m/>
    <m/>
    <m/>
    <n v="0"/>
    <m/>
    <m/>
    <n v="0"/>
    <n v="57587300"/>
    <n v="57525900"/>
    <n v="25243300"/>
    <n v="0"/>
    <n v="25826400"/>
    <n v="0"/>
    <n v="82830600"/>
    <n v="83352300"/>
  </r>
  <r>
    <x v="12"/>
    <x v="41"/>
    <s v="Veterinary School"/>
    <m/>
    <n v="221704"/>
    <x v="11"/>
    <m/>
    <m/>
    <m/>
    <m/>
    <m/>
    <m/>
    <m/>
    <m/>
    <n v="0"/>
    <m/>
    <m/>
    <n v="0"/>
    <n v="0"/>
    <n v="0"/>
    <m/>
    <m/>
    <m/>
    <m/>
    <n v="0"/>
    <m/>
    <m/>
    <n v="0"/>
    <n v="17319675.246857088"/>
    <n v="17384991.323062096"/>
    <n v="11260659"/>
    <n v="0"/>
    <n v="11494417"/>
    <n v="0"/>
    <n v="28580334.246857088"/>
    <n v="28879408.323062096"/>
  </r>
  <r>
    <x v="12"/>
    <x v="9"/>
    <s v="University of Tennessee Space Institute"/>
    <m/>
    <n v="221704"/>
    <x v="11"/>
    <m/>
    <m/>
    <m/>
    <m/>
    <m/>
    <m/>
    <m/>
    <m/>
    <n v="0"/>
    <m/>
    <m/>
    <n v="0"/>
    <n v="0"/>
    <n v="0"/>
    <n v="8923113.9352994487"/>
    <n v="8928675.9698881209"/>
    <n v="1450000"/>
    <n v="0"/>
    <n v="1450000"/>
    <n v="1123020"/>
    <n v="0"/>
    <n v="1123020"/>
    <m/>
    <m/>
    <m/>
    <m/>
    <m/>
    <m/>
    <n v="10373113.935299449"/>
    <n v="10051695.969888121"/>
  </r>
  <r>
    <x v="12"/>
    <x v="13"/>
    <s v="Educational special purpose funds — all other"/>
    <m/>
    <m/>
    <x v="12"/>
    <m/>
    <m/>
    <m/>
    <m/>
    <m/>
    <m/>
    <m/>
    <m/>
    <n v="0"/>
    <m/>
    <m/>
    <n v="0"/>
    <n v="0"/>
    <n v="0"/>
    <m/>
    <m/>
    <m/>
    <m/>
    <n v="0"/>
    <m/>
    <m/>
    <n v="0"/>
    <m/>
    <m/>
    <m/>
    <m/>
    <m/>
    <m/>
    <n v="0"/>
    <n v="0"/>
  </r>
  <r>
    <x v="12"/>
    <x v="13"/>
    <s v="Foreign Language Institute"/>
    <m/>
    <m/>
    <x v="12"/>
    <m/>
    <m/>
    <n v="422000"/>
    <n v="423700"/>
    <m/>
    <m/>
    <n v="0"/>
    <n v="0"/>
    <n v="0"/>
    <n v="0"/>
    <n v="0"/>
    <n v="0"/>
    <n v="422000"/>
    <n v="423700"/>
    <m/>
    <m/>
    <m/>
    <m/>
    <n v="0"/>
    <m/>
    <m/>
    <n v="0"/>
    <m/>
    <m/>
    <m/>
    <m/>
    <m/>
    <m/>
    <n v="422000"/>
    <n v="423700"/>
  </r>
  <r>
    <x v="12"/>
    <x v="14"/>
    <s v="Statewide System Operations"/>
    <m/>
    <m/>
    <x v="12"/>
    <m/>
    <m/>
    <m/>
    <m/>
    <m/>
    <m/>
    <m/>
    <m/>
    <n v="0"/>
    <m/>
    <m/>
    <n v="0"/>
    <n v="0"/>
    <n v="0"/>
    <m/>
    <m/>
    <m/>
    <m/>
    <n v="0"/>
    <m/>
    <m/>
    <n v="0"/>
    <m/>
    <m/>
    <m/>
    <m/>
    <m/>
    <m/>
    <n v="0"/>
    <n v="0"/>
  </r>
  <r>
    <x v="12"/>
    <x v="15"/>
    <s v="Colleges and universities"/>
    <m/>
    <m/>
    <x v="12"/>
    <m/>
    <m/>
    <m/>
    <m/>
    <m/>
    <m/>
    <m/>
    <m/>
    <n v="0"/>
    <m/>
    <m/>
    <n v="0"/>
    <n v="0"/>
    <n v="0"/>
    <m/>
    <m/>
    <m/>
    <m/>
    <n v="0"/>
    <m/>
    <m/>
    <n v="0"/>
    <m/>
    <m/>
    <m/>
    <m/>
    <m/>
    <m/>
    <n v="0"/>
    <n v="0"/>
  </r>
  <r>
    <x v="12"/>
    <x v="15"/>
    <s v="TN H.Ed. Commission"/>
    <m/>
    <m/>
    <x v="12"/>
    <m/>
    <m/>
    <m/>
    <m/>
    <m/>
    <m/>
    <m/>
    <m/>
    <n v="0"/>
    <m/>
    <m/>
    <n v="0"/>
    <n v="0"/>
    <n v="0"/>
    <n v="6229200"/>
    <n v="7356800"/>
    <n v="0"/>
    <n v="0"/>
    <n v="0"/>
    <n v="0"/>
    <n v="0"/>
    <n v="0"/>
    <m/>
    <m/>
    <m/>
    <m/>
    <m/>
    <m/>
    <n v="6229200"/>
    <n v="7356800"/>
  </r>
  <r>
    <x v="12"/>
    <x v="15"/>
    <s v="Univ TN System Adm &amp; TN Board of Regents"/>
    <m/>
    <m/>
    <x v="12"/>
    <m/>
    <m/>
    <m/>
    <m/>
    <m/>
    <m/>
    <m/>
    <m/>
    <n v="0"/>
    <m/>
    <m/>
    <n v="0"/>
    <n v="0"/>
    <n v="0"/>
    <n v="12444460"/>
    <n v="12089936"/>
    <n v="0"/>
    <n v="0"/>
    <n v="0"/>
    <n v="0"/>
    <n v="0"/>
    <n v="0"/>
    <m/>
    <m/>
    <m/>
    <m/>
    <m/>
    <m/>
    <n v="12444460"/>
    <n v="12089936"/>
  </r>
  <r>
    <x v="12"/>
    <x v="17"/>
    <s v="National or regional associations, compacts or consortia"/>
    <m/>
    <m/>
    <x v="12"/>
    <m/>
    <m/>
    <m/>
    <m/>
    <m/>
    <m/>
    <m/>
    <m/>
    <n v="0"/>
    <m/>
    <m/>
    <n v="0"/>
    <n v="0"/>
    <n v="0"/>
    <m/>
    <m/>
    <m/>
    <m/>
    <n v="0"/>
    <m/>
    <m/>
    <n v="0"/>
    <m/>
    <m/>
    <m/>
    <m/>
    <m/>
    <m/>
    <n v="0"/>
    <n v="0"/>
  </r>
  <r>
    <x v="12"/>
    <x v="17"/>
    <s v="SREB"/>
    <m/>
    <m/>
    <x v="12"/>
    <m/>
    <m/>
    <m/>
    <m/>
    <m/>
    <m/>
    <m/>
    <m/>
    <n v="0"/>
    <m/>
    <m/>
    <n v="0"/>
    <n v="0"/>
    <n v="0"/>
    <m/>
    <m/>
    <m/>
    <m/>
    <n v="0"/>
    <m/>
    <m/>
    <n v="0"/>
    <m/>
    <m/>
    <m/>
    <m/>
    <m/>
    <m/>
    <n v="0"/>
    <n v="0"/>
  </r>
  <r>
    <x v="12"/>
    <x v="18"/>
    <s v="Adm. of Statewide Student Aid Progs. (incldng centralized guaranteed student loans)"/>
    <m/>
    <m/>
    <x v="12"/>
    <m/>
    <m/>
    <m/>
    <m/>
    <m/>
    <m/>
    <m/>
    <m/>
    <n v="0"/>
    <m/>
    <m/>
    <n v="0"/>
    <n v="0"/>
    <n v="0"/>
    <n v="1353500"/>
    <n v="1333500"/>
    <n v="0"/>
    <n v="0"/>
    <n v="0"/>
    <n v="0"/>
    <n v="0"/>
    <n v="0"/>
    <m/>
    <m/>
    <m/>
    <m/>
    <m/>
    <m/>
    <n v="1353500"/>
    <n v="1333500"/>
  </r>
  <r>
    <x v="12"/>
    <x v="19"/>
    <s v="State Support to Private Colleges Other Than Student Aid"/>
    <m/>
    <m/>
    <x v="12"/>
    <m/>
    <m/>
    <m/>
    <m/>
    <m/>
    <m/>
    <m/>
    <m/>
    <n v="0"/>
    <m/>
    <m/>
    <n v="0"/>
    <n v="0"/>
    <n v="0"/>
    <m/>
    <m/>
    <m/>
    <m/>
    <n v="0"/>
    <m/>
    <m/>
    <n v="0"/>
    <m/>
    <m/>
    <m/>
    <m/>
    <m/>
    <m/>
    <n v="0"/>
    <n v="0"/>
  </r>
  <r>
    <x v="12"/>
    <x v="20"/>
    <s v="Contract Education Programs"/>
    <m/>
    <m/>
    <x v="12"/>
    <m/>
    <m/>
    <m/>
    <m/>
    <m/>
    <m/>
    <m/>
    <m/>
    <n v="0"/>
    <m/>
    <m/>
    <n v="0"/>
    <n v="0"/>
    <n v="0"/>
    <m/>
    <m/>
    <m/>
    <m/>
    <n v="0"/>
    <m/>
    <m/>
    <n v="0"/>
    <m/>
    <m/>
    <m/>
    <m/>
    <m/>
    <m/>
    <n v="0"/>
    <n v="0"/>
  </r>
  <r>
    <x v="12"/>
    <x v="21"/>
    <s v="SREB contract program with private colleges"/>
    <m/>
    <m/>
    <x v="12"/>
    <m/>
    <m/>
    <m/>
    <m/>
    <m/>
    <m/>
    <m/>
    <m/>
    <n v="0"/>
    <m/>
    <m/>
    <n v="0"/>
    <n v="0"/>
    <n v="0"/>
    <n v="2020900"/>
    <n v="1968800"/>
    <n v="0"/>
    <n v="0"/>
    <n v="0"/>
    <n v="0"/>
    <n v="0"/>
    <n v="0"/>
    <m/>
    <m/>
    <m/>
    <m/>
    <m/>
    <m/>
    <n v="2020900"/>
    <n v="1968800"/>
  </r>
  <r>
    <x v="12"/>
    <x v="21"/>
    <s v="Meharry Medical College (Dentistry, Medicine, Special Aid)"/>
    <m/>
    <m/>
    <x v="12"/>
    <m/>
    <m/>
    <m/>
    <m/>
    <m/>
    <m/>
    <m/>
    <m/>
    <n v="0"/>
    <m/>
    <m/>
    <n v="0"/>
    <n v="0"/>
    <n v="0"/>
    <m/>
    <m/>
    <m/>
    <m/>
    <n v="0"/>
    <m/>
    <m/>
    <n v="0"/>
    <m/>
    <m/>
    <m/>
    <m/>
    <m/>
    <m/>
    <n v="0"/>
    <n v="0"/>
  </r>
  <r>
    <x v="12"/>
    <x v="21"/>
    <s v="Southern College of Optometry"/>
    <m/>
    <m/>
    <x v="12"/>
    <m/>
    <m/>
    <m/>
    <m/>
    <m/>
    <m/>
    <m/>
    <m/>
    <n v="0"/>
    <m/>
    <m/>
    <n v="0"/>
    <n v="0"/>
    <n v="0"/>
    <m/>
    <m/>
    <m/>
    <m/>
    <n v="0"/>
    <m/>
    <m/>
    <n v="0"/>
    <m/>
    <m/>
    <m/>
    <m/>
    <m/>
    <m/>
    <n v="0"/>
    <n v="0"/>
  </r>
  <r>
    <x v="12"/>
    <x v="22"/>
    <s v="SREB contract program with public colleges"/>
    <m/>
    <m/>
    <x v="12"/>
    <m/>
    <m/>
    <m/>
    <m/>
    <m/>
    <m/>
    <m/>
    <m/>
    <n v="0"/>
    <m/>
    <m/>
    <n v="0"/>
    <n v="0"/>
    <n v="0"/>
    <m/>
    <m/>
    <m/>
    <m/>
    <n v="0"/>
    <m/>
    <m/>
    <n v="0"/>
    <m/>
    <m/>
    <m/>
    <m/>
    <m/>
    <m/>
    <n v="0"/>
    <n v="0"/>
  </r>
  <r>
    <x v="12"/>
    <x v="23"/>
    <s v="Other contract education programs"/>
    <m/>
    <m/>
    <x v="12"/>
    <m/>
    <m/>
    <m/>
    <m/>
    <m/>
    <m/>
    <m/>
    <m/>
    <n v="0"/>
    <m/>
    <m/>
    <n v="0"/>
    <n v="0"/>
    <n v="0"/>
    <m/>
    <m/>
    <m/>
    <m/>
    <n v="0"/>
    <m/>
    <m/>
    <n v="0"/>
    <m/>
    <m/>
    <m/>
    <m/>
    <m/>
    <m/>
    <n v="0"/>
    <n v="0"/>
  </r>
  <r>
    <x v="12"/>
    <x v="24"/>
    <s v="Statewide Student Financial Aid Programs Administered Off Campus"/>
    <m/>
    <m/>
    <x v="12"/>
    <m/>
    <m/>
    <m/>
    <m/>
    <m/>
    <m/>
    <m/>
    <m/>
    <n v="0"/>
    <m/>
    <m/>
    <n v="0"/>
    <n v="0"/>
    <n v="0"/>
    <m/>
    <m/>
    <m/>
    <m/>
    <n v="0"/>
    <m/>
    <m/>
    <n v="0"/>
    <m/>
    <m/>
    <m/>
    <m/>
    <m/>
    <m/>
    <n v="0"/>
    <n v="0"/>
  </r>
  <r>
    <x v="12"/>
    <x v="25"/>
    <s v="Available to public &amp; private sector students"/>
    <m/>
    <m/>
    <x v="12"/>
    <m/>
    <m/>
    <m/>
    <m/>
    <m/>
    <m/>
    <m/>
    <m/>
    <n v="0"/>
    <m/>
    <m/>
    <n v="0"/>
    <n v="0"/>
    <n v="0"/>
    <m/>
    <m/>
    <m/>
    <m/>
    <n v="0"/>
    <m/>
    <m/>
    <n v="0"/>
    <m/>
    <m/>
    <m/>
    <m/>
    <m/>
    <m/>
    <n v="0"/>
    <n v="0"/>
  </r>
  <r>
    <x v="12"/>
    <x v="25"/>
    <s v="Academic Scholarships"/>
    <m/>
    <m/>
    <x v="12"/>
    <m/>
    <m/>
    <m/>
    <m/>
    <m/>
    <m/>
    <m/>
    <m/>
    <n v="0"/>
    <m/>
    <m/>
    <n v="0"/>
    <n v="0"/>
    <n v="0"/>
    <m/>
    <m/>
    <m/>
    <m/>
    <n v="0"/>
    <m/>
    <m/>
    <n v="0"/>
    <m/>
    <m/>
    <m/>
    <m/>
    <m/>
    <m/>
    <n v="0"/>
    <n v="0"/>
  </r>
  <r>
    <x v="12"/>
    <x v="28"/>
    <s v="Amount to public sector students"/>
    <m/>
    <m/>
    <x v="12"/>
    <m/>
    <m/>
    <m/>
    <m/>
    <m/>
    <m/>
    <m/>
    <m/>
    <n v="0"/>
    <m/>
    <m/>
    <n v="0"/>
    <n v="0"/>
    <n v="0"/>
    <m/>
    <m/>
    <m/>
    <m/>
    <n v="0"/>
    <m/>
    <m/>
    <n v="0"/>
    <m/>
    <m/>
    <m/>
    <m/>
    <m/>
    <m/>
    <n v="0"/>
    <n v="0"/>
  </r>
  <r>
    <x v="12"/>
    <x v="29"/>
    <s v="Need-based"/>
    <m/>
    <m/>
    <x v="12"/>
    <m/>
    <m/>
    <m/>
    <m/>
    <m/>
    <m/>
    <m/>
    <m/>
    <n v="0"/>
    <m/>
    <m/>
    <n v="0"/>
    <n v="0"/>
    <n v="0"/>
    <n v="113858091.14"/>
    <n v="113022444"/>
    <n v="0"/>
    <n v="0"/>
    <n v="0"/>
    <n v="0"/>
    <n v="0"/>
    <n v="0"/>
    <m/>
    <m/>
    <m/>
    <m/>
    <m/>
    <m/>
    <n v="113858091.14"/>
    <n v="113022444"/>
  </r>
  <r>
    <x v="12"/>
    <x v="30"/>
    <s v="Non need-based"/>
    <m/>
    <m/>
    <x v="12"/>
    <m/>
    <m/>
    <m/>
    <m/>
    <m/>
    <m/>
    <m/>
    <m/>
    <n v="0"/>
    <m/>
    <m/>
    <n v="0"/>
    <n v="0"/>
    <n v="0"/>
    <n v="165956549"/>
    <n v="170568942"/>
    <n v="0"/>
    <n v="0"/>
    <n v="0"/>
    <n v="0"/>
    <n v="0"/>
    <n v="0"/>
    <m/>
    <m/>
    <m/>
    <m/>
    <m/>
    <m/>
    <n v="165956549"/>
    <n v="170568942"/>
  </r>
  <r>
    <x v="12"/>
    <x v="31"/>
    <s v="Amount to private sector students"/>
    <m/>
    <m/>
    <x v="12"/>
    <m/>
    <m/>
    <m/>
    <m/>
    <m/>
    <m/>
    <m/>
    <m/>
    <n v="0"/>
    <m/>
    <m/>
    <n v="0"/>
    <n v="0"/>
    <n v="0"/>
    <m/>
    <m/>
    <m/>
    <m/>
    <n v="0"/>
    <m/>
    <m/>
    <n v="0"/>
    <m/>
    <m/>
    <m/>
    <m/>
    <m/>
    <m/>
    <n v="0"/>
    <n v="0"/>
  </r>
  <r>
    <x v="12"/>
    <x v="32"/>
    <s v="Need-based"/>
    <m/>
    <m/>
    <x v="12"/>
    <m/>
    <m/>
    <m/>
    <m/>
    <m/>
    <m/>
    <m/>
    <m/>
    <n v="0"/>
    <m/>
    <m/>
    <n v="0"/>
    <n v="0"/>
    <n v="0"/>
    <n v="46943432.5"/>
    <n v="44129707.879999995"/>
    <n v="0"/>
    <n v="0"/>
    <n v="0"/>
    <n v="0"/>
    <n v="0"/>
    <n v="0"/>
    <m/>
    <m/>
    <m/>
    <m/>
    <m/>
    <m/>
    <n v="46943432.5"/>
    <n v="44129707.879999995"/>
  </r>
  <r>
    <x v="12"/>
    <x v="33"/>
    <s v="Non need-based"/>
    <m/>
    <m/>
    <x v="12"/>
    <m/>
    <m/>
    <m/>
    <m/>
    <m/>
    <m/>
    <m/>
    <m/>
    <n v="0"/>
    <m/>
    <m/>
    <n v="0"/>
    <n v="0"/>
    <n v="0"/>
    <n v="40567472.32"/>
    <n v="40319166"/>
    <n v="0"/>
    <n v="0"/>
    <n v="0"/>
    <n v="0"/>
    <n v="0"/>
    <n v="0"/>
    <m/>
    <m/>
    <m/>
    <m/>
    <m/>
    <m/>
    <n v="40567472.32"/>
    <n v="40319166"/>
  </r>
  <r>
    <x v="12"/>
    <x v="34"/>
    <s v="Limited to public college students only"/>
    <m/>
    <m/>
    <x v="12"/>
    <m/>
    <m/>
    <m/>
    <m/>
    <m/>
    <m/>
    <m/>
    <m/>
    <n v="0"/>
    <m/>
    <m/>
    <n v="0"/>
    <n v="0"/>
    <n v="0"/>
    <m/>
    <m/>
    <m/>
    <m/>
    <n v="0"/>
    <m/>
    <m/>
    <n v="0"/>
    <m/>
    <m/>
    <m/>
    <m/>
    <m/>
    <m/>
    <n v="0"/>
    <n v="0"/>
  </r>
  <r>
    <x v="12"/>
    <x v="35"/>
    <s v="Need-based"/>
    <m/>
    <m/>
    <x v="12"/>
    <m/>
    <m/>
    <m/>
    <m/>
    <m/>
    <m/>
    <m/>
    <m/>
    <n v="0"/>
    <m/>
    <m/>
    <n v="0"/>
    <n v="0"/>
    <n v="0"/>
    <m/>
    <m/>
    <m/>
    <m/>
    <n v="0"/>
    <m/>
    <m/>
    <n v="0"/>
    <m/>
    <m/>
    <m/>
    <m/>
    <m/>
    <m/>
    <n v="0"/>
    <n v="0"/>
  </r>
  <r>
    <x v="12"/>
    <x v="36"/>
    <s v="Non need-based"/>
    <m/>
    <m/>
    <x v="12"/>
    <m/>
    <m/>
    <m/>
    <m/>
    <m/>
    <m/>
    <m/>
    <m/>
    <n v="0"/>
    <m/>
    <m/>
    <n v="0"/>
    <n v="0"/>
    <n v="0"/>
    <m/>
    <m/>
    <m/>
    <m/>
    <n v="0"/>
    <m/>
    <m/>
    <n v="0"/>
    <m/>
    <m/>
    <m/>
    <m/>
    <m/>
    <m/>
    <n v="0"/>
    <n v="0"/>
  </r>
  <r>
    <x v="12"/>
    <x v="37"/>
    <s v="Limited to private college students"/>
    <m/>
    <m/>
    <x v="12"/>
    <m/>
    <m/>
    <m/>
    <m/>
    <m/>
    <m/>
    <m/>
    <m/>
    <n v="0"/>
    <m/>
    <m/>
    <n v="0"/>
    <n v="0"/>
    <n v="0"/>
    <m/>
    <m/>
    <m/>
    <m/>
    <n v="0"/>
    <m/>
    <m/>
    <n v="0"/>
    <m/>
    <m/>
    <m/>
    <m/>
    <m/>
    <m/>
    <n v="0"/>
    <n v="0"/>
  </r>
  <r>
    <x v="12"/>
    <x v="38"/>
    <s v="Need-based"/>
    <m/>
    <m/>
    <x v="12"/>
    <m/>
    <m/>
    <m/>
    <m/>
    <m/>
    <m/>
    <m/>
    <m/>
    <n v="0"/>
    <m/>
    <m/>
    <n v="0"/>
    <n v="0"/>
    <n v="0"/>
    <m/>
    <m/>
    <m/>
    <m/>
    <n v="0"/>
    <m/>
    <m/>
    <n v="0"/>
    <m/>
    <m/>
    <m/>
    <m/>
    <m/>
    <m/>
    <n v="0"/>
    <n v="0"/>
  </r>
  <r>
    <x v="12"/>
    <x v="39"/>
    <s v="Non need-based"/>
    <m/>
    <m/>
    <x v="12"/>
    <m/>
    <m/>
    <m/>
    <m/>
    <m/>
    <m/>
    <m/>
    <m/>
    <n v="0"/>
    <m/>
    <m/>
    <n v="0"/>
    <n v="0"/>
    <n v="0"/>
    <m/>
    <m/>
    <m/>
    <m/>
    <n v="0"/>
    <m/>
    <m/>
    <n v="0"/>
    <m/>
    <m/>
    <m/>
    <m/>
    <m/>
    <m/>
    <n v="0"/>
    <n v="0"/>
  </r>
  <r>
    <x v="13"/>
    <x v="0"/>
    <s v="Texas A&amp;M University "/>
    <m/>
    <n v="228723"/>
    <x v="0"/>
    <n v="382370491"/>
    <n v="377016364"/>
    <m/>
    <m/>
    <m/>
    <m/>
    <n v="337842499"/>
    <m/>
    <n v="337842499"/>
    <n v="371221490"/>
    <m/>
    <n v="371221490"/>
    <n v="720212990"/>
    <n v="748237854"/>
    <m/>
    <m/>
    <m/>
    <m/>
    <n v="0"/>
    <m/>
    <m/>
    <n v="0"/>
    <n v="24484103"/>
    <n v="24484103"/>
    <n v="13749215"/>
    <m/>
    <n v="17698530"/>
    <m/>
    <n v="758446308"/>
    <n v="790420487"/>
  </r>
  <r>
    <x v="13"/>
    <x v="1"/>
    <s v="Health professions education"/>
    <m/>
    <n v="228723"/>
    <x v="0"/>
    <m/>
    <m/>
    <m/>
    <m/>
    <m/>
    <m/>
    <m/>
    <m/>
    <n v="0"/>
    <m/>
    <m/>
    <n v="0"/>
    <n v="0"/>
    <n v="0"/>
    <m/>
    <m/>
    <m/>
    <m/>
    <n v="0"/>
    <m/>
    <m/>
    <n v="0"/>
    <m/>
    <m/>
    <m/>
    <m/>
    <m/>
    <m/>
    <n v="0"/>
    <n v="0"/>
  </r>
  <r>
    <x v="13"/>
    <x v="1"/>
    <s v="Veterinary Medicine School"/>
    <m/>
    <n v="228723"/>
    <x v="0"/>
    <m/>
    <m/>
    <m/>
    <m/>
    <m/>
    <m/>
    <m/>
    <m/>
    <n v="0"/>
    <m/>
    <m/>
    <n v="0"/>
    <n v="0"/>
    <n v="0"/>
    <m/>
    <m/>
    <m/>
    <m/>
    <n v="0"/>
    <m/>
    <m/>
    <n v="0"/>
    <m/>
    <m/>
    <m/>
    <m/>
    <m/>
    <m/>
    <n v="0"/>
    <n v="0"/>
  </r>
  <r>
    <x v="13"/>
    <x v="6"/>
    <s v="Texas AgriLife Research"/>
    <m/>
    <n v="228723"/>
    <x v="0"/>
    <m/>
    <m/>
    <n v="67164344"/>
    <n v="68060028"/>
    <m/>
    <m/>
    <m/>
    <m/>
    <n v="0"/>
    <m/>
    <m/>
    <n v="0"/>
    <n v="67164344"/>
    <n v="68060028"/>
    <m/>
    <m/>
    <m/>
    <m/>
    <n v="0"/>
    <m/>
    <m/>
    <n v="0"/>
    <m/>
    <m/>
    <m/>
    <m/>
    <m/>
    <m/>
    <n v="67164344"/>
    <n v="68060028"/>
  </r>
  <r>
    <x v="13"/>
    <x v="5"/>
    <s v="Texas AgriLife Extension Service"/>
    <m/>
    <n v="228723"/>
    <x v="0"/>
    <m/>
    <m/>
    <n v="60447709"/>
    <n v="61664003"/>
    <m/>
    <m/>
    <m/>
    <m/>
    <n v="0"/>
    <m/>
    <m/>
    <n v="0"/>
    <n v="60447709"/>
    <n v="61664003"/>
    <m/>
    <m/>
    <m/>
    <m/>
    <n v="0"/>
    <m/>
    <m/>
    <n v="0"/>
    <m/>
    <m/>
    <m/>
    <m/>
    <m/>
    <m/>
    <n v="60447709"/>
    <n v="61664003"/>
  </r>
  <r>
    <x v="13"/>
    <x v="43"/>
    <s v="Texas Engineering Experiment Station"/>
    <m/>
    <n v="228723"/>
    <x v="0"/>
    <m/>
    <m/>
    <n v="21165810"/>
    <n v="21481165"/>
    <m/>
    <m/>
    <m/>
    <m/>
    <n v="0"/>
    <m/>
    <m/>
    <n v="0"/>
    <n v="21165810"/>
    <n v="21481165"/>
    <m/>
    <m/>
    <m/>
    <m/>
    <n v="0"/>
    <m/>
    <m/>
    <n v="0"/>
    <m/>
    <m/>
    <m/>
    <m/>
    <m/>
    <m/>
    <n v="21165810"/>
    <n v="21481165"/>
  </r>
  <r>
    <x v="13"/>
    <x v="3"/>
    <s v="Texas Transportation Institute"/>
    <m/>
    <n v="228723"/>
    <x v="0"/>
    <m/>
    <m/>
    <n v="3490743"/>
    <n v="3582208"/>
    <m/>
    <m/>
    <m/>
    <m/>
    <n v="0"/>
    <m/>
    <m/>
    <n v="0"/>
    <n v="3490743"/>
    <n v="3582208"/>
    <m/>
    <m/>
    <m/>
    <m/>
    <n v="0"/>
    <m/>
    <m/>
    <n v="0"/>
    <m/>
    <m/>
    <m/>
    <m/>
    <m/>
    <m/>
    <n v="3490743"/>
    <n v="3582208"/>
  </r>
  <r>
    <x v="13"/>
    <x v="45"/>
    <s v="Texas Engineering extension service"/>
    <m/>
    <n v="228723"/>
    <x v="0"/>
    <m/>
    <m/>
    <n v="9493132"/>
    <n v="9658220"/>
    <m/>
    <m/>
    <m/>
    <m/>
    <n v="0"/>
    <m/>
    <m/>
    <n v="0"/>
    <n v="9493132"/>
    <n v="9658220"/>
    <m/>
    <m/>
    <m/>
    <m/>
    <n v="0"/>
    <m/>
    <m/>
    <n v="0"/>
    <m/>
    <m/>
    <m/>
    <m/>
    <m/>
    <m/>
    <n v="9493132"/>
    <n v="9658220"/>
  </r>
  <r>
    <x v="13"/>
    <x v="3"/>
    <s v="Texas Forest Service"/>
    <m/>
    <n v="228723"/>
    <x v="0"/>
    <m/>
    <m/>
    <n v="39378872"/>
    <n v="39749135"/>
    <m/>
    <m/>
    <m/>
    <m/>
    <n v="0"/>
    <m/>
    <m/>
    <n v="0"/>
    <n v="39378872"/>
    <n v="39749135"/>
    <m/>
    <m/>
    <m/>
    <m/>
    <n v="0"/>
    <m/>
    <m/>
    <n v="0"/>
    <m/>
    <m/>
    <m/>
    <m/>
    <m/>
    <m/>
    <n v="39378872"/>
    <n v="39749135"/>
  </r>
  <r>
    <x v="13"/>
    <x v="3"/>
    <s v="Texas Vet Med Diagnostic Lab"/>
    <m/>
    <n v="228723"/>
    <x v="0"/>
    <m/>
    <m/>
    <n v="9869798"/>
    <n v="9943295"/>
    <m/>
    <m/>
    <m/>
    <m/>
    <n v="0"/>
    <m/>
    <m/>
    <n v="0"/>
    <n v="9869798"/>
    <n v="9943295"/>
    <m/>
    <m/>
    <m/>
    <m/>
    <n v="0"/>
    <m/>
    <m/>
    <n v="0"/>
    <m/>
    <m/>
    <m/>
    <m/>
    <m/>
    <m/>
    <n v="9869798"/>
    <n v="9943295"/>
  </r>
  <r>
    <x v="13"/>
    <x v="3"/>
    <s v="Community or public service units"/>
    <m/>
    <n v="228723"/>
    <x v="0"/>
    <m/>
    <m/>
    <m/>
    <m/>
    <m/>
    <m/>
    <m/>
    <m/>
    <n v="0"/>
    <m/>
    <m/>
    <n v="0"/>
    <n v="0"/>
    <n v="0"/>
    <m/>
    <m/>
    <m/>
    <m/>
    <n v="0"/>
    <m/>
    <m/>
    <n v="0"/>
    <m/>
    <m/>
    <m/>
    <m/>
    <m/>
    <m/>
    <n v="0"/>
    <n v="0"/>
  </r>
  <r>
    <x v="13"/>
    <x v="0"/>
    <s v="Texas Tech University "/>
    <m/>
    <n v="229115"/>
    <x v="0"/>
    <n v="173158365"/>
    <n v="174945632"/>
    <n v="13332075"/>
    <n v="8081615"/>
    <m/>
    <m/>
    <n v="257319023"/>
    <m/>
    <n v="257319023"/>
    <n v="256676360"/>
    <m/>
    <n v="256676360"/>
    <n v="443809463"/>
    <n v="439703607"/>
    <m/>
    <m/>
    <m/>
    <m/>
    <n v="0"/>
    <m/>
    <m/>
    <n v="0"/>
    <m/>
    <m/>
    <m/>
    <m/>
    <m/>
    <m/>
    <n v="443809463"/>
    <n v="439703607"/>
  </r>
  <r>
    <x v="13"/>
    <x v="0"/>
    <s v="University of Houston"/>
    <m/>
    <n v="225511"/>
    <x v="0"/>
    <n v="183447588"/>
    <n v="185205567"/>
    <n v="474375"/>
    <n v="1408334"/>
    <m/>
    <m/>
    <n v="283284674"/>
    <m/>
    <n v="283284674"/>
    <n v="295962039"/>
    <m/>
    <n v="295962039"/>
    <n v="467206637"/>
    <n v="482575940"/>
    <m/>
    <m/>
    <m/>
    <m/>
    <n v="0"/>
    <m/>
    <m/>
    <n v="0"/>
    <m/>
    <m/>
    <m/>
    <m/>
    <m/>
    <m/>
    <n v="467206637"/>
    <n v="482575940"/>
  </r>
  <r>
    <x v="13"/>
    <x v="0"/>
    <s v="University of North Texas"/>
    <m/>
    <n v="227216"/>
    <x v="0"/>
    <n v="129304016"/>
    <n v="131686122"/>
    <n v="0"/>
    <n v="0"/>
    <m/>
    <m/>
    <n v="224311842"/>
    <m/>
    <n v="224311842"/>
    <n v="236918876"/>
    <m/>
    <n v="236918876"/>
    <n v="353615858"/>
    <n v="368604998"/>
    <m/>
    <m/>
    <m/>
    <m/>
    <n v="0"/>
    <m/>
    <m/>
    <n v="0"/>
    <m/>
    <m/>
    <m/>
    <m/>
    <m/>
    <m/>
    <n v="353615858"/>
    <n v="368604998"/>
  </r>
  <r>
    <x v="13"/>
    <x v="0"/>
    <s v="University of Texas at Arlington"/>
    <m/>
    <n v="228769"/>
    <x v="0"/>
    <n v="114872045"/>
    <n v="116361193"/>
    <n v="217500"/>
    <n v="325000"/>
    <m/>
    <m/>
    <n v="182249596"/>
    <m/>
    <n v="182249596"/>
    <n v="210712249"/>
    <m/>
    <n v="210712249"/>
    <n v="297339141"/>
    <n v="327398442"/>
    <m/>
    <m/>
    <m/>
    <m/>
    <n v="0"/>
    <m/>
    <m/>
    <n v="0"/>
    <m/>
    <m/>
    <m/>
    <m/>
    <m/>
    <m/>
    <n v="297339141"/>
    <n v="327398442"/>
  </r>
  <r>
    <x v="13"/>
    <x v="0"/>
    <s v="University of Texas at Austin"/>
    <m/>
    <n v="228778"/>
    <x v="0"/>
    <n v="554214079"/>
    <n v="554589226"/>
    <m/>
    <m/>
    <m/>
    <m/>
    <n v="458702122"/>
    <m/>
    <n v="458702122"/>
    <n v="444317943"/>
    <m/>
    <n v="444317943"/>
    <n v="1012916201"/>
    <n v="998907169"/>
    <m/>
    <m/>
    <m/>
    <m/>
    <n v="0"/>
    <m/>
    <m/>
    <n v="0"/>
    <m/>
    <m/>
    <m/>
    <m/>
    <m/>
    <m/>
    <n v="1012916201"/>
    <n v="998907169"/>
  </r>
  <r>
    <x v="13"/>
    <x v="0"/>
    <s v="University of Texas at Dallas"/>
    <m/>
    <n v="228787"/>
    <x v="0"/>
    <n v="104009603"/>
    <n v="104858422"/>
    <n v="2549950"/>
    <n v="3042124"/>
    <m/>
    <m/>
    <n v="183814538"/>
    <m/>
    <n v="183814538"/>
    <n v="200235800"/>
    <m/>
    <n v="200235800"/>
    <n v="290374091"/>
    <n v="308136346"/>
    <m/>
    <m/>
    <m/>
    <m/>
    <n v="0"/>
    <m/>
    <m/>
    <n v="0"/>
    <m/>
    <m/>
    <m/>
    <m/>
    <m/>
    <m/>
    <n v="290374091"/>
    <n v="308136346"/>
  </r>
  <r>
    <x v="13"/>
    <x v="0"/>
    <s v="Texas Woman's University"/>
    <s v="Met the criteria for Four-Year 1 in 2014-15."/>
    <n v="229179"/>
    <x v="1"/>
    <n v="59290399"/>
    <n v="60147447"/>
    <m/>
    <m/>
    <m/>
    <m/>
    <n v="65839859"/>
    <m/>
    <n v="65839859"/>
    <n v="67171639"/>
    <m/>
    <n v="67171639"/>
    <n v="125130258"/>
    <n v="127319086"/>
    <m/>
    <m/>
    <m/>
    <m/>
    <n v="0"/>
    <m/>
    <m/>
    <n v="0"/>
    <m/>
    <m/>
    <m/>
    <m/>
    <m/>
    <m/>
    <n v="125130258"/>
    <n v="127319086"/>
  </r>
  <r>
    <x v="13"/>
    <x v="0"/>
    <s v="University of Texas at El Paso"/>
    <s v="Met the criteria for Four-Year 1 in 2013-14 and 2014-2015."/>
    <n v="228796"/>
    <x v="1"/>
    <n v="91867542"/>
    <n v="93067410"/>
    <n v="123125"/>
    <n v="4002434"/>
    <m/>
    <m/>
    <n v="80444489"/>
    <m/>
    <n v="80444489"/>
    <n v="97008096"/>
    <m/>
    <n v="97008096"/>
    <n v="172435156"/>
    <n v="194077940"/>
    <m/>
    <m/>
    <m/>
    <m/>
    <n v="0"/>
    <m/>
    <m/>
    <n v="0"/>
    <m/>
    <m/>
    <m/>
    <m/>
    <m/>
    <m/>
    <n v="172435156"/>
    <n v="194077940"/>
  </r>
  <r>
    <x v="13"/>
    <x v="0"/>
    <s v="University of Texas at San Antonio"/>
    <s v="Met the criteria for Four-Year 1 in 2014-15."/>
    <n v="229027"/>
    <x v="1"/>
    <n v="113248468"/>
    <n v="115177213"/>
    <n v="100000"/>
    <n v="727145"/>
    <m/>
    <m/>
    <n v="158403609"/>
    <m/>
    <n v="158403609"/>
    <n v="161993022"/>
    <m/>
    <n v="161993022"/>
    <n v="271752077"/>
    <n v="277897380"/>
    <m/>
    <m/>
    <m/>
    <m/>
    <n v="0"/>
    <m/>
    <m/>
    <n v="0"/>
    <m/>
    <m/>
    <m/>
    <m/>
    <m/>
    <m/>
    <n v="271752077"/>
    <n v="277897380"/>
  </r>
  <r>
    <x v="13"/>
    <x v="0"/>
    <s v="Angelo State University"/>
    <m/>
    <n v="222831"/>
    <x v="2"/>
    <n v="30292147"/>
    <n v="30786439"/>
    <m/>
    <m/>
    <m/>
    <m/>
    <n v="33916306"/>
    <m/>
    <n v="33916306"/>
    <n v="30735695"/>
    <m/>
    <n v="30735695"/>
    <n v="64208453"/>
    <n v="61522134"/>
    <m/>
    <m/>
    <m/>
    <m/>
    <n v="0"/>
    <m/>
    <m/>
    <n v="0"/>
    <m/>
    <m/>
    <m/>
    <m/>
    <m/>
    <m/>
    <n v="64208453"/>
    <n v="61522134"/>
  </r>
  <r>
    <x v="13"/>
    <x v="0"/>
    <s v="Lamar University"/>
    <m/>
    <n v="226091"/>
    <x v="2"/>
    <n v="49379031"/>
    <n v="50082297"/>
    <m/>
    <m/>
    <m/>
    <m/>
    <n v="83404139"/>
    <m/>
    <n v="83404139"/>
    <n v="85080557"/>
    <m/>
    <n v="85080557"/>
    <n v="132783170"/>
    <n v="135162854"/>
    <m/>
    <m/>
    <m/>
    <m/>
    <n v="0"/>
    <m/>
    <m/>
    <n v="0"/>
    <m/>
    <m/>
    <m/>
    <m/>
    <m/>
    <m/>
    <n v="132783170"/>
    <n v="135162854"/>
  </r>
  <r>
    <x v="13"/>
    <x v="0"/>
    <s v="Midwestern State University  "/>
    <m/>
    <n v="226833"/>
    <x v="2"/>
    <n v="20532679"/>
    <n v="20814756"/>
    <m/>
    <m/>
    <m/>
    <m/>
    <n v="31130657"/>
    <m/>
    <n v="31130657"/>
    <n v="31048888"/>
    <m/>
    <n v="31048888"/>
    <n v="51663336"/>
    <n v="51863644"/>
    <m/>
    <m/>
    <m/>
    <m/>
    <n v="0"/>
    <m/>
    <m/>
    <n v="0"/>
    <m/>
    <m/>
    <m/>
    <m/>
    <m/>
    <m/>
    <n v="51663336"/>
    <n v="51863644"/>
  </r>
  <r>
    <x v="13"/>
    <x v="0"/>
    <s v="Prairie View A&amp;M University"/>
    <m/>
    <n v="227526"/>
    <x v="2"/>
    <n v="62152018"/>
    <n v="62731877"/>
    <m/>
    <m/>
    <m/>
    <m/>
    <n v="32976606"/>
    <m/>
    <n v="32976606"/>
    <n v="32483688"/>
    <m/>
    <n v="32483688"/>
    <n v="95128624"/>
    <n v="95215565"/>
    <m/>
    <m/>
    <m/>
    <m/>
    <n v="0"/>
    <m/>
    <m/>
    <n v="0"/>
    <m/>
    <m/>
    <m/>
    <m/>
    <m/>
    <m/>
    <n v="95128624"/>
    <n v="95215565"/>
  </r>
  <r>
    <x v="13"/>
    <x v="0"/>
    <s v="Sam Houston State University "/>
    <m/>
    <n v="227881"/>
    <x v="2"/>
    <n v="55017287"/>
    <n v="55988378"/>
    <m/>
    <m/>
    <m/>
    <m/>
    <n v="95482701"/>
    <m/>
    <n v="95482701"/>
    <n v="113966816"/>
    <m/>
    <n v="113966816"/>
    <n v="150499988"/>
    <n v="169955194"/>
    <m/>
    <m/>
    <m/>
    <m/>
    <n v="0"/>
    <m/>
    <m/>
    <n v="0"/>
    <m/>
    <m/>
    <m/>
    <m/>
    <m/>
    <m/>
    <n v="150499988"/>
    <n v="169955194"/>
  </r>
  <r>
    <x v="13"/>
    <x v="0"/>
    <s v="Stephen F. Austin State University"/>
    <m/>
    <n v="228431"/>
    <x v="2"/>
    <n v="49388727"/>
    <n v="50412317"/>
    <m/>
    <m/>
    <m/>
    <m/>
    <n v="68185946"/>
    <m/>
    <n v="68185946"/>
    <n v="71040569"/>
    <m/>
    <n v="71040569"/>
    <n v="117574673"/>
    <n v="121452886"/>
    <m/>
    <m/>
    <m/>
    <m/>
    <n v="0"/>
    <m/>
    <m/>
    <n v="0"/>
    <m/>
    <m/>
    <m/>
    <m/>
    <m/>
    <m/>
    <n v="117574673"/>
    <n v="121452886"/>
  </r>
  <r>
    <x v="13"/>
    <x v="0"/>
    <s v="Sul Ross State University "/>
    <m/>
    <n v="228501"/>
    <x v="2"/>
    <n v="13789618"/>
    <n v="14043939"/>
    <m/>
    <m/>
    <m/>
    <m/>
    <n v="10709181"/>
    <m/>
    <n v="10709181"/>
    <n v="7643400"/>
    <m/>
    <n v="7643400"/>
    <n v="24498799"/>
    <n v="21687339"/>
    <m/>
    <m/>
    <m/>
    <m/>
    <n v="0"/>
    <m/>
    <m/>
    <n v="0"/>
    <m/>
    <m/>
    <m/>
    <m/>
    <m/>
    <m/>
    <n v="24498799"/>
    <n v="21687339"/>
  </r>
  <r>
    <x v="13"/>
    <x v="0"/>
    <s v="Tarleton State University  "/>
    <m/>
    <n v="228529"/>
    <x v="2"/>
    <n v="38366046"/>
    <n v="38931535"/>
    <m/>
    <m/>
    <m/>
    <m/>
    <n v="44883493"/>
    <m/>
    <n v="44883493"/>
    <n v="49669471"/>
    <m/>
    <n v="49669471"/>
    <n v="83249539"/>
    <n v="88601006"/>
    <m/>
    <m/>
    <m/>
    <m/>
    <n v="0"/>
    <m/>
    <m/>
    <n v="0"/>
    <m/>
    <m/>
    <m/>
    <m/>
    <m/>
    <m/>
    <n v="83249539"/>
    <n v="88601006"/>
  </r>
  <r>
    <x v="13"/>
    <x v="0"/>
    <s v="Texas A&amp;M International University"/>
    <m/>
    <n v="226152"/>
    <x v="2"/>
    <n v="26759604"/>
    <n v="27051935"/>
    <m/>
    <m/>
    <m/>
    <m/>
    <n v="16855507"/>
    <m/>
    <n v="16855507"/>
    <n v="17850797"/>
    <m/>
    <n v="17850797"/>
    <n v="43615111"/>
    <n v="44902732"/>
    <m/>
    <m/>
    <m/>
    <m/>
    <n v="0"/>
    <m/>
    <m/>
    <n v="0"/>
    <m/>
    <m/>
    <m/>
    <m/>
    <m/>
    <m/>
    <n v="43615111"/>
    <n v="44902732"/>
  </r>
  <r>
    <x v="13"/>
    <x v="0"/>
    <s v="Texas A&amp;M University-Commerce"/>
    <m/>
    <n v="224554"/>
    <x v="2"/>
    <n v="44305359"/>
    <n v="45037136"/>
    <m/>
    <m/>
    <m/>
    <m/>
    <n v="59458198"/>
    <m/>
    <n v="59458198"/>
    <n v="51751806"/>
    <m/>
    <n v="51751806"/>
    <n v="103763557"/>
    <n v="96788942"/>
    <m/>
    <m/>
    <m/>
    <m/>
    <n v="0"/>
    <m/>
    <m/>
    <n v="0"/>
    <m/>
    <m/>
    <m/>
    <m/>
    <m/>
    <m/>
    <n v="103763557"/>
    <n v="96788942"/>
  </r>
  <r>
    <x v="13"/>
    <x v="0"/>
    <s v="Texas A&amp;M University-Corpus Christi "/>
    <m/>
    <n v="224147"/>
    <x v="2"/>
    <n v="46736906"/>
    <n v="46708047"/>
    <m/>
    <m/>
    <m/>
    <m/>
    <n v="48308637"/>
    <m/>
    <n v="48308637"/>
    <n v="51187347"/>
    <m/>
    <n v="51187347"/>
    <n v="95045543"/>
    <n v="97895394"/>
    <m/>
    <m/>
    <m/>
    <m/>
    <n v="0"/>
    <m/>
    <m/>
    <n v="0"/>
    <m/>
    <m/>
    <m/>
    <m/>
    <m/>
    <m/>
    <n v="95045543"/>
    <n v="97895394"/>
  </r>
  <r>
    <x v="13"/>
    <x v="0"/>
    <s v="Texas A&amp;M University-Kingsville"/>
    <m/>
    <n v="228705"/>
    <x v="2"/>
    <n v="38119107"/>
    <n v="38594815"/>
    <m/>
    <m/>
    <m/>
    <m/>
    <n v="28897075"/>
    <m/>
    <n v="28897075"/>
    <n v="35423712"/>
    <m/>
    <n v="35423712"/>
    <n v="67016182"/>
    <n v="74018527"/>
    <m/>
    <m/>
    <m/>
    <m/>
    <n v="0"/>
    <m/>
    <m/>
    <n v="0"/>
    <m/>
    <m/>
    <m/>
    <m/>
    <m/>
    <m/>
    <n v="67016182"/>
    <n v="74018527"/>
  </r>
  <r>
    <x v="13"/>
    <x v="0"/>
    <s v="Texas Southern University "/>
    <m/>
    <n v="229063"/>
    <x v="2"/>
    <n v="53064103"/>
    <n v="53643503"/>
    <m/>
    <m/>
    <m/>
    <m/>
    <n v="60443378"/>
    <m/>
    <n v="60443378"/>
    <n v="49774869"/>
    <m/>
    <n v="49774869"/>
    <n v="113507481"/>
    <n v="103418372"/>
    <m/>
    <m/>
    <m/>
    <m/>
    <n v="0"/>
    <m/>
    <m/>
    <n v="0"/>
    <m/>
    <m/>
    <m/>
    <m/>
    <m/>
    <m/>
    <n v="113507481"/>
    <n v="103418372"/>
  </r>
  <r>
    <x v="13"/>
    <x v="0"/>
    <s v="Texas State University"/>
    <s v="Met the criteria for Four-Year 2 in 2014-15."/>
    <n v="228459"/>
    <x v="2"/>
    <n v="109738634"/>
    <n v="111819669"/>
    <n v="1015475"/>
    <n v="225848"/>
    <m/>
    <m/>
    <n v="169094909"/>
    <m/>
    <n v="169094909"/>
    <n v="187726876"/>
    <m/>
    <n v="187726876"/>
    <n v="279849018"/>
    <n v="299772393"/>
    <m/>
    <m/>
    <m/>
    <m/>
    <n v="0"/>
    <m/>
    <m/>
    <n v="0"/>
    <m/>
    <m/>
    <m/>
    <m/>
    <m/>
    <m/>
    <n v="279849018"/>
    <n v="299772393"/>
  </r>
  <r>
    <x v="13"/>
    <x v="0"/>
    <s v="University of Houston-Clear Lake "/>
    <m/>
    <n v="225414"/>
    <x v="2"/>
    <n v="32343569"/>
    <n v="32708198"/>
    <m/>
    <m/>
    <m/>
    <m/>
    <n v="40241610"/>
    <m/>
    <n v="40241610"/>
    <n v="49027228"/>
    <m/>
    <n v="49027228"/>
    <n v="72585179"/>
    <n v="81735426"/>
    <m/>
    <m/>
    <m/>
    <m/>
    <n v="0"/>
    <m/>
    <m/>
    <n v="0"/>
    <m/>
    <m/>
    <m/>
    <m/>
    <m/>
    <m/>
    <n v="72585179"/>
    <n v="81735426"/>
  </r>
  <r>
    <x v="13"/>
    <x v="0"/>
    <s v="University of Texas at Brownsville"/>
    <m/>
    <n v="227377"/>
    <x v="2"/>
    <n v="24929612"/>
    <n v="25488314"/>
    <m/>
    <m/>
    <m/>
    <m/>
    <n v="27619038"/>
    <m/>
    <n v="27619038"/>
    <n v="26467657"/>
    <m/>
    <n v="26467657"/>
    <n v="52548650"/>
    <n v="51955971"/>
    <m/>
    <m/>
    <m/>
    <m/>
    <n v="0"/>
    <m/>
    <m/>
    <n v="0"/>
    <m/>
    <m/>
    <m/>
    <m/>
    <m/>
    <m/>
    <n v="52548650"/>
    <n v="51955971"/>
  </r>
  <r>
    <x v="13"/>
    <x v="0"/>
    <s v="University of Texas-Pan American"/>
    <m/>
    <n v="227368"/>
    <x v="2"/>
    <n v="68689383"/>
    <n v="69749122"/>
    <m/>
    <m/>
    <m/>
    <m/>
    <n v="37114601"/>
    <m/>
    <n v="37114601"/>
    <n v="61971865"/>
    <m/>
    <n v="61971865"/>
    <n v="105803984"/>
    <n v="131720987"/>
    <m/>
    <m/>
    <m/>
    <m/>
    <n v="0"/>
    <m/>
    <m/>
    <n v="0"/>
    <m/>
    <m/>
    <m/>
    <m/>
    <m/>
    <m/>
    <n v="105803984"/>
    <n v="131720987"/>
  </r>
  <r>
    <x v="13"/>
    <x v="0"/>
    <s v="University of Texas at Tyler"/>
    <m/>
    <n v="228802"/>
    <x v="2"/>
    <n v="31534322"/>
    <n v="32005010"/>
    <m/>
    <m/>
    <m/>
    <m/>
    <n v="27363871"/>
    <m/>
    <n v="27363871"/>
    <n v="32899701"/>
    <m/>
    <n v="32899701"/>
    <n v="58898193"/>
    <n v="64904711"/>
    <m/>
    <m/>
    <m/>
    <m/>
    <n v="0"/>
    <m/>
    <m/>
    <n v="0"/>
    <m/>
    <m/>
    <m/>
    <m/>
    <m/>
    <m/>
    <n v="58898193"/>
    <n v="64904711"/>
  </r>
  <r>
    <x v="13"/>
    <x v="0"/>
    <s v="University of Texas of the Permian Basin"/>
    <m/>
    <n v="229018"/>
    <x v="2"/>
    <n v="21355849"/>
    <n v="21605981"/>
    <m/>
    <m/>
    <m/>
    <m/>
    <n v="13643671"/>
    <m/>
    <n v="13643671"/>
    <n v="21563949"/>
    <m/>
    <n v="21563949"/>
    <n v="34999520"/>
    <n v="43169930"/>
    <m/>
    <m/>
    <m/>
    <m/>
    <n v="0"/>
    <m/>
    <m/>
    <n v="0"/>
    <m/>
    <m/>
    <m/>
    <m/>
    <m/>
    <m/>
    <n v="34999520"/>
    <n v="43169930"/>
  </r>
  <r>
    <x v="13"/>
    <x v="0"/>
    <s v="West Texas A&amp;M University"/>
    <m/>
    <n v="229814"/>
    <x v="2"/>
    <n v="31104533"/>
    <n v="31437462"/>
    <m/>
    <m/>
    <m/>
    <m/>
    <n v="32655974"/>
    <m/>
    <n v="32655974"/>
    <n v="36080197"/>
    <m/>
    <n v="36080197"/>
    <n v="63760507"/>
    <n v="67517659"/>
    <m/>
    <m/>
    <m/>
    <m/>
    <n v="0"/>
    <m/>
    <m/>
    <n v="0"/>
    <m/>
    <m/>
    <m/>
    <m/>
    <m/>
    <m/>
    <n v="63760507"/>
    <n v="67517659"/>
  </r>
  <r>
    <x v="13"/>
    <x v="0"/>
    <s v="Texas A&amp;M Univ-Central Texas"/>
    <s v="Met the criteria for Four-Year 3 in 2014-15."/>
    <n v="483036"/>
    <x v="3"/>
    <n v="14002722"/>
    <n v="14080436"/>
    <m/>
    <m/>
    <m/>
    <m/>
    <n v="10114054"/>
    <m/>
    <n v="10114054"/>
    <n v="11694832"/>
    <m/>
    <n v="11694832"/>
    <n v="24116776"/>
    <n v="25775268"/>
    <m/>
    <m/>
    <m/>
    <m/>
    <n v="0"/>
    <m/>
    <m/>
    <n v="0"/>
    <m/>
    <m/>
    <m/>
    <m/>
    <m/>
    <m/>
    <n v="24116776"/>
    <n v="25775268"/>
  </r>
  <r>
    <x v="13"/>
    <x v="0"/>
    <s v="Texas A&amp;M -Texarkana"/>
    <s v="Met the criteria for Four-Year 3 in 2014-15."/>
    <n v="224545"/>
    <x v="3"/>
    <n v="12960473"/>
    <n v="13092983"/>
    <m/>
    <m/>
    <m/>
    <m/>
    <n v="6381690"/>
    <m/>
    <n v="6381690"/>
    <n v="5659395"/>
    <m/>
    <n v="5659395"/>
    <n v="19342163"/>
    <n v="18752378"/>
    <m/>
    <m/>
    <m/>
    <m/>
    <n v="0"/>
    <m/>
    <m/>
    <n v="0"/>
    <m/>
    <m/>
    <m/>
    <m/>
    <m/>
    <m/>
    <n v="19342163"/>
    <n v="18752378"/>
  </r>
  <r>
    <x v="13"/>
    <x v="0"/>
    <s v="University of Houston-Victoria"/>
    <s v="Met the criteria for Four-Year 3 in 2014-15."/>
    <n v="225502"/>
    <x v="3"/>
    <n v="19046676"/>
    <n v="19278438"/>
    <m/>
    <m/>
    <m/>
    <m/>
    <n v="14902527"/>
    <m/>
    <n v="14902527"/>
    <n v="16664907"/>
    <m/>
    <n v="16664907"/>
    <n v="33949203"/>
    <n v="35943345"/>
    <m/>
    <m/>
    <m/>
    <m/>
    <n v="0"/>
    <m/>
    <m/>
    <n v="0"/>
    <m/>
    <m/>
    <m/>
    <m/>
    <m/>
    <m/>
    <n v="33949203"/>
    <n v="35943345"/>
  </r>
  <r>
    <x v="13"/>
    <x v="0"/>
    <s v="Sul Ross State University-Rio Grande College"/>
    <m/>
    <n v="227924"/>
    <x v="4"/>
    <n v="5737509"/>
    <n v="5777053"/>
    <m/>
    <m/>
    <m/>
    <m/>
    <m/>
    <m/>
    <n v="0"/>
    <m/>
    <m/>
    <n v="0"/>
    <n v="5737509"/>
    <n v="5777053"/>
    <m/>
    <m/>
    <m/>
    <m/>
    <n v="0"/>
    <m/>
    <m/>
    <n v="0"/>
    <m/>
    <m/>
    <m/>
    <m/>
    <m/>
    <m/>
    <n v="5737509"/>
    <n v="5777053"/>
  </r>
  <r>
    <x v="13"/>
    <x v="0"/>
    <s v="Texas A&amp;M Univ-San Antonio"/>
    <m/>
    <n v="870501"/>
    <x v="4"/>
    <n v="17909543"/>
    <n v="18079453"/>
    <m/>
    <m/>
    <m/>
    <m/>
    <n v="18054212"/>
    <m/>
    <n v="18054212"/>
    <n v="19136282"/>
    <m/>
    <n v="19136282"/>
    <n v="35963755"/>
    <n v="37215735"/>
    <m/>
    <m/>
    <m/>
    <m/>
    <n v="0"/>
    <m/>
    <m/>
    <n v="0"/>
    <m/>
    <m/>
    <m/>
    <m/>
    <m/>
    <m/>
    <n v="35963755"/>
    <n v="37215735"/>
  </r>
  <r>
    <x v="13"/>
    <x v="0"/>
    <s v="University of Houston-Downtown"/>
    <m/>
    <n v="225432"/>
    <x v="4"/>
    <n v="28556567"/>
    <n v="28916744"/>
    <m/>
    <m/>
    <m/>
    <m/>
    <n v="56733631"/>
    <m/>
    <n v="56733631"/>
    <n v="55933873"/>
    <m/>
    <n v="55933873"/>
    <n v="85290198"/>
    <n v="84850617"/>
    <m/>
    <m/>
    <m/>
    <m/>
    <n v="0"/>
    <m/>
    <m/>
    <n v="0"/>
    <m/>
    <m/>
    <m/>
    <m/>
    <m/>
    <m/>
    <n v="85290198"/>
    <n v="84850617"/>
  </r>
  <r>
    <x v="13"/>
    <x v="0"/>
    <s v="Texas A&amp;M University at Galveston"/>
    <s v="Met the criteria for Four-Year 5 in 2014-15."/>
    <n v="228714"/>
    <x v="5"/>
    <n v="15702931"/>
    <n v="16144858"/>
    <m/>
    <m/>
    <m/>
    <m/>
    <n v="16003426"/>
    <m/>
    <n v="16003426"/>
    <n v="17891709"/>
    <m/>
    <n v="17891709"/>
    <n v="31706357"/>
    <n v="34036567"/>
    <m/>
    <m/>
    <m/>
    <m/>
    <n v="0"/>
    <m/>
    <m/>
    <n v="0"/>
    <m/>
    <m/>
    <m/>
    <m/>
    <m/>
    <m/>
    <n v="31706357"/>
    <n v="34036567"/>
  </r>
  <r>
    <x v="13"/>
    <x v="0"/>
    <s v="Brazosport College "/>
    <m/>
    <n v="223506"/>
    <x v="14"/>
    <n v="7572184"/>
    <n v="7655464"/>
    <m/>
    <m/>
    <n v="16908797"/>
    <n v="13443042"/>
    <n v="8763635"/>
    <m/>
    <n v="8763635"/>
    <n v="9678512"/>
    <m/>
    <n v="9678512"/>
    <n v="33244616"/>
    <n v="30777018"/>
    <m/>
    <m/>
    <m/>
    <m/>
    <n v="0"/>
    <m/>
    <m/>
    <n v="0"/>
    <m/>
    <m/>
    <m/>
    <m/>
    <m/>
    <m/>
    <n v="33244616"/>
    <n v="30777018"/>
  </r>
  <r>
    <x v="13"/>
    <x v="0"/>
    <s v="Midland College "/>
    <m/>
    <n v="226806"/>
    <x v="14"/>
    <n v="11385943"/>
    <n v="11503958"/>
    <m/>
    <m/>
    <n v="20113716"/>
    <n v="20910228"/>
    <n v="10272180"/>
    <m/>
    <n v="10272180"/>
    <n v="9778001"/>
    <m/>
    <n v="9778001"/>
    <n v="41771839"/>
    <n v="42192187"/>
    <m/>
    <m/>
    <m/>
    <m/>
    <n v="0"/>
    <m/>
    <m/>
    <n v="0"/>
    <m/>
    <m/>
    <m/>
    <m/>
    <m/>
    <m/>
    <n v="41771839"/>
    <n v="42192187"/>
  </r>
  <r>
    <x v="13"/>
    <x v="0"/>
    <s v="South Texas College"/>
    <m/>
    <n v="409315"/>
    <x v="14"/>
    <n v="42547249"/>
    <n v="42883811"/>
    <m/>
    <m/>
    <n v="45852447"/>
    <n v="33983319"/>
    <n v="21051377"/>
    <m/>
    <n v="21051377"/>
    <n v="20488244"/>
    <m/>
    <n v="20488244"/>
    <n v="109451073"/>
    <n v="97355374"/>
    <m/>
    <m/>
    <m/>
    <m/>
    <n v="0"/>
    <m/>
    <m/>
    <n v="0"/>
    <m/>
    <m/>
    <m/>
    <m/>
    <m/>
    <m/>
    <n v="109451073"/>
    <n v="97355374"/>
  </r>
  <r>
    <x v="13"/>
    <x v="0"/>
    <s v="Amarillo College "/>
    <m/>
    <n v="222576"/>
    <x v="6"/>
    <n v="19586285"/>
    <n v="19806278"/>
    <m/>
    <m/>
    <n v="20730558"/>
    <n v="16380168"/>
    <n v="15381607"/>
    <m/>
    <n v="15381607"/>
    <n v="14943828"/>
    <m/>
    <n v="14943828"/>
    <n v="55698450"/>
    <n v="51130274"/>
    <m/>
    <m/>
    <m/>
    <m/>
    <n v="0"/>
    <m/>
    <m/>
    <n v="0"/>
    <m/>
    <m/>
    <m/>
    <m/>
    <m/>
    <m/>
    <n v="55698450"/>
    <n v="51130274"/>
  </r>
  <r>
    <x v="13"/>
    <x v="0"/>
    <s v="Austin Community College "/>
    <m/>
    <n v="222992"/>
    <x v="6"/>
    <n v="64666473"/>
    <n v="60244892"/>
    <m/>
    <m/>
    <n v="111385047"/>
    <n v="112623323"/>
    <n v="59622584"/>
    <m/>
    <n v="59622584"/>
    <n v="58817581"/>
    <m/>
    <n v="58817581"/>
    <n v="235674104"/>
    <n v="231685796"/>
    <m/>
    <m/>
    <m/>
    <m/>
    <n v="0"/>
    <m/>
    <m/>
    <n v="0"/>
    <m/>
    <m/>
    <m/>
    <m/>
    <m/>
    <m/>
    <n v="235674104"/>
    <n v="231685796"/>
  </r>
  <r>
    <x v="13"/>
    <x v="0"/>
    <s v="Blinn College "/>
    <m/>
    <n v="223427"/>
    <x v="6"/>
    <n v="27137844"/>
    <n v="27351014"/>
    <m/>
    <m/>
    <n v="1504461"/>
    <n v="1637679"/>
    <n v="42247252"/>
    <m/>
    <n v="42247252"/>
    <n v="45156170"/>
    <m/>
    <n v="45156170"/>
    <n v="70889557"/>
    <n v="74144863"/>
    <m/>
    <m/>
    <m/>
    <m/>
    <n v="0"/>
    <m/>
    <m/>
    <n v="0"/>
    <m/>
    <m/>
    <m/>
    <m/>
    <m/>
    <m/>
    <n v="70889557"/>
    <n v="74144863"/>
  </r>
  <r>
    <x v="13"/>
    <x v="0"/>
    <s v="Brookhaven College  (DCCCD)"/>
    <m/>
    <n v="223524"/>
    <x v="6"/>
    <n v="0"/>
    <n v="0"/>
    <m/>
    <m/>
    <m/>
    <m/>
    <m/>
    <m/>
    <n v="0"/>
    <m/>
    <m/>
    <n v="0"/>
    <n v="0"/>
    <n v="0"/>
    <m/>
    <m/>
    <m/>
    <m/>
    <n v="0"/>
    <m/>
    <m/>
    <n v="0"/>
    <m/>
    <m/>
    <m/>
    <m/>
    <m/>
    <m/>
    <n v="0"/>
    <n v="0"/>
  </r>
  <r>
    <x v="13"/>
    <x v="0"/>
    <s v="Central Texas College "/>
    <m/>
    <n v="223816"/>
    <x v="6"/>
    <n v="24081910"/>
    <n v="24243309"/>
    <m/>
    <m/>
    <n v="11370375"/>
    <n v="11447915"/>
    <n v="55626692"/>
    <m/>
    <n v="55626692"/>
    <n v="44626464"/>
    <m/>
    <n v="44626464"/>
    <n v="91078977"/>
    <n v="80317688"/>
    <m/>
    <m/>
    <m/>
    <m/>
    <n v="0"/>
    <m/>
    <m/>
    <n v="0"/>
    <m/>
    <m/>
    <m/>
    <m/>
    <m/>
    <m/>
    <n v="91078977"/>
    <n v="80317688"/>
  </r>
  <r>
    <x v="13"/>
    <x v="0"/>
    <s v="Collin County Community College District"/>
    <m/>
    <n v="247834"/>
    <x v="6"/>
    <n v="39264795"/>
    <n v="39527359"/>
    <m/>
    <m/>
    <n v="66783530"/>
    <n v="63956055"/>
    <n v="26569192"/>
    <m/>
    <n v="26569192"/>
    <n v="27967481"/>
    <m/>
    <n v="27967481"/>
    <n v="132617517"/>
    <n v="131450895"/>
    <m/>
    <m/>
    <m/>
    <m/>
    <n v="0"/>
    <m/>
    <m/>
    <n v="0"/>
    <m/>
    <m/>
    <m/>
    <m/>
    <m/>
    <m/>
    <n v="132617517"/>
    <n v="131450895"/>
  </r>
  <r>
    <x v="13"/>
    <x v="0"/>
    <s v="Del Mar College "/>
    <m/>
    <n v="224350"/>
    <x v="6"/>
    <n v="20118056"/>
    <n v="20324955"/>
    <m/>
    <m/>
    <n v="45972603"/>
    <n v="40524142"/>
    <n v="9681161"/>
    <m/>
    <n v="9681161"/>
    <n v="10683123"/>
    <m/>
    <n v="10683123"/>
    <n v="75771820"/>
    <n v="71532220"/>
    <m/>
    <m/>
    <m/>
    <m/>
    <n v="0"/>
    <m/>
    <m/>
    <n v="0"/>
    <m/>
    <m/>
    <m/>
    <m/>
    <m/>
    <m/>
    <n v="75771820"/>
    <n v="71532220"/>
  </r>
  <r>
    <x v="13"/>
    <x v="0"/>
    <s v="Eastfield College  (DCCCD)"/>
    <m/>
    <n v="224572"/>
    <x v="6"/>
    <n v="0"/>
    <n v="0"/>
    <m/>
    <m/>
    <m/>
    <m/>
    <m/>
    <m/>
    <n v="0"/>
    <m/>
    <m/>
    <n v="0"/>
    <n v="0"/>
    <n v="0"/>
    <m/>
    <m/>
    <m/>
    <m/>
    <n v="0"/>
    <m/>
    <m/>
    <n v="0"/>
    <m/>
    <m/>
    <m/>
    <m/>
    <m/>
    <m/>
    <n v="0"/>
    <n v="0"/>
  </r>
  <r>
    <x v="13"/>
    <x v="0"/>
    <s v="El Centro College  (DCCCD)"/>
    <m/>
    <n v="224615"/>
    <x v="6"/>
    <n v="0"/>
    <n v="0"/>
    <m/>
    <m/>
    <m/>
    <m/>
    <m/>
    <m/>
    <n v="0"/>
    <m/>
    <m/>
    <n v="0"/>
    <n v="0"/>
    <n v="0"/>
    <m/>
    <m/>
    <m/>
    <m/>
    <n v="0"/>
    <m/>
    <m/>
    <n v="0"/>
    <m/>
    <m/>
    <m/>
    <m/>
    <m/>
    <m/>
    <n v="0"/>
    <n v="0"/>
  </r>
  <r>
    <x v="13"/>
    <x v="0"/>
    <s v="El Paso County Community College District"/>
    <m/>
    <n v="224642"/>
    <x v="6"/>
    <n v="41990597"/>
    <n v="42378301"/>
    <m/>
    <m/>
    <n v="42729975"/>
    <n v="47104419"/>
    <n v="22181240"/>
    <m/>
    <n v="22181240"/>
    <n v="20354706"/>
    <m/>
    <n v="20354706"/>
    <n v="106901812"/>
    <n v="109837426"/>
    <m/>
    <m/>
    <m/>
    <m/>
    <n v="0"/>
    <m/>
    <m/>
    <n v="0"/>
    <m/>
    <m/>
    <m/>
    <m/>
    <m/>
    <m/>
    <n v="106901812"/>
    <n v="109837426"/>
  </r>
  <r>
    <x v="13"/>
    <x v="0"/>
    <s v="Houston Community College"/>
    <m/>
    <n v="225423"/>
    <x v="6"/>
    <n v="82093421"/>
    <n v="82775295"/>
    <m/>
    <m/>
    <n v="130035929"/>
    <n v="113987287"/>
    <n v="71433953"/>
    <m/>
    <n v="71433953"/>
    <n v="70689034"/>
    <m/>
    <n v="70689034"/>
    <n v="283563303"/>
    <n v="267451616"/>
    <m/>
    <m/>
    <m/>
    <m/>
    <n v="0"/>
    <m/>
    <m/>
    <n v="0"/>
    <m/>
    <m/>
    <m/>
    <m/>
    <m/>
    <m/>
    <n v="283563303"/>
    <n v="267451616"/>
  </r>
  <r>
    <x v="13"/>
    <x v="0"/>
    <s v="Kilgore College "/>
    <s v="Met the criteria for Two-Year 2 in 2013-14 and 2014-15."/>
    <n v="226019"/>
    <x v="6"/>
    <n v="13286476"/>
    <n v="13422078"/>
    <m/>
    <m/>
    <n v="6207262"/>
    <n v="6346275"/>
    <n v="8533498"/>
    <m/>
    <n v="8533498"/>
    <n v="7916233"/>
    <m/>
    <n v="7916233"/>
    <n v="28027236"/>
    <n v="27684586"/>
    <m/>
    <m/>
    <m/>
    <m/>
    <n v="0"/>
    <m/>
    <m/>
    <n v="0"/>
    <m/>
    <m/>
    <m/>
    <m/>
    <m/>
    <m/>
    <n v="28027236"/>
    <n v="27684586"/>
  </r>
  <r>
    <x v="13"/>
    <x v="0"/>
    <s v="Laredo Community College "/>
    <m/>
    <n v="226134"/>
    <x v="6"/>
    <n v="15169102"/>
    <n v="15368607"/>
    <m/>
    <m/>
    <n v="28155631"/>
    <n v="24808574"/>
    <n v="8780001"/>
    <m/>
    <n v="8780001"/>
    <n v="8580215"/>
    <m/>
    <n v="8580215"/>
    <n v="52104734"/>
    <n v="48757396"/>
    <m/>
    <m/>
    <m/>
    <m/>
    <n v="0"/>
    <m/>
    <m/>
    <n v="0"/>
    <m/>
    <m/>
    <m/>
    <m/>
    <m/>
    <m/>
    <n v="52104734"/>
    <n v="48757396"/>
  </r>
  <r>
    <x v="13"/>
    <x v="0"/>
    <s v="Lone Star College System District"/>
    <m/>
    <n v="227182"/>
    <x v="6"/>
    <n v="87201886"/>
    <n v="87834721"/>
    <m/>
    <m/>
    <n v="146569549"/>
    <n v="109040590"/>
    <n v="59682149"/>
    <m/>
    <n v="59682149"/>
    <n v="61961356"/>
    <m/>
    <n v="61961356"/>
    <n v="293453584"/>
    <n v="258836667"/>
    <m/>
    <m/>
    <m/>
    <m/>
    <n v="0"/>
    <m/>
    <m/>
    <n v="0"/>
    <m/>
    <m/>
    <m/>
    <m/>
    <m/>
    <m/>
    <n v="293453584"/>
    <n v="258836667"/>
  </r>
  <r>
    <x v="13"/>
    <x v="0"/>
    <s v="McLennan Community College "/>
    <m/>
    <n v="226578"/>
    <x v="6"/>
    <n v="17172381"/>
    <n v="17342195"/>
    <m/>
    <m/>
    <n v="12733190"/>
    <n v="13148553"/>
    <n v="19436996"/>
    <m/>
    <n v="19436996"/>
    <n v="17003014"/>
    <m/>
    <n v="17003014"/>
    <n v="49342567"/>
    <n v="47493762"/>
    <m/>
    <m/>
    <m/>
    <m/>
    <n v="0"/>
    <m/>
    <m/>
    <n v="0"/>
    <m/>
    <m/>
    <m/>
    <m/>
    <m/>
    <m/>
    <n v="49342567"/>
    <n v="47493762"/>
  </r>
  <r>
    <x v="13"/>
    <x v="0"/>
    <s v="Navarro College "/>
    <m/>
    <n v="227146"/>
    <x v="6"/>
    <n v="18425710"/>
    <n v="18527448"/>
    <m/>
    <m/>
    <n v="3342472"/>
    <n v="3359627"/>
    <n v="14202493"/>
    <m/>
    <n v="14202493"/>
    <n v="14029788"/>
    <m/>
    <n v="14029788"/>
    <n v="35970675"/>
    <n v="35916863"/>
    <m/>
    <m/>
    <m/>
    <m/>
    <n v="0"/>
    <m/>
    <m/>
    <n v="0"/>
    <m/>
    <m/>
    <m/>
    <m/>
    <m/>
    <m/>
    <n v="35970675"/>
    <n v="35916863"/>
  </r>
  <r>
    <x v="13"/>
    <x v="0"/>
    <s v="North Central Texas Community College"/>
    <m/>
    <n v="224110"/>
    <x v="6"/>
    <n v="13292571"/>
    <n v="13386970"/>
    <m/>
    <m/>
    <n v="2220581"/>
    <n v="2267607"/>
    <n v="13280934"/>
    <m/>
    <n v="13280934"/>
    <n v="13763954"/>
    <m/>
    <n v="13763954"/>
    <n v="28794086"/>
    <n v="29418531"/>
    <m/>
    <m/>
    <m/>
    <m/>
    <n v="0"/>
    <m/>
    <m/>
    <n v="0"/>
    <m/>
    <m/>
    <m/>
    <m/>
    <m/>
    <m/>
    <n v="28794086"/>
    <n v="29418531"/>
  </r>
  <r>
    <x v="13"/>
    <x v="0"/>
    <s v="North Lake College  (DCCCD)"/>
    <m/>
    <n v="227191"/>
    <x v="6"/>
    <n v="0"/>
    <n v="0"/>
    <m/>
    <m/>
    <m/>
    <m/>
    <m/>
    <m/>
    <n v="0"/>
    <m/>
    <m/>
    <n v="0"/>
    <n v="0"/>
    <n v="0"/>
    <m/>
    <m/>
    <m/>
    <m/>
    <n v="0"/>
    <m/>
    <m/>
    <n v="0"/>
    <m/>
    <m/>
    <m/>
    <m/>
    <m/>
    <m/>
    <n v="0"/>
    <n v="0"/>
  </r>
  <r>
    <x v="13"/>
    <x v="0"/>
    <s v="Northwest Vista College (ACCD)"/>
    <m/>
    <n v="420398"/>
    <x v="6"/>
    <n v="0"/>
    <n v="0"/>
    <m/>
    <m/>
    <m/>
    <m/>
    <m/>
    <m/>
    <n v="0"/>
    <m/>
    <m/>
    <n v="0"/>
    <n v="0"/>
    <n v="0"/>
    <m/>
    <m/>
    <m/>
    <m/>
    <n v="0"/>
    <m/>
    <m/>
    <n v="0"/>
    <m/>
    <m/>
    <m/>
    <m/>
    <m/>
    <m/>
    <n v="0"/>
    <n v="0"/>
  </r>
  <r>
    <x v="13"/>
    <x v="0"/>
    <s v="Palo Alto College  (ACCD)"/>
    <s v="Met the criteria for Two-Year 2 in 2014-15."/>
    <n v="246354"/>
    <x v="6"/>
    <n v="0"/>
    <n v="0"/>
    <m/>
    <m/>
    <m/>
    <m/>
    <m/>
    <m/>
    <n v="0"/>
    <m/>
    <m/>
    <n v="0"/>
    <n v="0"/>
    <n v="0"/>
    <m/>
    <m/>
    <m/>
    <m/>
    <n v="0"/>
    <m/>
    <m/>
    <n v="0"/>
    <m/>
    <m/>
    <m/>
    <m/>
    <m/>
    <m/>
    <n v="0"/>
    <n v="0"/>
  </r>
  <r>
    <x v="13"/>
    <x v="0"/>
    <s v="Richland College  (DCCCD)"/>
    <m/>
    <n v="227766"/>
    <x v="6"/>
    <n v="0"/>
    <n v="0"/>
    <m/>
    <m/>
    <m/>
    <m/>
    <m/>
    <m/>
    <n v="0"/>
    <m/>
    <m/>
    <n v="0"/>
    <n v="0"/>
    <n v="0"/>
    <m/>
    <m/>
    <m/>
    <m/>
    <n v="0"/>
    <m/>
    <m/>
    <n v="0"/>
    <m/>
    <m/>
    <m/>
    <m/>
    <m/>
    <m/>
    <n v="0"/>
    <n v="0"/>
  </r>
  <r>
    <x v="13"/>
    <x v="0"/>
    <s v="San Antonio College (ACCD)"/>
    <m/>
    <n v="227924"/>
    <x v="6"/>
    <n v="0"/>
    <n v="0"/>
    <m/>
    <m/>
    <m/>
    <m/>
    <m/>
    <m/>
    <n v="0"/>
    <m/>
    <m/>
    <n v="0"/>
    <n v="0"/>
    <n v="0"/>
    <m/>
    <m/>
    <m/>
    <m/>
    <n v="0"/>
    <m/>
    <m/>
    <n v="0"/>
    <m/>
    <m/>
    <m/>
    <m/>
    <m/>
    <m/>
    <n v="0"/>
    <n v="0"/>
  </r>
  <r>
    <x v="13"/>
    <x v="0"/>
    <s v="San Jacinto College (SJCDS)"/>
    <m/>
    <n v="227979"/>
    <x v="6"/>
    <n v="46738132"/>
    <n v="47194953"/>
    <m/>
    <m/>
    <n v="73136908"/>
    <n v="52961418"/>
    <n v="37524566"/>
    <m/>
    <n v="37524566"/>
    <n v="35402191"/>
    <m/>
    <n v="35402191"/>
    <n v="157399606"/>
    <n v="135558562"/>
    <m/>
    <m/>
    <m/>
    <m/>
    <n v="0"/>
    <m/>
    <m/>
    <n v="0"/>
    <m/>
    <m/>
    <m/>
    <m/>
    <m/>
    <m/>
    <n v="157399606"/>
    <n v="135558562"/>
  </r>
  <r>
    <x v="13"/>
    <x v="0"/>
    <s v="South Plains College "/>
    <m/>
    <n v="228158"/>
    <x v="6"/>
    <n v="17423459"/>
    <n v="17627662"/>
    <m/>
    <m/>
    <n v="12628617"/>
    <n v="12638839"/>
    <n v="15807862"/>
    <m/>
    <n v="15807862"/>
    <n v="17060485"/>
    <m/>
    <n v="17060485"/>
    <n v="45859938"/>
    <n v="47326986"/>
    <m/>
    <m/>
    <m/>
    <m/>
    <n v="0"/>
    <m/>
    <m/>
    <n v="0"/>
    <m/>
    <m/>
    <m/>
    <m/>
    <m/>
    <m/>
    <n v="45859938"/>
    <n v="47326986"/>
  </r>
  <r>
    <x v="13"/>
    <x v="0"/>
    <s v="St. Philip's College  (ACCD)"/>
    <m/>
    <n v="227854"/>
    <x v="6"/>
    <n v="0"/>
    <n v="0"/>
    <m/>
    <m/>
    <m/>
    <m/>
    <m/>
    <m/>
    <n v="0"/>
    <m/>
    <m/>
    <n v="0"/>
    <n v="0"/>
    <n v="0"/>
    <m/>
    <m/>
    <m/>
    <m/>
    <n v="0"/>
    <m/>
    <m/>
    <n v="0"/>
    <m/>
    <m/>
    <m/>
    <m/>
    <m/>
    <m/>
    <n v="0"/>
    <n v="0"/>
  </r>
  <r>
    <x v="13"/>
    <x v="0"/>
    <s v="Tarrant County College (TCJCD)"/>
    <m/>
    <n v="228547"/>
    <x v="6"/>
    <n v="70354985"/>
    <n v="71132299"/>
    <m/>
    <m/>
    <n v="186261467"/>
    <n v="179789467"/>
    <n v="50245813"/>
    <m/>
    <n v="50245813"/>
    <n v="49371002"/>
    <m/>
    <n v="49371002"/>
    <n v="306862265"/>
    <n v="300292768"/>
    <m/>
    <m/>
    <m/>
    <m/>
    <n v="0"/>
    <m/>
    <m/>
    <n v="0"/>
    <m/>
    <m/>
    <m/>
    <m/>
    <m/>
    <m/>
    <n v="306862265"/>
    <n v="300292768"/>
  </r>
  <r>
    <x v="13"/>
    <x v="0"/>
    <s v="Texas Southmost College "/>
    <s v="Reclassified: Met the criteria for Two-Year 2 in 2012-13, 2013-14, and 2014-15."/>
    <n v="229072"/>
    <x v="7"/>
    <n v="6920817"/>
    <n v="7042789"/>
    <m/>
    <m/>
    <n v="18257955"/>
    <n v="11284079"/>
    <n v="17786278"/>
    <m/>
    <n v="17786278"/>
    <n v="11611878"/>
    <m/>
    <n v="11611878"/>
    <n v="42965050"/>
    <n v="29938746"/>
    <m/>
    <m/>
    <m/>
    <m/>
    <n v="0"/>
    <m/>
    <m/>
    <n v="0"/>
    <m/>
    <m/>
    <m/>
    <m/>
    <m/>
    <m/>
    <n v="42965050"/>
    <n v="29938746"/>
  </r>
  <r>
    <x v="13"/>
    <x v="0"/>
    <s v="Texas State Technical College-Waco"/>
    <s v="Reclassified: Met the criteria for Two-Year 2 in 2012-13, 2013-14, and 2014-15."/>
    <n v="228680"/>
    <x v="7"/>
    <n v="30853124"/>
    <n v="31208864"/>
    <m/>
    <m/>
    <m/>
    <m/>
    <n v="12299657"/>
    <m/>
    <n v="12299657"/>
    <n v="12589597"/>
    <m/>
    <n v="12589597"/>
    <n v="43152781"/>
    <n v="43798461"/>
    <m/>
    <m/>
    <m/>
    <m/>
    <n v="0"/>
    <m/>
    <m/>
    <n v="0"/>
    <m/>
    <m/>
    <m/>
    <m/>
    <m/>
    <m/>
    <n v="43152781"/>
    <n v="43798461"/>
  </r>
  <r>
    <x v="13"/>
    <x v="0"/>
    <s v="Trinity Valley Community College"/>
    <m/>
    <n v="225308"/>
    <x v="6"/>
    <n v="13651877"/>
    <n v="13764084"/>
    <m/>
    <m/>
    <n v="8543457"/>
    <n v="9205394"/>
    <n v="6681563"/>
    <m/>
    <n v="6681563"/>
    <n v="6678354"/>
    <m/>
    <n v="6678354"/>
    <n v="28876897"/>
    <n v="29647832"/>
    <m/>
    <m/>
    <m/>
    <m/>
    <n v="0"/>
    <m/>
    <m/>
    <n v="0"/>
    <m/>
    <m/>
    <m/>
    <m/>
    <m/>
    <m/>
    <n v="28876897"/>
    <n v="29647832"/>
  </r>
  <r>
    <x v="13"/>
    <x v="0"/>
    <s v="Tyler Junior College "/>
    <m/>
    <n v="229355"/>
    <x v="6"/>
    <n v="21040249"/>
    <n v="21253314"/>
    <m/>
    <m/>
    <n v="21022138"/>
    <n v="21554921"/>
    <n v="13880102"/>
    <m/>
    <n v="13880102"/>
    <n v="12241079"/>
    <m/>
    <n v="12241079"/>
    <n v="55942489"/>
    <n v="55049314"/>
    <m/>
    <m/>
    <m/>
    <m/>
    <n v="0"/>
    <m/>
    <m/>
    <n v="0"/>
    <m/>
    <m/>
    <m/>
    <m/>
    <m/>
    <m/>
    <n v="55942489"/>
    <n v="55049314"/>
  </r>
  <r>
    <x v="13"/>
    <x v="0"/>
    <s v="Alvin Community College "/>
    <m/>
    <n v="222567"/>
    <x v="7"/>
    <n v="9485797"/>
    <n v="9580771"/>
    <m/>
    <m/>
    <n v="12261637"/>
    <n v="11586195"/>
    <n v="9095957"/>
    <m/>
    <n v="9095957"/>
    <n v="10252689"/>
    <m/>
    <n v="10252689"/>
    <n v="30843391"/>
    <n v="31419655"/>
    <m/>
    <m/>
    <m/>
    <m/>
    <n v="0"/>
    <m/>
    <m/>
    <n v="0"/>
    <m/>
    <m/>
    <m/>
    <m/>
    <m/>
    <m/>
    <n v="30843391"/>
    <n v="31419655"/>
  </r>
  <r>
    <x v="13"/>
    <x v="0"/>
    <s v="Angelina College "/>
    <m/>
    <n v="222822"/>
    <x v="7"/>
    <n v="9286870"/>
    <n v="9374730"/>
    <m/>
    <m/>
    <n v="6412418"/>
    <n v="4994911"/>
    <n v="4590713"/>
    <m/>
    <n v="4590713"/>
    <n v="5156839"/>
    <m/>
    <n v="5156839"/>
    <n v="20290001"/>
    <n v="19526480"/>
    <m/>
    <m/>
    <m/>
    <m/>
    <n v="0"/>
    <m/>
    <m/>
    <n v="0"/>
    <m/>
    <m/>
    <m/>
    <m/>
    <m/>
    <m/>
    <n v="20290001"/>
    <n v="19526480"/>
  </r>
  <r>
    <x v="13"/>
    <x v="0"/>
    <s v="Cedar Valley College  (DCCCD)"/>
    <m/>
    <n v="223773"/>
    <x v="7"/>
    <n v="0"/>
    <n v="0"/>
    <m/>
    <m/>
    <m/>
    <m/>
    <m/>
    <m/>
    <n v="0"/>
    <m/>
    <m/>
    <n v="0"/>
    <n v="0"/>
    <n v="0"/>
    <m/>
    <m/>
    <m/>
    <m/>
    <n v="0"/>
    <m/>
    <m/>
    <n v="0"/>
    <m/>
    <m/>
    <m/>
    <m/>
    <m/>
    <m/>
    <n v="0"/>
    <n v="0"/>
  </r>
  <r>
    <x v="13"/>
    <x v="0"/>
    <s v="Cisco Junior College "/>
    <m/>
    <n v="223898"/>
    <x v="7"/>
    <n v="6343778"/>
    <n v="6400297"/>
    <m/>
    <m/>
    <n v="597990"/>
    <n v="661898"/>
    <n v="1674009"/>
    <m/>
    <n v="1674009"/>
    <n v="1797793"/>
    <m/>
    <n v="1797793"/>
    <n v="8615777"/>
    <n v="8859988"/>
    <m/>
    <m/>
    <m/>
    <m/>
    <n v="0"/>
    <m/>
    <m/>
    <n v="0"/>
    <m/>
    <m/>
    <m/>
    <m/>
    <m/>
    <m/>
    <n v="8615777"/>
    <n v="8859988"/>
  </r>
  <r>
    <x v="13"/>
    <x v="0"/>
    <s v="Coastal Bend College"/>
    <m/>
    <n v="223320"/>
    <x v="7"/>
    <n v="7631691"/>
    <n v="7703600"/>
    <m/>
    <m/>
    <n v="1904067"/>
    <n v="2322315"/>
    <n v="3067124"/>
    <m/>
    <n v="3067124"/>
    <n v="4076778"/>
    <m/>
    <n v="4076778"/>
    <n v="12602882"/>
    <n v="14102693"/>
    <m/>
    <m/>
    <m/>
    <m/>
    <n v="0"/>
    <m/>
    <m/>
    <n v="0"/>
    <m/>
    <m/>
    <m/>
    <m/>
    <m/>
    <m/>
    <n v="12602882"/>
    <n v="14102693"/>
  </r>
  <r>
    <x v="13"/>
    <x v="0"/>
    <s v="College of the Mainland"/>
    <m/>
    <n v="226408"/>
    <x v="7"/>
    <n v="8677096"/>
    <n v="8810313"/>
    <m/>
    <m/>
    <n v="21137942"/>
    <n v="20303526"/>
    <n v="3306016"/>
    <m/>
    <n v="3306016"/>
    <n v="4013377"/>
    <m/>
    <n v="4013377"/>
    <n v="33121054"/>
    <n v="33127216"/>
    <m/>
    <m/>
    <m/>
    <m/>
    <n v="0"/>
    <m/>
    <m/>
    <n v="0"/>
    <m/>
    <m/>
    <m/>
    <m/>
    <m/>
    <m/>
    <n v="33121054"/>
    <n v="33127216"/>
  </r>
  <r>
    <x v="13"/>
    <x v="0"/>
    <s v="Grayson County College "/>
    <m/>
    <n v="225070"/>
    <x v="7"/>
    <n v="9276759"/>
    <n v="9366002"/>
    <m/>
    <m/>
    <n v="12822686"/>
    <n v="9296000"/>
    <n v="4877086"/>
    <m/>
    <n v="4877086"/>
    <n v="4813795"/>
    <m/>
    <n v="4813795"/>
    <n v="26976531"/>
    <n v="23475797"/>
    <m/>
    <m/>
    <m/>
    <m/>
    <n v="0"/>
    <m/>
    <m/>
    <n v="0"/>
    <m/>
    <m/>
    <m/>
    <m/>
    <m/>
    <m/>
    <n v="26976531"/>
    <n v="23475797"/>
  </r>
  <r>
    <x v="13"/>
    <x v="0"/>
    <s v="Hill College"/>
    <m/>
    <n v="225371"/>
    <x v="7"/>
    <n v="8938429"/>
    <n v="9002936"/>
    <m/>
    <m/>
    <n v="1427422"/>
    <n v="1464810"/>
    <n v="3558023"/>
    <m/>
    <n v="3558023"/>
    <n v="3506436"/>
    <m/>
    <n v="3506436"/>
    <n v="13923874"/>
    <n v="13974182"/>
    <m/>
    <m/>
    <m/>
    <m/>
    <n v="0"/>
    <m/>
    <m/>
    <n v="0"/>
    <m/>
    <m/>
    <m/>
    <m/>
    <m/>
    <m/>
    <n v="13923874"/>
    <n v="13974182"/>
  </r>
  <r>
    <x v="13"/>
    <x v="0"/>
    <s v="Howard College (HCJCD)"/>
    <m/>
    <n v="225520"/>
    <x v="7"/>
    <n v="11569698"/>
    <n v="11662304"/>
    <m/>
    <m/>
    <n v="6299672"/>
    <n v="5118233"/>
    <n v="4183889"/>
    <m/>
    <n v="4183889"/>
    <n v="4180218"/>
    <m/>
    <n v="4180218"/>
    <n v="22053259"/>
    <n v="20960755"/>
    <m/>
    <m/>
    <m/>
    <m/>
    <n v="0"/>
    <m/>
    <m/>
    <n v="0"/>
    <m/>
    <m/>
    <m/>
    <m/>
    <m/>
    <m/>
    <n v="22053259"/>
    <n v="20960755"/>
  </r>
  <r>
    <x v="13"/>
    <x v="0"/>
    <s v="Lamar Institute of Technology"/>
    <m/>
    <n v="441760"/>
    <x v="7"/>
    <n v="10445237"/>
    <n v="10573399"/>
    <m/>
    <m/>
    <m/>
    <m/>
    <n v="7664409"/>
    <m/>
    <n v="7664409"/>
    <n v="6402790"/>
    <m/>
    <n v="6402790"/>
    <n v="18109646"/>
    <n v="16976189"/>
    <m/>
    <m/>
    <m/>
    <m/>
    <n v="0"/>
    <m/>
    <m/>
    <n v="0"/>
    <m/>
    <m/>
    <m/>
    <m/>
    <m/>
    <m/>
    <n v="18109646"/>
    <n v="16976189"/>
  </r>
  <r>
    <x v="13"/>
    <x v="0"/>
    <s v="Lamar State College-Port Arthur"/>
    <s v="Met the criteria for Two-Year 3 in 2014-15."/>
    <n v="226116"/>
    <x v="7"/>
    <n v="12065142"/>
    <n v="12214137"/>
    <m/>
    <m/>
    <m/>
    <m/>
    <n v="5086397"/>
    <m/>
    <n v="5086397"/>
    <n v="4286938"/>
    <m/>
    <n v="4286938"/>
    <n v="17151539"/>
    <n v="16501075"/>
    <m/>
    <m/>
    <m/>
    <m/>
    <n v="0"/>
    <m/>
    <m/>
    <n v="0"/>
    <m/>
    <m/>
    <m/>
    <m/>
    <m/>
    <m/>
    <n v="17151539"/>
    <n v="16501075"/>
  </r>
  <r>
    <x v="13"/>
    <x v="0"/>
    <s v="Lee College "/>
    <m/>
    <n v="226204"/>
    <x v="7"/>
    <n v="11416171"/>
    <n v="11538994"/>
    <m/>
    <m/>
    <n v="21293088"/>
    <n v="19719673"/>
    <n v="6283578"/>
    <m/>
    <n v="6283578"/>
    <n v="6355384"/>
    <m/>
    <n v="6355384"/>
    <n v="38992837"/>
    <n v="37614051"/>
    <m/>
    <m/>
    <m/>
    <m/>
    <n v="0"/>
    <m/>
    <m/>
    <n v="0"/>
    <m/>
    <m/>
    <m/>
    <m/>
    <m/>
    <m/>
    <n v="38992837"/>
    <n v="37614051"/>
  </r>
  <r>
    <x v="13"/>
    <x v="0"/>
    <s v="Mountain View College  (DCCCD)"/>
    <m/>
    <n v="226930"/>
    <x v="7"/>
    <n v="0"/>
    <n v="0"/>
    <m/>
    <m/>
    <m/>
    <m/>
    <m/>
    <m/>
    <n v="0"/>
    <m/>
    <m/>
    <n v="0"/>
    <n v="0"/>
    <n v="0"/>
    <m/>
    <m/>
    <m/>
    <m/>
    <n v="0"/>
    <m/>
    <m/>
    <n v="0"/>
    <m/>
    <m/>
    <m/>
    <m/>
    <m/>
    <m/>
    <n v="0"/>
    <n v="0"/>
  </r>
  <r>
    <x v="13"/>
    <x v="0"/>
    <s v="Northeast Texas Community College "/>
    <m/>
    <n v="227225"/>
    <x v="7"/>
    <n v="6062247"/>
    <n v="6119068"/>
    <m/>
    <m/>
    <n v="4374652"/>
    <n v="3011059"/>
    <n v="3107885"/>
    <m/>
    <n v="3107885"/>
    <n v="3349945"/>
    <m/>
    <n v="3349945"/>
    <n v="13544784"/>
    <n v="12480072"/>
    <m/>
    <m/>
    <m/>
    <m/>
    <n v="0"/>
    <m/>
    <m/>
    <n v="0"/>
    <m/>
    <m/>
    <m/>
    <m/>
    <m/>
    <m/>
    <n v="13544784"/>
    <n v="12480072"/>
  </r>
  <r>
    <x v="13"/>
    <x v="0"/>
    <s v="Odessa College "/>
    <m/>
    <n v="227304"/>
    <x v="7"/>
    <n v="9661125"/>
    <n v="9784039"/>
    <m/>
    <m/>
    <n v="22655419"/>
    <n v="24150400"/>
    <n v="7578923"/>
    <m/>
    <n v="7578923"/>
    <n v="6947080"/>
    <m/>
    <n v="6947080"/>
    <n v="39895467"/>
    <n v="40881519"/>
    <m/>
    <m/>
    <m/>
    <m/>
    <n v="0"/>
    <m/>
    <m/>
    <n v="0"/>
    <m/>
    <m/>
    <m/>
    <m/>
    <m/>
    <m/>
    <n v="39895467"/>
    <n v="40881519"/>
  </r>
  <r>
    <x v="13"/>
    <x v="0"/>
    <s v="Paris Junior College"/>
    <m/>
    <n v="227401"/>
    <x v="7"/>
    <n v="10072131"/>
    <n v="10146965"/>
    <m/>
    <m/>
    <n v="2891428"/>
    <n v="2920185"/>
    <n v="5375845"/>
    <m/>
    <n v="5375845"/>
    <n v="5899150"/>
    <m/>
    <n v="5899150"/>
    <n v="18339404"/>
    <n v="18966300"/>
    <m/>
    <m/>
    <m/>
    <m/>
    <n v="0"/>
    <m/>
    <m/>
    <n v="0"/>
    <m/>
    <m/>
    <m/>
    <m/>
    <m/>
    <m/>
    <n v="18339404"/>
    <n v="18966300"/>
  </r>
  <r>
    <x v="13"/>
    <x v="0"/>
    <s v="Southwest Texas Junior College "/>
    <m/>
    <n v="228316"/>
    <x v="7"/>
    <n v="8988542"/>
    <n v="9073178"/>
    <m/>
    <m/>
    <n v="2703529"/>
    <n v="3121746"/>
    <n v="5130032"/>
    <m/>
    <n v="5130032"/>
    <n v="5567283"/>
    <m/>
    <n v="5567283"/>
    <n v="16822103"/>
    <n v="17762207"/>
    <m/>
    <m/>
    <m/>
    <m/>
    <n v="0"/>
    <m/>
    <m/>
    <n v="0"/>
    <m/>
    <m/>
    <m/>
    <m/>
    <m/>
    <m/>
    <n v="16822103"/>
    <n v="17762207"/>
  </r>
  <r>
    <x v="13"/>
    <x v="0"/>
    <s v="Temple College "/>
    <m/>
    <n v="228608"/>
    <x v="7"/>
    <n v="9718571"/>
    <n v="9806731"/>
    <m/>
    <m/>
    <n v="7275176"/>
    <n v="5524656"/>
    <n v="12237686"/>
    <m/>
    <n v="12237686"/>
    <n v="11467980"/>
    <m/>
    <n v="11467980"/>
    <n v="29231433"/>
    <n v="26799367"/>
    <m/>
    <m/>
    <m/>
    <m/>
    <n v="0"/>
    <m/>
    <m/>
    <n v="0"/>
    <m/>
    <m/>
    <m/>
    <m/>
    <m/>
    <m/>
    <n v="29231433"/>
    <n v="26799367"/>
  </r>
  <r>
    <x v="13"/>
    <x v="0"/>
    <s v="Texarkana College "/>
    <m/>
    <n v="228699"/>
    <x v="7"/>
    <n v="8379911"/>
    <n v="8468609"/>
    <m/>
    <m/>
    <n v="1367528"/>
    <n v="5325560"/>
    <n v="3726660"/>
    <m/>
    <n v="3726660"/>
    <n v="4446599"/>
    <m/>
    <n v="4446599"/>
    <n v="13474099"/>
    <n v="18240768"/>
    <m/>
    <m/>
    <m/>
    <m/>
    <n v="0"/>
    <m/>
    <m/>
    <n v="0"/>
    <m/>
    <m/>
    <m/>
    <m/>
    <m/>
    <m/>
    <n v="13474099"/>
    <n v="18240768"/>
  </r>
  <r>
    <x v="13"/>
    <x v="0"/>
    <s v="Texas State Technical College-Harlingen "/>
    <m/>
    <n v="229319"/>
    <x v="7"/>
    <n v="21032079"/>
    <n v="21290926"/>
    <m/>
    <m/>
    <m/>
    <m/>
    <n v="3906225"/>
    <m/>
    <n v="3906225"/>
    <n v="3905886"/>
    <m/>
    <n v="3905886"/>
    <n v="24938304"/>
    <n v="25196812"/>
    <m/>
    <m/>
    <m/>
    <m/>
    <n v="0"/>
    <m/>
    <m/>
    <n v="0"/>
    <m/>
    <m/>
    <m/>
    <m/>
    <m/>
    <m/>
    <n v="24938304"/>
    <n v="25196812"/>
  </r>
  <r>
    <x v="13"/>
    <x v="0"/>
    <s v="Vernon College "/>
    <m/>
    <n v="229504"/>
    <x v="7"/>
    <n v="6833509"/>
    <n v="6899189"/>
    <m/>
    <m/>
    <n v="2167336"/>
    <n v="2661134"/>
    <n v="4662544"/>
    <m/>
    <n v="4662544"/>
    <n v="4880953"/>
    <m/>
    <n v="4880953"/>
    <n v="13663389"/>
    <n v="14441276"/>
    <m/>
    <m/>
    <m/>
    <m/>
    <n v="0"/>
    <m/>
    <m/>
    <n v="0"/>
    <m/>
    <m/>
    <m/>
    <m/>
    <m/>
    <m/>
    <n v="13663389"/>
    <n v="14441276"/>
  </r>
  <r>
    <x v="13"/>
    <x v="0"/>
    <s v="Victoria College "/>
    <m/>
    <n v="229540"/>
    <x v="7"/>
    <n v="7921058"/>
    <n v="8005842"/>
    <m/>
    <m/>
    <n v="9115455"/>
    <n v="8131921"/>
    <n v="8934439"/>
    <m/>
    <n v="8934439"/>
    <n v="9344057"/>
    <m/>
    <n v="9344057"/>
    <n v="25970952"/>
    <n v="25481820"/>
    <m/>
    <m/>
    <m/>
    <m/>
    <n v="0"/>
    <m/>
    <m/>
    <n v="0"/>
    <m/>
    <m/>
    <m/>
    <m/>
    <m/>
    <m/>
    <n v="25970952"/>
    <n v="25481820"/>
  </r>
  <r>
    <x v="13"/>
    <x v="0"/>
    <s v="Weatherford College "/>
    <m/>
    <n v="229799"/>
    <x v="7"/>
    <n v="10274284"/>
    <n v="10369876"/>
    <m/>
    <m/>
    <n v="9875105"/>
    <n v="10083289"/>
    <n v="6973854"/>
    <m/>
    <n v="6973854"/>
    <n v="7603769"/>
    <m/>
    <n v="7603769"/>
    <n v="27123243"/>
    <n v="28056934"/>
    <m/>
    <m/>
    <m/>
    <m/>
    <n v="0"/>
    <m/>
    <m/>
    <n v="0"/>
    <m/>
    <m/>
    <m/>
    <m/>
    <m/>
    <m/>
    <n v="27123243"/>
    <n v="28056934"/>
  </r>
  <r>
    <x v="13"/>
    <x v="0"/>
    <s v="Wharton County Junior College "/>
    <m/>
    <n v="229841"/>
    <x v="7"/>
    <n v="11624557"/>
    <n v="11736244"/>
    <m/>
    <m/>
    <n v="5227590"/>
    <n v="5364132"/>
    <n v="18007715"/>
    <m/>
    <n v="18007715"/>
    <n v="18656456"/>
    <m/>
    <n v="18656456"/>
    <n v="34859862"/>
    <n v="35756832"/>
    <m/>
    <m/>
    <m/>
    <m/>
    <n v="0"/>
    <m/>
    <m/>
    <n v="0"/>
    <m/>
    <m/>
    <m/>
    <m/>
    <m/>
    <m/>
    <n v="34859862"/>
    <n v="35756832"/>
  </r>
  <r>
    <x v="13"/>
    <x v="0"/>
    <s v="Clarendon College "/>
    <m/>
    <n v="223922"/>
    <x v="8"/>
    <n v="2984967"/>
    <n v="3013458"/>
    <m/>
    <m/>
    <n v="415199"/>
    <n v="431903"/>
    <n v="1238401"/>
    <m/>
    <n v="1238401"/>
    <n v="1358712"/>
    <m/>
    <n v="1358712"/>
    <n v="4638567"/>
    <n v="4804073"/>
    <m/>
    <m/>
    <m/>
    <m/>
    <n v="0"/>
    <m/>
    <m/>
    <n v="0"/>
    <m/>
    <m/>
    <m/>
    <m/>
    <m/>
    <m/>
    <n v="4638567"/>
    <n v="4804073"/>
  </r>
  <r>
    <x v="13"/>
    <x v="0"/>
    <s v="Frank Phillips College "/>
    <m/>
    <n v="224891"/>
    <x v="8"/>
    <n v="2733631"/>
    <n v="2760285"/>
    <m/>
    <m/>
    <n v="1415029"/>
    <n v="1503577"/>
    <n v="809488"/>
    <m/>
    <n v="809488"/>
    <n v="1009840"/>
    <m/>
    <n v="1009840"/>
    <n v="4958148"/>
    <n v="5273702"/>
    <m/>
    <m/>
    <m/>
    <m/>
    <n v="0"/>
    <m/>
    <m/>
    <n v="0"/>
    <m/>
    <m/>
    <m/>
    <m/>
    <m/>
    <m/>
    <n v="4958148"/>
    <n v="5273702"/>
  </r>
  <r>
    <x v="13"/>
    <x v="0"/>
    <s v="Galveston College "/>
    <m/>
    <n v="224961"/>
    <x v="8"/>
    <n v="4743553"/>
    <n v="4791004"/>
    <m/>
    <m/>
    <n v="10084057"/>
    <n v="10511511"/>
    <n v="2520989"/>
    <m/>
    <n v="2520989"/>
    <n v="2519438"/>
    <m/>
    <n v="2519438"/>
    <n v="17348599"/>
    <n v="17821953"/>
    <m/>
    <m/>
    <m/>
    <m/>
    <n v="0"/>
    <m/>
    <m/>
    <n v="0"/>
    <m/>
    <m/>
    <m/>
    <m/>
    <m/>
    <m/>
    <n v="17348599"/>
    <n v="17821953"/>
  </r>
  <r>
    <x v="13"/>
    <x v="0"/>
    <s v="Lamar State College-Orange"/>
    <m/>
    <n v="226107"/>
    <x v="8"/>
    <n v="8326995"/>
    <n v="8430069"/>
    <m/>
    <m/>
    <m/>
    <m/>
    <n v="4298956"/>
    <m/>
    <n v="4298956"/>
    <n v="4143798"/>
    <m/>
    <n v="4143798"/>
    <n v="12625951"/>
    <n v="12573867"/>
    <m/>
    <m/>
    <m/>
    <m/>
    <n v="0"/>
    <m/>
    <m/>
    <n v="0"/>
    <m/>
    <m/>
    <m/>
    <m/>
    <m/>
    <m/>
    <n v="12625951"/>
    <n v="12573867"/>
  </r>
  <r>
    <x v="13"/>
    <x v="0"/>
    <s v="Northeast Lakeview College (ACCD)"/>
    <m/>
    <s v="???"/>
    <x v="8"/>
    <n v="0"/>
    <n v="0"/>
    <m/>
    <m/>
    <m/>
    <m/>
    <m/>
    <m/>
    <n v="0"/>
    <m/>
    <m/>
    <n v="0"/>
    <n v="0"/>
    <n v="0"/>
    <m/>
    <m/>
    <m/>
    <m/>
    <n v="0"/>
    <m/>
    <m/>
    <n v="0"/>
    <m/>
    <m/>
    <m/>
    <m/>
    <m/>
    <m/>
    <n v="0"/>
    <n v="0"/>
  </r>
  <r>
    <x v="13"/>
    <x v="0"/>
    <s v="Panola College"/>
    <m/>
    <n v="227386"/>
    <x v="8"/>
    <n v="5388173"/>
    <n v="5442992"/>
    <m/>
    <m/>
    <n v="5962541"/>
    <n v="6468902"/>
    <n v="2764154"/>
    <m/>
    <n v="2764154"/>
    <n v="3409716"/>
    <m/>
    <n v="3409716"/>
    <n v="14114868"/>
    <n v="15321610"/>
    <m/>
    <m/>
    <m/>
    <m/>
    <n v="0"/>
    <m/>
    <m/>
    <n v="0"/>
    <m/>
    <m/>
    <m/>
    <m/>
    <m/>
    <m/>
    <n v="14114868"/>
    <n v="15321610"/>
  </r>
  <r>
    <x v="13"/>
    <x v="0"/>
    <s v="Ranger College "/>
    <m/>
    <n v="227687"/>
    <x v="8"/>
    <n v="3858322"/>
    <n v="3886192"/>
    <m/>
    <m/>
    <n v="260751"/>
    <n v="257462"/>
    <n v="1584341"/>
    <m/>
    <n v="1584341"/>
    <n v="2736891"/>
    <m/>
    <n v="2736891"/>
    <n v="5703414"/>
    <n v="6880545"/>
    <m/>
    <m/>
    <m/>
    <m/>
    <n v="0"/>
    <m/>
    <m/>
    <n v="0"/>
    <m/>
    <m/>
    <m/>
    <m/>
    <m/>
    <m/>
    <n v="5703414"/>
    <n v="6880545"/>
  </r>
  <r>
    <x v="13"/>
    <x v="0"/>
    <s v="Southwest Collegiate Institute for the Deaf (HCJCD)"/>
    <m/>
    <n v="382911"/>
    <x v="8"/>
    <n v="0"/>
    <n v="0"/>
    <m/>
    <m/>
    <m/>
    <m/>
    <m/>
    <m/>
    <n v="0"/>
    <m/>
    <m/>
    <n v="0"/>
    <n v="0"/>
    <n v="0"/>
    <m/>
    <m/>
    <m/>
    <m/>
    <n v="0"/>
    <m/>
    <m/>
    <n v="0"/>
    <m/>
    <m/>
    <m/>
    <m/>
    <m/>
    <m/>
    <n v="0"/>
    <n v="0"/>
  </r>
  <r>
    <x v="13"/>
    <x v="0"/>
    <s v="Texas State Technical College-Marshall"/>
    <m/>
    <n v="408394"/>
    <x v="8"/>
    <n v="5712334"/>
    <n v="5773440"/>
    <m/>
    <m/>
    <m/>
    <m/>
    <n v="2084206"/>
    <m/>
    <n v="2084206"/>
    <n v="1871523"/>
    <m/>
    <n v="1871523"/>
    <n v="7796540"/>
    <n v="7644963"/>
    <m/>
    <m/>
    <m/>
    <m/>
    <n v="0"/>
    <m/>
    <m/>
    <n v="0"/>
    <m/>
    <m/>
    <m/>
    <m/>
    <m/>
    <m/>
    <n v="7796540"/>
    <n v="7644963"/>
  </r>
  <r>
    <x v="13"/>
    <x v="0"/>
    <s v="Texas State Technical College-West Texas"/>
    <m/>
    <n v="229328"/>
    <x v="8"/>
    <n v="11901968"/>
    <n v="12050928"/>
    <m/>
    <m/>
    <m/>
    <m/>
    <n v="2437760"/>
    <m/>
    <n v="2437760"/>
    <n v="3670810"/>
    <m/>
    <n v="3670810"/>
    <n v="14339728"/>
    <n v="15721738"/>
    <m/>
    <m/>
    <m/>
    <m/>
    <n v="0"/>
    <m/>
    <m/>
    <n v="0"/>
    <m/>
    <m/>
    <m/>
    <m/>
    <m/>
    <m/>
    <n v="14339728"/>
    <n v="15721738"/>
  </r>
  <r>
    <x v="13"/>
    <x v="0"/>
    <s v="Western Texas College "/>
    <m/>
    <n v="229832"/>
    <x v="8"/>
    <n v="4787899"/>
    <n v="4831955"/>
    <m/>
    <m/>
    <n v="6194971"/>
    <n v="8452066"/>
    <n v="3268729"/>
    <m/>
    <n v="3268729"/>
    <n v="2858004"/>
    <m/>
    <n v="2858004"/>
    <n v="14251599"/>
    <n v="16142025"/>
    <m/>
    <m/>
    <m/>
    <m/>
    <n v="0"/>
    <m/>
    <m/>
    <n v="0"/>
    <m/>
    <m/>
    <m/>
    <m/>
    <m/>
    <m/>
    <n v="14251599"/>
    <n v="16142025"/>
  </r>
  <r>
    <x v="13"/>
    <x v="0"/>
    <s v="Alamo Community College District (ACCD)"/>
    <m/>
    <m/>
    <x v="15"/>
    <n v="78297585"/>
    <n v="79025917"/>
    <m/>
    <m/>
    <n v="149063093"/>
    <n v="126790387"/>
    <n v="64091209"/>
    <m/>
    <n v="64091209"/>
    <n v="58801056"/>
    <m/>
    <n v="58801056"/>
    <n v="291451887"/>
    <n v="264617360"/>
    <m/>
    <m/>
    <m/>
    <m/>
    <n v="0"/>
    <m/>
    <m/>
    <n v="0"/>
    <m/>
    <m/>
    <m/>
    <m/>
    <m/>
    <m/>
    <n v="291451887"/>
    <n v="264617360"/>
  </r>
  <r>
    <x v="13"/>
    <x v="0"/>
    <s v="Dallas County Community College District (DCCD)"/>
    <m/>
    <m/>
    <x v="15"/>
    <n v="111002460"/>
    <n v="112002394"/>
    <m/>
    <m/>
    <n v="196000124"/>
    <n v="209828369"/>
    <n v="58335519"/>
    <m/>
    <n v="58335519"/>
    <n v="59950395"/>
    <m/>
    <n v="59950395"/>
    <n v="365338103"/>
    <n v="381781158"/>
    <m/>
    <m/>
    <m/>
    <m/>
    <n v="0"/>
    <m/>
    <m/>
    <n v="0"/>
    <m/>
    <m/>
    <m/>
    <m/>
    <m/>
    <m/>
    <n v="365338103"/>
    <n v="381781158"/>
  </r>
  <r>
    <x v="13"/>
    <x v="0"/>
    <s v="Howard College (HCJCD)"/>
    <m/>
    <m/>
    <x v="15"/>
    <n v="0"/>
    <n v="0"/>
    <m/>
    <m/>
    <m/>
    <m/>
    <m/>
    <m/>
    <n v="0"/>
    <m/>
    <m/>
    <n v="0"/>
    <n v="0"/>
    <n v="0"/>
    <m/>
    <m/>
    <m/>
    <m/>
    <n v="0"/>
    <m/>
    <m/>
    <n v="0"/>
    <m/>
    <m/>
    <m/>
    <m/>
    <m/>
    <m/>
    <n v="0"/>
    <n v="0"/>
  </r>
  <r>
    <x v="13"/>
    <x v="1"/>
    <s v="Texas A&amp;M Health Science Center"/>
    <m/>
    <n v="223214"/>
    <x v="11"/>
    <m/>
    <m/>
    <m/>
    <m/>
    <m/>
    <m/>
    <m/>
    <m/>
    <n v="0"/>
    <m/>
    <m/>
    <n v="0"/>
    <n v="0"/>
    <n v="0"/>
    <m/>
    <m/>
    <m/>
    <m/>
    <n v="0"/>
    <m/>
    <m/>
    <n v="0"/>
    <n v="129613851"/>
    <n v="130567296"/>
    <n v="29879928"/>
    <m/>
    <n v="29825154"/>
    <m/>
    <n v="159493779"/>
    <n v="160392450"/>
  </r>
  <r>
    <x v="13"/>
    <x v="1"/>
    <s v="Texas Tech University Health Sciences Center"/>
    <m/>
    <n v="229337"/>
    <x v="11"/>
    <m/>
    <m/>
    <m/>
    <m/>
    <m/>
    <m/>
    <m/>
    <m/>
    <n v="0"/>
    <m/>
    <m/>
    <n v="0"/>
    <n v="0"/>
    <n v="0"/>
    <m/>
    <m/>
    <m/>
    <m/>
    <n v="0"/>
    <m/>
    <m/>
    <n v="0"/>
    <n v="195429838"/>
    <n v="197490944"/>
    <n v="42551274"/>
    <m/>
    <n v="45295909"/>
    <m/>
    <n v="237981112"/>
    <n v="242786853"/>
  </r>
  <r>
    <x v="13"/>
    <x v="1"/>
    <s v="Texas Tech University Health Sciences Center El Paso"/>
    <m/>
    <s v="????"/>
    <x v="11"/>
    <m/>
    <m/>
    <m/>
    <m/>
    <m/>
    <m/>
    <m/>
    <m/>
    <n v="0"/>
    <m/>
    <m/>
    <n v="0"/>
    <n v="0"/>
    <n v="0"/>
    <m/>
    <m/>
    <m/>
    <m/>
    <n v="0"/>
    <m/>
    <m/>
    <n v="0"/>
    <n v="1400000"/>
    <n v="1400000"/>
    <n v="0"/>
    <m/>
    <n v="0"/>
    <m/>
    <n v="1400000"/>
    <n v="1400000"/>
  </r>
  <r>
    <x v="13"/>
    <x v="1"/>
    <s v="University of North Texas Health Science Center at Fort Worth"/>
    <m/>
    <n v="228909"/>
    <x v="11"/>
    <m/>
    <m/>
    <m/>
    <m/>
    <m/>
    <m/>
    <m/>
    <m/>
    <n v="0"/>
    <m/>
    <m/>
    <n v="0"/>
    <n v="0"/>
    <n v="0"/>
    <m/>
    <m/>
    <m/>
    <m/>
    <n v="0"/>
    <m/>
    <m/>
    <n v="0"/>
    <n v="76364770"/>
    <n v="75928991"/>
    <n v="23047717"/>
    <m/>
    <n v="24542106"/>
    <m/>
    <n v="99412487"/>
    <n v="100471097"/>
  </r>
  <r>
    <x v="13"/>
    <x v="1"/>
    <s v="University of Texas Health Science Center at Houston"/>
    <m/>
    <n v="229300"/>
    <x v="11"/>
    <m/>
    <m/>
    <m/>
    <m/>
    <m/>
    <m/>
    <m/>
    <m/>
    <n v="0"/>
    <m/>
    <m/>
    <n v="0"/>
    <n v="0"/>
    <n v="0"/>
    <m/>
    <m/>
    <m/>
    <m/>
    <n v="0"/>
    <m/>
    <m/>
    <n v="0"/>
    <n v="190116007"/>
    <n v="192534030"/>
    <n v="37857366"/>
    <m/>
    <n v="39813717"/>
    <m/>
    <n v="227973373"/>
    <n v="232347747"/>
  </r>
  <r>
    <x v="13"/>
    <x v="1"/>
    <s v="University of Texas Health Science Center at San Antonio"/>
    <m/>
    <n v="228644"/>
    <x v="11"/>
    <m/>
    <m/>
    <m/>
    <m/>
    <m/>
    <m/>
    <m/>
    <m/>
    <n v="0"/>
    <m/>
    <m/>
    <n v="0"/>
    <n v="0"/>
    <n v="0"/>
    <m/>
    <m/>
    <m/>
    <m/>
    <n v="0"/>
    <m/>
    <m/>
    <n v="0"/>
    <n v="177838900"/>
    <n v="179856992"/>
    <n v="32579892"/>
    <m/>
    <n v="33144653"/>
    <m/>
    <n v="210418792"/>
    <n v="213001645"/>
  </r>
  <r>
    <x v="13"/>
    <x v="1"/>
    <s v="University of Texas M.D. Anderson Cancer Center"/>
    <m/>
    <n v="416801"/>
    <x v="11"/>
    <m/>
    <m/>
    <m/>
    <m/>
    <m/>
    <m/>
    <m/>
    <m/>
    <n v="0"/>
    <m/>
    <m/>
    <n v="0"/>
    <n v="0"/>
    <n v="0"/>
    <m/>
    <m/>
    <m/>
    <m/>
    <n v="0"/>
    <m/>
    <m/>
    <n v="0"/>
    <n v="237990852"/>
    <n v="244569886"/>
    <n v="1241361"/>
    <m/>
    <n v="1447921"/>
    <m/>
    <n v="239232213"/>
    <n v="246017807"/>
  </r>
  <r>
    <x v="13"/>
    <x v="1"/>
    <s v="University of Texas Medical Branch at Galveston"/>
    <m/>
    <n v="228653"/>
    <x v="11"/>
    <m/>
    <m/>
    <m/>
    <m/>
    <m/>
    <m/>
    <m/>
    <m/>
    <n v="0"/>
    <m/>
    <m/>
    <n v="0"/>
    <n v="0"/>
    <n v="0"/>
    <m/>
    <m/>
    <m/>
    <m/>
    <n v="0"/>
    <m/>
    <m/>
    <n v="0"/>
    <n v="340259418"/>
    <n v="344053902"/>
    <n v="29568236"/>
    <m/>
    <n v="32785714"/>
    <m/>
    <n v="369827654"/>
    <n v="376839616"/>
  </r>
  <r>
    <x v="13"/>
    <x v="1"/>
    <s v="University of Texas Southwestern Medical Center"/>
    <m/>
    <n v="228635"/>
    <x v="11"/>
    <m/>
    <m/>
    <m/>
    <m/>
    <m/>
    <m/>
    <m/>
    <m/>
    <n v="0"/>
    <m/>
    <m/>
    <n v="0"/>
    <n v="0"/>
    <n v="0"/>
    <m/>
    <m/>
    <m/>
    <m/>
    <n v="0"/>
    <m/>
    <m/>
    <n v="0"/>
    <n v="160170890"/>
    <n v="161851323"/>
    <n v="17871405"/>
    <m/>
    <n v="20818275"/>
    <m/>
    <n v="178042295"/>
    <n v="182669598"/>
  </r>
  <r>
    <x v="13"/>
    <x v="42"/>
    <s v="University of Texas Health Center at Tyler"/>
    <m/>
    <s v="???"/>
    <x v="11"/>
    <m/>
    <m/>
    <m/>
    <m/>
    <m/>
    <m/>
    <m/>
    <m/>
    <n v="0"/>
    <m/>
    <m/>
    <n v="0"/>
    <n v="0"/>
    <n v="0"/>
    <m/>
    <m/>
    <m/>
    <m/>
    <n v="0"/>
    <m/>
    <m/>
    <n v="0"/>
    <n v="46119542"/>
    <n v="46688762"/>
    <n v="39200"/>
    <m/>
    <n v="114700"/>
    <m/>
    <n v="46158742"/>
    <n v="46803462"/>
  </r>
  <r>
    <x v="13"/>
    <x v="0"/>
    <s v="Univ. of North Texas at Dallas"/>
    <m/>
    <n v="443711"/>
    <x v="13"/>
    <n v="12262083"/>
    <n v="12382089"/>
    <m/>
    <m/>
    <m/>
    <m/>
    <n v="8823113"/>
    <m/>
    <n v="8823113"/>
    <n v="9491522"/>
    <m/>
    <n v="9491522"/>
    <n v="21085196"/>
    <n v="21873611"/>
    <m/>
    <m/>
    <m/>
    <m/>
    <n v="0"/>
    <m/>
    <m/>
    <n v="0"/>
    <m/>
    <m/>
    <m/>
    <m/>
    <m/>
    <m/>
    <n v="21085196"/>
    <n v="21873611"/>
  </r>
  <r>
    <x v="13"/>
    <x v="10"/>
    <s v="Statewide Special-Purpose Units"/>
    <m/>
    <m/>
    <x v="12"/>
    <m/>
    <m/>
    <m/>
    <m/>
    <m/>
    <m/>
    <m/>
    <m/>
    <n v="0"/>
    <m/>
    <m/>
    <n v="0"/>
    <n v="0"/>
    <n v="0"/>
    <m/>
    <m/>
    <m/>
    <m/>
    <n v="0"/>
    <m/>
    <m/>
    <n v="0"/>
    <m/>
    <m/>
    <m/>
    <m/>
    <m/>
    <m/>
    <n v="0"/>
    <n v="0"/>
  </r>
  <r>
    <x v="13"/>
    <x v="12"/>
    <s v="Family practice residency "/>
    <m/>
    <m/>
    <x v="12"/>
    <m/>
    <m/>
    <m/>
    <m/>
    <m/>
    <m/>
    <m/>
    <m/>
    <n v="0"/>
    <m/>
    <m/>
    <n v="0"/>
    <n v="0"/>
    <n v="0"/>
    <m/>
    <m/>
    <m/>
    <m/>
    <n v="0"/>
    <m/>
    <m/>
    <n v="0"/>
    <n v="2515000"/>
    <n v="2515000"/>
    <m/>
    <m/>
    <m/>
    <m/>
    <n v="2515000"/>
    <n v="2515000"/>
  </r>
  <r>
    <x v="13"/>
    <x v="12"/>
    <s v="Other Health Related- Tobacco Settle-Minority Health Res. &amp; Ed."/>
    <m/>
    <m/>
    <x v="12"/>
    <m/>
    <m/>
    <m/>
    <m/>
    <m/>
    <m/>
    <m/>
    <m/>
    <n v="0"/>
    <m/>
    <m/>
    <n v="0"/>
    <n v="0"/>
    <n v="0"/>
    <m/>
    <m/>
    <m/>
    <m/>
    <n v="0"/>
    <m/>
    <m/>
    <n v="0"/>
    <n v="1725000"/>
    <n v="1225000"/>
    <m/>
    <m/>
    <m/>
    <m/>
    <n v="1725000"/>
    <n v="1225000"/>
  </r>
  <r>
    <x v="13"/>
    <x v="12"/>
    <s v="Other Health Related- Tobacco Settle-Nursing, Allied Health, etc."/>
    <m/>
    <m/>
    <x v="12"/>
    <m/>
    <m/>
    <m/>
    <m/>
    <m/>
    <m/>
    <m/>
    <m/>
    <n v="0"/>
    <m/>
    <m/>
    <n v="0"/>
    <n v="0"/>
    <n v="0"/>
    <m/>
    <m/>
    <m/>
    <m/>
    <n v="0"/>
    <m/>
    <m/>
    <n v="0"/>
    <n v="3200000"/>
    <n v="2200000"/>
    <m/>
    <m/>
    <m/>
    <m/>
    <n v="3200000"/>
    <n v="2200000"/>
  </r>
  <r>
    <x v="13"/>
    <x v="12"/>
    <s v="Nursing Shortage Reduction Program"/>
    <m/>
    <m/>
    <x v="12"/>
    <m/>
    <m/>
    <m/>
    <m/>
    <m/>
    <m/>
    <m/>
    <m/>
    <n v="0"/>
    <m/>
    <m/>
    <n v="0"/>
    <n v="0"/>
    <n v="0"/>
    <m/>
    <m/>
    <m/>
    <m/>
    <n v="0"/>
    <m/>
    <m/>
    <n v="0"/>
    <n v="16875000"/>
    <n v="16875000"/>
    <m/>
    <m/>
    <m/>
    <m/>
    <n v="16875000"/>
    <n v="16875000"/>
  </r>
  <r>
    <x v="13"/>
    <x v="13"/>
    <s v="Educational special purpose funds — all other"/>
    <m/>
    <m/>
    <x v="12"/>
    <m/>
    <m/>
    <m/>
    <m/>
    <m/>
    <m/>
    <m/>
    <m/>
    <n v="0"/>
    <m/>
    <m/>
    <n v="0"/>
    <n v="0"/>
    <n v="0"/>
    <m/>
    <m/>
    <m/>
    <m/>
    <n v="0"/>
    <m/>
    <m/>
    <n v="0"/>
    <m/>
    <m/>
    <m/>
    <m/>
    <m/>
    <m/>
    <n v="0"/>
    <n v="0"/>
  </r>
  <r>
    <x v="13"/>
    <x v="13"/>
    <s v="African American Museum"/>
    <m/>
    <m/>
    <x v="12"/>
    <m/>
    <m/>
    <n v="0"/>
    <n v="0"/>
    <m/>
    <m/>
    <m/>
    <m/>
    <n v="0"/>
    <m/>
    <m/>
    <n v="0"/>
    <n v="0"/>
    <n v="0"/>
    <m/>
    <m/>
    <m/>
    <m/>
    <n v="0"/>
    <m/>
    <m/>
    <n v="0"/>
    <m/>
    <m/>
    <m/>
    <m/>
    <m/>
    <m/>
    <n v="0"/>
    <n v="0"/>
  </r>
  <r>
    <x v="13"/>
    <x v="14"/>
    <s v="Statewide System Operations"/>
    <m/>
    <m/>
    <x v="12"/>
    <m/>
    <m/>
    <m/>
    <m/>
    <m/>
    <m/>
    <m/>
    <m/>
    <n v="0"/>
    <m/>
    <m/>
    <n v="0"/>
    <n v="0"/>
    <n v="0"/>
    <m/>
    <m/>
    <m/>
    <m/>
    <n v="0"/>
    <m/>
    <m/>
    <n v="0"/>
    <m/>
    <m/>
    <m/>
    <m/>
    <m/>
    <m/>
    <n v="0"/>
    <n v="0"/>
  </r>
  <r>
    <x v="13"/>
    <x v="15"/>
    <s v="Colleges and universities System Admin."/>
    <m/>
    <m/>
    <x v="12"/>
    <m/>
    <m/>
    <m/>
    <m/>
    <m/>
    <m/>
    <m/>
    <m/>
    <n v="0"/>
    <m/>
    <m/>
    <n v="0"/>
    <n v="0"/>
    <n v="0"/>
    <n v="38258771"/>
    <n v="29520803"/>
    <m/>
    <m/>
    <n v="0"/>
    <m/>
    <m/>
    <n v="0"/>
    <m/>
    <m/>
    <m/>
    <m/>
    <m/>
    <m/>
    <n v="38258771"/>
    <n v="29520803"/>
  </r>
  <r>
    <x v="13"/>
    <x v="15"/>
    <s v="Texas Higher Education Coordinating Board"/>
    <m/>
    <m/>
    <x v="12"/>
    <m/>
    <m/>
    <m/>
    <m/>
    <m/>
    <m/>
    <m/>
    <m/>
    <n v="0"/>
    <m/>
    <m/>
    <n v="0"/>
    <n v="0"/>
    <n v="0"/>
    <n v="67767579"/>
    <n v="55292982"/>
    <m/>
    <m/>
    <n v="0"/>
    <m/>
    <m/>
    <n v="0"/>
    <m/>
    <m/>
    <m/>
    <m/>
    <m/>
    <m/>
    <n v="67767579"/>
    <n v="55292982"/>
  </r>
  <r>
    <x v="13"/>
    <x v="16"/>
    <s v="Two-year system(s), if any"/>
    <m/>
    <m/>
    <x v="12"/>
    <m/>
    <m/>
    <m/>
    <m/>
    <m/>
    <m/>
    <m/>
    <m/>
    <n v="0"/>
    <m/>
    <m/>
    <n v="0"/>
    <n v="0"/>
    <n v="0"/>
    <m/>
    <m/>
    <m/>
    <m/>
    <n v="0"/>
    <m/>
    <m/>
    <n v="0"/>
    <m/>
    <m/>
    <m/>
    <m/>
    <m/>
    <m/>
    <n v="0"/>
    <n v="0"/>
  </r>
  <r>
    <x v="13"/>
    <x v="16"/>
    <s v="Texas State Technical College System Office"/>
    <m/>
    <m/>
    <x v="12"/>
    <m/>
    <m/>
    <m/>
    <m/>
    <m/>
    <m/>
    <m/>
    <m/>
    <n v="0"/>
    <m/>
    <m/>
    <n v="0"/>
    <n v="0"/>
    <n v="0"/>
    <n v="13114523"/>
    <n v="6494352"/>
    <m/>
    <m/>
    <n v="0"/>
    <m/>
    <m/>
    <n v="0"/>
    <m/>
    <m/>
    <m/>
    <m/>
    <m/>
    <m/>
    <n v="13114523"/>
    <n v="6494352"/>
  </r>
  <r>
    <x v="13"/>
    <x v="18"/>
    <s v="Adm. of Statewide Student Aid Progs. (including centralized guaranteed student loans)"/>
    <m/>
    <m/>
    <x v="12"/>
    <m/>
    <m/>
    <m/>
    <m/>
    <m/>
    <m/>
    <m/>
    <m/>
    <n v="0"/>
    <m/>
    <m/>
    <n v="0"/>
    <n v="0"/>
    <n v="0"/>
    <m/>
    <m/>
    <m/>
    <m/>
    <n v="0"/>
    <m/>
    <m/>
    <n v="0"/>
    <m/>
    <m/>
    <m/>
    <m/>
    <m/>
    <m/>
    <n v="0"/>
    <n v="0"/>
  </r>
  <r>
    <x v="13"/>
    <x v="19"/>
    <s v="State Support to Private Colleges Other Than Student Aid"/>
    <m/>
    <m/>
    <x v="12"/>
    <m/>
    <m/>
    <m/>
    <m/>
    <m/>
    <m/>
    <m/>
    <m/>
    <n v="0"/>
    <m/>
    <m/>
    <n v="0"/>
    <n v="0"/>
    <n v="0"/>
    <m/>
    <m/>
    <m/>
    <m/>
    <n v="0"/>
    <m/>
    <m/>
    <n v="0"/>
    <m/>
    <m/>
    <m/>
    <m/>
    <m/>
    <m/>
    <n v="0"/>
    <n v="0"/>
  </r>
  <r>
    <x v="13"/>
    <x v="19"/>
    <s v="Baylor College of Medicine"/>
    <m/>
    <m/>
    <x v="12"/>
    <m/>
    <m/>
    <m/>
    <m/>
    <m/>
    <m/>
    <m/>
    <m/>
    <n v="0"/>
    <m/>
    <m/>
    <n v="0"/>
    <n v="0"/>
    <n v="0"/>
    <m/>
    <m/>
    <m/>
    <m/>
    <n v="0"/>
    <m/>
    <m/>
    <n v="0"/>
    <n v="45077583"/>
    <n v="47450543"/>
    <m/>
    <m/>
    <m/>
    <m/>
    <n v="45077583"/>
    <n v="47450543"/>
  </r>
  <r>
    <x v="13"/>
    <x v="19"/>
    <s v="Centers for Teacher Education"/>
    <m/>
    <m/>
    <x v="12"/>
    <m/>
    <m/>
    <m/>
    <m/>
    <m/>
    <m/>
    <m/>
    <m/>
    <n v="0"/>
    <m/>
    <m/>
    <n v="0"/>
    <n v="0"/>
    <n v="0"/>
    <n v="1520353"/>
    <n v="1520353"/>
    <m/>
    <m/>
    <n v="0"/>
    <m/>
    <m/>
    <n v="0"/>
    <m/>
    <m/>
    <m/>
    <m/>
    <m/>
    <m/>
    <n v="1520353"/>
    <n v="1520353"/>
  </r>
  <r>
    <x v="13"/>
    <x v="24"/>
    <s v="Statewide Student Financial Aid Programs Administered Off Campus"/>
    <m/>
    <m/>
    <x v="12"/>
    <m/>
    <m/>
    <m/>
    <m/>
    <m/>
    <m/>
    <m/>
    <m/>
    <n v="0"/>
    <m/>
    <m/>
    <n v="0"/>
    <n v="0"/>
    <n v="0"/>
    <m/>
    <m/>
    <m/>
    <m/>
    <n v="0"/>
    <m/>
    <m/>
    <n v="0"/>
    <m/>
    <m/>
    <m/>
    <m/>
    <m/>
    <m/>
    <n v="0"/>
    <n v="0"/>
  </r>
  <r>
    <x v="13"/>
    <x v="25"/>
    <s v="Available to public &amp; private sector students"/>
    <m/>
    <m/>
    <x v="12"/>
    <m/>
    <m/>
    <m/>
    <m/>
    <m/>
    <m/>
    <m/>
    <m/>
    <n v="0"/>
    <m/>
    <m/>
    <n v="0"/>
    <n v="0"/>
    <n v="0"/>
    <m/>
    <m/>
    <m/>
    <m/>
    <n v="0"/>
    <m/>
    <m/>
    <n v="0"/>
    <m/>
    <m/>
    <m/>
    <m/>
    <m/>
    <m/>
    <n v="0"/>
    <n v="0"/>
  </r>
  <r>
    <x v="13"/>
    <x v="25"/>
    <s v="TX Student Aid"/>
    <m/>
    <m/>
    <x v="12"/>
    <m/>
    <m/>
    <m/>
    <m/>
    <m/>
    <m/>
    <m/>
    <m/>
    <n v="0"/>
    <m/>
    <m/>
    <n v="0"/>
    <n v="0"/>
    <n v="0"/>
    <n v="525861525"/>
    <n v="426835831"/>
    <m/>
    <m/>
    <n v="0"/>
    <m/>
    <m/>
    <n v="0"/>
    <m/>
    <m/>
    <m/>
    <m/>
    <m/>
    <m/>
    <n v="525861525"/>
    <n v="426835831"/>
  </r>
  <r>
    <x v="13"/>
    <x v="27"/>
    <s v="Non need-based"/>
    <m/>
    <m/>
    <x v="12"/>
    <m/>
    <m/>
    <m/>
    <m/>
    <m/>
    <m/>
    <m/>
    <m/>
    <n v="0"/>
    <m/>
    <m/>
    <n v="0"/>
    <n v="0"/>
    <n v="0"/>
    <n v="20864000"/>
    <n v="17664000"/>
    <m/>
    <m/>
    <n v="0"/>
    <m/>
    <m/>
    <n v="0"/>
    <m/>
    <m/>
    <m/>
    <m/>
    <m/>
    <m/>
    <n v="20864000"/>
    <n v="17664000"/>
  </r>
  <r>
    <x v="13"/>
    <x v="25"/>
    <s v="Teach for TX Conditional Grants"/>
    <m/>
    <m/>
    <x v="12"/>
    <m/>
    <m/>
    <m/>
    <m/>
    <m/>
    <m/>
    <m/>
    <m/>
    <n v="0"/>
    <m/>
    <m/>
    <n v="0"/>
    <n v="0"/>
    <n v="0"/>
    <n v="2212500"/>
    <n v="2212500"/>
    <m/>
    <m/>
    <n v="0"/>
    <m/>
    <m/>
    <n v="0"/>
    <m/>
    <m/>
    <m/>
    <m/>
    <m/>
    <m/>
    <n v="2212500"/>
    <n v="2212500"/>
  </r>
  <r>
    <x v="13"/>
    <x v="25"/>
    <s v="Joint Admission Medical Program"/>
    <m/>
    <m/>
    <x v="12"/>
    <m/>
    <m/>
    <m/>
    <m/>
    <m/>
    <m/>
    <m/>
    <m/>
    <n v="0"/>
    <m/>
    <m/>
    <n v="0"/>
    <n v="0"/>
    <n v="0"/>
    <n v="10206794"/>
    <n v="0"/>
    <m/>
    <m/>
    <n v="0"/>
    <m/>
    <m/>
    <n v="0"/>
    <m/>
    <m/>
    <m/>
    <m/>
    <m/>
    <m/>
    <n v="10206794"/>
    <n v="0"/>
  </r>
  <r>
    <x v="13"/>
    <x v="25"/>
    <s v="Border Faculty Loan Repayment Program"/>
    <m/>
    <m/>
    <x v="12"/>
    <m/>
    <m/>
    <m/>
    <m/>
    <m/>
    <m/>
    <m/>
    <m/>
    <n v="0"/>
    <m/>
    <m/>
    <n v="0"/>
    <n v="0"/>
    <n v="0"/>
    <n v="187813"/>
    <n v="187813"/>
    <m/>
    <m/>
    <n v="0"/>
    <m/>
    <m/>
    <n v="0"/>
    <m/>
    <m/>
    <m/>
    <m/>
    <m/>
    <m/>
    <n v="187813"/>
    <n v="187813"/>
  </r>
  <r>
    <x v="14"/>
    <x v="0"/>
    <s v="George Mason University "/>
    <m/>
    <n v="232186"/>
    <x v="0"/>
    <n v="116066517"/>
    <n v="117511437"/>
    <n v="1206250"/>
    <n v="1206250"/>
    <m/>
    <m/>
    <n v="283162188"/>
    <n v="2535489"/>
    <n v="285697677"/>
    <n v="337679077"/>
    <n v="2535489"/>
    <n v="340214566"/>
    <n v="400434955"/>
    <n v="456396764"/>
    <m/>
    <m/>
    <m/>
    <m/>
    <n v="0"/>
    <m/>
    <m/>
    <n v="0"/>
    <m/>
    <m/>
    <m/>
    <m/>
    <m/>
    <m/>
    <n v="400434955"/>
    <n v="456396764"/>
  </r>
  <r>
    <x v="14"/>
    <x v="0"/>
    <s v="Old Dominion University "/>
    <m/>
    <n v="232982"/>
    <x v="0"/>
    <n v="103809827"/>
    <n v="106198829"/>
    <n v="3099838"/>
    <n v="3136658"/>
    <m/>
    <m/>
    <n v="137269455"/>
    <n v="458766"/>
    <n v="137728221"/>
    <n v="146105463"/>
    <n v="1059300"/>
    <n v="147164763"/>
    <n v="244179120"/>
    <n v="255440950"/>
    <m/>
    <m/>
    <m/>
    <m/>
    <n v="0"/>
    <m/>
    <m/>
    <n v="0"/>
    <m/>
    <m/>
    <m/>
    <m/>
    <m/>
    <m/>
    <n v="244179120"/>
    <n v="255440950"/>
  </r>
  <r>
    <x v="14"/>
    <x v="0"/>
    <s v="University of Virginia"/>
    <m/>
    <n v="234076"/>
    <x v="0"/>
    <n v="103100232"/>
    <n v="99880456"/>
    <n v="6732332"/>
    <n v="6732332"/>
    <m/>
    <m/>
    <n v="440639941"/>
    <n v="4670622"/>
    <n v="445310563"/>
    <n v="408074283"/>
    <n v="4670622"/>
    <n v="412744905"/>
    <n v="550472505"/>
    <n v="514687071"/>
    <m/>
    <m/>
    <m/>
    <m/>
    <n v="0"/>
    <m/>
    <m/>
    <n v="0"/>
    <m/>
    <m/>
    <m/>
    <m/>
    <m/>
    <m/>
    <n v="550472505"/>
    <n v="514687071"/>
  </r>
  <r>
    <x v="14"/>
    <x v="1"/>
    <s v="Medical School"/>
    <m/>
    <n v="234076"/>
    <x v="0"/>
    <m/>
    <m/>
    <m/>
    <m/>
    <m/>
    <m/>
    <m/>
    <m/>
    <n v="0"/>
    <m/>
    <m/>
    <n v="0"/>
    <n v="0"/>
    <n v="0"/>
    <m/>
    <m/>
    <m/>
    <m/>
    <n v="0"/>
    <m/>
    <m/>
    <n v="0"/>
    <n v="16414805"/>
    <n v="15884957"/>
    <n v="45087505"/>
    <m/>
    <n v="45914496"/>
    <m/>
    <n v="61502310"/>
    <n v="61799453"/>
  </r>
  <r>
    <x v="14"/>
    <x v="0"/>
    <s v="Virginia Tech "/>
    <m/>
    <n v="233921"/>
    <x v="0"/>
    <n v="130754013"/>
    <n v="134049568"/>
    <n v="4138544"/>
    <n v="2488544"/>
    <m/>
    <m/>
    <n v="372362992"/>
    <n v="4656663"/>
    <n v="377019655"/>
    <n v="464074265"/>
    <n v="4656663"/>
    <n v="468730928"/>
    <n v="507255549"/>
    <n v="600612377"/>
    <m/>
    <m/>
    <m/>
    <m/>
    <n v="0"/>
    <m/>
    <m/>
    <n v="0"/>
    <m/>
    <m/>
    <m/>
    <m/>
    <m/>
    <m/>
    <n v="507255549"/>
    <n v="600612377"/>
  </r>
  <r>
    <x v="14"/>
    <x v="1"/>
    <s v="Veterinary School"/>
    <m/>
    <n v="233921"/>
    <x v="0"/>
    <m/>
    <m/>
    <m/>
    <m/>
    <m/>
    <m/>
    <m/>
    <m/>
    <n v="0"/>
    <m/>
    <m/>
    <n v="0"/>
    <n v="0"/>
    <n v="0"/>
    <m/>
    <m/>
    <m/>
    <m/>
    <n v="0"/>
    <m/>
    <m/>
    <n v="0"/>
    <n v="11862960"/>
    <n v="13318507"/>
    <n v="15192231"/>
    <m/>
    <n v="16834923"/>
    <m/>
    <n v="27055191"/>
    <n v="30153430"/>
  </r>
  <r>
    <x v="14"/>
    <x v="5"/>
    <s v="Agricultural &amp; Foresty Research"/>
    <m/>
    <n v="233921"/>
    <x v="0"/>
    <m/>
    <m/>
    <n v="30877496"/>
    <n v="32883452"/>
    <m/>
    <m/>
    <m/>
    <m/>
    <n v="0"/>
    <m/>
    <m/>
    <n v="0"/>
    <n v="30877496"/>
    <n v="32883452"/>
    <m/>
    <m/>
    <m/>
    <m/>
    <n v="0"/>
    <m/>
    <m/>
    <n v="0"/>
    <m/>
    <m/>
    <m/>
    <m/>
    <m/>
    <m/>
    <n v="30877496"/>
    <n v="32883452"/>
  </r>
  <r>
    <x v="14"/>
    <x v="6"/>
    <s v="Cooperative Extension"/>
    <m/>
    <n v="233921"/>
    <x v="0"/>
    <m/>
    <m/>
    <n v="31027270"/>
    <n v="32361493"/>
    <m/>
    <m/>
    <m/>
    <m/>
    <n v="0"/>
    <m/>
    <m/>
    <n v="0"/>
    <n v="31027270"/>
    <n v="32361493"/>
    <m/>
    <m/>
    <m/>
    <m/>
    <n v="0"/>
    <m/>
    <m/>
    <n v="0"/>
    <m/>
    <m/>
    <m/>
    <m/>
    <m/>
    <m/>
    <n v="31027270"/>
    <n v="32361493"/>
  </r>
  <r>
    <x v="14"/>
    <x v="0"/>
    <s v="College of William &amp; Mary"/>
    <m/>
    <n v="231624"/>
    <x v="1"/>
    <n v="38343452"/>
    <n v="38450245"/>
    <n v="75000"/>
    <n v="75000"/>
    <m/>
    <m/>
    <n v="138145648"/>
    <n v="1493811"/>
    <n v="139639459"/>
    <n v="130926620"/>
    <n v="1493811"/>
    <n v="132420431"/>
    <n v="176564100"/>
    <n v="169451865"/>
    <m/>
    <m/>
    <m/>
    <m/>
    <n v="0"/>
    <m/>
    <m/>
    <n v="0"/>
    <m/>
    <m/>
    <m/>
    <m/>
    <m/>
    <m/>
    <n v="176564100"/>
    <n v="169451865"/>
  </r>
  <r>
    <x v="14"/>
    <x v="7"/>
    <s v="Research centers/institutes"/>
    <m/>
    <n v="231624"/>
    <x v="1"/>
    <m/>
    <m/>
    <m/>
    <m/>
    <m/>
    <m/>
    <m/>
    <m/>
    <n v="0"/>
    <m/>
    <m/>
    <n v="0"/>
    <n v="0"/>
    <n v="0"/>
    <m/>
    <m/>
    <m/>
    <m/>
    <n v="0"/>
    <m/>
    <m/>
    <n v="0"/>
    <m/>
    <m/>
    <m/>
    <m/>
    <m/>
    <m/>
    <n v="0"/>
    <n v="0"/>
  </r>
  <r>
    <x v="14"/>
    <x v="7"/>
    <s v="Va Inst of Marine Science"/>
    <m/>
    <n v="231624"/>
    <x v="1"/>
    <m/>
    <m/>
    <n v="17491970"/>
    <n v="18203761"/>
    <m/>
    <m/>
    <m/>
    <m/>
    <n v="0"/>
    <m/>
    <m/>
    <n v="0"/>
    <n v="17491970"/>
    <n v="18203761"/>
    <m/>
    <m/>
    <m/>
    <m/>
    <n v="0"/>
    <m/>
    <m/>
    <n v="0"/>
    <m/>
    <m/>
    <m/>
    <m/>
    <m/>
    <m/>
    <n v="17491970"/>
    <n v="18203761"/>
  </r>
  <r>
    <x v="14"/>
    <x v="0"/>
    <s v="Virginia Commonwealth University"/>
    <s v="Met the criteria for Four-Year 1 in 2013-14 and 2014-15."/>
    <n v="234030"/>
    <x v="1"/>
    <n v="116820767"/>
    <n v="127282062"/>
    <n v="10162500"/>
    <n v="9912500"/>
    <m/>
    <m/>
    <n v="288009767"/>
    <n v="2132460"/>
    <n v="290142227"/>
    <n v="336127427"/>
    <n v="2132460"/>
    <n v="338259887"/>
    <n v="414993034"/>
    <n v="473321989"/>
    <m/>
    <m/>
    <m/>
    <m/>
    <n v="0"/>
    <m/>
    <m/>
    <n v="0"/>
    <m/>
    <m/>
    <m/>
    <m/>
    <m/>
    <m/>
    <n v="414993034"/>
    <n v="473321989"/>
  </r>
  <r>
    <x v="14"/>
    <x v="1"/>
    <s v="Medical School"/>
    <m/>
    <n v="234030"/>
    <x v="1"/>
    <m/>
    <m/>
    <m/>
    <m/>
    <m/>
    <m/>
    <m/>
    <m/>
    <n v="0"/>
    <m/>
    <m/>
    <n v="0"/>
    <n v="0"/>
    <n v="0"/>
    <m/>
    <m/>
    <m/>
    <m/>
    <n v="0"/>
    <m/>
    <m/>
    <n v="0"/>
    <n v="38068870"/>
    <n v="32442308"/>
    <n v="43801240"/>
    <m/>
    <n v="46127046"/>
    <m/>
    <n v="81870110"/>
    <n v="78569354"/>
  </r>
  <r>
    <x v="14"/>
    <x v="0"/>
    <s v="James Madison University  "/>
    <m/>
    <n v="232423"/>
    <x v="2"/>
    <n v="69808843"/>
    <n v="71320281"/>
    <m/>
    <m/>
    <m/>
    <m/>
    <n v="185815798"/>
    <n v="2635578"/>
    <n v="188451376"/>
    <n v="201228440"/>
    <n v="2635578"/>
    <n v="203864018"/>
    <n v="255624641"/>
    <n v="272548721"/>
    <m/>
    <m/>
    <m/>
    <m/>
    <n v="0"/>
    <m/>
    <m/>
    <n v="0"/>
    <m/>
    <m/>
    <m/>
    <m/>
    <m/>
    <m/>
    <n v="255624641"/>
    <n v="272548721"/>
  </r>
  <r>
    <x v="14"/>
    <x v="0"/>
    <s v="Longwood University "/>
    <m/>
    <n v="232566"/>
    <x v="2"/>
    <n v="23618254"/>
    <n v="24542954"/>
    <m/>
    <m/>
    <m/>
    <m/>
    <n v="32310828"/>
    <n v="111276"/>
    <n v="32422104"/>
    <n v="35969776"/>
    <n v="111276"/>
    <n v="36081052"/>
    <n v="55929082"/>
    <n v="60512730"/>
    <m/>
    <m/>
    <m/>
    <m/>
    <n v="0"/>
    <m/>
    <m/>
    <n v="0"/>
    <m/>
    <m/>
    <m/>
    <m/>
    <m/>
    <m/>
    <n v="55929082"/>
    <n v="60512730"/>
  </r>
  <r>
    <x v="14"/>
    <x v="0"/>
    <s v="Norfolk State University "/>
    <m/>
    <n v="232937"/>
    <x v="2"/>
    <n v="40473227"/>
    <n v="41800286"/>
    <m/>
    <m/>
    <m/>
    <m/>
    <n v="40333666"/>
    <n v="293535"/>
    <n v="40627201"/>
    <n v="36574430"/>
    <n v="458766"/>
    <n v="37033196"/>
    <n v="80806893"/>
    <n v="78374716"/>
    <m/>
    <m/>
    <m/>
    <m/>
    <n v="0"/>
    <m/>
    <m/>
    <n v="0"/>
    <m/>
    <m/>
    <m/>
    <m/>
    <m/>
    <m/>
    <n v="80806893"/>
    <n v="78374716"/>
  </r>
  <r>
    <x v="14"/>
    <x v="0"/>
    <s v="Radford University"/>
    <s v="Met the criteria for Four-Year 2 in 2014-15."/>
    <n v="233277"/>
    <x v="2"/>
    <n v="43456527"/>
    <n v="44908068"/>
    <m/>
    <m/>
    <m/>
    <m/>
    <n v="65849503"/>
    <n v="1059300"/>
    <n v="66908803"/>
    <n v="70970112"/>
    <n v="275022"/>
    <n v="71245134"/>
    <n v="109306030"/>
    <n v="115878180"/>
    <m/>
    <m/>
    <m/>
    <m/>
    <n v="0"/>
    <m/>
    <m/>
    <n v="0"/>
    <m/>
    <m/>
    <m/>
    <m/>
    <m/>
    <m/>
    <n v="109306030"/>
    <n v="115878180"/>
  </r>
  <r>
    <x v="14"/>
    <x v="0"/>
    <s v="University of Mary Washington"/>
    <m/>
    <n v="232681"/>
    <x v="2"/>
    <n v="19800128"/>
    <n v="21066024"/>
    <n v="1750000"/>
    <n v="1250000"/>
    <m/>
    <m/>
    <n v="41207833"/>
    <n v="275022"/>
    <n v="41482855"/>
    <n v="38389855"/>
    <n v="293535"/>
    <n v="38683390"/>
    <n v="62757961"/>
    <n v="60705879"/>
    <m/>
    <m/>
    <m/>
    <m/>
    <n v="0"/>
    <m/>
    <m/>
    <n v="0"/>
    <m/>
    <m/>
    <m/>
    <m/>
    <m/>
    <m/>
    <n v="62757961"/>
    <n v="60705879"/>
  </r>
  <r>
    <x v="14"/>
    <x v="0"/>
    <s v="Virginia State University "/>
    <m/>
    <n v="234155"/>
    <x v="2"/>
    <n v="30167239"/>
    <n v="30700481"/>
    <m/>
    <m/>
    <m/>
    <m/>
    <n v="42174742"/>
    <n v="845856"/>
    <n v="43020598"/>
    <n v="32796762"/>
    <n v="845856"/>
    <n v="33642618"/>
    <n v="72341981"/>
    <n v="63497243"/>
    <m/>
    <m/>
    <m/>
    <m/>
    <n v="0"/>
    <m/>
    <m/>
    <n v="0"/>
    <m/>
    <m/>
    <m/>
    <m/>
    <m/>
    <m/>
    <n v="72341981"/>
    <n v="63497243"/>
  </r>
  <r>
    <x v="14"/>
    <x v="5"/>
    <s v="Agricultural cooperative extension"/>
    <m/>
    <n v="234155"/>
    <x v="2"/>
    <m/>
    <m/>
    <n v="5313900"/>
    <n v="5430442"/>
    <m/>
    <m/>
    <m/>
    <m/>
    <n v="0"/>
    <m/>
    <m/>
    <n v="0"/>
    <n v="5313900"/>
    <n v="5430442"/>
    <m/>
    <m/>
    <m/>
    <m/>
    <n v="0"/>
    <m/>
    <m/>
    <n v="0"/>
    <m/>
    <m/>
    <m/>
    <m/>
    <m/>
    <m/>
    <n v="5313900"/>
    <n v="5430442"/>
  </r>
  <r>
    <x v="14"/>
    <x v="0"/>
    <s v="Christopher Newport University"/>
    <s v="Met the criteria for Four-Year 4 in 2014-15."/>
    <n v="231712"/>
    <x v="4"/>
    <n v="24479716"/>
    <n v="25392536"/>
    <m/>
    <m/>
    <m/>
    <m/>
    <n v="34794369"/>
    <n v="112167"/>
    <n v="34906536"/>
    <n v="38246613"/>
    <n v="112167"/>
    <n v="38358780"/>
    <n v="59274085"/>
    <n v="63639149"/>
    <m/>
    <m/>
    <m/>
    <m/>
    <n v="0"/>
    <m/>
    <m/>
    <n v="0"/>
    <m/>
    <m/>
    <m/>
    <m/>
    <m/>
    <m/>
    <n v="59274085"/>
    <n v="63639149"/>
  </r>
  <r>
    <x v="14"/>
    <x v="0"/>
    <s v="University of Virginia's College at Wise "/>
    <m/>
    <n v="233897"/>
    <x v="5"/>
    <n v="12937643"/>
    <n v="13491806"/>
    <m/>
    <m/>
    <m/>
    <m/>
    <n v="7991302"/>
    <n v="48510"/>
    <n v="8039812"/>
    <n v="8695341"/>
    <n v="48510"/>
    <n v="8743851"/>
    <n v="20928945"/>
    <n v="22187147"/>
    <m/>
    <m/>
    <m/>
    <m/>
    <n v="0"/>
    <m/>
    <m/>
    <n v="0"/>
    <m/>
    <m/>
    <m/>
    <m/>
    <m/>
    <m/>
    <n v="20928945"/>
    <n v="22187147"/>
  </r>
  <r>
    <x v="14"/>
    <x v="0"/>
    <s v="J.S. Reynolds Community College"/>
    <m/>
    <n v="232414"/>
    <x v="6"/>
    <m/>
    <m/>
    <m/>
    <m/>
    <m/>
    <m/>
    <m/>
    <m/>
    <n v="0"/>
    <m/>
    <m/>
    <n v="0"/>
    <n v="0"/>
    <n v="0"/>
    <m/>
    <m/>
    <m/>
    <m/>
    <n v="0"/>
    <m/>
    <m/>
    <n v="0"/>
    <m/>
    <m/>
    <m/>
    <m/>
    <m/>
    <m/>
    <n v="0"/>
    <n v="0"/>
  </r>
  <r>
    <x v="14"/>
    <x v="0"/>
    <s v="John Tyler Community College"/>
    <m/>
    <n v="232450"/>
    <x v="6"/>
    <m/>
    <m/>
    <m/>
    <m/>
    <m/>
    <m/>
    <m/>
    <m/>
    <n v="0"/>
    <m/>
    <m/>
    <n v="0"/>
    <n v="0"/>
    <n v="0"/>
    <m/>
    <m/>
    <m/>
    <m/>
    <n v="0"/>
    <m/>
    <m/>
    <n v="0"/>
    <m/>
    <m/>
    <m/>
    <m/>
    <m/>
    <m/>
    <n v="0"/>
    <n v="0"/>
  </r>
  <r>
    <x v="14"/>
    <x v="0"/>
    <s v="Northern Virginia Community College "/>
    <m/>
    <n v="232946"/>
    <x v="6"/>
    <m/>
    <m/>
    <m/>
    <m/>
    <m/>
    <m/>
    <m/>
    <m/>
    <n v="0"/>
    <m/>
    <m/>
    <n v="0"/>
    <n v="0"/>
    <n v="0"/>
    <m/>
    <m/>
    <m/>
    <m/>
    <n v="0"/>
    <m/>
    <m/>
    <n v="0"/>
    <m/>
    <m/>
    <m/>
    <m/>
    <m/>
    <m/>
    <n v="0"/>
    <n v="0"/>
  </r>
  <r>
    <x v="14"/>
    <x v="0"/>
    <s v="Thomas Nelson Community College "/>
    <m/>
    <n v="233754"/>
    <x v="6"/>
    <m/>
    <m/>
    <m/>
    <m/>
    <m/>
    <m/>
    <m/>
    <m/>
    <n v="0"/>
    <m/>
    <m/>
    <n v="0"/>
    <n v="0"/>
    <n v="0"/>
    <m/>
    <m/>
    <m/>
    <m/>
    <n v="0"/>
    <m/>
    <m/>
    <n v="0"/>
    <m/>
    <m/>
    <m/>
    <m/>
    <m/>
    <m/>
    <n v="0"/>
    <n v="0"/>
  </r>
  <r>
    <x v="14"/>
    <x v="0"/>
    <s v="Tidewater Community College "/>
    <m/>
    <n v="233772"/>
    <x v="6"/>
    <m/>
    <m/>
    <m/>
    <m/>
    <m/>
    <m/>
    <m/>
    <m/>
    <n v="0"/>
    <m/>
    <m/>
    <n v="0"/>
    <n v="0"/>
    <n v="0"/>
    <m/>
    <m/>
    <m/>
    <m/>
    <n v="0"/>
    <m/>
    <m/>
    <n v="0"/>
    <m/>
    <m/>
    <m/>
    <m/>
    <m/>
    <m/>
    <n v="0"/>
    <n v="0"/>
  </r>
  <r>
    <x v="14"/>
    <x v="0"/>
    <s v="Blue Ridge Community College "/>
    <m/>
    <n v="231536"/>
    <x v="7"/>
    <m/>
    <m/>
    <m/>
    <m/>
    <m/>
    <m/>
    <m/>
    <m/>
    <n v="0"/>
    <m/>
    <m/>
    <n v="0"/>
    <n v="0"/>
    <n v="0"/>
    <m/>
    <m/>
    <m/>
    <m/>
    <n v="0"/>
    <m/>
    <m/>
    <n v="0"/>
    <m/>
    <m/>
    <m/>
    <m/>
    <m/>
    <m/>
    <n v="0"/>
    <n v="0"/>
  </r>
  <r>
    <x v="14"/>
    <x v="0"/>
    <s v="Central Virginia Community College "/>
    <m/>
    <n v="231697"/>
    <x v="7"/>
    <m/>
    <m/>
    <m/>
    <m/>
    <m/>
    <m/>
    <m/>
    <m/>
    <n v="0"/>
    <m/>
    <m/>
    <n v="0"/>
    <n v="0"/>
    <n v="0"/>
    <m/>
    <m/>
    <m/>
    <m/>
    <n v="0"/>
    <m/>
    <m/>
    <n v="0"/>
    <m/>
    <m/>
    <m/>
    <m/>
    <m/>
    <m/>
    <n v="0"/>
    <n v="0"/>
  </r>
  <r>
    <x v="14"/>
    <x v="0"/>
    <s v="Danville Community College "/>
    <m/>
    <n v="231882"/>
    <x v="7"/>
    <m/>
    <m/>
    <m/>
    <m/>
    <m/>
    <m/>
    <m/>
    <m/>
    <n v="0"/>
    <m/>
    <m/>
    <n v="0"/>
    <n v="0"/>
    <n v="0"/>
    <m/>
    <m/>
    <m/>
    <m/>
    <n v="0"/>
    <m/>
    <m/>
    <n v="0"/>
    <m/>
    <m/>
    <m/>
    <m/>
    <m/>
    <m/>
    <n v="0"/>
    <n v="0"/>
  </r>
  <r>
    <x v="14"/>
    <x v="0"/>
    <s v="Germanna Community College"/>
    <m/>
    <n v="232195"/>
    <x v="7"/>
    <m/>
    <m/>
    <m/>
    <m/>
    <m/>
    <m/>
    <m/>
    <m/>
    <n v="0"/>
    <m/>
    <m/>
    <n v="0"/>
    <n v="0"/>
    <n v="0"/>
    <m/>
    <m/>
    <m/>
    <m/>
    <n v="0"/>
    <m/>
    <m/>
    <n v="0"/>
    <m/>
    <m/>
    <m/>
    <m/>
    <m/>
    <m/>
    <n v="0"/>
    <n v="0"/>
  </r>
  <r>
    <x v="14"/>
    <x v="0"/>
    <s v="Lord Fairfax Community College  "/>
    <m/>
    <n v="232575"/>
    <x v="7"/>
    <m/>
    <m/>
    <m/>
    <m/>
    <m/>
    <m/>
    <m/>
    <m/>
    <n v="0"/>
    <m/>
    <m/>
    <n v="0"/>
    <n v="0"/>
    <n v="0"/>
    <m/>
    <m/>
    <m/>
    <m/>
    <n v="0"/>
    <m/>
    <m/>
    <n v="0"/>
    <m/>
    <m/>
    <m/>
    <m/>
    <m/>
    <m/>
    <n v="0"/>
    <n v="0"/>
  </r>
  <r>
    <x v="14"/>
    <x v="0"/>
    <s v="Mountain Empire Community College"/>
    <s v="Met the criteria for Two-Year 3 in 2013-14 and 2014-15. "/>
    <n v="232788"/>
    <x v="7"/>
    <m/>
    <m/>
    <m/>
    <m/>
    <m/>
    <m/>
    <m/>
    <m/>
    <n v="0"/>
    <m/>
    <m/>
    <n v="0"/>
    <n v="0"/>
    <n v="0"/>
    <m/>
    <m/>
    <m/>
    <m/>
    <n v="0"/>
    <m/>
    <m/>
    <n v="0"/>
    <m/>
    <m/>
    <m/>
    <m/>
    <m/>
    <m/>
    <n v="0"/>
    <n v="0"/>
  </r>
  <r>
    <x v="14"/>
    <x v="0"/>
    <s v="New River Community College "/>
    <m/>
    <n v="232867"/>
    <x v="7"/>
    <m/>
    <m/>
    <m/>
    <m/>
    <m/>
    <m/>
    <m/>
    <m/>
    <n v="0"/>
    <m/>
    <m/>
    <n v="0"/>
    <n v="0"/>
    <n v="0"/>
    <m/>
    <m/>
    <m/>
    <m/>
    <n v="0"/>
    <m/>
    <m/>
    <n v="0"/>
    <m/>
    <m/>
    <m/>
    <m/>
    <m/>
    <m/>
    <n v="0"/>
    <n v="0"/>
  </r>
  <r>
    <x v="14"/>
    <x v="0"/>
    <s v="Patrick Henry Community College "/>
    <m/>
    <n v="233019"/>
    <x v="7"/>
    <m/>
    <m/>
    <m/>
    <m/>
    <m/>
    <m/>
    <m/>
    <m/>
    <n v="0"/>
    <m/>
    <m/>
    <n v="0"/>
    <n v="0"/>
    <n v="0"/>
    <m/>
    <m/>
    <m/>
    <m/>
    <n v="0"/>
    <m/>
    <m/>
    <n v="0"/>
    <m/>
    <m/>
    <m/>
    <m/>
    <m/>
    <m/>
    <n v="0"/>
    <n v="0"/>
  </r>
  <r>
    <x v="14"/>
    <x v="0"/>
    <s v="Piedmont Virginia Community College "/>
    <m/>
    <n v="233116"/>
    <x v="7"/>
    <m/>
    <m/>
    <m/>
    <m/>
    <m/>
    <m/>
    <m/>
    <m/>
    <n v="0"/>
    <m/>
    <m/>
    <n v="0"/>
    <n v="0"/>
    <n v="0"/>
    <m/>
    <m/>
    <m/>
    <m/>
    <n v="0"/>
    <m/>
    <m/>
    <n v="0"/>
    <m/>
    <m/>
    <m/>
    <m/>
    <m/>
    <m/>
    <n v="0"/>
    <n v="0"/>
  </r>
  <r>
    <x v="14"/>
    <x v="0"/>
    <s v="Southside Virginia Community College  "/>
    <m/>
    <n v="233639"/>
    <x v="7"/>
    <m/>
    <m/>
    <m/>
    <m/>
    <m/>
    <m/>
    <m/>
    <m/>
    <n v="0"/>
    <m/>
    <m/>
    <n v="0"/>
    <n v="0"/>
    <n v="0"/>
    <m/>
    <m/>
    <m/>
    <m/>
    <n v="0"/>
    <m/>
    <m/>
    <n v="0"/>
    <m/>
    <m/>
    <m/>
    <m/>
    <m/>
    <m/>
    <n v="0"/>
    <n v="0"/>
  </r>
  <r>
    <x v="14"/>
    <x v="0"/>
    <s v="Southwest Virginia Community College "/>
    <s v="Reclassified: Met the criteria for Two-Year 3 in 2012-13, 2013-14, and 2014-15."/>
    <n v="233648"/>
    <x v="8"/>
    <m/>
    <m/>
    <m/>
    <m/>
    <m/>
    <m/>
    <m/>
    <m/>
    <n v="0"/>
    <m/>
    <m/>
    <n v="0"/>
    <n v="0"/>
    <n v="0"/>
    <m/>
    <m/>
    <m/>
    <m/>
    <n v="0"/>
    <m/>
    <m/>
    <n v="0"/>
    <m/>
    <m/>
    <m/>
    <m/>
    <m/>
    <m/>
    <n v="0"/>
    <n v="0"/>
  </r>
  <r>
    <x v="14"/>
    <x v="0"/>
    <s v="Virginia Western Community College "/>
    <s v="Met the criteria for Two-Year 1 in 2014-15."/>
    <n v="233949"/>
    <x v="7"/>
    <m/>
    <m/>
    <m/>
    <m/>
    <m/>
    <m/>
    <m/>
    <m/>
    <n v="0"/>
    <m/>
    <m/>
    <n v="0"/>
    <n v="0"/>
    <n v="0"/>
    <m/>
    <m/>
    <m/>
    <m/>
    <n v="0"/>
    <m/>
    <m/>
    <n v="0"/>
    <m/>
    <m/>
    <m/>
    <m/>
    <m/>
    <m/>
    <n v="0"/>
    <n v="0"/>
  </r>
  <r>
    <x v="14"/>
    <x v="0"/>
    <s v="Wytheville Community College "/>
    <m/>
    <n v="234377"/>
    <x v="7"/>
    <m/>
    <m/>
    <m/>
    <m/>
    <m/>
    <m/>
    <m/>
    <m/>
    <n v="0"/>
    <m/>
    <m/>
    <n v="0"/>
    <n v="0"/>
    <n v="0"/>
    <m/>
    <m/>
    <m/>
    <m/>
    <n v="0"/>
    <m/>
    <m/>
    <n v="0"/>
    <m/>
    <m/>
    <m/>
    <m/>
    <m/>
    <m/>
    <n v="0"/>
    <n v="0"/>
  </r>
  <r>
    <x v="14"/>
    <x v="0"/>
    <s v="D.S. Lancaster Community College "/>
    <m/>
    <n v="231873"/>
    <x v="8"/>
    <m/>
    <m/>
    <m/>
    <m/>
    <m/>
    <m/>
    <m/>
    <m/>
    <n v="0"/>
    <m/>
    <m/>
    <n v="0"/>
    <n v="0"/>
    <n v="0"/>
    <m/>
    <m/>
    <m/>
    <m/>
    <n v="0"/>
    <m/>
    <m/>
    <n v="0"/>
    <m/>
    <m/>
    <m/>
    <m/>
    <m/>
    <m/>
    <n v="0"/>
    <n v="0"/>
  </r>
  <r>
    <x v="14"/>
    <x v="0"/>
    <s v="Eastern Shore Community College  "/>
    <m/>
    <n v="232052"/>
    <x v="8"/>
    <m/>
    <m/>
    <m/>
    <m/>
    <m/>
    <m/>
    <m/>
    <m/>
    <n v="0"/>
    <m/>
    <m/>
    <n v="0"/>
    <n v="0"/>
    <n v="0"/>
    <m/>
    <m/>
    <m/>
    <m/>
    <n v="0"/>
    <m/>
    <m/>
    <n v="0"/>
    <m/>
    <m/>
    <m/>
    <m/>
    <m/>
    <m/>
    <n v="0"/>
    <n v="0"/>
  </r>
  <r>
    <x v="14"/>
    <x v="0"/>
    <s v="Paul D. Camp Community College  "/>
    <m/>
    <n v="233037"/>
    <x v="8"/>
    <m/>
    <m/>
    <m/>
    <m/>
    <m/>
    <m/>
    <m/>
    <m/>
    <n v="0"/>
    <m/>
    <m/>
    <n v="0"/>
    <n v="0"/>
    <n v="0"/>
    <m/>
    <m/>
    <m/>
    <m/>
    <n v="0"/>
    <m/>
    <m/>
    <n v="0"/>
    <m/>
    <m/>
    <m/>
    <m/>
    <m/>
    <m/>
    <n v="0"/>
    <n v="0"/>
  </r>
  <r>
    <x v="14"/>
    <x v="0"/>
    <s v="Rappahannock Community College  "/>
    <m/>
    <n v="233310"/>
    <x v="8"/>
    <m/>
    <m/>
    <m/>
    <m/>
    <m/>
    <m/>
    <m/>
    <m/>
    <n v="0"/>
    <m/>
    <m/>
    <n v="0"/>
    <n v="0"/>
    <n v="0"/>
    <m/>
    <m/>
    <m/>
    <m/>
    <n v="0"/>
    <m/>
    <m/>
    <n v="0"/>
    <m/>
    <m/>
    <m/>
    <m/>
    <m/>
    <m/>
    <n v="0"/>
    <n v="0"/>
  </r>
  <r>
    <x v="14"/>
    <x v="0"/>
    <s v="Richard Bland College "/>
    <m/>
    <n v="233338"/>
    <x v="8"/>
    <n v="5473340"/>
    <n v="5628738"/>
    <m/>
    <m/>
    <m/>
    <m/>
    <n v="4443506"/>
    <n v="9900"/>
    <n v="4453406"/>
    <n v="4181900"/>
    <n v="9900"/>
    <n v="4191800"/>
    <n v="9916846"/>
    <n v="9810638"/>
    <m/>
    <m/>
    <m/>
    <m/>
    <n v="0"/>
    <m/>
    <m/>
    <n v="0"/>
    <m/>
    <m/>
    <m/>
    <m/>
    <m/>
    <m/>
    <n v="9916846"/>
    <n v="9810638"/>
  </r>
  <r>
    <x v="14"/>
    <x v="0"/>
    <s v="Virginia Highlands Community College "/>
    <m/>
    <n v="233903"/>
    <x v="8"/>
    <m/>
    <m/>
    <m/>
    <m/>
    <m/>
    <m/>
    <m/>
    <m/>
    <n v="0"/>
    <m/>
    <m/>
    <n v="0"/>
    <n v="0"/>
    <n v="0"/>
    <m/>
    <m/>
    <m/>
    <m/>
    <n v="0"/>
    <m/>
    <m/>
    <n v="0"/>
    <m/>
    <m/>
    <m/>
    <m/>
    <m/>
    <m/>
    <n v="0"/>
    <n v="0"/>
  </r>
  <r>
    <x v="14"/>
    <x v="0"/>
    <s v="All Community Colleges except R.Bland"/>
    <m/>
    <m/>
    <x v="15"/>
    <n v="324915521"/>
    <n v="333468663"/>
    <m/>
    <m/>
    <n v="10921170"/>
    <n v="11268643"/>
    <n v="524305443"/>
    <n v="3222450"/>
    <n v="527527893"/>
    <n v="547131020"/>
    <n v="3222450"/>
    <n v="550353470"/>
    <n v="860142134"/>
    <n v="891868326"/>
    <m/>
    <m/>
    <m/>
    <m/>
    <n v="0"/>
    <m/>
    <m/>
    <n v="0"/>
    <m/>
    <m/>
    <m/>
    <m/>
    <m/>
    <m/>
    <n v="860142134"/>
    <n v="891868326"/>
  </r>
  <r>
    <x v="14"/>
    <x v="9"/>
    <s v="Virginia Military Institute"/>
    <m/>
    <n v="234085"/>
    <x v="11"/>
    <m/>
    <m/>
    <m/>
    <m/>
    <m/>
    <m/>
    <m/>
    <m/>
    <n v="0"/>
    <m/>
    <m/>
    <n v="0"/>
    <n v="0"/>
    <n v="0"/>
    <n v="11901908"/>
    <n v="12203131"/>
    <n v="26991029"/>
    <n v="296208"/>
    <n v="27287237"/>
    <n v="26200986"/>
    <n v="370260"/>
    <n v="26571246"/>
    <m/>
    <m/>
    <m/>
    <m/>
    <m/>
    <m/>
    <n v="38892937"/>
    <n v="38404117"/>
  </r>
  <r>
    <x v="14"/>
    <x v="10"/>
    <s v="Statewide Special-Purpose Units"/>
    <m/>
    <m/>
    <x v="12"/>
    <m/>
    <m/>
    <m/>
    <m/>
    <m/>
    <m/>
    <m/>
    <m/>
    <n v="0"/>
    <m/>
    <m/>
    <n v="0"/>
    <n v="0"/>
    <n v="0"/>
    <m/>
    <m/>
    <m/>
    <m/>
    <n v="0"/>
    <m/>
    <m/>
    <n v="0"/>
    <m/>
    <m/>
    <m/>
    <m/>
    <m/>
    <m/>
    <n v="0"/>
    <n v="0"/>
  </r>
  <r>
    <x v="14"/>
    <x v="11"/>
    <s v="Research centers/institutes"/>
    <m/>
    <m/>
    <x v="12"/>
    <m/>
    <m/>
    <m/>
    <m/>
    <m/>
    <m/>
    <m/>
    <m/>
    <n v="0"/>
    <m/>
    <m/>
    <n v="0"/>
    <n v="0"/>
    <n v="0"/>
    <m/>
    <m/>
    <m/>
    <m/>
    <n v="0"/>
    <m/>
    <m/>
    <n v="0"/>
    <m/>
    <m/>
    <m/>
    <m/>
    <m/>
    <m/>
    <n v="0"/>
    <n v="0"/>
  </r>
  <r>
    <x v="14"/>
    <x v="11"/>
    <s v="Commerce and Trade"/>
    <m/>
    <m/>
    <x v="12"/>
    <m/>
    <m/>
    <n v="2500000"/>
    <n v="2500000"/>
    <m/>
    <m/>
    <m/>
    <m/>
    <n v="0"/>
    <m/>
    <m/>
    <n v="0"/>
    <n v="2500000"/>
    <n v="2500000"/>
    <m/>
    <m/>
    <m/>
    <m/>
    <n v="0"/>
    <m/>
    <m/>
    <n v="0"/>
    <m/>
    <m/>
    <m/>
    <m/>
    <m/>
    <m/>
    <n v="2500000"/>
    <n v="2500000"/>
  </r>
  <r>
    <x v="14"/>
    <x v="11"/>
    <s v="Jefferson Science Associates"/>
    <m/>
    <m/>
    <x v="12"/>
    <m/>
    <m/>
    <n v="1149891"/>
    <n v="1150005"/>
    <m/>
    <m/>
    <m/>
    <m/>
    <n v="0"/>
    <m/>
    <m/>
    <n v="0"/>
    <n v="1149891"/>
    <n v="1150005"/>
    <m/>
    <m/>
    <m/>
    <m/>
    <n v="0"/>
    <m/>
    <m/>
    <n v="0"/>
    <m/>
    <m/>
    <m/>
    <m/>
    <m/>
    <m/>
    <n v="1149891"/>
    <n v="1150005"/>
  </r>
  <r>
    <x v="14"/>
    <x v="11"/>
    <s v="Higher Education Research Initiatives"/>
    <m/>
    <m/>
    <x v="12"/>
    <m/>
    <m/>
    <n v="3020000"/>
    <n v="0"/>
    <m/>
    <m/>
    <m/>
    <m/>
    <n v="0"/>
    <m/>
    <m/>
    <n v="0"/>
    <n v="3020000"/>
    <n v="0"/>
    <m/>
    <m/>
    <m/>
    <m/>
    <n v="0"/>
    <m/>
    <m/>
    <n v="0"/>
    <m/>
    <m/>
    <m/>
    <m/>
    <m/>
    <m/>
    <n v="3020000"/>
    <n v="0"/>
  </r>
  <r>
    <x v="14"/>
    <x v="12"/>
    <s v="Special Line items for education operations"/>
    <m/>
    <m/>
    <x v="12"/>
    <m/>
    <m/>
    <m/>
    <m/>
    <m/>
    <m/>
    <m/>
    <m/>
    <n v="0"/>
    <m/>
    <m/>
    <n v="0"/>
    <n v="0"/>
    <n v="0"/>
    <m/>
    <m/>
    <m/>
    <m/>
    <n v="0"/>
    <m/>
    <m/>
    <n v="0"/>
    <m/>
    <m/>
    <m/>
    <m/>
    <m/>
    <m/>
    <n v="0"/>
    <n v="0"/>
  </r>
  <r>
    <x v="14"/>
    <x v="12"/>
    <s v="New College Institute"/>
    <m/>
    <m/>
    <x v="12"/>
    <m/>
    <m/>
    <n v="1471055"/>
    <n v="1519044"/>
    <m/>
    <m/>
    <m/>
    <m/>
    <n v="0"/>
    <m/>
    <m/>
    <n v="0"/>
    <n v="1471055"/>
    <n v="1519044"/>
    <m/>
    <m/>
    <m/>
    <m/>
    <n v="0"/>
    <m/>
    <m/>
    <n v="0"/>
    <m/>
    <m/>
    <m/>
    <m/>
    <m/>
    <m/>
    <n v="1471055"/>
    <n v="1519044"/>
  </r>
  <r>
    <x v="14"/>
    <x v="13"/>
    <s v="Educational special purpose funds — all other"/>
    <m/>
    <m/>
    <x v="12"/>
    <m/>
    <m/>
    <m/>
    <m/>
    <m/>
    <m/>
    <m/>
    <m/>
    <n v="0"/>
    <m/>
    <m/>
    <n v="0"/>
    <n v="0"/>
    <n v="0"/>
    <m/>
    <m/>
    <m/>
    <m/>
    <n v="0"/>
    <m/>
    <m/>
    <n v="0"/>
    <m/>
    <m/>
    <m/>
    <m/>
    <m/>
    <m/>
    <n v="0"/>
    <n v="0"/>
  </r>
  <r>
    <x v="14"/>
    <x v="13"/>
    <s v="Eminent Scholars"/>
    <m/>
    <m/>
    <x v="12"/>
    <m/>
    <m/>
    <m/>
    <m/>
    <m/>
    <m/>
    <m/>
    <m/>
    <n v="0"/>
    <m/>
    <m/>
    <n v="0"/>
    <n v="0"/>
    <n v="0"/>
    <m/>
    <m/>
    <m/>
    <m/>
    <n v="0"/>
    <m/>
    <m/>
    <n v="0"/>
    <m/>
    <m/>
    <m/>
    <m/>
    <m/>
    <m/>
    <n v="0"/>
    <n v="0"/>
  </r>
  <r>
    <x v="14"/>
    <x v="13"/>
    <s v="Library Sharing"/>
    <m/>
    <m/>
    <x v="12"/>
    <m/>
    <m/>
    <n v="7403177"/>
    <n v="7033019"/>
    <m/>
    <m/>
    <m/>
    <m/>
    <n v="0"/>
    <m/>
    <m/>
    <n v="0"/>
    <n v="7403177"/>
    <n v="7033019"/>
    <m/>
    <m/>
    <m/>
    <m/>
    <n v="0"/>
    <m/>
    <m/>
    <n v="0"/>
    <m/>
    <m/>
    <m/>
    <m/>
    <m/>
    <m/>
    <n v="7403177"/>
    <n v="7033019"/>
  </r>
  <r>
    <x v="14"/>
    <x v="13"/>
    <s v="VMI/MBC Contract"/>
    <m/>
    <m/>
    <x v="12"/>
    <m/>
    <m/>
    <n v="307899"/>
    <n v="292504"/>
    <m/>
    <m/>
    <m/>
    <m/>
    <n v="0"/>
    <m/>
    <m/>
    <n v="0"/>
    <n v="307899"/>
    <n v="292504"/>
    <m/>
    <m/>
    <m/>
    <m/>
    <n v="0"/>
    <m/>
    <m/>
    <n v="0"/>
    <m/>
    <m/>
    <m/>
    <m/>
    <m/>
    <m/>
    <n v="307899"/>
    <n v="292504"/>
  </r>
  <r>
    <x v="14"/>
    <x v="13"/>
    <s v="Space Grant"/>
    <m/>
    <m/>
    <x v="12"/>
    <m/>
    <m/>
    <n v="695000"/>
    <n v="695000"/>
    <m/>
    <m/>
    <m/>
    <m/>
    <n v="0"/>
    <m/>
    <m/>
    <n v="0"/>
    <n v="695000"/>
    <n v="695000"/>
    <m/>
    <m/>
    <m/>
    <m/>
    <n v="0"/>
    <m/>
    <m/>
    <n v="0"/>
    <m/>
    <m/>
    <m/>
    <m/>
    <m/>
    <m/>
    <n v="695000"/>
    <n v="695000"/>
  </r>
  <r>
    <x v="14"/>
    <x v="13"/>
    <s v="Melcher's-Monroe Memorials"/>
    <m/>
    <m/>
    <x v="12"/>
    <m/>
    <m/>
    <n v="674969"/>
    <n v="683665"/>
    <m/>
    <m/>
    <m/>
    <m/>
    <n v="0"/>
    <m/>
    <m/>
    <n v="0"/>
    <n v="674969"/>
    <n v="683665"/>
    <m/>
    <m/>
    <m/>
    <m/>
    <n v="0"/>
    <m/>
    <m/>
    <n v="0"/>
    <m/>
    <m/>
    <m/>
    <m/>
    <m/>
    <m/>
    <n v="674969"/>
    <n v="683665"/>
  </r>
  <r>
    <x v="14"/>
    <x v="13"/>
    <s v="Medical College Hampton Rds./Eastern VA Medical Auth."/>
    <m/>
    <m/>
    <x v="12"/>
    <m/>
    <m/>
    <m/>
    <m/>
    <m/>
    <m/>
    <m/>
    <m/>
    <n v="0"/>
    <m/>
    <m/>
    <n v="0"/>
    <n v="0"/>
    <n v="0"/>
    <m/>
    <m/>
    <m/>
    <m/>
    <n v="0"/>
    <m/>
    <m/>
    <n v="0"/>
    <n v="24145660"/>
    <n v="24398073"/>
    <m/>
    <m/>
    <m/>
    <m/>
    <n v="24145660"/>
    <n v="24398073"/>
  </r>
  <r>
    <x v="14"/>
    <x v="13"/>
    <s v="VCBA-Eq Trust Fund"/>
    <m/>
    <m/>
    <x v="12"/>
    <m/>
    <m/>
    <n v="47995653"/>
    <n v="57172080"/>
    <m/>
    <m/>
    <m/>
    <m/>
    <n v="0"/>
    <m/>
    <m/>
    <n v="0"/>
    <n v="47995653"/>
    <n v="57172080"/>
    <m/>
    <m/>
    <m/>
    <m/>
    <n v="0"/>
    <m/>
    <m/>
    <n v="0"/>
    <m/>
    <m/>
    <m/>
    <m/>
    <m/>
    <m/>
    <n v="47995653"/>
    <n v="57172080"/>
  </r>
  <r>
    <x v="14"/>
    <x v="13"/>
    <s v="Southern Virginia Higher Education Center"/>
    <m/>
    <m/>
    <x v="12"/>
    <m/>
    <m/>
    <n v="2159010"/>
    <n v="2347894"/>
    <m/>
    <m/>
    <m/>
    <m/>
    <n v="0"/>
    <m/>
    <m/>
    <n v="0"/>
    <n v="2159010"/>
    <n v="2347894"/>
    <m/>
    <m/>
    <m/>
    <m/>
    <n v="0"/>
    <m/>
    <m/>
    <n v="0"/>
    <m/>
    <m/>
    <m/>
    <m/>
    <m/>
    <m/>
    <n v="2159010"/>
    <n v="2347894"/>
  </r>
  <r>
    <x v="14"/>
    <x v="13"/>
    <s v="SW Va Higher Education Center"/>
    <m/>
    <m/>
    <x v="12"/>
    <m/>
    <m/>
    <n v="1815421"/>
    <n v="2012323"/>
    <m/>
    <m/>
    <m/>
    <m/>
    <n v="0"/>
    <m/>
    <m/>
    <n v="0"/>
    <n v="1815421"/>
    <n v="2012323"/>
    <m/>
    <m/>
    <m/>
    <m/>
    <n v="0"/>
    <m/>
    <m/>
    <n v="0"/>
    <m/>
    <m/>
    <m/>
    <m/>
    <m/>
    <m/>
    <n v="1815421"/>
    <n v="2012323"/>
  </r>
  <r>
    <x v="14"/>
    <x v="13"/>
    <s v="Roanoke H. Ed. Authority"/>
    <m/>
    <m/>
    <x v="12"/>
    <m/>
    <m/>
    <n v="1121896"/>
    <n v="1122013"/>
    <m/>
    <m/>
    <m/>
    <m/>
    <n v="0"/>
    <m/>
    <m/>
    <n v="0"/>
    <n v="1121896"/>
    <n v="1122013"/>
    <m/>
    <m/>
    <m/>
    <m/>
    <n v="0"/>
    <m/>
    <m/>
    <n v="0"/>
    <m/>
    <m/>
    <m/>
    <m/>
    <m/>
    <m/>
    <n v="1121896"/>
    <n v="1122013"/>
  </r>
  <r>
    <x v="14"/>
    <x v="13"/>
    <s v="Institute of Advanced Learning and Research"/>
    <m/>
    <m/>
    <x v="12"/>
    <m/>
    <m/>
    <n v="6122968"/>
    <n v="6123574"/>
    <m/>
    <m/>
    <m/>
    <m/>
    <n v="0"/>
    <m/>
    <m/>
    <n v="0"/>
    <n v="6122968"/>
    <n v="6123574"/>
    <m/>
    <m/>
    <m/>
    <m/>
    <n v="0"/>
    <m/>
    <m/>
    <n v="0"/>
    <m/>
    <m/>
    <m/>
    <m/>
    <m/>
    <m/>
    <n v="6122968"/>
    <n v="6123574"/>
  </r>
  <r>
    <x v="14"/>
    <x v="14"/>
    <s v="Statewide System Operations"/>
    <m/>
    <m/>
    <x v="12"/>
    <m/>
    <m/>
    <m/>
    <m/>
    <m/>
    <m/>
    <m/>
    <m/>
    <n v="0"/>
    <m/>
    <m/>
    <n v="0"/>
    <n v="0"/>
    <n v="0"/>
    <m/>
    <m/>
    <m/>
    <m/>
    <n v="0"/>
    <m/>
    <m/>
    <n v="0"/>
    <m/>
    <m/>
    <m/>
    <m/>
    <m/>
    <m/>
    <n v="0"/>
    <n v="0"/>
  </r>
  <r>
    <x v="14"/>
    <x v="15"/>
    <s v="Colleges and universities"/>
    <m/>
    <m/>
    <x v="12"/>
    <m/>
    <m/>
    <m/>
    <m/>
    <m/>
    <m/>
    <m/>
    <m/>
    <n v="0"/>
    <m/>
    <m/>
    <n v="0"/>
    <n v="0"/>
    <n v="0"/>
    <n v="3869255"/>
    <n v="4634072"/>
    <m/>
    <m/>
    <n v="0"/>
    <m/>
    <m/>
    <n v="0"/>
    <m/>
    <m/>
    <m/>
    <m/>
    <m/>
    <m/>
    <n v="3869255"/>
    <n v="4634072"/>
  </r>
  <r>
    <x v="14"/>
    <x v="16"/>
    <s v="Two-year system(s), if any"/>
    <m/>
    <m/>
    <x v="12"/>
    <m/>
    <m/>
    <m/>
    <m/>
    <m/>
    <m/>
    <m/>
    <m/>
    <n v="0"/>
    <m/>
    <m/>
    <n v="0"/>
    <n v="0"/>
    <n v="0"/>
    <n v="16339851"/>
    <n v="16353270"/>
    <m/>
    <m/>
    <n v="0"/>
    <m/>
    <m/>
    <n v="0"/>
    <m/>
    <m/>
    <m/>
    <m/>
    <m/>
    <m/>
    <n v="16339851"/>
    <n v="16353270"/>
  </r>
  <r>
    <x v="14"/>
    <x v="16"/>
    <s v="interest earnings"/>
    <m/>
    <m/>
    <x v="12"/>
    <m/>
    <m/>
    <n v="3886870"/>
    <n v="0"/>
    <m/>
    <m/>
    <m/>
    <m/>
    <n v="0"/>
    <m/>
    <m/>
    <n v="0"/>
    <n v="3886870"/>
    <n v="0"/>
    <m/>
    <m/>
    <m/>
    <m/>
    <n v="0"/>
    <m/>
    <m/>
    <n v="0"/>
    <m/>
    <m/>
    <m/>
    <m/>
    <m/>
    <m/>
    <n v="3886870"/>
    <n v="0"/>
  </r>
  <r>
    <x v="14"/>
    <x v="16"/>
    <s v="VCCS economic development"/>
    <m/>
    <m/>
    <x v="12"/>
    <m/>
    <m/>
    <n v="9217017"/>
    <n v="9274297"/>
    <m/>
    <m/>
    <m/>
    <m/>
    <n v="0"/>
    <m/>
    <m/>
    <n v="0"/>
    <n v="9217017"/>
    <n v="9274297"/>
    <m/>
    <m/>
    <m/>
    <m/>
    <n v="0"/>
    <m/>
    <m/>
    <n v="0"/>
    <m/>
    <m/>
    <m/>
    <m/>
    <m/>
    <m/>
    <n v="9217017"/>
    <n v="9274297"/>
  </r>
  <r>
    <x v="14"/>
    <x v="16"/>
    <s v="VCU state health service"/>
    <m/>
    <m/>
    <x v="12"/>
    <m/>
    <m/>
    <m/>
    <m/>
    <m/>
    <m/>
    <m/>
    <m/>
    <n v="0"/>
    <m/>
    <m/>
    <n v="0"/>
    <n v="0"/>
    <n v="0"/>
    <m/>
    <m/>
    <m/>
    <m/>
    <n v="0"/>
    <m/>
    <m/>
    <n v="0"/>
    <m/>
    <m/>
    <m/>
    <m/>
    <m/>
    <m/>
    <n v="0"/>
    <n v="0"/>
  </r>
  <r>
    <x v="14"/>
    <x v="17"/>
    <s v="SREB"/>
    <m/>
    <m/>
    <x v="12"/>
    <m/>
    <m/>
    <m/>
    <m/>
    <m/>
    <m/>
    <m/>
    <m/>
    <n v="0"/>
    <m/>
    <m/>
    <n v="0"/>
    <n v="0"/>
    <n v="0"/>
    <m/>
    <m/>
    <m/>
    <m/>
    <n v="0"/>
    <m/>
    <m/>
    <n v="0"/>
    <m/>
    <m/>
    <m/>
    <m/>
    <m/>
    <m/>
    <n v="0"/>
    <n v="0"/>
  </r>
  <r>
    <x v="14"/>
    <x v="18"/>
    <s v="Adm. of Statewide Student Aid Progs. (incldng centralized guaranteed student loans)"/>
    <m/>
    <m/>
    <x v="12"/>
    <m/>
    <m/>
    <m/>
    <m/>
    <m/>
    <m/>
    <m/>
    <m/>
    <n v="0"/>
    <m/>
    <m/>
    <n v="0"/>
    <n v="0"/>
    <n v="0"/>
    <m/>
    <m/>
    <m/>
    <m/>
    <n v="0"/>
    <m/>
    <m/>
    <n v="0"/>
    <m/>
    <m/>
    <m/>
    <m/>
    <m/>
    <m/>
    <n v="0"/>
    <n v="0"/>
  </r>
  <r>
    <x v="14"/>
    <x v="19"/>
    <s v="State Support to Private Colleges Other Than Student Aid"/>
    <m/>
    <m/>
    <x v="12"/>
    <m/>
    <m/>
    <m/>
    <m/>
    <m/>
    <m/>
    <m/>
    <m/>
    <n v="0"/>
    <m/>
    <m/>
    <n v="0"/>
    <n v="0"/>
    <n v="0"/>
    <m/>
    <m/>
    <m/>
    <m/>
    <n v="0"/>
    <m/>
    <m/>
    <n v="0"/>
    <m/>
    <m/>
    <m/>
    <m/>
    <m/>
    <m/>
    <n v="0"/>
    <n v="0"/>
  </r>
  <r>
    <x v="14"/>
    <x v="20"/>
    <s v="Contract Education Programs"/>
    <m/>
    <m/>
    <x v="12"/>
    <m/>
    <m/>
    <m/>
    <m/>
    <m/>
    <m/>
    <m/>
    <m/>
    <n v="0"/>
    <m/>
    <m/>
    <n v="0"/>
    <n v="0"/>
    <n v="0"/>
    <m/>
    <m/>
    <m/>
    <m/>
    <n v="0"/>
    <m/>
    <m/>
    <n v="0"/>
    <m/>
    <m/>
    <m/>
    <m/>
    <m/>
    <m/>
    <n v="0"/>
    <n v="0"/>
  </r>
  <r>
    <x v="14"/>
    <x v="21"/>
    <s v="SREB contract program with private colleges"/>
    <m/>
    <m/>
    <x v="12"/>
    <m/>
    <m/>
    <m/>
    <m/>
    <m/>
    <m/>
    <m/>
    <m/>
    <n v="0"/>
    <m/>
    <m/>
    <n v="0"/>
    <n v="0"/>
    <n v="0"/>
    <m/>
    <m/>
    <m/>
    <m/>
    <n v="0"/>
    <m/>
    <m/>
    <n v="0"/>
    <m/>
    <m/>
    <m/>
    <m/>
    <m/>
    <m/>
    <n v="0"/>
    <n v="0"/>
  </r>
  <r>
    <x v="14"/>
    <x v="21"/>
    <s v="Southern College of Optometry"/>
    <m/>
    <m/>
    <x v="12"/>
    <m/>
    <m/>
    <m/>
    <m/>
    <m/>
    <m/>
    <m/>
    <m/>
    <n v="0"/>
    <m/>
    <m/>
    <n v="0"/>
    <n v="0"/>
    <n v="0"/>
    <n v="20000"/>
    <n v="20000"/>
    <m/>
    <m/>
    <n v="0"/>
    <m/>
    <m/>
    <n v="0"/>
    <m/>
    <m/>
    <m/>
    <m/>
    <m/>
    <m/>
    <n v="20000"/>
    <n v="20000"/>
  </r>
  <r>
    <x v="14"/>
    <x v="22"/>
    <s v="SREB contract program with public colleges"/>
    <m/>
    <m/>
    <x v="12"/>
    <m/>
    <m/>
    <m/>
    <m/>
    <m/>
    <m/>
    <m/>
    <m/>
    <n v="0"/>
    <m/>
    <m/>
    <n v="0"/>
    <n v="0"/>
    <n v="0"/>
    <m/>
    <m/>
    <m/>
    <m/>
    <n v="0"/>
    <m/>
    <m/>
    <n v="0"/>
    <m/>
    <m/>
    <m/>
    <m/>
    <m/>
    <m/>
    <n v="0"/>
    <n v="0"/>
  </r>
  <r>
    <x v="14"/>
    <x v="22"/>
    <s v="University of North Carolina at Chapel Hill (Library Science)"/>
    <m/>
    <m/>
    <x v="12"/>
    <m/>
    <m/>
    <m/>
    <m/>
    <m/>
    <m/>
    <m/>
    <m/>
    <n v="0"/>
    <m/>
    <m/>
    <n v="0"/>
    <n v="0"/>
    <n v="0"/>
    <m/>
    <m/>
    <m/>
    <m/>
    <n v="0"/>
    <m/>
    <m/>
    <n v="0"/>
    <m/>
    <m/>
    <m/>
    <m/>
    <m/>
    <m/>
    <n v="0"/>
    <n v="0"/>
  </r>
  <r>
    <x v="14"/>
    <x v="22"/>
    <s v="North Carolina State University (Pulp/Paper)"/>
    <m/>
    <m/>
    <x v="12"/>
    <m/>
    <m/>
    <m/>
    <m/>
    <m/>
    <m/>
    <m/>
    <m/>
    <n v="0"/>
    <m/>
    <m/>
    <n v="0"/>
    <n v="0"/>
    <n v="0"/>
    <m/>
    <m/>
    <m/>
    <m/>
    <n v="0"/>
    <m/>
    <m/>
    <n v="0"/>
    <m/>
    <m/>
    <m/>
    <m/>
    <m/>
    <m/>
    <n v="0"/>
    <n v="0"/>
  </r>
  <r>
    <x v="14"/>
    <x v="22"/>
    <s v="University of Alabama at Birmingham (Optometry)"/>
    <m/>
    <m/>
    <x v="12"/>
    <m/>
    <m/>
    <m/>
    <m/>
    <m/>
    <m/>
    <m/>
    <m/>
    <n v="0"/>
    <m/>
    <m/>
    <n v="0"/>
    <n v="0"/>
    <n v="0"/>
    <m/>
    <m/>
    <m/>
    <m/>
    <n v="0"/>
    <m/>
    <m/>
    <n v="0"/>
    <m/>
    <m/>
    <m/>
    <m/>
    <m/>
    <m/>
    <n v="0"/>
    <n v="0"/>
  </r>
  <r>
    <x v="14"/>
    <x v="22"/>
    <s v="North Carolina Central University (Library Science)"/>
    <m/>
    <m/>
    <x v="12"/>
    <m/>
    <m/>
    <m/>
    <m/>
    <m/>
    <m/>
    <m/>
    <m/>
    <n v="0"/>
    <m/>
    <m/>
    <n v="0"/>
    <n v="0"/>
    <n v="0"/>
    <m/>
    <m/>
    <m/>
    <m/>
    <n v="0"/>
    <m/>
    <m/>
    <n v="0"/>
    <m/>
    <m/>
    <m/>
    <m/>
    <m/>
    <m/>
    <n v="0"/>
    <n v="0"/>
  </r>
  <r>
    <x v="14"/>
    <x v="23"/>
    <s v="Other contract education programs"/>
    <m/>
    <m/>
    <x v="12"/>
    <m/>
    <m/>
    <m/>
    <m/>
    <m/>
    <m/>
    <m/>
    <m/>
    <n v="0"/>
    <m/>
    <m/>
    <n v="0"/>
    <n v="0"/>
    <n v="0"/>
    <n v="170000"/>
    <n v="170000"/>
    <m/>
    <m/>
    <n v="0"/>
    <m/>
    <m/>
    <n v="0"/>
    <m/>
    <m/>
    <m/>
    <m/>
    <m/>
    <m/>
    <n v="170000"/>
    <n v="170000"/>
  </r>
  <r>
    <x v="14"/>
    <x v="24"/>
    <s v="Statewide Student Financial Aid Programs Administered Off Campus"/>
    <m/>
    <m/>
    <x v="12"/>
    <m/>
    <m/>
    <m/>
    <m/>
    <m/>
    <m/>
    <m/>
    <m/>
    <n v="0"/>
    <m/>
    <m/>
    <n v="0"/>
    <n v="0"/>
    <n v="0"/>
    <m/>
    <m/>
    <m/>
    <m/>
    <n v="0"/>
    <m/>
    <m/>
    <n v="0"/>
    <m/>
    <m/>
    <m/>
    <m/>
    <m/>
    <m/>
    <n v="0"/>
    <n v="0"/>
  </r>
  <r>
    <x v="14"/>
    <x v="25"/>
    <s v="Available to public &amp; private sector students"/>
    <m/>
    <m/>
    <x v="12"/>
    <m/>
    <m/>
    <m/>
    <m/>
    <m/>
    <m/>
    <m/>
    <m/>
    <n v="0"/>
    <m/>
    <m/>
    <n v="0"/>
    <n v="0"/>
    <n v="0"/>
    <m/>
    <m/>
    <m/>
    <m/>
    <n v="0"/>
    <m/>
    <m/>
    <n v="0"/>
    <m/>
    <m/>
    <m/>
    <m/>
    <m/>
    <m/>
    <n v="0"/>
    <n v="0"/>
  </r>
  <r>
    <x v="14"/>
    <x v="25"/>
    <s v="Program name(s)???"/>
    <m/>
    <m/>
    <x v="12"/>
    <m/>
    <m/>
    <m/>
    <m/>
    <m/>
    <m/>
    <m/>
    <m/>
    <n v="0"/>
    <m/>
    <m/>
    <n v="0"/>
    <n v="0"/>
    <n v="0"/>
    <m/>
    <m/>
    <m/>
    <m/>
    <n v="0"/>
    <m/>
    <m/>
    <n v="0"/>
    <m/>
    <m/>
    <m/>
    <m/>
    <m/>
    <m/>
    <n v="0"/>
    <n v="0"/>
  </r>
  <r>
    <x v="14"/>
    <x v="28"/>
    <s v="Amount to public sector students"/>
    <m/>
    <m/>
    <x v="12"/>
    <m/>
    <m/>
    <m/>
    <m/>
    <m/>
    <m/>
    <m/>
    <m/>
    <n v="0"/>
    <m/>
    <m/>
    <n v="0"/>
    <n v="0"/>
    <n v="0"/>
    <m/>
    <m/>
    <m/>
    <m/>
    <n v="0"/>
    <m/>
    <m/>
    <n v="0"/>
    <m/>
    <m/>
    <m/>
    <m/>
    <m/>
    <m/>
    <n v="0"/>
    <n v="0"/>
  </r>
  <r>
    <x v="14"/>
    <x v="29"/>
    <s v="Need-based"/>
    <m/>
    <m/>
    <x v="12"/>
    <m/>
    <m/>
    <m/>
    <m/>
    <m/>
    <m/>
    <m/>
    <m/>
    <n v="0"/>
    <m/>
    <m/>
    <n v="0"/>
    <n v="0"/>
    <n v="0"/>
    <n v="3372105"/>
    <n v="0"/>
    <m/>
    <m/>
    <n v="0"/>
    <m/>
    <m/>
    <n v="0"/>
    <m/>
    <m/>
    <m/>
    <m/>
    <m/>
    <m/>
    <n v="3372105"/>
    <n v="0"/>
  </r>
  <r>
    <x v="14"/>
    <x v="30"/>
    <s v="(Military stipend) Non need-based"/>
    <m/>
    <m/>
    <x v="12"/>
    <m/>
    <m/>
    <m/>
    <m/>
    <m/>
    <m/>
    <m/>
    <m/>
    <n v="0"/>
    <m/>
    <m/>
    <n v="0"/>
    <n v="0"/>
    <n v="0"/>
    <n v="1250000"/>
    <n v="1915000"/>
    <m/>
    <m/>
    <n v="0"/>
    <m/>
    <m/>
    <n v="0"/>
    <m/>
    <m/>
    <m/>
    <m/>
    <m/>
    <m/>
    <n v="1250000"/>
    <n v="1915000"/>
  </r>
  <r>
    <x v="14"/>
    <x v="31"/>
    <s v="Amount to private sector students"/>
    <m/>
    <m/>
    <x v="12"/>
    <m/>
    <m/>
    <m/>
    <m/>
    <m/>
    <m/>
    <m/>
    <m/>
    <n v="0"/>
    <m/>
    <m/>
    <n v="0"/>
    <n v="0"/>
    <n v="0"/>
    <m/>
    <m/>
    <m/>
    <m/>
    <n v="0"/>
    <m/>
    <m/>
    <n v="0"/>
    <m/>
    <m/>
    <m/>
    <m/>
    <m/>
    <m/>
    <n v="0"/>
    <n v="0"/>
  </r>
  <r>
    <x v="14"/>
    <x v="32"/>
    <s v="Need-based"/>
    <m/>
    <m/>
    <x v="12"/>
    <m/>
    <m/>
    <m/>
    <m/>
    <m/>
    <m/>
    <m/>
    <m/>
    <n v="0"/>
    <m/>
    <m/>
    <n v="0"/>
    <n v="0"/>
    <n v="0"/>
    <n v="1041645"/>
    <n v="0"/>
    <m/>
    <m/>
    <n v="0"/>
    <m/>
    <m/>
    <n v="0"/>
    <m/>
    <m/>
    <m/>
    <m/>
    <m/>
    <m/>
    <n v="1041645"/>
    <n v="0"/>
  </r>
  <r>
    <x v="14"/>
    <x v="33"/>
    <s v="Non need-based"/>
    <m/>
    <m/>
    <x v="12"/>
    <m/>
    <m/>
    <m/>
    <m/>
    <m/>
    <m/>
    <m/>
    <m/>
    <n v="0"/>
    <m/>
    <m/>
    <n v="0"/>
    <n v="0"/>
    <n v="0"/>
    <m/>
    <m/>
    <m/>
    <m/>
    <n v="0"/>
    <m/>
    <m/>
    <n v="0"/>
    <m/>
    <m/>
    <m/>
    <m/>
    <m/>
    <m/>
    <n v="0"/>
    <n v="0"/>
  </r>
  <r>
    <x v="14"/>
    <x v="34"/>
    <s v="Limited to public college students only"/>
    <m/>
    <m/>
    <x v="12"/>
    <m/>
    <m/>
    <m/>
    <m/>
    <m/>
    <m/>
    <m/>
    <m/>
    <n v="0"/>
    <m/>
    <m/>
    <n v="0"/>
    <n v="0"/>
    <n v="0"/>
    <m/>
    <m/>
    <m/>
    <m/>
    <n v="0"/>
    <m/>
    <m/>
    <n v="0"/>
    <m/>
    <m/>
    <m/>
    <m/>
    <m/>
    <m/>
    <n v="0"/>
    <n v="0"/>
  </r>
  <r>
    <x v="14"/>
    <x v="34"/>
    <s v="Program name(s)???"/>
    <m/>
    <m/>
    <x v="12"/>
    <m/>
    <m/>
    <m/>
    <m/>
    <m/>
    <m/>
    <m/>
    <m/>
    <n v="0"/>
    <m/>
    <m/>
    <n v="0"/>
    <n v="0"/>
    <n v="0"/>
    <m/>
    <m/>
    <m/>
    <m/>
    <n v="0"/>
    <m/>
    <m/>
    <n v="0"/>
    <m/>
    <m/>
    <m/>
    <m/>
    <m/>
    <m/>
    <n v="0"/>
    <n v="0"/>
  </r>
  <r>
    <x v="14"/>
    <x v="35"/>
    <s v="Need-based"/>
    <m/>
    <m/>
    <x v="12"/>
    <m/>
    <m/>
    <m/>
    <m/>
    <m/>
    <m/>
    <m/>
    <m/>
    <n v="0"/>
    <m/>
    <m/>
    <n v="0"/>
    <n v="0"/>
    <n v="0"/>
    <n v="165133966"/>
    <n v="169337459"/>
    <m/>
    <m/>
    <n v="0"/>
    <m/>
    <m/>
    <n v="0"/>
    <m/>
    <m/>
    <m/>
    <m/>
    <m/>
    <m/>
    <n v="165133966"/>
    <n v="169337459"/>
  </r>
  <r>
    <x v="14"/>
    <x v="36"/>
    <s v="Non need-based"/>
    <m/>
    <m/>
    <x v="12"/>
    <m/>
    <m/>
    <m/>
    <m/>
    <m/>
    <m/>
    <m/>
    <m/>
    <n v="0"/>
    <m/>
    <m/>
    <n v="0"/>
    <n v="0"/>
    <n v="0"/>
    <n v="12359822"/>
    <n v="8156329"/>
    <m/>
    <m/>
    <n v="0"/>
    <m/>
    <m/>
    <n v="0"/>
    <m/>
    <m/>
    <m/>
    <m/>
    <m/>
    <m/>
    <n v="12359822"/>
    <n v="8156329"/>
  </r>
  <r>
    <x v="14"/>
    <x v="34"/>
    <s v="Transfer grant"/>
    <m/>
    <m/>
    <x v="12"/>
    <m/>
    <m/>
    <m/>
    <m/>
    <m/>
    <m/>
    <m/>
    <m/>
    <n v="0"/>
    <m/>
    <m/>
    <n v="0"/>
    <n v="0"/>
    <n v="0"/>
    <n v="1650000"/>
    <n v="1700000"/>
    <m/>
    <m/>
    <n v="0"/>
    <m/>
    <m/>
    <n v="0"/>
    <m/>
    <m/>
    <m/>
    <m/>
    <m/>
    <m/>
    <n v="1650000"/>
    <n v="1700000"/>
  </r>
  <r>
    <x v="14"/>
    <x v="37"/>
    <s v="Limited to private college students"/>
    <m/>
    <m/>
    <x v="12"/>
    <m/>
    <m/>
    <m/>
    <m/>
    <m/>
    <m/>
    <m/>
    <m/>
    <n v="0"/>
    <m/>
    <m/>
    <n v="0"/>
    <n v="0"/>
    <n v="0"/>
    <m/>
    <m/>
    <m/>
    <m/>
    <n v="0"/>
    <m/>
    <m/>
    <n v="0"/>
    <m/>
    <m/>
    <m/>
    <m/>
    <m/>
    <m/>
    <n v="0"/>
    <n v="0"/>
  </r>
  <r>
    <x v="14"/>
    <x v="37"/>
    <s v="Student Tuition Aid Grant"/>
    <m/>
    <m/>
    <x v="12"/>
    <m/>
    <m/>
    <m/>
    <m/>
    <m/>
    <m/>
    <m/>
    <m/>
    <n v="0"/>
    <m/>
    <m/>
    <n v="0"/>
    <n v="0"/>
    <n v="0"/>
    <m/>
    <m/>
    <m/>
    <m/>
    <n v="0"/>
    <m/>
    <m/>
    <n v="0"/>
    <m/>
    <m/>
    <m/>
    <m/>
    <m/>
    <m/>
    <n v="0"/>
    <n v="0"/>
  </r>
  <r>
    <x v="14"/>
    <x v="38"/>
    <s v="Need-based"/>
    <m/>
    <m/>
    <x v="12"/>
    <m/>
    <m/>
    <m/>
    <m/>
    <m/>
    <m/>
    <m/>
    <m/>
    <n v="0"/>
    <m/>
    <m/>
    <n v="0"/>
    <n v="0"/>
    <n v="0"/>
    <m/>
    <m/>
    <m/>
    <m/>
    <n v="0"/>
    <m/>
    <m/>
    <n v="0"/>
    <m/>
    <m/>
    <m/>
    <m/>
    <m/>
    <m/>
    <n v="0"/>
    <n v="0"/>
  </r>
  <r>
    <x v="14"/>
    <x v="39"/>
    <s v="Non need-based"/>
    <m/>
    <m/>
    <x v="12"/>
    <m/>
    <m/>
    <m/>
    <m/>
    <m/>
    <m/>
    <m/>
    <m/>
    <n v="0"/>
    <m/>
    <m/>
    <n v="0"/>
    <n v="0"/>
    <n v="0"/>
    <n v="61812665"/>
    <n v="64812665"/>
    <m/>
    <m/>
    <n v="0"/>
    <m/>
    <m/>
    <n v="0"/>
    <m/>
    <m/>
    <m/>
    <m/>
    <m/>
    <m/>
    <n v="61812665"/>
    <n v="64812665"/>
  </r>
  <r>
    <x v="14"/>
    <x v="37"/>
    <s v="Other Student Financial Aid"/>
    <m/>
    <m/>
    <x v="12"/>
    <m/>
    <m/>
    <m/>
    <m/>
    <m/>
    <m/>
    <m/>
    <m/>
    <n v="0"/>
    <m/>
    <m/>
    <n v="0"/>
    <n v="0"/>
    <n v="0"/>
    <m/>
    <m/>
    <m/>
    <m/>
    <n v="0"/>
    <m/>
    <m/>
    <n v="0"/>
    <m/>
    <m/>
    <m/>
    <m/>
    <m/>
    <m/>
    <n v="0"/>
    <n v="0"/>
  </r>
  <r>
    <x v="14"/>
    <x v="38"/>
    <s v="Need-based"/>
    <m/>
    <m/>
    <x v="12"/>
    <m/>
    <m/>
    <m/>
    <m/>
    <m/>
    <m/>
    <m/>
    <m/>
    <n v="0"/>
    <m/>
    <m/>
    <n v="0"/>
    <n v="0"/>
    <n v="0"/>
    <m/>
    <m/>
    <m/>
    <m/>
    <n v="0"/>
    <m/>
    <m/>
    <n v="0"/>
    <m/>
    <m/>
    <m/>
    <m/>
    <m/>
    <m/>
    <n v="0"/>
    <n v="0"/>
  </r>
  <r>
    <x v="14"/>
    <x v="39"/>
    <s v="Non need-based"/>
    <m/>
    <m/>
    <x v="12"/>
    <m/>
    <m/>
    <m/>
    <m/>
    <m/>
    <m/>
    <m/>
    <m/>
    <n v="0"/>
    <m/>
    <m/>
    <n v="0"/>
    <n v="0"/>
    <n v="0"/>
    <n v="3139944"/>
    <n v="3146951"/>
    <m/>
    <m/>
    <n v="0"/>
    <m/>
    <m/>
    <n v="0"/>
    <m/>
    <m/>
    <m/>
    <m/>
    <m/>
    <m/>
    <n v="3139944"/>
    <n v="3146951"/>
  </r>
  <r>
    <x v="15"/>
    <x v="0"/>
    <s v="West Virginia University"/>
    <m/>
    <n v="238032"/>
    <x v="0"/>
    <n v="66460225"/>
    <n v="62596113"/>
    <m/>
    <m/>
    <m/>
    <m/>
    <n v="288649003"/>
    <n v="10614313"/>
    <n v="299263316"/>
    <n v="315738344"/>
    <n v="10618613"/>
    <n v="326356957"/>
    <n v="355109228"/>
    <n v="378334457"/>
    <m/>
    <m/>
    <m/>
    <m/>
    <n v="0"/>
    <m/>
    <m/>
    <n v="0"/>
    <m/>
    <m/>
    <m/>
    <m/>
    <m/>
    <m/>
    <n v="355109228"/>
    <n v="378334457"/>
  </r>
  <r>
    <x v="15"/>
    <x v="1"/>
    <s v="Health professions education"/>
    <m/>
    <n v="238032"/>
    <x v="0"/>
    <m/>
    <m/>
    <m/>
    <m/>
    <m/>
    <m/>
    <m/>
    <m/>
    <n v="0"/>
    <m/>
    <s v=" "/>
    <n v="0"/>
    <n v="0"/>
    <n v="0"/>
    <m/>
    <m/>
    <m/>
    <m/>
    <n v="0"/>
    <m/>
    <m/>
    <n v="0"/>
    <m/>
    <m/>
    <m/>
    <m/>
    <m/>
    <m/>
    <n v="0"/>
    <n v="0"/>
  </r>
  <r>
    <x v="15"/>
    <x v="1"/>
    <s v="School of Health Sciences"/>
    <m/>
    <n v="238032"/>
    <x v="0"/>
    <m/>
    <m/>
    <m/>
    <m/>
    <m/>
    <m/>
    <m/>
    <m/>
    <n v="0"/>
    <m/>
    <m/>
    <n v="0"/>
    <n v="0"/>
    <n v="0"/>
    <m/>
    <m/>
    <m/>
    <m/>
    <n v="0"/>
    <m/>
    <m/>
    <n v="0"/>
    <n v="67078611"/>
    <n v="67078950"/>
    <n v="48091056"/>
    <m/>
    <n v="48091056"/>
    <m/>
    <n v="115169667"/>
    <n v="115170006"/>
  </r>
  <r>
    <x v="15"/>
    <x v="1"/>
    <s v="BRIM insurance subsidy"/>
    <m/>
    <n v="238032"/>
    <x v="0"/>
    <m/>
    <m/>
    <m/>
    <m/>
    <m/>
    <m/>
    <m/>
    <m/>
    <n v="0"/>
    <m/>
    <m/>
    <n v="0"/>
    <n v="0"/>
    <n v="0"/>
    <m/>
    <m/>
    <m/>
    <m/>
    <n v="0"/>
    <m/>
    <m/>
    <n v="0"/>
    <n v="1274838"/>
    <n v="1227032"/>
    <m/>
    <m/>
    <m/>
    <m/>
    <n v="1274838"/>
    <n v="1227032"/>
  </r>
  <r>
    <x v="15"/>
    <x v="13"/>
    <s v="HSTA Program"/>
    <m/>
    <n v="238032"/>
    <x v="0"/>
    <m/>
    <m/>
    <n v="1750000"/>
    <n v="1698273"/>
    <m/>
    <m/>
    <m/>
    <m/>
    <n v="0"/>
    <m/>
    <m/>
    <n v="0"/>
    <n v="1750000"/>
    <n v="1698273"/>
    <m/>
    <m/>
    <m/>
    <m/>
    <n v="0"/>
    <m/>
    <m/>
    <n v="0"/>
    <m/>
    <m/>
    <m/>
    <m/>
    <m/>
    <m/>
    <n v="1750000"/>
    <n v="1698273"/>
  </r>
  <r>
    <x v="15"/>
    <x v="13"/>
    <s v="Health Sciences Career Opportunities"/>
    <m/>
    <n v="238032"/>
    <x v="0"/>
    <m/>
    <m/>
    <n v="344372"/>
    <n v="333177"/>
    <m/>
    <m/>
    <m/>
    <m/>
    <n v="0"/>
    <m/>
    <m/>
    <n v="0"/>
    <n v="344372"/>
    <n v="333177"/>
    <m/>
    <m/>
    <m/>
    <m/>
    <n v="0"/>
    <m/>
    <m/>
    <n v="0"/>
    <m/>
    <m/>
    <m/>
    <m/>
    <m/>
    <m/>
    <n v="344372"/>
    <n v="333177"/>
  </r>
  <r>
    <x v="15"/>
    <x v="1"/>
    <s v="Community or public service units"/>
    <m/>
    <n v="238032"/>
    <x v="0"/>
    <m/>
    <m/>
    <n v="2264539"/>
    <n v="2179234"/>
    <m/>
    <m/>
    <m/>
    <m/>
    <n v="0"/>
    <m/>
    <m/>
    <n v="0"/>
    <n v="2264539"/>
    <n v="2179234"/>
    <m/>
    <m/>
    <m/>
    <m/>
    <n v="0"/>
    <m/>
    <m/>
    <n v="0"/>
    <m/>
    <m/>
    <m/>
    <m/>
    <m/>
    <m/>
    <n v="2264539"/>
    <n v="2179234"/>
  </r>
  <r>
    <x v="15"/>
    <x v="1"/>
    <s v="WVU HSC - Blanchette Rockefeller Neuroligical Institute"/>
    <m/>
    <n v="238032"/>
    <x v="0"/>
    <m/>
    <m/>
    <s v=" "/>
    <m/>
    <m/>
    <m/>
    <m/>
    <m/>
    <n v="0"/>
    <m/>
    <m/>
    <n v="0"/>
    <n v="0"/>
    <n v="0"/>
    <m/>
    <m/>
    <m/>
    <m/>
    <n v="0"/>
    <m/>
    <m/>
    <n v="0"/>
    <n v="1000000"/>
    <n v="1000000"/>
    <m/>
    <m/>
    <m/>
    <m/>
    <n v="1000000"/>
    <n v="1000000"/>
  </r>
  <r>
    <x v="15"/>
    <x v="13"/>
    <s v="Public Health Program &amp; Health Science Technology"/>
    <m/>
    <n v="238032"/>
    <x v="0"/>
    <m/>
    <m/>
    <n v="56895"/>
    <n v="55213"/>
    <m/>
    <m/>
    <m/>
    <m/>
    <n v="0"/>
    <m/>
    <m/>
    <n v="0"/>
    <n v="56895"/>
    <n v="55213"/>
    <m/>
    <m/>
    <m/>
    <m/>
    <n v="0"/>
    <m/>
    <m/>
    <n v="0"/>
    <m/>
    <m/>
    <m/>
    <m/>
    <m/>
    <m/>
    <n v="56895"/>
    <n v="55213"/>
  </r>
  <r>
    <x v="15"/>
    <x v="1"/>
    <s v="WVUHSC - Graduate Medical Education"/>
    <m/>
    <n v="238032"/>
    <x v="0"/>
    <m/>
    <m/>
    <s v=" "/>
    <m/>
    <m/>
    <m/>
    <m/>
    <m/>
    <n v="0"/>
    <m/>
    <m/>
    <n v="0"/>
    <n v="0"/>
    <n v="0"/>
    <m/>
    <m/>
    <m/>
    <m/>
    <n v="0"/>
    <m/>
    <m/>
    <n v="0"/>
    <n v="943080"/>
    <n v="943080"/>
    <m/>
    <m/>
    <m/>
    <m/>
    <n v="943080"/>
    <n v="943080"/>
  </r>
  <r>
    <x v="15"/>
    <x v="1"/>
    <s v="WVU Health Sciences Center - Academy of Family Physicians Doc of the Day Program"/>
    <m/>
    <n v="238032"/>
    <x v="0"/>
    <m/>
    <m/>
    <s v=" "/>
    <m/>
    <m/>
    <m/>
    <m/>
    <m/>
    <n v="0"/>
    <m/>
    <m/>
    <n v="0"/>
    <n v="0"/>
    <n v="0"/>
    <m/>
    <m/>
    <m/>
    <m/>
    <n v="0"/>
    <m/>
    <m/>
    <n v="0"/>
    <n v="5000"/>
    <n v="0"/>
    <m/>
    <m/>
    <m/>
    <m/>
    <n v="5000"/>
    <n v="0"/>
  </r>
  <r>
    <x v="15"/>
    <x v="5"/>
    <s v="Agricultural cooperative extension"/>
    <m/>
    <n v="238032"/>
    <x v="0"/>
    <m/>
    <m/>
    <n v="17844171"/>
    <n v="18533795"/>
    <m/>
    <m/>
    <m/>
    <m/>
    <n v="0"/>
    <m/>
    <m/>
    <n v="0"/>
    <n v="17844171"/>
    <n v="18533795"/>
    <m/>
    <m/>
    <m/>
    <m/>
    <n v="0"/>
    <m/>
    <m/>
    <n v="0"/>
    <m/>
    <m/>
    <m/>
    <m/>
    <m/>
    <m/>
    <n v="17844171"/>
    <n v="18533795"/>
  </r>
  <r>
    <x v="15"/>
    <x v="6"/>
    <s v="Agricultural experiment stations"/>
    <m/>
    <n v="238032"/>
    <x v="0"/>
    <m/>
    <m/>
    <n v="9073860"/>
    <n v="9237501"/>
    <m/>
    <m/>
    <m/>
    <m/>
    <n v="0"/>
    <m/>
    <m/>
    <n v="0"/>
    <n v="9073860"/>
    <n v="9237501"/>
    <m/>
    <m/>
    <m/>
    <m/>
    <n v="0"/>
    <m/>
    <m/>
    <n v="0"/>
    <m/>
    <m/>
    <m/>
    <m/>
    <m/>
    <m/>
    <n v="9073860"/>
    <n v="9237501"/>
  </r>
  <r>
    <x v="15"/>
    <x v="43"/>
    <s v="Engineering experiment stations"/>
    <m/>
    <n v="238032"/>
    <x v="0"/>
    <m/>
    <m/>
    <n v="3696549"/>
    <n v="4235165"/>
    <m/>
    <m/>
    <m/>
    <m/>
    <n v="0"/>
    <m/>
    <m/>
    <n v="0"/>
    <n v="3696549"/>
    <n v="4235165"/>
    <m/>
    <m/>
    <m/>
    <m/>
    <n v="0"/>
    <m/>
    <m/>
    <n v="0"/>
    <m/>
    <m/>
    <m/>
    <m/>
    <m/>
    <m/>
    <n v="3696549"/>
    <n v="4235165"/>
  </r>
  <r>
    <x v="15"/>
    <x v="7"/>
    <s v="Research centers/institutes"/>
    <m/>
    <n v="238032"/>
    <x v="0"/>
    <m/>
    <m/>
    <n v="2754959"/>
    <n v="2807980"/>
    <m/>
    <m/>
    <m/>
    <m/>
    <n v="0"/>
    <m/>
    <m/>
    <n v="0"/>
    <n v="2754959"/>
    <n v="2807980"/>
    <m/>
    <m/>
    <m/>
    <m/>
    <n v="0"/>
    <m/>
    <m/>
    <n v="0"/>
    <m/>
    <m/>
    <m/>
    <m/>
    <m/>
    <m/>
    <n v="2754959"/>
    <n v="2807980"/>
  </r>
  <r>
    <x v="15"/>
    <x v="7"/>
    <s v="WVU - PRT"/>
    <m/>
    <n v="238032"/>
    <x v="0"/>
    <m/>
    <m/>
    <n v="2117392"/>
    <n v="2079152"/>
    <m/>
    <m/>
    <m/>
    <m/>
    <n v="0"/>
    <m/>
    <m/>
    <n v="0"/>
    <n v="2117392"/>
    <n v="2079152"/>
    <m/>
    <m/>
    <m/>
    <m/>
    <n v="0"/>
    <m/>
    <m/>
    <n v="0"/>
    <m/>
    <m/>
    <m/>
    <m/>
    <m/>
    <m/>
    <n v="2117392"/>
    <n v="2079152"/>
  </r>
  <r>
    <x v="15"/>
    <x v="8"/>
    <s v="Special Line items for education operations"/>
    <m/>
    <n v="238032"/>
    <x v="0"/>
    <m/>
    <m/>
    <n v="1420977"/>
    <n v="1993102"/>
    <m/>
    <m/>
    <m/>
    <m/>
    <n v="0"/>
    <m/>
    <m/>
    <n v="0"/>
    <n v="1420977"/>
    <n v="1993102"/>
    <m/>
    <m/>
    <m/>
    <m/>
    <n v="0"/>
    <m/>
    <m/>
    <n v="0"/>
    <m/>
    <m/>
    <m/>
    <m/>
    <m/>
    <m/>
    <n v="1420977"/>
    <n v="1993102"/>
  </r>
  <r>
    <x v="15"/>
    <x v="8"/>
    <s v="Center for Excellence in Disabilities"/>
    <m/>
    <n v="238032"/>
    <x v="0"/>
    <m/>
    <m/>
    <n v="318701"/>
    <n v="310196"/>
    <m/>
    <m/>
    <m/>
    <m/>
    <n v="0"/>
    <m/>
    <m/>
    <n v="0"/>
    <n v="318701"/>
    <n v="310196"/>
    <m/>
    <m/>
    <m/>
    <m/>
    <n v="0"/>
    <m/>
    <m/>
    <n v="0"/>
    <m/>
    <m/>
    <m/>
    <m/>
    <m/>
    <m/>
    <n v="318701"/>
    <n v="310196"/>
  </r>
  <r>
    <x v="15"/>
    <x v="0"/>
    <s v="Marshall University "/>
    <m/>
    <n v="237525"/>
    <x v="2"/>
    <n v="45819526"/>
    <n v="45331013"/>
    <s v=" "/>
    <m/>
    <m/>
    <m/>
    <n v="89336470"/>
    <n v="2454065"/>
    <n v="91790535"/>
    <n v="94371467"/>
    <n v="2448645"/>
    <n v="96820112"/>
    <n v="135155996"/>
    <n v="139702480"/>
    <m/>
    <m/>
    <m/>
    <m/>
    <n v="0"/>
    <m/>
    <m/>
    <n v="0"/>
    <m/>
    <m/>
    <m/>
    <m/>
    <m/>
    <m/>
    <n v="135155996"/>
    <n v="139702480"/>
  </r>
  <r>
    <x v="15"/>
    <x v="7"/>
    <s v="Research centers/institutes"/>
    <m/>
    <n v="237525"/>
    <x v="2"/>
    <m/>
    <m/>
    <s v=" "/>
    <m/>
    <m/>
    <m/>
    <m/>
    <m/>
    <n v="0"/>
    <m/>
    <m/>
    <n v="0"/>
    <n v="0"/>
    <n v="0"/>
    <m/>
    <m/>
    <m/>
    <m/>
    <n v="0"/>
    <m/>
    <m/>
    <n v="0"/>
    <m/>
    <m/>
    <m/>
    <m/>
    <m/>
    <m/>
    <n v="0"/>
    <n v="0"/>
  </r>
  <r>
    <x v="15"/>
    <x v="8"/>
    <s v="MU/SWVVCTC 2+2 Program"/>
    <m/>
    <n v="237525"/>
    <x v="2"/>
    <m/>
    <m/>
    <n v="181280"/>
    <n v="0"/>
    <m/>
    <m/>
    <m/>
    <m/>
    <n v="0"/>
    <m/>
    <m/>
    <n v="0"/>
    <n v="181280"/>
    <n v="0"/>
    <m/>
    <m/>
    <m/>
    <m/>
    <n v="0"/>
    <m/>
    <m/>
    <n v="0"/>
    <m/>
    <m/>
    <m/>
    <m/>
    <m/>
    <m/>
    <n v="181280"/>
    <n v="0"/>
  </r>
  <r>
    <x v="15"/>
    <x v="7"/>
    <s v="Autism Training Center"/>
    <m/>
    <n v="237525"/>
    <x v="2"/>
    <m/>
    <m/>
    <n v="1901774"/>
    <n v="1873340"/>
    <m/>
    <m/>
    <m/>
    <m/>
    <n v="0"/>
    <m/>
    <m/>
    <n v="0"/>
    <n v="1901774"/>
    <n v="1873340"/>
    <m/>
    <m/>
    <m/>
    <m/>
    <n v="0"/>
    <m/>
    <m/>
    <n v="0"/>
    <m/>
    <m/>
    <m/>
    <m/>
    <m/>
    <m/>
    <n v="1901774"/>
    <n v="1873340"/>
  </r>
  <r>
    <x v="15"/>
    <x v="8"/>
    <s v="Special Line items for education operations"/>
    <m/>
    <n v="237525"/>
    <x v="2"/>
    <m/>
    <m/>
    <n v="662987"/>
    <n v="638126"/>
    <m/>
    <m/>
    <m/>
    <m/>
    <n v="0"/>
    <m/>
    <m/>
    <n v="0"/>
    <n v="662987"/>
    <n v="638126"/>
    <m/>
    <m/>
    <m/>
    <m/>
    <n v="0"/>
    <m/>
    <m/>
    <n v="0"/>
    <m/>
    <m/>
    <m/>
    <m/>
    <m/>
    <m/>
    <n v="662987"/>
    <n v="638126"/>
  </r>
  <r>
    <x v="15"/>
    <x v="1"/>
    <s v="Medical School"/>
    <m/>
    <n v="237525"/>
    <x v="2"/>
    <m/>
    <m/>
    <m/>
    <m/>
    <m/>
    <m/>
    <m/>
    <m/>
    <n v="0"/>
    <m/>
    <m/>
    <n v="0"/>
    <n v="0"/>
    <n v="0"/>
    <m/>
    <m/>
    <m/>
    <m/>
    <n v="0"/>
    <m/>
    <m/>
    <n v="0"/>
    <n v="19428921"/>
    <n v="19264491"/>
    <n v="8801006"/>
    <m/>
    <n v="8801006"/>
    <m/>
    <n v="28229927"/>
    <n v="28065497"/>
  </r>
  <r>
    <x v="15"/>
    <x v="1"/>
    <s v="MU SOM- Graduate Medical Education"/>
    <m/>
    <n v="237525"/>
    <x v="2"/>
    <m/>
    <m/>
    <m/>
    <m/>
    <m/>
    <m/>
    <m/>
    <m/>
    <n v="0"/>
    <m/>
    <m/>
    <n v="0"/>
    <n v="0"/>
    <n v="0"/>
    <m/>
    <m/>
    <m/>
    <m/>
    <n v="0"/>
    <m/>
    <m/>
    <n v="0"/>
    <n v="295477"/>
    <n v="295477"/>
    <m/>
    <m/>
    <m/>
    <m/>
    <n v="295477"/>
    <n v="295477"/>
  </r>
  <r>
    <x v="15"/>
    <x v="1"/>
    <s v="MU SOM- Academy of Family Physicians Doc of the Day Program"/>
    <m/>
    <n v="237525"/>
    <x v="2"/>
    <m/>
    <m/>
    <m/>
    <m/>
    <m/>
    <m/>
    <m/>
    <s v=" "/>
    <n v="0"/>
    <m/>
    <m/>
    <n v="0"/>
    <n v="0"/>
    <n v="0"/>
    <m/>
    <m/>
    <m/>
    <m/>
    <n v="0"/>
    <m/>
    <m/>
    <n v="0"/>
    <n v="5000"/>
    <n v="0"/>
    <m/>
    <m/>
    <m/>
    <m/>
    <n v="5000"/>
    <n v="0"/>
  </r>
  <r>
    <x v="15"/>
    <x v="1"/>
    <s v="MUSOM - Center for Rural Health"/>
    <m/>
    <n v="237525"/>
    <x v="2"/>
    <m/>
    <m/>
    <m/>
    <m/>
    <m/>
    <m/>
    <m/>
    <m/>
    <n v="0"/>
    <m/>
    <m/>
    <n v="0"/>
    <n v="0"/>
    <n v="0"/>
    <m/>
    <m/>
    <m/>
    <m/>
    <n v="0"/>
    <m/>
    <m/>
    <n v="0"/>
    <n v="275061"/>
    <n v="275061"/>
    <m/>
    <m/>
    <m/>
    <m/>
    <n v="275061"/>
    <n v="275061"/>
  </r>
  <r>
    <x v="15"/>
    <x v="7"/>
    <s v="Forensic Lab"/>
    <m/>
    <n v="237525"/>
    <x v="2"/>
    <m/>
    <m/>
    <m/>
    <m/>
    <m/>
    <m/>
    <m/>
    <m/>
    <n v="0"/>
    <m/>
    <m/>
    <n v="0"/>
    <n v="0"/>
    <n v="0"/>
    <m/>
    <m/>
    <m/>
    <m/>
    <n v="0"/>
    <m/>
    <m/>
    <n v="0"/>
    <n v="417351"/>
    <n v="417351"/>
    <m/>
    <m/>
    <m/>
    <m/>
    <n v="417351"/>
    <n v="417351"/>
  </r>
  <r>
    <x v="15"/>
    <x v="8"/>
    <s v="BRIM insurance subsidy"/>
    <m/>
    <n v="237525"/>
    <x v="2"/>
    <m/>
    <m/>
    <m/>
    <m/>
    <m/>
    <m/>
    <m/>
    <m/>
    <n v="0"/>
    <m/>
    <m/>
    <n v="0"/>
    <n v="0"/>
    <n v="0"/>
    <m/>
    <m/>
    <m/>
    <m/>
    <n v="0"/>
    <m/>
    <m/>
    <n v="0"/>
    <n v="924653"/>
    <n v="889979"/>
    <m/>
    <m/>
    <m/>
    <m/>
    <n v="924653"/>
    <n v="889979"/>
  </r>
  <r>
    <x v="15"/>
    <x v="0"/>
    <s v="Fairmont State University"/>
    <m/>
    <n v="237367"/>
    <x v="4"/>
    <n v="16104114"/>
    <n v="15842394"/>
    <m/>
    <m/>
    <m/>
    <m/>
    <n v="20980269"/>
    <n v="1522545"/>
    <n v="22502814"/>
    <n v="22464578"/>
    <n v="1523422"/>
    <n v="23988000"/>
    <n v="37084383"/>
    <n v="38306972"/>
    <m/>
    <m/>
    <m/>
    <m/>
    <n v="0"/>
    <m/>
    <m/>
    <n v="0"/>
    <m/>
    <m/>
    <m/>
    <m/>
    <m/>
    <m/>
    <n v="37084383"/>
    <n v="38306972"/>
  </r>
  <r>
    <x v="15"/>
    <x v="0"/>
    <s v="Shepherd University "/>
    <m/>
    <n v="237792"/>
    <x v="4"/>
    <n v="10012854"/>
    <n v="9841101"/>
    <m/>
    <m/>
    <m/>
    <m/>
    <n v="28920229"/>
    <n v="635813"/>
    <n v="29556042"/>
    <n v="30399220"/>
    <n v="635813"/>
    <n v="31035033"/>
    <n v="38933083"/>
    <n v="40240321"/>
    <m/>
    <m/>
    <m/>
    <m/>
    <n v="0"/>
    <m/>
    <m/>
    <n v="0"/>
    <m/>
    <m/>
    <m/>
    <m/>
    <m/>
    <m/>
    <n v="38933083"/>
    <n v="40240321"/>
  </r>
  <r>
    <x v="15"/>
    <x v="8"/>
    <s v="Special Line items for education operations"/>
    <m/>
    <n v="237792"/>
    <x v="4"/>
    <m/>
    <m/>
    <n v="100000"/>
    <n v="100000"/>
    <m/>
    <m/>
    <m/>
    <m/>
    <n v="0"/>
    <m/>
    <m/>
    <n v="0"/>
    <n v="100000"/>
    <n v="100000"/>
    <m/>
    <m/>
    <m/>
    <m/>
    <n v="0"/>
    <m/>
    <m/>
    <n v="0"/>
    <m/>
    <m/>
    <m/>
    <m/>
    <m/>
    <m/>
    <n v="100000"/>
    <n v="100000"/>
  </r>
  <r>
    <x v="15"/>
    <x v="0"/>
    <s v="Bluefield State College "/>
    <m/>
    <n v="237215"/>
    <x v="5"/>
    <n v="5938342"/>
    <n v="5856558"/>
    <m/>
    <m/>
    <m/>
    <m/>
    <n v="10369182"/>
    <m/>
    <n v="10369182"/>
    <n v="10866903"/>
    <m/>
    <n v="10866903"/>
    <n v="16307524"/>
    <n v="16723461"/>
    <m/>
    <m/>
    <m/>
    <m/>
    <n v="0"/>
    <m/>
    <m/>
    <n v="0"/>
    <m/>
    <m/>
    <m/>
    <m/>
    <m/>
    <m/>
    <n v="16307524"/>
    <n v="16723461"/>
  </r>
  <r>
    <x v="15"/>
    <x v="0"/>
    <s v="Concord University "/>
    <s v="Met the criteria for Four-Year 5 in 2014-15."/>
    <n v="237330"/>
    <x v="5"/>
    <n v="9092694"/>
    <n v="8940548"/>
    <m/>
    <m/>
    <m/>
    <m/>
    <n v="16716550"/>
    <m/>
    <n v="16716550"/>
    <n v="17552378"/>
    <m/>
    <n v="17552378"/>
    <n v="25809244"/>
    <n v="26492926"/>
    <m/>
    <m/>
    <m/>
    <m/>
    <n v="0"/>
    <m/>
    <m/>
    <n v="0"/>
    <m/>
    <m/>
    <m/>
    <m/>
    <m/>
    <m/>
    <n v="25809244"/>
    <n v="26492926"/>
  </r>
  <r>
    <x v="15"/>
    <x v="8"/>
    <s v="Special Line items for education operations"/>
    <m/>
    <n v="237330"/>
    <x v="5"/>
    <m/>
    <m/>
    <n v="100000"/>
    <n v="100000"/>
    <m/>
    <m/>
    <m/>
    <s v=" "/>
    <n v="0"/>
    <m/>
    <m/>
    <n v="0"/>
    <n v="100000"/>
    <n v="100000"/>
    <m/>
    <m/>
    <m/>
    <m/>
    <n v="0"/>
    <m/>
    <m/>
    <n v="0"/>
    <m/>
    <m/>
    <m/>
    <m/>
    <m/>
    <m/>
    <n v="100000"/>
    <n v="100000"/>
  </r>
  <r>
    <x v="15"/>
    <x v="0"/>
    <s v="Glenville State College "/>
    <m/>
    <n v="237385"/>
    <x v="5"/>
    <n v="5818711"/>
    <n v="5718177"/>
    <m/>
    <m/>
    <m/>
    <m/>
    <n v="7294563"/>
    <n v="350887"/>
    <n v="7645450"/>
    <n v="7669038"/>
    <n v="351039"/>
    <n v="8020077"/>
    <n v="13113274"/>
    <n v="13387215"/>
    <m/>
    <m/>
    <m/>
    <m/>
    <n v="0"/>
    <m/>
    <m/>
    <n v="0"/>
    <m/>
    <m/>
    <m/>
    <m/>
    <m/>
    <m/>
    <n v="13113274"/>
    <n v="13387215"/>
  </r>
  <r>
    <x v="15"/>
    <x v="8"/>
    <s v="Special Line items for education operations"/>
    <m/>
    <n v="237385"/>
    <x v="5"/>
    <m/>
    <m/>
    <n v="600000"/>
    <n v="600000"/>
    <m/>
    <m/>
    <m/>
    <s v=" "/>
    <n v="0"/>
    <m/>
    <m/>
    <n v="0"/>
    <n v="600000"/>
    <n v="600000"/>
    <m/>
    <m/>
    <m/>
    <m/>
    <n v="0"/>
    <m/>
    <m/>
    <n v="0"/>
    <m/>
    <m/>
    <m/>
    <m/>
    <m/>
    <m/>
    <n v="600000"/>
    <n v="600000"/>
  </r>
  <r>
    <x v="15"/>
    <x v="0"/>
    <s v="West Liberty University"/>
    <s v="Met the criteria for Four-Year 5 in 2014-15."/>
    <n v="237932"/>
    <x v="5"/>
    <n v="8396273"/>
    <n v="8255151"/>
    <m/>
    <m/>
    <m/>
    <m/>
    <n v="19941858"/>
    <n v="527783"/>
    <n v="20469641"/>
    <n v="20551982"/>
    <n v="531748"/>
    <n v="21083730"/>
    <n v="28338131"/>
    <n v="28807133"/>
    <m/>
    <m/>
    <m/>
    <m/>
    <n v="0"/>
    <m/>
    <m/>
    <n v="0"/>
    <m/>
    <m/>
    <m/>
    <m/>
    <m/>
    <m/>
    <n v="28338131"/>
    <n v="28807133"/>
  </r>
  <r>
    <x v="15"/>
    <x v="0"/>
    <s v="West Virginia State University "/>
    <m/>
    <n v="237899"/>
    <x v="5"/>
    <n v="12449485"/>
    <n v="12053981"/>
    <m/>
    <m/>
    <m/>
    <m/>
    <n v="15387812"/>
    <s v=" "/>
    <n v="15387812"/>
    <n v="16157203"/>
    <m/>
    <n v="16157203"/>
    <n v="27837297"/>
    <n v="28211184"/>
    <m/>
    <m/>
    <m/>
    <m/>
    <n v="0"/>
    <m/>
    <m/>
    <n v="0"/>
    <m/>
    <m/>
    <m/>
    <m/>
    <m/>
    <m/>
    <n v="27837297"/>
    <n v="28211184"/>
  </r>
  <r>
    <x v="15"/>
    <x v="0"/>
    <s v="West Virginia University Institute of Technology"/>
    <m/>
    <n v="237950"/>
    <x v="5"/>
    <n v="8526970"/>
    <n v="8400448"/>
    <m/>
    <m/>
    <m/>
    <m/>
    <n v="8763808"/>
    <m/>
    <n v="8763808"/>
    <n v="9123124"/>
    <m/>
    <n v="9123124"/>
    <n v="17290778"/>
    <n v="17523572"/>
    <m/>
    <m/>
    <m/>
    <m/>
    <n v="0"/>
    <m/>
    <m/>
    <n v="0"/>
    <m/>
    <m/>
    <m/>
    <m/>
    <m/>
    <m/>
    <n v="17290778"/>
    <n v="17523572"/>
  </r>
  <r>
    <x v="15"/>
    <x v="8"/>
    <s v="Accreditation supplement"/>
    <m/>
    <n v="237950"/>
    <x v="5"/>
    <m/>
    <m/>
    <m/>
    <m/>
    <m/>
    <m/>
    <m/>
    <m/>
    <n v="0"/>
    <m/>
    <m/>
    <n v="0"/>
    <n v="0"/>
    <n v="0"/>
    <m/>
    <m/>
    <m/>
    <m/>
    <n v="0"/>
    <m/>
    <m/>
    <n v="0"/>
    <m/>
    <m/>
    <m/>
    <m/>
    <m/>
    <m/>
    <n v="0"/>
    <n v="0"/>
  </r>
  <r>
    <x v="15"/>
    <x v="0"/>
    <s v="Potomac State College of West Virginia University"/>
    <m/>
    <n v="237701"/>
    <x v="14"/>
    <n v="4016689"/>
    <n v="3970493"/>
    <m/>
    <m/>
    <m/>
    <m/>
    <n v="6387004"/>
    <s v=" "/>
    <n v="6387004"/>
    <n v="6661645"/>
    <m/>
    <n v="6661645"/>
    <n v="10403693"/>
    <n v="10632138"/>
    <m/>
    <m/>
    <m/>
    <m/>
    <n v="0"/>
    <m/>
    <m/>
    <n v="0"/>
    <m/>
    <m/>
    <m/>
    <m/>
    <m/>
    <m/>
    <n v="10403693"/>
    <n v="10632138"/>
  </r>
  <r>
    <x v="15"/>
    <x v="8"/>
    <s v="Special Line items for education operations"/>
    <m/>
    <n v="237701"/>
    <x v="14"/>
    <m/>
    <m/>
    <n v="207500"/>
    <n v="207500"/>
    <m/>
    <m/>
    <m/>
    <m/>
    <n v="0"/>
    <m/>
    <m/>
    <n v="0"/>
    <n v="207500"/>
    <n v="207500"/>
    <m/>
    <m/>
    <m/>
    <m/>
    <n v="0"/>
    <m/>
    <m/>
    <n v="0"/>
    <m/>
    <m/>
    <m/>
    <m/>
    <m/>
    <m/>
    <n v="207500"/>
    <n v="207500"/>
  </r>
  <r>
    <x v="15"/>
    <x v="0"/>
    <s v="West Virginia University at Parkersburg"/>
    <s v="Met the criteria for Four-Year 6 in 2013-14 and 2014-15."/>
    <n v="237686"/>
    <x v="14"/>
    <n v="10230191"/>
    <n v="9858752"/>
    <m/>
    <m/>
    <m/>
    <m/>
    <n v="11485330"/>
    <s v=" "/>
    <n v="11485330"/>
    <n v="12404156.4"/>
    <m/>
    <n v="12404156.4"/>
    <n v="21715521"/>
    <n v="22262908.399999999"/>
    <m/>
    <m/>
    <m/>
    <m/>
    <n v="0"/>
    <m/>
    <m/>
    <n v="0"/>
    <m/>
    <m/>
    <m/>
    <m/>
    <m/>
    <m/>
    <n v="21715521"/>
    <n v="22262908.399999999"/>
  </r>
  <r>
    <x v="15"/>
    <x v="8"/>
    <s v="Special Line items for education operations"/>
    <m/>
    <n v="237686"/>
    <x v="14"/>
    <m/>
    <m/>
    <m/>
    <m/>
    <m/>
    <m/>
    <m/>
    <m/>
    <n v="0"/>
    <s v=" "/>
    <m/>
    <n v="0"/>
    <n v="0"/>
    <n v="0"/>
    <m/>
    <m/>
    <m/>
    <m/>
    <n v="0"/>
    <m/>
    <m/>
    <n v="0"/>
    <m/>
    <m/>
    <m/>
    <m/>
    <m/>
    <m/>
    <n v="0"/>
    <n v="0"/>
  </r>
  <r>
    <x v="15"/>
    <x v="0"/>
    <s v="New River Community &amp; Technical College"/>
    <s v="Met the criteria for Two-Year 3 in 2014-15."/>
    <n v="447582"/>
    <x v="7"/>
    <n v="5775692"/>
    <n v="5681907"/>
    <m/>
    <m/>
    <m/>
    <m/>
    <n v="9431495"/>
    <m/>
    <n v="9431495"/>
    <n v="9715383"/>
    <m/>
    <n v="9715383"/>
    <n v="15207187"/>
    <n v="15397290"/>
    <m/>
    <m/>
    <m/>
    <m/>
    <n v="0"/>
    <m/>
    <m/>
    <n v="0"/>
    <m/>
    <m/>
    <m/>
    <m/>
    <m/>
    <m/>
    <n v="15207187"/>
    <n v="15397290"/>
  </r>
  <r>
    <x v="15"/>
    <x v="8"/>
    <s v="Special Line items for education operations"/>
    <m/>
    <n v="447582"/>
    <x v="7"/>
    <m/>
    <m/>
    <m/>
    <m/>
    <m/>
    <m/>
    <m/>
    <m/>
    <n v="0"/>
    <m/>
    <m/>
    <n v="0"/>
    <n v="0"/>
    <n v="0"/>
    <m/>
    <m/>
    <m/>
    <m/>
    <n v="0"/>
    <m/>
    <m/>
    <n v="0"/>
    <m/>
    <m/>
    <m/>
    <m/>
    <m/>
    <m/>
    <n v="0"/>
    <n v="0"/>
  </r>
  <r>
    <x v="15"/>
    <x v="0"/>
    <s v="Pierpont Community &amp; Technical College"/>
    <s v="Met the criteria for Two-Year 3 in 2014-15."/>
    <n v="443492"/>
    <x v="7"/>
    <n v="7734209"/>
    <n v="7584426"/>
    <m/>
    <m/>
    <m/>
    <m/>
    <n v="8554548"/>
    <m/>
    <n v="8554548"/>
    <n v="9152511"/>
    <m/>
    <n v="9152511"/>
    <n v="16288757"/>
    <n v="16736937"/>
    <m/>
    <m/>
    <m/>
    <m/>
    <n v="0"/>
    <m/>
    <m/>
    <n v="0"/>
    <m/>
    <m/>
    <m/>
    <m/>
    <m/>
    <m/>
    <n v="16288757"/>
    <n v="16736937"/>
  </r>
  <r>
    <x v="15"/>
    <x v="8"/>
    <s v="Special Line items for education operations"/>
    <m/>
    <n v="443492"/>
    <x v="7"/>
    <m/>
    <m/>
    <m/>
    <m/>
    <m/>
    <m/>
    <m/>
    <m/>
    <n v="0"/>
    <m/>
    <m/>
    <n v="0"/>
    <n v="0"/>
    <n v="0"/>
    <m/>
    <m/>
    <m/>
    <m/>
    <n v="0"/>
    <m/>
    <m/>
    <n v="0"/>
    <m/>
    <m/>
    <m/>
    <m/>
    <m/>
    <m/>
    <n v="0"/>
    <n v="0"/>
  </r>
  <r>
    <x v="15"/>
    <x v="0"/>
    <s v="West Virginia Northern Community College"/>
    <s v="Reclassified: Met the criteria for Two-Year 3 in 2012-13, 2013-14, and 2014-15."/>
    <n v="238014"/>
    <x v="8"/>
    <n v="7230369"/>
    <n v="7125451"/>
    <m/>
    <m/>
    <m/>
    <m/>
    <n v="5487559"/>
    <m/>
    <n v="5487559"/>
    <n v="6018755"/>
    <m/>
    <n v="6018755"/>
    <n v="12717928"/>
    <n v="13144206"/>
    <m/>
    <m/>
    <m/>
    <m/>
    <n v="0"/>
    <m/>
    <m/>
    <n v="0"/>
    <m/>
    <m/>
    <m/>
    <m/>
    <m/>
    <m/>
    <n v="12717928"/>
    <n v="13144206"/>
  </r>
  <r>
    <x v="15"/>
    <x v="8"/>
    <s v="Special Line items for education operations"/>
    <m/>
    <n v="238014"/>
    <x v="8"/>
    <m/>
    <m/>
    <m/>
    <m/>
    <m/>
    <m/>
    <m/>
    <m/>
    <n v="0"/>
    <m/>
    <m/>
    <n v="0"/>
    <n v="0"/>
    <n v="0"/>
    <m/>
    <m/>
    <m/>
    <m/>
    <n v="0"/>
    <m/>
    <m/>
    <n v="0"/>
    <m/>
    <m/>
    <m/>
    <m/>
    <m/>
    <m/>
    <n v="0"/>
    <n v="0"/>
  </r>
  <r>
    <x v="15"/>
    <x v="0"/>
    <s v="Blue Ridge Community &amp; Technical College"/>
    <s v="Met the criteria for Two-Year 2 in 2014-15."/>
    <n v="446774"/>
    <x v="8"/>
    <n v="4706653"/>
    <n v="4640378"/>
    <m/>
    <m/>
    <m/>
    <m/>
    <n v="6751053"/>
    <m/>
    <n v="6751053"/>
    <n v="7716576"/>
    <m/>
    <n v="7716576"/>
    <n v="11457706"/>
    <n v="12356954"/>
    <m/>
    <m/>
    <m/>
    <m/>
    <n v="0"/>
    <m/>
    <m/>
    <n v="0"/>
    <m/>
    <m/>
    <m/>
    <m/>
    <m/>
    <m/>
    <n v="11457706"/>
    <n v="12356954"/>
  </r>
  <r>
    <x v="15"/>
    <x v="8"/>
    <s v="Special Line items for education operations"/>
    <m/>
    <n v="446774"/>
    <x v="8"/>
    <m/>
    <m/>
    <m/>
    <m/>
    <m/>
    <m/>
    <m/>
    <m/>
    <n v="0"/>
    <m/>
    <m/>
    <n v="0"/>
    <n v="0"/>
    <n v="0"/>
    <m/>
    <m/>
    <m/>
    <m/>
    <n v="0"/>
    <m/>
    <m/>
    <n v="0"/>
    <m/>
    <m/>
    <m/>
    <m/>
    <m/>
    <m/>
    <n v="0"/>
    <n v="0"/>
  </r>
  <r>
    <x v="15"/>
    <x v="0"/>
    <s v="BridgeValley Community and Technical College"/>
    <s v="New"/>
    <s v="484932"/>
    <x v="8"/>
    <n v="7913830"/>
    <n v="7774924"/>
    <m/>
    <m/>
    <m/>
    <m/>
    <n v="7949008"/>
    <m/>
    <n v="7949008"/>
    <n v="8053208.5"/>
    <m/>
    <n v="8053208.5"/>
    <n v="15862838"/>
    <n v="15828132.5"/>
    <m/>
    <m/>
    <m/>
    <m/>
    <n v="0"/>
    <m/>
    <m/>
    <n v="0"/>
    <m/>
    <m/>
    <m/>
    <m/>
    <m/>
    <m/>
    <n v="15862838"/>
    <n v="15828132.5"/>
  </r>
  <r>
    <x v="15"/>
    <x v="0"/>
    <s v="Eastern West Virginia Community &amp; Technical College"/>
    <m/>
    <n v="438708"/>
    <x v="8"/>
    <n v="1924011"/>
    <n v="1895244"/>
    <m/>
    <m/>
    <m/>
    <m/>
    <n v="1734129"/>
    <m/>
    <n v="1734129"/>
    <n v="1857946"/>
    <m/>
    <n v="1857946"/>
    <n v="3658140"/>
    <n v="3753190"/>
    <m/>
    <m/>
    <m/>
    <m/>
    <n v="0"/>
    <m/>
    <m/>
    <n v="0"/>
    <m/>
    <m/>
    <m/>
    <m/>
    <m/>
    <m/>
    <n v="3658140"/>
    <n v="3753190"/>
  </r>
  <r>
    <x v="15"/>
    <x v="8"/>
    <s v="Special Line items for education operations"/>
    <m/>
    <n v="438708"/>
    <x v="8"/>
    <m/>
    <m/>
    <m/>
    <m/>
    <m/>
    <m/>
    <m/>
    <m/>
    <n v="0"/>
    <m/>
    <m/>
    <n v="0"/>
    <n v="0"/>
    <n v="0"/>
    <m/>
    <m/>
    <m/>
    <m/>
    <n v="0"/>
    <m/>
    <m/>
    <n v="0"/>
    <m/>
    <m/>
    <m/>
    <m/>
    <m/>
    <m/>
    <n v="0"/>
    <n v="0"/>
  </r>
  <r>
    <x v="15"/>
    <x v="0"/>
    <s v="Mountwest Community &amp; Technical College"/>
    <m/>
    <n v="444954"/>
    <x v="8"/>
    <n v="5818793"/>
    <n v="5731087"/>
    <m/>
    <m/>
    <m/>
    <m/>
    <n v="9711310"/>
    <n v="213285"/>
    <n v="9924595"/>
    <n v="9981594"/>
    <n v="212805"/>
    <n v="10194399"/>
    <n v="15530103"/>
    <n v="15712681"/>
    <m/>
    <m/>
    <m/>
    <m/>
    <n v="0"/>
    <m/>
    <m/>
    <n v="0"/>
    <m/>
    <m/>
    <m/>
    <m/>
    <m/>
    <m/>
    <n v="15530103"/>
    <n v="15712681"/>
  </r>
  <r>
    <x v="15"/>
    <x v="8"/>
    <s v="Special Line items for education operations"/>
    <m/>
    <n v="444954"/>
    <x v="8"/>
    <m/>
    <m/>
    <m/>
    <m/>
    <m/>
    <m/>
    <m/>
    <m/>
    <n v="0"/>
    <m/>
    <m/>
    <n v="0"/>
    <n v="0"/>
    <n v="0"/>
    <m/>
    <m/>
    <m/>
    <m/>
    <n v="0"/>
    <m/>
    <m/>
    <n v="0"/>
    <m/>
    <m/>
    <m/>
    <m/>
    <m/>
    <m/>
    <n v="0"/>
    <n v="0"/>
  </r>
  <r>
    <x v="15"/>
    <x v="0"/>
    <s v="Southern West Virginia Community &amp; Technical College "/>
    <m/>
    <n v="237817"/>
    <x v="8"/>
    <n v="7973274"/>
    <n v="7841687"/>
    <m/>
    <m/>
    <m/>
    <m/>
    <n v="5044606"/>
    <m/>
    <n v="5044606"/>
    <n v="5294818"/>
    <m/>
    <n v="5294818"/>
    <n v="13017880"/>
    <n v="13136505"/>
    <m/>
    <m/>
    <m/>
    <m/>
    <n v="0"/>
    <m/>
    <m/>
    <n v="0"/>
    <m/>
    <m/>
    <m/>
    <m/>
    <m/>
    <m/>
    <n v="13017880"/>
    <n v="13136505"/>
  </r>
  <r>
    <x v="15"/>
    <x v="8"/>
    <s v="Special Line items for education operations"/>
    <m/>
    <n v="237817"/>
    <x v="8"/>
    <m/>
    <m/>
    <n v="480000"/>
    <n v="480000"/>
    <m/>
    <m/>
    <m/>
    <m/>
    <n v="0"/>
    <m/>
    <m/>
    <n v="0"/>
    <n v="480000"/>
    <n v="480000"/>
    <m/>
    <m/>
    <m/>
    <m/>
    <n v="0"/>
    <m/>
    <m/>
    <n v="0"/>
    <m/>
    <m/>
    <m/>
    <m/>
    <m/>
    <m/>
    <n v="480000"/>
    <n v="480000"/>
  </r>
  <r>
    <x v="15"/>
    <x v="41"/>
    <s v="West Virginia School of Osteopathic Medicine"/>
    <m/>
    <n v="237880"/>
    <x v="11"/>
    <m/>
    <m/>
    <m/>
    <m/>
    <m/>
    <m/>
    <m/>
    <m/>
    <n v="0"/>
    <m/>
    <m/>
    <n v="0"/>
    <n v="0"/>
    <n v="0"/>
    <m/>
    <m/>
    <m/>
    <m/>
    <n v="0"/>
    <m/>
    <m/>
    <n v="0"/>
    <n v="7185421"/>
    <n v="7058218"/>
    <n v="32275498"/>
    <m/>
    <n v="32275498"/>
    <m/>
    <n v="39460919"/>
    <n v="39333716"/>
  </r>
  <r>
    <x v="15"/>
    <x v="8"/>
    <s v="Special Line items for education operations"/>
    <m/>
    <n v="237880"/>
    <x v="11"/>
    <m/>
    <m/>
    <m/>
    <m/>
    <m/>
    <m/>
    <m/>
    <m/>
    <n v="0"/>
    <m/>
    <m/>
    <n v="0"/>
    <n v="0"/>
    <n v="0"/>
    <m/>
    <m/>
    <m/>
    <m/>
    <n v="0"/>
    <m/>
    <m/>
    <n v="0"/>
    <m/>
    <m/>
    <m/>
    <m/>
    <m/>
    <m/>
    <n v="0"/>
    <n v="0"/>
  </r>
  <r>
    <x v="15"/>
    <x v="8"/>
    <s v="BRIM insurance subsidy"/>
    <m/>
    <n v="237880"/>
    <x v="11"/>
    <m/>
    <m/>
    <m/>
    <m/>
    <m/>
    <m/>
    <m/>
    <m/>
    <n v="0"/>
    <m/>
    <m/>
    <n v="0"/>
    <n v="0"/>
    <n v="0"/>
    <m/>
    <m/>
    <m/>
    <m/>
    <n v="0"/>
    <m/>
    <m/>
    <n v="0"/>
    <n v="158872"/>
    <n v="152915"/>
    <m/>
    <m/>
    <m/>
    <m/>
    <n v="158872"/>
    <n v="152915"/>
  </r>
  <r>
    <x v="15"/>
    <x v="10"/>
    <s v="Statewide Special-Purpose Units"/>
    <m/>
    <m/>
    <x v="12"/>
    <m/>
    <m/>
    <m/>
    <m/>
    <m/>
    <m/>
    <m/>
    <m/>
    <n v="0"/>
    <m/>
    <m/>
    <n v="0"/>
    <n v="0"/>
    <n v="0"/>
    <m/>
    <m/>
    <m/>
    <m/>
    <n v="0"/>
    <m/>
    <m/>
    <n v="0"/>
    <m/>
    <m/>
    <m/>
    <m/>
    <m/>
    <m/>
    <n v="0"/>
    <n v="0"/>
  </r>
  <r>
    <x v="15"/>
    <x v="42"/>
    <s v="Community or public service units"/>
    <m/>
    <m/>
    <x v="12"/>
    <m/>
    <m/>
    <m/>
    <m/>
    <m/>
    <m/>
    <m/>
    <m/>
    <n v="0"/>
    <m/>
    <m/>
    <n v="0"/>
    <n v="0"/>
    <n v="0"/>
    <m/>
    <m/>
    <m/>
    <m/>
    <n v="0"/>
    <m/>
    <m/>
    <n v="0"/>
    <m/>
    <m/>
    <m/>
    <m/>
    <m/>
    <m/>
    <n v="0"/>
    <n v="0"/>
  </r>
  <r>
    <x v="15"/>
    <x v="42"/>
    <s v="Rural Health Initiative"/>
    <m/>
    <m/>
    <x v="12"/>
    <m/>
    <m/>
    <m/>
    <m/>
    <m/>
    <m/>
    <m/>
    <m/>
    <n v="0"/>
    <m/>
    <m/>
    <n v="0"/>
    <n v="0"/>
    <n v="0"/>
    <n v="2598296"/>
    <n v="2248007"/>
    <m/>
    <m/>
    <n v="0"/>
    <m/>
    <m/>
    <n v="0"/>
    <m/>
    <m/>
    <m/>
    <m/>
    <m/>
    <m/>
    <n v="2598296"/>
    <n v="2248007"/>
  </r>
  <r>
    <x v="15"/>
    <x v="42"/>
    <s v="RHI Program and Site Support - Gradutate Medical Education Fiscal Oversight"/>
    <m/>
    <m/>
    <x v="12"/>
    <m/>
    <m/>
    <m/>
    <m/>
    <m/>
    <m/>
    <m/>
    <m/>
    <n v="0"/>
    <m/>
    <m/>
    <n v="0"/>
    <n v="0"/>
    <n v="0"/>
    <n v="89882"/>
    <n v="87045"/>
    <m/>
    <m/>
    <n v="0"/>
    <m/>
    <m/>
    <n v="0"/>
    <m/>
    <m/>
    <m/>
    <m/>
    <m/>
    <m/>
    <n v="89882"/>
    <n v="87045"/>
  </r>
  <r>
    <x v="15"/>
    <x v="42"/>
    <s v="RHI Program and Site Support - District Consortia"/>
    <m/>
    <m/>
    <x v="12"/>
    <m/>
    <m/>
    <m/>
    <m/>
    <m/>
    <m/>
    <m/>
    <m/>
    <n v="0"/>
    <m/>
    <m/>
    <n v="0"/>
    <n v="0"/>
    <n v="0"/>
    <n v="2354085"/>
    <n v="2356086"/>
    <m/>
    <m/>
    <n v="0"/>
    <m/>
    <m/>
    <n v="0"/>
    <m/>
    <m/>
    <m/>
    <m/>
    <m/>
    <m/>
    <n v="2354085"/>
    <n v="2356086"/>
  </r>
  <r>
    <x v="15"/>
    <x v="44"/>
    <s v="Vice Chancellor for Health Sciences/Rural Health Program Support"/>
    <m/>
    <m/>
    <x v="12"/>
    <m/>
    <m/>
    <m/>
    <m/>
    <m/>
    <m/>
    <m/>
    <m/>
    <n v="0"/>
    <m/>
    <m/>
    <n v="0"/>
    <n v="0"/>
    <n v="0"/>
    <n v="243926"/>
    <n v="235588"/>
    <m/>
    <m/>
    <n v="0"/>
    <m/>
    <m/>
    <n v="0"/>
    <m/>
    <m/>
    <m/>
    <m/>
    <m/>
    <m/>
    <n v="243926"/>
    <n v="235588"/>
  </r>
  <r>
    <x v="15"/>
    <x v="13"/>
    <s v="Educational special purpose funds — all other"/>
    <m/>
    <m/>
    <x v="12"/>
    <m/>
    <m/>
    <m/>
    <m/>
    <m/>
    <m/>
    <m/>
    <m/>
    <n v="0"/>
    <m/>
    <m/>
    <n v="0"/>
    <n v="0"/>
    <n v="0"/>
    <m/>
    <m/>
    <m/>
    <m/>
    <n v="0"/>
    <m/>
    <m/>
    <n v="0"/>
    <m/>
    <m/>
    <m/>
    <m/>
    <m/>
    <m/>
    <n v="0"/>
    <n v="0"/>
  </r>
  <r>
    <x v="15"/>
    <x v="13"/>
    <s v="College Transition Program"/>
    <m/>
    <m/>
    <x v="12"/>
    <m/>
    <m/>
    <n v="305478"/>
    <n v="296920"/>
    <m/>
    <m/>
    <m/>
    <m/>
    <n v="0"/>
    <m/>
    <m/>
    <n v="0"/>
    <n v="305478"/>
    <n v="296920"/>
    <m/>
    <m/>
    <m/>
    <m/>
    <n v="0"/>
    <m/>
    <m/>
    <n v="0"/>
    <m/>
    <m/>
    <m/>
    <m/>
    <m/>
    <m/>
    <n v="305478"/>
    <n v="296920"/>
  </r>
  <r>
    <x v="15"/>
    <x v="13"/>
    <s v="Transit Training Partnership"/>
    <m/>
    <m/>
    <x v="12"/>
    <m/>
    <m/>
    <m/>
    <m/>
    <m/>
    <m/>
    <m/>
    <m/>
    <n v="0"/>
    <m/>
    <m/>
    <n v="0"/>
    <n v="0"/>
    <n v="0"/>
    <n v="73278"/>
    <n v="71225"/>
    <m/>
    <m/>
    <n v="0"/>
    <m/>
    <m/>
    <n v="0"/>
    <m/>
    <m/>
    <m/>
    <m/>
    <m/>
    <m/>
    <n v="73278"/>
    <n v="71225"/>
  </r>
  <r>
    <x v="15"/>
    <x v="13"/>
    <s v="WV Advanced Workforce Development &amp; Technical  Programs"/>
    <m/>
    <m/>
    <x v="12"/>
    <m/>
    <m/>
    <m/>
    <m/>
    <m/>
    <m/>
    <m/>
    <m/>
    <n v="0"/>
    <m/>
    <m/>
    <n v="0"/>
    <n v="0"/>
    <n v="0"/>
    <n v="6249800"/>
    <n v="6275799"/>
    <m/>
    <m/>
    <n v="0"/>
    <m/>
    <m/>
    <n v="0"/>
    <m/>
    <m/>
    <m/>
    <m/>
    <m/>
    <m/>
    <n v="6249800"/>
    <n v="6275799"/>
  </r>
  <r>
    <x v="15"/>
    <x v="14"/>
    <s v="Statewide System Operations"/>
    <m/>
    <m/>
    <x v="12"/>
    <m/>
    <m/>
    <m/>
    <m/>
    <m/>
    <m/>
    <m/>
    <m/>
    <n v="0"/>
    <m/>
    <m/>
    <n v="0"/>
    <n v="0"/>
    <n v="0"/>
    <m/>
    <m/>
    <m/>
    <m/>
    <n v="0"/>
    <m/>
    <m/>
    <n v="0"/>
    <m/>
    <m/>
    <m/>
    <m/>
    <m/>
    <m/>
    <n v="0"/>
    <n v="0"/>
  </r>
  <r>
    <x v="15"/>
    <x v="15"/>
    <s v="Colleges and universities"/>
    <m/>
    <m/>
    <x v="12"/>
    <m/>
    <m/>
    <m/>
    <m/>
    <m/>
    <m/>
    <m/>
    <m/>
    <n v="0"/>
    <m/>
    <m/>
    <n v="0"/>
    <n v="0"/>
    <n v="0"/>
    <m/>
    <m/>
    <m/>
    <m/>
    <n v="0"/>
    <m/>
    <m/>
    <n v="0"/>
    <m/>
    <m/>
    <m/>
    <m/>
    <m/>
    <m/>
    <n v="0"/>
    <n v="0"/>
  </r>
  <r>
    <x v="15"/>
    <x v="15"/>
    <s v="Higher Education Policy Commission"/>
    <m/>
    <m/>
    <x v="12"/>
    <m/>
    <m/>
    <m/>
    <m/>
    <m/>
    <m/>
    <m/>
    <m/>
    <n v="0"/>
    <m/>
    <m/>
    <n v="0"/>
    <n v="0"/>
    <n v="0"/>
    <n v="2802089"/>
    <n v="4670166"/>
    <m/>
    <m/>
    <n v="0"/>
    <m/>
    <m/>
    <n v="0"/>
    <m/>
    <m/>
    <m/>
    <m/>
    <m/>
    <m/>
    <n v="2802089"/>
    <n v="4670166"/>
  </r>
  <r>
    <x v="15"/>
    <x v="15"/>
    <s v="WV Network for Education Telecommunications Computer Center"/>
    <m/>
    <m/>
    <x v="12"/>
    <m/>
    <m/>
    <m/>
    <m/>
    <m/>
    <m/>
    <m/>
    <m/>
    <n v="0"/>
    <m/>
    <m/>
    <n v="0"/>
    <n v="0"/>
    <n v="0"/>
    <n v="1754853"/>
    <n v="1720914"/>
    <m/>
    <m/>
    <n v="0"/>
    <m/>
    <m/>
    <n v="0"/>
    <m/>
    <m/>
    <m/>
    <m/>
    <m/>
    <m/>
    <n v="1754853"/>
    <n v="1720914"/>
  </r>
  <r>
    <x v="15"/>
    <x v="16"/>
    <s v="Two-year system(s), if any"/>
    <m/>
    <m/>
    <x v="12"/>
    <m/>
    <m/>
    <m/>
    <m/>
    <m/>
    <m/>
    <m/>
    <m/>
    <n v="0"/>
    <m/>
    <m/>
    <n v="0"/>
    <n v="0"/>
    <n v="0"/>
    <m/>
    <m/>
    <m/>
    <m/>
    <n v="0"/>
    <m/>
    <m/>
    <n v="0"/>
    <m/>
    <m/>
    <m/>
    <m/>
    <m/>
    <m/>
    <n v="0"/>
    <n v="0"/>
  </r>
  <r>
    <x v="15"/>
    <x v="16"/>
    <s v="WV Council for Community &amp; Technical Education"/>
    <m/>
    <m/>
    <x v="12"/>
    <m/>
    <m/>
    <m/>
    <m/>
    <m/>
    <m/>
    <m/>
    <m/>
    <n v="0"/>
    <m/>
    <m/>
    <n v="0"/>
    <n v="0"/>
    <n v="0"/>
    <n v="791013"/>
    <n v="773248"/>
    <m/>
    <m/>
    <n v="0"/>
    <m/>
    <m/>
    <n v="0"/>
    <m/>
    <m/>
    <m/>
    <m/>
    <m/>
    <m/>
    <n v="791013"/>
    <n v="773248"/>
  </r>
  <r>
    <x v="15"/>
    <x v="17"/>
    <s v="National or regional associations, compacts or consortia"/>
    <m/>
    <m/>
    <x v="12"/>
    <m/>
    <m/>
    <m/>
    <m/>
    <m/>
    <m/>
    <m/>
    <m/>
    <n v="0"/>
    <m/>
    <m/>
    <n v="0"/>
    <n v="0"/>
    <n v="0"/>
    <m/>
    <m/>
    <m/>
    <m/>
    <n v="0"/>
    <m/>
    <m/>
    <n v="0"/>
    <m/>
    <m/>
    <m/>
    <m/>
    <m/>
    <m/>
    <n v="0"/>
    <n v="0"/>
  </r>
  <r>
    <x v="15"/>
    <x v="18"/>
    <s v="Adm. of Statewide Student Aid Progs. (incldng centralized guaranteed student loans)"/>
    <m/>
    <m/>
    <x v="12"/>
    <m/>
    <m/>
    <m/>
    <m/>
    <m/>
    <m/>
    <m/>
    <m/>
    <n v="0"/>
    <m/>
    <m/>
    <n v="0"/>
    <n v="0"/>
    <n v="0"/>
    <n v="1653122"/>
    <n v="1594911"/>
    <m/>
    <m/>
    <n v="0"/>
    <m/>
    <m/>
    <n v="0"/>
    <m/>
    <m/>
    <m/>
    <m/>
    <m/>
    <m/>
    <n v="1653122"/>
    <n v="1594911"/>
  </r>
  <r>
    <x v="15"/>
    <x v="19"/>
    <s v="State Support to Private Colleges Other Than Student Aid"/>
    <m/>
    <m/>
    <x v="12"/>
    <m/>
    <m/>
    <m/>
    <m/>
    <m/>
    <m/>
    <m/>
    <m/>
    <n v="0"/>
    <m/>
    <m/>
    <n v="0"/>
    <n v="0"/>
    <n v="0"/>
    <m/>
    <m/>
    <m/>
    <m/>
    <n v="0"/>
    <m/>
    <m/>
    <n v="0"/>
    <m/>
    <m/>
    <m/>
    <m/>
    <m/>
    <m/>
    <n v="0"/>
    <n v="0"/>
  </r>
  <r>
    <x v="15"/>
    <x v="20"/>
    <s v="Contract Education Programs"/>
    <m/>
    <m/>
    <x v="12"/>
    <m/>
    <m/>
    <m/>
    <m/>
    <m/>
    <m/>
    <m/>
    <m/>
    <n v="0"/>
    <m/>
    <m/>
    <n v="0"/>
    <n v="0"/>
    <n v="0"/>
    <m/>
    <m/>
    <m/>
    <m/>
    <n v="0"/>
    <m/>
    <m/>
    <n v="0"/>
    <m/>
    <m/>
    <m/>
    <m/>
    <m/>
    <m/>
    <n v="0"/>
    <n v="0"/>
  </r>
  <r>
    <x v="15"/>
    <x v="21"/>
    <s v="SREB contract program with private colleges"/>
    <m/>
    <m/>
    <x v="12"/>
    <m/>
    <m/>
    <m/>
    <m/>
    <m/>
    <m/>
    <m/>
    <m/>
    <n v="0"/>
    <m/>
    <m/>
    <n v="0"/>
    <n v="0"/>
    <n v="0"/>
    <m/>
    <m/>
    <m/>
    <m/>
    <n v="0"/>
    <m/>
    <m/>
    <n v="0"/>
    <m/>
    <m/>
    <m/>
    <m/>
    <m/>
    <m/>
    <n v="0"/>
    <n v="0"/>
  </r>
  <r>
    <x v="15"/>
    <x v="21"/>
    <s v="Ohio College of Podiatric Medicine"/>
    <m/>
    <m/>
    <x v="12"/>
    <m/>
    <m/>
    <m/>
    <m/>
    <m/>
    <m/>
    <m/>
    <m/>
    <n v="0"/>
    <m/>
    <m/>
    <n v="0"/>
    <n v="0"/>
    <n v="0"/>
    <n v="17586"/>
    <n v="17135"/>
    <m/>
    <m/>
    <n v="0"/>
    <m/>
    <m/>
    <n v="0"/>
    <m/>
    <m/>
    <m/>
    <m/>
    <m/>
    <m/>
    <n v="17586"/>
    <n v="17135"/>
  </r>
  <r>
    <x v="15"/>
    <x v="21"/>
    <s v="Tuskegee University (Veterinary Medicine)"/>
    <m/>
    <m/>
    <x v="12"/>
    <m/>
    <m/>
    <m/>
    <m/>
    <m/>
    <m/>
    <m/>
    <m/>
    <n v="0"/>
    <m/>
    <m/>
    <n v="0"/>
    <n v="0"/>
    <n v="0"/>
    <m/>
    <m/>
    <m/>
    <m/>
    <n v="0"/>
    <m/>
    <m/>
    <n v="0"/>
    <m/>
    <m/>
    <m/>
    <m/>
    <m/>
    <m/>
    <n v="0"/>
    <n v="0"/>
  </r>
  <r>
    <x v="15"/>
    <x v="21"/>
    <s v="Southern College of Optometry"/>
    <m/>
    <m/>
    <x v="12"/>
    <m/>
    <m/>
    <m/>
    <m/>
    <m/>
    <m/>
    <m/>
    <m/>
    <n v="0"/>
    <m/>
    <m/>
    <n v="0"/>
    <n v="0"/>
    <n v="0"/>
    <n v="116421"/>
    <n v="126048"/>
    <m/>
    <m/>
    <n v="0"/>
    <m/>
    <m/>
    <n v="0"/>
    <m/>
    <m/>
    <m/>
    <m/>
    <m/>
    <m/>
    <n v="116421"/>
    <n v="126048"/>
  </r>
  <r>
    <x v="15"/>
    <x v="22"/>
    <s v="SREB contract program with public colleges"/>
    <m/>
    <m/>
    <x v="12"/>
    <m/>
    <m/>
    <m/>
    <m/>
    <m/>
    <m/>
    <m/>
    <m/>
    <n v="0"/>
    <m/>
    <m/>
    <n v="0"/>
    <n v="0"/>
    <n v="0"/>
    <m/>
    <m/>
    <m/>
    <m/>
    <n v="0"/>
    <m/>
    <m/>
    <n v="0"/>
    <m/>
    <m/>
    <m/>
    <m/>
    <m/>
    <m/>
    <n v="0"/>
    <n v="0"/>
  </r>
  <r>
    <x v="15"/>
    <x v="22"/>
    <s v="University of Georgia (Veterinary Medicine)"/>
    <m/>
    <m/>
    <x v="12"/>
    <m/>
    <m/>
    <m/>
    <m/>
    <m/>
    <m/>
    <m/>
    <m/>
    <n v="0"/>
    <m/>
    <m/>
    <n v="0"/>
    <n v="0"/>
    <n v="0"/>
    <n v="224896"/>
    <n v="87657"/>
    <m/>
    <m/>
    <n v="0"/>
    <m/>
    <m/>
    <n v="0"/>
    <m/>
    <m/>
    <m/>
    <m/>
    <m/>
    <m/>
    <n v="224896"/>
    <n v="87657"/>
  </r>
  <r>
    <x v="15"/>
    <x v="22"/>
    <s v="Auburn University"/>
    <m/>
    <m/>
    <x v="12"/>
    <m/>
    <m/>
    <m/>
    <m/>
    <m/>
    <m/>
    <m/>
    <m/>
    <n v="0"/>
    <m/>
    <m/>
    <n v="0"/>
    <n v="0"/>
    <n v="0"/>
    <n v="179916"/>
    <n v="131485"/>
    <m/>
    <m/>
    <n v="0"/>
    <m/>
    <m/>
    <n v="0"/>
    <m/>
    <m/>
    <m/>
    <m/>
    <m/>
    <m/>
    <n v="179916"/>
    <n v="131485"/>
  </r>
  <r>
    <x v="15"/>
    <x v="22"/>
    <s v="Mississippi State University"/>
    <m/>
    <m/>
    <x v="12"/>
    <m/>
    <m/>
    <m/>
    <m/>
    <m/>
    <m/>
    <m/>
    <m/>
    <n v="0"/>
    <m/>
    <m/>
    <n v="0"/>
    <n v="0"/>
    <n v="0"/>
    <n v="449792"/>
    <n v="482114"/>
    <m/>
    <m/>
    <n v="0"/>
    <m/>
    <m/>
    <n v="0"/>
    <m/>
    <m/>
    <m/>
    <m/>
    <m/>
    <m/>
    <n v="449792"/>
    <n v="482114"/>
  </r>
  <r>
    <x v="15"/>
    <x v="22"/>
    <s v="UAB Birmingham (IL)"/>
    <m/>
    <m/>
    <x v="12"/>
    <m/>
    <m/>
    <m/>
    <m/>
    <m/>
    <m/>
    <m/>
    <m/>
    <n v="0"/>
    <m/>
    <m/>
    <n v="0"/>
    <n v="0"/>
    <n v="0"/>
    <n v="19404"/>
    <n v="12604"/>
    <m/>
    <m/>
    <n v="0"/>
    <m/>
    <m/>
    <n v="0"/>
    <m/>
    <m/>
    <m/>
    <m/>
    <m/>
    <m/>
    <n v="19404"/>
    <n v="12604"/>
  </r>
  <r>
    <x v="15"/>
    <x v="23"/>
    <s v="Other contract education programs"/>
    <m/>
    <m/>
    <x v="12"/>
    <m/>
    <m/>
    <m/>
    <m/>
    <m/>
    <m/>
    <m/>
    <m/>
    <n v="0"/>
    <m/>
    <m/>
    <n v="0"/>
    <n v="0"/>
    <n v="0"/>
    <n v="308682"/>
    <n v="410356"/>
    <m/>
    <m/>
    <n v="0"/>
    <m/>
    <m/>
    <n v="0"/>
    <m/>
    <m/>
    <m/>
    <m/>
    <m/>
    <m/>
    <n v="308682"/>
    <n v="410356"/>
  </r>
  <r>
    <x v="15"/>
    <x v="24"/>
    <s v="Statewide Student Financial Aid Programs Administered Off Campus"/>
    <m/>
    <m/>
    <x v="12"/>
    <m/>
    <m/>
    <m/>
    <m/>
    <m/>
    <m/>
    <m/>
    <m/>
    <n v="0"/>
    <m/>
    <m/>
    <n v="0"/>
    <n v="0"/>
    <n v="0"/>
    <m/>
    <m/>
    <m/>
    <m/>
    <n v="0"/>
    <m/>
    <m/>
    <n v="0"/>
    <m/>
    <m/>
    <m/>
    <m/>
    <m/>
    <m/>
    <n v="0"/>
    <n v="0"/>
  </r>
  <r>
    <x v="15"/>
    <x v="25"/>
    <s v="Available to public &amp; private sector students"/>
    <m/>
    <m/>
    <x v="12"/>
    <m/>
    <m/>
    <m/>
    <m/>
    <m/>
    <m/>
    <m/>
    <m/>
    <n v="0"/>
    <m/>
    <m/>
    <n v="0"/>
    <n v="0"/>
    <n v="0"/>
    <m/>
    <m/>
    <m/>
    <m/>
    <n v="0"/>
    <m/>
    <m/>
    <n v="0"/>
    <m/>
    <m/>
    <m/>
    <m/>
    <m/>
    <m/>
    <n v="0"/>
    <n v="0"/>
  </r>
  <r>
    <x v="15"/>
    <x v="25"/>
    <s v="Higher Education Grant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n v="33809522"/>
    <n v="33535814"/>
    <m/>
    <m/>
    <n v="0"/>
    <m/>
    <m/>
    <n v="0"/>
    <m/>
    <m/>
    <m/>
    <m/>
    <m/>
    <m/>
    <n v="33809522"/>
    <n v="33535814"/>
  </r>
  <r>
    <x v="15"/>
    <x v="30"/>
    <s v="Non need-based"/>
    <m/>
    <m/>
    <x v="12"/>
    <m/>
    <m/>
    <m/>
    <m/>
    <m/>
    <m/>
    <m/>
    <m/>
    <n v="0"/>
    <m/>
    <m/>
    <n v="0"/>
    <n v="0"/>
    <n v="0"/>
    <m/>
    <m/>
    <m/>
    <m/>
    <n v="0"/>
    <m/>
    <m/>
    <n v="0"/>
    <m/>
    <m/>
    <m/>
    <m/>
    <m/>
    <m/>
    <n v="0"/>
    <n v="0"/>
  </r>
  <r>
    <x v="15"/>
    <x v="31"/>
    <s v="Amount to private sector students"/>
    <m/>
    <m/>
    <x v="12"/>
    <m/>
    <m/>
    <m/>
    <m/>
    <m/>
    <m/>
    <m/>
    <m/>
    <n v="0"/>
    <m/>
    <m/>
    <n v="0"/>
    <n v="0"/>
    <n v="0"/>
    <m/>
    <m/>
    <m/>
    <m/>
    <n v="0"/>
    <m/>
    <m/>
    <n v="0"/>
    <m/>
    <m/>
    <m/>
    <m/>
    <m/>
    <m/>
    <n v="0"/>
    <n v="0"/>
  </r>
  <r>
    <x v="15"/>
    <x v="32"/>
    <s v="Need-based"/>
    <m/>
    <m/>
    <x v="12"/>
    <m/>
    <m/>
    <m/>
    <m/>
    <m/>
    <m/>
    <m/>
    <m/>
    <n v="0"/>
    <m/>
    <m/>
    <n v="0"/>
    <n v="0"/>
    <n v="0"/>
    <n v="4359412"/>
    <n v="4730632"/>
    <m/>
    <m/>
    <n v="0"/>
    <m/>
    <m/>
    <n v="0"/>
    <m/>
    <m/>
    <m/>
    <m/>
    <m/>
    <m/>
    <n v="4359412"/>
    <n v="4730632"/>
  </r>
  <r>
    <x v="15"/>
    <x v="33"/>
    <s v="Non need-based"/>
    <m/>
    <m/>
    <x v="12"/>
    <m/>
    <m/>
    <m/>
    <m/>
    <m/>
    <m/>
    <m/>
    <m/>
    <n v="0"/>
    <m/>
    <m/>
    <n v="0"/>
    <n v="0"/>
    <n v="0"/>
    <m/>
    <m/>
    <m/>
    <m/>
    <n v="0"/>
    <m/>
    <m/>
    <n v="0"/>
    <m/>
    <m/>
    <m/>
    <m/>
    <m/>
    <m/>
    <n v="0"/>
    <n v="0"/>
  </r>
  <r>
    <x v="15"/>
    <x v="25"/>
    <s v="PROMISE Scholarship"/>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41989420"/>
    <n v="42020426"/>
    <m/>
    <m/>
    <n v="0"/>
    <m/>
    <m/>
    <n v="0"/>
    <m/>
    <m/>
    <m/>
    <m/>
    <m/>
    <m/>
    <n v="41989420"/>
    <n v="42020426"/>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4908107"/>
    <n v="4843411"/>
    <m/>
    <m/>
    <n v="0"/>
    <m/>
    <m/>
    <n v="0"/>
    <m/>
    <m/>
    <m/>
    <m/>
    <m/>
    <m/>
    <n v="4908107"/>
    <n v="4843411"/>
  </r>
  <r>
    <x v="15"/>
    <x v="25"/>
    <s v="SREB Minority Doctoral Fellows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n v="136586"/>
    <n v="131464"/>
    <m/>
    <m/>
    <n v="0"/>
    <m/>
    <m/>
    <n v="0"/>
    <m/>
    <m/>
    <m/>
    <m/>
    <m/>
    <m/>
    <n v="136586"/>
    <n v="131464"/>
  </r>
  <r>
    <x v="15"/>
    <x v="30"/>
    <s v="Non need-based"/>
    <m/>
    <m/>
    <x v="12"/>
    <m/>
    <m/>
    <m/>
    <m/>
    <m/>
    <m/>
    <m/>
    <m/>
    <n v="0"/>
    <m/>
    <m/>
    <n v="0"/>
    <n v="0"/>
    <n v="0"/>
    <m/>
    <m/>
    <m/>
    <m/>
    <n v="0"/>
    <m/>
    <m/>
    <n v="0"/>
    <m/>
    <m/>
    <m/>
    <m/>
    <m/>
    <m/>
    <n v="0"/>
    <n v="0"/>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m/>
    <m/>
    <m/>
    <m/>
    <n v="0"/>
    <m/>
    <m/>
    <n v="0"/>
    <m/>
    <m/>
    <m/>
    <m/>
    <m/>
    <m/>
    <n v="0"/>
    <n v="0"/>
  </r>
  <r>
    <x v="15"/>
    <x v="25"/>
    <s v="Underwood-Smith Teacher Scholarship Fund"/>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277690"/>
    <n v="308246"/>
    <m/>
    <m/>
    <n v="0"/>
    <m/>
    <m/>
    <n v="0"/>
    <m/>
    <m/>
    <m/>
    <m/>
    <m/>
    <m/>
    <n v="277690"/>
    <n v="308246"/>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63452"/>
    <n v="20103"/>
    <m/>
    <m/>
    <n v="0"/>
    <m/>
    <m/>
    <n v="0"/>
    <m/>
    <m/>
    <m/>
    <m/>
    <m/>
    <m/>
    <n v="63452"/>
    <n v="20103"/>
  </r>
  <r>
    <x v="15"/>
    <x v="25"/>
    <s v="WV Engineering Science Technology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430012"/>
    <n v="406995"/>
    <m/>
    <m/>
    <n v="0"/>
    <m/>
    <m/>
    <n v="0"/>
    <m/>
    <m/>
    <m/>
    <m/>
    <m/>
    <m/>
    <n v="430012"/>
    <n v="406995"/>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40461"/>
    <n v="45836"/>
    <m/>
    <m/>
    <n v="0"/>
    <m/>
    <m/>
    <n v="0"/>
    <m/>
    <m/>
    <m/>
    <m/>
    <m/>
    <m/>
    <n v="40461"/>
    <n v="45836"/>
  </r>
  <r>
    <x v="15"/>
    <x v="25"/>
    <s v="Health Sciences Scholarship Fund"/>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m/>
    <m/>
    <m/>
    <m/>
    <n v="0"/>
    <m/>
    <m/>
    <n v="0"/>
    <m/>
    <m/>
    <m/>
    <m/>
    <m/>
    <m/>
    <n v="0"/>
    <n v="0"/>
  </r>
  <r>
    <x v="15"/>
    <x v="30"/>
    <s v="Non need-based"/>
    <m/>
    <m/>
    <x v="12"/>
    <m/>
    <m/>
    <m/>
    <m/>
    <m/>
    <m/>
    <m/>
    <m/>
    <n v="0"/>
    <m/>
    <m/>
    <n v="0"/>
    <n v="0"/>
    <n v="0"/>
    <n v="199271"/>
    <n v="198538"/>
    <m/>
    <m/>
    <n v="0"/>
    <m/>
    <m/>
    <n v="0"/>
    <m/>
    <m/>
    <m/>
    <m/>
    <m/>
    <m/>
    <n v="199271"/>
    <n v="198538"/>
  </r>
  <r>
    <x v="15"/>
    <x v="31"/>
    <s v="Amount to private sector students"/>
    <m/>
    <m/>
    <x v="12"/>
    <m/>
    <m/>
    <m/>
    <m/>
    <m/>
    <m/>
    <m/>
    <m/>
    <n v="0"/>
    <m/>
    <m/>
    <n v="0"/>
    <n v="0"/>
    <n v="0"/>
    <m/>
    <m/>
    <m/>
    <m/>
    <n v="0"/>
    <m/>
    <m/>
    <n v="0"/>
    <m/>
    <m/>
    <m/>
    <m/>
    <m/>
    <m/>
    <n v="0"/>
    <n v="0"/>
  </r>
  <r>
    <x v="15"/>
    <x v="32"/>
    <s v="Need-based"/>
    <m/>
    <m/>
    <x v="12"/>
    <m/>
    <m/>
    <m/>
    <m/>
    <m/>
    <m/>
    <m/>
    <m/>
    <n v="0"/>
    <m/>
    <m/>
    <n v="0"/>
    <n v="0"/>
    <n v="0"/>
    <m/>
    <m/>
    <m/>
    <m/>
    <n v="0"/>
    <m/>
    <m/>
    <n v="0"/>
    <m/>
    <m/>
    <m/>
    <m/>
    <m/>
    <m/>
    <n v="0"/>
    <n v="0"/>
  </r>
  <r>
    <x v="15"/>
    <x v="33"/>
    <s v="Non need-based"/>
    <m/>
    <m/>
    <x v="12"/>
    <m/>
    <m/>
    <m/>
    <m/>
    <m/>
    <m/>
    <m/>
    <m/>
    <n v="0"/>
    <m/>
    <m/>
    <n v="0"/>
    <n v="0"/>
    <n v="0"/>
    <n v="29776"/>
    <n v="22060"/>
    <m/>
    <m/>
    <n v="0"/>
    <m/>
    <m/>
    <n v="0"/>
    <m/>
    <m/>
    <m/>
    <m/>
    <m/>
    <m/>
    <n v="29776"/>
    <n v="22060"/>
  </r>
  <r>
    <x v="15"/>
    <x v="25"/>
    <s v="HEAPS Grant Program"/>
    <m/>
    <m/>
    <x v="12"/>
    <m/>
    <m/>
    <m/>
    <m/>
    <m/>
    <m/>
    <m/>
    <m/>
    <n v="0"/>
    <m/>
    <m/>
    <n v="0"/>
    <n v="0"/>
    <n v="0"/>
    <m/>
    <m/>
    <m/>
    <m/>
    <n v="0"/>
    <m/>
    <m/>
    <n v="0"/>
    <m/>
    <m/>
    <m/>
    <m/>
    <m/>
    <m/>
    <n v="0"/>
    <n v="0"/>
  </r>
  <r>
    <x v="15"/>
    <x v="28"/>
    <s v="Amount to public sector students"/>
    <m/>
    <m/>
    <x v="12"/>
    <m/>
    <m/>
    <m/>
    <m/>
    <m/>
    <m/>
    <m/>
    <m/>
    <n v="0"/>
    <m/>
    <m/>
    <n v="0"/>
    <n v="0"/>
    <n v="0"/>
    <m/>
    <m/>
    <m/>
    <m/>
    <n v="0"/>
    <m/>
    <m/>
    <n v="0"/>
    <m/>
    <m/>
    <m/>
    <m/>
    <m/>
    <m/>
    <n v="0"/>
    <n v="0"/>
  </r>
  <r>
    <x v="15"/>
    <x v="29"/>
    <s v="Need-based"/>
    <m/>
    <m/>
    <x v="12"/>
    <m/>
    <m/>
    <m/>
    <m/>
    <m/>
    <m/>
    <m/>
    <m/>
    <n v="0"/>
    <m/>
    <m/>
    <n v="0"/>
    <n v="0"/>
    <n v="0"/>
    <n v="3405513"/>
    <n v="3838573"/>
    <m/>
    <m/>
    <n v="0"/>
    <m/>
    <m/>
    <n v="0"/>
    <m/>
    <m/>
    <m/>
    <m/>
    <m/>
    <m/>
    <n v="3405513"/>
    <n v="3838573"/>
  </r>
  <r>
    <x v="15"/>
    <x v="30"/>
    <s v="Non need-based"/>
    <m/>
    <m/>
    <x v="12"/>
    <m/>
    <m/>
    <m/>
    <m/>
    <m/>
    <m/>
    <m/>
    <m/>
    <n v="0"/>
    <m/>
    <m/>
    <n v="0"/>
    <n v="0"/>
    <n v="0"/>
    <m/>
    <m/>
    <m/>
    <m/>
    <n v="0"/>
    <m/>
    <m/>
    <n v="0"/>
    <m/>
    <m/>
    <m/>
    <m/>
    <m/>
    <m/>
    <n v="0"/>
    <n v="0"/>
  </r>
  <r>
    <x v="15"/>
    <x v="31"/>
    <s v="Amount to private sector students"/>
    <m/>
    <m/>
    <x v="12"/>
    <m/>
    <m/>
    <m/>
    <m/>
    <m/>
    <m/>
    <m/>
    <m/>
    <n v="0"/>
    <m/>
    <m/>
    <n v="0"/>
    <n v="0"/>
    <n v="0"/>
    <m/>
    <m/>
    <m/>
    <m/>
    <n v="0"/>
    <m/>
    <m/>
    <n v="0"/>
    <m/>
    <m/>
    <m/>
    <m/>
    <m/>
    <m/>
    <n v="0"/>
    <n v="0"/>
  </r>
  <r>
    <x v="15"/>
    <x v="32"/>
    <s v="Need-based"/>
    <m/>
    <m/>
    <x v="12"/>
    <m/>
    <m/>
    <m/>
    <m/>
    <m/>
    <m/>
    <m/>
    <m/>
    <n v="0"/>
    <m/>
    <m/>
    <n v="0"/>
    <n v="0"/>
    <n v="0"/>
    <n v="1400455"/>
    <n v="962632"/>
    <m/>
    <m/>
    <n v="0"/>
    <m/>
    <m/>
    <n v="0"/>
    <m/>
    <m/>
    <m/>
    <m/>
    <m/>
    <m/>
    <n v="1400455"/>
    <n v="962632"/>
  </r>
  <r>
    <x v="15"/>
    <x v="33"/>
    <s v="Non need-based"/>
    <m/>
    <m/>
    <x v="12"/>
    <m/>
    <m/>
    <m/>
    <m/>
    <m/>
    <m/>
    <m/>
    <m/>
    <n v="0"/>
    <m/>
    <m/>
    <n v="0"/>
    <n v="0"/>
    <n v="0"/>
    <m/>
    <m/>
    <m/>
    <m/>
    <n v="0"/>
    <m/>
    <m/>
    <n v="0"/>
    <m/>
    <m/>
    <m/>
    <m/>
    <m/>
    <m/>
    <n v="0"/>
    <n v="0"/>
  </r>
  <r>
    <x v="15"/>
    <x v="34"/>
    <s v="Limited to public college students only"/>
    <m/>
    <m/>
    <x v="12"/>
    <m/>
    <m/>
    <m/>
    <m/>
    <m/>
    <m/>
    <m/>
    <m/>
    <n v="0"/>
    <m/>
    <m/>
    <n v="0"/>
    <n v="0"/>
    <n v="0"/>
    <m/>
    <m/>
    <m/>
    <m/>
    <n v="0"/>
    <m/>
    <m/>
    <n v="0"/>
    <m/>
    <m/>
    <m/>
    <m/>
    <m/>
    <m/>
    <n v="0"/>
    <n v="0"/>
  </r>
  <r>
    <x v="15"/>
    <x v="35"/>
    <s v="Need-based"/>
    <m/>
    <m/>
    <x v="12"/>
    <m/>
    <m/>
    <m/>
    <m/>
    <m/>
    <m/>
    <m/>
    <m/>
    <n v="0"/>
    <m/>
    <m/>
    <n v="0"/>
    <n v="0"/>
    <n v="0"/>
    <m/>
    <m/>
    <m/>
    <m/>
    <n v="0"/>
    <m/>
    <m/>
    <n v="0"/>
    <m/>
    <m/>
    <m/>
    <m/>
    <m/>
    <m/>
    <n v="0"/>
    <n v="0"/>
  </r>
  <r>
    <x v="15"/>
    <x v="36"/>
    <s v="Non need-based"/>
    <m/>
    <m/>
    <x v="12"/>
    <m/>
    <m/>
    <m/>
    <m/>
    <m/>
    <m/>
    <m/>
    <m/>
    <n v="0"/>
    <m/>
    <m/>
    <n v="0"/>
    <n v="0"/>
    <n v="0"/>
    <m/>
    <m/>
    <m/>
    <m/>
    <n v="0"/>
    <m/>
    <m/>
    <n v="0"/>
    <m/>
    <m/>
    <m/>
    <m/>
    <m/>
    <m/>
    <n v="0"/>
    <n v="0"/>
  </r>
  <r>
    <x v="15"/>
    <x v="34"/>
    <s v="Limited to private college students only"/>
    <m/>
    <m/>
    <x v="12"/>
    <m/>
    <m/>
    <m/>
    <m/>
    <m/>
    <m/>
    <m/>
    <m/>
    <n v="0"/>
    <m/>
    <m/>
    <n v="0"/>
    <n v="0"/>
    <n v="0"/>
    <m/>
    <m/>
    <m/>
    <m/>
    <n v="0"/>
    <m/>
    <m/>
    <n v="0"/>
    <m/>
    <m/>
    <m/>
    <m/>
    <m/>
    <m/>
    <n v="0"/>
    <n v="0"/>
  </r>
  <r>
    <x v="15"/>
    <x v="35"/>
    <s v="Need-based"/>
    <m/>
    <m/>
    <x v="12"/>
    <m/>
    <m/>
    <m/>
    <m/>
    <m/>
    <m/>
    <m/>
    <m/>
    <n v="0"/>
    <m/>
    <m/>
    <n v="0"/>
    <n v="0"/>
    <n v="0"/>
    <m/>
    <m/>
    <m/>
    <m/>
    <n v="0"/>
    <m/>
    <m/>
    <n v="0"/>
    <m/>
    <m/>
    <m/>
    <m/>
    <m/>
    <m/>
    <n v="0"/>
    <n v="0"/>
  </r>
  <r>
    <x v="15"/>
    <x v="36"/>
    <s v="Non need-based"/>
    <m/>
    <m/>
    <x v="12"/>
    <m/>
    <m/>
    <m/>
    <m/>
    <m/>
    <m/>
    <m/>
    <m/>
    <n v="0"/>
    <m/>
    <m/>
    <n v="0"/>
    <n v="0"/>
    <n v="0"/>
    <m/>
    <m/>
    <m/>
    <m/>
    <n v="0"/>
    <m/>
    <m/>
    <n v="0"/>
    <m/>
    <m/>
    <m/>
    <m/>
    <m/>
    <m/>
    <n v="0"/>
    <n v="0"/>
  </r>
  <r>
    <x v="15"/>
    <x v="0"/>
    <s v="Benjamin Franklin Vocational Center "/>
    <m/>
    <n v="237172"/>
    <x v="16"/>
    <n v="384949"/>
    <n v="353851"/>
    <m/>
    <m/>
    <m/>
    <m/>
    <m/>
    <m/>
    <n v="0"/>
    <m/>
    <m/>
    <n v="0"/>
    <n v="384949"/>
    <n v="353851"/>
    <m/>
    <m/>
    <m/>
    <m/>
    <n v="0"/>
    <m/>
    <m/>
    <n v="0"/>
    <m/>
    <m/>
    <m/>
    <m/>
    <m/>
    <m/>
    <n v="384949"/>
    <n v="353851"/>
  </r>
  <r>
    <x v="15"/>
    <x v="0"/>
    <s v="Boone County Career &amp; Technical Center "/>
    <m/>
    <n v="237224"/>
    <x v="16"/>
    <n v="353431"/>
    <n v="351197"/>
    <m/>
    <m/>
    <m/>
    <m/>
    <m/>
    <m/>
    <n v="0"/>
    <m/>
    <m/>
    <n v="0"/>
    <n v="353431"/>
    <n v="351197"/>
    <m/>
    <m/>
    <m/>
    <m/>
    <n v="0"/>
    <m/>
    <m/>
    <n v="0"/>
    <m/>
    <m/>
    <m/>
    <m/>
    <m/>
    <m/>
    <n v="353431"/>
    <n v="351197"/>
  </r>
  <r>
    <x v="15"/>
    <x v="0"/>
    <s v="Cabell County Vocational-Technical Center"/>
    <m/>
    <n v="237242"/>
    <x v="16"/>
    <n v="460803"/>
    <n v="481300"/>
    <m/>
    <m/>
    <m/>
    <m/>
    <m/>
    <m/>
    <n v="0"/>
    <m/>
    <m/>
    <n v="0"/>
    <n v="460803"/>
    <n v="481300"/>
    <m/>
    <m/>
    <m/>
    <m/>
    <n v="0"/>
    <m/>
    <m/>
    <n v="0"/>
    <m/>
    <m/>
    <m/>
    <m/>
    <m/>
    <m/>
    <n v="460803"/>
    <n v="481300"/>
  </r>
  <r>
    <x v="15"/>
    <x v="0"/>
    <s v="Carver Vocational Center "/>
    <m/>
    <n v="430795"/>
    <x v="16"/>
    <n v="732192"/>
    <n v="753952"/>
    <m/>
    <m/>
    <m/>
    <m/>
    <m/>
    <m/>
    <n v="0"/>
    <m/>
    <m/>
    <n v="0"/>
    <n v="732192"/>
    <n v="753952"/>
    <m/>
    <m/>
    <m/>
    <m/>
    <n v="0"/>
    <m/>
    <m/>
    <n v="0"/>
    <m/>
    <m/>
    <m/>
    <m/>
    <m/>
    <m/>
    <n v="732192"/>
    <n v="753952"/>
  </r>
  <r>
    <x v="15"/>
    <x v="0"/>
    <s v="Fayette Institute of Technology"/>
    <m/>
    <n v="413176"/>
    <x v="16"/>
    <n v="258765"/>
    <n v="308351"/>
    <m/>
    <m/>
    <m/>
    <m/>
    <m/>
    <m/>
    <n v="0"/>
    <m/>
    <m/>
    <n v="0"/>
    <n v="258765"/>
    <n v="308351"/>
    <m/>
    <m/>
    <m/>
    <m/>
    <n v="0"/>
    <m/>
    <m/>
    <n v="0"/>
    <m/>
    <m/>
    <m/>
    <m/>
    <m/>
    <m/>
    <n v="258765"/>
    <n v="308351"/>
  </r>
  <r>
    <x v="15"/>
    <x v="0"/>
    <s v="Fred W. Eberle Technical Center "/>
    <m/>
    <n v="237844"/>
    <x v="16"/>
    <n v="232717"/>
    <n v="255821"/>
    <m/>
    <m/>
    <m/>
    <m/>
    <m/>
    <m/>
    <n v="0"/>
    <m/>
    <m/>
    <n v="0"/>
    <n v="232717"/>
    <n v="255821"/>
    <m/>
    <m/>
    <m/>
    <m/>
    <n v="0"/>
    <m/>
    <m/>
    <n v="0"/>
    <m/>
    <m/>
    <m/>
    <m/>
    <m/>
    <m/>
    <n v="232717"/>
    <n v="255821"/>
  </r>
  <r>
    <x v="15"/>
    <x v="0"/>
    <s v="Garnet Career Center "/>
    <m/>
    <n v="431169"/>
    <x v="16"/>
    <n v="977319"/>
    <n v="863164"/>
    <m/>
    <m/>
    <m/>
    <m/>
    <m/>
    <m/>
    <n v="0"/>
    <m/>
    <m/>
    <n v="0"/>
    <n v="977319"/>
    <n v="863164"/>
    <m/>
    <m/>
    <m/>
    <m/>
    <n v="0"/>
    <m/>
    <m/>
    <n v="0"/>
    <m/>
    <m/>
    <m/>
    <m/>
    <m/>
    <m/>
    <n v="977319"/>
    <n v="863164"/>
  </r>
  <r>
    <x v="15"/>
    <x v="0"/>
    <s v="James Rumsey Technical Institute"/>
    <m/>
    <n v="237473"/>
    <x v="16"/>
    <n v="983838"/>
    <n v="988526"/>
    <m/>
    <m/>
    <m/>
    <m/>
    <m/>
    <m/>
    <n v="0"/>
    <m/>
    <m/>
    <n v="0"/>
    <n v="983838"/>
    <n v="988526"/>
    <m/>
    <m/>
    <m/>
    <m/>
    <n v="0"/>
    <m/>
    <m/>
    <n v="0"/>
    <m/>
    <m/>
    <m/>
    <m/>
    <m/>
    <m/>
    <n v="983838"/>
    <n v="988526"/>
  </r>
  <r>
    <x v="15"/>
    <x v="0"/>
    <s v="John D. Rockefeller IV Career Center"/>
    <m/>
    <n v="446349"/>
    <x v="16"/>
    <n v="233879"/>
    <n v="407181"/>
    <m/>
    <m/>
    <m/>
    <m/>
    <m/>
    <m/>
    <n v="0"/>
    <m/>
    <m/>
    <n v="0"/>
    <n v="233879"/>
    <n v="407181"/>
    <m/>
    <m/>
    <m/>
    <m/>
    <n v="0"/>
    <m/>
    <m/>
    <n v="0"/>
    <m/>
    <m/>
    <m/>
    <m/>
    <m/>
    <m/>
    <n v="233879"/>
    <n v="407181"/>
  </r>
  <r>
    <x v="15"/>
    <x v="0"/>
    <s v="Marion County Vocational-Technical Center"/>
    <m/>
    <n v="237516"/>
    <x v="16"/>
    <n v="174411"/>
    <n v="139144"/>
    <m/>
    <m/>
    <m/>
    <m/>
    <m/>
    <m/>
    <n v="0"/>
    <m/>
    <m/>
    <n v="0"/>
    <n v="174411"/>
    <n v="139144"/>
    <m/>
    <m/>
    <m/>
    <m/>
    <n v="0"/>
    <m/>
    <m/>
    <n v="0"/>
    <m/>
    <m/>
    <m/>
    <m/>
    <m/>
    <m/>
    <n v="174411"/>
    <n v="139144"/>
  </r>
  <r>
    <x v="15"/>
    <x v="0"/>
    <s v="McDowell County Vocational-Technical Center "/>
    <m/>
    <n v="237534"/>
    <x v="16"/>
    <n v="130809"/>
    <n v="117196"/>
    <m/>
    <m/>
    <m/>
    <m/>
    <m/>
    <m/>
    <n v="0"/>
    <m/>
    <m/>
    <n v="0"/>
    <n v="130809"/>
    <n v="117196"/>
    <m/>
    <m/>
    <m/>
    <m/>
    <n v="0"/>
    <m/>
    <m/>
    <n v="0"/>
    <m/>
    <m/>
    <m/>
    <m/>
    <m/>
    <m/>
    <n v="130809"/>
    <n v="117196"/>
  </r>
  <r>
    <x v="15"/>
    <x v="0"/>
    <s v="Mercer County Vocational-Technical Center"/>
    <m/>
    <n v="237543"/>
    <x v="16"/>
    <n v="502433"/>
    <n v="505348"/>
    <m/>
    <m/>
    <m/>
    <m/>
    <m/>
    <m/>
    <n v="0"/>
    <m/>
    <m/>
    <n v="0"/>
    <n v="502433"/>
    <n v="505348"/>
    <m/>
    <m/>
    <m/>
    <m/>
    <n v="0"/>
    <m/>
    <m/>
    <n v="0"/>
    <m/>
    <m/>
    <m/>
    <m/>
    <m/>
    <m/>
    <n v="502433"/>
    <n v="505348"/>
  </r>
  <r>
    <x v="15"/>
    <x v="0"/>
    <s v="Mineral County Vocational-Technical Center "/>
    <m/>
    <n v="368647"/>
    <x v="16"/>
    <n v="192698"/>
    <n v="177663"/>
    <m/>
    <m/>
    <m/>
    <m/>
    <m/>
    <m/>
    <n v="0"/>
    <m/>
    <m/>
    <n v="0"/>
    <n v="192698"/>
    <n v="177663"/>
    <m/>
    <m/>
    <m/>
    <m/>
    <n v="0"/>
    <m/>
    <m/>
    <n v="0"/>
    <m/>
    <m/>
    <m/>
    <m/>
    <m/>
    <m/>
    <n v="192698"/>
    <n v="177663"/>
  </r>
  <r>
    <x v="15"/>
    <x v="0"/>
    <s v="Monongalia County Technical Education Center "/>
    <m/>
    <n v="237561"/>
    <x v="16"/>
    <n v="787076"/>
    <n v="781477"/>
    <m/>
    <m/>
    <m/>
    <m/>
    <m/>
    <m/>
    <n v="0"/>
    <m/>
    <m/>
    <n v="0"/>
    <n v="787076"/>
    <n v="781477"/>
    <m/>
    <m/>
    <m/>
    <m/>
    <n v="0"/>
    <m/>
    <m/>
    <n v="0"/>
    <m/>
    <m/>
    <m/>
    <m/>
    <m/>
    <m/>
    <n v="787076"/>
    <n v="781477"/>
  </r>
  <r>
    <x v="15"/>
    <x v="0"/>
    <s v="Putnam County Vocational-Technical Center"/>
    <m/>
    <n v="419420"/>
    <x v="16"/>
    <n v="304202"/>
    <n v="296548"/>
    <m/>
    <m/>
    <m/>
    <m/>
    <m/>
    <m/>
    <n v="0"/>
    <m/>
    <m/>
    <n v="0"/>
    <n v="304202"/>
    <n v="296548"/>
    <m/>
    <m/>
    <m/>
    <m/>
    <n v="0"/>
    <m/>
    <m/>
    <n v="0"/>
    <m/>
    <m/>
    <m/>
    <m/>
    <m/>
    <m/>
    <n v="304202"/>
    <n v="296548"/>
  </r>
  <r>
    <x v="15"/>
    <x v="0"/>
    <s v="Raleigh County Academy of Careers and Technology"/>
    <m/>
    <n v="237729"/>
    <x v="16"/>
    <n v="414472"/>
    <n v="413321"/>
    <m/>
    <m/>
    <m/>
    <m/>
    <m/>
    <m/>
    <n v="0"/>
    <m/>
    <m/>
    <n v="0"/>
    <n v="414472"/>
    <n v="413321"/>
    <m/>
    <m/>
    <m/>
    <m/>
    <n v="0"/>
    <m/>
    <m/>
    <n v="0"/>
    <m/>
    <m/>
    <m/>
    <m/>
    <m/>
    <m/>
    <n v="414472"/>
    <n v="413321"/>
  </r>
  <r>
    <x v="15"/>
    <x v="0"/>
    <s v="Ralph R. Willis Vocational-Technical Center"/>
    <m/>
    <n v="237491"/>
    <x v="16"/>
    <n v="167859"/>
    <n v="170027"/>
    <m/>
    <m/>
    <m/>
    <m/>
    <m/>
    <m/>
    <n v="0"/>
    <m/>
    <m/>
    <n v="0"/>
    <n v="167859"/>
    <n v="170027"/>
    <m/>
    <m/>
    <m/>
    <m/>
    <n v="0"/>
    <m/>
    <m/>
    <n v="0"/>
    <m/>
    <m/>
    <m/>
    <m/>
    <m/>
    <m/>
    <n v="167859"/>
    <n v="170027"/>
  </r>
  <r>
    <x v="15"/>
    <x v="0"/>
    <s v="Roane-Jackson Technical Center"/>
    <m/>
    <n v="364575"/>
    <x v="16"/>
    <n v="283374"/>
    <n v="275097"/>
    <m/>
    <m/>
    <m/>
    <m/>
    <m/>
    <m/>
    <n v="0"/>
    <m/>
    <m/>
    <n v="0"/>
    <n v="283374"/>
    <n v="275097"/>
    <m/>
    <m/>
    <m/>
    <m/>
    <n v="0"/>
    <m/>
    <m/>
    <n v="0"/>
    <m/>
    <m/>
    <m/>
    <m/>
    <m/>
    <m/>
    <n v="283374"/>
    <n v="275097"/>
  </r>
  <r>
    <x v="15"/>
    <x v="0"/>
    <s v="South Branch Career &amp; Technical Center"/>
    <m/>
    <n v="441894"/>
    <x v="16"/>
    <n v="88650"/>
    <n v="75263"/>
    <m/>
    <m/>
    <m/>
    <m/>
    <m/>
    <m/>
    <n v="0"/>
    <m/>
    <m/>
    <n v="0"/>
    <n v="88650"/>
    <n v="75263"/>
    <m/>
    <m/>
    <m/>
    <m/>
    <n v="0"/>
    <m/>
    <m/>
    <n v="0"/>
    <m/>
    <m/>
    <m/>
    <m/>
    <m/>
    <m/>
    <n v="88650"/>
    <n v="75263"/>
  </r>
  <r>
    <x v="15"/>
    <x v="0"/>
    <s v="United Technical Center"/>
    <m/>
    <n v="419031"/>
    <x v="16"/>
    <n v="226199"/>
    <n v="234399"/>
    <m/>
    <m/>
    <m/>
    <m/>
    <m/>
    <m/>
    <n v="0"/>
    <m/>
    <m/>
    <n v="0"/>
    <n v="226199"/>
    <n v="234399"/>
    <m/>
    <m/>
    <m/>
    <m/>
    <n v="0"/>
    <m/>
    <m/>
    <n v="0"/>
    <m/>
    <m/>
    <m/>
    <m/>
    <m/>
    <m/>
    <n v="226199"/>
    <n v="234399"/>
  </r>
  <r>
    <x v="15"/>
    <x v="0"/>
    <s v="Greenbrier Practical School of Nursing"/>
    <m/>
    <s v="???"/>
    <x v="11"/>
    <n v="117065"/>
    <n v="157651"/>
    <m/>
    <m/>
    <m/>
    <m/>
    <m/>
    <m/>
    <n v="0"/>
    <m/>
    <m/>
    <n v="0"/>
    <n v="117065"/>
    <n v="157651"/>
    <m/>
    <m/>
    <m/>
    <m/>
    <n v="0"/>
    <m/>
    <m/>
    <n v="0"/>
    <m/>
    <m/>
    <m/>
    <m/>
    <m/>
    <m/>
    <n v="117065"/>
    <n v="157651"/>
  </r>
  <r>
    <x v="15"/>
    <x v="0"/>
    <s v="Mingo County Extended Learning Center"/>
    <m/>
    <s v="???"/>
    <x v="11"/>
    <n v="263591"/>
    <n v="230812"/>
    <m/>
    <m/>
    <m/>
    <m/>
    <m/>
    <m/>
    <n v="0"/>
    <m/>
    <m/>
    <n v="0"/>
    <n v="263591"/>
    <n v="230812"/>
    <m/>
    <m/>
    <m/>
    <m/>
    <n v="0"/>
    <m/>
    <m/>
    <n v="0"/>
    <m/>
    <m/>
    <m/>
    <m/>
    <m/>
    <m/>
    <n v="263591"/>
    <n v="230812"/>
  </r>
  <r>
    <x v="15"/>
    <x v="0"/>
    <s v="Randolph County Career Technical Center"/>
    <m/>
    <s v="???"/>
    <x v="11"/>
    <n v="135055"/>
    <n v="168629"/>
    <m/>
    <m/>
    <m/>
    <m/>
    <m/>
    <m/>
    <n v="0"/>
    <m/>
    <m/>
    <n v="0"/>
    <n v="135055"/>
    <n v="168629"/>
    <m/>
    <m/>
    <m/>
    <m/>
    <n v="0"/>
    <m/>
    <m/>
    <n v="0"/>
    <m/>
    <m/>
    <m/>
    <m/>
    <m/>
    <m/>
    <n v="135055"/>
    <n v="168629"/>
  </r>
  <r>
    <x v="15"/>
    <x v="0"/>
    <s v="Summers County School of Nursing"/>
    <m/>
    <s v="???"/>
    <x v="11"/>
    <n v="145761"/>
    <n v="148143"/>
    <m/>
    <m/>
    <m/>
    <m/>
    <m/>
    <m/>
    <n v="0"/>
    <m/>
    <m/>
    <n v="0"/>
    <n v="145761"/>
    <n v="148143"/>
    <m/>
    <m/>
    <m/>
    <m/>
    <n v="0"/>
    <m/>
    <m/>
    <n v="0"/>
    <m/>
    <m/>
    <m/>
    <m/>
    <m/>
    <m/>
    <n v="145761"/>
    <n v="148143"/>
  </r>
  <r>
    <x v="15"/>
    <x v="0"/>
    <s v="Wood County School of Practical Nursing"/>
    <m/>
    <n v="238096"/>
    <x v="11"/>
    <n v="269947"/>
    <n v="419032"/>
    <m/>
    <m/>
    <m/>
    <m/>
    <m/>
    <m/>
    <n v="0"/>
    <m/>
    <m/>
    <n v="0"/>
    <n v="269947"/>
    <n v="419032"/>
    <m/>
    <m/>
    <m/>
    <m/>
    <n v="0"/>
    <m/>
    <m/>
    <n v="0"/>
    <m/>
    <m/>
    <m/>
    <m/>
    <m/>
    <m/>
    <n v="269947"/>
    <n v="419032"/>
  </r>
  <r>
    <x v="15"/>
    <x v="0"/>
    <s v="Wyoming County "/>
    <m/>
    <s v="???"/>
    <x v="11"/>
    <n v="156941"/>
    <n v="164301"/>
    <m/>
    <m/>
    <m/>
    <m/>
    <m/>
    <m/>
    <n v="0"/>
    <m/>
    <m/>
    <n v="0"/>
    <n v="156941"/>
    <n v="164301"/>
    <m/>
    <m/>
    <m/>
    <m/>
    <n v="0"/>
    <m/>
    <m/>
    <n v="0"/>
    <m/>
    <m/>
    <m/>
    <m/>
    <m/>
    <m/>
    <n v="156941"/>
    <n v="1643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dataOnRows="1" applyNumberFormats="0" applyBorderFormats="0" applyFontFormats="0" applyPatternFormats="0" applyAlignmentFormats="0" applyWidthHeightFormats="1" dataCaption="Data" grandTotalCaption="Grand Total" updatedVersion="6" minRefreshableVersion="3" showMemberPropertyTips="0" itemPrintTitles="1" createdVersion="3" indent="0" compact="0" compactData="0" gridDropZones="1">
  <location ref="A3:W668" firstHeaderRow="1" firstDataRow="3" firstDataCol="2"/>
  <pivotFields count="51">
    <pivotField axis="axisRow" compact="0" outline="0" subtotalTop="0" showAll="0" includeNewItemsInFilter="1" sortType="ascending">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19">
        <item x="0"/>
        <item x="1"/>
        <item x="2"/>
        <item x="3"/>
        <item x="4"/>
        <item x="5"/>
        <item x="14"/>
        <item x="6"/>
        <item x="7"/>
        <item x="8"/>
        <item x="15"/>
        <item x="9"/>
        <item x="10"/>
        <item x="16"/>
        <item x="11"/>
        <item x="12"/>
        <item h="1" m="1" x="17"/>
        <item h="1" x="13"/>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howAll="0" defaultSubtotal="0"/>
    <pivotField dataField="1"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8">
        <item n="Four-Year" x="3"/>
        <item n="Two-Year" x="4"/>
        <item n="Technical" x="6"/>
        <item n="Specialized" x="1"/>
        <item n="Other" sd="0" x="0"/>
        <item h="1" x="2"/>
        <item h="1" x="5"/>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2"/>
  </rowFields>
  <rowItems count="663">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i t="grand" i="36">
      <x/>
    </i>
    <i t="grand" i="37">
      <x/>
    </i>
    <i t="grand" i="38">
      <x/>
    </i>
  </rowItems>
  <colFields count="2">
    <field x="45"/>
    <field x="5"/>
  </colFields>
  <colItems count="21">
    <i>
      <x/>
      <x/>
    </i>
    <i r="1">
      <x v="1"/>
    </i>
    <i r="1">
      <x v="2"/>
    </i>
    <i r="1">
      <x v="3"/>
    </i>
    <i r="1">
      <x v="4"/>
    </i>
    <i r="1">
      <x v="5"/>
    </i>
    <i t="default">
      <x/>
    </i>
    <i>
      <x v="1"/>
      <x v="6"/>
    </i>
    <i r="1">
      <x v="7"/>
    </i>
    <i r="1">
      <x v="8"/>
    </i>
    <i r="1">
      <x v="9"/>
    </i>
    <i r="1">
      <x v="10"/>
    </i>
    <i t="default">
      <x v="1"/>
    </i>
    <i>
      <x v="2"/>
      <x v="11"/>
    </i>
    <i r="1">
      <x v="12"/>
    </i>
    <i r="1">
      <x v="13"/>
    </i>
    <i t="default">
      <x v="2"/>
    </i>
    <i>
      <x v="3"/>
      <x v="14"/>
    </i>
    <i t="default">
      <x v="3"/>
    </i>
    <i>
      <x v="4"/>
    </i>
    <i t="grand">
      <x/>
    </i>
  </colItems>
  <dataFields count="39">
    <dataField name="Sum of State Gen Purp-Old" fld="6" baseField="0" baseItem="0" numFmtId="37"/>
    <dataField name="Sum of State Gen Purp-New" fld="7" baseField="0" baseItem="0" numFmtId="37"/>
    <dataField name=" % change in state gen purp" fld="41" baseField="0" baseItem="0" numFmtId="37"/>
    <dataField name="Sum of State Ed Spec Purp-Old" fld="8" baseField="0" baseItem="0" numFmtId="37"/>
    <dataField name="Sum of State Ed Spec Purp-New" fld="9" baseField="0" baseItem="0" numFmtId="37"/>
    <dataField name=" % change in state ed spec purp" fld="40" baseField="0" baseItem="0" numFmtId="37"/>
    <dataField name="Sum of Local-Old" fld="10" baseField="0" baseItem="0" numFmtId="37"/>
    <dataField name="Sum of Local-New" fld="11" baseField="0" baseItem="0" numFmtId="37"/>
    <dataField name=" % change in local" fld="39" baseField="0" baseItem="0" numFmtId="37"/>
    <dataField name="Sum of Tuition Ops-Old" fld="12" baseField="0" baseItem="0" numFmtId="37"/>
    <dataField name="Sum of Tuition Ops-New" fld="15" baseField="0" baseItem="0" numFmtId="37"/>
    <dataField name=" % change in tuition ops" fld="38" baseField="0" baseItem="0" numFmtId="37"/>
    <dataField name="Sum of Tuition Debt-Old" fld="13" baseField="0" baseItem="0" numFmtId="37"/>
    <dataField name="Sum of Tuition Debt-New" fld="16" baseField="0" baseItem="0" numFmtId="37"/>
    <dataField name=" % change in tuition debt" fld="44" baseField="0" baseItem="0" numFmtId="37"/>
    <dataField name="Sum of Tuition Tot-Old" fld="14" baseField="0" baseItem="0" numFmtId="37"/>
    <dataField name="Sum of Tuition Tot-New" fld="17" baseField="0" baseItem="0" numFmtId="37"/>
    <dataField name=" % change in tuition total" fld="43" baseField="0" baseItem="0" numFmtId="37"/>
    <dataField name="Sum of Other Spec Purp State-Old" fld="20" baseField="0" baseItem="0" numFmtId="37"/>
    <dataField name="Sum of Other Spec Purp State-New" fld="21" baseField="0" baseItem="0" numFmtId="37"/>
    <dataField name=" % change in other spec purp state" fld="42" baseField="0" baseItem="0" numFmtId="37"/>
    <dataField name="Sum of Tuition SP Ops-Old" fld="22" baseField="0" baseItem="0" numFmtId="37"/>
    <dataField name="Sum of Tuition SP Ops-New" fld="25" baseField="0" baseItem="0" numFmtId="37"/>
    <dataField name=" % change in tuition sp ops" fld="49" baseField="0" baseItem="0" numFmtId="37"/>
    <dataField name="Sum of Tuition SP Debt-Old" fld="23" baseField="0" baseItem="0" numFmtId="37"/>
    <dataField name="Sum of Tuition SP Debt-New" fld="26" baseField="0" baseItem="0" numFmtId="37"/>
    <dataField name=" % change in tuition sp debt" fld="48" baseField="0" baseItem="0" numFmtId="37"/>
    <dataField name="Sum of Tuition SP Tot-Old" fld="24" baseField="0" baseItem="0" numFmtId="37"/>
    <dataField name="Sum of Tuition SP Tot-New" fld="27" baseField="0" baseItem="0" numFmtId="37"/>
    <dataField name=" % change in tuition sp total" fld="47" baseField="0" baseItem="0" numFmtId="37"/>
    <dataField name="Sum of Health State-Old" fld="28" baseField="0" baseItem="0" numFmtId="37"/>
    <dataField name="Sum of Health State-New" fld="29" baseField="0" baseItem="0" numFmtId="37"/>
    <dataField name=" % change in health state" fld="46" baseField="0" baseItem="0" numFmtId="37"/>
    <dataField name="Sum of Health Tuition-Old" fld="30" baseField="0" baseItem="0" numFmtId="37"/>
    <dataField name="Sum of Health Tuition-New" fld="32" baseField="0" baseItem="0" numFmtId="37"/>
    <dataField name=" % change in health tuition" fld="36" baseField="0" baseItem="0" numFmtId="37"/>
    <dataField name="Sum of Total E&amp;G-Old" fld="18" baseField="0" baseItem="0" numFmtId="37"/>
    <dataField name="Sum of Total E&amp;G-New" fld="19" baseField="0" baseItem="0" numFmtId="37"/>
    <dataField name=" % change in total E&amp;G funds" fld="50" baseField="0" baseItem="0" numFmtId="37"/>
  </dataFields>
  <formats count="447">
    <format dxfId="3012">
      <pivotArea outline="0" fieldPosition="0"/>
    </format>
    <format dxfId="3011">
      <pivotArea outline="0" fieldPosition="0">
        <references count="4">
          <reference field="4294967294" count="3" selected="0">
            <x v="9"/>
            <x v="10"/>
            <x v="11"/>
          </reference>
          <reference field="0" count="1" selected="0">
            <x v="9"/>
          </reference>
          <reference field="5" count="1" selected="0">
            <x v="4"/>
          </reference>
          <reference field="45" count="1" selected="0">
            <x v="0"/>
          </reference>
        </references>
      </pivotArea>
    </format>
    <format dxfId="3010">
      <pivotArea outline="0" fieldPosition="0">
        <references count="4">
          <reference field="4294967294" count="3" selected="0">
            <x v="3"/>
            <x v="4"/>
            <x v="5"/>
          </reference>
          <reference field="0" count="1" selected="0">
            <x v="9"/>
          </reference>
          <reference field="5" count="1" selected="0">
            <x v="7"/>
          </reference>
          <reference field="45" count="1" selected="0">
            <x v="1"/>
          </reference>
        </references>
      </pivotArea>
    </format>
    <format dxfId="3009">
      <pivotArea outline="0" fieldPosition="0">
        <references count="4">
          <reference field="4294967294" count="3" selected="0">
            <x v="3"/>
            <x v="4"/>
            <x v="5"/>
          </reference>
          <reference field="0" count="1" selected="0">
            <x v="9"/>
          </reference>
          <reference field="5" count="1" selected="0">
            <x v="8"/>
          </reference>
          <reference field="45" count="1" selected="0">
            <x v="1"/>
          </reference>
        </references>
      </pivotArea>
    </format>
    <format dxfId="3008">
      <pivotArea outline="0" fieldPosition="0">
        <references count="4">
          <reference field="4294967294" count="3" selected="0">
            <x v="3"/>
            <x v="4"/>
            <x v="5"/>
          </reference>
          <reference field="0" count="1" selected="0">
            <x v="9"/>
          </reference>
          <reference field="5" count="1" selected="0">
            <x v="9"/>
          </reference>
          <reference field="45" count="1" selected="0">
            <x v="1"/>
          </reference>
        </references>
      </pivotArea>
    </format>
    <format dxfId="3007">
      <pivotArea outline="0" fieldPosition="0">
        <references count="3">
          <reference field="4294967294" count="3" selected="0">
            <x v="3"/>
            <x v="4"/>
            <x v="5"/>
          </reference>
          <reference field="0" count="1" selected="0">
            <x v="9"/>
          </reference>
          <reference field="45" count="1" selected="0">
            <x v="4"/>
          </reference>
        </references>
      </pivotArea>
    </format>
    <format dxfId="3006">
      <pivotArea type="all" dataOnly="0" outline="0" fieldPosition="0"/>
    </format>
    <format dxfId="3005">
      <pivotArea outline="0" fieldPosition="0">
        <references count="1">
          <reference field="45" count="1" selected="0" defaultSubtotal="1">
            <x v="0"/>
          </reference>
        </references>
      </pivotArea>
    </format>
    <format dxfId="3004">
      <pivotArea dataOnly="0" labelOnly="1" outline="0" fieldPosition="0">
        <references count="1">
          <reference field="45" count="1" defaultSubtotal="1">
            <x v="0"/>
          </reference>
        </references>
      </pivotArea>
    </format>
    <format dxfId="3003">
      <pivotArea outline="0" fieldPosition="0">
        <references count="1">
          <reference field="45" count="1" selected="0" defaultSubtotal="1">
            <x v="1"/>
          </reference>
        </references>
      </pivotArea>
    </format>
    <format dxfId="3002">
      <pivotArea dataOnly="0" labelOnly="1" outline="0" fieldPosition="0">
        <references count="1">
          <reference field="45" count="1" defaultSubtotal="1">
            <x v="1"/>
          </reference>
        </references>
      </pivotArea>
    </format>
    <format dxfId="3001">
      <pivotArea outline="0" fieldPosition="0">
        <references count="1">
          <reference field="45" count="1" selected="0">
            <x v="4"/>
          </reference>
        </references>
      </pivotArea>
    </format>
    <format dxfId="3000">
      <pivotArea type="topRight" dataOnly="0" labelOnly="1" outline="0" offset="R1" fieldPosition="0"/>
    </format>
    <format dxfId="2999">
      <pivotArea dataOnly="0" labelOnly="1" outline="0" fieldPosition="0">
        <references count="1">
          <reference field="45" count="1">
            <x v="4"/>
          </reference>
        </references>
      </pivotArea>
    </format>
    <format dxfId="2998">
      <pivotArea outline="0" fieldPosition="0">
        <references count="1">
          <reference field="45" count="1" selected="0" defaultSubtotal="1">
            <x v="0"/>
          </reference>
        </references>
      </pivotArea>
    </format>
    <format dxfId="2997">
      <pivotArea field="45" type="button" dataOnly="0" labelOnly="1" outline="0" axis="axisCol" fieldPosition="0"/>
    </format>
    <format dxfId="2996">
      <pivotArea field="5" type="button" dataOnly="0" labelOnly="1" outline="0" axis="axisCol" fieldPosition="1"/>
    </format>
    <format dxfId="2995">
      <pivotArea type="topRight" dataOnly="0" labelOnly="1" outline="0" fieldPosition="0"/>
    </format>
    <format dxfId="2994">
      <pivotArea dataOnly="0" labelOnly="1" outline="0" fieldPosition="0">
        <references count="1">
          <reference field="45" count="1">
            <x v="0"/>
          </reference>
        </references>
      </pivotArea>
    </format>
    <format dxfId="2993">
      <pivotArea dataOnly="0" labelOnly="1" outline="0" fieldPosition="0">
        <references count="1">
          <reference field="45" count="1" defaultSubtotal="1">
            <x v="0"/>
          </reference>
        </references>
      </pivotArea>
    </format>
    <format dxfId="2992">
      <pivotArea dataOnly="0" labelOnly="1" outline="0" fieldPosition="0">
        <references count="2">
          <reference field="5" count="6">
            <x v="0"/>
            <x v="1"/>
            <x v="2"/>
            <x v="3"/>
            <x v="4"/>
            <x v="5"/>
          </reference>
          <reference field="45" count="1" selected="0">
            <x v="0"/>
          </reference>
        </references>
      </pivotArea>
    </format>
    <format dxfId="2991">
      <pivotArea outline="0" fieldPosition="0">
        <references count="2">
          <reference field="5" count="1" selected="0">
            <x v="6"/>
          </reference>
          <reference field="45" count="1" selected="0">
            <x v="1"/>
          </reference>
        </references>
      </pivotArea>
    </format>
    <format dxfId="2990">
      <pivotArea type="topRight" dataOnly="0" labelOnly="1" outline="0" offset="F1" fieldPosition="0"/>
    </format>
    <format dxfId="2989">
      <pivotArea dataOnly="0" labelOnly="1" outline="0" offset="A256" fieldPosition="0">
        <references count="1">
          <reference field="45" count="1">
            <x v="1"/>
          </reference>
        </references>
      </pivotArea>
    </format>
    <format dxfId="2988">
      <pivotArea dataOnly="0" labelOnly="1" outline="0" fieldPosition="0">
        <references count="2">
          <reference field="5" count="1">
            <x v="6"/>
          </reference>
          <reference field="45" count="1" selected="0">
            <x v="1"/>
          </reference>
        </references>
      </pivotArea>
    </format>
    <format dxfId="2987">
      <pivotArea outline="0" fieldPosition="0">
        <references count="2">
          <reference field="5" count="1" selected="0">
            <x v="7"/>
          </reference>
          <reference field="45" count="1" selected="0">
            <x v="1"/>
          </reference>
        </references>
      </pivotArea>
    </format>
    <format dxfId="2986">
      <pivotArea type="topRight" dataOnly="0" labelOnly="1" outline="0" offset="G1" fieldPosition="0"/>
    </format>
    <format dxfId="2985">
      <pivotArea dataOnly="0" labelOnly="1" outline="0" offset="B256" fieldPosition="0">
        <references count="1">
          <reference field="45" count="1">
            <x v="1"/>
          </reference>
        </references>
      </pivotArea>
    </format>
    <format dxfId="2984">
      <pivotArea dataOnly="0" labelOnly="1" outline="0" fieldPosition="0">
        <references count="2">
          <reference field="5" count="1">
            <x v="7"/>
          </reference>
          <reference field="45" count="1" selected="0">
            <x v="1"/>
          </reference>
        </references>
      </pivotArea>
    </format>
    <format dxfId="2983">
      <pivotArea outline="0" fieldPosition="0">
        <references count="2">
          <reference field="5" count="1" selected="0">
            <x v="8"/>
          </reference>
          <reference field="45" count="1" selected="0">
            <x v="1"/>
          </reference>
        </references>
      </pivotArea>
    </format>
    <format dxfId="2982">
      <pivotArea type="topRight" dataOnly="0" labelOnly="1" outline="0" offset="H1" fieldPosition="0"/>
    </format>
    <format dxfId="2981">
      <pivotArea dataOnly="0" labelOnly="1" outline="0" offset="C256" fieldPosition="0">
        <references count="1">
          <reference field="45" count="1">
            <x v="1"/>
          </reference>
        </references>
      </pivotArea>
    </format>
    <format dxfId="2980">
      <pivotArea dataOnly="0" labelOnly="1" outline="0" fieldPosition="0">
        <references count="2">
          <reference field="5" count="1">
            <x v="8"/>
          </reference>
          <reference field="45" count="1" selected="0">
            <x v="1"/>
          </reference>
        </references>
      </pivotArea>
    </format>
    <format dxfId="2979">
      <pivotArea outline="0" fieldPosition="0">
        <references count="2">
          <reference field="5" count="1" selected="0">
            <x v="9"/>
          </reference>
          <reference field="45" count="1" selected="0">
            <x v="1"/>
          </reference>
        </references>
      </pivotArea>
    </format>
    <format dxfId="2978">
      <pivotArea type="topRight" dataOnly="0" labelOnly="1" outline="0" offset="I1" fieldPosition="0"/>
    </format>
    <format dxfId="2977">
      <pivotArea dataOnly="0" labelOnly="1" outline="0" offset="D256" fieldPosition="0">
        <references count="1">
          <reference field="45" count="1">
            <x v="1"/>
          </reference>
        </references>
      </pivotArea>
    </format>
    <format dxfId="2976">
      <pivotArea dataOnly="0" labelOnly="1" outline="0" fieldPosition="0">
        <references count="2">
          <reference field="5" count="1">
            <x v="9"/>
          </reference>
          <reference field="45" count="1" selected="0">
            <x v="1"/>
          </reference>
        </references>
      </pivotArea>
    </format>
    <format dxfId="2975">
      <pivotArea outline="0" fieldPosition="0">
        <references count="2">
          <reference field="5" count="1" selected="0">
            <x v="10"/>
          </reference>
          <reference field="45" count="1" selected="0">
            <x v="1"/>
          </reference>
        </references>
      </pivotArea>
    </format>
    <format dxfId="2974">
      <pivotArea type="topRight" dataOnly="0" labelOnly="1" outline="0" offset="J1" fieldPosition="0"/>
    </format>
    <format dxfId="2973">
      <pivotArea dataOnly="0" labelOnly="1" outline="0" offset="IV256" fieldPosition="0">
        <references count="1">
          <reference field="45" count="1">
            <x v="1"/>
          </reference>
        </references>
      </pivotArea>
    </format>
    <format dxfId="2972">
      <pivotArea dataOnly="0" labelOnly="1" outline="0" fieldPosition="0">
        <references count="2">
          <reference field="5" count="1">
            <x v="10"/>
          </reference>
          <reference field="45" count="1" selected="0">
            <x v="1"/>
          </reference>
        </references>
      </pivotArea>
    </format>
    <format dxfId="2971">
      <pivotArea outline="0" fieldPosition="0">
        <references count="1">
          <reference field="45" count="1" selected="0" defaultSubtotal="1">
            <x v="1"/>
          </reference>
        </references>
      </pivotArea>
    </format>
    <format dxfId="2970">
      <pivotArea type="topRight" dataOnly="0" labelOnly="1" outline="0" offset="K1" fieldPosition="0"/>
    </format>
    <format dxfId="2969">
      <pivotArea dataOnly="0" labelOnly="1" outline="0" fieldPosition="0">
        <references count="1">
          <reference field="45" count="1" defaultSubtotal="1">
            <x v="1"/>
          </reference>
        </references>
      </pivotArea>
    </format>
    <format dxfId="2968">
      <pivotArea outline="0" fieldPosition="0">
        <references count="4">
          <reference field="4294967294" count="3" selected="0">
            <x v="3"/>
            <x v="4"/>
            <x v="5"/>
          </reference>
          <reference field="0" count="1" selected="0">
            <x v="9"/>
          </reference>
          <reference field="5" count="2" selected="0">
            <x v="2"/>
            <x v="3"/>
          </reference>
          <reference field="45" count="1" selected="0">
            <x v="0"/>
          </reference>
        </references>
      </pivotArea>
    </format>
    <format dxfId="2967">
      <pivotArea outline="0" fieldPosition="0">
        <references count="4">
          <reference field="4294967294" count="3" selected="0">
            <x v="9"/>
            <x v="10"/>
            <x v="11"/>
          </reference>
          <reference field="0" count="1" selected="0">
            <x v="9"/>
          </reference>
          <reference field="5" count="3" selected="0">
            <x v="0"/>
            <x v="1"/>
            <x v="2"/>
          </reference>
          <reference field="45" count="1" selected="0">
            <x v="0"/>
          </reference>
        </references>
      </pivotArea>
    </format>
    <format dxfId="2966">
      <pivotArea outline="0" fieldPosition="0">
        <references count="4">
          <reference field="4294967294" count="1" selected="0">
            <x v="12"/>
          </reference>
          <reference field="0" count="1" selected="0">
            <x v="9"/>
          </reference>
          <reference field="5" count="1" selected="0">
            <x v="0"/>
          </reference>
          <reference field="45" count="1" selected="0">
            <x v="0"/>
          </reference>
        </references>
      </pivotArea>
    </format>
    <format dxfId="2965">
      <pivotArea outline="0" fieldPosition="0">
        <references count="4">
          <reference field="4294967294" count="3" selected="0">
            <x v="33"/>
            <x v="34"/>
            <x v="35"/>
          </reference>
          <reference field="0" count="1" selected="0">
            <x v="9"/>
          </reference>
          <reference field="5" count="1" selected="0">
            <x v="2"/>
          </reference>
          <reference field="45" count="1" selected="0">
            <x v="0"/>
          </reference>
        </references>
      </pivotArea>
    </format>
    <format dxfId="2964">
      <pivotArea outline="0" fieldPosition="0">
        <references count="4">
          <reference field="4294967294" count="1" selected="0">
            <x v="0"/>
          </reference>
          <reference field="0" count="1" selected="0">
            <x v="9"/>
          </reference>
          <reference field="5" count="1" selected="0">
            <x v="0"/>
          </reference>
          <reference field="45" count="1" selected="0">
            <x v="0"/>
          </reference>
        </references>
      </pivotArea>
    </format>
    <format dxfId="2963">
      <pivotArea outline="0" fieldPosition="0">
        <references count="4">
          <reference field="4294967294" count="3" selected="0">
            <x v="0"/>
            <x v="1"/>
            <x v="2"/>
          </reference>
          <reference field="0" count="1" selected="0">
            <x v="9"/>
          </reference>
          <reference field="5" count="1" selected="0">
            <x v="3"/>
          </reference>
          <reference field="45" count="1" selected="0">
            <x v="0"/>
          </reference>
        </references>
      </pivotArea>
    </format>
    <format dxfId="2962">
      <pivotArea outline="0" fieldPosition="0">
        <references count="4">
          <reference field="4294967294" count="3" selected="0">
            <x v="9"/>
            <x v="10"/>
            <x v="11"/>
          </reference>
          <reference field="0" count="1" selected="0">
            <x v="9"/>
          </reference>
          <reference field="5" count="1" selected="0">
            <x v="3"/>
          </reference>
          <reference field="45" count="1" selected="0">
            <x v="0"/>
          </reference>
        </references>
      </pivotArea>
    </format>
    <format dxfId="2961">
      <pivotArea outline="0" fieldPosition="0">
        <references count="4">
          <reference field="4294967294" count="1" selected="0">
            <x v="0"/>
          </reference>
          <reference field="0" count="1" selected="0">
            <x v="9"/>
          </reference>
          <reference field="5" count="1" selected="0">
            <x v="6"/>
          </reference>
          <reference field="45" count="1" selected="0">
            <x v="1"/>
          </reference>
        </references>
      </pivotArea>
    </format>
    <format dxfId="2960">
      <pivotArea outline="0" fieldPosition="0">
        <references count="4">
          <reference field="4294967294" count="3" selected="0">
            <x v="6"/>
            <x v="7"/>
            <x v="8"/>
          </reference>
          <reference field="0" count="1" selected="0">
            <x v="9"/>
          </reference>
          <reference field="5" count="1" selected="0">
            <x v="7"/>
          </reference>
          <reference field="45" count="1" selected="0">
            <x v="1"/>
          </reference>
        </references>
      </pivotArea>
    </format>
    <format dxfId="2959">
      <pivotArea dataOnly="0" labelOnly="1" outline="0" offset="IV256" fieldPosition="0">
        <references count="1">
          <reference field="0" count="1">
            <x v="9"/>
          </reference>
        </references>
      </pivotArea>
    </format>
    <format dxfId="2958">
      <pivotArea dataOnly="0" labelOnly="1" outline="0" fieldPosition="0">
        <references count="2">
          <reference field="5" count="1">
            <x v="9"/>
          </reference>
          <reference field="45" count="1" selected="0">
            <x v="1"/>
          </reference>
        </references>
      </pivotArea>
    </format>
    <format dxfId="2957">
      <pivotArea outline="0" fieldPosition="0">
        <references count="4">
          <reference field="4294967294" count="3" selected="0">
            <x v="0"/>
            <x v="1"/>
            <x v="2"/>
          </reference>
          <reference field="0" count="1" selected="0">
            <x v="9"/>
          </reference>
          <reference field="5" count="1" selected="0">
            <x v="5"/>
          </reference>
          <reference field="45" count="1" selected="0">
            <x v="0"/>
          </reference>
        </references>
      </pivotArea>
    </format>
    <format dxfId="2956">
      <pivotArea outline="0" fieldPosition="0">
        <references count="4">
          <reference field="4294967294" count="3" selected="0">
            <x v="0"/>
            <x v="1"/>
            <x v="2"/>
          </reference>
          <reference field="0" count="1" selected="0">
            <x v="9"/>
          </reference>
          <reference field="5" count="1" selected="0">
            <x v="1"/>
          </reference>
          <reference field="45" count="1" selected="0">
            <x v="0"/>
          </reference>
        </references>
      </pivotArea>
    </format>
    <format dxfId="2955">
      <pivotArea outline="0" fieldPosition="0">
        <references count="4">
          <reference field="4294967294" count="3" selected="0">
            <x v="9"/>
            <x v="10"/>
            <x v="11"/>
          </reference>
          <reference field="0" count="1" selected="0">
            <x v="9"/>
          </reference>
          <reference field="5" count="1" selected="0">
            <x v="3"/>
          </reference>
          <reference field="45" count="1" selected="0">
            <x v="0"/>
          </reference>
        </references>
      </pivotArea>
    </format>
    <format dxfId="2954">
      <pivotArea outline="0" fieldPosition="0">
        <references count="4">
          <reference field="4294967294" count="3" selected="0">
            <x v="9"/>
            <x v="10"/>
            <x v="11"/>
          </reference>
          <reference field="0" count="1" selected="0">
            <x v="9"/>
          </reference>
          <reference field="5" count="1" selected="0">
            <x v="4"/>
          </reference>
          <reference field="45" count="1" selected="0">
            <x v="0"/>
          </reference>
        </references>
      </pivotArea>
    </format>
    <format dxfId="2953">
      <pivotArea outline="0" fieldPosition="0">
        <references count="4">
          <reference field="4294967294" count="3" selected="0">
            <x v="9"/>
            <x v="10"/>
            <x v="11"/>
          </reference>
          <reference field="0" count="1" selected="0">
            <x v="9"/>
          </reference>
          <reference field="5" count="1" selected="0">
            <x v="5"/>
          </reference>
          <reference field="45" count="1" selected="0">
            <x v="0"/>
          </reference>
        </references>
      </pivotArea>
    </format>
    <format dxfId="2952">
      <pivotArea outline="0" fieldPosition="0">
        <references count="4">
          <reference field="4294967294" count="3" selected="0">
            <x v="9"/>
            <x v="10"/>
            <x v="11"/>
          </reference>
          <reference field="0" count="1" selected="0">
            <x v="9"/>
          </reference>
          <reference field="5" count="1" selected="0">
            <x v="7"/>
          </reference>
          <reference field="45" count="1" selected="0">
            <x v="1"/>
          </reference>
        </references>
      </pivotArea>
    </format>
    <format dxfId="2951">
      <pivotArea outline="0" fieldPosition="0">
        <references count="4">
          <reference field="4294967294" count="3" selected="0">
            <x v="9"/>
            <x v="10"/>
            <x v="11"/>
          </reference>
          <reference field="0" count="1" selected="0">
            <x v="9"/>
          </reference>
          <reference field="5" count="1" selected="0">
            <x v="8"/>
          </reference>
          <reference field="45" count="1" selected="0">
            <x v="1"/>
          </reference>
        </references>
      </pivotArea>
    </format>
    <format dxfId="2950">
      <pivotArea outline="0" fieldPosition="0">
        <references count="4">
          <reference field="4294967294" count="3" selected="0">
            <x v="9"/>
            <x v="10"/>
            <x v="11"/>
          </reference>
          <reference field="0" count="1" selected="0">
            <x v="9"/>
          </reference>
          <reference field="5" count="1" selected="0">
            <x v="9"/>
          </reference>
          <reference field="45" count="1" selected="0">
            <x v="1"/>
          </reference>
        </references>
      </pivotArea>
    </format>
    <format dxfId="2949">
      <pivotArea outline="0" fieldPosition="0">
        <references count="4">
          <reference field="4294967294" count="3" selected="0">
            <x v="18"/>
            <x v="19"/>
            <x v="20"/>
          </reference>
          <reference field="0" count="1" selected="0">
            <x v="9"/>
          </reference>
          <reference field="5" count="3" selected="0">
            <x v="7"/>
            <x v="8"/>
            <x v="9"/>
          </reference>
          <reference field="45" count="1" selected="0">
            <x v="1"/>
          </reference>
        </references>
      </pivotArea>
    </format>
    <format dxfId="2948">
      <pivotArea type="all" dataOnly="0" outline="0" fieldPosition="0"/>
    </format>
    <format dxfId="2947">
      <pivotArea dataOnly="0" labelOnly="1" outline="0" fieldPosition="0">
        <references count="2">
          <reference field="5" count="1">
            <x v="1"/>
          </reference>
          <reference field="45" count="1" selected="0">
            <x v="0"/>
          </reference>
        </references>
      </pivotArea>
    </format>
    <format dxfId="2946">
      <pivotArea dataOnly="0" labelOnly="1" outline="0" fieldPosition="0">
        <references count="2">
          <reference field="5" count="1">
            <x v="2"/>
          </reference>
          <reference field="45" count="1" selected="0">
            <x v="0"/>
          </reference>
        </references>
      </pivotArea>
    </format>
    <format dxfId="2945">
      <pivotArea dataOnly="0" labelOnly="1" outline="0" fieldPosition="0">
        <references count="2">
          <reference field="5" count="1">
            <x v="3"/>
          </reference>
          <reference field="45" count="1" selected="0">
            <x v="0"/>
          </reference>
        </references>
      </pivotArea>
    </format>
    <format dxfId="2944">
      <pivotArea dataOnly="0" labelOnly="1" outline="0" fieldPosition="0">
        <references count="2">
          <reference field="5" count="1">
            <x v="4"/>
          </reference>
          <reference field="45" count="1" selected="0">
            <x v="0"/>
          </reference>
        </references>
      </pivotArea>
    </format>
    <format dxfId="2943">
      <pivotArea dataOnly="0" labelOnly="1" outline="0" fieldPosition="0">
        <references count="2">
          <reference field="5" count="1">
            <x v="5"/>
          </reference>
          <reference field="45" count="1" selected="0">
            <x v="0"/>
          </reference>
        </references>
      </pivotArea>
    </format>
    <format dxfId="2942">
      <pivotArea dataOnly="0" labelOnly="1" outline="0" fieldPosition="0">
        <references count="2">
          <reference field="5" count="1">
            <x v="7"/>
          </reference>
          <reference field="45" count="1" selected="0">
            <x v="1"/>
          </reference>
        </references>
      </pivotArea>
    </format>
    <format dxfId="2941">
      <pivotArea dataOnly="0" labelOnly="1" outline="0" fieldPosition="0">
        <references count="2">
          <reference field="5" count="3">
            <x v="8"/>
            <x v="9"/>
            <x v="10"/>
          </reference>
          <reference field="45" count="1" selected="0">
            <x v="1"/>
          </reference>
        </references>
      </pivotArea>
    </format>
    <format dxfId="2940">
      <pivotArea type="topRight" dataOnly="0" labelOnly="1" outline="0" offset="V1" fieldPosition="0"/>
    </format>
    <format dxfId="2939">
      <pivotArea dataOnly="0" labelOnly="1" grandCol="1" outline="0" fieldPosition="0"/>
    </format>
    <format dxfId="2938">
      <pivotArea type="origin" dataOnly="0" labelOnly="1" outline="0" fieldPosition="0"/>
    </format>
    <format dxfId="2937">
      <pivotArea field="0" type="button" dataOnly="0" labelOnly="1" outline="0" axis="axisRow" fieldPosition="0"/>
    </format>
    <format dxfId="2936">
      <pivotArea field="-2" type="button" dataOnly="0" labelOnly="1" outline="0" axis="axisRow" fieldPosition="1"/>
    </format>
    <format dxfId="2935">
      <pivotArea field="45" type="button" dataOnly="0" labelOnly="1" outline="0" axis="axisCol" fieldPosition="0"/>
    </format>
    <format dxfId="2934">
      <pivotArea field="5" type="button" dataOnly="0" labelOnly="1" outline="0" axis="axisCol" fieldPosition="1"/>
    </format>
    <format dxfId="2933">
      <pivotArea type="topRight" dataOnly="0" labelOnly="1" outline="0" fieldPosition="0"/>
    </format>
    <format dxfId="2932">
      <pivotArea dataOnly="0" labelOnly="1" outline="0" fieldPosition="0">
        <references count="1">
          <reference field="45" count="4">
            <x v="0"/>
            <x v="1"/>
            <x v="3"/>
            <x v="4"/>
          </reference>
        </references>
      </pivotArea>
    </format>
    <format dxfId="2931">
      <pivotArea dataOnly="0" labelOnly="1" outline="0" fieldPosition="0">
        <references count="1">
          <reference field="45" count="4" defaultSubtotal="1">
            <x v="0"/>
            <x v="1"/>
            <x v="3"/>
            <x v="4"/>
          </reference>
        </references>
      </pivotArea>
    </format>
    <format dxfId="2930">
      <pivotArea dataOnly="0" labelOnly="1" grandCol="1" outline="0" fieldPosition="0"/>
    </format>
    <format dxfId="2929">
      <pivotArea dataOnly="0" labelOnly="1" outline="0" fieldPosition="0">
        <references count="2">
          <reference field="5" count="6">
            <x v="0"/>
            <x v="1"/>
            <x v="2"/>
            <x v="3"/>
            <x v="4"/>
            <x v="5"/>
          </reference>
          <reference field="45" count="1" selected="0">
            <x v="0"/>
          </reference>
        </references>
      </pivotArea>
    </format>
    <format dxfId="2928">
      <pivotArea dataOnly="0" labelOnly="1" outline="0" fieldPosition="0">
        <references count="2">
          <reference field="5" count="5">
            <x v="6"/>
            <x v="7"/>
            <x v="8"/>
            <x v="9"/>
            <x v="10"/>
          </reference>
          <reference field="45" count="1" selected="0">
            <x v="1"/>
          </reference>
        </references>
      </pivotArea>
    </format>
    <format dxfId="2927">
      <pivotArea dataOnly="0" labelOnly="1" outline="0" fieldPosition="0">
        <references count="2">
          <reference field="5" count="1">
            <x v="14"/>
          </reference>
          <reference field="45" count="1" selected="0">
            <x v="3"/>
          </reference>
        </references>
      </pivotArea>
    </format>
    <format dxfId="2926">
      <pivotArea dataOnly="0" labelOnly="1" outline="0" fieldPosition="0">
        <references count="2">
          <reference field="5" count="1">
            <x v="15"/>
          </reference>
          <reference field="45" count="1" selected="0">
            <x v="4"/>
          </reference>
        </references>
      </pivotArea>
    </format>
    <format dxfId="2925">
      <pivotArea outline="0" fieldPosition="0">
        <references count="2">
          <reference field="5" count="1" selected="0">
            <x v="6"/>
          </reference>
          <reference field="45" count="1" selected="0">
            <x v="1"/>
          </reference>
        </references>
      </pivotArea>
    </format>
    <format dxfId="2924">
      <pivotArea dataOnly="0" labelOnly="1" outline="0" offset="A256" fieldPosition="0">
        <references count="1">
          <reference field="45" count="1">
            <x v="1"/>
          </reference>
        </references>
      </pivotArea>
    </format>
    <format dxfId="2923">
      <pivotArea outline="0" fieldPosition="0">
        <references count="1">
          <reference field="45" count="1" selected="0" defaultSubtotal="1">
            <x v="1"/>
          </reference>
        </references>
      </pivotArea>
    </format>
    <format dxfId="2922">
      <pivotArea field="0" type="button" dataOnly="0" labelOnly="1" outline="0" axis="axisRow" fieldPosition="0"/>
    </format>
    <format dxfId="2921">
      <pivotArea field="-2" type="button" dataOnly="0" labelOnly="1" outline="0" axis="axisRow" fieldPosition="1"/>
    </format>
    <format dxfId="2920">
      <pivotArea dataOnly="0" labelOnly="1" outline="0" offset="IV256" fieldPosition="0">
        <references count="1">
          <reference field="45" count="1" defaultSubtotal="1">
            <x v="0"/>
          </reference>
        </references>
      </pivotArea>
    </format>
    <format dxfId="2919">
      <pivotArea dataOnly="0" labelOnly="1" outline="0" offset="IV256" fieldPosition="0">
        <references count="1">
          <reference field="45" count="1" defaultSubtotal="1">
            <x v="1"/>
          </reference>
        </references>
      </pivotArea>
    </format>
    <format dxfId="2918">
      <pivotArea dataOnly="0" labelOnly="1" outline="0" offset="IV256" fieldPosition="0">
        <references count="1">
          <reference field="45" count="1" defaultSubtotal="1">
            <x v="3"/>
          </reference>
        </references>
      </pivotArea>
    </format>
    <format dxfId="2917">
      <pivotArea dataOnly="0" labelOnly="1" outline="0" offset="IV256" fieldPosition="0">
        <references count="1">
          <reference field="45" count="1" defaultSubtotal="1">
            <x v="4"/>
          </reference>
        </references>
      </pivotArea>
    </format>
    <format dxfId="2916">
      <pivotArea dataOnly="0" labelOnly="1" grandCol="1" outline="0" offset="IV256" fieldPosition="0"/>
    </format>
    <format dxfId="2915">
      <pivotArea dataOnly="0" labelOnly="1" outline="0" fieldPosition="0">
        <references count="2">
          <reference field="5" count="6">
            <x v="0"/>
            <x v="1"/>
            <x v="2"/>
            <x v="3"/>
            <x v="4"/>
            <x v="5"/>
          </reference>
          <reference field="45" count="1" selected="0">
            <x v="0"/>
          </reference>
        </references>
      </pivotArea>
    </format>
    <format dxfId="2914">
      <pivotArea dataOnly="0" labelOnly="1" outline="0" fieldPosition="0">
        <references count="2">
          <reference field="5" count="5">
            <x v="6"/>
            <x v="7"/>
            <x v="8"/>
            <x v="9"/>
            <x v="10"/>
          </reference>
          <reference field="45" count="1" selected="0">
            <x v="1"/>
          </reference>
        </references>
      </pivotArea>
    </format>
    <format dxfId="2913">
      <pivotArea dataOnly="0" labelOnly="1" outline="0" fieldPosition="0">
        <references count="2">
          <reference field="5" count="1">
            <x v="14"/>
          </reference>
          <reference field="45" count="1" selected="0">
            <x v="3"/>
          </reference>
        </references>
      </pivotArea>
    </format>
    <format dxfId="2912">
      <pivotArea dataOnly="0" labelOnly="1" outline="0" fieldPosition="0">
        <references count="2">
          <reference field="5" count="1">
            <x v="15"/>
          </reference>
          <reference field="45" count="1" selected="0">
            <x v="4"/>
          </reference>
        </references>
      </pivotArea>
    </format>
    <format dxfId="2911">
      <pivotArea field="0" type="button" dataOnly="0" labelOnly="1" outline="0" axis="axisRow" fieldPosition="0"/>
    </format>
    <format dxfId="2910">
      <pivotArea field="-2" type="button" dataOnly="0" labelOnly="1" outline="0" axis="axisRow" fieldPosition="1"/>
    </format>
    <format dxfId="2909">
      <pivotArea dataOnly="0" labelOnly="1" outline="0" offset="IV256" fieldPosition="0">
        <references count="1">
          <reference field="45" count="1" defaultSubtotal="1">
            <x v="0"/>
          </reference>
        </references>
      </pivotArea>
    </format>
    <format dxfId="2908">
      <pivotArea dataOnly="0" labelOnly="1" outline="0" offset="IV256" fieldPosition="0">
        <references count="1">
          <reference field="45" count="1" defaultSubtotal="1">
            <x v="1"/>
          </reference>
        </references>
      </pivotArea>
    </format>
    <format dxfId="2907">
      <pivotArea dataOnly="0" labelOnly="1" outline="0" offset="IV256" fieldPosition="0">
        <references count="1">
          <reference field="45" count="1" defaultSubtotal="1">
            <x v="3"/>
          </reference>
        </references>
      </pivotArea>
    </format>
    <format dxfId="2906">
      <pivotArea dataOnly="0" labelOnly="1" outline="0" offset="IV256" fieldPosition="0">
        <references count="1">
          <reference field="45" count="1" defaultSubtotal="1">
            <x v="4"/>
          </reference>
        </references>
      </pivotArea>
    </format>
    <format dxfId="2905">
      <pivotArea dataOnly="0" labelOnly="1" grandCol="1" outline="0" offset="IV256" fieldPosition="0"/>
    </format>
    <format dxfId="2904">
      <pivotArea dataOnly="0" labelOnly="1" outline="0" fieldPosition="0">
        <references count="2">
          <reference field="5" count="6">
            <x v="0"/>
            <x v="1"/>
            <x v="2"/>
            <x v="3"/>
            <x v="4"/>
            <x v="5"/>
          </reference>
          <reference field="45" count="1" selected="0">
            <x v="0"/>
          </reference>
        </references>
      </pivotArea>
    </format>
    <format dxfId="2903">
      <pivotArea dataOnly="0" labelOnly="1" outline="0" fieldPosition="0">
        <references count="2">
          <reference field="5" count="5">
            <x v="6"/>
            <x v="7"/>
            <x v="8"/>
            <x v="9"/>
            <x v="10"/>
          </reference>
          <reference field="45" count="1" selected="0">
            <x v="1"/>
          </reference>
        </references>
      </pivotArea>
    </format>
    <format dxfId="2902">
      <pivotArea dataOnly="0" labelOnly="1" outline="0" fieldPosition="0">
        <references count="2">
          <reference field="5" count="1">
            <x v="14"/>
          </reference>
          <reference field="45" count="1" selected="0">
            <x v="3"/>
          </reference>
        </references>
      </pivotArea>
    </format>
    <format dxfId="2901">
      <pivotArea dataOnly="0" labelOnly="1" outline="0" fieldPosition="0">
        <references count="2">
          <reference field="5" count="1">
            <x v="15"/>
          </reference>
          <reference field="45" count="1" selected="0">
            <x v="4"/>
          </reference>
        </references>
      </pivotArea>
    </format>
    <format dxfId="2900">
      <pivotArea type="origin" dataOnly="0" labelOnly="1" outline="0" offset="A2:B2" fieldPosition="0"/>
    </format>
    <format dxfId="2899">
      <pivotArea type="origin" dataOnly="0" labelOnly="1" outline="0" fieldPosition="0"/>
    </format>
    <format dxfId="2898">
      <pivotArea field="45" type="button" dataOnly="0" labelOnly="1" outline="0" axis="axisCol" fieldPosition="0"/>
    </format>
    <format dxfId="2897">
      <pivotArea field="5" type="button" dataOnly="0" labelOnly="1" outline="0" axis="axisCol" fieldPosition="1"/>
    </format>
    <format dxfId="2896">
      <pivotArea type="topRight" dataOnly="0" labelOnly="1" outline="0" fieldPosition="0"/>
    </format>
    <format dxfId="2895">
      <pivotArea dataOnly="0" labelOnly="1" outline="0" fieldPosition="0">
        <references count="1">
          <reference field="45" count="1">
            <x v="0"/>
          </reference>
        </references>
      </pivotArea>
    </format>
    <format dxfId="2894">
      <pivotArea dataOnly="0" labelOnly="1" outline="0" offset="IV1" fieldPosition="0">
        <references count="1">
          <reference field="45" count="1" defaultSubtotal="1">
            <x v="0"/>
          </reference>
        </references>
      </pivotArea>
    </format>
    <format dxfId="2893">
      <pivotArea dataOnly="0" labelOnly="1" outline="0" fieldPosition="0">
        <references count="1">
          <reference field="45" count="1">
            <x v="1"/>
          </reference>
        </references>
      </pivotArea>
    </format>
    <format dxfId="2892">
      <pivotArea dataOnly="0" labelOnly="1" outline="0" offset="IV1" fieldPosition="0">
        <references count="1">
          <reference field="45" count="1" defaultSubtotal="1">
            <x v="1"/>
          </reference>
        </references>
      </pivotArea>
    </format>
    <format dxfId="2891">
      <pivotArea dataOnly="0" labelOnly="1" outline="0" fieldPosition="0">
        <references count="1">
          <reference field="45" count="1">
            <x v="3"/>
          </reference>
        </references>
      </pivotArea>
    </format>
    <format dxfId="2890">
      <pivotArea dataOnly="0" labelOnly="1" outline="0" fieldPosition="0">
        <references count="1">
          <reference field="45" count="1">
            <x v="4"/>
          </reference>
        </references>
      </pivotArea>
    </format>
    <format dxfId="2889">
      <pivotArea dataOnly="0" labelOnly="1" outline="0" offset="IV1" fieldPosition="0">
        <references count="1">
          <reference field="45" count="1" defaultSubtotal="1">
            <x v="4"/>
          </reference>
        </references>
      </pivotArea>
    </format>
    <format dxfId="2888">
      <pivotArea dataOnly="0" labelOnly="1" grandCol="1" outline="0" offset="IV1" fieldPosition="0"/>
    </format>
    <format dxfId="2887">
      <pivotArea dataOnly="0" labelOnly="1" outline="0" fieldPosition="0">
        <references count="1">
          <reference field="0" count="1">
            <x v="9"/>
          </reference>
        </references>
      </pivotArea>
    </format>
    <format dxfId="2886">
      <pivotArea field="0" dataOnly="0" labelOnly="1" grandRow="1" outline="0" axis="axisRow" fieldPosition="0">
        <references count="1">
          <reference field="4294967294" count="1" selected="0">
            <x v="0"/>
          </reference>
        </references>
      </pivotArea>
    </format>
    <format dxfId="2885">
      <pivotArea field="0" dataOnly="0" labelOnly="1" grandRow="1" outline="0" axis="axisRow" fieldPosition="0">
        <references count="1">
          <reference field="4294967294" count="1" selected="0">
            <x v="1"/>
          </reference>
        </references>
      </pivotArea>
    </format>
    <format dxfId="2884">
      <pivotArea field="0" dataOnly="0" labelOnly="1" grandRow="1" outline="0" axis="axisRow" fieldPosition="0">
        <references count="1">
          <reference field="4294967294" count="1" selected="0">
            <x v="2"/>
          </reference>
        </references>
      </pivotArea>
    </format>
    <format dxfId="2883">
      <pivotArea field="0" dataOnly="0" labelOnly="1" grandRow="1" outline="0" axis="axisRow" fieldPosition="0">
        <references count="1">
          <reference field="4294967294" count="1" selected="0">
            <x v="3"/>
          </reference>
        </references>
      </pivotArea>
    </format>
    <format dxfId="2882">
      <pivotArea field="0" dataOnly="0" labelOnly="1" grandRow="1" outline="0" axis="axisRow" fieldPosition="0">
        <references count="1">
          <reference field="4294967294" count="1" selected="0">
            <x v="4"/>
          </reference>
        </references>
      </pivotArea>
    </format>
    <format dxfId="2881">
      <pivotArea field="0" dataOnly="0" labelOnly="1" grandRow="1" outline="0" axis="axisRow" fieldPosition="0">
        <references count="1">
          <reference field="4294967294" count="1" selected="0">
            <x v="5"/>
          </reference>
        </references>
      </pivotArea>
    </format>
    <format dxfId="2880">
      <pivotArea field="0" dataOnly="0" labelOnly="1" grandRow="1" outline="0" axis="axisRow" fieldPosition="0">
        <references count="1">
          <reference field="4294967294" count="1" selected="0">
            <x v="6"/>
          </reference>
        </references>
      </pivotArea>
    </format>
    <format dxfId="2879">
      <pivotArea field="0" dataOnly="0" labelOnly="1" grandRow="1" outline="0" axis="axisRow" fieldPosition="0">
        <references count="1">
          <reference field="4294967294" count="1" selected="0">
            <x v="7"/>
          </reference>
        </references>
      </pivotArea>
    </format>
    <format dxfId="2878">
      <pivotArea field="0" dataOnly="0" labelOnly="1" grandRow="1" outline="0" axis="axisRow" fieldPosition="0">
        <references count="1">
          <reference field="4294967294" count="1" selected="0">
            <x v="8"/>
          </reference>
        </references>
      </pivotArea>
    </format>
    <format dxfId="2877">
      <pivotArea field="0" dataOnly="0" labelOnly="1" grandRow="1" outline="0" axis="axisRow" fieldPosition="0">
        <references count="1">
          <reference field="4294967294" count="1" selected="0">
            <x v="9"/>
          </reference>
        </references>
      </pivotArea>
    </format>
    <format dxfId="2876">
      <pivotArea field="0" dataOnly="0" labelOnly="1" grandRow="1" outline="0" axis="axisRow" fieldPosition="0">
        <references count="1">
          <reference field="4294967294" count="1" selected="0">
            <x v="10"/>
          </reference>
        </references>
      </pivotArea>
    </format>
    <format dxfId="2875">
      <pivotArea field="0" dataOnly="0" labelOnly="1" grandRow="1" outline="0" axis="axisRow" fieldPosition="0">
        <references count="1">
          <reference field="4294967294" count="1" selected="0">
            <x v="11"/>
          </reference>
        </references>
      </pivotArea>
    </format>
    <format dxfId="2874">
      <pivotArea field="0" dataOnly="0" labelOnly="1" grandRow="1" outline="0" axis="axisRow" fieldPosition="0">
        <references count="1">
          <reference field="4294967294" count="1" selected="0">
            <x v="12"/>
          </reference>
        </references>
      </pivotArea>
    </format>
    <format dxfId="2873">
      <pivotArea field="0" dataOnly="0" labelOnly="1" grandRow="1" outline="0" axis="axisRow" fieldPosition="0">
        <references count="1">
          <reference field="4294967294" count="1" selected="0">
            <x v="13"/>
          </reference>
        </references>
      </pivotArea>
    </format>
    <format dxfId="2872">
      <pivotArea field="0" dataOnly="0" labelOnly="1" grandRow="1" outline="0" axis="axisRow" fieldPosition="0">
        <references count="1">
          <reference field="4294967294" count="1" selected="0">
            <x v="14"/>
          </reference>
        </references>
      </pivotArea>
    </format>
    <format dxfId="2871">
      <pivotArea field="0" dataOnly="0" labelOnly="1" grandRow="1" outline="0" axis="axisRow" fieldPosition="0">
        <references count="1">
          <reference field="4294967294" count="1" selected="0">
            <x v="15"/>
          </reference>
        </references>
      </pivotArea>
    </format>
    <format dxfId="2870">
      <pivotArea field="0" dataOnly="0" labelOnly="1" grandRow="1" outline="0" axis="axisRow" fieldPosition="0">
        <references count="1">
          <reference field="4294967294" count="1" selected="0">
            <x v="16"/>
          </reference>
        </references>
      </pivotArea>
    </format>
    <format dxfId="2869">
      <pivotArea field="0" dataOnly="0" labelOnly="1" grandRow="1" outline="0" axis="axisRow" fieldPosition="0">
        <references count="1">
          <reference field="4294967294" count="1" selected="0">
            <x v="17"/>
          </reference>
        </references>
      </pivotArea>
    </format>
    <format dxfId="2868">
      <pivotArea field="0" dataOnly="0" labelOnly="1" grandRow="1" outline="0" axis="axisRow" fieldPosition="0">
        <references count="1">
          <reference field="4294967294" count="1" selected="0">
            <x v="18"/>
          </reference>
        </references>
      </pivotArea>
    </format>
    <format dxfId="2867">
      <pivotArea field="0" dataOnly="0" labelOnly="1" grandRow="1" outline="0" axis="axisRow" fieldPosition="0">
        <references count="1">
          <reference field="4294967294" count="1" selected="0">
            <x v="19"/>
          </reference>
        </references>
      </pivotArea>
    </format>
    <format dxfId="2866">
      <pivotArea field="0" dataOnly="0" labelOnly="1" grandRow="1" outline="0" axis="axisRow" fieldPosition="0">
        <references count="1">
          <reference field="4294967294" count="1" selected="0">
            <x v="20"/>
          </reference>
        </references>
      </pivotArea>
    </format>
    <format dxfId="2865">
      <pivotArea field="0" dataOnly="0" labelOnly="1" grandRow="1" outline="0" axis="axisRow" fieldPosition="0">
        <references count="1">
          <reference field="4294967294" count="1" selected="0">
            <x v="21"/>
          </reference>
        </references>
      </pivotArea>
    </format>
    <format dxfId="2864">
      <pivotArea field="0" dataOnly="0" labelOnly="1" grandRow="1" outline="0" axis="axisRow" fieldPosition="0">
        <references count="1">
          <reference field="4294967294" count="1" selected="0">
            <x v="22"/>
          </reference>
        </references>
      </pivotArea>
    </format>
    <format dxfId="2863">
      <pivotArea field="0" dataOnly="0" labelOnly="1" grandRow="1" outline="0" axis="axisRow" fieldPosition="0">
        <references count="1">
          <reference field="4294967294" count="1" selected="0">
            <x v="23"/>
          </reference>
        </references>
      </pivotArea>
    </format>
    <format dxfId="2862">
      <pivotArea field="0" dataOnly="0" labelOnly="1" grandRow="1" outline="0" axis="axisRow" fieldPosition="0">
        <references count="1">
          <reference field="4294967294" count="1" selected="0">
            <x v="24"/>
          </reference>
        </references>
      </pivotArea>
    </format>
    <format dxfId="2861">
      <pivotArea field="0" dataOnly="0" labelOnly="1" grandRow="1" outline="0" axis="axisRow" fieldPosition="0">
        <references count="1">
          <reference field="4294967294" count="1" selected="0">
            <x v="25"/>
          </reference>
        </references>
      </pivotArea>
    </format>
    <format dxfId="2860">
      <pivotArea field="0" dataOnly="0" labelOnly="1" grandRow="1" outline="0" axis="axisRow" fieldPosition="0">
        <references count="1">
          <reference field="4294967294" count="1" selected="0">
            <x v="26"/>
          </reference>
        </references>
      </pivotArea>
    </format>
    <format dxfId="2859">
      <pivotArea field="0" dataOnly="0" labelOnly="1" grandRow="1" outline="0" axis="axisRow" fieldPosition="0">
        <references count="1">
          <reference field="4294967294" count="1" selected="0">
            <x v="27"/>
          </reference>
        </references>
      </pivotArea>
    </format>
    <format dxfId="2858">
      <pivotArea field="0" dataOnly="0" labelOnly="1" grandRow="1" outline="0" axis="axisRow" fieldPosition="0">
        <references count="1">
          <reference field="4294967294" count="1" selected="0">
            <x v="28"/>
          </reference>
        </references>
      </pivotArea>
    </format>
    <format dxfId="2857">
      <pivotArea field="0" dataOnly="0" labelOnly="1" grandRow="1" outline="0" axis="axisRow" fieldPosition="0">
        <references count="1">
          <reference field="4294967294" count="1" selected="0">
            <x v="29"/>
          </reference>
        </references>
      </pivotArea>
    </format>
    <format dxfId="2856">
      <pivotArea field="0" dataOnly="0" labelOnly="1" grandRow="1" outline="0" axis="axisRow" fieldPosition="0">
        <references count="1">
          <reference field="4294967294" count="1" selected="0">
            <x v="30"/>
          </reference>
        </references>
      </pivotArea>
    </format>
    <format dxfId="2855">
      <pivotArea field="0" dataOnly="0" labelOnly="1" grandRow="1" outline="0" axis="axisRow" fieldPosition="0">
        <references count="1">
          <reference field="4294967294" count="1" selected="0">
            <x v="31"/>
          </reference>
        </references>
      </pivotArea>
    </format>
    <format dxfId="2854">
      <pivotArea field="0" dataOnly="0" labelOnly="1" grandRow="1" outline="0" axis="axisRow" fieldPosition="0">
        <references count="1">
          <reference field="4294967294" count="1" selected="0">
            <x v="32"/>
          </reference>
        </references>
      </pivotArea>
    </format>
    <format dxfId="2853">
      <pivotArea field="0" dataOnly="0" labelOnly="1" grandRow="1" outline="0" axis="axisRow" fieldPosition="0">
        <references count="1">
          <reference field="4294967294" count="1" selected="0">
            <x v="33"/>
          </reference>
        </references>
      </pivotArea>
    </format>
    <format dxfId="2852">
      <pivotArea field="0" dataOnly="0" labelOnly="1" grandRow="1" outline="0" axis="axisRow" fieldPosition="0">
        <references count="1">
          <reference field="4294967294" count="1" selected="0">
            <x v="34"/>
          </reference>
        </references>
      </pivotArea>
    </format>
    <format dxfId="2851">
      <pivotArea field="0" dataOnly="0" labelOnly="1" grandRow="1" outline="0" axis="axisRow" fieldPosition="0">
        <references count="1">
          <reference field="4294967294" count="1" selected="0">
            <x v="35"/>
          </reference>
        </references>
      </pivotArea>
    </format>
    <format dxfId="2850">
      <pivotArea field="0" dataOnly="0" labelOnly="1" grandRow="1" outline="0" axis="axisRow" fieldPosition="0">
        <references count="1">
          <reference field="4294967294" count="1" selected="0">
            <x v="36"/>
          </reference>
        </references>
      </pivotArea>
    </format>
    <format dxfId="2849">
      <pivotArea field="0" dataOnly="0" labelOnly="1" grandRow="1" outline="0" axis="axisRow" fieldPosition="0">
        <references count="1">
          <reference field="4294967294" count="1" selected="0">
            <x v="37"/>
          </reference>
        </references>
      </pivotArea>
    </format>
    <format dxfId="2848">
      <pivotArea field="0" dataOnly="0" labelOnly="1" grandRow="1" outline="0" axis="axisRow" fieldPosition="0">
        <references count="1">
          <reference field="4294967294" count="1" selected="0">
            <x v="38"/>
          </reference>
        </references>
      </pivotArea>
    </format>
    <format dxfId="2847">
      <pivotArea outline="0" collapsedLevelsAreSubtotals="1" fieldPosition="0">
        <references count="1">
          <reference field="45" count="1" selected="0" defaultSubtotal="1">
            <x v="0"/>
          </reference>
        </references>
      </pivotArea>
    </format>
    <format dxfId="2846">
      <pivotArea type="topRight" dataOnly="0" labelOnly="1" outline="0" offset="E1" fieldPosition="0"/>
    </format>
    <format dxfId="2845">
      <pivotArea dataOnly="0" labelOnly="1" outline="0" fieldPosition="0">
        <references count="1">
          <reference field="45" count="1" defaultSubtotal="1">
            <x v="0"/>
          </reference>
        </references>
      </pivotArea>
    </format>
    <format dxfId="2844">
      <pivotArea outline="0" collapsedLevelsAreSubtotals="1" fieldPosition="0">
        <references count="1">
          <reference field="45" count="1" selected="0" defaultSubtotal="1">
            <x v="1"/>
          </reference>
        </references>
      </pivotArea>
    </format>
    <format dxfId="2843">
      <pivotArea type="topRight" dataOnly="0" labelOnly="1" outline="0" offset="K1" fieldPosition="0"/>
    </format>
    <format dxfId="2842">
      <pivotArea type="all" dataOnly="0" outline="0" fieldPosition="0"/>
    </format>
    <format dxfId="2841">
      <pivotArea type="all" dataOnly="0" outline="0" fieldPosition="0"/>
    </format>
    <format dxfId="2840">
      <pivotArea type="all" dataOnly="0" outline="0" fieldPosition="0"/>
    </format>
    <format dxfId="2839">
      <pivotArea outline="0" collapsedLevelsAreSubtotals="1" fieldPosition="0">
        <references count="4">
          <reference field="4294967294" count="1" selected="0">
            <x v="5"/>
          </reference>
          <reference field="0" count="1" selected="0">
            <x v="0"/>
          </reference>
          <reference field="5" count="1" selected="0">
            <x v="9"/>
          </reference>
          <reference field="45" count="1" selected="0">
            <x v="1"/>
          </reference>
        </references>
      </pivotArea>
    </format>
    <format dxfId="2838">
      <pivotArea outline="0" collapsedLevelsAreSubtotals="1" fieldPosition="0">
        <references count="4">
          <reference field="4294967294" count="1" selected="0">
            <x v="8"/>
          </reference>
          <reference field="0" count="1" selected="0">
            <x v="0"/>
          </reference>
          <reference field="5" count="1" selected="0">
            <x v="9"/>
          </reference>
          <reference field="45" count="1" selected="0">
            <x v="1"/>
          </reference>
        </references>
      </pivotArea>
    </format>
    <format dxfId="2837">
      <pivotArea outline="0" collapsedLevelsAreSubtotals="1" fieldPosition="0">
        <references count="4">
          <reference field="4294967294" count="1" selected="0">
            <x v="8"/>
          </reference>
          <reference field="0" count="1" selected="0">
            <x v="0"/>
          </reference>
          <reference field="5" count="1" selected="0">
            <x v="8"/>
          </reference>
          <reference field="45" count="1" selected="0">
            <x v="1"/>
          </reference>
        </references>
      </pivotArea>
    </format>
    <format dxfId="2836">
      <pivotArea outline="0" collapsedLevelsAreSubtotals="1" fieldPosition="0">
        <references count="4">
          <reference field="4294967294" count="1" selected="0">
            <x v="14"/>
          </reference>
          <reference field="0" count="1" selected="0">
            <x v="0"/>
          </reference>
          <reference field="5" count="1" selected="0">
            <x v="8"/>
          </reference>
          <reference field="45" count="1" selected="0">
            <x v="1"/>
          </reference>
        </references>
      </pivotArea>
    </format>
    <format dxfId="2835">
      <pivotArea outline="0" collapsedLevelsAreSubtotals="1" fieldPosition="0">
        <references count="4">
          <reference field="4294967294" count="1" selected="0">
            <x v="14"/>
          </reference>
          <reference field="0" count="1" selected="0">
            <x v="0"/>
          </reference>
          <reference field="5" count="1" selected="0">
            <x v="12"/>
          </reference>
          <reference field="45" count="1" selected="0">
            <x v="2"/>
          </reference>
        </references>
      </pivotArea>
    </format>
    <format dxfId="2834">
      <pivotArea outline="0" collapsedLevelsAreSubtotals="1" fieldPosition="0">
        <references count="4">
          <reference field="4294967294" count="1" selected="0">
            <x v="5"/>
          </reference>
          <reference field="0" count="1" selected="0">
            <x v="0"/>
          </reference>
          <reference field="5" count="1" selected="0">
            <x v="11"/>
          </reference>
          <reference field="45" count="1" selected="0">
            <x v="2"/>
          </reference>
        </references>
      </pivotArea>
    </format>
    <format dxfId="2833">
      <pivotArea outline="0" collapsedLevelsAreSubtotals="1" fieldPosition="0">
        <references count="4">
          <reference field="4294967294" count="1" selected="0">
            <x v="26"/>
          </reference>
          <reference field="0" count="1" selected="0">
            <x v="0"/>
          </reference>
          <reference field="5" count="1" selected="0">
            <x v="14"/>
          </reference>
          <reference field="45" count="1" selected="0">
            <x v="3"/>
          </reference>
        </references>
      </pivotArea>
    </format>
    <format dxfId="2832">
      <pivotArea outline="0" collapsedLevelsAreSubtotals="1" fieldPosition="0">
        <references count="3">
          <reference field="4294967294" count="1" selected="0">
            <x v="26"/>
          </reference>
          <reference field="0" count="1" selected="0">
            <x v="0"/>
          </reference>
          <reference field="45" count="1" selected="0" defaultSubtotal="1">
            <x v="3"/>
          </reference>
        </references>
      </pivotArea>
    </format>
    <format dxfId="2831">
      <pivotArea outline="0" collapsedLevelsAreSubtotals="1" fieldPosition="0">
        <references count="4">
          <reference field="4294967294" count="1" selected="0">
            <x v="14"/>
          </reference>
          <reference field="0" count="1" selected="0">
            <x v="0"/>
          </reference>
          <reference field="5" count="1" selected="0">
            <x v="1"/>
          </reference>
          <reference field="45" count="1" selected="0">
            <x v="0"/>
          </reference>
        </references>
      </pivotArea>
    </format>
    <format dxfId="2830">
      <pivotArea outline="0" collapsedLevelsAreSubtotals="1" fieldPosition="0">
        <references count="4">
          <reference field="4294967294" count="1" selected="0">
            <x v="11"/>
          </reference>
          <reference field="0" count="1" selected="0">
            <x v="1"/>
          </reference>
          <reference field="5" count="1" selected="0">
            <x v="0"/>
          </reference>
          <reference field="45" count="1" selected="0">
            <x v="0"/>
          </reference>
        </references>
      </pivotArea>
    </format>
    <format dxfId="2829">
      <pivotArea outline="0" collapsedLevelsAreSubtotals="1" fieldPosition="0">
        <references count="4">
          <reference field="4294967294" count="1" selected="0">
            <x v="11"/>
          </reference>
          <reference field="0" count="1" selected="0">
            <x v="1"/>
          </reference>
          <reference field="5" count="1" selected="0">
            <x v="4"/>
          </reference>
          <reference field="45" count="1" selected="0">
            <x v="0"/>
          </reference>
        </references>
      </pivotArea>
    </format>
    <format dxfId="2828">
      <pivotArea outline="0" collapsedLevelsAreSubtotals="1" fieldPosition="0">
        <references count="3">
          <reference field="4294967294" count="1" selected="0">
            <x v="11"/>
          </reference>
          <reference field="0" count="1" selected="0">
            <x v="1"/>
          </reference>
          <reference field="45" count="1" selected="0" defaultSubtotal="1">
            <x v="0"/>
          </reference>
        </references>
      </pivotArea>
    </format>
    <format dxfId="2827">
      <pivotArea outline="0" collapsedLevelsAreSubtotals="1" fieldPosition="0">
        <references count="4">
          <reference field="4294967294" count="1" selected="0">
            <x v="11"/>
          </reference>
          <reference field="0" count="1" selected="0">
            <x v="1"/>
          </reference>
          <reference field="5" count="1" selected="0">
            <x v="9"/>
          </reference>
          <reference field="45" count="1" selected="0">
            <x v="1"/>
          </reference>
        </references>
      </pivotArea>
    </format>
    <format dxfId="2826">
      <pivotArea outline="0" collapsedLevelsAreSubtotals="1" fieldPosition="0">
        <references count="4">
          <reference field="4294967294" count="1" selected="0">
            <x v="17"/>
          </reference>
          <reference field="0" count="1" selected="0">
            <x v="1"/>
          </reference>
          <reference field="5" count="1" selected="0">
            <x v="0"/>
          </reference>
          <reference field="45" count="1" selected="0">
            <x v="0"/>
          </reference>
        </references>
      </pivotArea>
    </format>
    <format dxfId="2825">
      <pivotArea outline="0" collapsedLevelsAreSubtotals="1" fieldPosition="0">
        <references count="4">
          <reference field="4294967294" count="1" selected="0">
            <x v="5"/>
          </reference>
          <reference field="0" count="1" selected="0">
            <x v="0"/>
          </reference>
          <reference field="5" count="3" selected="0">
            <x v="7"/>
            <x v="8"/>
            <x v="9"/>
          </reference>
          <reference field="45" count="1" selected="0">
            <x v="1"/>
          </reference>
        </references>
      </pivotArea>
    </format>
    <format dxfId="2824">
      <pivotArea outline="0" collapsedLevelsAreSubtotals="1" fieldPosition="0">
        <references count="4">
          <reference field="4294967294" count="1" selected="0">
            <x v="8"/>
          </reference>
          <reference field="0" count="1" selected="0">
            <x v="0"/>
          </reference>
          <reference field="5" count="2" selected="0">
            <x v="8"/>
            <x v="9"/>
          </reference>
          <reference field="45" count="1" selected="0">
            <x v="1"/>
          </reference>
        </references>
      </pivotArea>
    </format>
    <format dxfId="2823">
      <pivotArea outline="0" collapsedLevelsAreSubtotals="1" fieldPosition="0">
        <references count="4">
          <reference field="4294967294" count="1" selected="0">
            <x v="14"/>
          </reference>
          <reference field="0" count="1" selected="0">
            <x v="0"/>
          </reference>
          <reference field="5" count="1" selected="0">
            <x v="3"/>
          </reference>
          <reference field="45" count="1" selected="0">
            <x v="0"/>
          </reference>
        </references>
      </pivotArea>
    </format>
    <format dxfId="2822">
      <pivotArea outline="0" collapsedLevelsAreSubtotals="1" fieldPosition="0">
        <references count="4">
          <reference field="4294967294" count="1" selected="0">
            <x v="5"/>
          </reference>
          <reference field="0" count="1" selected="0">
            <x v="0"/>
          </reference>
          <reference field="5" count="1" selected="0">
            <x v="11"/>
          </reference>
          <reference field="45" count="1" selected="0">
            <x v="2"/>
          </reference>
        </references>
      </pivotArea>
    </format>
    <format dxfId="2821">
      <pivotArea outline="0" collapsedLevelsAreSubtotals="1" fieldPosition="0">
        <references count="4">
          <reference field="4294967294" count="1" selected="0">
            <x v="14"/>
          </reference>
          <reference field="0" count="1" selected="0">
            <x v="0"/>
          </reference>
          <reference field="5" count="1" selected="0">
            <x v="12"/>
          </reference>
          <reference field="45" count="1" selected="0">
            <x v="2"/>
          </reference>
        </references>
      </pivotArea>
    </format>
    <format dxfId="2820">
      <pivotArea outline="0" collapsedLevelsAreSubtotals="1" fieldPosition="0">
        <references count="3">
          <reference field="4294967294" count="1" selected="0">
            <x v="5"/>
          </reference>
          <reference field="0" count="1" selected="0">
            <x v="0"/>
          </reference>
          <reference field="45" count="1" selected="0" defaultSubtotal="1">
            <x v="2"/>
          </reference>
        </references>
      </pivotArea>
    </format>
    <format dxfId="2819">
      <pivotArea outline="0" collapsedLevelsAreSubtotals="1" fieldPosition="0">
        <references count="4">
          <reference field="4294967294" count="1" selected="0">
            <x v="17"/>
          </reference>
          <reference field="0" count="1" selected="0">
            <x v="0"/>
          </reference>
          <reference field="5" count="1" selected="0">
            <x v="0"/>
          </reference>
          <reference field="45" count="1" selected="0">
            <x v="0"/>
          </reference>
        </references>
      </pivotArea>
    </format>
    <format dxfId="2818">
      <pivotArea outline="0" collapsedLevelsAreSubtotals="1" fieldPosition="0">
        <references count="4">
          <reference field="4294967294" count="1" selected="0">
            <x v="11"/>
          </reference>
          <reference field="0" count="1" selected="0">
            <x v="0"/>
          </reference>
          <reference field="5" count="1" selected="0">
            <x v="12"/>
          </reference>
          <reference field="45" count="1" selected="0">
            <x v="2"/>
          </reference>
        </references>
      </pivotArea>
    </format>
    <format dxfId="2817">
      <pivotArea outline="0" collapsedLevelsAreSubtotals="1" fieldPosition="0">
        <references count="4">
          <reference field="4294967294" count="1" selected="0">
            <x v="11"/>
          </reference>
          <reference field="0" count="1" selected="0">
            <x v="0"/>
          </reference>
          <reference field="5" count="1" selected="0">
            <x v="0"/>
          </reference>
          <reference field="45" count="1" selected="0">
            <x v="0"/>
          </reference>
        </references>
      </pivotArea>
    </format>
    <format dxfId="2816">
      <pivotArea outline="0" collapsedLevelsAreSubtotals="1" fieldPosition="0">
        <references count="4">
          <reference field="4294967294" count="1" selected="0">
            <x v="11"/>
          </reference>
          <reference field="0" count="1" selected="0">
            <x v="1"/>
          </reference>
          <reference field="5" count="1" selected="0">
            <x v="4"/>
          </reference>
          <reference field="45" count="1" selected="0">
            <x v="0"/>
          </reference>
        </references>
      </pivotArea>
    </format>
    <format dxfId="2815">
      <pivotArea outline="0" collapsedLevelsAreSubtotals="1" fieldPosition="0">
        <references count="4">
          <reference field="4294967294" count="1" selected="0">
            <x v="14"/>
          </reference>
          <reference field="0" count="1" selected="0">
            <x v="2"/>
          </reference>
          <reference field="5" count="1" selected="0">
            <x v="2"/>
          </reference>
          <reference field="45" count="1" selected="0">
            <x v="0"/>
          </reference>
        </references>
      </pivotArea>
    </format>
    <format dxfId="2814">
      <pivotArea outline="0" collapsedLevelsAreSubtotals="1" fieldPosition="0">
        <references count="4">
          <reference field="4294967294" count="1" selected="0">
            <x v="5"/>
          </reference>
          <reference field="0" count="1" selected="0">
            <x v="3"/>
          </reference>
          <reference field="5" count="1" selected="0">
            <x v="3"/>
          </reference>
          <reference field="45" count="1" selected="0">
            <x v="0"/>
          </reference>
        </references>
      </pivotArea>
    </format>
    <format dxfId="2813">
      <pivotArea outline="0" collapsedLevelsAreSubtotals="1" fieldPosition="0">
        <references count="4">
          <reference field="4294967294" count="1" selected="0">
            <x v="5"/>
          </reference>
          <reference field="0" count="1" selected="0">
            <x v="3"/>
          </reference>
          <reference field="5" count="1" selected="0">
            <x v="5"/>
          </reference>
          <reference field="45" count="1" selected="0">
            <x v="0"/>
          </reference>
        </references>
      </pivotArea>
    </format>
    <format dxfId="2812">
      <pivotArea outline="0" collapsedLevelsAreSubtotals="1" fieldPosition="0">
        <references count="4">
          <reference field="4294967294" count="1" selected="0">
            <x v="17"/>
          </reference>
          <reference field="0" count="1" selected="0">
            <x v="3"/>
          </reference>
          <reference field="5" count="4" selected="0">
            <x v="0"/>
            <x v="1"/>
            <x v="2"/>
            <x v="3"/>
          </reference>
          <reference field="45" count="1" selected="0">
            <x v="0"/>
          </reference>
        </references>
      </pivotArea>
    </format>
    <format dxfId="2811">
      <pivotArea outline="0" collapsedLevelsAreSubtotals="1" fieldPosition="0">
        <references count="4">
          <reference field="4294967294" count="1" selected="0">
            <x v="17"/>
          </reference>
          <reference field="0" count="1" selected="0">
            <x v="3"/>
          </reference>
          <reference field="5" count="1" selected="0">
            <x v="5"/>
          </reference>
          <reference field="45" count="1" selected="0">
            <x v="0"/>
          </reference>
        </references>
      </pivotArea>
    </format>
    <format dxfId="2810">
      <pivotArea outline="0" collapsedLevelsAreSubtotals="1" fieldPosition="0">
        <references count="4">
          <reference field="4294967294" count="1" selected="0">
            <x v="35"/>
          </reference>
          <reference field="0" count="1" selected="0">
            <x v="3"/>
          </reference>
          <reference field="5" count="1" selected="0">
            <x v="0"/>
          </reference>
          <reference field="45" count="1" selected="0">
            <x v="0"/>
          </reference>
        </references>
      </pivotArea>
    </format>
    <format dxfId="2809">
      <pivotArea outline="0" collapsedLevelsAreSubtotals="1" fieldPosition="0">
        <references count="4">
          <reference field="4294967294" count="1" selected="0">
            <x v="11"/>
          </reference>
          <reference field="0" count="1" selected="0">
            <x v="4"/>
          </reference>
          <reference field="5" count="1" selected="0">
            <x v="7"/>
          </reference>
          <reference field="45" count="1" selected="0">
            <x v="1"/>
          </reference>
        </references>
      </pivotArea>
    </format>
    <format dxfId="2808">
      <pivotArea dataOnly="0" outline="0" fieldPosition="0">
        <references count="1">
          <reference field="4294967294" count="3">
            <x v="15"/>
            <x v="16"/>
            <x v="17"/>
          </reference>
        </references>
      </pivotArea>
    </format>
    <format dxfId="2807">
      <pivotArea outline="0" collapsedLevelsAreSubtotals="1" fieldPosition="0">
        <references count="4">
          <reference field="4294967294" count="1" selected="0">
            <x v="11"/>
          </reference>
          <reference field="0" count="1" selected="0">
            <x v="4"/>
          </reference>
          <reference field="5" count="1" selected="0">
            <x v="4"/>
          </reference>
          <reference field="45" count="1" selected="0">
            <x v="0"/>
          </reference>
        </references>
      </pivotArea>
    </format>
    <format dxfId="2806">
      <pivotArea outline="0" collapsedLevelsAreSubtotals="1" fieldPosition="0">
        <references count="4">
          <reference field="4294967294" count="1" selected="0">
            <x v="11"/>
          </reference>
          <reference field="0" count="1" selected="0">
            <x v="5"/>
          </reference>
          <reference field="5" count="1" selected="0">
            <x v="9"/>
          </reference>
          <reference field="45" count="1" selected="0">
            <x v="1"/>
          </reference>
        </references>
      </pivotArea>
    </format>
    <format dxfId="2805">
      <pivotArea outline="0" collapsedLevelsAreSubtotals="1" fieldPosition="0">
        <references count="4">
          <reference field="4294967294" count="1" selected="0">
            <x v="2"/>
          </reference>
          <reference field="0" count="1" selected="0">
            <x v="6"/>
          </reference>
          <reference field="5" count="1" selected="0">
            <x v="8"/>
          </reference>
          <reference field="45" count="1" selected="0">
            <x v="1"/>
          </reference>
        </references>
      </pivotArea>
    </format>
    <format dxfId="2804">
      <pivotArea outline="0" collapsedLevelsAreSubtotals="1" fieldPosition="0">
        <references count="4">
          <reference field="4294967294" count="1" selected="0">
            <x v="2"/>
          </reference>
          <reference field="0" count="1" selected="0">
            <x v="6"/>
          </reference>
          <reference field="5" count="1" selected="0">
            <x v="7"/>
          </reference>
          <reference field="45" count="1" selected="0">
            <x v="1"/>
          </reference>
        </references>
      </pivotArea>
    </format>
    <format dxfId="2803">
      <pivotArea outline="0" collapsedLevelsAreSubtotals="1" fieldPosition="0">
        <references count="4">
          <reference field="4294967294" count="1" selected="0">
            <x v="11"/>
          </reference>
          <reference field="0" count="1" selected="0">
            <x v="6"/>
          </reference>
          <reference field="5" count="1" selected="0">
            <x v="5"/>
          </reference>
          <reference field="45" count="1" selected="0">
            <x v="0"/>
          </reference>
        </references>
      </pivotArea>
    </format>
    <format dxfId="2802">
      <pivotArea outline="0" collapsedLevelsAreSubtotals="1" fieldPosition="0">
        <references count="4">
          <reference field="4294967294" count="1" selected="0">
            <x v="11"/>
          </reference>
          <reference field="0" count="1" selected="0">
            <x v="6"/>
          </reference>
          <reference field="5" count="2" selected="0">
            <x v="8"/>
            <x v="9"/>
          </reference>
          <reference field="45" count="1" selected="0">
            <x v="1"/>
          </reference>
        </references>
      </pivotArea>
    </format>
    <format dxfId="2801">
      <pivotArea outline="0" collapsedLevelsAreSubtotals="1" fieldPosition="0">
        <references count="4">
          <reference field="4294967294" count="1" selected="0">
            <x v="35"/>
          </reference>
          <reference field="0" count="1" selected="0">
            <x v="6"/>
          </reference>
          <reference field="5" count="1" selected="0">
            <x v="14"/>
          </reference>
          <reference field="45" count="1" selected="0">
            <x v="3"/>
          </reference>
        </references>
      </pivotArea>
    </format>
    <format dxfId="2800">
      <pivotArea outline="0" collapsedLevelsAreSubtotals="1" fieldPosition="0">
        <references count="4">
          <reference field="4294967294" count="1" selected="0">
            <x v="2"/>
          </reference>
          <reference field="0" count="1" selected="0">
            <x v="9"/>
          </reference>
          <reference field="5" count="1" selected="0">
            <x v="3"/>
          </reference>
          <reference field="45" count="1" selected="0">
            <x v="0"/>
          </reference>
        </references>
      </pivotArea>
    </format>
    <format dxfId="2799">
      <pivotArea outline="0" collapsedLevelsAreSubtotals="1" fieldPosition="0">
        <references count="4">
          <reference field="4294967294" count="1" selected="0">
            <x v="11"/>
          </reference>
          <reference field="0" count="1" selected="0">
            <x v="10"/>
          </reference>
          <reference field="5" count="1" selected="0">
            <x v="7"/>
          </reference>
          <reference field="45" count="1" selected="0">
            <x v="1"/>
          </reference>
        </references>
      </pivotArea>
    </format>
    <format dxfId="2798">
      <pivotArea outline="0" collapsedLevelsAreSubtotals="1" fieldPosition="0">
        <references count="4">
          <reference field="4294967294" count="1" selected="0">
            <x v="35"/>
          </reference>
          <reference field="0" count="1" selected="0">
            <x v="10"/>
          </reference>
          <reference field="5" count="1" selected="0">
            <x v="0"/>
          </reference>
          <reference field="45" count="1" selected="0">
            <x v="0"/>
          </reference>
        </references>
      </pivotArea>
    </format>
    <format dxfId="2797">
      <pivotArea outline="0" collapsedLevelsAreSubtotals="1" fieldPosition="0">
        <references count="4">
          <reference field="4294967294" count="1" selected="0">
            <x v="5"/>
          </reference>
          <reference field="0" count="1" selected="0">
            <x v="11"/>
          </reference>
          <reference field="5" count="4" selected="0">
            <x v="2"/>
            <x v="3"/>
            <x v="4"/>
            <x v="5"/>
          </reference>
          <reference field="45" count="1" selected="0">
            <x v="0"/>
          </reference>
        </references>
      </pivotArea>
    </format>
    <format dxfId="2796">
      <pivotArea outline="0" collapsedLevelsAreSubtotals="1" fieldPosition="0">
        <references count="4">
          <reference field="4294967294" count="1" selected="0">
            <x v="11"/>
          </reference>
          <reference field="0" count="1" selected="0">
            <x v="13"/>
          </reference>
          <reference field="5" count="1" selected="0">
            <x v="10"/>
          </reference>
          <reference field="45" count="1" selected="0">
            <x v="1"/>
          </reference>
        </references>
      </pivotArea>
    </format>
    <format dxfId="2795">
      <pivotArea outline="0" collapsedLevelsAreSubtotals="1" fieldPosition="0">
        <references count="4">
          <reference field="4294967294" count="1" selected="0">
            <x v="35"/>
          </reference>
          <reference field="0" count="1" selected="0">
            <x v="13"/>
          </reference>
          <reference field="5" count="1" selected="0">
            <x v="0"/>
          </reference>
          <reference field="45" count="1" selected="0">
            <x v="0"/>
          </reference>
        </references>
      </pivotArea>
    </format>
    <format dxfId="2794">
      <pivotArea outline="0" collapsedLevelsAreSubtotals="1" fieldPosition="0">
        <references count="4">
          <reference field="4294967294" count="1" selected="0">
            <x v="5"/>
          </reference>
          <reference field="0" count="1" selected="0">
            <x v="14"/>
          </reference>
          <reference field="5" count="1" selected="0">
            <x v="10"/>
          </reference>
          <reference field="45" count="1" selected="0">
            <x v="1"/>
          </reference>
        </references>
      </pivotArea>
    </format>
    <format dxfId="2793">
      <pivotArea outline="0" collapsedLevelsAreSubtotals="1" fieldPosition="0">
        <references count="4">
          <reference field="4294967294" count="1" selected="0">
            <x v="8"/>
          </reference>
          <reference field="0" count="1" selected="0">
            <x v="14"/>
          </reference>
          <reference field="5" count="1" selected="0">
            <x v="10"/>
          </reference>
          <reference field="45" count="1" selected="0">
            <x v="1"/>
          </reference>
        </references>
      </pivotArea>
    </format>
    <format dxfId="2792">
      <pivotArea outline="0" collapsedLevelsAreSubtotals="1" fieldPosition="0">
        <references count="4">
          <reference field="4294967294" count="1" selected="0">
            <x v="14"/>
          </reference>
          <reference field="0" count="1" selected="0">
            <x v="14"/>
          </reference>
          <reference field="5" count="1" selected="0">
            <x v="4"/>
          </reference>
          <reference field="45" count="1" selected="0">
            <x v="0"/>
          </reference>
        </references>
      </pivotArea>
    </format>
    <format dxfId="2791">
      <pivotArea outline="0" collapsedLevelsAreSubtotals="1" fieldPosition="0">
        <references count="4">
          <reference field="4294967294" count="1" selected="0">
            <x v="14"/>
          </reference>
          <reference field="0" count="1" selected="0">
            <x v="14"/>
          </reference>
          <reference field="5" count="2" selected="0">
            <x v="9"/>
            <x v="10"/>
          </reference>
          <reference field="45" count="1" selected="0">
            <x v="1"/>
          </reference>
        </references>
      </pivotArea>
    </format>
    <format dxfId="2790">
      <pivotArea outline="0" collapsedLevelsAreSubtotals="1" fieldPosition="0">
        <references count="4">
          <reference field="4294967294" count="1" selected="0">
            <x v="20"/>
          </reference>
          <reference field="0" count="1" selected="0">
            <x v="14"/>
          </reference>
          <reference field="5" count="1" selected="0">
            <x v="4"/>
          </reference>
          <reference field="45" count="1" selected="0">
            <x v="0"/>
          </reference>
        </references>
      </pivotArea>
    </format>
    <format dxfId="2789">
      <pivotArea outline="0" collapsedLevelsAreSubtotals="1" fieldPosition="0">
        <references count="4">
          <reference field="4294967294" count="1" selected="0">
            <x v="35"/>
          </reference>
          <reference field="0" count="1" selected="0">
            <x v="14"/>
          </reference>
          <reference field="5" count="2" selected="0">
            <x v="0"/>
            <x v="1"/>
          </reference>
          <reference field="45" count="1" selected="0">
            <x v="0"/>
          </reference>
        </references>
      </pivotArea>
    </format>
    <format dxfId="2788">
      <pivotArea outline="0" collapsedLevelsAreSubtotals="1" fieldPosition="0">
        <references count="4">
          <reference field="4294967294" count="1" selected="0">
            <x v="5"/>
          </reference>
          <reference field="0" count="1" selected="0">
            <x v="15"/>
          </reference>
          <reference field="5" count="1" selected="0">
            <x v="5"/>
          </reference>
          <reference field="45" count="1" selected="0">
            <x v="0"/>
          </reference>
        </references>
      </pivotArea>
    </format>
    <format dxfId="2787">
      <pivotArea outline="0" collapsedLevelsAreSubtotals="1" fieldPosition="0">
        <references count="4">
          <reference field="4294967294" count="1" selected="0">
            <x v="14"/>
          </reference>
          <reference field="0" count="1" selected="0">
            <x v="15"/>
          </reference>
          <reference field="5" count="1" selected="0">
            <x v="2"/>
          </reference>
          <reference field="45" count="1" selected="0">
            <x v="0"/>
          </reference>
        </references>
      </pivotArea>
    </format>
    <format dxfId="2786">
      <pivotArea outline="0" collapsedLevelsAreSubtotals="1" fieldPosition="0">
        <references count="4">
          <reference field="4294967294" count="1" selected="0">
            <x v="14"/>
          </reference>
          <reference field="0" count="1" selected="0">
            <x v="15"/>
          </reference>
          <reference field="5" count="2" selected="0">
            <x v="4"/>
            <x v="5"/>
          </reference>
          <reference field="45" count="1" selected="0">
            <x v="0"/>
          </reference>
        </references>
      </pivotArea>
    </format>
    <format dxfId="2785">
      <pivotArea outline="0" collapsedLevelsAreSubtotals="1" fieldPosition="0">
        <references count="4">
          <reference field="4294967294" count="1" selected="0">
            <x v="14"/>
          </reference>
          <reference field="0" count="1" selected="0">
            <x v="15"/>
          </reference>
          <reference field="5" count="1" selected="0">
            <x v="6"/>
          </reference>
          <reference field="45" count="1" selected="0">
            <x v="1"/>
          </reference>
        </references>
      </pivotArea>
    </format>
    <format dxfId="2784">
      <pivotArea outline="0" collapsedLevelsAreSubtotals="1" fieldPosition="0">
        <references count="4">
          <reference field="4294967294" count="1" selected="0">
            <x v="14"/>
          </reference>
          <reference field="0" count="1" selected="0">
            <x v="15"/>
          </reference>
          <reference field="5" count="2" selected="0">
            <x v="8"/>
            <x v="9"/>
          </reference>
          <reference field="45" count="1" selected="0">
            <x v="1"/>
          </reference>
        </references>
      </pivotArea>
    </format>
    <format dxfId="2783">
      <pivotArea outline="0" collapsedLevelsAreSubtotals="1" fieldPosition="0">
        <references count="4">
          <reference field="4294967294" count="1" selected="0">
            <x v="35"/>
          </reference>
          <reference field="0" count="1" selected="0">
            <x v="15"/>
          </reference>
          <reference field="5" count="1" selected="0">
            <x v="2"/>
          </reference>
          <reference field="45" count="1" selected="0">
            <x v="0"/>
          </reference>
        </references>
      </pivotArea>
    </format>
    <format dxfId="2782">
      <pivotArea outline="0" collapsedLevelsAreSubtotals="1" fieldPosition="0">
        <references count="4">
          <reference field="4294967294" count="1" selected="0">
            <x v="11"/>
          </reference>
          <reference field="0" count="1" selected="0">
            <x v="3"/>
          </reference>
          <reference field="5" count="4" selected="0">
            <x v="0"/>
            <x v="1"/>
            <x v="2"/>
            <x v="3"/>
          </reference>
          <reference field="45" count="1" selected="0">
            <x v="0"/>
          </reference>
        </references>
      </pivotArea>
    </format>
    <format dxfId="2781">
      <pivotArea outline="0" collapsedLevelsAreSubtotals="1" fieldPosition="0">
        <references count="4">
          <reference field="4294967294" count="1" selected="0">
            <x v="11"/>
          </reference>
          <reference field="0" count="1" selected="0">
            <x v="3"/>
          </reference>
          <reference field="5" count="1" selected="0">
            <x v="5"/>
          </reference>
          <reference field="45" count="1" selected="0">
            <x v="0"/>
          </reference>
        </references>
      </pivotArea>
    </format>
    <format dxfId="2780">
      <pivotArea dataOnly="0" outline="0" fieldPosition="0">
        <references count="1">
          <reference field="4294967294" count="1">
            <x v="0"/>
          </reference>
        </references>
      </pivotArea>
    </format>
    <format dxfId="2779">
      <pivotArea outline="0" collapsedLevelsAreSubtotals="1" fieldPosition="0">
        <references count="4">
          <reference field="4294967294" count="1" selected="0">
            <x v="11"/>
          </reference>
          <reference field="0" count="1" selected="0">
            <x v="2"/>
          </reference>
          <reference field="5" count="3" selected="0">
            <x v="7"/>
            <x v="8"/>
            <x v="9"/>
          </reference>
          <reference field="45" count="1" selected="0">
            <x v="1"/>
          </reference>
        </references>
      </pivotArea>
    </format>
    <format dxfId="2778">
      <pivotArea outline="0" collapsedLevelsAreSubtotals="1" fieldPosition="0">
        <references count="4">
          <reference field="4294967294" count="1" selected="0">
            <x v="31"/>
          </reference>
          <reference field="0" count="1" selected="0">
            <x v="3"/>
          </reference>
          <reference field="5" count="1" selected="0">
            <x v="1"/>
          </reference>
          <reference field="45" count="1" selected="0">
            <x v="0"/>
          </reference>
        </references>
      </pivotArea>
    </format>
    <format dxfId="2777">
      <pivotArea outline="0" collapsedLevelsAreSubtotals="1" fieldPosition="0">
        <references count="4">
          <reference field="4294967294" count="1" selected="0">
            <x v="34"/>
          </reference>
          <reference field="0" count="1" selected="0">
            <x v="3"/>
          </reference>
          <reference field="5" count="1" selected="0">
            <x v="1"/>
          </reference>
          <reference field="45" count="1" selected="0">
            <x v="0"/>
          </reference>
        </references>
      </pivotArea>
    </format>
    <format dxfId="2776">
      <pivotArea outline="0" collapsedLevelsAreSubtotals="1" fieldPosition="0">
        <references count="4">
          <reference field="4294967294" count="1" selected="0">
            <x v="11"/>
          </reference>
          <reference field="0" count="1" selected="0">
            <x v="3"/>
          </reference>
          <reference field="5" count="2" selected="0">
            <x v="0"/>
            <x v="1"/>
          </reference>
          <reference field="45" count="1" selected="0">
            <x v="0"/>
          </reference>
        </references>
      </pivotArea>
    </format>
    <format dxfId="2775">
      <pivotArea outline="0" collapsedLevelsAreSubtotals="1" fieldPosition="0">
        <references count="4">
          <reference field="4294967294" count="1" selected="0">
            <x v="11"/>
          </reference>
          <reference field="0" count="1" selected="0">
            <x v="3"/>
          </reference>
          <reference field="5" count="1" selected="0">
            <x v="3"/>
          </reference>
          <reference field="45" count="1" selected="0">
            <x v="0"/>
          </reference>
        </references>
      </pivotArea>
    </format>
    <format dxfId="2774">
      <pivotArea outline="0" collapsedLevelsAreSubtotals="1" fieldPosition="0">
        <references count="4">
          <reference field="4294967294" count="1" selected="0">
            <x v="11"/>
          </reference>
          <reference field="0" count="1" selected="0">
            <x v="3"/>
          </reference>
          <reference field="5" count="1" selected="0">
            <x v="2"/>
          </reference>
          <reference field="45" count="1" selected="0">
            <x v="0"/>
          </reference>
        </references>
      </pivotArea>
    </format>
    <format dxfId="2773">
      <pivotArea outline="0" collapsedLevelsAreSubtotals="1" fieldPosition="0">
        <references count="4">
          <reference field="4294967294" count="1" selected="0">
            <x v="2"/>
          </reference>
          <reference field="0" count="1" selected="0">
            <x v="5"/>
          </reference>
          <reference field="5" count="3" selected="0">
            <x v="7"/>
            <x v="8"/>
            <x v="9"/>
          </reference>
          <reference field="45" count="1" selected="0">
            <x v="1"/>
          </reference>
        </references>
      </pivotArea>
    </format>
    <format dxfId="2772">
      <pivotArea outline="0" collapsedLevelsAreSubtotals="1" fieldPosition="0">
        <references count="4">
          <reference field="4294967294" count="1" selected="0">
            <x v="2"/>
          </reference>
          <reference field="0" count="1" selected="0">
            <x v="5"/>
          </reference>
          <reference field="5" count="1" selected="0">
            <x v="8"/>
          </reference>
          <reference field="45" count="1" selected="0">
            <x v="1"/>
          </reference>
        </references>
      </pivotArea>
    </format>
    <format dxfId="2771">
      <pivotArea outline="0" collapsedLevelsAreSubtotals="1" fieldPosition="0">
        <references count="4">
          <reference field="4294967294" count="1" selected="0">
            <x v="11"/>
          </reference>
          <reference field="0" count="1" selected="0">
            <x v="6"/>
          </reference>
          <reference field="5" count="1" selected="0">
            <x v="11"/>
          </reference>
          <reference field="45" count="1" selected="0">
            <x v="2"/>
          </reference>
        </references>
      </pivotArea>
    </format>
    <format dxfId="2770">
      <pivotArea outline="0" collapsedLevelsAreSubtotals="1" fieldPosition="0">
        <references count="4">
          <reference field="4294967294" count="1" selected="0">
            <x v="2"/>
          </reference>
          <reference field="0" count="1" selected="0">
            <x v="8"/>
          </reference>
          <reference field="5" count="1" selected="0">
            <x v="3"/>
          </reference>
          <reference field="45" count="1" selected="0">
            <x v="0"/>
          </reference>
        </references>
      </pivotArea>
    </format>
    <format dxfId="2769">
      <pivotArea outline="0" collapsedLevelsAreSubtotals="1" fieldPosition="0">
        <references count="4">
          <reference field="4294967294" count="1" selected="0">
            <x v="2"/>
          </reference>
          <reference field="0" count="1" selected="0">
            <x v="8"/>
          </reference>
          <reference field="5" count="3" selected="0">
            <x v="7"/>
            <x v="8"/>
            <x v="9"/>
          </reference>
          <reference field="45" count="1" selected="0">
            <x v="1"/>
          </reference>
        </references>
      </pivotArea>
    </format>
    <format dxfId="2768">
      <pivotArea outline="0" collapsedLevelsAreSubtotals="1" fieldPosition="0">
        <references count="4">
          <reference field="4294967294" count="1" selected="0">
            <x v="5"/>
          </reference>
          <reference field="0" count="1" selected="0">
            <x v="8"/>
          </reference>
          <reference field="5" count="1" selected="0">
            <x v="7"/>
          </reference>
          <reference field="45" count="1" selected="0">
            <x v="1"/>
          </reference>
        </references>
      </pivotArea>
    </format>
    <format dxfId="2767">
      <pivotArea outline="0" collapsedLevelsAreSubtotals="1" fieldPosition="0">
        <references count="4">
          <reference field="4294967294" count="1" selected="0">
            <x v="32"/>
          </reference>
          <reference field="0" count="1" selected="0">
            <x v="8"/>
          </reference>
          <reference field="5" count="1" selected="0">
            <x v="14"/>
          </reference>
          <reference field="45" count="1" selected="0">
            <x v="3"/>
          </reference>
        </references>
      </pivotArea>
    </format>
    <format dxfId="2766">
      <pivotArea outline="0" collapsedLevelsAreSubtotals="1" fieldPosition="0">
        <references count="4">
          <reference field="4294967294" count="1" selected="0">
            <x v="38"/>
          </reference>
          <reference field="0" count="1" selected="0">
            <x v="0"/>
          </reference>
          <reference field="5" count="1" selected="0">
            <x v="0"/>
          </reference>
          <reference field="45" count="1" selected="0">
            <x v="0"/>
          </reference>
        </references>
      </pivotArea>
    </format>
    <format dxfId="2765">
      <pivotArea outline="0" collapsedLevelsAreSubtotals="1" fieldPosition="0">
        <references count="4">
          <reference field="4294967294" count="1" selected="0">
            <x v="38"/>
          </reference>
          <reference field="0" count="1" selected="0">
            <x v="4"/>
          </reference>
          <reference field="5" count="1" selected="0">
            <x v="7"/>
          </reference>
          <reference field="45" count="1" selected="0">
            <x v="1"/>
          </reference>
        </references>
      </pivotArea>
    </format>
    <format dxfId="2764">
      <pivotArea outline="0" collapsedLevelsAreSubtotals="1" fieldPosition="0">
        <references count="4">
          <reference field="4294967294" count="1" selected="0">
            <x v="38"/>
          </reference>
          <reference field="0" count="1" selected="0">
            <x v="6"/>
          </reference>
          <reference field="5" count="1" selected="0">
            <x v="5"/>
          </reference>
          <reference field="45" count="1" selected="0">
            <x v="0"/>
          </reference>
        </references>
      </pivotArea>
    </format>
    <format dxfId="2763">
      <pivotArea outline="0" collapsedLevelsAreSubtotals="1" fieldPosition="0">
        <references count="4">
          <reference field="4294967294" count="1" selected="0">
            <x v="38"/>
          </reference>
          <reference field="0" count="1" selected="0">
            <x v="6"/>
          </reference>
          <reference field="5" count="1" selected="0">
            <x v="8"/>
          </reference>
          <reference field="45" count="1" selected="0">
            <x v="1"/>
          </reference>
        </references>
      </pivotArea>
    </format>
    <format dxfId="2762">
      <pivotArea outline="0" collapsedLevelsAreSubtotals="1" fieldPosition="0">
        <references count="4">
          <reference field="4294967294" count="1" selected="0">
            <x v="38"/>
          </reference>
          <reference field="0" count="1" selected="0">
            <x v="6"/>
          </reference>
          <reference field="5" count="1" selected="0">
            <x v="11"/>
          </reference>
          <reference field="45" count="1" selected="0">
            <x v="2"/>
          </reference>
        </references>
      </pivotArea>
    </format>
    <format dxfId="2761">
      <pivotArea outline="0" collapsedLevelsAreSubtotals="1" fieldPosition="0">
        <references count="4">
          <reference field="4294967294" count="1" selected="0">
            <x v="38"/>
          </reference>
          <reference field="0" count="1" selected="0">
            <x v="9"/>
          </reference>
          <reference field="5" count="1" selected="0">
            <x v="3"/>
          </reference>
          <reference field="45" count="1" selected="0">
            <x v="0"/>
          </reference>
        </references>
      </pivotArea>
    </format>
    <format dxfId="2760">
      <pivotArea outline="0" collapsedLevelsAreSubtotals="1" fieldPosition="0">
        <references count="4">
          <reference field="4294967294" count="1" selected="0">
            <x v="2"/>
          </reference>
          <reference field="0" count="1" selected="0">
            <x v="7"/>
          </reference>
          <reference field="5" count="1" selected="0">
            <x v="8"/>
          </reference>
          <reference field="45" count="1" selected="0">
            <x v="1"/>
          </reference>
        </references>
      </pivotArea>
    </format>
    <format dxfId="2759">
      <pivotArea dataOnly="0" outline="0" fieldPosition="0">
        <references count="1">
          <reference field="4294967294" count="15">
            <x v="0"/>
            <x v="1"/>
            <x v="2"/>
            <x v="3"/>
            <x v="4"/>
            <x v="5"/>
            <x v="6"/>
            <x v="7"/>
            <x v="8"/>
            <x v="9"/>
            <x v="10"/>
            <x v="11"/>
            <x v="12"/>
            <x v="13"/>
            <x v="14"/>
          </reference>
        </references>
      </pivotArea>
    </format>
    <format dxfId="2758">
      <pivotArea dataOnly="0" outline="0" fieldPosition="0">
        <references count="1">
          <reference field="4294967294" count="21">
            <x v="18"/>
            <x v="19"/>
            <x v="20"/>
            <x v="21"/>
            <x v="22"/>
            <x v="23"/>
            <x v="24"/>
            <x v="25"/>
            <x v="26"/>
            <x v="27"/>
            <x v="28"/>
            <x v="29"/>
            <x v="30"/>
            <x v="31"/>
            <x v="32"/>
            <x v="33"/>
            <x v="34"/>
            <x v="35"/>
            <x v="36"/>
            <x v="37"/>
            <x v="38"/>
          </reference>
        </references>
      </pivotArea>
    </format>
    <format dxfId="2757">
      <pivotArea dataOnly="0" outline="0" fieldPosition="0">
        <references count="1">
          <reference field="45" count="0" defaultSubtotal="1"/>
        </references>
      </pivotArea>
    </format>
    <format dxfId="2756">
      <pivotArea outline="0" collapsedLevelsAreSubtotals="1" fieldPosition="0">
        <references count="4">
          <reference field="4294967294" count="1" selected="0">
            <x v="2"/>
          </reference>
          <reference field="0" count="1" selected="0">
            <x v="0"/>
          </reference>
          <reference field="5" count="1" selected="0">
            <x v="1"/>
          </reference>
          <reference field="45" count="1" selected="0">
            <x v="0"/>
          </reference>
        </references>
      </pivotArea>
    </format>
    <format dxfId="2755">
      <pivotArea outline="0" collapsedLevelsAreSubtotals="1" fieldPosition="0">
        <references count="4">
          <reference field="4294967294" count="1" selected="0">
            <x v="5"/>
          </reference>
          <reference field="0" count="1" selected="0">
            <x v="0"/>
          </reference>
          <reference field="5" count="1" selected="0">
            <x v="1"/>
          </reference>
          <reference field="45" count="1" selected="0">
            <x v="0"/>
          </reference>
        </references>
      </pivotArea>
    </format>
    <format dxfId="2754">
      <pivotArea outline="0" collapsedLevelsAreSubtotals="1" fieldPosition="0">
        <references count="4">
          <reference field="4294967294" count="1" selected="0">
            <x v="5"/>
          </reference>
          <reference field="0" count="1" selected="0">
            <x v="0"/>
          </reference>
          <reference field="5" count="1" selected="0">
            <x v="3"/>
          </reference>
          <reference field="45" count="1" selected="0">
            <x v="0"/>
          </reference>
        </references>
      </pivotArea>
    </format>
    <format dxfId="2753">
      <pivotArea outline="0" collapsedLevelsAreSubtotals="1" fieldPosition="0">
        <references count="4">
          <reference field="4294967294" count="1" selected="0">
            <x v="11"/>
          </reference>
          <reference field="0" count="1" selected="0">
            <x v="0"/>
          </reference>
          <reference field="5" count="1" selected="0">
            <x v="5"/>
          </reference>
          <reference field="45" count="1" selected="0">
            <x v="0"/>
          </reference>
        </references>
      </pivotArea>
    </format>
    <format dxfId="2752">
      <pivotArea outline="0" collapsedLevelsAreSubtotals="1" fieldPosition="0">
        <references count="4">
          <reference field="4294967294" count="1" selected="0">
            <x v="14"/>
          </reference>
          <reference field="0" count="1" selected="0">
            <x v="0"/>
          </reference>
          <reference field="5" count="1" selected="0">
            <x v="1"/>
          </reference>
          <reference field="45" count="1" selected="0">
            <x v="0"/>
          </reference>
        </references>
      </pivotArea>
    </format>
    <format dxfId="2751">
      <pivotArea outline="0" collapsedLevelsAreSubtotals="1" fieldPosition="0">
        <references count="4">
          <reference field="4294967294" count="1" selected="0">
            <x v="14"/>
          </reference>
          <reference field="0" count="1" selected="0">
            <x v="0"/>
          </reference>
          <reference field="5" count="1" selected="0">
            <x v="5"/>
          </reference>
          <reference field="45" count="1" selected="0">
            <x v="0"/>
          </reference>
        </references>
      </pivotArea>
    </format>
    <format dxfId="2750">
      <pivotArea outline="0" collapsedLevelsAreSubtotals="1" fieldPosition="0">
        <references count="4">
          <reference field="4294967294" count="1" selected="0">
            <x v="5"/>
          </reference>
          <reference field="0" count="1" selected="0">
            <x v="0"/>
          </reference>
          <reference field="5" count="1" selected="0">
            <x v="9"/>
          </reference>
          <reference field="45" count="1" selected="0">
            <x v="1"/>
          </reference>
        </references>
      </pivotArea>
    </format>
    <format dxfId="2749">
      <pivotArea outline="0" collapsedLevelsAreSubtotals="1" fieldPosition="0">
        <references count="4">
          <reference field="4294967294" count="1" selected="0">
            <x v="8"/>
          </reference>
          <reference field="0" count="1" selected="0">
            <x v="0"/>
          </reference>
          <reference field="5" count="2" selected="0">
            <x v="7"/>
            <x v="8"/>
          </reference>
          <reference field="45" count="1" selected="0">
            <x v="1"/>
          </reference>
        </references>
      </pivotArea>
    </format>
    <format dxfId="2748">
      <pivotArea outline="0" collapsedLevelsAreSubtotals="1" fieldPosition="0">
        <references count="4">
          <reference field="4294967294" count="1" selected="0">
            <x v="14"/>
          </reference>
          <reference field="0" count="1" selected="0">
            <x v="0"/>
          </reference>
          <reference field="5" count="2" selected="0">
            <x v="8"/>
            <x v="9"/>
          </reference>
          <reference field="45" count="1" selected="0">
            <x v="1"/>
          </reference>
        </references>
      </pivotArea>
    </format>
    <format dxfId="2747">
      <pivotArea outline="0" collapsedLevelsAreSubtotals="1" fieldPosition="0">
        <references count="4">
          <reference field="4294967294" count="1" selected="0">
            <x v="32"/>
          </reference>
          <reference field="0" count="1" selected="0">
            <x v="0"/>
          </reference>
          <reference field="5" count="1" selected="0">
            <x v="2"/>
          </reference>
          <reference field="45" count="1" selected="0">
            <x v="0"/>
          </reference>
        </references>
      </pivotArea>
    </format>
    <format dxfId="2746">
      <pivotArea outline="0" collapsedLevelsAreSubtotals="1" fieldPosition="0">
        <references count="4">
          <reference field="4294967294" count="1" selected="0">
            <x v="11"/>
          </reference>
          <reference field="0" count="1" selected="0">
            <x v="1"/>
          </reference>
          <reference field="5" count="1" selected="0">
            <x v="0"/>
          </reference>
          <reference field="45" count="1" selected="0">
            <x v="0"/>
          </reference>
        </references>
      </pivotArea>
    </format>
    <format dxfId="2745">
      <pivotArea outline="0" collapsedLevelsAreSubtotals="1" fieldPosition="0">
        <references count="4">
          <reference field="4294967294" count="1" selected="0">
            <x v="11"/>
          </reference>
          <reference field="0" count="1" selected="0">
            <x v="1"/>
          </reference>
          <reference field="5" count="1" selected="0">
            <x v="9"/>
          </reference>
          <reference field="45" count="1" selected="0">
            <x v="1"/>
          </reference>
        </references>
      </pivotArea>
    </format>
    <format dxfId="2744">
      <pivotArea outline="0" collapsedLevelsAreSubtotals="1" fieldPosition="0">
        <references count="4">
          <reference field="4294967294" count="1" selected="0">
            <x v="8"/>
          </reference>
          <reference field="0" count="1" selected="0">
            <x v="1"/>
          </reference>
          <reference field="5" count="1" selected="0">
            <x v="9"/>
          </reference>
          <reference field="45" count="1" selected="0">
            <x v="1"/>
          </reference>
        </references>
      </pivotArea>
    </format>
    <format dxfId="2743">
      <pivotArea outline="0" collapsedLevelsAreSubtotals="1" fieldPosition="0">
        <references count="3">
          <reference field="4294967294" count="1" selected="0">
            <x v="20"/>
          </reference>
          <reference field="0" count="1" selected="0">
            <x v="1"/>
          </reference>
          <reference field="45" count="1" selected="0">
            <x v="4"/>
          </reference>
        </references>
      </pivotArea>
    </format>
    <format dxfId="2742">
      <pivotArea dataOnly="0" grandCol="1" outline="0" fieldPosition="0"/>
    </format>
    <format dxfId="2741">
      <pivotArea outline="0" collapsedLevelsAreSubtotals="1" fieldPosition="0">
        <references count="4">
          <reference field="4294967294" count="1" selected="0">
            <x v="5"/>
          </reference>
          <reference field="0" count="1" selected="0">
            <x v="2"/>
          </reference>
          <reference field="5" count="1" selected="0">
            <x v="0"/>
          </reference>
          <reference field="45" count="1" selected="0">
            <x v="0"/>
          </reference>
        </references>
      </pivotArea>
    </format>
    <format dxfId="2740">
      <pivotArea outline="0" collapsedLevelsAreSubtotals="1" fieldPosition="0">
        <references count="4">
          <reference field="4294967294" count="1" selected="0">
            <x v="11"/>
          </reference>
          <reference field="0" count="1" selected="0">
            <x v="2"/>
          </reference>
          <reference field="5" count="1" selected="0">
            <x v="2"/>
          </reference>
          <reference field="45" count="1" selected="0">
            <x v="0"/>
          </reference>
        </references>
      </pivotArea>
    </format>
    <format dxfId="2739">
      <pivotArea outline="0" collapsedLevelsAreSubtotals="1" fieldPosition="0">
        <references count="4">
          <reference field="4294967294" count="1" selected="0">
            <x v="2"/>
          </reference>
          <reference field="0" count="1" selected="0">
            <x v="3"/>
          </reference>
          <reference field="5" count="4" selected="0">
            <x v="0"/>
            <x v="1"/>
            <x v="2"/>
            <x v="3"/>
          </reference>
          <reference field="45" count="1" selected="0">
            <x v="0"/>
          </reference>
        </references>
      </pivotArea>
    </format>
    <format dxfId="2738">
      <pivotArea outline="0" collapsedLevelsAreSubtotals="1" fieldPosition="0">
        <references count="4">
          <reference field="4294967294" count="1" selected="0">
            <x v="2"/>
          </reference>
          <reference field="0" count="1" selected="0">
            <x v="3"/>
          </reference>
          <reference field="5" count="1" selected="0">
            <x v="5"/>
          </reference>
          <reference field="45" count="1" selected="0">
            <x v="0"/>
          </reference>
        </references>
      </pivotArea>
    </format>
    <format dxfId="2737">
      <pivotArea outline="0" collapsedLevelsAreSubtotals="1" fieldPosition="0">
        <references count="4">
          <reference field="4294967294" count="1" selected="0">
            <x v="14"/>
          </reference>
          <reference field="0" count="1" selected="0">
            <x v="3"/>
          </reference>
          <reference field="5" count="4" selected="0">
            <x v="0"/>
            <x v="1"/>
            <x v="2"/>
            <x v="3"/>
          </reference>
          <reference field="45" count="1" selected="0">
            <x v="0"/>
          </reference>
        </references>
      </pivotArea>
    </format>
    <format dxfId="2736">
      <pivotArea outline="0" collapsedLevelsAreSubtotals="1" fieldPosition="0">
        <references count="4">
          <reference field="4294967294" count="1" selected="0">
            <x v="14"/>
          </reference>
          <reference field="0" count="1" selected="0">
            <x v="3"/>
          </reference>
          <reference field="5" count="1" selected="0">
            <x v="5"/>
          </reference>
          <reference field="45" count="1" selected="0">
            <x v="0"/>
          </reference>
        </references>
      </pivotArea>
    </format>
    <format dxfId="2735">
      <pivotArea outline="0" collapsedLevelsAreSubtotals="1" fieldPosition="0">
        <references count="4">
          <reference field="4294967294" count="1" selected="0">
            <x v="2"/>
          </reference>
          <reference field="0" count="1" selected="0">
            <x v="3"/>
          </reference>
          <reference field="5" count="1" selected="0">
            <x v="9"/>
          </reference>
          <reference field="45" count="1" selected="0">
            <x v="1"/>
          </reference>
        </references>
      </pivotArea>
    </format>
    <format dxfId="2734">
      <pivotArea outline="0" collapsedLevelsAreSubtotals="1" fieldPosition="0">
        <references count="4">
          <reference field="4294967294" count="1" selected="0">
            <x v="32"/>
          </reference>
          <reference field="0" count="1" selected="0">
            <x v="3"/>
          </reference>
          <reference field="5" count="2" selected="0">
            <x v="0"/>
            <x v="1"/>
          </reference>
          <reference field="45" count="1" selected="0">
            <x v="0"/>
          </reference>
        </references>
      </pivotArea>
    </format>
    <format dxfId="2733">
      <pivotArea outline="0" collapsedLevelsAreSubtotals="1" fieldPosition="0">
        <references count="4">
          <reference field="4294967294" count="1" selected="0">
            <x v="35"/>
          </reference>
          <reference field="0" count="1" selected="0">
            <x v="3"/>
          </reference>
          <reference field="5" count="1" selected="0">
            <x v="1"/>
          </reference>
          <reference field="45" count="1" selected="0">
            <x v="0"/>
          </reference>
        </references>
      </pivotArea>
    </format>
    <format dxfId="2732">
      <pivotArea outline="0" collapsedLevelsAreSubtotals="1" fieldPosition="0">
        <references count="4">
          <reference field="4294967294" count="1" selected="0">
            <x v="38"/>
          </reference>
          <reference field="0" count="1" selected="0">
            <x v="3"/>
          </reference>
          <reference field="5" count="4" selected="0">
            <x v="0"/>
            <x v="1"/>
            <x v="2"/>
            <x v="3"/>
          </reference>
          <reference field="45" count="1" selected="0">
            <x v="0"/>
          </reference>
        </references>
      </pivotArea>
    </format>
    <format dxfId="2731">
      <pivotArea outline="0" collapsedLevelsAreSubtotals="1" fieldPosition="0">
        <references count="4">
          <reference field="4294967294" count="1" selected="0">
            <x v="38"/>
          </reference>
          <reference field="0" count="1" selected="0">
            <x v="3"/>
          </reference>
          <reference field="5" count="1" selected="0">
            <x v="5"/>
          </reference>
          <reference field="45" count="1" selected="0">
            <x v="0"/>
          </reference>
        </references>
      </pivotArea>
    </format>
    <format dxfId="2730">
      <pivotArea outline="0" collapsedLevelsAreSubtotals="1" fieldPosition="0">
        <references count="4">
          <reference field="4294967294" count="1" selected="0">
            <x v="2"/>
          </reference>
          <reference field="0" count="1" selected="0">
            <x v="4"/>
          </reference>
          <reference field="5" count="1" selected="0">
            <x v="7"/>
          </reference>
          <reference field="45" count="1" selected="0">
            <x v="1"/>
          </reference>
        </references>
      </pivotArea>
    </format>
    <format dxfId="2729">
      <pivotArea outline="0" collapsedLevelsAreSubtotals="1" fieldPosition="0">
        <references count="3">
          <reference field="4294967294" count="1" selected="0">
            <x v="5"/>
          </reference>
          <reference field="0" count="1" selected="0">
            <x v="4"/>
          </reference>
          <reference field="45" count="1" selected="0">
            <x v="4"/>
          </reference>
        </references>
      </pivotArea>
    </format>
    <format dxfId="2728">
      <pivotArea outline="0" collapsedLevelsAreSubtotals="1" fieldPosition="0">
        <references count="3">
          <reference field="4294967294" count="1" selected="0">
            <x v="38"/>
          </reference>
          <reference field="0" count="1" selected="0">
            <x v="4"/>
          </reference>
          <reference field="45" count="1" selected="0">
            <x v="4"/>
          </reference>
        </references>
      </pivotArea>
    </format>
    <format dxfId="2727">
      <pivotArea outline="0" collapsedLevelsAreSubtotals="1" fieldPosition="0">
        <references count="4">
          <reference field="4294967294" count="1" selected="0">
            <x v="11"/>
          </reference>
          <reference field="0" count="1" selected="0">
            <x v="5"/>
          </reference>
          <reference field="5" count="1" selected="0">
            <x v="11"/>
          </reference>
          <reference field="45" count="1" selected="0">
            <x v="2"/>
          </reference>
        </references>
      </pivotArea>
    </format>
    <format dxfId="2726">
      <pivotArea outline="0" collapsedLevelsAreSubtotals="1" fieldPosition="0">
        <references count="4">
          <reference field="4294967294" count="1" selected="0">
            <x v="14"/>
          </reference>
          <reference field="0" count="1" selected="0">
            <x v="5"/>
          </reference>
          <reference field="5" count="1" selected="0">
            <x v="3"/>
          </reference>
          <reference field="45" count="1" selected="0">
            <x v="0"/>
          </reference>
        </references>
      </pivotArea>
    </format>
    <format dxfId="2725">
      <pivotArea outline="0" collapsedLevelsAreSubtotals="1" fieldPosition="0">
        <references count="4">
          <reference field="4294967294" count="1" selected="0">
            <x v="14"/>
          </reference>
          <reference field="0" count="1" selected="0">
            <x v="5"/>
          </reference>
          <reference field="5" count="1" selected="0">
            <x v="0"/>
          </reference>
          <reference field="45" count="1" selected="0">
            <x v="0"/>
          </reference>
        </references>
      </pivotArea>
    </format>
    <format dxfId="2724">
      <pivotArea outline="0" collapsedLevelsAreSubtotals="1" fieldPosition="0">
        <references count="4">
          <reference field="4294967294" count="1" selected="0">
            <x v="5"/>
          </reference>
          <reference field="0" count="1" selected="0">
            <x v="5"/>
          </reference>
          <reference field="5" count="1" selected="0">
            <x v="3"/>
          </reference>
          <reference field="45" count="1" selected="0">
            <x v="0"/>
          </reference>
        </references>
      </pivotArea>
    </format>
    <format dxfId="2723">
      <pivotArea outline="0" collapsedLevelsAreSubtotals="1" fieldPosition="0">
        <references count="4">
          <reference field="4294967294" count="1" selected="0">
            <x v="35"/>
          </reference>
          <reference field="0" count="1" selected="0">
            <x v="5"/>
          </reference>
          <reference field="5" count="1" selected="0">
            <x v="0"/>
          </reference>
          <reference field="45" count="1" selected="0">
            <x v="0"/>
          </reference>
        </references>
      </pivotArea>
    </format>
    <format dxfId="2722">
      <pivotArea outline="0" collapsedLevelsAreSubtotals="1" fieldPosition="0">
        <references count="4">
          <reference field="4294967294" count="1" selected="0">
            <x v="2"/>
          </reference>
          <reference field="0" count="1" selected="0">
            <x v="6"/>
          </reference>
          <reference field="5" count="4" selected="0">
            <x v="0"/>
            <x v="1"/>
            <x v="2"/>
            <x v="3"/>
          </reference>
          <reference field="45" count="1" selected="0">
            <x v="0"/>
          </reference>
        </references>
      </pivotArea>
    </format>
    <format dxfId="2721">
      <pivotArea outline="0" collapsedLevelsAreSubtotals="1" fieldPosition="0">
        <references count="4">
          <reference field="4294967294" count="1" selected="0">
            <x v="2"/>
          </reference>
          <reference field="0" count="1" selected="0">
            <x v="6"/>
          </reference>
          <reference field="5" count="1" selected="0">
            <x v="5"/>
          </reference>
          <reference field="45" count="1" selected="0">
            <x v="0"/>
          </reference>
        </references>
      </pivotArea>
    </format>
    <format dxfId="2720">
      <pivotArea outline="0" collapsedLevelsAreSubtotals="1" fieldPosition="0">
        <references count="4">
          <reference field="4294967294" count="1" selected="0">
            <x v="2"/>
          </reference>
          <reference field="0" count="1" selected="0">
            <x v="6"/>
          </reference>
          <reference field="5" count="1" selected="0">
            <x v="11"/>
          </reference>
          <reference field="45" count="1" selected="0">
            <x v="2"/>
          </reference>
        </references>
      </pivotArea>
    </format>
    <format dxfId="2719">
      <pivotArea outline="0" collapsedLevelsAreSubtotals="1" fieldPosition="0">
        <references count="3">
          <reference field="4294967294" count="1" selected="0">
            <x v="20"/>
          </reference>
          <reference field="0" count="1" selected="0">
            <x v="6"/>
          </reference>
          <reference field="45" count="1" selected="0">
            <x v="4"/>
          </reference>
        </references>
      </pivotArea>
    </format>
    <format dxfId="2718">
      <pivotArea outline="0" collapsedLevelsAreSubtotals="1" fieldPosition="0">
        <references count="4">
          <reference field="4294967294" count="1" selected="0">
            <x v="5"/>
          </reference>
          <reference field="0" count="1" selected="0">
            <x v="6"/>
          </reference>
          <reference field="5" count="1" selected="0">
            <x v="2"/>
          </reference>
          <reference field="45" count="1" selected="0">
            <x v="0"/>
          </reference>
        </references>
      </pivotArea>
    </format>
    <format dxfId="2717">
      <pivotArea outline="0" collapsedLevelsAreSubtotals="1" fieldPosition="0">
        <references count="4">
          <reference field="4294967294" count="1" selected="0">
            <x v="11"/>
          </reference>
          <reference field="0" count="1" selected="0">
            <x v="6"/>
          </reference>
          <reference field="5" count="1" selected="0">
            <x v="0"/>
          </reference>
          <reference field="45" count="1" selected="0">
            <x v="0"/>
          </reference>
        </references>
      </pivotArea>
    </format>
    <format dxfId="2716">
      <pivotArea outline="0" collapsedLevelsAreSubtotals="1" fieldPosition="0">
        <references count="4">
          <reference field="4294967294" count="1" selected="0">
            <x v="7"/>
          </reference>
          <reference field="0" count="1" selected="0">
            <x v="0"/>
          </reference>
          <reference field="5" count="1" selected="0">
            <x v="9"/>
          </reference>
          <reference field="45" count="1" selected="0">
            <x v="1"/>
          </reference>
        </references>
      </pivotArea>
    </format>
    <format dxfId="2715">
      <pivotArea outline="0" collapsedLevelsAreSubtotals="1" fieldPosition="0">
        <references count="4">
          <reference field="4294967294" count="1" selected="0">
            <x v="35"/>
          </reference>
          <reference field="0" count="1" selected="0">
            <x v="6"/>
          </reference>
          <reference field="5" count="1" selected="0">
            <x v="0"/>
          </reference>
          <reference field="45" count="1" selected="0">
            <x v="0"/>
          </reference>
        </references>
      </pivotArea>
    </format>
    <format dxfId="2714">
      <pivotArea outline="0" collapsedLevelsAreSubtotals="1" fieldPosition="0">
        <references count="4">
          <reference field="4294967294" count="1" selected="0">
            <x v="2"/>
          </reference>
          <reference field="0" count="1" selected="0">
            <x v="7"/>
          </reference>
          <reference field="5" count="6" selected="0">
            <x v="0"/>
            <x v="1"/>
            <x v="2"/>
            <x v="3"/>
            <x v="4"/>
            <x v="5"/>
          </reference>
          <reference field="45" count="1" selected="0">
            <x v="0"/>
          </reference>
        </references>
      </pivotArea>
    </format>
    <format dxfId="2713">
      <pivotArea outline="0" collapsedLevelsAreSubtotals="1" fieldPosition="0">
        <references count="4">
          <reference field="4294967294" count="1" selected="0">
            <x v="11"/>
          </reference>
          <reference field="0" count="1" selected="0">
            <x v="7"/>
          </reference>
          <reference field="5" count="1" selected="0">
            <x v="5"/>
          </reference>
          <reference field="45" count="1" selected="0">
            <x v="0"/>
          </reference>
        </references>
      </pivotArea>
    </format>
    <format dxfId="2712">
      <pivotArea outline="0" collapsedLevelsAreSubtotals="1" fieldPosition="0">
        <references count="4">
          <reference field="4294967294" count="1" selected="0">
            <x v="38"/>
          </reference>
          <reference field="0" count="1" selected="0">
            <x v="7"/>
          </reference>
          <reference field="5" count="1" selected="0">
            <x v="5"/>
          </reference>
          <reference field="45" count="1" selected="0">
            <x v="0"/>
          </reference>
        </references>
      </pivotArea>
    </format>
    <format dxfId="2711">
      <pivotArea outline="0" collapsedLevelsAreSubtotals="1" fieldPosition="0">
        <references count="4">
          <reference field="4294967294" count="1" selected="0">
            <x v="5"/>
          </reference>
          <reference field="0" count="1" selected="0">
            <x v="7"/>
          </reference>
          <reference field="5" count="2" selected="0">
            <x v="8"/>
            <x v="9"/>
          </reference>
          <reference field="45" count="1" selected="0">
            <x v="1"/>
          </reference>
        </references>
      </pivotArea>
    </format>
    <format dxfId="2710">
      <pivotArea outline="0" collapsedLevelsAreSubtotals="1" fieldPosition="0">
        <references count="4">
          <reference field="4294967294" count="1" selected="0">
            <x v="32"/>
          </reference>
          <reference field="0" count="1" selected="0">
            <x v="7"/>
          </reference>
          <reference field="5" count="1" selected="0">
            <x v="14"/>
          </reference>
          <reference field="45" count="1" selected="0">
            <x v="3"/>
          </reference>
        </references>
      </pivotArea>
    </format>
    <format dxfId="2709">
      <pivotArea outline="0" collapsedLevelsAreSubtotals="1" fieldPosition="0">
        <references count="4">
          <reference field="4294967294" count="1" selected="0">
            <x v="2"/>
          </reference>
          <reference field="0" count="1" selected="0">
            <x v="8"/>
          </reference>
          <reference field="5" count="1" selected="0">
            <x v="4"/>
          </reference>
          <reference field="45" count="1" selected="0">
            <x v="0"/>
          </reference>
        </references>
      </pivotArea>
    </format>
    <format dxfId="2708">
      <pivotArea outline="0" collapsedLevelsAreSubtotals="1" fieldPosition="0">
        <references count="4">
          <reference field="4294967294" count="1" selected="0">
            <x v="11"/>
          </reference>
          <reference field="0" count="1" selected="0">
            <x v="8"/>
          </reference>
          <reference field="5" count="1" selected="0">
            <x v="3"/>
          </reference>
          <reference field="45" count="1" selected="0">
            <x v="0"/>
          </reference>
        </references>
      </pivotArea>
    </format>
    <format dxfId="2707">
      <pivotArea outline="0" collapsedLevelsAreSubtotals="1" fieldPosition="0">
        <references count="4">
          <reference field="4294967294" count="1" selected="0">
            <x v="38"/>
          </reference>
          <reference field="0" count="1" selected="0">
            <x v="8"/>
          </reference>
          <reference field="5" count="1" selected="0">
            <x v="3"/>
          </reference>
          <reference field="45" count="1" selected="0">
            <x v="0"/>
          </reference>
        </references>
      </pivotArea>
    </format>
    <format dxfId="2706">
      <pivotArea outline="0" collapsedLevelsAreSubtotals="1" fieldPosition="0">
        <references count="4">
          <reference field="4294967294" count="1" selected="0">
            <x v="11"/>
          </reference>
          <reference field="0" count="1" selected="0">
            <x v="8"/>
          </reference>
          <reference field="5" count="1" selected="0">
            <x v="8"/>
          </reference>
          <reference field="45" count="1" selected="0">
            <x v="1"/>
          </reference>
        </references>
      </pivotArea>
    </format>
    <format dxfId="2705">
      <pivotArea outline="0" collapsedLevelsAreSubtotals="1" fieldPosition="0">
        <references count="4">
          <reference field="4294967294" count="1" selected="0">
            <x v="35"/>
          </reference>
          <reference field="0" count="1" selected="0">
            <x v="8"/>
          </reference>
          <reference field="5" count="1" selected="0">
            <x v="14"/>
          </reference>
          <reference field="45" count="1" selected="0">
            <x v="3"/>
          </reference>
        </references>
      </pivotArea>
    </format>
    <format dxfId="2704">
      <pivotArea outline="0" collapsedLevelsAreSubtotals="1" fieldPosition="0">
        <references count="3">
          <reference field="4294967294" count="1" selected="0">
            <x v="5"/>
          </reference>
          <reference field="0" count="1" selected="0">
            <x v="9"/>
          </reference>
          <reference field="45" count="1" selected="0">
            <x v="4"/>
          </reference>
        </references>
      </pivotArea>
    </format>
    <format dxfId="2703">
      <pivotArea outline="0" collapsedLevelsAreSubtotals="1" fieldPosition="0">
        <references count="4">
          <reference field="4294967294" count="1" selected="0">
            <x v="2"/>
          </reference>
          <reference field="0" count="1" selected="0">
            <x v="9"/>
          </reference>
          <reference field="5" count="1" selected="0">
            <x v="14"/>
          </reference>
          <reference field="45" count="1" selected="0">
            <x v="3"/>
          </reference>
        </references>
      </pivotArea>
    </format>
    <format dxfId="2702">
      <pivotArea outline="0" collapsedLevelsAreSubtotals="1" fieldPosition="0">
        <references count="4">
          <reference field="4294967294" count="1" selected="0">
            <x v="11"/>
          </reference>
          <reference field="0" count="1" selected="0">
            <x v="9"/>
          </reference>
          <reference field="5" count="2" selected="0">
            <x v="3"/>
            <x v="4"/>
          </reference>
          <reference field="45" count="1" selected="0">
            <x v="0"/>
          </reference>
        </references>
      </pivotArea>
    </format>
    <format dxfId="2701">
      <pivotArea outline="0" collapsedLevelsAreSubtotals="1" fieldPosition="0">
        <references count="4">
          <reference field="4294967294" count="1" selected="0">
            <x v="35"/>
          </reference>
          <reference field="0" count="1" selected="0">
            <x v="9"/>
          </reference>
          <reference field="5" count="2" selected="0">
            <x v="0"/>
            <x v="1"/>
          </reference>
          <reference field="45" count="1" selected="0">
            <x v="0"/>
          </reference>
        </references>
      </pivotArea>
    </format>
    <format dxfId="2700">
      <pivotArea outline="0" collapsedLevelsAreSubtotals="1" fieldPosition="0">
        <references count="4">
          <reference field="4294967294" count="1" selected="0">
            <x v="11"/>
          </reference>
          <reference field="0" count="1" selected="0">
            <x v="9"/>
          </reference>
          <reference field="5" count="1" selected="0">
            <x v="9"/>
          </reference>
          <reference field="45" count="1" selected="0">
            <x v="1"/>
          </reference>
        </references>
      </pivotArea>
    </format>
    <format dxfId="2699">
      <pivotArea outline="0" collapsedLevelsAreSubtotals="1" fieldPosition="0">
        <references count="4">
          <reference field="4294967294" count="1" selected="0">
            <x v="20"/>
          </reference>
          <reference field="0" count="1" selected="0">
            <x v="9"/>
          </reference>
          <reference field="5" count="1" selected="0">
            <x v="14"/>
          </reference>
          <reference field="45" count="1" selected="0">
            <x v="3"/>
          </reference>
        </references>
      </pivotArea>
    </format>
    <format dxfId="2698">
      <pivotArea outline="0" collapsedLevelsAreSubtotals="1" fieldPosition="0">
        <references count="4">
          <reference field="4294967294" count="1" selected="0">
            <x v="23"/>
          </reference>
          <reference field="0" count="1" selected="0">
            <x v="9"/>
          </reference>
          <reference field="5" count="1" selected="0">
            <x v="14"/>
          </reference>
          <reference field="45" count="1" selected="0">
            <x v="3"/>
          </reference>
        </references>
      </pivotArea>
    </format>
    <format dxfId="2697">
      <pivotArea outline="0" collapsedLevelsAreSubtotals="1" fieldPosition="0">
        <references count="4">
          <reference field="4294967294" count="1" selected="0">
            <x v="29"/>
          </reference>
          <reference field="0" count="1" selected="0">
            <x v="9"/>
          </reference>
          <reference field="5" count="1" selected="0">
            <x v="14"/>
          </reference>
          <reference field="45" count="1" selected="0">
            <x v="3"/>
          </reference>
        </references>
      </pivotArea>
    </format>
    <format dxfId="2696">
      <pivotArea outline="0" collapsedLevelsAreSubtotals="1" fieldPosition="0">
        <references count="3">
          <reference field="4294967294" count="1" selected="0">
            <x v="38"/>
          </reference>
          <reference field="0" count="1" selected="0">
            <x v="9"/>
          </reference>
          <reference field="45" count="1" selected="0">
            <x v="4"/>
          </reference>
        </references>
      </pivotArea>
    </format>
    <format dxfId="2695">
      <pivotArea outline="0" collapsedLevelsAreSubtotals="1" fieldPosition="0">
        <references count="4">
          <reference field="4294967294" count="1" selected="0">
            <x v="38"/>
          </reference>
          <reference field="0" count="1" selected="0">
            <x v="9"/>
          </reference>
          <reference field="5" count="1" selected="0">
            <x v="14"/>
          </reference>
          <reference field="45" count="1" selected="0">
            <x v="3"/>
          </reference>
        </references>
      </pivotArea>
    </format>
    <format dxfId="2694">
      <pivotArea outline="0" collapsedLevelsAreSubtotals="1" fieldPosition="0">
        <references count="4">
          <reference field="4294967294" count="1" selected="0">
            <x v="5"/>
          </reference>
          <reference field="0" count="1" selected="0">
            <x v="10"/>
          </reference>
          <reference field="5" count="1" selected="0">
            <x v="0"/>
          </reference>
          <reference field="45" count="1" selected="0">
            <x v="0"/>
          </reference>
        </references>
      </pivotArea>
    </format>
    <format dxfId="2693">
      <pivotArea outline="0" collapsedLevelsAreSubtotals="1" fieldPosition="0">
        <references count="4">
          <reference field="4294967294" count="1" selected="0">
            <x v="11"/>
          </reference>
          <reference field="0" count="1" selected="0">
            <x v="10"/>
          </reference>
          <reference field="5" count="1" selected="0">
            <x v="0"/>
          </reference>
          <reference field="45" count="1" selected="0">
            <x v="0"/>
          </reference>
        </references>
      </pivotArea>
    </format>
    <format dxfId="2692">
      <pivotArea outline="0" collapsedLevelsAreSubtotals="1" fieldPosition="0">
        <references count="4">
          <reference field="4294967294" count="1" selected="0">
            <x v="38"/>
          </reference>
          <reference field="0" count="1" selected="0">
            <x v="10"/>
          </reference>
          <reference field="5" count="1" selected="0">
            <x v="0"/>
          </reference>
          <reference field="45" count="1" selected="0">
            <x v="0"/>
          </reference>
        </references>
      </pivotArea>
    </format>
    <format dxfId="2691">
      <pivotArea outline="0" collapsedLevelsAreSubtotals="1" fieldPosition="0">
        <references count="4">
          <reference field="4294967294" count="1" selected="0">
            <x v="8"/>
          </reference>
          <reference field="0" count="1" selected="0">
            <x v="10"/>
          </reference>
          <reference field="5" count="1" selected="0">
            <x v="7"/>
          </reference>
          <reference field="45" count="1" selected="0">
            <x v="1"/>
          </reference>
        </references>
      </pivotArea>
    </format>
    <format dxfId="2690">
      <pivotArea outline="0" collapsedLevelsAreSubtotals="1" fieldPosition="0">
        <references count="4">
          <reference field="4294967294" count="1" selected="0">
            <x v="11"/>
          </reference>
          <reference field="0" count="1" selected="0">
            <x v="10"/>
          </reference>
          <reference field="5" count="1" selected="0">
            <x v="9"/>
          </reference>
          <reference field="45" count="1" selected="0">
            <x v="1"/>
          </reference>
        </references>
      </pivotArea>
    </format>
    <format dxfId="2689">
      <pivotArea outline="0" collapsedLevelsAreSubtotals="1" fieldPosition="0">
        <references count="4">
          <reference field="4294967294" count="1" selected="0">
            <x v="38"/>
          </reference>
          <reference field="0" count="1" selected="0">
            <x v="10"/>
          </reference>
          <reference field="5" count="1" selected="0">
            <x v="9"/>
          </reference>
          <reference field="45" count="1" selected="0">
            <x v="1"/>
          </reference>
        </references>
      </pivotArea>
    </format>
    <format dxfId="2688">
      <pivotArea outline="0" collapsedLevelsAreSubtotals="1" fieldPosition="0">
        <references count="4">
          <reference field="4294967294" count="1" selected="0">
            <x v="11"/>
          </reference>
          <reference field="0" count="1" selected="0">
            <x v="10"/>
          </reference>
          <reference field="5" count="1" selected="0">
            <x v="11"/>
          </reference>
          <reference field="45" count="1" selected="0">
            <x v="2"/>
          </reference>
        </references>
      </pivotArea>
    </format>
    <format dxfId="2687">
      <pivotArea outline="0" collapsedLevelsAreSubtotals="1" fieldPosition="0">
        <references count="4">
          <reference field="4294967294" count="1" selected="0">
            <x v="38"/>
          </reference>
          <reference field="0" count="1" selected="0">
            <x v="10"/>
          </reference>
          <reference field="5" count="1" selected="0">
            <x v="11"/>
          </reference>
          <reference field="45" count="1" selected="0">
            <x v="2"/>
          </reference>
        </references>
      </pivotArea>
    </format>
    <format dxfId="2686">
      <pivotArea outline="0" collapsedLevelsAreSubtotals="1" fieldPosition="0">
        <references count="4">
          <reference field="4294967294" count="1" selected="0">
            <x v="5"/>
          </reference>
          <reference field="0" count="1" selected="0">
            <x v="11"/>
          </reference>
          <reference field="5" count="1" selected="0">
            <x v="0"/>
          </reference>
          <reference field="45" count="1" selected="0">
            <x v="0"/>
          </reference>
        </references>
      </pivotArea>
    </format>
    <format dxfId="2685">
      <pivotArea outline="0" collapsedLevelsAreSubtotals="1" fieldPosition="0">
        <references count="4">
          <reference field="4294967294" count="1" selected="0">
            <x v="5"/>
          </reference>
          <reference field="0" count="1" selected="0">
            <x v="11"/>
          </reference>
          <reference field="5" count="1" selected="0">
            <x v="2"/>
          </reference>
          <reference field="45" count="1" selected="0">
            <x v="0"/>
          </reference>
        </references>
      </pivotArea>
    </format>
    <format dxfId="2684">
      <pivotArea outline="0" collapsedLevelsAreSubtotals="1" fieldPosition="0">
        <references count="4">
          <reference field="4294967294" count="1" selected="0">
            <x v="5"/>
          </reference>
          <reference field="0" count="1" selected="0">
            <x v="11"/>
          </reference>
          <reference field="5" count="1" selected="0">
            <x v="4"/>
          </reference>
          <reference field="45" count="1" selected="0">
            <x v="0"/>
          </reference>
        </references>
      </pivotArea>
    </format>
    <format dxfId="2683">
      <pivotArea outline="0" collapsedLevelsAreSubtotals="1" fieldPosition="0">
        <references count="4">
          <reference field="4294967294" count="1" selected="0">
            <x v="5"/>
          </reference>
          <reference field="0" count="1" selected="0">
            <x v="11"/>
          </reference>
          <reference field="5" count="1" selected="0">
            <x v="5"/>
          </reference>
          <reference field="45" count="1" selected="0">
            <x v="0"/>
          </reference>
        </references>
      </pivotArea>
    </format>
    <format dxfId="2682">
      <pivotArea outline="0" collapsedLevelsAreSubtotals="1" fieldPosition="0">
        <references count="4">
          <reference field="4294967294" count="1" selected="0">
            <x v="35"/>
          </reference>
          <reference field="0" count="1" selected="0">
            <x v="11"/>
          </reference>
          <reference field="5" count="1" selected="0">
            <x v="0"/>
          </reference>
          <reference field="45" count="1" selected="0">
            <x v="0"/>
          </reference>
        </references>
      </pivotArea>
    </format>
    <format dxfId="2681">
      <pivotArea outline="0" collapsedLevelsAreSubtotals="1" fieldPosition="0">
        <references count="4">
          <reference field="4294967294" count="1" selected="0">
            <x v="5"/>
          </reference>
          <reference field="0" count="1" selected="0">
            <x v="11"/>
          </reference>
          <reference field="5" count="3" selected="0">
            <x v="7"/>
            <x v="8"/>
            <x v="9"/>
          </reference>
          <reference field="45" count="1" selected="0">
            <x v="1"/>
          </reference>
        </references>
      </pivotArea>
    </format>
    <format dxfId="2680">
      <pivotArea outline="0" collapsedLevelsAreSubtotals="1" fieldPosition="0">
        <references count="4">
          <reference field="4294967294" count="1" selected="0">
            <x v="38"/>
          </reference>
          <reference field="0" count="1" selected="0">
            <x v="11"/>
          </reference>
          <reference field="5" count="1" selected="0">
            <x v="8"/>
          </reference>
          <reference field="45" count="1" selected="0">
            <x v="1"/>
          </reference>
        </references>
      </pivotArea>
    </format>
    <format dxfId="2679">
      <pivotArea outline="0" collapsedLevelsAreSubtotals="1" fieldPosition="0">
        <references count="4">
          <reference field="4294967294" count="1" selected="0">
            <x v="35"/>
          </reference>
          <reference field="0" count="1" selected="0">
            <x v="11"/>
          </reference>
          <reference field="5" count="1" selected="0">
            <x v="14"/>
          </reference>
          <reference field="45" count="1" selected="0">
            <x v="3"/>
          </reference>
        </references>
      </pivotArea>
    </format>
    <format dxfId="2678">
      <pivotArea outline="0" collapsedLevelsAreSubtotals="1" fieldPosition="0">
        <references count="3">
          <reference field="4294967294" count="1" selected="0">
            <x v="5"/>
          </reference>
          <reference field="0" count="1" selected="0">
            <x v="11"/>
          </reference>
          <reference field="45" count="1" selected="0">
            <x v="4"/>
          </reference>
        </references>
      </pivotArea>
    </format>
    <format dxfId="2677">
      <pivotArea outline="0" collapsedLevelsAreSubtotals="1" fieldPosition="0">
        <references count="4">
          <reference field="4294967294" count="1" selected="0">
            <x v="11"/>
          </reference>
          <reference field="0" count="1" selected="0">
            <x v="12"/>
          </reference>
          <reference field="5" count="1" selected="0">
            <x v="11"/>
          </reference>
          <reference field="45" count="1" selected="0">
            <x v="2"/>
          </reference>
        </references>
      </pivotArea>
    </format>
    <format dxfId="2676">
      <pivotArea outline="0" collapsedLevelsAreSubtotals="1" fieldPosition="0">
        <references count="4">
          <reference field="4294967294" count="1" selected="0">
            <x v="24"/>
          </reference>
          <reference field="0" count="1" selected="0">
            <x v="12"/>
          </reference>
          <reference field="5" count="1" selected="0">
            <x v="14"/>
          </reference>
          <reference field="45" count="1" selected="0">
            <x v="3"/>
          </reference>
        </references>
      </pivotArea>
    </format>
    <format dxfId="2675">
      <pivotArea outline="0" collapsedLevelsAreSubtotals="1" fieldPosition="0">
        <references count="4">
          <reference field="4294967294" count="1" selected="0">
            <x v="2"/>
          </reference>
          <reference field="0" count="1" selected="0">
            <x v="13"/>
          </reference>
          <reference field="5" count="1" selected="0">
            <x v="3"/>
          </reference>
          <reference field="45" count="1" selected="0">
            <x v="0"/>
          </reference>
        </references>
      </pivotArea>
    </format>
    <format dxfId="2674">
      <pivotArea outline="0" collapsedLevelsAreSubtotals="1" fieldPosition="0">
        <references count="4">
          <reference field="4294967294" count="1" selected="0">
            <x v="2"/>
          </reference>
          <reference field="0" count="1" selected="0">
            <x v="13"/>
          </reference>
          <reference field="5" count="1" selected="0">
            <x v="4"/>
          </reference>
          <reference field="45" count="1" selected="0">
            <x v="0"/>
          </reference>
        </references>
      </pivotArea>
    </format>
    <format dxfId="2673">
      <pivotArea outline="0" collapsedLevelsAreSubtotals="1" fieldPosition="0">
        <references count="4">
          <reference field="4294967294" count="1" selected="0">
            <x v="5"/>
          </reference>
          <reference field="0" count="1" selected="0">
            <x v="13"/>
          </reference>
          <reference field="5" count="1" selected="0">
            <x v="0"/>
          </reference>
          <reference field="45" count="1" selected="0">
            <x v="0"/>
          </reference>
        </references>
      </pivotArea>
    </format>
    <format dxfId="2672">
      <pivotArea outline="0" collapsedLevelsAreSubtotals="1" fieldPosition="0">
        <references count="4">
          <reference field="4294967294" count="1" selected="0">
            <x v="5"/>
          </reference>
          <reference field="0" count="1" selected="0">
            <x v="13"/>
          </reference>
          <reference field="5" count="1" selected="0">
            <x v="1"/>
          </reference>
          <reference field="45" count="1" selected="0">
            <x v="0"/>
          </reference>
        </references>
      </pivotArea>
    </format>
    <format dxfId="2671">
      <pivotArea outline="0" collapsedLevelsAreSubtotals="1" fieldPosition="0">
        <references count="4">
          <reference field="4294967294" count="1" selected="0">
            <x v="5"/>
          </reference>
          <reference field="0" count="1" selected="0">
            <x v="13"/>
          </reference>
          <reference field="5" count="1" selected="0">
            <x v="2"/>
          </reference>
          <reference field="45" count="1" selected="0">
            <x v="0"/>
          </reference>
        </references>
      </pivotArea>
    </format>
    <format dxfId="2670">
      <pivotArea outline="0" collapsedLevelsAreSubtotals="1" fieldPosition="0">
        <references count="4">
          <reference field="4294967294" count="1" selected="0">
            <x v="11"/>
          </reference>
          <reference field="0" count="1" selected="0">
            <x v="13"/>
          </reference>
          <reference field="5" count="1" selected="0">
            <x v="1"/>
          </reference>
          <reference field="45" count="1" selected="0">
            <x v="0"/>
          </reference>
        </references>
      </pivotArea>
    </format>
    <format dxfId="2669">
      <pivotArea outline="0" collapsedLevelsAreSubtotals="1" fieldPosition="0">
        <references count="4">
          <reference field="4294967294" count="1" selected="0">
            <x v="2"/>
          </reference>
          <reference field="0" count="1" selected="0">
            <x v="13"/>
          </reference>
          <reference field="5" count="1" selected="0">
            <x v="10"/>
          </reference>
          <reference field="45" count="1" selected="0">
            <x v="1"/>
          </reference>
        </references>
      </pivotArea>
    </format>
    <format dxfId="2668">
      <pivotArea outline="0" collapsedLevelsAreSubtotals="1" fieldPosition="0">
        <references count="4">
          <reference field="4294967294" count="1" selected="0">
            <x v="8"/>
          </reference>
          <reference field="0" count="1" selected="0">
            <x v="13"/>
          </reference>
          <reference field="5" count="1" selected="0">
            <x v="10"/>
          </reference>
          <reference field="45" count="1" selected="0">
            <x v="1"/>
          </reference>
        </references>
      </pivotArea>
    </format>
    <format dxfId="2667">
      <pivotArea outline="0" collapsedLevelsAreSubtotals="1" fieldPosition="0">
        <references count="4">
          <reference field="4294967294" count="1" selected="0">
            <x v="38"/>
          </reference>
          <reference field="0" count="1" selected="0">
            <x v="13"/>
          </reference>
          <reference field="5" count="1" selected="0">
            <x v="10"/>
          </reference>
          <reference field="45" count="1" selected="0">
            <x v="1"/>
          </reference>
        </references>
      </pivotArea>
    </format>
    <format dxfId="2666">
      <pivotArea outline="0" collapsedLevelsAreSubtotals="1" fieldPosition="0">
        <references count="4">
          <reference field="4294967294" count="1" selected="0">
            <x v="38"/>
          </reference>
          <reference field="0" count="1" selected="0">
            <x v="13"/>
          </reference>
          <reference field="5" count="1" selected="0">
            <x v="1"/>
          </reference>
          <reference field="45" count="1" selected="0">
            <x v="0"/>
          </reference>
        </references>
      </pivotArea>
    </format>
    <format dxfId="2665">
      <pivotArea outline="0" collapsedLevelsAreSubtotals="1" fieldPosition="0">
        <references count="4">
          <reference field="4294967294" count="1" selected="0">
            <x v="38"/>
          </reference>
          <reference field="0" count="1" selected="0">
            <x v="13"/>
          </reference>
          <reference field="5" count="2" selected="0">
            <x v="3"/>
            <x v="4"/>
          </reference>
          <reference field="45" count="1" selected="0">
            <x v="0"/>
          </reference>
        </references>
      </pivotArea>
    </format>
    <format dxfId="2664">
      <pivotArea outline="0" collapsedLevelsAreSubtotals="1" fieldPosition="0">
        <references count="3">
          <reference field="4294967294" count="1" selected="0">
            <x v="20"/>
          </reference>
          <reference field="0" count="1" selected="0">
            <x v="13"/>
          </reference>
          <reference field="45" count="1" selected="0">
            <x v="4"/>
          </reference>
        </references>
      </pivotArea>
    </format>
    <format dxfId="2663">
      <pivotArea outline="0" collapsedLevelsAreSubtotals="1" fieldPosition="0">
        <references count="4">
          <reference field="4294967294" count="1" selected="0">
            <x v="32"/>
          </reference>
          <reference field="0" count="1" selected="0">
            <x v="13"/>
          </reference>
          <reference field="5" count="1" selected="0">
            <x v="14"/>
          </reference>
          <reference field="45" count="1" selected="0">
            <x v="3"/>
          </reference>
        </references>
      </pivotArea>
    </format>
    <format dxfId="2662">
      <pivotArea outline="0" collapsedLevelsAreSubtotals="1" fieldPosition="0">
        <references count="4">
          <reference field="4294967294" count="1" selected="0">
            <x v="1"/>
          </reference>
          <reference field="0" count="1" selected="0">
            <x v="15"/>
          </reference>
          <reference field="5" count="1" selected="0">
            <x v="14"/>
          </reference>
          <reference field="45" count="1" selected="0">
            <x v="3"/>
          </reference>
        </references>
      </pivotArea>
    </format>
    <format dxfId="2661">
      <pivotArea outline="0" collapsedLevelsAreSubtotals="1" fieldPosition="0">
        <references count="4">
          <reference field="4294967294" count="1" selected="0">
            <x v="32"/>
          </reference>
          <reference field="0" count="1" selected="0">
            <x v="15"/>
          </reference>
          <reference field="5" count="1" selected="0">
            <x v="14"/>
          </reference>
          <reference field="45" count="1" selected="0">
            <x v="3"/>
          </reference>
        </references>
      </pivotArea>
    </format>
    <format dxfId="2660">
      <pivotArea dataOnly="0" labelOnly="1" outline="0" offset="IV1" fieldPosition="0">
        <references count="1">
          <reference field="45" count="1" defaultSubtotal="1">
            <x v="2"/>
          </reference>
        </references>
      </pivotArea>
    </format>
    <format dxfId="2659">
      <pivotArea dataOnly="0" labelOnly="1" outline="0" fieldPosition="0">
        <references count="1">
          <reference field="45" count="1" defaultSubtotal="1">
            <x v="2"/>
          </reference>
        </references>
      </pivotArea>
    </format>
    <format dxfId="2658">
      <pivotArea dataOnly="0" labelOnly="1" outline="0" fieldPosition="0">
        <references count="1">
          <reference field="45" count="1" defaultSubtotal="1">
            <x v="2"/>
          </reference>
        </references>
      </pivotArea>
    </format>
    <format dxfId="2657">
      <pivotArea dataOnly="0" labelOnly="1" outline="0" offset="IV1" fieldPosition="0">
        <references count="1">
          <reference field="45" count="1" defaultSubtotal="1">
            <x v="2"/>
          </reference>
        </references>
      </pivotArea>
    </format>
    <format dxfId="2656">
      <pivotArea dataOnly="0" labelOnly="1" outline="0" offset="IV1" fieldPosition="0">
        <references count="1">
          <reference field="45" count="1" defaultSubtotal="1">
            <x v="3"/>
          </reference>
        </references>
      </pivotArea>
    </format>
    <format dxfId="2655">
      <pivotArea outline="0" collapsedLevelsAreSubtotals="1" fieldPosition="0">
        <references count="4">
          <reference field="4294967294" count="1" selected="0">
            <x v="38"/>
          </reference>
          <reference field="0" count="1" selected="0">
            <x v="15"/>
          </reference>
          <reference field="5" count="1" selected="0">
            <x v="2"/>
          </reference>
          <reference field="45" count="1" selected="0">
            <x v="0"/>
          </reference>
        </references>
      </pivotArea>
    </format>
    <format dxfId="2654">
      <pivotArea outline="0" collapsedLevelsAreSubtotals="1" fieldPosition="0">
        <references count="4">
          <reference field="4294967294" count="1" selected="0">
            <x v="38"/>
          </reference>
          <reference field="0" count="1" selected="0">
            <x v="15"/>
          </reference>
          <reference field="5" count="1" selected="0">
            <x v="5"/>
          </reference>
          <reference field="45" count="1" selected="0">
            <x v="0"/>
          </reference>
        </references>
      </pivotArea>
    </format>
    <format dxfId="2653">
      <pivotArea outline="0" collapsedLevelsAreSubtotals="1" fieldPosition="0">
        <references count="4">
          <reference field="4294967294" count="1" selected="0">
            <x v="2"/>
          </reference>
          <reference field="0" count="1" selected="0">
            <x v="15"/>
          </reference>
          <reference field="5" count="1" selected="0">
            <x v="0"/>
          </reference>
          <reference field="45" count="1" selected="0">
            <x v="0"/>
          </reference>
        </references>
      </pivotArea>
    </format>
    <format dxfId="2652">
      <pivotArea outline="0" collapsedLevelsAreSubtotals="1" fieldPosition="0">
        <references count="4">
          <reference field="4294967294" count="1" selected="0">
            <x v="2"/>
          </reference>
          <reference field="0" count="1" selected="0">
            <x v="15"/>
          </reference>
          <reference field="5" count="1" selected="0">
            <x v="2"/>
          </reference>
          <reference field="45" count="1" selected="0">
            <x v="0"/>
          </reference>
        </references>
      </pivotArea>
    </format>
    <format dxfId="2651">
      <pivotArea outline="0" collapsedLevelsAreSubtotals="1" fieldPosition="0">
        <references count="4">
          <reference field="4294967294" count="1" selected="0">
            <x v="2"/>
          </reference>
          <reference field="0" count="1" selected="0">
            <x v="15"/>
          </reference>
          <reference field="5" count="1" selected="0">
            <x v="4"/>
          </reference>
          <reference field="45" count="1" selected="0">
            <x v="0"/>
          </reference>
        </references>
      </pivotArea>
    </format>
    <format dxfId="2650">
      <pivotArea outline="0" collapsedLevelsAreSubtotals="1" fieldPosition="0">
        <references count="4">
          <reference field="4294967294" count="1" selected="0">
            <x v="2"/>
          </reference>
          <reference field="0" count="1" selected="0">
            <x v="15"/>
          </reference>
          <reference field="5" count="1" selected="0">
            <x v="5"/>
          </reference>
          <reference field="45" count="1" selected="0">
            <x v="0"/>
          </reference>
        </references>
      </pivotArea>
    </format>
    <format dxfId="2649">
      <pivotArea outline="0" collapsedLevelsAreSubtotals="1" fieldPosition="0">
        <references count="4">
          <reference field="4294967294" count="1" selected="0">
            <x v="2"/>
          </reference>
          <reference field="0" count="1" selected="0">
            <x v="15"/>
          </reference>
          <reference field="5" count="1" selected="0">
            <x v="6"/>
          </reference>
          <reference field="45" count="1" selected="0">
            <x v="1"/>
          </reference>
        </references>
      </pivotArea>
    </format>
    <format dxfId="2648">
      <pivotArea outline="0" collapsedLevelsAreSubtotals="1" fieldPosition="0">
        <references count="4">
          <reference field="4294967294" count="1" selected="0">
            <x v="5"/>
          </reference>
          <reference field="0" count="1" selected="0">
            <x v="15"/>
          </reference>
          <reference field="5" count="1" selected="0">
            <x v="2"/>
          </reference>
          <reference field="45" count="1" selected="0">
            <x v="0"/>
          </reference>
        </references>
      </pivotArea>
    </format>
    <format dxfId="2647">
      <pivotArea outline="0" collapsedLevelsAreSubtotals="1" fieldPosition="0">
        <references count="4">
          <reference field="4294967294" count="1" selected="0">
            <x v="2"/>
          </reference>
          <reference field="0" count="1" selected="0">
            <x v="15"/>
          </reference>
          <reference field="5" count="2" selected="0">
            <x v="8"/>
            <x v="9"/>
          </reference>
          <reference field="45" count="1" selected="0">
            <x v="1"/>
          </reference>
        </references>
      </pivotArea>
    </format>
    <format dxfId="2646">
      <pivotArea outline="0" collapsedLevelsAreSubtotals="1" fieldPosition="0">
        <references count="3">
          <reference field="4294967294" count="1" selected="0">
            <x v="20"/>
          </reference>
          <reference field="0" count="1" selected="0">
            <x v="12"/>
          </reference>
          <reference field="45" count="1" selected="0">
            <x v="4"/>
          </reference>
        </references>
      </pivotArea>
    </format>
    <format dxfId="2645">
      <pivotArea outline="0" collapsedLevelsAreSubtotals="1" fieldPosition="0">
        <references count="4">
          <reference field="4294967294" count="1" selected="0">
            <x v="23"/>
          </reference>
          <reference field="0" count="1" selected="0">
            <x v="12"/>
          </reference>
          <reference field="5" count="1" selected="0">
            <x v="14"/>
          </reference>
          <reference field="45" count="1" selected="0">
            <x v="3"/>
          </reference>
        </references>
      </pivotArea>
    </format>
    <format dxfId="2644">
      <pivotArea outline="0" collapsedLevelsAreSubtotals="1" fieldPosition="0">
        <references count="4">
          <reference field="4294967294" count="1" selected="0">
            <x v="8"/>
          </reference>
          <reference field="0" count="1" selected="0">
            <x v="1"/>
          </reference>
          <reference field="5" count="1" selected="0">
            <x v="5"/>
          </reference>
          <reference field="45" count="1" selected="0">
            <x v="0"/>
          </reference>
        </references>
      </pivotArea>
    </format>
    <format dxfId="2643">
      <pivotArea outline="0" collapsedLevelsAreSubtotals="1" fieldPosition="0">
        <references count="4">
          <reference field="4294967294" count="1" selected="0">
            <x v="8"/>
          </reference>
          <reference field="0" count="1" selected="0">
            <x v="1"/>
          </reference>
          <reference field="5" count="1" selected="0">
            <x v="7"/>
          </reference>
          <reference field="45" count="1" selected="0">
            <x v="1"/>
          </reference>
        </references>
      </pivotArea>
    </format>
    <format dxfId="2642">
      <pivotArea outline="0" collapsedLevelsAreSubtotals="1" fieldPosition="0">
        <references count="4">
          <reference field="4294967294" count="1" selected="0">
            <x v="35"/>
          </reference>
          <reference field="0" count="1" selected="0">
            <x v="1"/>
          </reference>
          <reference field="5" count="1" selected="0">
            <x v="14"/>
          </reference>
          <reference field="45" count="1" selected="0">
            <x v="3"/>
          </reference>
        </references>
      </pivotArea>
    </format>
    <format dxfId="2641">
      <pivotArea outline="0" collapsedLevelsAreSubtotals="1" fieldPosition="0">
        <references count="4">
          <reference field="4294967294" count="1" selected="0">
            <x v="2"/>
          </reference>
          <reference field="0" count="1" selected="0">
            <x v="0"/>
          </reference>
          <reference field="5" count="1" selected="0">
            <x v="1"/>
          </reference>
          <reference field="45" count="1" selected="0">
            <x v="0"/>
          </reference>
        </references>
      </pivotArea>
    </format>
    <format dxfId="2640">
      <pivotArea outline="0" collapsedLevelsAreSubtotals="1" fieldPosition="0">
        <references count="4">
          <reference field="4294967294" count="1" selected="0">
            <x v="5"/>
          </reference>
          <reference field="0" count="1" selected="0">
            <x v="0"/>
          </reference>
          <reference field="5" count="1" selected="0">
            <x v="1"/>
          </reference>
          <reference field="45" count="1" selected="0">
            <x v="0"/>
          </reference>
        </references>
      </pivotArea>
    </format>
    <format dxfId="2639">
      <pivotArea outline="0" collapsedLevelsAreSubtotals="1" fieldPosition="0">
        <references count="4">
          <reference field="4294967294" count="1" selected="0">
            <x v="5"/>
          </reference>
          <reference field="0" count="1" selected="0">
            <x v="0"/>
          </reference>
          <reference field="5" count="1" selected="0">
            <x v="4"/>
          </reference>
          <reference field="45" count="1" selected="0">
            <x v="0"/>
          </reference>
        </references>
      </pivotArea>
    </format>
    <format dxfId="2638">
      <pivotArea outline="0" collapsedLevelsAreSubtotals="1" fieldPosition="0">
        <references count="4">
          <reference field="4294967294" count="1" selected="0">
            <x v="11"/>
          </reference>
          <reference field="0" count="1" selected="0">
            <x v="0"/>
          </reference>
          <reference field="5" count="1" selected="0">
            <x v="3"/>
          </reference>
          <reference field="45" count="1" selected="0">
            <x v="0"/>
          </reference>
        </references>
      </pivotArea>
    </format>
    <format dxfId="2637">
      <pivotArea outline="0" collapsedLevelsAreSubtotals="1" fieldPosition="0">
        <references count="4">
          <reference field="4294967294" count="1" selected="0">
            <x v="14"/>
          </reference>
          <reference field="0" count="1" selected="0">
            <x v="0"/>
          </reference>
          <reference field="5" count="1" selected="0">
            <x v="5"/>
          </reference>
          <reference field="45" count="1" selected="0">
            <x v="0"/>
          </reference>
        </references>
      </pivotArea>
    </format>
    <format dxfId="2636">
      <pivotArea outline="0" collapsedLevelsAreSubtotals="1" fieldPosition="0">
        <references count="4">
          <reference field="4294967294" count="1" selected="0">
            <x v="5"/>
          </reference>
          <reference field="0" count="1" selected="0">
            <x v="0"/>
          </reference>
          <reference field="5" count="1" selected="0">
            <x v="7"/>
          </reference>
          <reference field="45" count="1" selected="0">
            <x v="1"/>
          </reference>
        </references>
      </pivotArea>
    </format>
    <format dxfId="2635">
      <pivotArea outline="0" collapsedLevelsAreSubtotals="1" fieldPosition="0">
        <references count="4">
          <reference field="4294967294" count="1" selected="0">
            <x v="8"/>
          </reference>
          <reference field="0" count="1" selected="0">
            <x v="0"/>
          </reference>
          <reference field="5" count="1" selected="0">
            <x v="7"/>
          </reference>
          <reference field="45" count="1" selected="0">
            <x v="1"/>
          </reference>
        </references>
      </pivotArea>
    </format>
    <format dxfId="2634">
      <pivotArea outline="0" collapsedLevelsAreSubtotals="1" fieldPosition="0">
        <references count="4">
          <reference field="4294967294" count="1" selected="0">
            <x v="14"/>
          </reference>
          <reference field="0" count="1" selected="0">
            <x v="0"/>
          </reference>
          <reference field="5" count="1" selected="0">
            <x v="9"/>
          </reference>
          <reference field="45" count="1" selected="0">
            <x v="1"/>
          </reference>
        </references>
      </pivotArea>
    </format>
    <format dxfId="2633">
      <pivotArea outline="0" collapsedLevelsAreSubtotals="1" fieldPosition="0">
        <references count="4">
          <reference field="4294967294" count="1" selected="0">
            <x v="5"/>
          </reference>
          <reference field="0" count="1" selected="0">
            <x v="0"/>
          </reference>
          <reference field="5" count="1" selected="0">
            <x v="11"/>
          </reference>
          <reference field="45" count="1" selected="0">
            <x v="2"/>
          </reference>
        </references>
      </pivotArea>
    </format>
    <format dxfId="2632">
      <pivotArea outline="0" collapsedLevelsAreSubtotals="1" fieldPosition="0">
        <references count="4">
          <reference field="4294967294" count="1" selected="0">
            <x v="5"/>
          </reference>
          <reference field="0" count="1" selected="0">
            <x v="0"/>
          </reference>
          <reference field="5" count="1" selected="0">
            <x v="12"/>
          </reference>
          <reference field="45" count="1" selected="0">
            <x v="2"/>
          </reference>
        </references>
      </pivotArea>
    </format>
    <format dxfId="2631">
      <pivotArea outline="0" collapsedLevelsAreSubtotals="1" fieldPosition="0">
        <references count="4">
          <reference field="4294967294" count="1" selected="0">
            <x v="14"/>
          </reference>
          <reference field="0" count="1" selected="0">
            <x v="0"/>
          </reference>
          <reference field="5" count="1" selected="0">
            <x v="12"/>
          </reference>
          <reference field="45" count="1" selected="0">
            <x v="2"/>
          </reference>
        </references>
      </pivotArea>
    </format>
    <format dxfId="2630">
      <pivotArea outline="0" collapsedLevelsAreSubtotals="1" fieldPosition="0">
        <references count="4">
          <reference field="4294967294" count="1" selected="0">
            <x v="35"/>
          </reference>
          <reference field="0" count="1" selected="0">
            <x v="0"/>
          </reference>
          <reference field="5" count="1" selected="0">
            <x v="0"/>
          </reference>
          <reference field="45" count="1" selected="0">
            <x v="0"/>
          </reference>
        </references>
      </pivotArea>
    </format>
    <format dxfId="2629">
      <pivotArea outline="0" collapsedLevelsAreSubtotals="1" fieldPosition="0">
        <references count="3">
          <reference field="4294967294" count="1" selected="0">
            <x v="5"/>
          </reference>
          <reference field="0" count="1" selected="0">
            <x v="0"/>
          </reference>
          <reference field="45" count="1" selected="0">
            <x v="4"/>
          </reference>
        </references>
      </pivotArea>
    </format>
    <format dxfId="2628">
      <pivotArea outline="0" collapsedLevelsAreSubtotals="1" fieldPosition="0">
        <references count="3">
          <reference field="4294967294" count="1" selected="0">
            <x v="38"/>
          </reference>
          <reference field="0" count="1" selected="0">
            <x v="0"/>
          </reference>
          <reference field="45" count="1" selected="0">
            <x v="4"/>
          </reference>
        </references>
      </pivotArea>
    </format>
    <format dxfId="2627">
      <pivotArea outline="0" collapsedLevelsAreSubtotals="1" fieldPosition="0">
        <references count="4">
          <reference field="4294967294" count="1" selected="0">
            <x v="5"/>
          </reference>
          <reference field="0" count="1" selected="0">
            <x v="1"/>
          </reference>
          <reference field="5" count="1" selected="0">
            <x v="1"/>
          </reference>
          <reference field="45" count="1" selected="0">
            <x v="0"/>
          </reference>
        </references>
      </pivotArea>
    </format>
    <format dxfId="2626">
      <pivotArea outline="0" collapsedLevelsAreSubtotals="1" fieldPosition="0">
        <references count="4">
          <reference field="4294967294" count="1" selected="0">
            <x v="14"/>
          </reference>
          <reference field="0" count="1" selected="0">
            <x v="1"/>
          </reference>
          <reference field="5" count="1" selected="0">
            <x v="1"/>
          </reference>
          <reference field="45" count="1" selected="0">
            <x v="0"/>
          </reference>
        </references>
      </pivotArea>
    </format>
    <format dxfId="2625">
      <pivotArea outline="0" collapsedLevelsAreSubtotals="1" fieldPosition="0">
        <references count="4">
          <reference field="4294967294" count="1" selected="0">
            <x v="11"/>
          </reference>
          <reference field="0" count="1" selected="0">
            <x v="1"/>
          </reference>
          <reference field="5" count="1" selected="0">
            <x v="0"/>
          </reference>
          <reference field="45" count="1" selected="0">
            <x v="0"/>
          </reference>
        </references>
      </pivotArea>
    </format>
    <format dxfId="2624">
      <pivotArea outline="0" collapsedLevelsAreSubtotals="1" fieldPosition="0">
        <references count="4">
          <reference field="4294967294" count="1" selected="0">
            <x v="14"/>
          </reference>
          <reference field="0" count="1" selected="0">
            <x v="1"/>
          </reference>
          <reference field="5" count="1" selected="0">
            <x v="2"/>
          </reference>
          <reference field="45" count="1" selected="0">
            <x v="0"/>
          </reference>
        </references>
      </pivotArea>
    </format>
    <format dxfId="2623">
      <pivotArea outline="0" collapsedLevelsAreSubtotals="1" fieldPosition="0">
        <references count="4">
          <reference field="4294967294" count="1" selected="0">
            <x v="14"/>
          </reference>
          <reference field="0" count="1" selected="0">
            <x v="1"/>
          </reference>
          <reference field="5" count="1" selected="0">
            <x v="3"/>
          </reference>
          <reference field="45" count="1" selected="0">
            <x v="0"/>
          </reference>
        </references>
      </pivotArea>
    </format>
    <format dxfId="2622">
      <pivotArea outline="0" collapsedLevelsAreSubtotals="1" fieldPosition="0">
        <references count="4">
          <reference field="4294967294" count="1" selected="0">
            <x v="14"/>
          </reference>
          <reference field="0" count="1" selected="0">
            <x v="1"/>
          </reference>
          <reference field="5" count="1" selected="0">
            <x v="9"/>
          </reference>
          <reference field="45" count="1" selected="0">
            <x v="1"/>
          </reference>
        </references>
      </pivotArea>
    </format>
    <format dxfId="2621">
      <pivotArea outline="0" collapsedLevelsAreSubtotals="1" fieldPosition="0">
        <references count="4">
          <reference field="4294967294" count="1" selected="0">
            <x v="35"/>
          </reference>
          <reference field="0" count="1" selected="0">
            <x v="1"/>
          </reference>
          <reference field="5" count="1" selected="0">
            <x v="14"/>
          </reference>
          <reference field="45" count="1" selected="0">
            <x v="3"/>
          </reference>
        </references>
      </pivotArea>
    </format>
    <format dxfId="2620">
      <pivotArea outline="0" collapsedLevelsAreSubtotals="1" fieldPosition="0">
        <references count="4">
          <reference field="4294967294" count="1" selected="0">
            <x v="2"/>
          </reference>
          <reference field="0" count="1" selected="0">
            <x v="3"/>
          </reference>
          <reference field="5" count="1" selected="0">
            <x v="5"/>
          </reference>
          <reference field="45" count="1" selected="0">
            <x v="0"/>
          </reference>
        </references>
      </pivotArea>
    </format>
    <format dxfId="2619">
      <pivotArea outline="0" collapsedLevelsAreSubtotals="1" fieldPosition="0">
        <references count="4">
          <reference field="4294967294" count="1" selected="0">
            <x v="14"/>
          </reference>
          <reference field="0" count="1" selected="0">
            <x v="3"/>
          </reference>
          <reference field="5" count="1" selected="0">
            <x v="3"/>
          </reference>
          <reference field="45" count="1" selected="0">
            <x v="0"/>
          </reference>
        </references>
      </pivotArea>
    </format>
    <format dxfId="2618">
      <pivotArea outline="0" collapsedLevelsAreSubtotals="1" fieldPosition="0">
        <references count="4">
          <reference field="4294967294" count="1" selected="0">
            <x v="11"/>
          </reference>
          <reference field="0" count="1" selected="0">
            <x v="3"/>
          </reference>
          <reference field="5" count="1" selected="0">
            <x v="8"/>
          </reference>
          <reference field="45" count="1" selected="0">
            <x v="1"/>
          </reference>
        </references>
      </pivotArea>
    </format>
    <format dxfId="2617">
      <pivotArea outline="0" collapsedLevelsAreSubtotals="1" fieldPosition="0">
        <references count="3">
          <reference field="4294967294" count="1" selected="0">
            <x v="5"/>
          </reference>
          <reference field="0" count="1" selected="0">
            <x v="3"/>
          </reference>
          <reference field="45" count="1" selected="0">
            <x v="4"/>
          </reference>
        </references>
      </pivotArea>
    </format>
    <format dxfId="2616">
      <pivotArea outline="0" collapsedLevelsAreSubtotals="1" fieldPosition="0">
        <references count="4">
          <reference field="4294967294" count="1" selected="0">
            <x v="35"/>
          </reference>
          <reference field="0" count="1" selected="0">
            <x v="4"/>
          </reference>
          <reference field="5" count="1" selected="0">
            <x v="3"/>
          </reference>
          <reference field="45" count="1" selected="0">
            <x v="0"/>
          </reference>
        </references>
      </pivotArea>
    </format>
    <format dxfId="2615">
      <pivotArea outline="0" collapsedLevelsAreSubtotals="1" fieldPosition="0">
        <references count="4">
          <reference field="4294967294" count="1" selected="0">
            <x v="5"/>
          </reference>
          <reference field="0" count="1" selected="0">
            <x v="4"/>
          </reference>
          <reference field="5" count="1" selected="0">
            <x v="11"/>
          </reference>
          <reference field="45" count="1" selected="0">
            <x v="2"/>
          </reference>
        </references>
      </pivotArea>
    </format>
    <format dxfId="2614">
      <pivotArea outline="0" collapsedLevelsAreSubtotals="1" fieldPosition="0">
        <references count="3">
          <reference field="4294967294" count="1" selected="0">
            <x v="5"/>
          </reference>
          <reference field="0" count="1" selected="0">
            <x v="4"/>
          </reference>
          <reference field="45" count="1" selected="0">
            <x v="4"/>
          </reference>
        </references>
      </pivotArea>
    </format>
    <format dxfId="2613">
      <pivotArea outline="0" collapsedLevelsAreSubtotals="1" fieldPosition="0">
        <references count="4">
          <reference field="4294967294" count="1" selected="0">
            <x v="35"/>
          </reference>
          <reference field="0" count="1" selected="0">
            <x v="4"/>
          </reference>
          <reference field="5" count="1" selected="0">
            <x v="0"/>
          </reference>
          <reference field="45" count="1" selected="0">
            <x v="0"/>
          </reference>
        </references>
      </pivotArea>
    </format>
    <format dxfId="2612">
      <pivotArea outline="0" collapsedLevelsAreSubtotals="1" fieldPosition="0">
        <references count="4">
          <reference field="4294967294" count="1" selected="0">
            <x v="2"/>
          </reference>
          <reference field="0" count="1" selected="0">
            <x v="6"/>
          </reference>
          <reference field="5" count="1" selected="0">
            <x v="4"/>
          </reference>
          <reference field="45" count="1" selected="0">
            <x v="0"/>
          </reference>
        </references>
      </pivotArea>
    </format>
    <format dxfId="2611">
      <pivotArea outline="0" collapsedLevelsAreSubtotals="1" fieldPosition="0">
        <references count="4">
          <reference field="4294967294" count="1" selected="0">
            <x v="5"/>
          </reference>
          <reference field="0" count="1" selected="0">
            <x v="6"/>
          </reference>
          <reference field="5" count="1" selected="0">
            <x v="2"/>
          </reference>
          <reference field="45" count="1" selected="0">
            <x v="0"/>
          </reference>
        </references>
      </pivotArea>
    </format>
    <format dxfId="2610">
      <pivotArea outline="0" collapsedLevelsAreSubtotals="1" fieldPosition="0">
        <references count="4">
          <reference field="4294967294" count="1" selected="0">
            <x v="11"/>
          </reference>
          <reference field="0" count="1" selected="0">
            <x v="6"/>
          </reference>
          <reference field="5" count="1" selected="0">
            <x v="8"/>
          </reference>
          <reference field="45" count="1" selected="0">
            <x v="1"/>
          </reference>
        </references>
      </pivotArea>
    </format>
    <format dxfId="2609">
      <pivotArea outline="0" collapsedLevelsAreSubtotals="1" fieldPosition="0">
        <references count="4">
          <reference field="4294967294" count="1" selected="0">
            <x v="11"/>
          </reference>
          <reference field="0" count="1" selected="0">
            <x v="6"/>
          </reference>
          <reference field="5" count="1" selected="0">
            <x v="9"/>
          </reference>
          <reference field="45" count="1" selected="0">
            <x v="1"/>
          </reference>
        </references>
      </pivotArea>
    </format>
    <format dxfId="2608">
      <pivotArea outline="0" collapsedLevelsAreSubtotals="1" fieldPosition="0">
        <references count="4">
          <reference field="4294967294" count="1" selected="0">
            <x v="2"/>
          </reference>
          <reference field="0" count="1" selected="0">
            <x v="6"/>
          </reference>
          <reference field="5" count="1" selected="0">
            <x v="11"/>
          </reference>
          <reference field="45" count="1" selected="0">
            <x v="2"/>
          </reference>
        </references>
      </pivotArea>
    </format>
    <format dxfId="2607">
      <pivotArea outline="0" collapsedLevelsAreSubtotals="1" fieldPosition="0">
        <references count="4">
          <reference field="4294967294" count="1" selected="0">
            <x v="11"/>
          </reference>
          <reference field="0" count="1" selected="0">
            <x v="6"/>
          </reference>
          <reference field="5" count="1" selected="0">
            <x v="11"/>
          </reference>
          <reference field="45" count="1" selected="0">
            <x v="2"/>
          </reference>
        </references>
      </pivotArea>
    </format>
    <format dxfId="2606">
      <pivotArea outline="0" collapsedLevelsAreSubtotals="1" fieldPosition="0">
        <references count="4">
          <reference field="4294967294" count="1" selected="0">
            <x v="35"/>
          </reference>
          <reference field="0" count="1" selected="0">
            <x v="6"/>
          </reference>
          <reference field="5" count="1" selected="0">
            <x v="0"/>
          </reference>
          <reference field="45" count="1" selected="0">
            <x v="0"/>
          </reference>
        </references>
      </pivotArea>
    </format>
    <format dxfId="2605">
      <pivotArea outline="0" collapsedLevelsAreSubtotals="1" fieldPosition="0">
        <references count="4">
          <reference field="4294967294" count="1" selected="0">
            <x v="38"/>
          </reference>
          <reference field="0" count="1" selected="0">
            <x v="6"/>
          </reference>
          <reference field="5" count="1" selected="0">
            <x v="9"/>
          </reference>
          <reference field="45" count="1" selected="0">
            <x v="1"/>
          </reference>
        </references>
      </pivotArea>
    </format>
    <format dxfId="2604">
      <pivotArea outline="0" collapsedLevelsAreSubtotals="1" fieldPosition="0">
        <references count="4">
          <reference field="4294967294" count="1" selected="0">
            <x v="38"/>
          </reference>
          <reference field="0" count="1" selected="0">
            <x v="6"/>
          </reference>
          <reference field="5" count="1" selected="0">
            <x v="11"/>
          </reference>
          <reference field="45" count="1" selected="0">
            <x v="2"/>
          </reference>
        </references>
      </pivotArea>
    </format>
    <format dxfId="2603">
      <pivotArea outline="0" collapsedLevelsAreSubtotals="1" fieldPosition="0">
        <references count="4">
          <reference field="4294967294" count="1" selected="0">
            <x v="5"/>
          </reference>
          <reference field="0" count="1" selected="0">
            <x v="7"/>
          </reference>
          <reference field="5" count="1" selected="0">
            <x v="0"/>
          </reference>
          <reference field="45" count="1" selected="0">
            <x v="0"/>
          </reference>
        </references>
      </pivotArea>
    </format>
    <format dxfId="2602">
      <pivotArea outline="0" collapsedLevelsAreSubtotals="1" fieldPosition="0">
        <references count="4">
          <reference field="4294967294" count="1" selected="0">
            <x v="2"/>
          </reference>
          <reference field="0" count="1" selected="0">
            <x v="7"/>
          </reference>
          <reference field="5" count="1" selected="0">
            <x v="5"/>
          </reference>
          <reference field="45" count="1" selected="0">
            <x v="0"/>
          </reference>
        </references>
      </pivotArea>
    </format>
    <format dxfId="2601">
      <pivotArea outline="0" collapsedLevelsAreSubtotals="1" fieldPosition="0">
        <references count="4">
          <reference field="4294967294" count="1" selected="0">
            <x v="11"/>
          </reference>
          <reference field="0" count="1" selected="0">
            <x v="7"/>
          </reference>
          <reference field="5" count="1" selected="0">
            <x v="5"/>
          </reference>
          <reference field="45" count="1" selected="0">
            <x v="0"/>
          </reference>
        </references>
      </pivotArea>
    </format>
    <format dxfId="2600">
      <pivotArea outline="0" collapsedLevelsAreSubtotals="1" fieldPosition="0">
        <references count="4">
          <reference field="4294967294" count="1" selected="0">
            <x v="8"/>
          </reference>
          <reference field="0" count="1" selected="0">
            <x v="7"/>
          </reference>
          <reference field="5" count="1" selected="0">
            <x v="7"/>
          </reference>
          <reference field="45" count="1" selected="0">
            <x v="1"/>
          </reference>
        </references>
      </pivotArea>
    </format>
    <format dxfId="2599">
      <pivotArea outline="0" collapsedLevelsAreSubtotals="1" fieldPosition="0">
        <references count="4">
          <reference field="4294967294" count="1" selected="0">
            <x v="2"/>
          </reference>
          <reference field="0" count="1" selected="0">
            <x v="8"/>
          </reference>
          <reference field="5" count="1" selected="0">
            <x v="1"/>
          </reference>
          <reference field="45" count="1" selected="0">
            <x v="0"/>
          </reference>
        </references>
      </pivotArea>
    </format>
    <format dxfId="2598">
      <pivotArea outline="0" collapsedLevelsAreSubtotals="1" fieldPosition="0">
        <references count="4">
          <reference field="4294967294" count="1" selected="0">
            <x v="2"/>
          </reference>
          <reference field="0" count="1" selected="0">
            <x v="8"/>
          </reference>
          <reference field="5" count="1" selected="0">
            <x v="4"/>
          </reference>
          <reference field="45" count="1" selected="0">
            <x v="0"/>
          </reference>
        </references>
      </pivotArea>
    </format>
    <format dxfId="2597">
      <pivotArea outline="0" collapsedLevelsAreSubtotals="1" fieldPosition="0">
        <references count="4">
          <reference field="4294967294" count="1" selected="0">
            <x v="38"/>
          </reference>
          <reference field="0" count="1" selected="0">
            <x v="8"/>
          </reference>
          <reference field="5" count="1" selected="0">
            <x v="1"/>
          </reference>
          <reference field="45" count="1" selected="0">
            <x v="0"/>
          </reference>
        </references>
      </pivotArea>
    </format>
    <format dxfId="2596">
      <pivotArea outline="0" collapsedLevelsAreSubtotals="1" fieldPosition="0">
        <references count="4">
          <reference field="4294967294" count="1" selected="0">
            <x v="11"/>
          </reference>
          <reference field="0" count="1" selected="0">
            <x v="9"/>
          </reference>
          <reference field="5" count="1" selected="0">
            <x v="4"/>
          </reference>
          <reference field="45" count="1" selected="0">
            <x v="0"/>
          </reference>
        </references>
      </pivotArea>
    </format>
    <format dxfId="2595">
      <pivotArea outline="0" collapsedLevelsAreSubtotals="1" fieldPosition="0">
        <references count="4">
          <reference field="4294967294" count="1" selected="0">
            <x v="35"/>
          </reference>
          <reference field="0" count="1" selected="0">
            <x v="9"/>
          </reference>
          <reference field="5" count="1" selected="0">
            <x v="0"/>
          </reference>
          <reference field="45" count="1" selected="0">
            <x v="0"/>
          </reference>
        </references>
      </pivotArea>
    </format>
    <format dxfId="2594">
      <pivotArea outline="0" collapsedLevelsAreSubtotals="1" fieldPosition="0">
        <references count="4">
          <reference field="4294967294" count="1" selected="0">
            <x v="35"/>
          </reference>
          <reference field="0" count="1" selected="0">
            <x v="9"/>
          </reference>
          <reference field="5" count="1" selected="0">
            <x v="1"/>
          </reference>
          <reference field="45" count="1" selected="0">
            <x v="0"/>
          </reference>
        </references>
      </pivotArea>
    </format>
    <format dxfId="2593">
      <pivotArea outline="0" collapsedLevelsAreSubtotals="1" fieldPosition="0">
        <references count="4">
          <reference field="4294967294" count="1" selected="0">
            <x v="11"/>
          </reference>
          <reference field="0" count="1" selected="0">
            <x v="10"/>
          </reference>
          <reference field="5" count="1" selected="0">
            <x v="11"/>
          </reference>
          <reference field="45" count="1" selected="0">
            <x v="2"/>
          </reference>
        </references>
      </pivotArea>
    </format>
    <format dxfId="2592">
      <pivotArea outline="0" collapsedLevelsAreSubtotals="1" fieldPosition="0">
        <references count="4">
          <reference field="4294967294" count="1" selected="0">
            <x v="2"/>
          </reference>
          <reference field="0" count="1" selected="0">
            <x v="11"/>
          </reference>
          <reference field="5" count="1" selected="0">
            <x v="5"/>
          </reference>
          <reference field="45" count="1" selected="0">
            <x v="0"/>
          </reference>
        </references>
      </pivotArea>
    </format>
    <format dxfId="2591">
      <pivotArea outline="0" collapsedLevelsAreSubtotals="1" fieldPosition="0">
        <references count="4">
          <reference field="4294967294" count="1" selected="0">
            <x v="5"/>
          </reference>
          <reference field="0" count="1" selected="0">
            <x v="11"/>
          </reference>
          <reference field="5" count="1" selected="0">
            <x v="5"/>
          </reference>
          <reference field="45" count="1" selected="0">
            <x v="0"/>
          </reference>
        </references>
      </pivotArea>
    </format>
    <format dxfId="2590">
      <pivotArea outline="0" collapsedLevelsAreSubtotals="1" fieldPosition="0">
        <references count="4">
          <reference field="4294967294" count="1" selected="0">
            <x v="5"/>
          </reference>
          <reference field="0" count="1" selected="0">
            <x v="11"/>
          </reference>
          <reference field="5" count="3" selected="0">
            <x v="7"/>
            <x v="8"/>
            <x v="9"/>
          </reference>
          <reference field="45" count="1" selected="0">
            <x v="1"/>
          </reference>
        </references>
      </pivotArea>
    </format>
    <format dxfId="2589">
      <pivotArea outline="0" collapsedLevelsAreSubtotals="1" fieldPosition="0">
        <references count="4">
          <reference field="4294967294" count="1" selected="0">
            <x v="11"/>
          </reference>
          <reference field="0" count="1" selected="0">
            <x v="11"/>
          </reference>
          <reference field="5" count="1" selected="0">
            <x v="7"/>
          </reference>
          <reference field="45" count="1" selected="0">
            <x v="1"/>
          </reference>
        </references>
      </pivotArea>
    </format>
    <format dxfId="2588">
      <pivotArea outline="0" collapsedLevelsAreSubtotals="1" fieldPosition="0">
        <references count="4">
          <reference field="4294967294" count="1" selected="0">
            <x v="14"/>
          </reference>
          <reference field="0" count="1" selected="0">
            <x v="11"/>
          </reference>
          <reference field="5" count="2" selected="0">
            <x v="8"/>
            <x v="9"/>
          </reference>
          <reference field="45" count="1" selected="0">
            <x v="1"/>
          </reference>
        </references>
      </pivotArea>
    </format>
    <format dxfId="2587">
      <pivotArea outline="0" collapsedLevelsAreSubtotals="1" fieldPosition="0">
        <references count="4">
          <reference field="4294967294" count="1" selected="0">
            <x v="32"/>
          </reference>
          <reference field="0" count="1" selected="0">
            <x v="11"/>
          </reference>
          <reference field="5" count="1" selected="0">
            <x v="14"/>
          </reference>
          <reference field="45" count="1" selected="0">
            <x v="3"/>
          </reference>
        </references>
      </pivotArea>
    </format>
    <format dxfId="2586">
      <pivotArea outline="0" collapsedLevelsAreSubtotals="1" fieldPosition="0">
        <references count="4">
          <reference field="4294967294" count="1" selected="0">
            <x v="29"/>
          </reference>
          <reference field="0" count="1" selected="0">
            <x v="12"/>
          </reference>
          <reference field="5" count="1" selected="0">
            <x v="14"/>
          </reference>
          <reference field="45" count="1" selected="0">
            <x v="3"/>
          </reference>
        </references>
      </pivotArea>
    </format>
    <format dxfId="2585">
      <pivotArea outline="0" collapsedLevelsAreSubtotals="1" fieldPosition="0">
        <references count="3">
          <reference field="4294967294" count="1" selected="0">
            <x v="20"/>
          </reference>
          <reference field="0" count="1" selected="0">
            <x v="12"/>
          </reference>
          <reference field="45" count="1" selected="0">
            <x v="4"/>
          </reference>
        </references>
      </pivotArea>
    </format>
    <format dxfId="2584">
      <pivotArea outline="0" collapsedLevelsAreSubtotals="1" fieldPosition="0">
        <references count="4">
          <reference field="4294967294" count="1" selected="0">
            <x v="23"/>
          </reference>
          <reference field="0" count="1" selected="0">
            <x v="12"/>
          </reference>
          <reference field="5" count="1" selected="0">
            <x v="14"/>
          </reference>
          <reference field="45" count="1" selected="0">
            <x v="3"/>
          </reference>
        </references>
      </pivotArea>
    </format>
    <format dxfId="2583">
      <pivotArea outline="0" collapsedLevelsAreSubtotals="1" fieldPosition="0">
        <references count="4">
          <reference field="4294967294" count="1" selected="0">
            <x v="5"/>
          </reference>
          <reference field="0" count="1" selected="0">
            <x v="13"/>
          </reference>
          <reference field="5" count="1" selected="0">
            <x v="1"/>
          </reference>
          <reference field="45" count="1" selected="0">
            <x v="0"/>
          </reference>
        </references>
      </pivotArea>
    </format>
    <format dxfId="2582">
      <pivotArea outline="0" collapsedLevelsAreSubtotals="1" fieldPosition="0">
        <references count="4">
          <reference field="4294967294" count="1" selected="0">
            <x v="5"/>
          </reference>
          <reference field="0" count="1" selected="0">
            <x v="13"/>
          </reference>
          <reference field="5" count="1" selected="0">
            <x v="2"/>
          </reference>
          <reference field="45" count="1" selected="0">
            <x v="0"/>
          </reference>
        </references>
      </pivotArea>
    </format>
    <format dxfId="2581">
      <pivotArea outline="0" collapsedLevelsAreSubtotals="1" fieldPosition="0">
        <references count="4">
          <reference field="4294967294" count="1" selected="0">
            <x v="11"/>
          </reference>
          <reference field="0" count="1" selected="0">
            <x v="13"/>
          </reference>
          <reference field="5" count="1" selected="0">
            <x v="5"/>
          </reference>
          <reference field="45" count="1" selected="0">
            <x v="0"/>
          </reference>
        </references>
      </pivotArea>
    </format>
    <format dxfId="2580">
      <pivotArea outline="0" collapsedLevelsAreSubtotals="1" fieldPosition="0">
        <references count="4">
          <reference field="4294967294" count="1" selected="0">
            <x v="8"/>
          </reference>
          <reference field="0" count="1" selected="0">
            <x v="13"/>
          </reference>
          <reference field="5" count="2" selected="0">
            <x v="6"/>
            <x v="7"/>
          </reference>
          <reference field="45" count="1" selected="0">
            <x v="1"/>
          </reference>
        </references>
      </pivotArea>
    </format>
    <format dxfId="2579">
      <pivotArea outline="0" collapsedLevelsAreSubtotals="1" fieldPosition="0">
        <references count="4">
          <reference field="4294967294" count="1" selected="0">
            <x v="8"/>
          </reference>
          <reference field="0" count="1" selected="0">
            <x v="13"/>
          </reference>
          <reference field="5" count="1" selected="0">
            <x v="9"/>
          </reference>
          <reference field="45" count="1" selected="0">
            <x v="1"/>
          </reference>
        </references>
      </pivotArea>
    </format>
    <format dxfId="2578">
      <pivotArea outline="0" collapsedLevelsAreSubtotals="1" fieldPosition="0">
        <references count="4">
          <reference field="4294967294" count="1" selected="0">
            <x v="11"/>
          </reference>
          <reference field="0" count="1" selected="0">
            <x v="13"/>
          </reference>
          <reference field="5" count="1" selected="0">
            <x v="9"/>
          </reference>
          <reference field="45" count="1" selected="0">
            <x v="1"/>
          </reference>
        </references>
      </pivotArea>
    </format>
    <format dxfId="2577">
      <pivotArea outline="0" collapsedLevelsAreSubtotals="1" fieldPosition="0">
        <references count="4">
          <reference field="4294967294" count="1" selected="0">
            <x v="35"/>
          </reference>
          <reference field="0" count="1" selected="0">
            <x v="13"/>
          </reference>
          <reference field="5" count="1" selected="0">
            <x v="0"/>
          </reference>
          <reference field="45" count="1" selected="0">
            <x v="0"/>
          </reference>
        </references>
      </pivotArea>
    </format>
    <format dxfId="2576">
      <pivotArea outline="0" collapsedLevelsAreSubtotals="1" fieldPosition="0">
        <references count="4">
          <reference field="4294967294" count="1" selected="0">
            <x v="14"/>
          </reference>
          <reference field="0" count="1" selected="0">
            <x v="14"/>
          </reference>
          <reference field="5" count="1" selected="0">
            <x v="2"/>
          </reference>
          <reference field="45" count="1" selected="0">
            <x v="0"/>
          </reference>
        </references>
      </pivotArea>
    </format>
    <format dxfId="2575">
      <pivotArea outline="0" collapsedLevelsAreSubtotals="1" fieldPosition="0">
        <references count="4">
          <reference field="4294967294" count="1" selected="0">
            <x v="32"/>
          </reference>
          <reference field="0" count="1" selected="0">
            <x v="5"/>
          </reference>
          <reference field="5" count="1" selected="0">
            <x v="0"/>
          </reference>
          <reference field="45" count="1" selected="0">
            <x v="0"/>
          </reference>
        </references>
      </pivotArea>
    </format>
    <format dxfId="2574">
      <pivotArea outline="0" collapsedLevelsAreSubtotals="1" fieldPosition="0">
        <references count="4">
          <reference field="4294967294" count="1" selected="0">
            <x v="14"/>
          </reference>
          <reference field="0" count="1" selected="0">
            <x v="5"/>
          </reference>
          <reference field="5" count="1" selected="0">
            <x v="0"/>
          </reference>
          <reference field="45" count="1" selected="0">
            <x v="0"/>
          </reference>
        </references>
      </pivotArea>
    </format>
    <format dxfId="2573">
      <pivotArea outline="0" collapsedLevelsAreSubtotals="1" fieldPosition="0">
        <references count="4">
          <reference field="4294967294" count="1" selected="0">
            <x v="14"/>
          </reference>
          <reference field="0" count="1" selected="0">
            <x v="5"/>
          </reference>
          <reference field="5" count="1" selected="0">
            <x v="2"/>
          </reference>
          <reference field="45" count="1" selected="0">
            <x v="0"/>
          </reference>
        </references>
      </pivotArea>
    </format>
    <format dxfId="2572">
      <pivotArea outline="0" collapsedLevelsAreSubtotals="1" fieldPosition="0">
        <references count="3">
          <reference field="4294967294" count="1" selected="0">
            <x v="5"/>
          </reference>
          <reference field="0" count="1" selected="0">
            <x v="9"/>
          </reference>
          <reference field="45" count="1" selected="0">
            <x v="4"/>
          </reference>
        </references>
      </pivotArea>
    </format>
    <format dxfId="2571">
      <pivotArea outline="0" collapsedLevelsAreSubtotals="1" fieldPosition="0">
        <references count="4">
          <reference field="4294967294" count="1" selected="0">
            <x v="5"/>
          </reference>
          <reference field="0" count="1" selected="0">
            <x v="11"/>
          </reference>
          <reference field="5" count="1" selected="0">
            <x v="2"/>
          </reference>
          <reference field="45" count="1" selected="0">
            <x v="0"/>
          </reference>
        </references>
      </pivotArea>
    </format>
    <format dxfId="2570">
      <pivotArea outline="0" collapsedLevelsAreSubtotals="1" fieldPosition="0">
        <references count="4">
          <reference field="4294967294" count="1" selected="0">
            <x v="11"/>
          </reference>
          <reference field="0" count="1" selected="0">
            <x v="12"/>
          </reference>
          <reference field="5" count="1" selected="0">
            <x v="1"/>
          </reference>
          <reference field="45" count="1" selected="0">
            <x v="0"/>
          </reference>
        </references>
      </pivotArea>
    </format>
    <format dxfId="2569">
      <pivotArea outline="0" collapsedLevelsAreSubtotals="1" fieldPosition="0">
        <references count="3">
          <reference field="4294967294" count="1" selected="0">
            <x v="20"/>
          </reference>
          <reference field="0" count="1" selected="0">
            <x v="13"/>
          </reference>
          <reference field="45" count="1" selected="0">
            <x v="4"/>
          </reference>
        </references>
      </pivotArea>
    </format>
    <format dxfId="2568">
      <pivotArea outline="0" collapsedLevelsAreSubtotals="1" fieldPosition="0">
        <references count="4">
          <reference field="4294967294" count="1" selected="0">
            <x v="2"/>
          </reference>
          <reference field="0" count="1" selected="0">
            <x v="15"/>
          </reference>
          <reference field="5" count="1" selected="0">
            <x v="14"/>
          </reference>
          <reference field="45" count="1" selected="0">
            <x v="3"/>
          </reference>
        </references>
      </pivotArea>
    </format>
    <format dxfId="2567">
      <pivotArea outline="0" collapsedLevelsAreSubtotals="1" fieldPosition="0">
        <references count="4">
          <reference field="4294967294" count="1" selected="0">
            <x v="38"/>
          </reference>
          <reference field="0" count="1" selected="0">
            <x v="15"/>
          </reference>
          <reference field="5" count="1" selected="0">
            <x v="14"/>
          </reference>
          <reference field="45" count="1" selected="0">
            <x v="3"/>
          </reference>
        </references>
      </pivotArea>
    </format>
    <format dxfId="2566">
      <pivotArea outline="0" collapsedLevelsAreSubtotals="1" fieldPosition="0">
        <references count="3">
          <reference field="4294967294" count="1" selected="0">
            <x v="20"/>
          </reference>
          <reference field="0" count="1" selected="0">
            <x v="12"/>
          </reference>
          <reference field="45" count="1" selected="0">
            <x v="4"/>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3" dataOnRows="1" applyNumberFormats="0" applyBorderFormats="0" applyFontFormats="0" applyPatternFormats="0" applyAlignmentFormats="0" applyWidthHeightFormats="1" dataCaption="Data" updatedVersion="6" minRefreshableVersion="3" asteriskTotals="1" showMultipleLabel="0" showMemberPropertyTips="0" useAutoFormatting="1" itemPrintTitles="1" createdVersion="3" indent="0" compact="0" compactData="0" gridDropZones="1">
  <location ref="C2:U97" firstHeaderRow="1" firstDataRow="2" firstDataCol="2"/>
  <pivotFields count="51">
    <pivotField axis="axisCol" compact="0" outline="0" subtotalTop="0" showAll="0" includeNewItemsInFilter="1" sortType="ascending">
      <items count="18">
        <item x="0"/>
        <item x="1"/>
        <item x="2"/>
        <item x="3"/>
        <item x="4"/>
        <item x="5"/>
        <item x="6"/>
        <item x="7"/>
        <item x="8"/>
        <item x="9"/>
        <item x="10"/>
        <item x="11"/>
        <item x="12"/>
        <item x="13"/>
        <item x="14"/>
        <item x="15"/>
        <item h="1" m="1" x="16"/>
        <item t="default"/>
      </items>
    </pivotField>
    <pivotField axis="axisRow" compact="0" outline="0" subtotalTop="0" showAll="0" includeNewItemsInFilter="1" sortType="ascending">
      <items count="48">
        <item n="1A" x="0"/>
        <item x="2"/>
        <item x="3"/>
        <item x="4"/>
        <item n="1B3" x="5"/>
        <item n="1B4" x="6"/>
        <item x="43"/>
        <item x="7"/>
        <item x="8"/>
        <item n="1C" x="10"/>
        <item n="1C1" x="42"/>
        <item x="44"/>
        <item x="40"/>
        <item x="45"/>
        <item n="1C6" x="11"/>
        <item x="12"/>
        <item n="1D" x="1"/>
        <item x="41"/>
        <item n="1F" x="9"/>
        <item n="1G" x="13"/>
        <item n="2A" x="14"/>
        <item n="2A1" x="15"/>
        <item x="16"/>
        <item n="2A3" x="17"/>
        <item n="2A4" x="18"/>
        <item n="2B" x="19"/>
        <item n="2C" x="20"/>
        <item n="2C1" x="21"/>
        <item n="2C2" x="22"/>
        <item n="2C3" x="23"/>
        <item n="2D" x="24"/>
        <item n="2D1" x="25"/>
        <item n="2D1a" x="26"/>
        <item n="2D1b" x="27"/>
        <item n="2D1c" x="28"/>
        <item n="2D1c1" x="29"/>
        <item x="30"/>
        <item n="2D1d" x="31"/>
        <item n="2D1d1" x="32"/>
        <item x="33"/>
        <item n="2D2" x="34"/>
        <item n="2D2a" x="35"/>
        <item n="2D2b" x="36"/>
        <item n="2D3" x="37"/>
        <item n="2D3a" x="38"/>
        <item n="2D3b" x="39"/>
        <item h="1" m="1" x="46"/>
        <item t="default"/>
      </items>
    </pivotField>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items count="19">
        <item x="0"/>
        <item x="1"/>
        <item x="2"/>
        <item x="3"/>
        <item x="4"/>
        <item x="5"/>
        <item x="14"/>
        <item x="6"/>
        <item x="7"/>
        <item x="8"/>
        <item x="15"/>
        <item x="9"/>
        <item x="10"/>
        <item m="1" x="17"/>
        <item x="16"/>
        <item x="11"/>
        <item x="12"/>
        <item x="13"/>
        <item t="default"/>
      </items>
    </pivotField>
    <pivotField compact="0" numFmtId="37"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7"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7" outline="0" subtotalTop="0" showAll="0" includeNewItemsInFilter="1"/>
    <pivotField compact="0" outline="0" showAll="0" defaultSubtotal="0"/>
    <pivotField compact="0" outline="0" subtotalTop="0" showAll="0" includeNewItemsInFilter="1"/>
    <pivotField compact="0" outline="0" showAll="0" defaultSubtotal="0"/>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showAll="0" includeNewItemsInFilter="1" defaultSubtotal="0">
      <items count="7">
        <item x="0"/>
        <item x="1"/>
        <item x="2"/>
        <item x="3"/>
        <item x="4"/>
        <item x="6"/>
        <item x="5"/>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1"/>
    <field x="-2"/>
  </rowFields>
  <rowItems count="9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x v="27"/>
      <x/>
    </i>
    <i r="1" i="1">
      <x v="1"/>
    </i>
    <i>
      <x v="28"/>
      <x/>
    </i>
    <i r="1" i="1">
      <x v="1"/>
    </i>
    <i>
      <x v="29"/>
      <x/>
    </i>
    <i r="1" i="1">
      <x v="1"/>
    </i>
    <i>
      <x v="30"/>
      <x/>
    </i>
    <i r="1" i="1">
      <x v="1"/>
    </i>
    <i>
      <x v="31"/>
      <x/>
    </i>
    <i r="1" i="1">
      <x v="1"/>
    </i>
    <i>
      <x v="32"/>
      <x/>
    </i>
    <i r="1" i="1">
      <x v="1"/>
    </i>
    <i>
      <x v="33"/>
      <x/>
    </i>
    <i r="1" i="1">
      <x v="1"/>
    </i>
    <i>
      <x v="34"/>
      <x/>
    </i>
    <i r="1" i="1">
      <x v="1"/>
    </i>
    <i>
      <x v="35"/>
      <x/>
    </i>
    <i r="1" i="1">
      <x v="1"/>
    </i>
    <i>
      <x v="36"/>
      <x/>
    </i>
    <i r="1" i="1">
      <x v="1"/>
    </i>
    <i>
      <x v="37"/>
      <x/>
    </i>
    <i r="1" i="1">
      <x v="1"/>
    </i>
    <i>
      <x v="38"/>
      <x/>
    </i>
    <i r="1" i="1">
      <x v="1"/>
    </i>
    <i>
      <x v="39"/>
      <x/>
    </i>
    <i r="1" i="1">
      <x v="1"/>
    </i>
    <i>
      <x v="40"/>
      <x/>
    </i>
    <i r="1" i="1">
      <x v="1"/>
    </i>
    <i>
      <x v="41"/>
      <x/>
    </i>
    <i r="1" i="1">
      <x v="1"/>
    </i>
    <i>
      <x v="42"/>
      <x/>
    </i>
    <i r="1" i="1">
      <x v="1"/>
    </i>
    <i>
      <x v="43"/>
      <x/>
    </i>
    <i r="1" i="1">
      <x v="1"/>
    </i>
    <i>
      <x v="44"/>
      <x/>
    </i>
    <i r="1" i="1">
      <x v="1"/>
    </i>
    <i>
      <x v="45"/>
      <x/>
    </i>
    <i r="1" i="1">
      <x v="1"/>
    </i>
    <i t="grand">
      <x/>
    </i>
    <i t="grand" i="1">
      <x/>
    </i>
  </rowItems>
  <colFields count="1">
    <field x="0"/>
  </colFields>
  <colItems count="17">
    <i>
      <x/>
    </i>
    <i>
      <x v="1"/>
    </i>
    <i>
      <x v="2"/>
    </i>
    <i>
      <x v="3"/>
    </i>
    <i>
      <x v="4"/>
    </i>
    <i>
      <x v="5"/>
    </i>
    <i>
      <x v="6"/>
    </i>
    <i>
      <x v="7"/>
    </i>
    <i>
      <x v="8"/>
    </i>
    <i>
      <x v="9"/>
    </i>
    <i>
      <x v="10"/>
    </i>
    <i>
      <x v="11"/>
    </i>
    <i>
      <x v="12"/>
    </i>
    <i>
      <x v="13"/>
    </i>
    <i>
      <x v="14"/>
    </i>
    <i>
      <x v="15"/>
    </i>
    <i t="grand">
      <x/>
    </i>
  </colItems>
  <dataFields count="2">
    <dataField name="Total-Old" fld="34" baseField="0" baseItem="0" numFmtId="37"/>
    <dataField name="Total-New" fld="35" baseField="0" baseItem="0" numFmtId="37"/>
  </dataFields>
  <formats count="211">
    <format dxfId="2565">
      <pivotArea type="origin" dataOnly="0" labelOnly="1" outline="0" fieldPosition="0"/>
    </format>
    <format dxfId="2564">
      <pivotArea type="all" dataOnly="0" labelOnly="1" outline="0" fieldPosition="0"/>
    </format>
    <format dxfId="2563">
      <pivotArea dataOnly="0" labelOnly="1" outline="0" offset="IV1" fieldPosition="0">
        <references count="1">
          <reference field="1" count="1">
            <x v="34"/>
          </reference>
        </references>
      </pivotArea>
    </format>
    <format dxfId="2562">
      <pivotArea dataOnly="0" labelOnly="1" outline="0" fieldPosition="0">
        <references count="1">
          <reference field="1" count="2">
            <x v="34"/>
            <x v="35"/>
          </reference>
        </references>
      </pivotArea>
    </format>
    <format dxfId="2561">
      <pivotArea dataOnly="0" labelOnly="1" outline="0" fieldPosition="0">
        <references count="1">
          <reference field="1" count="3">
            <x v="40"/>
            <x v="41"/>
            <x v="42"/>
          </reference>
        </references>
      </pivotArea>
    </format>
    <format dxfId="2560">
      <pivotArea dataOnly="0" labelOnly="1" outline="0" fieldPosition="0">
        <references count="1">
          <reference field="0" count="0"/>
        </references>
      </pivotArea>
    </format>
    <format dxfId="2559">
      <pivotArea dataOnly="0" labelOnly="1" grandCol="1" outline="0" fieldPosition="0"/>
    </format>
    <format dxfId="2558">
      <pivotArea type="topRight" dataOnly="0" labelOnly="1" outline="0" offset="F1" fieldPosition="0"/>
    </format>
    <format dxfId="2557">
      <pivotArea type="topRight" dataOnly="0" labelOnly="1" outline="0" offset="C1" fieldPosition="0"/>
    </format>
    <format dxfId="2556">
      <pivotArea type="topRight" dataOnly="0" labelOnly="1" outline="0" offset="C1" fieldPosition="0"/>
    </format>
    <format dxfId="2555">
      <pivotArea type="topRight" dataOnly="0" labelOnly="1" outline="0" offset="F1" fieldPosition="0"/>
    </format>
    <format dxfId="2554">
      <pivotArea type="all" dataOnly="0" outline="0" fieldPosition="0"/>
    </format>
    <format dxfId="2553">
      <pivotArea outline="0" fieldPosition="0">
        <references count="1">
          <reference field="1" count="7" selected="0">
            <x v="34"/>
            <x v="35"/>
            <x v="37"/>
            <x v="38"/>
            <x v="40"/>
            <x v="41"/>
            <x v="42"/>
          </reference>
        </references>
      </pivotArea>
    </format>
    <format dxfId="2552">
      <pivotArea outline="0" fieldPosition="0">
        <references count="2">
          <reference field="4294967294" count="1" selected="0">
            <x v="0"/>
          </reference>
          <reference field="1" count="1" selected="0">
            <x v="43"/>
          </reference>
        </references>
      </pivotArea>
    </format>
    <format dxfId="2551">
      <pivotArea dataOnly="0" labelOnly="1" outline="0" fieldPosition="0">
        <references count="1">
          <reference field="1" count="7">
            <x v="34"/>
            <x v="35"/>
            <x v="37"/>
            <x v="38"/>
            <x v="40"/>
            <x v="41"/>
            <x v="42"/>
          </reference>
        </references>
      </pivotArea>
    </format>
    <format dxfId="2550">
      <pivotArea dataOnly="0" labelOnly="1" outline="0" offset="IV1" fieldPosition="0">
        <references count="1">
          <reference field="1" count="1">
            <x v="43"/>
          </reference>
        </references>
      </pivotArea>
    </format>
    <format dxfId="2549">
      <pivotArea dataOnly="0" labelOnly="1" outline="0" fieldPosition="0">
        <references count="2">
          <reference field="4294967294" count="0"/>
          <reference field="1" count="1" selected="0">
            <x v="34"/>
          </reference>
        </references>
      </pivotArea>
    </format>
    <format dxfId="2548">
      <pivotArea dataOnly="0" labelOnly="1" outline="0" fieldPosition="0">
        <references count="2">
          <reference field="4294967294" count="0"/>
          <reference field="1" count="1" selected="0">
            <x v="35"/>
          </reference>
        </references>
      </pivotArea>
    </format>
    <format dxfId="2547">
      <pivotArea dataOnly="0" labelOnly="1" outline="0" fieldPosition="0">
        <references count="2">
          <reference field="4294967294" count="0"/>
          <reference field="1" count="1" selected="0">
            <x v="37"/>
          </reference>
        </references>
      </pivotArea>
    </format>
    <format dxfId="2546">
      <pivotArea dataOnly="0" labelOnly="1" outline="0" fieldPosition="0">
        <references count="2">
          <reference field="4294967294" count="0"/>
          <reference field="1" count="1" selected="0">
            <x v="38"/>
          </reference>
        </references>
      </pivotArea>
    </format>
    <format dxfId="2545">
      <pivotArea dataOnly="0" labelOnly="1" outline="0" fieldPosition="0">
        <references count="2">
          <reference field="4294967294" count="0"/>
          <reference field="1" count="1" selected="0">
            <x v="40"/>
          </reference>
        </references>
      </pivotArea>
    </format>
    <format dxfId="2544">
      <pivotArea dataOnly="0" labelOnly="1" outline="0" fieldPosition="0">
        <references count="2">
          <reference field="4294967294" count="0"/>
          <reference field="1" count="1" selected="0">
            <x v="41"/>
          </reference>
        </references>
      </pivotArea>
    </format>
    <format dxfId="2543">
      <pivotArea dataOnly="0" labelOnly="1" outline="0" fieldPosition="0">
        <references count="2">
          <reference field="4294967294" count="0"/>
          <reference field="1" count="1" selected="0">
            <x v="42"/>
          </reference>
        </references>
      </pivotArea>
    </format>
    <format dxfId="2542">
      <pivotArea dataOnly="0" labelOnly="1" outline="0" fieldPosition="0">
        <references count="2">
          <reference field="4294967294" count="1">
            <x v="0"/>
          </reference>
          <reference field="1" count="1" selected="0">
            <x v="43"/>
          </reference>
        </references>
      </pivotArea>
    </format>
    <format dxfId="2541">
      <pivotArea dataOnly="0" labelOnly="1" outline="0" fieldPosition="0">
        <references count="2">
          <reference field="4294967294" count="2">
            <x v="0"/>
            <x v="1"/>
          </reference>
          <reference field="1" count="1" selected="0">
            <x v="0"/>
          </reference>
        </references>
      </pivotArea>
    </format>
    <format dxfId="2540">
      <pivotArea type="all" dataOnly="0" outline="0" fieldPosition="0"/>
    </format>
    <format dxfId="2539">
      <pivotArea field="1" grandRow="1" outline="0" axis="axisRow" fieldPosition="0">
        <references count="1">
          <reference field="4294967294" count="0" selected="0"/>
        </references>
      </pivotArea>
    </format>
    <format dxfId="2538">
      <pivotArea field="1" dataOnly="0" labelOnly="1" grandRow="1" outline="0" axis="axisRow" fieldPosition="0">
        <references count="1">
          <reference field="4294967294" count="1" selected="0">
            <x v="0"/>
          </reference>
        </references>
      </pivotArea>
    </format>
    <format dxfId="2537">
      <pivotArea field="1" dataOnly="0" labelOnly="1" grandRow="1" outline="0" axis="axisRow" fieldPosition="0">
        <references count="1">
          <reference field="4294967294" count="1" selected="0">
            <x v="1"/>
          </reference>
        </references>
      </pivotArea>
    </format>
    <format dxfId="2536">
      <pivotArea field="1" dataOnly="0" labelOnly="1" grandRow="1" outline="0" axis="axisRow" fieldPosition="0">
        <references count="1">
          <reference field="4294967294" count="1" selected="0">
            <x v="0"/>
          </reference>
        </references>
      </pivotArea>
    </format>
    <format dxfId="2535">
      <pivotArea field="1" dataOnly="0" labelOnly="1" grandRow="1" outline="0" axis="axisRow" fieldPosition="0">
        <references count="1">
          <reference field="4294967294" count="1" selected="0">
            <x v="1"/>
          </reference>
        </references>
      </pivotArea>
    </format>
    <format dxfId="2534">
      <pivotArea grandRow="1" grandCol="1" outline="0" fieldPosition="0">
        <references count="1">
          <reference field="4294967294" count="0" selected="0"/>
        </references>
      </pivotArea>
    </format>
    <format dxfId="2533">
      <pivotArea outline="0" fieldPosition="0">
        <references count="2">
          <reference field="4294967294" count="1" selected="0">
            <x v="1"/>
          </reference>
          <reference field="1" count="1" selected="0">
            <x v="23"/>
          </reference>
        </references>
      </pivotArea>
    </format>
    <format dxfId="2532">
      <pivotArea outline="0" fieldPosition="0">
        <references count="2">
          <reference field="0" count="1" selected="0">
            <x v="9"/>
          </reference>
          <reference field="1" count="1" selected="0">
            <x v="19"/>
          </reference>
        </references>
      </pivotArea>
    </format>
    <format dxfId="2531">
      <pivotArea outline="0" fieldPosition="0">
        <references count="1">
          <reference field="1" count="31" selected="0">
            <x v="4"/>
            <x v="5"/>
            <x v="9"/>
            <x v="10"/>
            <x v="14"/>
            <x v="16"/>
            <x v="18"/>
            <x v="19"/>
            <x v="20"/>
            <x v="21"/>
            <x v="23"/>
            <x v="24"/>
            <x v="25"/>
            <x v="26"/>
            <x v="27"/>
            <x v="28"/>
            <x v="29"/>
            <x v="30"/>
            <x v="31"/>
            <x v="32"/>
            <x v="33"/>
            <x v="34"/>
            <x v="35"/>
            <x v="37"/>
            <x v="38"/>
            <x v="40"/>
            <x v="41"/>
            <x v="42"/>
            <x v="43"/>
            <x v="44"/>
            <x v="45"/>
          </reference>
        </references>
      </pivotArea>
    </format>
    <format dxfId="2530">
      <pivotArea field="1" grandRow="1" outline="0" axis="axisRow" fieldPosition="0">
        <references count="1">
          <reference field="4294967294" count="0" selected="0"/>
        </references>
      </pivotArea>
    </format>
    <format dxfId="2529">
      <pivotArea dataOnly="0" labelOnly="1" outline="0" fieldPosition="0">
        <references count="1">
          <reference field="1" count="31">
            <x v="4"/>
            <x v="5"/>
            <x v="9"/>
            <x v="10"/>
            <x v="14"/>
            <x v="16"/>
            <x v="18"/>
            <x v="19"/>
            <x v="20"/>
            <x v="21"/>
            <x v="23"/>
            <x v="24"/>
            <x v="25"/>
            <x v="26"/>
            <x v="27"/>
            <x v="28"/>
            <x v="29"/>
            <x v="30"/>
            <x v="31"/>
            <x v="32"/>
            <x v="33"/>
            <x v="34"/>
            <x v="35"/>
            <x v="37"/>
            <x v="38"/>
            <x v="40"/>
            <x v="41"/>
            <x v="42"/>
            <x v="43"/>
            <x v="44"/>
            <x v="45"/>
          </reference>
        </references>
      </pivotArea>
    </format>
    <format dxfId="2528">
      <pivotArea field="1" dataOnly="0" labelOnly="1" grandRow="1" outline="0" axis="axisRow" fieldPosition="0">
        <references count="1">
          <reference field="4294967294" count="1" selected="0">
            <x v="0"/>
          </reference>
        </references>
      </pivotArea>
    </format>
    <format dxfId="2527">
      <pivotArea field="1" dataOnly="0" labelOnly="1" grandRow="1" outline="0" axis="axisRow" fieldPosition="0">
        <references count="1">
          <reference field="4294967294" count="1" selected="0">
            <x v="1"/>
          </reference>
        </references>
      </pivotArea>
    </format>
    <format dxfId="2526">
      <pivotArea dataOnly="0" labelOnly="1" outline="0" fieldPosition="0">
        <references count="2">
          <reference field="4294967294" count="0"/>
          <reference field="1" count="1" selected="0">
            <x v="4"/>
          </reference>
        </references>
      </pivotArea>
    </format>
    <format dxfId="2525">
      <pivotArea dataOnly="0" labelOnly="1" outline="0" fieldPosition="0">
        <references count="2">
          <reference field="4294967294" count="0"/>
          <reference field="1" count="1" selected="0">
            <x v="5"/>
          </reference>
        </references>
      </pivotArea>
    </format>
    <format dxfId="2524">
      <pivotArea dataOnly="0" labelOnly="1" outline="0" fieldPosition="0">
        <references count="2">
          <reference field="4294967294" count="0"/>
          <reference field="1" count="1" selected="0">
            <x v="9"/>
          </reference>
        </references>
      </pivotArea>
    </format>
    <format dxfId="2523">
      <pivotArea dataOnly="0" labelOnly="1" outline="0" fieldPosition="0">
        <references count="2">
          <reference field="4294967294" count="0"/>
          <reference field="1" count="1" selected="0">
            <x v="10"/>
          </reference>
        </references>
      </pivotArea>
    </format>
    <format dxfId="2522">
      <pivotArea dataOnly="0" labelOnly="1" outline="0" fieldPosition="0">
        <references count="2">
          <reference field="4294967294" count="0"/>
          <reference field="1" count="1" selected="0">
            <x v="14"/>
          </reference>
        </references>
      </pivotArea>
    </format>
    <format dxfId="2521">
      <pivotArea dataOnly="0" labelOnly="1" outline="0" fieldPosition="0">
        <references count="2">
          <reference field="4294967294" count="0"/>
          <reference field="1" count="1" selected="0">
            <x v="19"/>
          </reference>
        </references>
      </pivotArea>
    </format>
    <format dxfId="2520">
      <pivotArea dataOnly="0" labelOnly="1" outline="0" fieldPosition="0">
        <references count="2">
          <reference field="4294967294" count="0"/>
          <reference field="1" count="1" selected="0">
            <x v="16"/>
          </reference>
        </references>
      </pivotArea>
    </format>
    <format dxfId="2519">
      <pivotArea dataOnly="0" labelOnly="1" outline="0" fieldPosition="0">
        <references count="2">
          <reference field="4294967294" count="0"/>
          <reference field="1" count="1" selected="0">
            <x v="18"/>
          </reference>
        </references>
      </pivotArea>
    </format>
    <format dxfId="2518">
      <pivotArea dataOnly="0" labelOnly="1" outline="0" fieldPosition="0">
        <references count="2">
          <reference field="4294967294" count="0"/>
          <reference field="1" count="1" selected="0">
            <x v="20"/>
          </reference>
        </references>
      </pivotArea>
    </format>
    <format dxfId="2517">
      <pivotArea dataOnly="0" labelOnly="1" outline="0" fieldPosition="0">
        <references count="2">
          <reference field="4294967294" count="0"/>
          <reference field="1" count="1" selected="0">
            <x v="21"/>
          </reference>
        </references>
      </pivotArea>
    </format>
    <format dxfId="2516">
      <pivotArea dataOnly="0" labelOnly="1" outline="0" fieldPosition="0">
        <references count="2">
          <reference field="4294967294" count="0"/>
          <reference field="1" count="1" selected="0">
            <x v="23"/>
          </reference>
        </references>
      </pivotArea>
    </format>
    <format dxfId="2515">
      <pivotArea dataOnly="0" labelOnly="1" outline="0" fieldPosition="0">
        <references count="2">
          <reference field="4294967294" count="0"/>
          <reference field="1" count="1" selected="0">
            <x v="24"/>
          </reference>
        </references>
      </pivotArea>
    </format>
    <format dxfId="2514">
      <pivotArea dataOnly="0" labelOnly="1" outline="0" fieldPosition="0">
        <references count="2">
          <reference field="4294967294" count="0"/>
          <reference field="1" count="1" selected="0">
            <x v="25"/>
          </reference>
        </references>
      </pivotArea>
    </format>
    <format dxfId="2513">
      <pivotArea dataOnly="0" labelOnly="1" outline="0" fieldPosition="0">
        <references count="2">
          <reference field="4294967294" count="0"/>
          <reference field="1" count="1" selected="0">
            <x v="26"/>
          </reference>
        </references>
      </pivotArea>
    </format>
    <format dxfId="2512">
      <pivotArea dataOnly="0" labelOnly="1" outline="0" fieldPosition="0">
        <references count="2">
          <reference field="4294967294" count="0"/>
          <reference field="1" count="1" selected="0">
            <x v="27"/>
          </reference>
        </references>
      </pivotArea>
    </format>
    <format dxfId="2511">
      <pivotArea dataOnly="0" labelOnly="1" outline="0" fieldPosition="0">
        <references count="2">
          <reference field="4294967294" count="0"/>
          <reference field="1" count="1" selected="0">
            <x v="28"/>
          </reference>
        </references>
      </pivotArea>
    </format>
    <format dxfId="2510">
      <pivotArea dataOnly="0" labelOnly="1" outline="0" fieldPosition="0">
        <references count="2">
          <reference field="4294967294" count="0"/>
          <reference field="1" count="1" selected="0">
            <x v="29"/>
          </reference>
        </references>
      </pivotArea>
    </format>
    <format dxfId="2509">
      <pivotArea dataOnly="0" labelOnly="1" outline="0" fieldPosition="0">
        <references count="2">
          <reference field="4294967294" count="0"/>
          <reference field="1" count="1" selected="0">
            <x v="30"/>
          </reference>
        </references>
      </pivotArea>
    </format>
    <format dxfId="2508">
      <pivotArea dataOnly="0" labelOnly="1" outline="0" fieldPosition="0">
        <references count="2">
          <reference field="4294967294" count="0"/>
          <reference field="1" count="1" selected="0">
            <x v="31"/>
          </reference>
        </references>
      </pivotArea>
    </format>
    <format dxfId="2507">
      <pivotArea dataOnly="0" labelOnly="1" outline="0" fieldPosition="0">
        <references count="2">
          <reference field="4294967294" count="0"/>
          <reference field="1" count="1" selected="0">
            <x v="32"/>
          </reference>
        </references>
      </pivotArea>
    </format>
    <format dxfId="2506">
      <pivotArea dataOnly="0" labelOnly="1" outline="0" fieldPosition="0">
        <references count="2">
          <reference field="4294967294" count="0"/>
          <reference field="1" count="1" selected="0">
            <x v="33"/>
          </reference>
        </references>
      </pivotArea>
    </format>
    <format dxfId="2505">
      <pivotArea dataOnly="0" labelOnly="1" outline="0" fieldPosition="0">
        <references count="2">
          <reference field="4294967294" count="0"/>
          <reference field="1" count="1" selected="0">
            <x v="34"/>
          </reference>
        </references>
      </pivotArea>
    </format>
    <format dxfId="2504">
      <pivotArea dataOnly="0" labelOnly="1" outline="0" fieldPosition="0">
        <references count="2">
          <reference field="4294967294" count="0"/>
          <reference field="1" count="1" selected="0">
            <x v="35"/>
          </reference>
        </references>
      </pivotArea>
    </format>
    <format dxfId="2503">
      <pivotArea dataOnly="0" labelOnly="1" outline="0" fieldPosition="0">
        <references count="2">
          <reference field="4294967294" count="0"/>
          <reference field="1" count="1" selected="0">
            <x v="37"/>
          </reference>
        </references>
      </pivotArea>
    </format>
    <format dxfId="2502">
      <pivotArea dataOnly="0" labelOnly="1" outline="0" fieldPosition="0">
        <references count="2">
          <reference field="4294967294" count="0"/>
          <reference field="1" count="1" selected="0">
            <x v="38"/>
          </reference>
        </references>
      </pivotArea>
    </format>
    <format dxfId="2501">
      <pivotArea dataOnly="0" labelOnly="1" outline="0" fieldPosition="0">
        <references count="2">
          <reference field="4294967294" count="0"/>
          <reference field="1" count="1" selected="0">
            <x v="40"/>
          </reference>
        </references>
      </pivotArea>
    </format>
    <format dxfId="2500">
      <pivotArea dataOnly="0" labelOnly="1" outline="0" fieldPosition="0">
        <references count="2">
          <reference field="4294967294" count="0"/>
          <reference field="1" count="1" selected="0">
            <x v="41"/>
          </reference>
        </references>
      </pivotArea>
    </format>
    <format dxfId="2499">
      <pivotArea dataOnly="0" labelOnly="1" outline="0" fieldPosition="0">
        <references count="2">
          <reference field="4294967294" count="0"/>
          <reference field="1" count="1" selected="0">
            <x v="42"/>
          </reference>
        </references>
      </pivotArea>
    </format>
    <format dxfId="2498">
      <pivotArea dataOnly="0" labelOnly="1" outline="0" fieldPosition="0">
        <references count="2">
          <reference field="4294967294" count="0"/>
          <reference field="1" count="1" selected="0">
            <x v="43"/>
          </reference>
        </references>
      </pivotArea>
    </format>
    <format dxfId="2497">
      <pivotArea dataOnly="0" labelOnly="1" outline="0" fieldPosition="0">
        <references count="2">
          <reference field="4294967294" count="0"/>
          <reference field="1" count="1" selected="0">
            <x v="44"/>
          </reference>
        </references>
      </pivotArea>
    </format>
    <format dxfId="2496">
      <pivotArea dataOnly="0" labelOnly="1" outline="0" fieldPosition="0">
        <references count="2">
          <reference field="4294967294" count="0"/>
          <reference field="1" count="1" selected="0">
            <x v="45"/>
          </reference>
        </references>
      </pivotArea>
    </format>
    <format dxfId="2495">
      <pivotArea grandRow="1" grandCol="1" outline="0" fieldPosition="0">
        <references count="1">
          <reference field="4294967294" count="0" selected="0"/>
        </references>
      </pivotArea>
    </format>
    <format dxfId="2494">
      <pivotArea dataOnly="0" labelOnly="1" outline="0" fieldPosition="0">
        <references count="1">
          <reference field="1" count="1">
            <x v="0"/>
          </reference>
        </references>
      </pivotArea>
    </format>
    <format dxfId="2493">
      <pivotArea outline="0" fieldPosition="0">
        <references count="2">
          <reference field="4294967294" count="1" selected="0">
            <x v="0"/>
          </reference>
          <reference field="1" count="1" selected="0">
            <x v="0"/>
          </reference>
        </references>
      </pivotArea>
    </format>
    <format dxfId="2492">
      <pivotArea dataOnly="0" labelOnly="1" outline="0" fieldPosition="0">
        <references count="2">
          <reference field="4294967294" count="1">
            <x v="0"/>
          </reference>
          <reference field="1" count="1" selected="0">
            <x v="0"/>
          </reference>
        </references>
      </pivotArea>
    </format>
    <format dxfId="2491">
      <pivotArea outline="0" fieldPosition="0">
        <references count="2">
          <reference field="4294967294" count="1" selected="0">
            <x v="0"/>
          </reference>
          <reference field="1" count="1" selected="0">
            <x v="4"/>
          </reference>
        </references>
      </pivotArea>
    </format>
    <format dxfId="2490">
      <pivotArea outline="0" fieldPosition="0">
        <references count="2">
          <reference field="4294967294" count="1" selected="0">
            <x v="0"/>
          </reference>
          <reference field="1" count="1" selected="0">
            <x v="5"/>
          </reference>
        </references>
      </pivotArea>
    </format>
    <format dxfId="2489">
      <pivotArea outline="0" fieldPosition="0">
        <references count="2">
          <reference field="4294967294" count="1" selected="0">
            <x v="0"/>
          </reference>
          <reference field="1" count="1" selected="0">
            <x v="9"/>
          </reference>
        </references>
      </pivotArea>
    </format>
    <format dxfId="2488">
      <pivotArea outline="0" fieldPosition="0">
        <references count="2">
          <reference field="4294967294" count="1" selected="0">
            <x v="0"/>
          </reference>
          <reference field="1" count="1" selected="0">
            <x v="10"/>
          </reference>
        </references>
      </pivotArea>
    </format>
    <format dxfId="2487">
      <pivotArea outline="0" fieldPosition="0">
        <references count="2">
          <reference field="4294967294" count="1" selected="0">
            <x v="0"/>
          </reference>
          <reference field="1" count="1" selected="0">
            <x v="14"/>
          </reference>
        </references>
      </pivotArea>
    </format>
    <format dxfId="2486">
      <pivotArea outline="0" fieldPosition="0">
        <references count="2">
          <reference field="4294967294" count="1" selected="0">
            <x v="0"/>
          </reference>
          <reference field="1" count="1" selected="0">
            <x v="19"/>
          </reference>
        </references>
      </pivotArea>
    </format>
    <format dxfId="2485">
      <pivotArea outline="0" fieldPosition="0">
        <references count="2">
          <reference field="4294967294" count="1" selected="0">
            <x v="0"/>
          </reference>
          <reference field="1" count="1" selected="0">
            <x v="16"/>
          </reference>
        </references>
      </pivotArea>
    </format>
    <format dxfId="2484">
      <pivotArea outline="0" fieldPosition="0">
        <references count="2">
          <reference field="4294967294" count="1" selected="0">
            <x v="0"/>
          </reference>
          <reference field="1" count="1" selected="0">
            <x v="18"/>
          </reference>
        </references>
      </pivotArea>
    </format>
    <format dxfId="2483">
      <pivotArea outline="0" fieldPosition="0">
        <references count="2">
          <reference field="4294967294" count="1" selected="0">
            <x v="0"/>
          </reference>
          <reference field="1" count="1" selected="0">
            <x v="20"/>
          </reference>
        </references>
      </pivotArea>
    </format>
    <format dxfId="2482">
      <pivotArea outline="0" fieldPosition="0">
        <references count="2">
          <reference field="4294967294" count="1" selected="0">
            <x v="0"/>
          </reference>
          <reference field="1" count="1" selected="0">
            <x v="21"/>
          </reference>
        </references>
      </pivotArea>
    </format>
    <format dxfId="2481">
      <pivotArea outline="0" fieldPosition="0">
        <references count="2">
          <reference field="4294967294" count="1" selected="0">
            <x v="0"/>
          </reference>
          <reference field="1" count="1" selected="0">
            <x v="23"/>
          </reference>
        </references>
      </pivotArea>
    </format>
    <format dxfId="2480">
      <pivotArea outline="0" fieldPosition="0">
        <references count="2">
          <reference field="4294967294" count="1" selected="0">
            <x v="0"/>
          </reference>
          <reference field="1" count="1" selected="0">
            <x v="24"/>
          </reference>
        </references>
      </pivotArea>
    </format>
    <format dxfId="2479">
      <pivotArea outline="0" fieldPosition="0">
        <references count="2">
          <reference field="4294967294" count="1" selected="0">
            <x v="0"/>
          </reference>
          <reference field="1" count="1" selected="0">
            <x v="25"/>
          </reference>
        </references>
      </pivotArea>
    </format>
    <format dxfId="2478">
      <pivotArea outline="0" fieldPosition="0">
        <references count="2">
          <reference field="4294967294" count="1" selected="0">
            <x v="0"/>
          </reference>
          <reference field="1" count="1" selected="0">
            <x v="26"/>
          </reference>
        </references>
      </pivotArea>
    </format>
    <format dxfId="2477">
      <pivotArea outline="0" fieldPosition="0">
        <references count="2">
          <reference field="4294967294" count="1" selected="0">
            <x v="0"/>
          </reference>
          <reference field="1" count="1" selected="0">
            <x v="27"/>
          </reference>
        </references>
      </pivotArea>
    </format>
    <format dxfId="2476">
      <pivotArea outline="0" fieldPosition="0">
        <references count="2">
          <reference field="4294967294" count="1" selected="0">
            <x v="0"/>
          </reference>
          <reference field="1" count="1" selected="0">
            <x v="28"/>
          </reference>
        </references>
      </pivotArea>
    </format>
    <format dxfId="2475">
      <pivotArea outline="0" fieldPosition="0">
        <references count="2">
          <reference field="4294967294" count="1" selected="0">
            <x v="0"/>
          </reference>
          <reference field="1" count="1" selected="0">
            <x v="29"/>
          </reference>
        </references>
      </pivotArea>
    </format>
    <format dxfId="2474">
      <pivotArea outline="0" fieldPosition="0">
        <references count="2">
          <reference field="4294967294" count="1" selected="0">
            <x v="0"/>
          </reference>
          <reference field="1" count="1" selected="0">
            <x v="30"/>
          </reference>
        </references>
      </pivotArea>
    </format>
    <format dxfId="2473">
      <pivotArea outline="0" fieldPosition="0">
        <references count="2">
          <reference field="4294967294" count="1" selected="0">
            <x v="0"/>
          </reference>
          <reference field="1" count="1" selected="0">
            <x v="31"/>
          </reference>
        </references>
      </pivotArea>
    </format>
    <format dxfId="2472">
      <pivotArea outline="0" fieldPosition="0">
        <references count="2">
          <reference field="4294967294" count="1" selected="0">
            <x v="0"/>
          </reference>
          <reference field="1" count="1" selected="0">
            <x v="32"/>
          </reference>
        </references>
      </pivotArea>
    </format>
    <format dxfId="2471">
      <pivotArea outline="0" fieldPosition="0">
        <references count="2">
          <reference field="4294967294" count="1" selected="0">
            <x v="0"/>
          </reference>
          <reference field="1" count="1" selected="0">
            <x v="33"/>
          </reference>
        </references>
      </pivotArea>
    </format>
    <format dxfId="2470">
      <pivotArea outline="0" fieldPosition="0">
        <references count="2">
          <reference field="4294967294" count="1" selected="0">
            <x v="0"/>
          </reference>
          <reference field="1" count="1" selected="0">
            <x v="34"/>
          </reference>
        </references>
      </pivotArea>
    </format>
    <format dxfId="2469">
      <pivotArea outline="0" fieldPosition="0">
        <references count="2">
          <reference field="4294967294" count="1" selected="0">
            <x v="0"/>
          </reference>
          <reference field="1" count="1" selected="0">
            <x v="35"/>
          </reference>
        </references>
      </pivotArea>
    </format>
    <format dxfId="2468">
      <pivotArea outline="0" fieldPosition="0">
        <references count="2">
          <reference field="4294967294" count="1" selected="0">
            <x v="0"/>
          </reference>
          <reference field="1" count="1" selected="0">
            <x v="37"/>
          </reference>
        </references>
      </pivotArea>
    </format>
    <format dxfId="2467">
      <pivotArea outline="0" fieldPosition="0">
        <references count="2">
          <reference field="4294967294" count="1" selected="0">
            <x v="0"/>
          </reference>
          <reference field="1" count="1" selected="0">
            <x v="38"/>
          </reference>
        </references>
      </pivotArea>
    </format>
    <format dxfId="2466">
      <pivotArea outline="0" fieldPosition="0">
        <references count="2">
          <reference field="4294967294" count="1" selected="0">
            <x v="0"/>
          </reference>
          <reference field="1" count="1" selected="0">
            <x v="40"/>
          </reference>
        </references>
      </pivotArea>
    </format>
    <format dxfId="2465">
      <pivotArea outline="0" fieldPosition="0">
        <references count="2">
          <reference field="4294967294" count="1" selected="0">
            <x v="0"/>
          </reference>
          <reference field="1" count="1" selected="0">
            <x v="41"/>
          </reference>
        </references>
      </pivotArea>
    </format>
    <format dxfId="2464">
      <pivotArea outline="0" fieldPosition="0">
        <references count="2">
          <reference field="4294967294" count="1" selected="0">
            <x v="0"/>
          </reference>
          <reference field="1" count="1" selected="0">
            <x v="42"/>
          </reference>
        </references>
      </pivotArea>
    </format>
    <format dxfId="2463">
      <pivotArea outline="0" fieldPosition="0">
        <references count="2">
          <reference field="4294967294" count="1" selected="0">
            <x v="0"/>
          </reference>
          <reference field="1" count="1" selected="0">
            <x v="43"/>
          </reference>
        </references>
      </pivotArea>
    </format>
    <format dxfId="2462">
      <pivotArea outline="0" fieldPosition="0">
        <references count="2">
          <reference field="4294967294" count="1" selected="0">
            <x v="0"/>
          </reference>
          <reference field="1" count="1" selected="0">
            <x v="44"/>
          </reference>
        </references>
      </pivotArea>
    </format>
    <format dxfId="2461">
      <pivotArea outline="0" fieldPosition="0">
        <references count="2">
          <reference field="4294967294" count="1" selected="0">
            <x v="0"/>
          </reference>
          <reference field="1" count="1" selected="0">
            <x v="45"/>
          </reference>
        </references>
      </pivotArea>
    </format>
    <format dxfId="2460">
      <pivotArea outline="0" fieldPosition="0">
        <references count="1">
          <reference field="1" count="1" selected="0">
            <x v="0"/>
          </reference>
        </references>
      </pivotArea>
    </format>
    <format dxfId="2459">
      <pivotArea dataOnly="0" labelOnly="1" outline="0" fieldPosition="0">
        <references count="2">
          <reference field="4294967294" count="0"/>
          <reference field="1" count="1" selected="0">
            <x v="0"/>
          </reference>
        </references>
      </pivotArea>
    </format>
    <format dxfId="2458">
      <pivotArea dataOnly="0" labelOnly="1" outline="0" fieldPosition="0">
        <references count="2">
          <reference field="4294967294" count="1">
            <x v="0"/>
          </reference>
          <reference field="1" count="1" selected="0">
            <x v="4"/>
          </reference>
        </references>
      </pivotArea>
    </format>
    <format dxfId="2457">
      <pivotArea dataOnly="0" labelOnly="1" outline="0" fieldPosition="0">
        <references count="2">
          <reference field="4294967294" count="1">
            <x v="0"/>
          </reference>
          <reference field="1" count="1" selected="0">
            <x v="5"/>
          </reference>
        </references>
      </pivotArea>
    </format>
    <format dxfId="2456">
      <pivotArea dataOnly="0" labelOnly="1" outline="0" fieldPosition="0">
        <references count="2">
          <reference field="4294967294" count="1">
            <x v="0"/>
          </reference>
          <reference field="1" count="1" selected="0">
            <x v="9"/>
          </reference>
        </references>
      </pivotArea>
    </format>
    <format dxfId="2455">
      <pivotArea dataOnly="0" labelOnly="1" outline="0" fieldPosition="0">
        <references count="2">
          <reference field="4294967294" count="1">
            <x v="0"/>
          </reference>
          <reference field="1" count="1" selected="0">
            <x v="10"/>
          </reference>
        </references>
      </pivotArea>
    </format>
    <format dxfId="2454">
      <pivotArea dataOnly="0" labelOnly="1" outline="0" fieldPosition="0">
        <references count="2">
          <reference field="4294967294" count="1">
            <x v="0"/>
          </reference>
          <reference field="1" count="1" selected="0">
            <x v="14"/>
          </reference>
        </references>
      </pivotArea>
    </format>
    <format dxfId="2453">
      <pivotArea dataOnly="0" labelOnly="1" outline="0" fieldPosition="0">
        <references count="2">
          <reference field="4294967294" count="1">
            <x v="0"/>
          </reference>
          <reference field="1" count="1" selected="0">
            <x v="19"/>
          </reference>
        </references>
      </pivotArea>
    </format>
    <format dxfId="2452">
      <pivotArea dataOnly="0" labelOnly="1" outline="0" fieldPosition="0">
        <references count="2">
          <reference field="4294967294" count="1">
            <x v="0"/>
          </reference>
          <reference field="1" count="1" selected="0">
            <x v="16"/>
          </reference>
        </references>
      </pivotArea>
    </format>
    <format dxfId="2451">
      <pivotArea dataOnly="0" labelOnly="1" outline="0" fieldPosition="0">
        <references count="2">
          <reference field="4294967294" count="1">
            <x v="0"/>
          </reference>
          <reference field="1" count="1" selected="0">
            <x v="18"/>
          </reference>
        </references>
      </pivotArea>
    </format>
    <format dxfId="2450">
      <pivotArea dataOnly="0" labelOnly="1" outline="0" fieldPosition="0">
        <references count="2">
          <reference field="4294967294" count="1">
            <x v="0"/>
          </reference>
          <reference field="1" count="1" selected="0">
            <x v="20"/>
          </reference>
        </references>
      </pivotArea>
    </format>
    <format dxfId="2449">
      <pivotArea dataOnly="0" labelOnly="1" outline="0" fieldPosition="0">
        <references count="2">
          <reference field="4294967294" count="1">
            <x v="0"/>
          </reference>
          <reference field="1" count="1" selected="0">
            <x v="21"/>
          </reference>
        </references>
      </pivotArea>
    </format>
    <format dxfId="2448">
      <pivotArea dataOnly="0" labelOnly="1" outline="0" fieldPosition="0">
        <references count="2">
          <reference field="4294967294" count="1">
            <x v="0"/>
          </reference>
          <reference field="1" count="1" selected="0">
            <x v="23"/>
          </reference>
        </references>
      </pivotArea>
    </format>
    <format dxfId="2447">
      <pivotArea dataOnly="0" labelOnly="1" outline="0" fieldPosition="0">
        <references count="2">
          <reference field="4294967294" count="1">
            <x v="0"/>
          </reference>
          <reference field="1" count="1" selected="0">
            <x v="24"/>
          </reference>
        </references>
      </pivotArea>
    </format>
    <format dxfId="2446">
      <pivotArea dataOnly="0" labelOnly="1" outline="0" fieldPosition="0">
        <references count="2">
          <reference field="4294967294" count="1">
            <x v="0"/>
          </reference>
          <reference field="1" count="1" selected="0">
            <x v="25"/>
          </reference>
        </references>
      </pivotArea>
    </format>
    <format dxfId="2445">
      <pivotArea dataOnly="0" labelOnly="1" outline="0" fieldPosition="0">
        <references count="2">
          <reference field="4294967294" count="1">
            <x v="0"/>
          </reference>
          <reference field="1" count="1" selected="0">
            <x v="26"/>
          </reference>
        </references>
      </pivotArea>
    </format>
    <format dxfId="2444">
      <pivotArea dataOnly="0" labelOnly="1" outline="0" fieldPosition="0">
        <references count="2">
          <reference field="4294967294" count="1">
            <x v="0"/>
          </reference>
          <reference field="1" count="1" selected="0">
            <x v="27"/>
          </reference>
        </references>
      </pivotArea>
    </format>
    <format dxfId="2443">
      <pivotArea dataOnly="0" labelOnly="1" outline="0" fieldPosition="0">
        <references count="2">
          <reference field="4294967294" count="1">
            <x v="0"/>
          </reference>
          <reference field="1" count="1" selected="0">
            <x v="28"/>
          </reference>
        </references>
      </pivotArea>
    </format>
    <format dxfId="2442">
      <pivotArea dataOnly="0" labelOnly="1" outline="0" fieldPosition="0">
        <references count="2">
          <reference field="4294967294" count="1">
            <x v="0"/>
          </reference>
          <reference field="1" count="1" selected="0">
            <x v="29"/>
          </reference>
        </references>
      </pivotArea>
    </format>
    <format dxfId="2441">
      <pivotArea dataOnly="0" labelOnly="1" outline="0" fieldPosition="0">
        <references count="2">
          <reference field="4294967294" count="1">
            <x v="0"/>
          </reference>
          <reference field="1" count="1" selected="0">
            <x v="30"/>
          </reference>
        </references>
      </pivotArea>
    </format>
    <format dxfId="2440">
      <pivotArea dataOnly="0" labelOnly="1" outline="0" fieldPosition="0">
        <references count="2">
          <reference field="4294967294" count="1">
            <x v="0"/>
          </reference>
          <reference field="1" count="1" selected="0">
            <x v="31"/>
          </reference>
        </references>
      </pivotArea>
    </format>
    <format dxfId="2439">
      <pivotArea dataOnly="0" labelOnly="1" outline="0" fieldPosition="0">
        <references count="2">
          <reference field="4294967294" count="1">
            <x v="0"/>
          </reference>
          <reference field="1" count="1" selected="0">
            <x v="32"/>
          </reference>
        </references>
      </pivotArea>
    </format>
    <format dxfId="2438">
      <pivotArea dataOnly="0" labelOnly="1" outline="0" fieldPosition="0">
        <references count="2">
          <reference field="4294967294" count="1">
            <x v="0"/>
          </reference>
          <reference field="1" count="1" selected="0">
            <x v="33"/>
          </reference>
        </references>
      </pivotArea>
    </format>
    <format dxfId="2437">
      <pivotArea dataOnly="0" labelOnly="1" outline="0" fieldPosition="0">
        <references count="2">
          <reference field="4294967294" count="1">
            <x v="0"/>
          </reference>
          <reference field="1" count="1" selected="0">
            <x v="34"/>
          </reference>
        </references>
      </pivotArea>
    </format>
    <format dxfId="2436">
      <pivotArea dataOnly="0" labelOnly="1" outline="0" fieldPosition="0">
        <references count="2">
          <reference field="4294967294" count="1">
            <x v="0"/>
          </reference>
          <reference field="1" count="1" selected="0">
            <x v="35"/>
          </reference>
        </references>
      </pivotArea>
    </format>
    <format dxfId="2435">
      <pivotArea dataOnly="0" labelOnly="1" outline="0" fieldPosition="0">
        <references count="2">
          <reference field="4294967294" count="1">
            <x v="0"/>
          </reference>
          <reference field="1" count="1" selected="0">
            <x v="37"/>
          </reference>
        </references>
      </pivotArea>
    </format>
    <format dxfId="2434">
      <pivotArea dataOnly="0" labelOnly="1" outline="0" fieldPosition="0">
        <references count="2">
          <reference field="4294967294" count="1">
            <x v="0"/>
          </reference>
          <reference field="1" count="1" selected="0">
            <x v="38"/>
          </reference>
        </references>
      </pivotArea>
    </format>
    <format dxfId="2433">
      <pivotArea dataOnly="0" labelOnly="1" outline="0" fieldPosition="0">
        <references count="2">
          <reference field="4294967294" count="1">
            <x v="0"/>
          </reference>
          <reference field="1" count="1" selected="0">
            <x v="40"/>
          </reference>
        </references>
      </pivotArea>
    </format>
    <format dxfId="2432">
      <pivotArea dataOnly="0" labelOnly="1" outline="0" fieldPosition="0">
        <references count="2">
          <reference field="4294967294" count="1">
            <x v="0"/>
          </reference>
          <reference field="1" count="1" selected="0">
            <x v="41"/>
          </reference>
        </references>
      </pivotArea>
    </format>
    <format dxfId="2431">
      <pivotArea dataOnly="0" labelOnly="1" outline="0" fieldPosition="0">
        <references count="2">
          <reference field="4294967294" count="1">
            <x v="0"/>
          </reference>
          <reference field="1" count="1" selected="0">
            <x v="42"/>
          </reference>
        </references>
      </pivotArea>
    </format>
    <format dxfId="2430">
      <pivotArea dataOnly="0" labelOnly="1" outline="0" fieldPosition="0">
        <references count="2">
          <reference field="4294967294" count="1">
            <x v="0"/>
          </reference>
          <reference field="1" count="1" selected="0">
            <x v="43"/>
          </reference>
        </references>
      </pivotArea>
    </format>
    <format dxfId="2429">
      <pivotArea dataOnly="0" labelOnly="1" outline="0" fieldPosition="0">
        <references count="2">
          <reference field="4294967294" count="1">
            <x v="0"/>
          </reference>
          <reference field="1" count="1" selected="0">
            <x v="44"/>
          </reference>
        </references>
      </pivotArea>
    </format>
    <format dxfId="2428">
      <pivotArea dataOnly="0" labelOnly="1" outline="0" fieldPosition="0">
        <references count="2">
          <reference field="4294967294" count="1">
            <x v="0"/>
          </reference>
          <reference field="1" count="1" selected="0">
            <x v="45"/>
          </reference>
        </references>
      </pivotArea>
    </format>
    <format dxfId="2427">
      <pivotArea type="topRight" dataOnly="0" labelOnly="1" outline="0" offset="P1" fieldPosition="0"/>
    </format>
    <format dxfId="2426">
      <pivotArea outline="0" fieldPosition="0">
        <references count="3">
          <reference field="4294967294" count="1" selected="0">
            <x v="0"/>
          </reference>
          <reference field="0" count="1" selected="0">
            <x v="9"/>
          </reference>
          <reference field="1" count="1" selected="0">
            <x v="0"/>
          </reference>
        </references>
      </pivotArea>
    </format>
    <format dxfId="2425">
      <pivotArea field="1" grandCol="1" outline="0" axis="axisRow" fieldPosition="0">
        <references count="2">
          <reference field="4294967294" count="1" selected="0">
            <x v="0"/>
          </reference>
          <reference field="1" count="1" selected="0">
            <x v="0"/>
          </reference>
        </references>
      </pivotArea>
    </format>
    <format dxfId="2424">
      <pivotArea dataOnly="0" labelOnly="1" outline="0" fieldPosition="0">
        <references count="1">
          <reference field="1" count="9">
            <x v="20"/>
            <x v="21"/>
            <x v="23"/>
            <x v="24"/>
            <x v="25"/>
            <x v="26"/>
            <x v="27"/>
            <x v="28"/>
            <x v="29"/>
          </reference>
        </references>
      </pivotArea>
    </format>
    <format dxfId="2423">
      <pivotArea dataOnly="0" labelOnly="1" outline="0" fieldPosition="0">
        <references count="2">
          <reference field="4294967294" count="0"/>
          <reference field="1" count="1" selected="0">
            <x v="20"/>
          </reference>
        </references>
      </pivotArea>
    </format>
    <format dxfId="2422">
      <pivotArea dataOnly="0" labelOnly="1" outline="0" fieldPosition="0">
        <references count="2">
          <reference field="4294967294" count="0"/>
          <reference field="1" count="1" selected="0">
            <x v="21"/>
          </reference>
        </references>
      </pivotArea>
    </format>
    <format dxfId="2421">
      <pivotArea dataOnly="0" labelOnly="1" outline="0" fieldPosition="0">
        <references count="2">
          <reference field="4294967294" count="0"/>
          <reference field="1" count="1" selected="0">
            <x v="23"/>
          </reference>
        </references>
      </pivotArea>
    </format>
    <format dxfId="2420">
      <pivotArea dataOnly="0" labelOnly="1" outline="0" fieldPosition="0">
        <references count="2">
          <reference field="4294967294" count="0"/>
          <reference field="1" count="1" selected="0">
            <x v="24"/>
          </reference>
        </references>
      </pivotArea>
    </format>
    <format dxfId="2419">
      <pivotArea dataOnly="0" labelOnly="1" outline="0" fieldPosition="0">
        <references count="2">
          <reference field="4294967294" count="0"/>
          <reference field="1" count="1" selected="0">
            <x v="25"/>
          </reference>
        </references>
      </pivotArea>
    </format>
    <format dxfId="2418">
      <pivotArea dataOnly="0" labelOnly="1" outline="0" fieldPosition="0">
        <references count="2">
          <reference field="4294967294" count="0"/>
          <reference field="1" count="1" selected="0">
            <x v="26"/>
          </reference>
        </references>
      </pivotArea>
    </format>
    <format dxfId="2417">
      <pivotArea dataOnly="0" labelOnly="1" outline="0" fieldPosition="0">
        <references count="2">
          <reference field="4294967294" count="0"/>
          <reference field="1" count="1" selected="0">
            <x v="27"/>
          </reference>
        </references>
      </pivotArea>
    </format>
    <format dxfId="2416">
      <pivotArea dataOnly="0" labelOnly="1" outline="0" fieldPosition="0">
        <references count="2">
          <reference field="4294967294" count="0"/>
          <reference field="1" count="1" selected="0">
            <x v="28"/>
          </reference>
        </references>
      </pivotArea>
    </format>
    <format dxfId="2415">
      <pivotArea dataOnly="0" labelOnly="1" outline="0" fieldPosition="0">
        <references count="2">
          <reference field="4294967294" count="0"/>
          <reference field="1" count="1" selected="0">
            <x v="29"/>
          </reference>
        </references>
      </pivotArea>
    </format>
    <format dxfId="2414">
      <pivotArea dataOnly="0" labelOnly="1" outline="0" fieldPosition="0">
        <references count="1">
          <reference field="1" count="7">
            <x v="0"/>
            <x v="4"/>
            <x v="5"/>
            <x v="9"/>
            <x v="10"/>
            <x v="14"/>
            <x v="19"/>
          </reference>
        </references>
      </pivotArea>
    </format>
    <format dxfId="2413">
      <pivotArea dataOnly="0" labelOnly="1" outline="0" fieldPosition="0">
        <references count="2">
          <reference field="4294967294" count="0"/>
          <reference field="1" count="1" selected="0">
            <x v="0"/>
          </reference>
        </references>
      </pivotArea>
    </format>
    <format dxfId="2412">
      <pivotArea dataOnly="0" labelOnly="1" outline="0" fieldPosition="0">
        <references count="2">
          <reference field="4294967294" count="0"/>
          <reference field="1" count="1" selected="0">
            <x v="4"/>
          </reference>
        </references>
      </pivotArea>
    </format>
    <format dxfId="2411">
      <pivotArea dataOnly="0" labelOnly="1" outline="0" fieldPosition="0">
        <references count="2">
          <reference field="4294967294" count="0"/>
          <reference field="1" count="1" selected="0">
            <x v="5"/>
          </reference>
        </references>
      </pivotArea>
    </format>
    <format dxfId="2410">
      <pivotArea dataOnly="0" labelOnly="1" outline="0" fieldPosition="0">
        <references count="2">
          <reference field="4294967294" count="0"/>
          <reference field="1" count="1" selected="0">
            <x v="9"/>
          </reference>
        </references>
      </pivotArea>
    </format>
    <format dxfId="2409">
      <pivotArea dataOnly="0" labelOnly="1" outline="0" fieldPosition="0">
        <references count="2">
          <reference field="4294967294" count="0"/>
          <reference field="1" count="1" selected="0">
            <x v="10"/>
          </reference>
        </references>
      </pivotArea>
    </format>
    <format dxfId="2408">
      <pivotArea dataOnly="0" labelOnly="1" outline="0" fieldPosition="0">
        <references count="2">
          <reference field="4294967294" count="0"/>
          <reference field="1" count="1" selected="0">
            <x v="14"/>
          </reference>
        </references>
      </pivotArea>
    </format>
    <format dxfId="2407">
      <pivotArea dataOnly="0" labelOnly="1" outline="0" fieldPosition="0">
        <references count="2">
          <reference field="4294967294" count="0"/>
          <reference field="1" count="1" selected="0">
            <x v="19"/>
          </reference>
        </references>
      </pivotArea>
    </format>
    <format dxfId="2406">
      <pivotArea dataOnly="0" labelOnly="1" outline="0" fieldPosition="0">
        <references count="1">
          <reference field="1" count="2">
            <x v="16"/>
            <x v="18"/>
          </reference>
        </references>
      </pivotArea>
    </format>
    <format dxfId="2405">
      <pivotArea dataOnly="0" labelOnly="1" outline="0" fieldPosition="0">
        <references count="2">
          <reference field="4294967294" count="0"/>
          <reference field="1" count="1" selected="0">
            <x v="16"/>
          </reference>
        </references>
      </pivotArea>
    </format>
    <format dxfId="2404">
      <pivotArea dataOnly="0" labelOnly="1" outline="0" fieldPosition="0">
        <references count="2">
          <reference field="4294967294" count="0"/>
          <reference field="1" count="1" selected="0">
            <x v="18"/>
          </reference>
        </references>
      </pivotArea>
    </format>
    <format dxfId="2403">
      <pivotArea dataOnly="0" labelOnly="1" outline="0" fieldPosition="0">
        <references count="1">
          <reference field="1" count="14">
            <x v="30"/>
            <x v="31"/>
            <x v="32"/>
            <x v="33"/>
            <x v="34"/>
            <x v="35"/>
            <x v="37"/>
            <x v="38"/>
            <x v="40"/>
            <x v="41"/>
            <x v="42"/>
            <x v="43"/>
            <x v="44"/>
            <x v="45"/>
          </reference>
        </references>
      </pivotArea>
    </format>
    <format dxfId="2402">
      <pivotArea dataOnly="0" labelOnly="1" outline="0" fieldPosition="0">
        <references count="2">
          <reference field="4294967294" count="0"/>
          <reference field="1" count="1" selected="0">
            <x v="30"/>
          </reference>
        </references>
      </pivotArea>
    </format>
    <format dxfId="2401">
      <pivotArea dataOnly="0" labelOnly="1" outline="0" fieldPosition="0">
        <references count="2">
          <reference field="4294967294" count="0"/>
          <reference field="1" count="1" selected="0">
            <x v="31"/>
          </reference>
        </references>
      </pivotArea>
    </format>
    <format dxfId="2400">
      <pivotArea dataOnly="0" labelOnly="1" outline="0" fieldPosition="0">
        <references count="2">
          <reference field="4294967294" count="0"/>
          <reference field="1" count="1" selected="0">
            <x v="32"/>
          </reference>
        </references>
      </pivotArea>
    </format>
    <format dxfId="2399">
      <pivotArea dataOnly="0" labelOnly="1" outline="0" fieldPosition="0">
        <references count="2">
          <reference field="4294967294" count="0"/>
          <reference field="1" count="1" selected="0">
            <x v="33"/>
          </reference>
        </references>
      </pivotArea>
    </format>
    <format dxfId="2398">
      <pivotArea dataOnly="0" labelOnly="1" outline="0" fieldPosition="0">
        <references count="2">
          <reference field="4294967294" count="0"/>
          <reference field="1" count="1" selected="0">
            <x v="34"/>
          </reference>
        </references>
      </pivotArea>
    </format>
    <format dxfId="2397">
      <pivotArea dataOnly="0" labelOnly="1" outline="0" fieldPosition="0">
        <references count="2">
          <reference field="4294967294" count="0"/>
          <reference field="1" count="1" selected="0">
            <x v="35"/>
          </reference>
        </references>
      </pivotArea>
    </format>
    <format dxfId="2396">
      <pivotArea dataOnly="0" labelOnly="1" outline="0" fieldPosition="0">
        <references count="2">
          <reference field="4294967294" count="0"/>
          <reference field="1" count="1" selected="0">
            <x v="37"/>
          </reference>
        </references>
      </pivotArea>
    </format>
    <format dxfId="2395">
      <pivotArea dataOnly="0" labelOnly="1" outline="0" fieldPosition="0">
        <references count="2">
          <reference field="4294967294" count="0"/>
          <reference field="1" count="1" selected="0">
            <x v="38"/>
          </reference>
        </references>
      </pivotArea>
    </format>
    <format dxfId="2394">
      <pivotArea dataOnly="0" labelOnly="1" outline="0" fieldPosition="0">
        <references count="2">
          <reference field="4294967294" count="0"/>
          <reference field="1" count="1" selected="0">
            <x v="40"/>
          </reference>
        </references>
      </pivotArea>
    </format>
    <format dxfId="2393">
      <pivotArea dataOnly="0" labelOnly="1" outline="0" fieldPosition="0">
        <references count="2">
          <reference field="4294967294" count="0"/>
          <reference field="1" count="1" selected="0">
            <x v="41"/>
          </reference>
        </references>
      </pivotArea>
    </format>
    <format dxfId="2392">
      <pivotArea dataOnly="0" labelOnly="1" outline="0" fieldPosition="0">
        <references count="2">
          <reference field="4294967294" count="0"/>
          <reference field="1" count="1" selected="0">
            <x v="42"/>
          </reference>
        </references>
      </pivotArea>
    </format>
    <format dxfId="2391">
      <pivotArea dataOnly="0" labelOnly="1" outline="0" fieldPosition="0">
        <references count="2">
          <reference field="4294967294" count="0"/>
          <reference field="1" count="1" selected="0">
            <x v="43"/>
          </reference>
        </references>
      </pivotArea>
    </format>
    <format dxfId="2390">
      <pivotArea dataOnly="0" labelOnly="1" outline="0" fieldPosition="0">
        <references count="2">
          <reference field="4294967294" count="0"/>
          <reference field="1" count="1" selected="0">
            <x v="44"/>
          </reference>
        </references>
      </pivotArea>
    </format>
    <format dxfId="2389">
      <pivotArea dataOnly="0" labelOnly="1" outline="0" fieldPosition="0">
        <references count="2">
          <reference field="4294967294" count="0"/>
          <reference field="1" count="1" selected="0">
            <x v="45"/>
          </reference>
        </references>
      </pivotArea>
    </format>
    <format dxfId="2388">
      <pivotArea outline="0" fieldPosition="0">
        <references count="3">
          <reference field="4294967294" count="1" selected="0">
            <x v="1"/>
          </reference>
          <reference field="0" count="1" selected="0">
            <x v="9"/>
          </reference>
          <reference field="1" count="1" selected="0">
            <x v="32"/>
          </reference>
        </references>
      </pivotArea>
    </format>
    <format dxfId="2387">
      <pivotArea outline="0" fieldPosition="0">
        <references count="3">
          <reference field="4294967294" count="1" selected="0">
            <x v="1"/>
          </reference>
          <reference field="0" count="1" selected="0">
            <x v="9"/>
          </reference>
          <reference field="1" count="1" selected="0">
            <x v="33"/>
          </reference>
        </references>
      </pivotArea>
    </format>
    <format dxfId="2386">
      <pivotArea outline="0" fieldPosition="0">
        <references count="3">
          <reference field="4294967294" count="1" selected="0">
            <x v="1"/>
          </reference>
          <reference field="0" count="1" selected="0">
            <x v="9"/>
          </reference>
          <reference field="1" count="1" selected="0">
            <x v="41"/>
          </reference>
        </references>
      </pivotArea>
    </format>
    <format dxfId="2385">
      <pivotArea outline="0" fieldPosition="0">
        <references count="3">
          <reference field="4294967294" count="1" selected="0">
            <x v="1"/>
          </reference>
          <reference field="0" count="1" selected="0">
            <x v="9"/>
          </reference>
          <reference field="1" count="1" selected="0">
            <x v="42"/>
          </reference>
        </references>
      </pivotArea>
    </format>
    <format dxfId="2384">
      <pivotArea outline="0" fieldPosition="0">
        <references count="3">
          <reference field="4294967294" count="1" selected="0">
            <x v="1"/>
          </reference>
          <reference field="0" count="1" selected="0">
            <x v="9"/>
          </reference>
          <reference field="1" count="1" selected="0">
            <x v="44"/>
          </reference>
        </references>
      </pivotArea>
    </format>
    <format dxfId="2383">
      <pivotArea outline="0" fieldPosition="0">
        <references count="3">
          <reference field="4294967294" count="1" selected="0">
            <x v="1"/>
          </reference>
          <reference field="0" count="1" selected="0">
            <x v="9"/>
          </reference>
          <reference field="1" count="1" selected="0">
            <x v="45"/>
          </reference>
        </references>
      </pivotArea>
    </format>
    <format dxfId="2382">
      <pivotArea field="1" grandCol="1" outline="0" axis="axisRow" fieldPosition="0">
        <references count="2">
          <reference field="4294967294" count="1" selected="0">
            <x v="1"/>
          </reference>
          <reference field="1" count="1" selected="0">
            <x v="31"/>
          </reference>
        </references>
      </pivotArea>
    </format>
    <format dxfId="2381">
      <pivotArea field="1" grandCol="1" outline="0" axis="axisRow" fieldPosition="0">
        <references count="2">
          <reference field="4294967294" count="1" selected="0">
            <x v="1"/>
          </reference>
          <reference field="1" count="1" selected="0">
            <x v="32"/>
          </reference>
        </references>
      </pivotArea>
    </format>
    <format dxfId="2380">
      <pivotArea field="1" grandCol="1" outline="0" axis="axisRow" fieldPosition="0">
        <references count="2">
          <reference field="4294967294" count="1" selected="0">
            <x v="1"/>
          </reference>
          <reference field="1" count="1" selected="0">
            <x v="33"/>
          </reference>
        </references>
      </pivotArea>
    </format>
    <format dxfId="2379">
      <pivotArea field="1" grandCol="1" outline="0" axis="axisRow" fieldPosition="0">
        <references count="2">
          <reference field="4294967294" count="1" selected="0">
            <x v="1"/>
          </reference>
          <reference field="1" count="1" selected="0">
            <x v="34"/>
          </reference>
        </references>
      </pivotArea>
    </format>
    <format dxfId="2378">
      <pivotArea field="1" grandCol="1" outline="0" axis="axisRow" fieldPosition="0">
        <references count="2">
          <reference field="4294967294" count="1" selected="0">
            <x v="1"/>
          </reference>
          <reference field="1" count="1" selected="0">
            <x v="35"/>
          </reference>
        </references>
      </pivotArea>
    </format>
    <format dxfId="2377">
      <pivotArea field="1" grandCol="1" outline="0" axis="axisRow" fieldPosition="0">
        <references count="2">
          <reference field="4294967294" count="1" selected="0">
            <x v="1"/>
          </reference>
          <reference field="1" count="1" selected="0">
            <x v="37"/>
          </reference>
        </references>
      </pivotArea>
    </format>
    <format dxfId="2376">
      <pivotArea field="1" grandCol="1" outline="0" axis="axisRow" fieldPosition="0">
        <references count="2">
          <reference field="4294967294" count="1" selected="0">
            <x v="1"/>
          </reference>
          <reference field="1" count="1" selected="0">
            <x v="38"/>
          </reference>
        </references>
      </pivotArea>
    </format>
    <format dxfId="2375">
      <pivotArea field="1" grandCol="1" outline="0" axis="axisRow" fieldPosition="0">
        <references count="2">
          <reference field="4294967294" count="1" selected="0">
            <x v="1"/>
          </reference>
          <reference field="1" count="1" selected="0">
            <x v="41"/>
          </reference>
        </references>
      </pivotArea>
    </format>
    <format dxfId="2374">
      <pivotArea field="1" grandCol="1" outline="0" axis="axisRow" fieldPosition="0">
        <references count="2">
          <reference field="4294967294" count="2" selected="0">
            <x v="0"/>
            <x v="1"/>
          </reference>
          <reference field="1" count="1" selected="0">
            <x v="42"/>
          </reference>
        </references>
      </pivotArea>
    </format>
    <format dxfId="2373">
      <pivotArea field="1" grandCol="1" outline="0" axis="axisRow" fieldPosition="0">
        <references count="2">
          <reference field="4294967294" count="1" selected="0">
            <x v="1"/>
          </reference>
          <reference field="1" count="1" selected="0">
            <x v="45"/>
          </reference>
        </references>
      </pivotArea>
    </format>
    <format dxfId="2372">
      <pivotArea type="all" dataOnly="0" outline="0" fieldPosition="0"/>
    </format>
    <format dxfId="2371">
      <pivotArea type="all" dataOnly="0" outline="0" fieldPosition="0"/>
    </format>
    <format dxfId="2370">
      <pivotArea outline="0" collapsedLevelsAreSubtotals="1" fieldPosition="0">
        <references count="2">
          <reference field="4294967294" count="2" selected="0">
            <x v="0"/>
            <x v="1"/>
          </reference>
          <reference field="1" count="1" selected="0">
            <x v="0"/>
          </reference>
        </references>
      </pivotArea>
    </format>
    <format dxfId="2369">
      <pivotArea field="1" dataOnly="0" labelOnly="1" grandRow="1" outline="0" axis="axisRow" fieldPosition="0">
        <references count="1">
          <reference field="4294967294" count="1" selected="0">
            <x v="0"/>
          </reference>
        </references>
      </pivotArea>
    </format>
    <format dxfId="2368">
      <pivotArea field="1" dataOnly="0" labelOnly="1" grandRow="1" outline="0" axis="axisRow" fieldPosition="0">
        <references count="1">
          <reference field="4294967294" count="1" selected="0">
            <x v="1"/>
          </reference>
        </references>
      </pivotArea>
    </format>
    <format dxfId="2367">
      <pivotArea field="1" dataOnly="0" labelOnly="1" grandRow="1" outline="0" axis="axisRow" fieldPosition="0">
        <references count="1">
          <reference field="4294967294" count="1" selected="0">
            <x v="0"/>
          </reference>
        </references>
      </pivotArea>
    </format>
    <format dxfId="2366">
      <pivotArea field="1" dataOnly="0" labelOnly="1" grandRow="1" outline="0" axis="axisRow" fieldPosition="0">
        <references count="1">
          <reference field="4294967294" count="1" selected="0">
            <x v="1"/>
          </reference>
        </references>
      </pivotArea>
    </format>
    <format dxfId="2365">
      <pivotArea field="1" dataOnly="0" labelOnly="1" grandRow="1" outline="0" offset="A256" axis="axisRow" fieldPosition="0">
        <references count="1">
          <reference field="4294967294" count="1" selected="0">
            <x v="0"/>
          </reference>
        </references>
      </pivotArea>
    </format>
    <format dxfId="2364">
      <pivotArea field="1" dataOnly="0" labelOnly="1" grandRow="1" outline="0" offset="A256" axis="axisRow" fieldPosition="0">
        <references count="1">
          <reference field="4294967294" count="1" selected="0">
            <x v="1"/>
          </reference>
        </references>
      </pivotArea>
    </format>
    <format dxfId="2363">
      <pivotArea dataOnly="0" labelOnly="1" outline="0" fieldPosition="0">
        <references count="1">
          <reference field="1" count="14">
            <x v="30"/>
            <x v="31"/>
            <x v="32"/>
            <x v="33"/>
            <x v="34"/>
            <x v="35"/>
            <x v="37"/>
            <x v="38"/>
            <x v="40"/>
            <x v="41"/>
            <x v="42"/>
            <x v="43"/>
            <x v="44"/>
            <x v="45"/>
          </reference>
        </references>
      </pivotArea>
    </format>
    <format dxfId="2362">
      <pivotArea grandCol="1" outline="0" collapsedLevelsAreSubtotals="1" fieldPosition="0"/>
    </format>
    <format dxfId="2361">
      <pivotArea dataOnly="0" labelOnly="1" grandCol="1" outline="0" fieldPosition="0"/>
    </format>
    <format dxfId="2360">
      <pivotArea type="all" dataOnly="0" outline="0" fieldPosition="0"/>
    </format>
    <format dxfId="2359">
      <pivotArea outline="0" collapsedLevelsAreSubtotals="1" fieldPosition="0">
        <references count="1">
          <reference field="0" count="1" selected="0">
            <x v="9"/>
          </reference>
        </references>
      </pivotArea>
    </format>
    <format dxfId="2358">
      <pivotArea dataOnly="0" labelOnly="1" outline="0" fieldPosition="0">
        <references count="1">
          <reference field="0" count="1">
            <x v="9"/>
          </reference>
        </references>
      </pivotArea>
    </format>
    <format dxfId="2357">
      <pivotArea outline="0" collapsedLevelsAreSubtotals="1" fieldPosition="0">
        <references count="3">
          <reference field="4294967294" count="2" selected="0">
            <x v="0"/>
            <x v="1"/>
          </reference>
          <reference field="0" count="1" selected="0">
            <x v="9"/>
          </reference>
          <reference field="1" count="1" selected="0">
            <x v="19"/>
          </reference>
        </references>
      </pivotArea>
    </format>
    <format dxfId="2356">
      <pivotArea outline="0" collapsedLevelsAreSubtotals="1" fieldPosition="0">
        <references count="3">
          <reference field="4294967294" count="2" selected="0">
            <x v="0"/>
            <x v="1"/>
          </reference>
          <reference field="0" count="1" selected="0">
            <x v="9"/>
          </reference>
          <reference field="1" count="1" selected="0">
            <x v="19"/>
          </reference>
        </references>
      </pivotArea>
    </format>
    <format dxfId="2355">
      <pivotArea outline="0" collapsedLevelsAreSubtotals="1" fieldPosition="0">
        <references count="3">
          <reference field="4294967294" count="2" selected="0">
            <x v="0"/>
            <x v="1"/>
          </reference>
          <reference field="0" count="1" selected="0">
            <x v="9"/>
          </reference>
          <reference field="1" count="1" selected="0">
            <x v="19"/>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2" applyNumberFormats="0" applyBorderFormats="0" applyFontFormats="0" applyPatternFormats="0" applyAlignmentFormats="0" applyWidthHeightFormats="1" dataCaption="Data" grandTotalCaption="Grand Total" updatedVersion="4" minRefreshableVersion="3" showMemberPropertyTips="0" colGrandTotals="0" itemPrintTitles="1" createdVersion="3" indent="0" compact="0" compactData="0" gridDropZones="1">
  <location ref="A3:I21" firstHeaderRow="1" firstDataRow="2" firstDataCol="1" rowPageCount="1" colPageCount="1"/>
  <pivotFields count="51">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axis="axisPage" compact="0" outline="0" subtotalTop="0" multipleItemSelectionAllowed="1" showAll="0" includeNewItemsInFilter="1">
      <items count="19">
        <item x="0"/>
        <item h="1" x="1"/>
        <item h="1" x="2"/>
        <item h="1" x="3"/>
        <item h="1" x="4"/>
        <item h="1" x="5"/>
        <item h="1" x="14"/>
        <item h="1" x="6"/>
        <item h="1" x="7"/>
        <item h="1" x="8"/>
        <item h="1" x="15"/>
        <item h="1" x="9"/>
        <item x="10"/>
        <item h="1" m="1" x="16"/>
        <item h="1" x="11"/>
        <item m="1" x="17"/>
        <item x="12"/>
        <item x="13"/>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showAll="0" includeNewItemsInFilter="1">
      <items count="8">
        <item n="Four-Year" x="3"/>
        <item n="Two-Year" x="4"/>
        <item n="Technical" x="6"/>
        <item n="Specialized" x="1"/>
        <item x="2"/>
        <item x="0"/>
        <item x="5"/>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8">
    <i>
      <x/>
    </i>
    <i i="1">
      <x v="1"/>
    </i>
    <i i="2">
      <x v="2"/>
    </i>
    <i i="3">
      <x v="3"/>
    </i>
    <i i="4">
      <x v="4"/>
    </i>
    <i i="5">
      <x v="5"/>
    </i>
    <i i="6">
      <x v="6"/>
    </i>
    <i i="7">
      <x v="7"/>
    </i>
  </colItems>
  <pageFields count="1">
    <pageField fld="5" hier="-1"/>
  </pageFields>
  <dataFields count="8">
    <dataField name="Sum of State Gen Purp-Old" fld="6" baseField="0" baseItem="0" numFmtId="37"/>
    <dataField name="Sum of State Gen Purp-New" fld="7" baseField="0" baseItem="0" numFmtId="37"/>
    <dataField name="Sum of State Ed Spec Purp-Old" fld="8" baseField="0" baseItem="0" numFmtId="37"/>
    <dataField name="Sum of State Ed Spec Purp-New" fld="9" baseField="0" baseItem="0" numFmtId="37"/>
    <dataField name="Sum of Local-Old" fld="10" baseField="0" baseItem="0" numFmtId="37"/>
    <dataField name="Sum of Local-New" fld="11" baseField="0" baseItem="0" numFmtId="37"/>
    <dataField name="Sum of Tuition Ops-Old" fld="12" baseField="0" baseItem="0" numFmtId="37"/>
    <dataField name="Sum of Tuition Ops-New" fld="15" baseField="0" baseItem="0" numFmtId="37"/>
  </dataFields>
  <formats count="57">
    <format dxfId="2354">
      <pivotArea outline="0" fieldPosition="0"/>
    </format>
    <format dxfId="2353">
      <pivotArea type="all" dataOnly="0" outline="0" fieldPosition="0"/>
    </format>
    <format dxfId="2352">
      <pivotArea type="topRight" dataOnly="0" labelOnly="1" outline="0" offset="R1" fieldPosition="0"/>
    </format>
    <format dxfId="2351">
      <pivotArea field="45" type="button" dataOnly="0" labelOnly="1" outline="0"/>
    </format>
    <format dxfId="2350">
      <pivotArea field="5" type="button" dataOnly="0" labelOnly="1" outline="0" axis="axisPage" fieldPosition="0"/>
    </format>
    <format dxfId="2349">
      <pivotArea type="topRight" dataOnly="0" labelOnly="1" outline="0" fieldPosition="0"/>
    </format>
    <format dxfId="2348">
      <pivotArea type="topRight" dataOnly="0" labelOnly="1" outline="0" offset="F1" fieldPosition="0"/>
    </format>
    <format dxfId="2347">
      <pivotArea type="topRight" dataOnly="0" labelOnly="1" outline="0" offset="G1" fieldPosition="0"/>
    </format>
    <format dxfId="2346">
      <pivotArea type="topRight" dataOnly="0" labelOnly="1" outline="0" offset="H1" fieldPosition="0"/>
    </format>
    <format dxfId="2345">
      <pivotArea type="topRight" dataOnly="0" labelOnly="1" outline="0" offset="I1" fieldPosition="0"/>
    </format>
    <format dxfId="2344">
      <pivotArea type="topRight" dataOnly="0" labelOnly="1" outline="0" offset="J1" fieldPosition="0"/>
    </format>
    <format dxfId="2343">
      <pivotArea type="topRight" dataOnly="0" labelOnly="1" outline="0" offset="K1" fieldPosition="0"/>
    </format>
    <format dxfId="2342">
      <pivotArea dataOnly="0" labelOnly="1" outline="0" offset="IV256" fieldPosition="0">
        <references count="1">
          <reference field="0" count="1">
            <x v="9"/>
          </reference>
        </references>
      </pivotArea>
    </format>
    <format dxfId="2341">
      <pivotArea type="all" dataOnly="0" outline="0" fieldPosition="0"/>
    </format>
    <format dxfId="2340">
      <pivotArea type="topRight" dataOnly="0" labelOnly="1" outline="0" offset="V1" fieldPosition="0"/>
    </format>
    <format dxfId="2339">
      <pivotArea dataOnly="0" labelOnly="1" grandCol="1" outline="0" fieldPosition="0"/>
    </format>
    <format dxfId="2338">
      <pivotArea type="origin" dataOnly="0" labelOnly="1" outline="0" fieldPosition="0"/>
    </format>
    <format dxfId="2337">
      <pivotArea field="0" type="button" dataOnly="0" labelOnly="1" outline="0" axis="axisRow" fieldPosition="0"/>
    </format>
    <format dxfId="2336">
      <pivotArea field="-2" type="button" dataOnly="0" labelOnly="1" outline="0" axis="axisCol" fieldPosition="0"/>
    </format>
    <format dxfId="2335">
      <pivotArea field="45" type="button" dataOnly="0" labelOnly="1" outline="0"/>
    </format>
    <format dxfId="2334">
      <pivotArea field="5" type="button" dataOnly="0" labelOnly="1" outline="0" axis="axisPage" fieldPosition="0"/>
    </format>
    <format dxfId="2333">
      <pivotArea type="topRight" dataOnly="0" labelOnly="1" outline="0" fieldPosition="0"/>
    </format>
    <format dxfId="2332">
      <pivotArea dataOnly="0" labelOnly="1" grandCol="1" outline="0" fieldPosition="0"/>
    </format>
    <format dxfId="2331">
      <pivotArea field="0" type="button" dataOnly="0" labelOnly="1" outline="0" axis="axisRow" fieldPosition="0"/>
    </format>
    <format dxfId="2330">
      <pivotArea field="-2" type="button" dataOnly="0" labelOnly="1" outline="0" axis="axisCol" fieldPosition="0"/>
    </format>
    <format dxfId="2329">
      <pivotArea dataOnly="0" labelOnly="1" grandCol="1" outline="0" offset="IV256" fieldPosition="0"/>
    </format>
    <format dxfId="2328">
      <pivotArea field="0" type="button" dataOnly="0" labelOnly="1" outline="0" axis="axisRow" fieldPosition="0"/>
    </format>
    <format dxfId="2327">
      <pivotArea field="-2" type="button" dataOnly="0" labelOnly="1" outline="0" axis="axisCol" fieldPosition="0"/>
    </format>
    <format dxfId="2326">
      <pivotArea dataOnly="0" labelOnly="1" grandCol="1" outline="0" offset="IV256" fieldPosition="0"/>
    </format>
    <format dxfId="2325">
      <pivotArea type="origin" dataOnly="0" labelOnly="1" outline="0" offset="A2:B2" fieldPosition="0"/>
    </format>
    <format dxfId="2324">
      <pivotArea type="origin" dataOnly="0" labelOnly="1" outline="0" fieldPosition="0"/>
    </format>
    <format dxfId="2323">
      <pivotArea field="45" type="button" dataOnly="0" labelOnly="1" outline="0"/>
    </format>
    <format dxfId="2322">
      <pivotArea field="5" type="button" dataOnly="0" labelOnly="1" outline="0" axis="axisPage" fieldPosition="0"/>
    </format>
    <format dxfId="2321">
      <pivotArea type="topRight" dataOnly="0" labelOnly="1" outline="0" fieldPosition="0"/>
    </format>
    <format dxfId="2320">
      <pivotArea dataOnly="0" labelOnly="1" grandCol="1" outline="0" offset="IV1" fieldPosition="0"/>
    </format>
    <format dxfId="2319">
      <pivotArea dataOnly="0" labelOnly="1" outline="0" fieldPosition="0">
        <references count="1">
          <reference field="0" count="1">
            <x v="9"/>
          </reference>
        </references>
      </pivotArea>
    </format>
    <format dxfId="2318">
      <pivotArea field="0" dataOnly="0" labelOnly="1" grandRow="1" outline="0" axis="axisRow" fieldPosition="0">
        <references count="1">
          <reference field="4294967294" count="1" selected="0">
            <x v="0"/>
          </reference>
        </references>
      </pivotArea>
    </format>
    <format dxfId="2317">
      <pivotArea field="0" dataOnly="0" labelOnly="1" grandRow="1" outline="0" axis="axisRow" fieldPosition="0">
        <references count="1">
          <reference field="4294967294" count="1" selected="0">
            <x v="1"/>
          </reference>
        </references>
      </pivotArea>
    </format>
    <format dxfId="2316">
      <pivotArea field="0" dataOnly="0" labelOnly="1" grandRow="1" outline="0" axis="axisRow" fieldPosition="0">
        <references count="1">
          <reference field="4294967294" count="1" selected="0">
            <x v="2"/>
          </reference>
        </references>
      </pivotArea>
    </format>
    <format dxfId="2315">
      <pivotArea field="0" dataOnly="0" labelOnly="1" grandRow="1" outline="0" axis="axisRow" fieldPosition="0">
        <references count="1">
          <reference field="4294967294" count="1" selected="0">
            <x v="3"/>
          </reference>
        </references>
      </pivotArea>
    </format>
    <format dxfId="2314">
      <pivotArea field="0" dataOnly="0" labelOnly="1" grandRow="1" outline="0" axis="axisRow" fieldPosition="0">
        <references count="1">
          <reference field="4294967294" count="1" selected="0">
            <x v="4"/>
          </reference>
        </references>
      </pivotArea>
    </format>
    <format dxfId="2313">
      <pivotArea field="0" dataOnly="0" labelOnly="1" grandRow="1" outline="0" axis="axisRow" fieldPosition="0">
        <references count="1">
          <reference field="4294967294" count="1" selected="0">
            <x v="5"/>
          </reference>
        </references>
      </pivotArea>
    </format>
    <format dxfId="2312">
      <pivotArea field="0" dataOnly="0" labelOnly="1" grandRow="1" outline="0" axis="axisRow" fieldPosition="0">
        <references count="1">
          <reference field="4294967294" count="1" selected="0">
            <x v="6"/>
          </reference>
        </references>
      </pivotArea>
    </format>
    <format dxfId="2311">
      <pivotArea field="0" dataOnly="0" labelOnly="1" grandRow="1" outline="0" axis="axisRow" fieldPosition="0">
        <references count="1">
          <reference field="4294967294" count="1" selected="0">
            <x v="7"/>
          </reference>
        </references>
      </pivotArea>
    </format>
    <format dxfId="2310">
      <pivotArea type="topRight" dataOnly="0" labelOnly="1" outline="0" offset="E1" fieldPosition="0"/>
    </format>
    <format dxfId="2309">
      <pivotArea type="topRight" dataOnly="0" labelOnly="1" outline="0" offset="K1" fieldPosition="0"/>
    </format>
    <format dxfId="2308">
      <pivotArea type="topRight" dataOnly="0" labelOnly="1" outline="0" offset="O1" fieldPosition="0"/>
    </format>
    <format dxfId="2307">
      <pivotArea type="all" dataOnly="0" outline="0" fieldPosition="0"/>
    </format>
    <format dxfId="2306">
      <pivotArea type="all" dataOnly="0" outline="0" fieldPosition="0"/>
    </format>
    <format dxfId="2305">
      <pivotArea dataOnly="0" labelOnly="1" outline="0" fieldPosition="0">
        <references count="1">
          <reference field="4294967294" count="8">
            <x v="0"/>
            <x v="1"/>
            <x v="2"/>
            <x v="3"/>
            <x v="4"/>
            <x v="5"/>
            <x v="6"/>
            <x v="7"/>
          </reference>
        </references>
      </pivotArea>
    </format>
    <format dxfId="2304">
      <pivotArea type="all" dataOnly="0" outline="0" fieldPosition="0"/>
    </format>
    <format dxfId="2303">
      <pivotArea type="all" dataOnly="0" outline="0" fieldPosition="0"/>
    </format>
    <format dxfId="2302">
      <pivotArea dataOnly="0" labelOnly="1" outline="0" fieldPosition="0">
        <references count="1">
          <reference field="4294967294" count="2">
            <x v="4"/>
            <x v="5"/>
          </reference>
        </references>
      </pivotArea>
    </format>
    <format dxfId="2301">
      <pivotArea grandRow="1" outline="0" collapsedLevelsAreSubtotals="1" fieldPosition="0"/>
    </format>
    <format dxfId="2300">
      <pivotArea dataOnly="0" labelOnly="1" grandRow="1" outline="0" fieldPosition="0"/>
    </format>
    <format dxfId="2299">
      <pivotArea dataOnly="0" labelOnly="1" outline="0" fieldPosition="0">
        <references count="1">
          <reference field="0" count="1">
            <x v="9"/>
          </reference>
        </references>
      </pivotArea>
    </format>
    <format dxfId="2298">
      <pivotArea dataOnly="0" labelOnly="1" outline="0" fieldPosition="0">
        <references count="1">
          <reference field="0" count="1">
            <x v="9"/>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6"/>
    <pageSetUpPr fitToPage="1"/>
  </sheetPr>
  <dimension ref="A1:T26"/>
  <sheetViews>
    <sheetView tabSelected="1" view="pageBreakPreview" zoomScaleNormal="100" zoomScaleSheetLayoutView="100" workbookViewId="0"/>
  </sheetViews>
  <sheetFormatPr defaultRowHeight="12.75"/>
  <cols>
    <col min="1" max="1" width="10.625" style="48" customWidth="1"/>
    <col min="2" max="2" width="17.625" style="10" customWidth="1"/>
    <col min="3" max="3" width="3.375" style="2" hidden="1" customWidth="1"/>
    <col min="4" max="4" width="6.375" style="10" bestFit="1" customWidth="1"/>
    <col min="5" max="5" width="6.75" style="10" customWidth="1"/>
    <col min="6" max="6" width="6.25" style="10" customWidth="1"/>
    <col min="7" max="10" width="6.375" style="10" bestFit="1" customWidth="1"/>
    <col min="11" max="11" width="6.375" style="6" bestFit="1" customWidth="1"/>
    <col min="12" max="12" width="7.25" style="6" bestFit="1" customWidth="1"/>
    <col min="13" max="13" width="6.375" style="186" bestFit="1" customWidth="1"/>
    <col min="14" max="15" width="7.25" style="10" bestFit="1" customWidth="1"/>
    <col min="16" max="19" width="6.375" style="10" bestFit="1" customWidth="1"/>
    <col min="20" max="20" width="6.625" style="48" customWidth="1"/>
    <col min="21" max="16384" width="9" style="10"/>
  </cols>
  <sheetData>
    <row r="1" spans="1:20" ht="18">
      <c r="A1" s="62" t="s">
        <v>355</v>
      </c>
      <c r="B1" s="42"/>
      <c r="C1" s="207"/>
      <c r="D1" s="42"/>
      <c r="E1" s="42"/>
      <c r="F1" s="42"/>
      <c r="G1" s="42"/>
      <c r="H1" s="42"/>
      <c r="I1" s="42"/>
      <c r="J1" s="42"/>
      <c r="K1" s="181"/>
      <c r="L1" s="181"/>
      <c r="M1" s="182"/>
      <c r="N1" s="42"/>
      <c r="O1" s="42"/>
      <c r="P1" s="42"/>
      <c r="Q1" s="42"/>
      <c r="R1" s="42"/>
      <c r="S1" s="42"/>
      <c r="T1" s="43"/>
    </row>
    <row r="2" spans="1:20" ht="18">
      <c r="A2" s="62"/>
      <c r="B2" s="42"/>
      <c r="C2" s="207"/>
      <c r="D2" s="42"/>
      <c r="E2" s="42"/>
      <c r="F2" s="42"/>
      <c r="G2" s="42"/>
      <c r="H2" s="42"/>
      <c r="I2" s="42"/>
      <c r="J2" s="42"/>
      <c r="K2" s="181"/>
      <c r="L2" s="181"/>
      <c r="M2" s="182"/>
      <c r="N2" s="42"/>
      <c r="O2" s="42"/>
      <c r="P2" s="42"/>
      <c r="Q2" s="42"/>
      <c r="R2" s="42"/>
      <c r="S2" s="42"/>
      <c r="T2" s="43"/>
    </row>
    <row r="3" spans="1:20" s="69" customFormat="1" ht="15.75">
      <c r="A3" s="1480" t="s">
        <v>340</v>
      </c>
      <c r="B3" s="1480"/>
      <c r="C3" s="1480"/>
      <c r="D3" s="1480"/>
      <c r="E3" s="1480"/>
      <c r="F3" s="1480"/>
      <c r="G3" s="1480"/>
      <c r="H3" s="1480"/>
      <c r="I3" s="1480"/>
      <c r="J3" s="1480"/>
      <c r="K3" s="1480"/>
      <c r="L3" s="1480"/>
      <c r="M3" s="1480"/>
      <c r="N3" s="1480"/>
      <c r="O3" s="1480"/>
      <c r="P3" s="1480"/>
      <c r="Q3" s="1480"/>
      <c r="R3" s="1480"/>
      <c r="S3" s="1480"/>
      <c r="T3" s="1480"/>
    </row>
    <row r="4" spans="1:20" s="69" customFormat="1" ht="15.75">
      <c r="A4" s="1480" t="s">
        <v>1926</v>
      </c>
      <c r="B4" s="1480"/>
      <c r="C4" s="1480"/>
      <c r="D4" s="1480"/>
      <c r="E4" s="1480"/>
      <c r="F4" s="1480"/>
      <c r="G4" s="1480"/>
      <c r="H4" s="1480"/>
      <c r="I4" s="1480"/>
      <c r="J4" s="1480"/>
      <c r="K4" s="1480"/>
      <c r="L4" s="1480"/>
      <c r="M4" s="1480"/>
      <c r="N4" s="1480"/>
      <c r="O4" s="1480"/>
      <c r="P4" s="1480"/>
      <c r="Q4" s="1480"/>
      <c r="R4" s="1480"/>
      <c r="S4" s="1480"/>
      <c r="T4" s="1480"/>
    </row>
    <row r="5" spans="1:20" s="69" customFormat="1" ht="15.75">
      <c r="A5" s="508"/>
      <c r="B5" s="508"/>
      <c r="C5" s="508"/>
      <c r="D5" s="508"/>
      <c r="E5" s="508"/>
      <c r="F5" s="508"/>
      <c r="G5" s="508"/>
      <c r="H5" s="508"/>
      <c r="I5" s="508"/>
      <c r="J5" s="508"/>
      <c r="K5" s="508"/>
      <c r="L5" s="508"/>
      <c r="M5" s="508"/>
      <c r="N5" s="508"/>
      <c r="O5" s="508"/>
      <c r="P5" s="508"/>
      <c r="Q5" s="508"/>
      <c r="R5" s="508"/>
      <c r="S5" s="508"/>
      <c r="T5" s="508"/>
    </row>
    <row r="6" spans="1:20" ht="29.25" customHeight="1">
      <c r="A6" s="44"/>
      <c r="B6" s="41"/>
      <c r="C6" s="208" t="s">
        <v>263</v>
      </c>
      <c r="D6" s="515" t="s">
        <v>392</v>
      </c>
      <c r="E6" s="516" t="s">
        <v>142</v>
      </c>
      <c r="F6" s="517" t="s">
        <v>143</v>
      </c>
      <c r="G6" s="517" t="s">
        <v>148</v>
      </c>
      <c r="H6" s="517" t="s">
        <v>149</v>
      </c>
      <c r="I6" s="517" t="s">
        <v>144</v>
      </c>
      <c r="J6" s="518" t="s">
        <v>150</v>
      </c>
      <c r="K6" s="518" t="s">
        <v>145</v>
      </c>
      <c r="L6" s="518" t="s">
        <v>151</v>
      </c>
      <c r="M6" s="519" t="s">
        <v>152</v>
      </c>
      <c r="N6" s="518" t="s">
        <v>153</v>
      </c>
      <c r="O6" s="518" t="s">
        <v>154</v>
      </c>
      <c r="P6" s="518" t="s">
        <v>146</v>
      </c>
      <c r="Q6" s="518" t="s">
        <v>155</v>
      </c>
      <c r="R6" s="518" t="s">
        <v>147</v>
      </c>
      <c r="S6" s="518" t="s">
        <v>156</v>
      </c>
      <c r="T6" s="518" t="s">
        <v>157</v>
      </c>
    </row>
    <row r="7" spans="1:20" ht="33" customHeight="1">
      <c r="A7" s="1481" t="s">
        <v>337</v>
      </c>
      <c r="B7" s="393" t="s">
        <v>345</v>
      </c>
      <c r="C7" s="362" t="s">
        <v>264</v>
      </c>
      <c r="D7" s="427">
        <f>IF('114. NEW Distrib by purpose'!D7&gt;0.0005=0,,IF('114. NEW Distrib by purpose'!D7&gt;0.0005,'114. NEW Distrib by purpose'!D7,"*"))</f>
        <v>0.79763326290099079</v>
      </c>
      <c r="E7" s="414">
        <f>IF('114. NEW Distrib by purpose'!E7&gt;0.0005=0,,IF('114. NEW Distrib by purpose'!E7&gt;0.0005,'114. NEW Distrib by purpose'!E7,"*"))</f>
        <v>0.78619868269045279</v>
      </c>
      <c r="F7" s="415">
        <f>IF('114. NEW Distrib by purpose'!F7&gt;0.0005=0,,IF('114. NEW Distrib by purpose'!F7&gt;0.0005,'114. NEW Distrib by purpose'!F7,"*"))</f>
        <v>0.78113460460830886</v>
      </c>
      <c r="G7" s="415">
        <f>IF('114. NEW Distrib by purpose'!G7&gt;0.0005=0,,IF('114. NEW Distrib by purpose'!G7&gt;0.0005,'114. NEW Distrib by purpose'!G7,"*"))</f>
        <v>0.96662218933096022</v>
      </c>
      <c r="H7" s="415">
        <f>IF('114. NEW Distrib by purpose'!H7&gt;0.0005=0,,IF('114. NEW Distrib by purpose'!H7&gt;0.0005,'114. NEW Distrib by purpose'!H7,"*"))</f>
        <v>0.81563821391706337</v>
      </c>
      <c r="I7" s="415">
        <f>IF('114. NEW Distrib by purpose'!I7&gt;0.0005=0,,IF('114. NEW Distrib by purpose'!I7&gt;0.0005,'114. NEW Distrib by purpose'!I7,"*"))</f>
        <v>0.77465772450958248</v>
      </c>
      <c r="J7" s="415">
        <f>IF('114. NEW Distrib by purpose'!J7&gt;0.0005=0,,IF('114. NEW Distrib by purpose'!J7&gt;0.0005,'114. NEW Distrib by purpose'!J7,"*"))</f>
        <v>0.81340568416753878</v>
      </c>
      <c r="K7" s="415">
        <f>IF('114. NEW Distrib by purpose'!K7&gt;0.0005=0,,IF('114. NEW Distrib by purpose'!K7&gt;0.0005,'114. NEW Distrib by purpose'!K7,"*"))</f>
        <v>0.70245426591600868</v>
      </c>
      <c r="L7" s="415">
        <f>IF('114. NEW Distrib by purpose'!L7&gt;0.0005=0,,IF('114. NEW Distrib by purpose'!L7&gt;0.0005,'114. NEW Distrib by purpose'!L7,"*"))</f>
        <v>0.77282119816683947</v>
      </c>
      <c r="M7" s="415">
        <f>IF('114. NEW Distrib by purpose'!M7&gt;0.0005=0,,IF('114. NEW Distrib by purpose'!M7&gt;0.0005,'114. NEW Distrib by purpose'!M7,"*"))</f>
        <v>0.78855514761196577</v>
      </c>
      <c r="N7" s="415">
        <f>IF('114. NEW Distrib by purpose'!N7&gt;0.0005=0,,IF('114. NEW Distrib by purpose'!N7&gt;0.0005,'114. NEW Distrib by purpose'!N7,"*"))</f>
        <v>0.81000640386495004</v>
      </c>
      <c r="O7" s="415">
        <f>IF('114. NEW Distrib by purpose'!O7&gt;0.0005=0,,IF('114. NEW Distrib by purpose'!O7&gt;0.0005,'114. NEW Distrib by purpose'!O7,"*"))</f>
        <v>0.89125785903553634</v>
      </c>
      <c r="P7" s="415">
        <f>IF('114. NEW Distrib by purpose'!P7&gt;0.0005=0,,IF('114. NEW Distrib by purpose'!P7&gt;0.0005,'114. NEW Distrib by purpose'!P7,"*"))</f>
        <v>0.79482376937798538</v>
      </c>
      <c r="Q7" s="415">
        <f>IF('114. NEW Distrib by purpose'!Q7&gt;0.0005=0,,IF('114. NEW Distrib by purpose'!Q7&gt;0.0005,'114. NEW Distrib by purpose'!Q7,"*"))</f>
        <v>0.74452694811033526</v>
      </c>
      <c r="R7" s="415">
        <f>IF('114. NEW Distrib by purpose'!R7&gt;0.0005=0,,IF('114. NEW Distrib by purpose'!R7&gt;0.0005,'114. NEW Distrib by purpose'!R7,"*"))</f>
        <v>0.79211562461740337</v>
      </c>
      <c r="S7" s="415">
        <f>IF('114. NEW Distrib by purpose'!S7&gt;0.0005=0,,IF('114. NEW Distrib by purpose'!S7&gt;0.0005,'114. NEW Distrib by purpose'!S7,"*"))</f>
        <v>0.85722288868232999</v>
      </c>
      <c r="T7" s="415">
        <f>IF('114. NEW Distrib by purpose'!T7&gt;0.0005=0,,IF('114. NEW Distrib by purpose'!T7&gt;0.0005,'114. NEW Distrib by purpose'!T7,"*"))</f>
        <v>0.71573160431308014</v>
      </c>
    </row>
    <row r="8" spans="1:20" ht="37.5" customHeight="1">
      <c r="A8" s="1482"/>
      <c r="B8" s="393" t="s">
        <v>346</v>
      </c>
      <c r="C8" s="362" t="s">
        <v>265</v>
      </c>
      <c r="D8" s="427">
        <f>IF('114. NEW Distrib by purpose'!D8&gt;0.0005=0,,IF('114. NEW Distrib by purpose'!D8&gt;0.0005,'114. NEW Distrib by purpose'!D8,"*"))</f>
        <v>2.2637185577558509E-2</v>
      </c>
      <c r="E8" s="416">
        <f>IF('114. NEW Distrib by purpose'!E8&gt;0.0005=0,,IF('114. NEW Distrib by purpose'!E8&gt;0.0005,'114. NEW Distrib by purpose'!E8,"*"))</f>
        <v>3.0319907276065913E-2</v>
      </c>
      <c r="F8" s="417">
        <f>IF('114. NEW Distrib by purpose'!F8&gt;0.0005=0,,IF('114. NEW Distrib by purpose'!F8&gt;0.0005,'114. NEW Distrib by purpose'!F8,"*"))</f>
        <v>1.6426900163631176E-2</v>
      </c>
      <c r="G8" s="417">
        <f>IF('114. NEW Distrib by purpose'!G8&gt;0.0005=0,,IF('114. NEW Distrib by purpose'!G8&gt;0.0005,'114. NEW Distrib by purpose'!G8,"*"))</f>
        <v>7.2552127405602395E-3</v>
      </c>
      <c r="H8" s="417">
        <f>IF('114. NEW Distrib by purpose'!H8&gt;0.0005=0,,IF('114. NEW Distrib by purpose'!H8&gt;0.0005,'114. NEW Distrib by purpose'!H8,"*"))</f>
        <v>3.1480929256140974E-2</v>
      </c>
      <c r="I8" s="417">
        <f>IF('114. NEW Distrib by purpose'!I8&gt;0.0005=0,,IF('114. NEW Distrib by purpose'!I8&gt;0.0005,'114. NEW Distrib by purpose'!I8,"*"))</f>
        <v>1.8065775408192847E-2</v>
      </c>
      <c r="J8" s="417">
        <f>IF('114. NEW Distrib by purpose'!J8&gt;0.0005=0,,IF('114. NEW Distrib by purpose'!J8&gt;0.0005,'114. NEW Distrib by purpose'!J8,"*"))</f>
        <v>3.3917289205920707E-2</v>
      </c>
      <c r="K8" s="417">
        <f>IF('114. NEW Distrib by purpose'!K8&gt;0.0005=0,,IF('114. NEW Distrib by purpose'!K8&gt;0.0005,'114. NEW Distrib by purpose'!K8,"*"))</f>
        <v>3.2413403802064339E-2</v>
      </c>
      <c r="L8" s="417">
        <f>IF('114. NEW Distrib by purpose'!L8&gt;0.0005=0,,IF('114. NEW Distrib by purpose'!L8&gt;0.0005,'114. NEW Distrib by purpose'!L8,"*"))</f>
        <v>1.4980016476389003E-2</v>
      </c>
      <c r="M8" s="417">
        <f>IF('114. NEW Distrib by purpose'!M8&gt;0.0005=0,,IF('114. NEW Distrib by purpose'!M8&gt;0.0005,'114. NEW Distrib by purpose'!M8,"*"))</f>
        <v>5.7317470837086132E-2</v>
      </c>
      <c r="N8" s="417">
        <f>IF('114. NEW Distrib by purpose'!N8&gt;0.0005=0,,IF('114. NEW Distrib by purpose'!N8&gt;0.0005,'114. NEW Distrib by purpose'!N8,"*"))</f>
        <v>1.7404606880696706E-2</v>
      </c>
      <c r="O8" s="417" t="str">
        <f>IF('114. NEW Distrib by purpose'!O8&gt;0.0005=0,,IF('114. NEW Distrib by purpose'!O8&gt;0.0005,'114. NEW Distrib by purpose'!O8,"*"))</f>
        <v>*</v>
      </c>
      <c r="P8" s="417">
        <f>IF('114. NEW Distrib by purpose'!P8&gt;0.0005=0,,IF('114. NEW Distrib by purpose'!P8&gt;0.0005,'114. NEW Distrib by purpose'!P8,"*"))</f>
        <v>3.3564623659615656E-2</v>
      </c>
      <c r="Q8" s="417">
        <f>IF('114. NEW Distrib by purpose'!Q8&gt;0.0005=0,,IF('114. NEW Distrib by purpose'!Q8&gt;0.0005,'114. NEW Distrib by purpose'!Q8,"*"))</f>
        <v>2.4225648442963946E-2</v>
      </c>
      <c r="R8" s="417">
        <f>IF('114. NEW Distrib by purpose'!R8&gt;0.0005=0,,IF('114. NEW Distrib by purpose'!R8&gt;0.0005,'114. NEW Distrib by purpose'!R8,"*"))</f>
        <v>1.6182104115588243E-2</v>
      </c>
      <c r="S8" s="417">
        <f>IF('114. NEW Distrib by purpose'!S8&gt;0.0005=0,,IF('114. NEW Distrib by purpose'!S8&gt;0.0005,'114. NEW Distrib by purpose'!S8,"*"))</f>
        <v>1.8542338407110122E-2</v>
      </c>
      <c r="T8" s="417">
        <f>IF('114. NEW Distrib by purpose'!T8&gt;0.0005=0,,IF('114. NEW Distrib by purpose'!T8&gt;0.0005,'114. NEW Distrib by purpose'!T8,"*"))</f>
        <v>3.6489050984329252E-2</v>
      </c>
    </row>
    <row r="9" spans="1:20" ht="22.5">
      <c r="A9" s="1482"/>
      <c r="B9" s="404" t="s">
        <v>348</v>
      </c>
      <c r="C9" s="403">
        <f>+D8+D7</f>
        <v>0.82027044847854935</v>
      </c>
      <c r="D9" s="427">
        <f>+D8+D7</f>
        <v>0.82027044847854935</v>
      </c>
      <c r="E9" s="416">
        <f t="shared" ref="E9:T9" si="0">+E8+E7</f>
        <v>0.81651858996651872</v>
      </c>
      <c r="F9" s="417">
        <f t="shared" si="0"/>
        <v>0.79756150477193999</v>
      </c>
      <c r="G9" s="417">
        <f t="shared" si="0"/>
        <v>0.97387740207152051</v>
      </c>
      <c r="H9" s="417">
        <f t="shared" si="0"/>
        <v>0.84711914317320436</v>
      </c>
      <c r="I9" s="417">
        <f t="shared" si="0"/>
        <v>0.79272349991777535</v>
      </c>
      <c r="J9" s="417">
        <f t="shared" si="0"/>
        <v>0.84732297337345952</v>
      </c>
      <c r="K9" s="417">
        <f t="shared" si="0"/>
        <v>0.73486766971807305</v>
      </c>
      <c r="L9" s="417">
        <f t="shared" si="0"/>
        <v>0.7878012146432285</v>
      </c>
      <c r="M9" s="417">
        <f t="shared" si="0"/>
        <v>0.84587261844905193</v>
      </c>
      <c r="N9" s="417">
        <f t="shared" si="0"/>
        <v>0.82741101074564671</v>
      </c>
      <c r="O9" s="417">
        <f>O7</f>
        <v>0.89125785903553634</v>
      </c>
      <c r="P9" s="417">
        <f t="shared" si="0"/>
        <v>0.82838839303760103</v>
      </c>
      <c r="Q9" s="417">
        <f t="shared" si="0"/>
        <v>0.76875259655329919</v>
      </c>
      <c r="R9" s="417">
        <f t="shared" si="0"/>
        <v>0.80829772873299166</v>
      </c>
      <c r="S9" s="417">
        <f t="shared" si="0"/>
        <v>0.87576522708944016</v>
      </c>
      <c r="T9" s="417">
        <f t="shared" si="0"/>
        <v>0.75222065529740934</v>
      </c>
    </row>
    <row r="10" spans="1:20" ht="35.25" customHeight="1">
      <c r="A10" s="1482"/>
      <c r="B10" s="393" t="s">
        <v>12</v>
      </c>
      <c r="C10" s="209" t="s">
        <v>273</v>
      </c>
      <c r="D10" s="520">
        <f>IF('114. NEW Distrib by purpose'!D17&gt;0.0005=0,,IF('114. NEW Distrib by purpose'!D17&gt;0.0005,'114. NEW Distrib by purpose'!D17,"*"))</f>
        <v>8.3641203831756137E-3</v>
      </c>
      <c r="E10" s="521">
        <f>IF('114. NEW Distrib by purpose'!E17&gt;0.0005=0,,IF('114. NEW Distrib by purpose'!E17&gt;0.0005,'114. NEW Distrib by purpose'!E17,"*"))</f>
        <v>6.6691830445757064E-3</v>
      </c>
      <c r="F10" s="522">
        <f>IF('114. NEW Distrib by purpose'!F17&gt;0.0005=0,,IF('114. NEW Distrib by purpose'!F17&gt;0.0005,'114. NEW Distrib by purpose'!F17,"*"))</f>
        <v>4.1171254894416531E-2</v>
      </c>
      <c r="G10" s="522" t="str">
        <f>IF('114. NEW Distrib by purpose'!G17&gt;0.0005=0,,IF('114. NEW Distrib by purpose'!G17&gt;0.0005,'114. NEW Distrib by purpose'!G17,"*"))</f>
        <v>*</v>
      </c>
      <c r="H10" s="522">
        <f>IF('114. NEW Distrib by purpose'!H17&gt;0.0005=0,,IF('114. NEW Distrib by purpose'!H17&gt;0.0005,'114. NEW Distrib by purpose'!H17,"*"))</f>
        <v>2.3982078269157475E-3</v>
      </c>
      <c r="I10" s="522">
        <f>IF('114. NEW Distrib by purpose'!I17&gt;0.0005=0,,IF('114. NEW Distrib by purpose'!I17&gt;0.0005,'114. NEW Distrib by purpose'!I17,"*"))</f>
        <v>7.3492787455459044E-3</v>
      </c>
      <c r="J10" s="522">
        <f>IF('114. NEW Distrib by purpose'!J17&gt;0.0005=0,,IF('114. NEW Distrib by purpose'!J17&gt;0.0005,'114. NEW Distrib by purpose'!J17,"*"))</f>
        <v>4.4806585515280344E-3</v>
      </c>
      <c r="K10" s="522">
        <f>IF('114. NEW Distrib by purpose'!K17&gt;0.0005=0,,IF('114. NEW Distrib by purpose'!K17&gt;0.0005,'114. NEW Distrib by purpose'!K17,"*"))</f>
        <v>1.7904445794741129E-2</v>
      </c>
      <c r="L10" s="522" t="str">
        <f>IF('114. NEW Distrib by purpose'!L17&gt;0.0005=0,,IF('114. NEW Distrib by purpose'!L17&gt;0.0005,'114. NEW Distrib by purpose'!L17,"*"))</f>
        <v>*</v>
      </c>
      <c r="M10" s="522" t="str">
        <f>IF('114. NEW Distrib by purpose'!M17&gt;0.0005=0,,IF('114. NEW Distrib by purpose'!M17&gt;0.0005,'114. NEW Distrib by purpose'!M17,"*"))</f>
        <v>*</v>
      </c>
      <c r="N10" s="522">
        <f>IF('114. NEW Distrib by purpose'!N17&gt;0.0005=0,,IF('114. NEW Distrib by purpose'!N17&gt;0.0005,'114. NEW Distrib by purpose'!N17,"*"))</f>
        <v>3.9858015428576095E-2</v>
      </c>
      <c r="O10" s="522" t="str">
        <f>IF('114. NEW Distrib by purpose'!O17&gt;0.0005=0,,IF('114. NEW Distrib by purpose'!O17&gt;0.0005,'114. NEW Distrib by purpose'!O17,"*"))</f>
        <v>*</v>
      </c>
      <c r="P10" s="522" t="str">
        <f>IF('114. NEW Distrib by purpose'!P17&gt;0.0005=0,,IF('114. NEW Distrib by purpose'!P17&gt;0.0005,'114. NEW Distrib by purpose'!P17,"*"))</f>
        <v>*</v>
      </c>
      <c r="Q10" s="522" t="str">
        <f>IF('114. NEW Distrib by purpose'!Q17&gt;0.0005=0,,IF('114. NEW Distrib by purpose'!Q17&gt;0.0005,'114. NEW Distrib by purpose'!Q17,"*"))</f>
        <v>*</v>
      </c>
      <c r="R10" s="522">
        <f>IF('114. NEW Distrib by purpose'!R17&gt;0.0005=0,,IF('114. NEW Distrib by purpose'!R17&gt;0.0005,'114. NEW Distrib by purpose'!R17,"*"))</f>
        <v>6.2737899232761518E-3</v>
      </c>
      <c r="S10" s="522">
        <f>IF('114. NEW Distrib by purpose'!S17&gt;0.0005=0,,IF('114. NEW Distrib by purpose'!S17&gt;0.0005,'114. NEW Distrib by purpose'!S17,"*"))</f>
        <v>7.6147926055326258E-4</v>
      </c>
      <c r="T10" s="522">
        <f>IF('114. NEW Distrib by purpose'!T17&gt;0.0005=0,,IF('114. NEW Distrib by purpose'!T17&gt;0.0005,'114. NEW Distrib by purpose'!T17,"*"))</f>
        <v>3.8331866416939915E-3</v>
      </c>
    </row>
    <row r="11" spans="1:20" ht="33" customHeight="1">
      <c r="A11" s="1483"/>
      <c r="B11" s="394" t="s">
        <v>86</v>
      </c>
      <c r="C11" s="210" t="s">
        <v>303</v>
      </c>
      <c r="D11" s="523">
        <f>IF('114. NEW Distrib by purpose'!D24&gt;0.0005=0,,IF('114. NEW Distrib by purpose'!D24&gt;0.0005,'114. NEW Distrib by purpose'!D24,"*"))</f>
        <v>4.8109155126983263E-3</v>
      </c>
      <c r="E11" s="524">
        <f>IF('114. NEW Distrib by purpose'!E24&gt;0.0005=0,,IF('114. NEW Distrib by purpose'!E24&gt;0.0005,'114. NEW Distrib by purpose'!E24,"*"))</f>
        <v>1.7297566362340436E-3</v>
      </c>
      <c r="F11" s="525" t="str">
        <f>IF('114. NEW Distrib by purpose'!F24&gt;0.0005=0,,IF('114. NEW Distrib by purpose'!F24&gt;0.0005,'114. NEW Distrib by purpose'!F24,"*"))</f>
        <v>*</v>
      </c>
      <c r="G11" s="525">
        <f>IF('114. NEW Distrib by purpose'!G24&gt;0.0005=0,,IF('114. NEW Distrib by purpose'!G24&gt;0.0005,'114. NEW Distrib by purpose'!G24,"*"))</f>
        <v>2.197245423355202E-3</v>
      </c>
      <c r="H11" s="525" t="str">
        <f>IF('114. NEW Distrib by purpose'!H24&gt;0.0005=0,,IF('114. NEW Distrib by purpose'!H24&gt;0.0005,'114. NEW Distrib by purpose'!H24,"*"))</f>
        <v>*</v>
      </c>
      <c r="I11" s="525">
        <f>IF('114. NEW Distrib by purpose'!I24&gt;0.0005=0,,IF('114. NEW Distrib by purpose'!I24&gt;0.0005,'114. NEW Distrib by purpose'!I24,"*"))</f>
        <v>1.2857642955553986E-2</v>
      </c>
      <c r="J11" s="525">
        <f>IF('114. NEW Distrib by purpose'!J24&gt;0.0005=0,,IF('114. NEW Distrib by purpose'!J24&gt;0.0005,'114. NEW Distrib by purpose'!J24,"*"))</f>
        <v>1.253291214476809E-2</v>
      </c>
      <c r="K11" s="525">
        <f>IF('114. NEW Distrib by purpose'!K24&gt;0.0005=0,,IF('114. NEW Distrib by purpose'!K24&gt;0.0005,'114. NEW Distrib by purpose'!K24,"*"))</f>
        <v>4.8069394932167379E-3</v>
      </c>
      <c r="L11" s="525">
        <f>IF('114. NEW Distrib by purpose'!L24&gt;0.0005=0,,IF('114. NEW Distrib by purpose'!L24&gt;0.0005,'114. NEW Distrib by purpose'!L24,"*"))</f>
        <v>1.4193619687295387E-3</v>
      </c>
      <c r="M11" s="525">
        <f>IF('114. NEW Distrib by purpose'!M24&gt;0.0005=0,,IF('114. NEW Distrib by purpose'!M24&gt;0.0005,'114. NEW Distrib by purpose'!M24,"*"))</f>
        <v>4.635229797007645E-3</v>
      </c>
      <c r="N11" s="525">
        <f>IF('114. NEW Distrib by purpose'!N24&gt;0.0005=0,,IF('114. NEW Distrib by purpose'!N24&gt;0.0005,'114. NEW Distrib by purpose'!N24,"*"))</f>
        <v>5.3222107647902459E-3</v>
      </c>
      <c r="O11" s="525">
        <f>IF('114. NEW Distrib by purpose'!O24&gt;0.0005=0,,IF('114. NEW Distrib by purpose'!O24&gt;0.0005,'114. NEW Distrib by purpose'!O24,"*"))</f>
        <v>7.5676074438642774E-3</v>
      </c>
      <c r="P11" s="525">
        <f>IF('114. NEW Distrib by purpose'!P24&gt;0.0005=0,,IF('114. NEW Distrib by purpose'!P24&gt;0.0005,'114. NEW Distrib by purpose'!P24,"*"))</f>
        <v>1.5041249192851915E-3</v>
      </c>
      <c r="Q11" s="525" t="str">
        <f>IF('114. NEW Distrib by purpose'!Q24&gt;0.0005=0,,IF('114. NEW Distrib by purpose'!Q24&gt;0.0005,'114. NEW Distrib by purpose'!Q24,"*"))</f>
        <v>*</v>
      </c>
      <c r="R11" s="525" t="str">
        <f>IF('114. NEW Distrib by purpose'!R24&gt;0.0005=0,,IF('114. NEW Distrib by purpose'!R24&gt;0.0005,'114. NEW Distrib by purpose'!R24,"*"))</f>
        <v>*</v>
      </c>
      <c r="S11" s="525">
        <f>IF('114. NEW Distrib by purpose'!S24&gt;0.0005=0,,IF('114. NEW Distrib by purpose'!S24&gt;0.0005,'114. NEW Distrib by purpose'!S24,"*"))</f>
        <v>2.1254660604481137E-2</v>
      </c>
      <c r="T11" s="525">
        <f>IF('114. NEW Distrib by purpose'!T24&gt;0.0005=0,,IF('114. NEW Distrib by purpose'!T24&gt;0.0005,'114. NEW Distrib by purpose'!T24,"*"))</f>
        <v>7.1338865167215404E-3</v>
      </c>
    </row>
    <row r="12" spans="1:20" ht="24.75" customHeight="1">
      <c r="A12" s="1481" t="s">
        <v>338</v>
      </c>
      <c r="B12" s="395" t="s">
        <v>120</v>
      </c>
      <c r="C12" s="211" t="s">
        <v>281</v>
      </c>
      <c r="D12" s="526">
        <f>IF('114. NEW Distrib by purpose'!D29&gt;0.0005=0,,IF('114. NEW Distrib by purpose'!D29&gt;0.0005,'114. NEW Distrib by purpose'!D29,"*"))</f>
        <v>6.3644189070572767E-3</v>
      </c>
      <c r="E12" s="527">
        <f>IF('114. NEW Distrib by purpose'!E29&gt;0.0005=0,,IF('114. NEW Distrib by purpose'!E29&gt;0.0005,'114. NEW Distrib by purpose'!E29,"*"))</f>
        <v>3.1027277788694477E-3</v>
      </c>
      <c r="F12" s="528">
        <f>IF('114. NEW Distrib by purpose'!F29&gt;0.0005=0,,IF('114. NEW Distrib by purpose'!F29&gt;0.0005,'114. NEW Distrib by purpose'!F29,"*"))</f>
        <v>5.6020684899043506E-3</v>
      </c>
      <c r="G12" s="528">
        <f>IF('114. NEW Distrib by purpose'!G29&gt;0.0005=0,,IF('114. NEW Distrib by purpose'!G29&gt;0.0005,'114. NEW Distrib by purpose'!G29,"*"))</f>
        <v>1.3493584289923838E-2</v>
      </c>
      <c r="H12" s="528">
        <f>IF('114. NEW Distrib by purpose'!H29&gt;0.0005=0,,IF('114. NEW Distrib by purpose'!H29&gt;0.0005,'114. NEW Distrib by purpose'!H29,"*"))</f>
        <v>1.2254120636581611E-3</v>
      </c>
      <c r="I12" s="528">
        <f>IF('114. NEW Distrib by purpose'!I29&gt;0.0005=0,,IF('114. NEW Distrib by purpose'!I29&gt;0.0005,'114. NEW Distrib by purpose'!I29,"*"))</f>
        <v>6.3041034762032142E-3</v>
      </c>
      <c r="J12" s="528">
        <f>IF('114. NEW Distrib by purpose'!J29&gt;0.0005=0,,IF('114. NEW Distrib by purpose'!J29&gt;0.0005,'114. NEW Distrib by purpose'!J29,"*"))</f>
        <v>1.308240501422199E-2</v>
      </c>
      <c r="K12" s="528">
        <f>IF('114. NEW Distrib by purpose'!K29&gt;0.0005=0,,IF('114. NEW Distrib by purpose'!K29&gt;0.0005,'114. NEW Distrib by purpose'!K29,"*"))</f>
        <v>1.5134647142862983E-2</v>
      </c>
      <c r="L12" s="528">
        <f>IF('114. NEW Distrib by purpose'!L29&gt;0.0005=0,,IF('114. NEW Distrib by purpose'!L29&gt;0.0005,'114. NEW Distrib by purpose'!L29,"*"))</f>
        <v>4.1681220134039756E-3</v>
      </c>
      <c r="M12" s="528">
        <f>IF('114. NEW Distrib by purpose'!M29&gt;0.0005=0,,IF('114. NEW Distrib by purpose'!M29&gt;0.0005,'114. NEW Distrib by purpose'!M29,"*"))</f>
        <v>4.3121659048383498E-3</v>
      </c>
      <c r="N12" s="528">
        <f>IF('114. NEW Distrib by purpose'!N29&gt;0.0005=0,,IF('114. NEW Distrib by purpose'!N29&gt;0.0005,'114. NEW Distrib by purpose'!N29,"*"))</f>
        <v>8.7195720038197311E-3</v>
      </c>
      <c r="O12" s="528">
        <f>IF('114. NEW Distrib by purpose'!O29&gt;0.0005=0,,IF('114. NEW Distrib by purpose'!O29&gt;0.0005,'114. NEW Distrib by purpose'!O29,"*"))</f>
        <v>4.9023840408683331E-3</v>
      </c>
      <c r="P12" s="528">
        <f>IF('114. NEW Distrib by purpose'!P29&gt;0.0005=0,,IF('114. NEW Distrib by purpose'!P29&gt;0.0005,'114. NEW Distrib by purpose'!P29,"*"))</f>
        <v>6.7846136775053072E-3</v>
      </c>
      <c r="Q12" s="528">
        <f>IF('114. NEW Distrib by purpose'!Q29&gt;0.0005=0,,IF('114. NEW Distrib by purpose'!Q29&gt;0.0005,'114. NEW Distrib by purpose'!Q29,"*"))</f>
        <v>6.4572936439542417E-3</v>
      </c>
      <c r="R12" s="528">
        <f>IF('114. NEW Distrib by purpose'!R29&gt;0.0005=0,,IF('114. NEW Distrib by purpose'!R29&gt;0.0005,'114. NEW Distrib by purpose'!R29,"*"))</f>
        <v>7.2259339741756398E-3</v>
      </c>
      <c r="S12" s="528">
        <f>IF('114. NEW Distrib by purpose'!S29&gt;0.0005=0,,IF('114. NEW Distrib by purpose'!S29&gt;0.0005,'114. NEW Distrib by purpose'!S29,"*"))</f>
        <v>6.3133092937817268E-3</v>
      </c>
      <c r="T12" s="528">
        <f>IF('114. NEW Distrib by purpose'!T29&gt;0.0005=0,,IF('114. NEW Distrib by purpose'!T29&gt;0.0005,'114. NEW Distrib by purpose'!T29,"*"))</f>
        <v>7.1572820765888863E-3</v>
      </c>
    </row>
    <row r="13" spans="1:20" ht="39" customHeight="1">
      <c r="A13" s="1482"/>
      <c r="B13" s="396" t="s">
        <v>187</v>
      </c>
      <c r="C13" s="209" t="s">
        <v>286</v>
      </c>
      <c r="D13" s="520">
        <f>IF('114. NEW Distrib by purpose'!D34&gt;0.0005=0,,IF('114. NEW Distrib by purpose'!D34&gt;0.0005,'114. NEW Distrib by purpose'!D34,"*"))</f>
        <v>2.6427885148903856E-3</v>
      </c>
      <c r="E13" s="521">
        <f>IF('114. NEW Distrib by purpose'!E34&gt;0.0005=0,,IF('114. NEW Distrib by purpose'!E34&gt;0.0005,'114. NEW Distrib by purpose'!E34,"*"))</f>
        <v>3.6840411125345701E-3</v>
      </c>
      <c r="F13" s="522" t="str">
        <f>IF('114. NEW Distrib by purpose'!F34&gt;0.0005=0,,IF('114. NEW Distrib by purpose'!F34&gt;0.0005,'114. NEW Distrib by purpose'!F34,"*"))</f>
        <v>*</v>
      </c>
      <c r="G13" s="522" t="str">
        <f>IF('114. NEW Distrib by purpose'!G34&gt;0.0005=0,,IF('114. NEW Distrib by purpose'!G34&gt;0.0005,'114. NEW Distrib by purpose'!G34,"*"))</f>
        <v>*</v>
      </c>
      <c r="H13" s="522">
        <f>IF('114. NEW Distrib by purpose'!H34&gt;0.0005=0,,IF('114. NEW Distrib by purpose'!H34&gt;0.0005,'114. NEW Distrib by purpose'!H34,"*"))</f>
        <v>2.1426997476027918E-3</v>
      </c>
      <c r="I13" s="522">
        <f>IF('114. NEW Distrib by purpose'!I34&gt;0.0005=0,,IF('114. NEW Distrib by purpose'!I34&gt;0.0005,'114. NEW Distrib by purpose'!I34,"*"))</f>
        <v>8.1641956473155145E-3</v>
      </c>
      <c r="J13" s="522" t="str">
        <f>IF('114. NEW Distrib by purpose'!J34&gt;0.0005=0,,IF('114. NEW Distrib by purpose'!J34&gt;0.0005,'114. NEW Distrib by purpose'!J34,"*"))</f>
        <v>*</v>
      </c>
      <c r="K13" s="522" t="str">
        <f>IF('114. NEW Distrib by purpose'!K34&gt;0.0005=0,,IF('114. NEW Distrib by purpose'!K34&gt;0.0005,'114. NEW Distrib by purpose'!K34,"*"))</f>
        <v>*</v>
      </c>
      <c r="L13" s="522">
        <f>IF('114. NEW Distrib by purpose'!L34&gt;0.0005=0,,IF('114. NEW Distrib by purpose'!L34&gt;0.0005,'114. NEW Distrib by purpose'!L34,"*"))</f>
        <v>9.7988586859312412E-3</v>
      </c>
      <c r="M13" s="522" t="str">
        <f>IF('114. NEW Distrib by purpose'!M34&gt;0.0005=0,,IF('114. NEW Distrib by purpose'!M34&gt;0.0005,'114. NEW Distrib by purpose'!M34,"*"))</f>
        <v>*</v>
      </c>
      <c r="N13" s="522" t="str">
        <f>IF('114. NEW Distrib by purpose'!N34&gt;0.0005=0,,IF('114. NEW Distrib by purpose'!N34&gt;0.0005,'114. NEW Distrib by purpose'!N34,"*"))</f>
        <v>*</v>
      </c>
      <c r="O13" s="522" t="str">
        <f>IF('114. NEW Distrib by purpose'!O34&gt;0.0005=0,,IF('114. NEW Distrib by purpose'!O34&gt;0.0005,'114. NEW Distrib by purpose'!O34,"*"))</f>
        <v>*</v>
      </c>
      <c r="P13" s="522">
        <f>IF('114. NEW Distrib by purpose'!P34&gt;0.0005=0,,IF('114. NEW Distrib by purpose'!P34&gt;0.0005,'114. NEW Distrib by purpose'!P34,"*"))</f>
        <v>1.3993432989997357E-3</v>
      </c>
      <c r="Q13" s="522" t="str">
        <f>IF('114. NEW Distrib by purpose'!Q34&gt;0.0005=0,,IF('114. NEW Distrib by purpose'!Q34&gt;0.0005,'114. NEW Distrib by purpose'!Q34,"*"))</f>
        <v>*</v>
      </c>
      <c r="R13" s="522">
        <f>IF('114. NEW Distrib by purpose'!R34&gt;0.0005=0,,IF('114. NEW Distrib by purpose'!R34&gt;0.0005,'114. NEW Distrib by purpose'!R34,"*"))</f>
        <v>3.8754537413486154E-3</v>
      </c>
      <c r="S13" s="522" t="str">
        <f>IF('114. NEW Distrib by purpose'!S34&gt;0.0005=0,,IF('114. NEW Distrib by purpose'!S34&gt;0.0005,'114. NEW Distrib by purpose'!S34,"*"))</f>
        <v>*</v>
      </c>
      <c r="T13" s="522" t="str">
        <f>IF('114. NEW Distrib by purpose'!T34&gt;0.0005=0,,IF('114. NEW Distrib by purpose'!T34&gt;0.0005,'114. NEW Distrib by purpose'!T34,"*"))</f>
        <v>*</v>
      </c>
    </row>
    <row r="14" spans="1:20" ht="25.5" customHeight="1">
      <c r="A14" s="1482"/>
      <c r="B14" s="396" t="s">
        <v>188</v>
      </c>
      <c r="C14" s="209" t="s">
        <v>287</v>
      </c>
      <c r="D14" s="529" t="str">
        <f>IF('114. NEW Distrib by purpose'!D35&gt;0.0005=0,,IF('114. NEW Distrib by purpose'!D35&gt;0.0005,'114. NEW Distrib by purpose'!D35,"*"))</f>
        <v>*</v>
      </c>
      <c r="E14" s="425" t="str">
        <f>IF('114. NEW Distrib by purpose'!E35&gt;0.0005=0,,IF('114. NEW Distrib by purpose'!E35&gt;0.0005,'114. NEW Distrib by purpose'!E35,"*"))</f>
        <v>*</v>
      </c>
      <c r="F14" s="530">
        <f>IF('114. NEW Distrib by purpose'!F35&gt;0.0005=0,,IF('114. NEW Distrib by purpose'!F35&gt;0.0005,'114. NEW Distrib by purpose'!F35,"*"))</f>
        <v>1.7713604119294329E-3</v>
      </c>
      <c r="G14" s="530">
        <f>IF('114. NEW Distrib by purpose'!G35&gt;0.0005=0,,IF('114. NEW Distrib by purpose'!G35&gt;0.0005,'114. NEW Distrib by purpose'!G35,"*"))</f>
        <v>3.3479925702583828E-3</v>
      </c>
      <c r="H14" s="530" t="str">
        <f>IF('114. NEW Distrib by purpose'!H35&gt;0.0005=0,,IF('114. NEW Distrib by purpose'!H35&gt;0.0005,'114. NEW Distrib by purpose'!H35,"*"))</f>
        <v>*</v>
      </c>
      <c r="I14" s="530" t="str">
        <f>IF('114. NEW Distrib by purpose'!I35&gt;0.0005=0,,IF('114. NEW Distrib by purpose'!I35&gt;0.0005,'114. NEW Distrib by purpose'!I35,"*"))</f>
        <v>*</v>
      </c>
      <c r="J14" s="530">
        <f>IF('114. NEW Distrib by purpose'!J35&gt;0.0005=0,,IF('114. NEW Distrib by purpose'!J35&gt;0.0005,'114. NEW Distrib by purpose'!J35,"*"))</f>
        <v>1.6394277968342611E-3</v>
      </c>
      <c r="K14" s="530" t="str">
        <f>IF('114. NEW Distrib by purpose'!K35&gt;0.0005=0,,IF('114. NEW Distrib by purpose'!K35&gt;0.0005,'114. NEW Distrib by purpose'!K35,"*"))</f>
        <v>*</v>
      </c>
      <c r="L14" s="530" t="str">
        <f>IF('114. NEW Distrib by purpose'!L35&gt;0.0005=0,,IF('114. NEW Distrib by purpose'!L35&gt;0.0005,'114. NEW Distrib by purpose'!L35,"*"))</f>
        <v>*</v>
      </c>
      <c r="M14" s="530" t="str">
        <f>IF('114. NEW Distrib by purpose'!M35&gt;0.0005=0,,IF('114. NEW Distrib by purpose'!M35&gt;0.0005,'114. NEW Distrib by purpose'!M35,"*"))</f>
        <v>*</v>
      </c>
      <c r="N14" s="530" t="str">
        <f>IF('114. NEW Distrib by purpose'!N35&gt;0.0005=0,,IF('114. NEW Distrib by purpose'!N35&gt;0.0005,'114. NEW Distrib by purpose'!N35,"*"))</f>
        <v>*</v>
      </c>
      <c r="O14" s="530" t="str">
        <f>IF('114. NEW Distrib by purpose'!O35&gt;0.0005=0,,IF('114. NEW Distrib by purpose'!O35&gt;0.0005,'114. NEW Distrib by purpose'!O35,"*"))</f>
        <v>*</v>
      </c>
      <c r="P14" s="530">
        <f>IF('114. NEW Distrib by purpose'!P35&gt;0.0005=0,,IF('114. NEW Distrib by purpose'!P35&gt;0.0005,'114. NEW Distrib by purpose'!P35,"*"))</f>
        <v>8.869086370588943E-4</v>
      </c>
      <c r="Q14" s="530">
        <f>IF('114. NEW Distrib by purpose'!Q35&gt;0.0005=0,,IF('114. NEW Distrib by purpose'!Q35&gt;0.0005,'114. NEW Distrib by purpose'!Q35,"*"))</f>
        <v>6.5374054166298713E-4</v>
      </c>
      <c r="R14" s="530" t="str">
        <f>IF('114. NEW Distrib by purpose'!R35&gt;0.0005=0,,IF('114. NEW Distrib by purpose'!R35&gt;0.0005,'114. NEW Distrib by purpose'!R35,"*"))</f>
        <v>*</v>
      </c>
      <c r="S14" s="530" t="str">
        <f>IF('114. NEW Distrib by purpose'!S35&gt;0.0005=0,,IF('114. NEW Distrib by purpose'!S35&gt;0.0005,'114. NEW Distrib by purpose'!S35,"*"))</f>
        <v>*</v>
      </c>
      <c r="T14" s="530">
        <f>IF('114. NEW Distrib by purpose'!T35&gt;0.0005=0,,IF('114. NEW Distrib by purpose'!T35&gt;0.0005,'114. NEW Distrib by purpose'!T35,"*"))</f>
        <v>5.8330379878819864E-4</v>
      </c>
    </row>
    <row r="15" spans="1:20" ht="48.75" customHeight="1">
      <c r="A15" s="1482"/>
      <c r="B15" s="396" t="s">
        <v>259</v>
      </c>
      <c r="C15" s="209" t="s">
        <v>291</v>
      </c>
      <c r="D15" s="520">
        <f>IF('114. NEW Distrib by purpose'!D39&gt;0.0005=0,,IF('114. NEW Distrib by purpose'!D39&gt;0.0005,'114. NEW Distrib by purpose'!D39,"*"))</f>
        <v>6.0326528386582236E-2</v>
      </c>
      <c r="E15" s="521">
        <f>IF('114. NEW Distrib by purpose'!E39&gt;0.0005=0,,IF('114. NEW Distrib by purpose'!E39&gt;0.0005,'114. NEW Distrib by purpose'!E39,"*"))</f>
        <v>1.7856872721998526E-2</v>
      </c>
      <c r="F15" s="522">
        <f>IF('114. NEW Distrib by purpose'!F39&gt;0.0005=0,,IF('114. NEW Distrib by purpose'!F39&gt;0.0005,'114. NEW Distrib by purpose'!F39,"*"))</f>
        <v>7.1861525027026779E-2</v>
      </c>
      <c r="G15" s="522">
        <f>IF('114. NEW Distrib by purpose'!G39&gt;0.0005=0,,IF('114. NEW Distrib by purpose'!G39&gt;0.0005,'114. NEW Distrib by purpose'!G39,"*"))</f>
        <v>6.0344309733695728E-3</v>
      </c>
      <c r="H15" s="522">
        <f>IF('114. NEW Distrib by purpose'!H39&gt;0.0005=0,,IF('114. NEW Distrib by purpose'!H39&gt;0.0005,'114. NEW Distrib by purpose'!H39,"*"))</f>
        <v>8.0894977235367205E-2</v>
      </c>
      <c r="I15" s="522">
        <f>IF('114. NEW Distrib by purpose'!I39&gt;0.0005=0,,IF('114. NEW Distrib by purpose'!I39&gt;0.0005,'114. NEW Distrib by purpose'!I39,"*"))</f>
        <v>8.8857409994025069E-2</v>
      </c>
      <c r="J15" s="522">
        <f>IF('114. NEW Distrib by purpose'!J39&gt;0.0005=0,,IF('114. NEW Distrib by purpose'!J39&gt;0.0005,'114. NEW Distrib by purpose'!J39,"*"))</f>
        <v>7.1074917639877791E-2</v>
      </c>
      <c r="K15" s="522">
        <f>IF('114. NEW Distrib by purpose'!K39&gt;0.0005=0,,IF('114. NEW Distrib by purpose'!K39&gt;0.0005,'114. NEW Distrib by purpose'!K39,"*"))</f>
        <v>0.12673792548824619</v>
      </c>
      <c r="L15" s="522">
        <f>IF('114. NEW Distrib by purpose'!L39&gt;0.0005=0,,IF('114. NEW Distrib by purpose'!L39&gt;0.0005,'114. NEW Distrib by purpose'!L39,"*"))</f>
        <v>3.7704671298037833E-2</v>
      </c>
      <c r="M15" s="522">
        <f>IF('114. NEW Distrib by purpose'!M39&gt;0.0005=0,,IF('114. NEW Distrib by purpose'!M39&gt;0.0005,'114. NEW Distrib by purpose'!M39,"*"))</f>
        <v>1.9740533762048096E-2</v>
      </c>
      <c r="N15" s="522">
        <f>IF('114. NEW Distrib by purpose'!N39&gt;0.0005=0,,IF('114. NEW Distrib by purpose'!N39&gt;0.0005,'114. NEW Distrib by purpose'!N39,"*"))</f>
        <v>4.0195825475295155E-2</v>
      </c>
      <c r="O15" s="522">
        <f>IF('114. NEW Distrib by purpose'!O39&gt;0.0005=0,,IF('114. NEW Distrib by purpose'!O39&gt;0.0005,'114. NEW Distrib by purpose'!O39,"*"))</f>
        <v>3.8987013218376596E-2</v>
      </c>
      <c r="P15" s="522">
        <f>IF('114. NEW Distrib by purpose'!P39&gt;0.0005=0,,IF('114. NEW Distrib by purpose'!P39&gt;0.0005,'114. NEW Distrib by purpose'!P39,"*"))</f>
        <v>0.12989807386386465</v>
      </c>
      <c r="Q15" s="522">
        <f>IF('114. NEW Distrib by purpose'!Q39&gt;0.0005=0,,IF('114. NEW Distrib by purpose'!Q39&gt;0.0005,'114. NEW Distrib by purpose'!Q39,"*"))</f>
        <v>0.12220786207219511</v>
      </c>
      <c r="R15" s="522">
        <f>IF('114. NEW Distrib by purpose'!R39&gt;0.0005=0,,IF('114. NEW Distrib by purpose'!R39&gt;0.0005,'114. NEW Distrib by purpose'!R39,"*"))</f>
        <v>3.5366737726710881E-2</v>
      </c>
      <c r="S15" s="522">
        <f>IF('114. NEW Distrib by purpose'!S39&gt;0.0005=0,,IF('114. NEW Distrib by purpose'!S39&gt;0.0005,'114. NEW Distrib by purpose'!S39,"*"))</f>
        <v>5.120751247688736E-2</v>
      </c>
      <c r="T15" s="522">
        <f>IF('114. NEW Distrib by purpose'!T39&gt;0.0005=0,,IF('114. NEW Distrib by purpose'!T39&gt;0.0005,'114. NEW Distrib by purpose'!T39,"*"))</f>
        <v>7.4410112549549837E-2</v>
      </c>
    </row>
    <row r="16" spans="1:20" ht="36" customHeight="1">
      <c r="A16" s="1484"/>
      <c r="B16" s="393" t="s">
        <v>192</v>
      </c>
      <c r="C16" s="209" t="s">
        <v>280</v>
      </c>
      <c r="D16" s="520">
        <f>IF('114. NEW Distrib by purpose'!D55&gt;0.0005=0,,IF('114. NEW Distrib by purpose'!D55&gt;0.0005,'114. NEW Distrib by purpose'!D55,"*"))</f>
        <v>6.6374931426111367E-2</v>
      </c>
      <c r="E16" s="521">
        <f>IF('114. NEW Distrib by purpose'!E55&gt;0.0005=0,,IF('114. NEW Distrib by purpose'!E55&gt;0.0005,'114. NEW Distrib by purpose'!E55,"*"))</f>
        <v>0.14679804521106535</v>
      </c>
      <c r="F16" s="522" t="str">
        <f>IF('114. NEW Distrib by purpose'!F55&gt;0.0005=0,,IF('114. NEW Distrib by purpose'!F55&gt;0.0005,'114. NEW Distrib by purpose'!F55,"*"))</f>
        <v>*</v>
      </c>
      <c r="G16" s="522" t="str">
        <f>IF('114. NEW Distrib by purpose'!G55&gt;0.0005=0,,IF('114. NEW Distrib by purpose'!G55&gt;0.0005,'114. NEW Distrib by purpose'!G55,"*"))</f>
        <v>*</v>
      </c>
      <c r="H16" s="522">
        <f>IF('114. NEW Distrib by purpose'!H55&gt;0.0005=0,,IF('114. NEW Distrib by purpose'!H55&gt;0.0005,'114. NEW Distrib by purpose'!H55,"*"))</f>
        <v>6.5280126993830428E-2</v>
      </c>
      <c r="I16" s="522">
        <f>IF('114. NEW Distrib by purpose'!I55&gt;0.0005=0,,IF('114. NEW Distrib by purpose'!I55&gt;0.0005,'114. NEW Distrib by purpose'!I55,"*"))</f>
        <v>5.323808969133146E-2</v>
      </c>
      <c r="J16" s="522">
        <f>IF('114. NEW Distrib by purpose'!J55&gt;0.0005=0,,IF('114. NEW Distrib by purpose'!J55&gt;0.0005,'114. NEW Distrib by purpose'!J55,"*"))</f>
        <v>4.9315251842047041E-2</v>
      </c>
      <c r="K16" s="522">
        <f>IF('114. NEW Distrib by purpose'!K55&gt;0.0005=0,,IF('114. NEW Distrib by purpose'!K55&gt;0.0005,'114. NEW Distrib by purpose'!K55,"*"))</f>
        <v>1.4521474932868383E-2</v>
      </c>
      <c r="L16" s="522" t="str">
        <f>IF('114. NEW Distrib by purpose'!L55&gt;0.0005=0,,IF('114. NEW Distrib by purpose'!L55&gt;0.0005,'114. NEW Distrib by purpose'!L55,"*"))</f>
        <v>*</v>
      </c>
      <c r="M16" s="522">
        <f>IF('114. NEW Distrib by purpose'!M55&gt;0.0005=0,,IF('114. NEW Distrib by purpose'!M55&gt;0.0005,'114. NEW Distrib by purpose'!M55,"*"))</f>
        <v>1.4325742523487636E-2</v>
      </c>
      <c r="N16" s="522">
        <f>IF('114. NEW Distrib by purpose'!N55&gt;0.0005=0,,IF('114. NEW Distrib by purpose'!N55&gt;0.0005,'114. NEW Distrib by purpose'!N55,"*"))</f>
        <v>7.0976020749946134E-2</v>
      </c>
      <c r="O16" s="522">
        <f>IF('114. NEW Distrib by purpose'!O55&gt;0.0005=0,,IF('114. NEW Distrib by purpose'!O55&gt;0.0005,'114. NEW Distrib by purpose'!O55,"*"))</f>
        <v>5.7285136261354487E-2</v>
      </c>
      <c r="P16" s="522">
        <f>IF('114. NEW Distrib by purpose'!P55&gt;0.0005=0,,IF('114. NEW Distrib by purpose'!P55&gt;0.0005,'114. NEW Distrib by purpose'!P55,"*"))</f>
        <v>4.7784154860889263E-3</v>
      </c>
      <c r="Q16" s="522">
        <f>IF('114. NEW Distrib by purpose'!Q55&gt;0.0005=0,,IF('114. NEW Distrib by purpose'!Q55&gt;0.0005,'114. NEW Distrib by purpose'!Q55,"*"))</f>
        <v>1.8301082613760768E-2</v>
      </c>
      <c r="R16" s="522">
        <f>IF('114. NEW Distrib by purpose'!R55&gt;0.0005=0,,IF('114. NEW Distrib by purpose'!R55&gt;0.0005,'114. NEW Distrib by purpose'!R55,"*"))</f>
        <v>0.13896035590149708</v>
      </c>
      <c r="S16" s="522">
        <f>IF('114. NEW Distrib by purpose'!S55&gt;0.0005=0,,IF('114. NEW Distrib by purpose'!S55&gt;0.0005,'114. NEW Distrib by purpose'!S55,"*"))</f>
        <v>3.5575060017355643E-2</v>
      </c>
      <c r="T16" s="522">
        <f>IF('114. NEW Distrib by purpose'!T55&gt;0.0005=0,,IF('114. NEW Distrib by purpose'!T55&gt;0.0005,'114. NEW Distrib by purpose'!T55,"*"))</f>
        <v>0.12187670390107851</v>
      </c>
    </row>
    <row r="17" spans="1:20" ht="37.5" customHeight="1">
      <c r="A17" s="1484"/>
      <c r="B17" s="393" t="s">
        <v>304</v>
      </c>
      <c r="C17" s="209" t="s">
        <v>301</v>
      </c>
      <c r="D17" s="520">
        <f>IF('114. NEW Distrib by purpose'!D56&gt;0.0005=0,,IF('114. NEW Distrib by purpose'!D56&gt;0.0005,'114. NEW Distrib by purpose'!D56,"*"))</f>
        <v>2.026014660668779E-2</v>
      </c>
      <c r="E17" s="521" t="str">
        <f>IF('114. NEW Distrib by purpose'!E56&gt;0.0005=0,,IF('114. NEW Distrib by purpose'!E56&gt;0.0005,'114. NEW Distrib by purpose'!E56,"*"))</f>
        <v>*</v>
      </c>
      <c r="F17" s="522">
        <f>IF('114. NEW Distrib by purpose'!F56&gt;0.0005=0,,IF('114. NEW Distrib by purpose'!F56&gt;0.0005,'114. NEW Distrib by purpose'!F56,"*"))</f>
        <v>8.1038305994375601E-2</v>
      </c>
      <c r="G17" s="522" t="str">
        <f>IF('114. NEW Distrib by purpose'!G56&gt;0.0005=0,,IF('114. NEW Distrib by purpose'!G56&gt;0.0005,'114. NEW Distrib by purpose'!G56,"*"))</f>
        <v>*</v>
      </c>
      <c r="H17" s="522" t="str">
        <f>IF('114. NEW Distrib by purpose'!H56&gt;0.0005=0,,IF('114. NEW Distrib by purpose'!H56&gt;0.0005,'114. NEW Distrib by purpose'!H56,"*"))</f>
        <v>*</v>
      </c>
      <c r="I17" s="522" t="str">
        <f>IF('114. NEW Distrib by purpose'!I56&gt;0.0005=0,,IF('114. NEW Distrib by purpose'!I56&gt;0.0005,'114. NEW Distrib by purpose'!I56,"*"))</f>
        <v>*</v>
      </c>
      <c r="J17" s="522" t="str">
        <f>IF('114. NEW Distrib by purpose'!J56&gt;0.0005=0,,IF('114. NEW Distrib by purpose'!J56&gt;0.0005,'114. NEW Distrib by purpose'!J56,"*"))</f>
        <v>*</v>
      </c>
      <c r="K17" s="522">
        <f>IF('114. NEW Distrib by purpose'!K56&gt;0.0005=0,,IF('114. NEW Distrib by purpose'!K56&gt;0.0005,'114. NEW Distrib by purpose'!K56,"*"))</f>
        <v>8.5520181552052363E-2</v>
      </c>
      <c r="L17" s="522">
        <f>IF('114. NEW Distrib by purpose'!L56&gt;0.0005=0,,IF('114. NEW Distrib by purpose'!L56&gt;0.0005,'114. NEW Distrib by purpose'!L56,"*"))</f>
        <v>7.9240460529477294E-2</v>
      </c>
      <c r="M17" s="522">
        <f>IF('114. NEW Distrib by purpose'!M56&gt;0.0005=0,,IF('114. NEW Distrib by purpose'!M56&gt;0.0005,'114. NEW Distrib by purpose'!M56,"*"))</f>
        <v>0.10956286300964524</v>
      </c>
      <c r="N17" s="522" t="str">
        <f>IF('114. NEW Distrib by purpose'!N56&gt;0.0005=0,,IF('114. NEW Distrib by purpose'!N56&gt;0.0005,'114. NEW Distrib by purpose'!N56,"*"))</f>
        <v>*</v>
      </c>
      <c r="O17" s="522" t="str">
        <f>IF('114. NEW Distrib by purpose'!O56&gt;0.0005=0,,IF('114. NEW Distrib by purpose'!O56&gt;0.0005,'114. NEW Distrib by purpose'!O56,"*"))</f>
        <v>*</v>
      </c>
      <c r="P17" s="522">
        <f>IF('114. NEW Distrib by purpose'!P56&gt;0.0005=0,,IF('114. NEW Distrib by purpose'!P56&gt;0.0005,'114. NEW Distrib by purpose'!P56,"*"))</f>
        <v>2.6022213488310502E-2</v>
      </c>
      <c r="Q17" s="522">
        <f>IF('114. NEW Distrib by purpose'!Q56&gt;0.0005=0,,IF('114. NEW Distrib by purpose'!Q56&gt;0.0005,'114. NEW Distrib by purpose'!Q56,"*"))</f>
        <v>7.9706277659343197E-2</v>
      </c>
      <c r="R17" s="522" t="str">
        <f>IF('114. NEW Distrib by purpose'!R56&gt;0.0005=0,,IF('114. NEW Distrib by purpose'!R56&gt;0.0005,'114. NEW Distrib by purpose'!R56,"*"))</f>
        <v>*</v>
      </c>
      <c r="S17" s="522" t="str">
        <f>IF('114. NEW Distrib by purpose'!S56&gt;0.0005=0,,IF('114. NEW Distrib by purpose'!S56&gt;0.0005,'114. NEW Distrib by purpose'!S56,"*"))</f>
        <v>*</v>
      </c>
      <c r="T17" s="522">
        <f>IF('114. NEW Distrib by purpose'!T56&gt;0.0005=0,,IF('114. NEW Distrib by purpose'!T56&gt;0.0005,'114. NEW Distrib by purpose'!T56,"*"))</f>
        <v>3.2140063826599265E-2</v>
      </c>
    </row>
    <row r="18" spans="1:20" ht="45.75" customHeight="1">
      <c r="A18" s="1483"/>
      <c r="B18" s="397" t="s">
        <v>305</v>
      </c>
      <c r="C18" s="402" t="s">
        <v>302</v>
      </c>
      <c r="D18" s="531">
        <f>IF('114. NEW Distrib by purpose'!D57&gt;0.0005=0,,IF('114. NEW Distrib by purpose'!D57&gt;0.0005,'114. NEW Distrib by purpose'!D57,"*"))</f>
        <v>9.49783628240446E-3</v>
      </c>
      <c r="E18" s="532">
        <f>IF('114. NEW Distrib by purpose'!E57&gt;0.0005=0,,IF('114. NEW Distrib by purpose'!E57&gt;0.0005,'114. NEW Distrib by purpose'!E57,"*"))</f>
        <v>3.0745156195817751E-3</v>
      </c>
      <c r="F18" s="533" t="str">
        <f>IF('114. NEW Distrib by purpose'!F57&gt;0.0005=0,,IF('114. NEW Distrib by purpose'!F57&gt;0.0005,'114. NEW Distrib by purpose'!F57,"*"))</f>
        <v>*</v>
      </c>
      <c r="G18" s="533" t="str">
        <f>IF('114. NEW Distrib by purpose'!G57&gt;0.0005=0,,IF('114. NEW Distrib by purpose'!G57&gt;0.0005,'114. NEW Distrib by purpose'!G57,"*"))</f>
        <v>*</v>
      </c>
      <c r="H18" s="533" t="str">
        <f>IF('114. NEW Distrib by purpose'!H57&gt;0.0005=0,,IF('114. NEW Distrib by purpose'!H57&gt;0.0005,'114. NEW Distrib by purpose'!H57,"*"))</f>
        <v>*</v>
      </c>
      <c r="I18" s="533">
        <f>IF('114. NEW Distrib by purpose'!I57&gt;0.0005=0,,IF('114. NEW Distrib by purpose'!I57&gt;0.0005,'114. NEW Distrib by purpose'!I57,"*"))</f>
        <v>2.9353656657747244E-2</v>
      </c>
      <c r="J18" s="533" t="str">
        <f>IF('114. NEW Distrib by purpose'!J57&gt;0.0005=0,,IF('114. NEW Distrib by purpose'!J57&gt;0.0005,'114. NEW Distrib by purpose'!J57,"*"))</f>
        <v>*</v>
      </c>
      <c r="K18" s="533" t="str">
        <f>IF('114. NEW Distrib by purpose'!K57&gt;0.0005=0,,IF('114. NEW Distrib by purpose'!K57&gt;0.0005,'114. NEW Distrib by purpose'!K57,"*"))</f>
        <v>*</v>
      </c>
      <c r="L18" s="533">
        <f>IF('114. NEW Distrib by purpose'!L57&gt;0.0005=0,,IF('114. NEW Distrib by purpose'!L57&gt;0.0005,'114. NEW Distrib by purpose'!L57,"*"))</f>
        <v>7.8871200739054584E-2</v>
      </c>
      <c r="M18" s="533" t="str">
        <f>IF('114. NEW Distrib by purpose'!M57&gt;0.0005=0,,IF('114. NEW Distrib by purpose'!M57&gt;0.0005,'114. NEW Distrib by purpose'!M57,"*"))</f>
        <v>*</v>
      </c>
      <c r="N18" s="533">
        <f>IF('114. NEW Distrib by purpose'!N57&gt;0.0005=0,,IF('114. NEW Distrib by purpose'!N57&gt;0.0005,'114. NEW Distrib by purpose'!N57,"*"))</f>
        <v>7.4820133379648003E-3</v>
      </c>
      <c r="O18" s="533" t="str">
        <f>IF('114. NEW Distrib by purpose'!O57&gt;0.0005=0,,IF('114. NEW Distrib by purpose'!O57&gt;0.0005,'114. NEW Distrib by purpose'!O57,"*"))</f>
        <v>*</v>
      </c>
      <c r="P18" s="533" t="str">
        <f>IF('114. NEW Distrib by purpose'!P57&gt;0.0005=0,,IF('114. NEW Distrib by purpose'!P57&gt;0.0005,'114. NEW Distrib by purpose'!P57,"*"))</f>
        <v>*</v>
      </c>
      <c r="Q18" s="533">
        <f>IF('114. NEW Distrib by purpose'!Q57&gt;0.0005=0,,IF('114. NEW Distrib by purpose'!Q57&gt;0.0005,'114. NEW Distrib by purpose'!Q57,"*"))</f>
        <v>3.337668208038564E-3</v>
      </c>
      <c r="R18" s="533" t="str">
        <f>IF('114. NEW Distrib by purpose'!R57&gt;0.0005=0,,IF('114. NEW Distrib by purpose'!R57&gt;0.0005,'114. NEW Distrib by purpose'!R57,"*"))</f>
        <v>*</v>
      </c>
      <c r="S18" s="533">
        <f>IF('114. NEW Distrib by purpose'!S57&gt;0.0005=0,,IF('114. NEW Distrib by purpose'!S57&gt;0.0005,'114. NEW Distrib by purpose'!S57,"*"))</f>
        <v>8.0120270014317728E-3</v>
      </c>
      <c r="T18" s="533" t="str">
        <f>IF('114. NEW Distrib by purpose'!T57&gt;0.0005=0,,IF('114. NEW Distrib by purpose'!T57&gt;0.0005,'114. NEW Distrib by purpose'!T57,"*"))</f>
        <v>*</v>
      </c>
    </row>
    <row r="19" spans="1:20" s="122" customFormat="1" ht="16.5" customHeight="1">
      <c r="A19" s="73"/>
      <c r="B19" s="322" t="s">
        <v>3</v>
      </c>
      <c r="C19" s="323"/>
      <c r="D19" s="324">
        <f>SUM(D9:D18)</f>
        <v>0.99891213449815675</v>
      </c>
      <c r="E19" s="324">
        <f t="shared" ref="E19:T19" si="1">SUM(E9:E18)</f>
        <v>0.99943373209137831</v>
      </c>
      <c r="F19" s="324">
        <f t="shared" si="1"/>
        <v>0.99900601958959256</v>
      </c>
      <c r="G19" s="324">
        <f t="shared" si="1"/>
        <v>0.99895065532842753</v>
      </c>
      <c r="H19" s="324">
        <f t="shared" si="1"/>
        <v>0.99906056704057877</v>
      </c>
      <c r="I19" s="324">
        <f t="shared" si="1"/>
        <v>0.99884787708549783</v>
      </c>
      <c r="J19" s="324">
        <f t="shared" si="1"/>
        <v>0.99944854636273661</v>
      </c>
      <c r="K19" s="324">
        <f t="shared" si="1"/>
        <v>0.99949328412206073</v>
      </c>
      <c r="L19" s="324">
        <f t="shared" si="1"/>
        <v>0.99900388987786293</v>
      </c>
      <c r="M19" s="324">
        <f t="shared" si="1"/>
        <v>0.99844915344607887</v>
      </c>
      <c r="N19" s="324">
        <f t="shared" si="1"/>
        <v>0.99996466850603893</v>
      </c>
      <c r="O19" s="324">
        <f t="shared" si="1"/>
        <v>1</v>
      </c>
      <c r="P19" s="324">
        <f t="shared" si="1"/>
        <v>0.99966208640871412</v>
      </c>
      <c r="Q19" s="324">
        <f t="shared" si="1"/>
        <v>0.99941652129225411</v>
      </c>
      <c r="R19" s="324">
        <f t="shared" si="1"/>
        <v>1</v>
      </c>
      <c r="S19" s="324">
        <f t="shared" si="1"/>
        <v>0.99888927574393105</v>
      </c>
      <c r="T19" s="324">
        <f t="shared" si="1"/>
        <v>0.99935519460842959</v>
      </c>
    </row>
    <row r="20" spans="1:20" ht="39.75" customHeight="1">
      <c r="A20" s="1478" t="s">
        <v>339</v>
      </c>
      <c r="B20" s="1479"/>
      <c r="C20" s="1479"/>
      <c r="D20" s="1479"/>
      <c r="E20" s="1479"/>
      <c r="F20" s="1479"/>
      <c r="G20" s="1479"/>
      <c r="H20" s="1479"/>
      <c r="I20" s="1479"/>
      <c r="J20" s="1479"/>
      <c r="K20" s="1479"/>
      <c r="L20" s="1479"/>
      <c r="M20" s="1479"/>
      <c r="N20" s="1479"/>
      <c r="O20" s="1479"/>
      <c r="P20" s="1479"/>
      <c r="Q20" s="1479"/>
      <c r="R20" s="1479"/>
      <c r="S20" s="1479"/>
      <c r="T20" s="1479"/>
    </row>
    <row r="21" spans="1:20" ht="14.25" customHeight="1">
      <c r="A21" s="70" t="s">
        <v>83</v>
      </c>
      <c r="B21" s="71"/>
      <c r="C21" s="71"/>
      <c r="D21" s="71"/>
      <c r="E21" s="71"/>
      <c r="F21" s="71"/>
      <c r="G21" s="71"/>
      <c r="H21" s="71"/>
      <c r="I21" s="71"/>
      <c r="J21" s="71"/>
      <c r="K21" s="184"/>
      <c r="L21" s="184"/>
      <c r="M21" s="185"/>
      <c r="N21" s="71"/>
      <c r="O21" s="71"/>
      <c r="P21" s="71"/>
      <c r="Q21" s="71"/>
      <c r="R21" s="71"/>
      <c r="S21" s="71"/>
      <c r="T21" s="72"/>
    </row>
    <row r="22" spans="1:20" ht="15" customHeight="1">
      <c r="A22" s="70" t="s">
        <v>232</v>
      </c>
      <c r="B22" s="71"/>
      <c r="C22" s="71"/>
      <c r="D22" s="71"/>
      <c r="E22" s="71"/>
      <c r="F22" s="71"/>
      <c r="G22" s="71"/>
      <c r="H22" s="71"/>
      <c r="I22" s="71"/>
      <c r="J22" s="71"/>
      <c r="K22" s="184"/>
      <c r="L22" s="184"/>
      <c r="M22" s="185"/>
      <c r="N22" s="71"/>
      <c r="O22" s="71"/>
      <c r="P22" s="71"/>
      <c r="Q22" s="71"/>
      <c r="R22" s="71"/>
      <c r="S22" s="71"/>
      <c r="T22" s="72"/>
    </row>
    <row r="23" spans="1:20" ht="12" customHeight="1">
      <c r="A23" s="72" t="s">
        <v>0</v>
      </c>
      <c r="B23" s="71"/>
      <c r="C23" s="71"/>
      <c r="D23" s="71"/>
      <c r="E23" s="71"/>
      <c r="F23" s="71"/>
      <c r="G23" s="71"/>
      <c r="H23" s="71"/>
      <c r="I23" s="71"/>
      <c r="J23" s="71"/>
      <c r="K23" s="184"/>
      <c r="L23" s="184"/>
      <c r="M23" s="185"/>
      <c r="N23" s="71"/>
      <c r="O23" s="71"/>
      <c r="P23" s="71"/>
      <c r="Q23" s="71"/>
      <c r="R23" s="71"/>
      <c r="S23" s="71"/>
      <c r="T23" s="72"/>
    </row>
    <row r="24" spans="1:20">
      <c r="T24" s="534" t="s">
        <v>1927</v>
      </c>
    </row>
    <row r="26" spans="1:20">
      <c r="H26" s="220"/>
    </row>
  </sheetData>
  <mergeCells count="5">
    <mergeCell ref="A20:T20"/>
    <mergeCell ref="A3:T3"/>
    <mergeCell ref="A4:T4"/>
    <mergeCell ref="A7:A11"/>
    <mergeCell ref="A12:A18"/>
  </mergeCells>
  <phoneticPr fontId="17" type="noConversion"/>
  <pageMargins left="0.98666666666666702" right="0.3" top="0.75" bottom="0.5" header="0.75" footer="0.5"/>
  <pageSetup scale="78" firstPageNumber="124" orientation="landscape" useFirstPageNumber="1" r:id="rId1"/>
  <headerFooter alignWithMargins="0">
    <oddHeader>&amp;R&amp;"Arial,Regular"&amp;8SREB-State Data Exchange</oddHeader>
    <oddFooter>&amp;C&amp;"Arial,Regular"&amp;P</oddFooter>
  </headerFooter>
  <ignoredErrors>
    <ignoredError sqref="O9"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T24"/>
  <sheetViews>
    <sheetView view="pageBreakPreview" zoomScaleNormal="100" zoomScaleSheetLayoutView="100" workbookViewId="0"/>
  </sheetViews>
  <sheetFormatPr defaultRowHeight="12.75"/>
  <cols>
    <col min="1" max="1" width="12.625" style="48" customWidth="1"/>
    <col min="2" max="2" width="19.375" style="10" customWidth="1"/>
    <col min="3" max="3" width="3.375" style="2" hidden="1" customWidth="1"/>
    <col min="4" max="4" width="7.5" style="10" customWidth="1"/>
    <col min="5" max="5" width="6.625" style="10" customWidth="1"/>
    <col min="6" max="6" width="6.25" style="10" customWidth="1"/>
    <col min="7" max="7" width="6.375" style="10" customWidth="1"/>
    <col min="8" max="8" width="6" style="10" customWidth="1"/>
    <col min="9" max="9" width="5.75" style="10" customWidth="1"/>
    <col min="10" max="10" width="5.625" style="10" customWidth="1"/>
    <col min="11" max="11" width="6.375" style="6" customWidth="1"/>
    <col min="12" max="12" width="5.375" style="6" customWidth="1"/>
    <col min="13" max="13" width="6.375" style="186" customWidth="1"/>
    <col min="14" max="14" width="5.375" style="10" customWidth="1"/>
    <col min="15" max="15" width="6.375" style="10" customWidth="1"/>
    <col min="16" max="16" width="6.875" style="10" customWidth="1"/>
    <col min="17" max="17" width="6" style="10" customWidth="1"/>
    <col min="18" max="18" width="5.875" style="10" customWidth="1"/>
    <col min="19" max="19" width="6.125" style="10" customWidth="1"/>
    <col min="20" max="20" width="6" style="48" customWidth="1"/>
    <col min="21" max="16384" width="9" style="10"/>
  </cols>
  <sheetData>
    <row r="1" spans="1:20" ht="18">
      <c r="A1" s="62" t="s">
        <v>355</v>
      </c>
      <c r="B1" s="42"/>
      <c r="C1" s="207"/>
      <c r="D1" s="42"/>
      <c r="E1" s="42"/>
      <c r="F1" s="42"/>
      <c r="G1" s="42"/>
      <c r="H1" s="42"/>
      <c r="I1" s="42"/>
      <c r="J1" s="42"/>
      <c r="K1" s="181"/>
      <c r="L1" s="181"/>
      <c r="M1" s="182"/>
      <c r="N1" s="42"/>
      <c r="O1" s="42"/>
      <c r="P1" s="42"/>
      <c r="Q1" s="42"/>
      <c r="R1" s="42"/>
      <c r="S1" s="42"/>
      <c r="T1" s="43"/>
    </row>
    <row r="2" spans="1:20" s="69" customFormat="1" ht="15.75">
      <c r="A2" s="1480" t="s">
        <v>340</v>
      </c>
      <c r="B2" s="1480"/>
      <c r="C2" s="1480"/>
      <c r="D2" s="1480"/>
      <c r="E2" s="1480"/>
      <c r="F2" s="1480"/>
      <c r="G2" s="1480"/>
      <c r="H2" s="1480"/>
      <c r="I2" s="1480"/>
      <c r="J2" s="1480"/>
      <c r="K2" s="1480"/>
      <c r="L2" s="1480"/>
      <c r="M2" s="1480"/>
      <c r="N2" s="1480"/>
      <c r="O2" s="1480"/>
      <c r="P2" s="1480"/>
      <c r="Q2" s="1480"/>
      <c r="R2" s="1480"/>
      <c r="S2" s="1480"/>
      <c r="T2" s="1480"/>
    </row>
    <row r="3" spans="1:20" s="69" customFormat="1" ht="15.75">
      <c r="A3" s="1480" t="s">
        <v>434</v>
      </c>
      <c r="B3" s="1480"/>
      <c r="C3" s="1480"/>
      <c r="D3" s="1480"/>
      <c r="E3" s="1480"/>
      <c r="F3" s="1480"/>
      <c r="G3" s="1480"/>
      <c r="H3" s="1480"/>
      <c r="I3" s="1480"/>
      <c r="J3" s="1480"/>
      <c r="K3" s="1480"/>
      <c r="L3" s="1480"/>
      <c r="M3" s="1480"/>
      <c r="N3" s="1480"/>
      <c r="O3" s="1480"/>
      <c r="P3" s="1480"/>
      <c r="Q3" s="1480"/>
      <c r="R3" s="1480"/>
      <c r="S3" s="1480"/>
      <c r="T3" s="1480"/>
    </row>
    <row r="4" spans="1:20" ht="29.25" customHeight="1">
      <c r="A4" s="44"/>
      <c r="B4" s="41"/>
      <c r="C4" s="208" t="s">
        <v>263</v>
      </c>
      <c r="D4" s="11" t="s">
        <v>169</v>
      </c>
      <c r="E4" s="12" t="s">
        <v>142</v>
      </c>
      <c r="F4" s="13" t="s">
        <v>143</v>
      </c>
      <c r="G4" s="13" t="s">
        <v>148</v>
      </c>
      <c r="H4" s="13" t="s">
        <v>149</v>
      </c>
      <c r="I4" s="13" t="s">
        <v>144</v>
      </c>
      <c r="J4" s="14" t="s">
        <v>150</v>
      </c>
      <c r="K4" s="14" t="s">
        <v>145</v>
      </c>
      <c r="L4" s="14" t="s">
        <v>151</v>
      </c>
      <c r="M4" s="183" t="s">
        <v>152</v>
      </c>
      <c r="N4" s="14" t="s">
        <v>153</v>
      </c>
      <c r="O4" s="14" t="s">
        <v>154</v>
      </c>
      <c r="P4" s="14" t="s">
        <v>146</v>
      </c>
      <c r="Q4" s="14" t="s">
        <v>155</v>
      </c>
      <c r="R4" s="14" t="s">
        <v>147</v>
      </c>
      <c r="S4" s="14" t="s">
        <v>156</v>
      </c>
      <c r="T4" s="14" t="s">
        <v>157</v>
      </c>
    </row>
    <row r="5" spans="1:20" ht="33" customHeight="1">
      <c r="A5" s="1481" t="s">
        <v>337</v>
      </c>
      <c r="B5" s="393" t="s">
        <v>345</v>
      </c>
      <c r="C5" s="362" t="s">
        <v>264</v>
      </c>
      <c r="D5" s="427">
        <f>IF('OLD Distrib by purpose'!D5&gt;0.0005=0,,IF('OLD Distrib by purpose'!D5&gt;0.0005,'OLD Distrib by purpose'!D5,"*"))</f>
        <v>0.79682711816450158</v>
      </c>
      <c r="E5" s="414">
        <f>IF('OLD Distrib by purpose'!E5&gt;0.0005=0,,IF('OLD Distrib by purpose'!E5&gt;0.0005,'OLD Distrib by purpose'!E5,"*"))</f>
        <v>0.79064816407749239</v>
      </c>
      <c r="F5" s="415">
        <f>IF('OLD Distrib by purpose'!F5&gt;0.0005=0,,IF('OLD Distrib by purpose'!F5&gt;0.0005,'OLD Distrib by purpose'!F5,"*"))</f>
        <v>0.78101359291193706</v>
      </c>
      <c r="G5" s="415">
        <f>IF('OLD Distrib by purpose'!G5&gt;0.0005=0,,IF('OLD Distrib by purpose'!G5&gt;0.0005,'OLD Distrib by purpose'!G5,"*"))</f>
        <v>0.9637654520348321</v>
      </c>
      <c r="H5" s="415">
        <f>IF('OLD Distrib by purpose'!H5&gt;0.0005=0,,IF('OLD Distrib by purpose'!H5&gt;0.0005,'OLD Distrib by purpose'!H5,"*"))</f>
        <v>0.81881988407896866</v>
      </c>
      <c r="I5" s="415">
        <f>IF('OLD Distrib by purpose'!I5&gt;0.0005=0,,IF('OLD Distrib by purpose'!I5&gt;0.0005,'OLD Distrib by purpose'!I5,"*"))</f>
        <v>0.78333163187107391</v>
      </c>
      <c r="J5" s="415">
        <f>IF('OLD Distrib by purpose'!J5&gt;0.0005=0,,IF('OLD Distrib by purpose'!J5&gt;0.0005,'OLD Distrib by purpose'!J5,"*"))</f>
        <v>0.80750711038810785</v>
      </c>
      <c r="K5" s="415">
        <f>IF('OLD Distrib by purpose'!K5&gt;0.0005=0,,IF('OLD Distrib by purpose'!K5&gt;0.0005,'OLD Distrib by purpose'!K5,"*"))</f>
        <v>0.69687997758400022</v>
      </c>
      <c r="L5" s="415">
        <f>IF('OLD Distrib by purpose'!L5&gt;0.0005=0,,IF('OLD Distrib by purpose'!L5&gt;0.0005,'OLD Distrib by purpose'!L5,"*"))</f>
        <v>0.78075674572977583</v>
      </c>
      <c r="M5" s="415">
        <f>IF('OLD Distrib by purpose'!M5&gt;0.0005=0,,IF('OLD Distrib by purpose'!M5&gt;0.0005,'OLD Distrib by purpose'!M5,"*"))</f>
        <v>0.78502492016075998</v>
      </c>
      <c r="N5" s="415">
        <f>IF('OLD Distrib by purpose'!N5&gt;0.0005=0,,IF('OLD Distrib by purpose'!N5&gt;0.0005,'OLD Distrib by purpose'!N5,"*"))</f>
        <v>0.81228948686286706</v>
      </c>
      <c r="O5" s="415">
        <f>IF('OLD Distrib by purpose'!O5&gt;0.0005=0,,IF('OLD Distrib by purpose'!O5&gt;0.0005,'OLD Distrib by purpose'!O5,"*"))</f>
        <v>0.8884673507488845</v>
      </c>
      <c r="P5" s="415">
        <f>IF('OLD Distrib by purpose'!P5&gt;0.0005=0,,IF('OLD Distrib by purpose'!P5&gt;0.0005,'OLD Distrib by purpose'!P5,"*"))</f>
        <v>0.79967877779525576</v>
      </c>
      <c r="Q5" s="415">
        <f>IF('OLD Distrib by purpose'!Q5&gt;0.0005=0,,IF('OLD Distrib by purpose'!Q5&gt;0.0005,'OLD Distrib by purpose'!Q5,"*"))</f>
        <v>0.74259815542077012</v>
      </c>
      <c r="R5" s="415">
        <f>IF('OLD Distrib by purpose'!R5&gt;0.0005=0,,IF('OLD Distrib by purpose'!R5&gt;0.0005,'OLD Distrib by purpose'!R5,"*"))</f>
        <v>0.78416441367019496</v>
      </c>
      <c r="S5" s="415">
        <f>IF('OLD Distrib by purpose'!S5&gt;0.0005=0,,IF('OLD Distrib by purpose'!S5&gt;0.0005,'OLD Distrib by purpose'!S5,"*"))</f>
        <v>0.85130380546691997</v>
      </c>
      <c r="T5" s="415">
        <f>IF('OLD Distrib by purpose'!T5&gt;0.0005=0,,IF('OLD Distrib by purpose'!T5&gt;0.0005,'OLD Distrib by purpose'!T5,"*"))</f>
        <v>0.708625632632925</v>
      </c>
    </row>
    <row r="6" spans="1:20" ht="37.5" customHeight="1">
      <c r="A6" s="1482"/>
      <c r="B6" s="393" t="s">
        <v>346</v>
      </c>
      <c r="C6" s="362" t="s">
        <v>265</v>
      </c>
      <c r="D6" s="427">
        <f>IF('OLD Distrib by purpose'!D6&gt;0.0005=0,,IF('OLD Distrib by purpose'!D6&gt;0.0005,'OLD Distrib by purpose'!D6,"*"))</f>
        <v>2.2280964709501087E-2</v>
      </c>
      <c r="E6" s="416">
        <f>IF('OLD Distrib by purpose'!E6&gt;0.0005=0,,IF('OLD Distrib by purpose'!E6&gt;0.0005,'OLD Distrib by purpose'!E6,"*"))</f>
        <v>2.742080396956164E-2</v>
      </c>
      <c r="F6" s="417">
        <f>IF('OLD Distrib by purpose'!F6&gt;0.0005=0,,IF('OLD Distrib by purpose'!F6&gt;0.0005,'OLD Distrib by purpose'!F6,"*"))</f>
        <v>1.5599355665420409E-2</v>
      </c>
      <c r="G6" s="417">
        <f>IF('OLD Distrib by purpose'!G6&gt;0.0005=0,,IF('OLD Distrib by purpose'!G6&gt;0.0005,'OLD Distrib by purpose'!G6,"*"))</f>
        <v>7.3483158796325016E-3</v>
      </c>
      <c r="H6" s="417">
        <f>IF('OLD Distrib by purpose'!H6&gt;0.0005=0,,IF('OLD Distrib by purpose'!H6&gt;0.0005,'OLD Distrib by purpose'!H6,"*"))</f>
        <v>2.9711490522196515E-2</v>
      </c>
      <c r="I6" s="417">
        <f>IF('OLD Distrib by purpose'!I6&gt;0.0005=0,,IF('OLD Distrib by purpose'!I6&gt;0.0005,'OLD Distrib by purpose'!I6,"*"))</f>
        <v>1.8104601430803884E-2</v>
      </c>
      <c r="J6" s="417">
        <f>IF('OLD Distrib by purpose'!J6&gt;0.0005=0,,IF('OLD Distrib by purpose'!J6&gt;0.0005,'OLD Distrib by purpose'!J6,"*"))</f>
        <v>3.3145327512910182E-2</v>
      </c>
      <c r="K6" s="417">
        <f>IF('OLD Distrib by purpose'!K6&gt;0.0005=0,,IF('OLD Distrib by purpose'!K6&gt;0.0005,'OLD Distrib by purpose'!K6,"*"))</f>
        <v>3.4561396310275626E-2</v>
      </c>
      <c r="L6" s="417">
        <f>IF('OLD Distrib by purpose'!L6&gt;0.0005=0,,IF('OLD Distrib by purpose'!L6&gt;0.0005,'OLD Distrib by purpose'!L6,"*"))</f>
        <v>1.4408539043152351E-2</v>
      </c>
      <c r="M6" s="417">
        <f>IF('OLD Distrib by purpose'!M6&gt;0.0005=0,,IF('OLD Distrib by purpose'!M6&gt;0.0005,'OLD Distrib by purpose'!M6,"*"))</f>
        <v>5.8109471664340773E-2</v>
      </c>
      <c r="N6" s="417">
        <f>IF('OLD Distrib by purpose'!N6&gt;0.0005=0,,IF('OLD Distrib by purpose'!N6&gt;0.0005,'OLD Distrib by purpose'!N6,"*"))</f>
        <v>1.7754095247479357E-2</v>
      </c>
      <c r="O6" s="417" t="str">
        <f>IF('OLD Distrib by purpose'!O6&gt;0.0005=0,,IF('OLD Distrib by purpose'!O6&gt;0.0005,'OLD Distrib by purpose'!O6,"*"))</f>
        <v>*</v>
      </c>
      <c r="P6" s="417">
        <f>IF('OLD Distrib by purpose'!P6&gt;0.0005=0,,IF('OLD Distrib by purpose'!P6&gt;0.0005,'OLD Distrib by purpose'!P6,"*"))</f>
        <v>3.3485923801706383E-2</v>
      </c>
      <c r="Q6" s="417">
        <f>IF('OLD Distrib by purpose'!Q6&gt;0.0005=0,,IF('OLD Distrib by purpose'!Q6&gt;0.0005,'OLD Distrib by purpose'!Q6,"*"))</f>
        <v>2.4506584274360123E-2</v>
      </c>
      <c r="R6" s="417">
        <f>IF('OLD Distrib by purpose'!R6&gt;0.0005=0,,IF('OLD Distrib by purpose'!R6&gt;0.0005,'OLD Distrib by purpose'!R6,"*"))</f>
        <v>1.5930119507492947E-2</v>
      </c>
      <c r="S6" s="417">
        <f>IF('OLD Distrib by purpose'!S6&gt;0.0005=0,,IF('OLD Distrib by purpose'!S6&gt;0.0005,'OLD Distrib by purpose'!S6,"*"))</f>
        <v>1.8581764303070892E-2</v>
      </c>
      <c r="T6" s="417">
        <f>IF('OLD Distrib by purpose'!T6&gt;0.0005=0,,IF('OLD Distrib by purpose'!T6&gt;0.0005,'OLD Distrib by purpose'!T6,"*"))</f>
        <v>3.6249896851424344E-2</v>
      </c>
    </row>
    <row r="7" spans="1:20" ht="22.5">
      <c r="A7" s="1482"/>
      <c r="B7" s="404" t="s">
        <v>348</v>
      </c>
      <c r="C7" s="403">
        <f>+D6+D5</f>
        <v>0.81910808287400272</v>
      </c>
      <c r="D7" s="428">
        <f>+D6+D5</f>
        <v>0.81910808287400272</v>
      </c>
      <c r="E7" s="429">
        <f t="shared" ref="E7:T7" si="0">+E6+E5</f>
        <v>0.81806896804705398</v>
      </c>
      <c r="F7" s="430">
        <f t="shared" si="0"/>
        <v>0.79661294857735743</v>
      </c>
      <c r="G7" s="430">
        <f t="shared" si="0"/>
        <v>0.97111376791446458</v>
      </c>
      <c r="H7" s="430">
        <f t="shared" si="0"/>
        <v>0.84853137460116512</v>
      </c>
      <c r="I7" s="430">
        <f t="shared" si="0"/>
        <v>0.80143623330187774</v>
      </c>
      <c r="J7" s="430">
        <f t="shared" si="0"/>
        <v>0.84065243790101807</v>
      </c>
      <c r="K7" s="430">
        <f t="shared" si="0"/>
        <v>0.73144137389427588</v>
      </c>
      <c r="L7" s="430">
        <f t="shared" si="0"/>
        <v>0.79516528477292814</v>
      </c>
      <c r="M7" s="430">
        <f t="shared" si="0"/>
        <v>0.84313439182510075</v>
      </c>
      <c r="N7" s="430">
        <f t="shared" si="0"/>
        <v>0.83004358211034646</v>
      </c>
      <c r="O7" s="417">
        <f>O5</f>
        <v>0.8884673507488845</v>
      </c>
      <c r="P7" s="430">
        <f t="shared" si="0"/>
        <v>0.8331647015969621</v>
      </c>
      <c r="Q7" s="430">
        <f t="shared" si="0"/>
        <v>0.76710473969513027</v>
      </c>
      <c r="R7" s="430">
        <f t="shared" si="0"/>
        <v>0.80009453317768786</v>
      </c>
      <c r="S7" s="430">
        <f t="shared" si="0"/>
        <v>0.86988556976999087</v>
      </c>
      <c r="T7" s="430">
        <f t="shared" si="0"/>
        <v>0.74487552948434932</v>
      </c>
    </row>
    <row r="8" spans="1:20" ht="35.25" customHeight="1">
      <c r="A8" s="1482"/>
      <c r="B8" s="393" t="s">
        <v>12</v>
      </c>
      <c r="C8" s="209" t="s">
        <v>273</v>
      </c>
      <c r="D8" s="409">
        <f>IF('OLD Distrib by purpose'!D15&gt;0.0005=0,,IF('OLD Distrib by purpose'!D15&gt;0.0005,'OLD Distrib by purpose'!D15,"*"))</f>
        <v>8.5177689346942649E-3</v>
      </c>
      <c r="E8" s="333">
        <f>IF('OLD Distrib by purpose'!E15&gt;0.0005=0,,IF('OLD Distrib by purpose'!E15&gt;0.0005,'OLD Distrib by purpose'!E15,"*"))</f>
        <v>6.4949530883310902E-3</v>
      </c>
      <c r="F8" s="316">
        <f>IF('OLD Distrib by purpose'!F15&gt;0.0005=0,,IF('OLD Distrib by purpose'!F15&gt;0.0005,'OLD Distrib by purpose'!F15,"*"))</f>
        <v>4.0070561086635675E-2</v>
      </c>
      <c r="G8" s="316" t="str">
        <f>IF('OLD Distrib by purpose'!G15&gt;0.0005=0,,IF('OLD Distrib by purpose'!G15&gt;0.0005,'OLD Distrib by purpose'!G15,"*"))</f>
        <v>*</v>
      </c>
      <c r="H8" s="316">
        <f>IF('OLD Distrib by purpose'!H15&gt;0.0005=0,,IF('OLD Distrib by purpose'!H15&gt;0.0005,'OLD Distrib by purpose'!H15,"*"))</f>
        <v>2.0046963379588239E-3</v>
      </c>
      <c r="I8" s="316">
        <f>IF('OLD Distrib by purpose'!I15&gt;0.0005=0,,IF('OLD Distrib by purpose'!I15&gt;0.0005,'OLD Distrib by purpose'!I15,"*"))</f>
        <v>7.359390148414093E-3</v>
      </c>
      <c r="J8" s="316">
        <f>IF('OLD Distrib by purpose'!J15&gt;0.0005=0,,IF('OLD Distrib by purpose'!J15&gt;0.0005,'OLD Distrib by purpose'!J15,"*"))</f>
        <v>4.5902447769962714E-3</v>
      </c>
      <c r="K8" s="316">
        <f>IF('OLD Distrib by purpose'!K15&gt;0.0005=0,,IF('OLD Distrib by purpose'!K15&gt;0.0005,'OLD Distrib by purpose'!K15,"*"))</f>
        <v>1.7913792404115544E-2</v>
      </c>
      <c r="L8" s="316" t="str">
        <f>IF('OLD Distrib by purpose'!L15&gt;0.0005=0,,IF('OLD Distrib by purpose'!L15&gt;0.0005,'OLD Distrib by purpose'!L15,"*"))</f>
        <v>*</v>
      </c>
      <c r="M8" s="316" t="str">
        <f>IF('OLD Distrib by purpose'!M15&gt;0.0005=0,,IF('OLD Distrib by purpose'!M15&gt;0.0005,'OLD Distrib by purpose'!M15,"*"))</f>
        <v>*</v>
      </c>
      <c r="N8" s="316">
        <f>IF('OLD Distrib by purpose'!N15&gt;0.0005=0,,IF('OLD Distrib by purpose'!N15&gt;0.0005,'OLD Distrib by purpose'!N15,"*"))</f>
        <v>4.1122359401085599E-2</v>
      </c>
      <c r="O8" s="316" t="str">
        <f>IF('OLD Distrib by purpose'!O15&gt;0.0005=0,,IF('OLD Distrib by purpose'!O15&gt;0.0005,'OLD Distrib by purpose'!O15,"*"))</f>
        <v>*</v>
      </c>
      <c r="P8" s="316" t="str">
        <f>IF('OLD Distrib by purpose'!P15&gt;0.0005=0,,IF('OLD Distrib by purpose'!P15&gt;0.0005,'OLD Distrib by purpose'!P15,"*"))</f>
        <v>*</v>
      </c>
      <c r="Q8" s="316" t="str">
        <f>IF('OLD Distrib by purpose'!Q15&gt;0.0005=0,,IF('OLD Distrib by purpose'!Q15&gt;0.0005,'OLD Distrib by purpose'!Q15,"*"))</f>
        <v>*</v>
      </c>
      <c r="R8" s="316">
        <f>IF('OLD Distrib by purpose'!R15&gt;0.0005=0,,IF('OLD Distrib by purpose'!R15&gt;0.0005,'OLD Distrib by purpose'!R15,"*"))</f>
        <v>6.3214523575667548E-3</v>
      </c>
      <c r="S8" s="316">
        <f>IF('OLD Distrib by purpose'!S15&gt;0.0005=0,,IF('OLD Distrib by purpose'!S15&gt;0.0005,'OLD Distrib by purpose'!S15,"*"))</f>
        <v>1.4630788805454584E-3</v>
      </c>
      <c r="T8" s="316">
        <f>IF('OLD Distrib by purpose'!T15&gt;0.0005=0,,IF('OLD Distrib by purpose'!T15&gt;0.0005,'OLD Distrib by purpose'!T15,"*"))</f>
        <v>4.2545891163715101E-3</v>
      </c>
    </row>
    <row r="9" spans="1:20" ht="33" customHeight="1">
      <c r="A9" s="1483"/>
      <c r="B9" s="394" t="s">
        <v>86</v>
      </c>
      <c r="C9" s="210" t="s">
        <v>303</v>
      </c>
      <c r="D9" s="410">
        <f>IF('OLD Distrib by purpose'!D22&gt;0.0005=0,,IF('OLD Distrib by purpose'!D22&gt;0.0005,'OLD Distrib by purpose'!D22,"*"))</f>
        <v>4.434252424583735E-3</v>
      </c>
      <c r="E9" s="319">
        <f>IF('OLD Distrib by purpose'!E22&gt;0.0005=0,,IF('OLD Distrib by purpose'!E22&gt;0.0005,'OLD Distrib by purpose'!E22,"*"))</f>
        <v>1.2274148094586742E-3</v>
      </c>
      <c r="F9" s="320" t="str">
        <f>IF('OLD Distrib by purpose'!F22&gt;0.0005=0,,IF('OLD Distrib by purpose'!F22&gt;0.0005,'OLD Distrib by purpose'!F22,"*"))</f>
        <v>*</v>
      </c>
      <c r="G9" s="320">
        <f>IF('OLD Distrib by purpose'!G22&gt;0.0005=0,,IF('OLD Distrib by purpose'!G22&gt;0.0005,'OLD Distrib by purpose'!G22,"*"))</f>
        <v>2.2556787972101578E-3</v>
      </c>
      <c r="H9" s="320" t="str">
        <f>IF('OLD Distrib by purpose'!H22&gt;0.0005=0,,IF('OLD Distrib by purpose'!H22&gt;0.0005,'OLD Distrib by purpose'!H22,"*"))</f>
        <v>*</v>
      </c>
      <c r="I9" s="320">
        <f>IF('OLD Distrib by purpose'!I22&gt;0.0005=0,,IF('OLD Distrib by purpose'!I22&gt;0.0005,'OLD Distrib by purpose'!I22,"*"))</f>
        <v>1.2888132758141565E-2</v>
      </c>
      <c r="J9" s="320">
        <f>IF('OLD Distrib by purpose'!J22&gt;0.0005=0,,IF('OLD Distrib by purpose'!J22&gt;0.0005,'OLD Distrib by purpose'!J22,"*"))</f>
        <v>1.3102384760111958E-2</v>
      </c>
      <c r="K9" s="320">
        <f>IF('OLD Distrib by purpose'!K22&gt;0.0005=0,,IF('OLD Distrib by purpose'!K22&gt;0.0005,'OLD Distrib by purpose'!K22,"*"))</f>
        <v>4.9963554966927955E-3</v>
      </c>
      <c r="L9" s="320">
        <f>IF('OLD Distrib by purpose'!L22&gt;0.0005=0,,IF('OLD Distrib by purpose'!L22&gt;0.0005,'OLD Distrib by purpose'!L22,"*"))</f>
        <v>1.5137061333553806E-3</v>
      </c>
      <c r="M9" s="320">
        <f>IF('OLD Distrib by purpose'!M22&gt;0.0005=0,,IF('OLD Distrib by purpose'!M22&gt;0.0005,'OLD Distrib by purpose'!M22,"*"))</f>
        <v>3.7066381042662618E-3</v>
      </c>
      <c r="N9" s="320">
        <f>IF('OLD Distrib by purpose'!N22&gt;0.0005=0,,IF('OLD Distrib by purpose'!N22&gt;0.0005,'OLD Distrib by purpose'!N22,"*"))</f>
        <v>2.8457692396895544E-3</v>
      </c>
      <c r="O9" s="320">
        <f>IF('OLD Distrib by purpose'!O22&gt;0.0005=0,,IF('OLD Distrib by purpose'!O22&gt;0.0005,'OLD Distrib by purpose'!O22,"*"))</f>
        <v>7.7618051219211417E-3</v>
      </c>
      <c r="P9" s="320">
        <f>IF('OLD Distrib by purpose'!P22&gt;0.0005=0,,IF('OLD Distrib by purpose'!P22&gt;0.0005,'OLD Distrib by purpose'!P22,"*"))</f>
        <v>1.6361065642659729E-3</v>
      </c>
      <c r="Q9" s="320" t="str">
        <f>IF('OLD Distrib by purpose'!Q22&gt;0.0005=0,,IF('OLD Distrib by purpose'!Q22&gt;0.0005,'OLD Distrib by purpose'!Q22,"*"))</f>
        <v>*</v>
      </c>
      <c r="R9" s="320" t="str">
        <f>IF('OLD Distrib by purpose'!R22&gt;0.0005=0,,IF('OLD Distrib by purpose'!R22&gt;0.0005,'OLD Distrib by purpose'!R22,"*"))</f>
        <v>*</v>
      </c>
      <c r="S9" s="320">
        <f>IF('OLD Distrib by purpose'!S22&gt;0.0005=0,,IF('OLD Distrib by purpose'!S22&gt;0.0005,'OLD Distrib by purpose'!S22,"*"))</f>
        <v>2.0277607263298861E-2</v>
      </c>
      <c r="T9" s="320">
        <f>IF('OLD Distrib by purpose'!T22&gt;0.0005=0,,IF('OLD Distrib by purpose'!T22&gt;0.0005,'OLD Distrib by purpose'!T22,"*"))</f>
        <v>7.4082885758771921E-3</v>
      </c>
    </row>
    <row r="10" spans="1:20" ht="24.75" customHeight="1">
      <c r="A10" s="1481" t="s">
        <v>338</v>
      </c>
      <c r="B10" s="395" t="s">
        <v>120</v>
      </c>
      <c r="C10" s="211" t="s">
        <v>281</v>
      </c>
      <c r="D10" s="411">
        <f>IF('OLD Distrib by purpose'!D26&gt;0.0005=0,,IF('OLD Distrib by purpose'!D26&gt;0.0005,'OLD Distrib by purpose'!D26,"*"))</f>
        <v>7.4878039559843701E-3</v>
      </c>
      <c r="E10" s="317">
        <f>IF('OLD Distrib by purpose'!E26&gt;0.0005=0,,IF('OLD Distrib by purpose'!E26&gt;0.0005,'OLD Distrib by purpose'!E26,"*"))</f>
        <v>2.6301032369231347E-3</v>
      </c>
      <c r="F10" s="26">
        <f>IF('OLD Distrib by purpose'!F26&gt;0.0005=0,,IF('OLD Distrib by purpose'!F26&gt;0.0005,'OLD Distrib by purpose'!F26,"*"))</f>
        <v>5.2683569364613426E-3</v>
      </c>
      <c r="G10" s="26">
        <f>IF('OLD Distrib by purpose'!G26&gt;0.0005=0,,IF('OLD Distrib by purpose'!G26&gt;0.0005,'OLD Distrib by purpose'!G26,"*"))</f>
        <v>1.7020731245246844E-2</v>
      </c>
      <c r="H10" s="26">
        <f>IF('OLD Distrib by purpose'!H26&gt;0.0005=0,,IF('OLD Distrib by purpose'!H26&gt;0.0005,'OLD Distrib by purpose'!H26,"*"))</f>
        <v>9.8612676756943112E-4</v>
      </c>
      <c r="I10" s="26">
        <f>IF('OLD Distrib by purpose'!I26&gt;0.0005=0,,IF('OLD Distrib by purpose'!I26&gt;0.0005,'OLD Distrib by purpose'!I26,"*"))</f>
        <v>5.2640908702345467E-3</v>
      </c>
      <c r="J10" s="26">
        <f>IF('OLD Distrib by purpose'!J26&gt;0.0005=0,,IF('OLD Distrib by purpose'!J26&gt;0.0005,'OLD Distrib by purpose'!J26,"*"))</f>
        <v>1.1420169250207019E-2</v>
      </c>
      <c r="K10" s="26">
        <f>IF('OLD Distrib by purpose'!K26&gt;0.0005=0,,IF('OLD Distrib by purpose'!K26&gt;0.0005,'OLD Distrib by purpose'!K26,"*"))</f>
        <v>3.2865663364130729E-2</v>
      </c>
      <c r="L10" s="26">
        <f>IF('OLD Distrib by purpose'!L26&gt;0.0005=0,,IF('OLD Distrib by purpose'!L26&gt;0.0005,'OLD Distrib by purpose'!L26,"*"))</f>
        <v>4.1515792454336238E-3</v>
      </c>
      <c r="M10" s="26">
        <f>IF('OLD Distrib by purpose'!M26&gt;0.0005=0,,IF('OLD Distrib by purpose'!M26&gt;0.0005,'OLD Distrib by purpose'!M26,"*"))</f>
        <v>4.5376678846964849E-3</v>
      </c>
      <c r="N10" s="26">
        <f>IF('OLD Distrib by purpose'!N26&gt;0.0005=0,,IF('OLD Distrib by purpose'!N26&gt;0.0005,'OLD Distrib by purpose'!N26,"*"))</f>
        <v>8.4014522587849416E-3</v>
      </c>
      <c r="O10" s="26">
        <f>IF('OLD Distrib by purpose'!O26&gt;0.0005=0,,IF('OLD Distrib by purpose'!O26&gt;0.0005,'OLD Distrib by purpose'!O26,"*"))</f>
        <v>5.028187553371026E-3</v>
      </c>
      <c r="P10" s="26">
        <f>IF('OLD Distrib by purpose'!P26&gt;0.0005=0,,IF('OLD Distrib by purpose'!P26&gt;0.0005,'OLD Distrib by purpose'!P26,"*"))</f>
        <v>1.1178859366909493E-2</v>
      </c>
      <c r="Q10" s="26">
        <f>IF('OLD Distrib by purpose'!Q26&gt;0.0005=0,,IF('OLD Distrib by purpose'!Q26&gt;0.0005,'OLD Distrib by purpose'!Q26,"*"))</f>
        <v>6.3035690620819266E-3</v>
      </c>
      <c r="R10" s="26">
        <f>IF('OLD Distrib by purpose'!R26&gt;0.0005=0,,IF('OLD Distrib by purpose'!R26&gt;0.0005,'OLD Distrib by purpose'!R26,"*"))</f>
        <v>9.4181917441015818E-3</v>
      </c>
      <c r="S10" s="26">
        <f>IF('OLD Distrib by purpose'!S26&gt;0.0005=0,,IF('OLD Distrib by purpose'!S26&gt;0.0005,'OLD Distrib by purpose'!S26,"*"))</f>
        <v>7.3073962537106955E-3</v>
      </c>
      <c r="T10" s="26">
        <f>IF('OLD Distrib by purpose'!T26&gt;0.0005=0,,IF('OLD Distrib by purpose'!T26&gt;0.0005,'OLD Distrib by purpose'!T26,"*"))</f>
        <v>5.9074082425051811E-3</v>
      </c>
    </row>
    <row r="11" spans="1:20" ht="39" customHeight="1">
      <c r="A11" s="1482"/>
      <c r="B11" s="396" t="s">
        <v>187</v>
      </c>
      <c r="C11" s="209" t="s">
        <v>286</v>
      </c>
      <c r="D11" s="409">
        <f>IF('OLD Distrib by purpose'!D31&gt;0.0005=0,,IF('OLD Distrib by purpose'!D31&gt;0.0005,'OLD Distrib by purpose'!D31,"*"))</f>
        <v>2.5010617288364805E-3</v>
      </c>
      <c r="E11" s="333">
        <f>IF('OLD Distrib by purpose'!E31&gt;0.0005=0,,IF('OLD Distrib by purpose'!E31&gt;0.0005,'OLD Distrib by purpose'!E31,"*"))</f>
        <v>3.6028637262187418E-3</v>
      </c>
      <c r="F11" s="316" t="str">
        <f>IF('OLD Distrib by purpose'!F31&gt;0.0005=0,,IF('OLD Distrib by purpose'!F31&gt;0.0005,'OLD Distrib by purpose'!F31,"*"))</f>
        <v>*</v>
      </c>
      <c r="G11" s="316" t="str">
        <f>IF('OLD Distrib by purpose'!G31&gt;0.0005=0,,IF('OLD Distrib by purpose'!G31&gt;0.0005,'OLD Distrib by purpose'!G31,"*"))</f>
        <v>*</v>
      </c>
      <c r="H11" s="316">
        <f>IF('OLD Distrib by purpose'!H31&gt;0.0005=0,,IF('OLD Distrib by purpose'!H31&gt;0.0005,'OLD Distrib by purpose'!H31,"*"))</f>
        <v>1.8618540644421324E-3</v>
      </c>
      <c r="I11" s="316">
        <f>IF('OLD Distrib by purpose'!I31&gt;0.0005=0,,IF('OLD Distrib by purpose'!I31&gt;0.0005,'OLD Distrib by purpose'!I31,"*"))</f>
        <v>7.0585680572410265E-3</v>
      </c>
      <c r="J11" s="316" t="str">
        <f>IF('OLD Distrib by purpose'!J31&gt;0.0005=0,,IF('OLD Distrib by purpose'!J31&gt;0.0005,'OLD Distrib by purpose'!J31,"*"))</f>
        <v>*</v>
      </c>
      <c r="K11" s="316" t="str">
        <f>IF('OLD Distrib by purpose'!K31&gt;0.0005=0,,IF('OLD Distrib by purpose'!K31&gt;0.0005,'OLD Distrib by purpose'!K31,"*"))</f>
        <v>*</v>
      </c>
      <c r="L11" s="316">
        <f>IF('OLD Distrib by purpose'!L31&gt;0.0005=0,,IF('OLD Distrib by purpose'!L31&gt;0.0005,'OLD Distrib by purpose'!L31,"*"))</f>
        <v>1.0417319302642841E-2</v>
      </c>
      <c r="M11" s="316" t="str">
        <f>IF('OLD Distrib by purpose'!M31&gt;0.0005=0,,IF('OLD Distrib by purpose'!M31&gt;0.0005,'OLD Distrib by purpose'!M31,"*"))</f>
        <v>*</v>
      </c>
      <c r="N11" s="316" t="str">
        <f>IF('OLD Distrib by purpose'!N31&gt;0.0005=0,,IF('OLD Distrib by purpose'!N31&gt;0.0005,'OLD Distrib by purpose'!N31,"*"))</f>
        <v>*</v>
      </c>
      <c r="O11" s="316" t="str">
        <f>IF('OLD Distrib by purpose'!O31&gt;0.0005=0,,IF('OLD Distrib by purpose'!O31&gt;0.0005,'OLD Distrib by purpose'!O31,"*"))</f>
        <v>*</v>
      </c>
      <c r="P11" s="316">
        <f>IF('OLD Distrib by purpose'!P31&gt;0.0005=0,,IF('OLD Distrib by purpose'!P31&gt;0.0005,'OLD Distrib by purpose'!P31,"*"))</f>
        <v>1.2667385018551485E-3</v>
      </c>
      <c r="Q11" s="316" t="str">
        <f>IF('OLD Distrib by purpose'!Q31&gt;0.0005=0,,IF('OLD Distrib by purpose'!Q31&gt;0.0005,'OLD Distrib by purpose'!Q31,"*"))</f>
        <v>*</v>
      </c>
      <c r="R11" s="316">
        <f>IF('OLD Distrib by purpose'!R31&gt;0.0005=0,,IF('OLD Distrib by purpose'!R31&gt;0.0005,'OLD Distrib by purpose'!R31,"*"))</f>
        <v>3.6836081948751027E-3</v>
      </c>
      <c r="S11" s="316" t="str">
        <f>IF('OLD Distrib by purpose'!S31&gt;0.0005=0,,IF('OLD Distrib by purpose'!S31&gt;0.0005,'OLD Distrib by purpose'!S31,"*"))</f>
        <v>*</v>
      </c>
      <c r="T11" s="316" t="str">
        <f>IF('OLD Distrib by purpose'!T31&gt;0.0005=0,,IF('OLD Distrib by purpose'!T31&gt;0.0005,'OLD Distrib by purpose'!T31,"*"))</f>
        <v>*</v>
      </c>
    </row>
    <row r="12" spans="1:20" ht="25.5" customHeight="1">
      <c r="A12" s="1482"/>
      <c r="B12" s="396" t="s">
        <v>188</v>
      </c>
      <c r="C12" s="209" t="s">
        <v>287</v>
      </c>
      <c r="D12" s="412" t="str">
        <f>IF('OLD Distrib by purpose'!D32&gt;0.0005=0,,IF('OLD Distrib by purpose'!D32&gt;0.0005,'OLD Distrib by purpose'!D32,"*"))</f>
        <v>*</v>
      </c>
      <c r="E12" s="359" t="str">
        <f>IF('OLD Distrib by purpose'!E32&gt;0.0005=0,,IF('OLD Distrib by purpose'!E32&gt;0.0005,'OLD Distrib by purpose'!E32,"*"))</f>
        <v>*</v>
      </c>
      <c r="F12" s="360">
        <f>IF('OLD Distrib by purpose'!F32&gt;0.0005=0,,IF('OLD Distrib by purpose'!F32&gt;0.0005,'OLD Distrib by purpose'!F32,"*"))</f>
        <v>1.6439453479565988E-3</v>
      </c>
      <c r="G12" s="360">
        <f>IF('OLD Distrib by purpose'!G32&gt;0.0005=0,,IF('OLD Distrib by purpose'!G32&gt;0.0005,'OLD Distrib by purpose'!G32,"*"))</f>
        <v>3.4553753253822547E-3</v>
      </c>
      <c r="H12" s="360" t="str">
        <f>IF('OLD Distrib by purpose'!H32&gt;0.0005=0,,IF('OLD Distrib by purpose'!H32&gt;0.0005,'OLD Distrib by purpose'!H32,"*"))</f>
        <v>*</v>
      </c>
      <c r="I12" s="360" t="str">
        <f>IF('OLD Distrib by purpose'!I32&gt;0.0005=0,,IF('OLD Distrib by purpose'!I32&gt;0.0005,'OLD Distrib by purpose'!I32,"*"))</f>
        <v>*</v>
      </c>
      <c r="J12" s="360">
        <f>IF('OLD Distrib by purpose'!J32&gt;0.0005=0,,IF('OLD Distrib by purpose'!J32&gt;0.0005,'OLD Distrib by purpose'!J32,"*"))</f>
        <v>1.5926773928672325E-3</v>
      </c>
      <c r="K12" s="360" t="str">
        <f>IF('OLD Distrib by purpose'!K32&gt;0.0005=0,,IF('OLD Distrib by purpose'!K32&gt;0.0005,'OLD Distrib by purpose'!K32,"*"))</f>
        <v>*</v>
      </c>
      <c r="L12" s="360" t="str">
        <f>IF('OLD Distrib by purpose'!L32&gt;0.0005=0,,IF('OLD Distrib by purpose'!L32&gt;0.0005,'OLD Distrib by purpose'!L32,"*"))</f>
        <v>*</v>
      </c>
      <c r="M12" s="360" t="str">
        <f>IF('OLD Distrib by purpose'!M32&gt;0.0005=0,,IF('OLD Distrib by purpose'!M32&gt;0.0005,'OLD Distrib by purpose'!M32,"*"))</f>
        <v>*</v>
      </c>
      <c r="N12" s="360" t="str">
        <f>IF('OLD Distrib by purpose'!N32&gt;0.0005=0,,IF('OLD Distrib by purpose'!N32&gt;0.0005,'OLD Distrib by purpose'!N32,"*"))</f>
        <v>*</v>
      </c>
      <c r="O12" s="360" t="str">
        <f>IF('OLD Distrib by purpose'!O32&gt;0.0005=0,,IF('OLD Distrib by purpose'!O32&gt;0.0005,'OLD Distrib by purpose'!O32,"*"))</f>
        <v>*</v>
      </c>
      <c r="P12" s="360">
        <f>IF('OLD Distrib by purpose'!P32&gt;0.0005=0,,IF('OLD Distrib by purpose'!P32&gt;0.0005,'OLD Distrib by purpose'!P32,"*"))</f>
        <v>8.8806058760451299E-4</v>
      </c>
      <c r="Q12" s="360">
        <f>IF('OLD Distrib by purpose'!Q32&gt;0.0005=0,,IF('OLD Distrib by purpose'!Q32&gt;0.0005,'OLD Distrib by purpose'!Q32,"*"))</f>
        <v>6.821845700072382E-4</v>
      </c>
      <c r="R12" s="360" t="str">
        <f>IF('OLD Distrib by purpose'!R32&gt;0.0005=0,,IF('OLD Distrib by purpose'!R32&gt;0.0005,'OLD Distrib by purpose'!R32,"*"))</f>
        <v>*</v>
      </c>
      <c r="S12" s="360" t="str">
        <f>IF('OLD Distrib by purpose'!S32&gt;0.0005=0,,IF('OLD Distrib by purpose'!S32&gt;0.0005,'OLD Distrib by purpose'!S32,"*"))</f>
        <v>*</v>
      </c>
      <c r="T12" s="360">
        <f>IF('OLD Distrib by purpose'!T32&gt;0.0005=0,,IF('OLD Distrib by purpose'!T32&gt;0.0005,'OLD Distrib by purpose'!T32,"*"))</f>
        <v>7.3747540031561835E-4</v>
      </c>
    </row>
    <row r="13" spans="1:20" ht="42" customHeight="1">
      <c r="A13" s="1482"/>
      <c r="B13" s="396" t="s">
        <v>259</v>
      </c>
      <c r="C13" s="209" t="s">
        <v>291</v>
      </c>
      <c r="D13" s="409">
        <f>IF('OLD Distrib by purpose'!D36&gt;0.0005=0,,IF('OLD Distrib by purpose'!D36&gt;0.0005,'OLD Distrib by purpose'!D36,"*"))</f>
        <v>6.0937219876340418E-2</v>
      </c>
      <c r="E13" s="333">
        <f>IF('OLD Distrib by purpose'!E36&gt;0.0005=0,,IF('OLD Distrib by purpose'!E36&gt;0.0005,'OLD Distrib by purpose'!E36,"*"))</f>
        <v>1.7064723697002165E-2</v>
      </c>
      <c r="F13" s="316">
        <f>IF('OLD Distrib by purpose'!F36&gt;0.0005=0,,IF('OLD Distrib by purpose'!F36&gt;0.0005,'OLD Distrib by purpose'!F36,"*"))</f>
        <v>7.5681312126752748E-2</v>
      </c>
      <c r="G13" s="316">
        <f>IF('OLD Distrib by purpose'!G36&gt;0.0005=0,,IF('OLD Distrib by purpose'!G36&gt;0.0005,'OLD Distrib by purpose'!G36,"*"))</f>
        <v>5.093242752172376E-3</v>
      </c>
      <c r="H13" s="316">
        <f>IF('OLD Distrib by purpose'!H36&gt;0.0005=0,,IF('OLD Distrib by purpose'!H36&gt;0.0005,'OLD Distrib by purpose'!H36,"*"))</f>
        <v>8.2099639540354721E-2</v>
      </c>
      <c r="I13" s="316">
        <f>IF('OLD Distrib by purpose'!I36&gt;0.0005=0,,IF('OLD Distrib by purpose'!I36&gt;0.0005,'OLD Distrib by purpose'!I36,"*"))</f>
        <v>8.7601795745997108E-2</v>
      </c>
      <c r="J13" s="316">
        <f>IF('OLD Distrib by purpose'!J36&gt;0.0005=0,,IF('OLD Distrib by purpose'!J36&gt;0.0005,'OLD Distrib by purpose'!J36,"*"))</f>
        <v>7.2014055623346104E-2</v>
      </c>
      <c r="K13" s="316">
        <f>IF('OLD Distrib by purpose'!K36&gt;0.0005=0,,IF('OLD Distrib by purpose'!K36&gt;0.0005,'OLD Distrib by purpose'!K36,"*"))</f>
        <v>0.10991531634776408</v>
      </c>
      <c r="L13" s="316">
        <f>IF('OLD Distrib by purpose'!L36&gt;0.0005=0,,IF('OLD Distrib by purpose'!L36&gt;0.0005,'OLD Distrib by purpose'!L36,"*"))</f>
        <v>2.5634782903460308E-2</v>
      </c>
      <c r="M13" s="316">
        <f>IF('OLD Distrib by purpose'!M36&gt;0.0005=0,,IF('OLD Distrib by purpose'!M36&gt;0.0005,'OLD Distrib by purpose'!M36,"*"))</f>
        <v>1.8152348682667508E-2</v>
      </c>
      <c r="N13" s="316">
        <f>IF('OLD Distrib by purpose'!N36&gt;0.0005=0,,IF('OLD Distrib by purpose'!N36&gt;0.0005,'OLD Distrib by purpose'!N36,"*"))</f>
        <v>4.1802969346751165E-2</v>
      </c>
      <c r="O13" s="316">
        <f>IF('OLD Distrib by purpose'!O36&gt;0.0005=0,,IF('OLD Distrib by purpose'!O36&gt;0.0005,'OLD Distrib by purpose'!O36,"*"))</f>
        <v>3.9987486286984252E-2</v>
      </c>
      <c r="P13" s="316">
        <f>IF('OLD Distrib by purpose'!P36&gt;0.0005=0,,IF('OLD Distrib by purpose'!P36&gt;0.0005,'OLD Distrib by purpose'!P36,"*"))</f>
        <v>0.12308647371633473</v>
      </c>
      <c r="Q13" s="316">
        <f>IF('OLD Distrib by purpose'!Q36&gt;0.0005=0,,IF('OLD Distrib by purpose'!Q36&gt;0.0005,'OLD Distrib by purpose'!Q36,"*"))</f>
        <v>0.12399614970617649</v>
      </c>
      <c r="R13" s="316">
        <f>IF('OLD Distrib by purpose'!R36&gt;0.0005=0,,IF('OLD Distrib by purpose'!R36&gt;0.0005,'OLD Distrib by purpose'!R36,"*"))</f>
        <v>4.4215740948188351E-2</v>
      </c>
      <c r="S13" s="316">
        <f>IF('OLD Distrib by purpose'!S36&gt;0.0005=0,,IF('OLD Distrib by purpose'!S36&gt;0.0005,'OLD Distrib by purpose'!S36,"*"))</f>
        <v>5.3921699578527077E-2</v>
      </c>
      <c r="T13" s="316">
        <f>IF('OLD Distrib by purpose'!T36&gt;0.0005=0,,IF('OLD Distrib by purpose'!T36&gt;0.0005,'OLD Distrib by purpose'!T36,"*"))</f>
        <v>7.6826410049087357E-2</v>
      </c>
    </row>
    <row r="14" spans="1:20" ht="36" customHeight="1">
      <c r="A14" s="1484"/>
      <c r="B14" s="393" t="s">
        <v>192</v>
      </c>
      <c r="C14" s="209" t="s">
        <v>280</v>
      </c>
      <c r="D14" s="409">
        <f>IF('OLD Distrib by purpose'!D52&gt;0.0005=0,,IF('OLD Distrib by purpose'!D52&gt;0.0005,'OLD Distrib by purpose'!D52,"*"))</f>
        <v>6.640914498558069E-2</v>
      </c>
      <c r="E14" s="333">
        <f>IF('OLD Distrib by purpose'!E52&gt;0.0005=0,,IF('OLD Distrib by purpose'!E52&gt;0.0005,'OLD Distrib by purpose'!E52,"*"))</f>
        <v>0.1468327263986994</v>
      </c>
      <c r="F14" s="316" t="str">
        <f>IF('OLD Distrib by purpose'!F52&gt;0.0005=0,,IF('OLD Distrib by purpose'!F52&gt;0.0005,'OLD Distrib by purpose'!F52,"*"))</f>
        <v>*</v>
      </c>
      <c r="G14" s="316" t="str">
        <f>IF('OLD Distrib by purpose'!G52&gt;0.0005=0,,IF('OLD Distrib by purpose'!G52&gt;0.0005,'OLD Distrib by purpose'!G52,"*"))</f>
        <v>*</v>
      </c>
      <c r="H14" s="316">
        <f>IF('OLD Distrib by purpose'!H52&gt;0.0005=0,,IF('OLD Distrib by purpose'!H52&gt;0.0005,'OLD Distrib by purpose'!H52,"*"))</f>
        <v>6.3560589182521651E-2</v>
      </c>
      <c r="I14" s="316">
        <f>IF('OLD Distrib by purpose'!I52&gt;0.0005=0,,IF('OLD Distrib by purpose'!I52&gt;0.0005,'OLD Distrib by purpose'!I52,"*"))</f>
        <v>4.9740275852433596E-2</v>
      </c>
      <c r="J14" s="316">
        <f>IF('OLD Distrib by purpose'!J52&gt;0.0005=0,,IF('OLD Distrib by purpose'!J52&gt;0.0005,'OLD Distrib by purpose'!J52,"*"))</f>
        <v>5.6057968460152811E-2</v>
      </c>
      <c r="K14" s="316">
        <f>IF('OLD Distrib by purpose'!K52&gt;0.0005=0,,IF('OLD Distrib by purpose'!K52&gt;0.0005,'OLD Distrib by purpose'!K52,"*"))</f>
        <v>1.4772268825571165E-2</v>
      </c>
      <c r="L14" s="316" t="str">
        <f>IF('OLD Distrib by purpose'!L52&gt;0.0005=0,,IF('OLD Distrib by purpose'!L52&gt;0.0005,'OLD Distrib by purpose'!L52,"*"))</f>
        <v>*</v>
      </c>
      <c r="M14" s="316">
        <f>IF('OLD Distrib by purpose'!M52&gt;0.0005=0,,IF('OLD Distrib by purpose'!M52&gt;0.0005,'OLD Distrib by purpose'!M52,"*"))</f>
        <v>1.4518838088316263E-2</v>
      </c>
      <c r="N14" s="316">
        <f>IF('OLD Distrib by purpose'!N52&gt;0.0005=0,,IF('OLD Distrib by purpose'!N52&gt;0.0005,'OLD Distrib by purpose'!N52,"*"))</f>
        <v>6.773462302704715E-2</v>
      </c>
      <c r="O14" s="316">
        <f>IF('OLD Distrib by purpose'!O52&gt;0.0005=0,,IF('OLD Distrib by purpose'!O52&gt;0.0005,'OLD Distrib by purpose'!O52,"*"))</f>
        <v>5.8755170288839066E-2</v>
      </c>
      <c r="P14" s="316">
        <f>IF('OLD Distrib by purpose'!P52&gt;0.0005=0,,IF('OLD Distrib by purpose'!P52&gt;0.0005,'OLD Distrib by purpose'!P52,"*"))</f>
        <v>4.9203101938696918E-3</v>
      </c>
      <c r="Q14" s="316">
        <f>IF('OLD Distrib by purpose'!Q52&gt;0.0005=0,,IF('OLD Distrib by purpose'!Q52&gt;0.0005,'OLD Distrib by purpose'!Q52,"*"))</f>
        <v>1.847674071610381E-2</v>
      </c>
      <c r="R14" s="316">
        <f>IF('OLD Distrib by purpose'!R52&gt;0.0005=0,,IF('OLD Distrib by purpose'!R52&gt;0.0005,'OLD Distrib by purpose'!R52,"*"))</f>
        <v>0.13626647357758026</v>
      </c>
      <c r="S14" s="316">
        <f>IF('OLD Distrib by purpose'!S52&gt;0.0005=0,,IF('OLD Distrib by purpose'!S52&gt;0.0005,'OLD Distrib by purpose'!S52,"*"))</f>
        <v>3.7384274842859777E-2</v>
      </c>
      <c r="T14" s="316">
        <f>IF('OLD Distrib by purpose'!T52&gt;0.0005=0,,IF('OLD Distrib by purpose'!T52&gt;0.0005,'OLD Distrib by purpose'!T52,"*"))</f>
        <v>0.12611438643008271</v>
      </c>
    </row>
    <row r="15" spans="1:20" ht="37.5" customHeight="1">
      <c r="A15" s="1484"/>
      <c r="B15" s="393" t="s">
        <v>304</v>
      </c>
      <c r="C15" s="209" t="s">
        <v>301</v>
      </c>
      <c r="D15" s="409">
        <f>IF('OLD Distrib by purpose'!D53&gt;0.0005=0,,IF('OLD Distrib by purpose'!D53&gt;0.0005,'OLD Distrib by purpose'!D53,"*"))</f>
        <v>2.0007126535184192E-2</v>
      </c>
      <c r="E15" s="333" t="str">
        <f>IF('OLD Distrib by purpose'!E53&gt;0.0005=0,,IF('OLD Distrib by purpose'!E53&gt;0.0005,'OLD Distrib by purpose'!E53,"*"))</f>
        <v>*</v>
      </c>
      <c r="F15" s="316">
        <f>IF('OLD Distrib by purpose'!F53&gt;0.0005=0,,IF('OLD Distrib by purpose'!F53&gt;0.0005,'OLD Distrib by purpose'!F53,"*"))</f>
        <v>7.9814391974531149E-2</v>
      </c>
      <c r="G15" s="316" t="str">
        <f>IF('OLD Distrib by purpose'!G53&gt;0.0005=0,,IF('OLD Distrib by purpose'!G53&gt;0.0005,'OLD Distrib by purpose'!G53,"*"))</f>
        <v>*</v>
      </c>
      <c r="H15" s="316" t="str">
        <f>IF('OLD Distrib by purpose'!H53&gt;0.0005=0,,IF('OLD Distrib by purpose'!H53&gt;0.0005,'OLD Distrib by purpose'!H53,"*"))</f>
        <v>*</v>
      </c>
      <c r="I15" s="316" t="str">
        <f>IF('OLD Distrib by purpose'!I53&gt;0.0005=0,,IF('OLD Distrib by purpose'!I53&gt;0.0005,'OLD Distrib by purpose'!I53,"*"))</f>
        <v>*</v>
      </c>
      <c r="J15" s="316" t="str">
        <f>IF('OLD Distrib by purpose'!J53&gt;0.0005=0,,IF('OLD Distrib by purpose'!J53&gt;0.0005,'OLD Distrib by purpose'!J53,"*"))</f>
        <v>*</v>
      </c>
      <c r="K15" s="316">
        <f>IF('OLD Distrib by purpose'!K53&gt;0.0005=0,,IF('OLD Distrib by purpose'!K53&gt;0.0005,'OLD Distrib by purpose'!K53,"*"))</f>
        <v>8.7613425889775456E-2</v>
      </c>
      <c r="L15" s="316">
        <f>IF('OLD Distrib by purpose'!L53&gt;0.0005=0,,IF('OLD Distrib by purpose'!L53&gt;0.0005,'OLD Distrib by purpose'!L53,"*"))</f>
        <v>7.906326400997965E-2</v>
      </c>
      <c r="M15" s="316">
        <f>IF('OLD Distrib by purpose'!M53&gt;0.0005=0,,IF('OLD Distrib by purpose'!M53&gt;0.0005,'OLD Distrib by purpose'!M53,"*"))</f>
        <v>0.11375246744686322</v>
      </c>
      <c r="N15" s="316" t="str">
        <f>IF('OLD Distrib by purpose'!N53&gt;0.0005=0,,IF('OLD Distrib by purpose'!N53&gt;0.0005,'OLD Distrib by purpose'!N53,"*"))</f>
        <v>*</v>
      </c>
      <c r="O15" s="316" t="str">
        <f>IF('OLD Distrib by purpose'!O53&gt;0.0005=0,,IF('OLD Distrib by purpose'!O53&gt;0.0005,'OLD Distrib by purpose'!O53,"*"))</f>
        <v>*</v>
      </c>
      <c r="P15" s="316">
        <f>IF('OLD Distrib by purpose'!P53&gt;0.0005=0,,IF('OLD Distrib by purpose'!P53&gt;0.0005,'OLD Distrib by purpose'!P53,"*"))</f>
        <v>2.3520892685337118E-2</v>
      </c>
      <c r="Q15" s="316">
        <f>IF('OLD Distrib by purpose'!Q53&gt;0.0005=0,,IF('OLD Distrib by purpose'!Q53&gt;0.0005,'OLD Distrib by purpose'!Q53,"*"))</f>
        <v>7.9335672624573181E-2</v>
      </c>
      <c r="R15" s="316" t="str">
        <f>IF('OLD Distrib by purpose'!R53&gt;0.0005=0,,IF('OLD Distrib by purpose'!R53&gt;0.0005,'OLD Distrib by purpose'!R53,"*"))</f>
        <v>*</v>
      </c>
      <c r="S15" s="316" t="str">
        <f>IF('OLD Distrib by purpose'!S53&gt;0.0005=0,,IF('OLD Distrib by purpose'!S53&gt;0.0005,'OLD Distrib by purpose'!S53,"*"))</f>
        <v>*</v>
      </c>
      <c r="T15" s="316">
        <f>IF('OLD Distrib by purpose'!T53&gt;0.0005=0,,IF('OLD Distrib by purpose'!T53&gt;0.0005,'OLD Distrib by purpose'!T53,"*"))</f>
        <v>3.3296556823675744E-2</v>
      </c>
    </row>
    <row r="16" spans="1:20" ht="45.75" customHeight="1">
      <c r="A16" s="1483"/>
      <c r="B16" s="397" t="s">
        <v>305</v>
      </c>
      <c r="C16" s="402" t="s">
        <v>302</v>
      </c>
      <c r="D16" s="413">
        <f>IF('OLD Distrib by purpose'!D54&gt;0.0005=0,,IF('OLD Distrib by purpose'!D54&gt;0.0005,'OLD Distrib by purpose'!D54,"*"))</f>
        <v>9.4733173667815498E-3</v>
      </c>
      <c r="E16" s="318">
        <f>IF('OLD Distrib by purpose'!E54&gt;0.0005=0,,IF('OLD Distrib by purpose'!E54&gt;0.0005,'OLD Distrib by purpose'!E54,"*"))</f>
        <v>2.9756237443812239E-3</v>
      </c>
      <c r="F16" s="15" t="str">
        <f>IF('OLD Distrib by purpose'!F54&gt;0.0005=0,,IF('OLD Distrib by purpose'!F54&gt;0.0005,'OLD Distrib by purpose'!F54,"*"))</f>
        <v>*</v>
      </c>
      <c r="G16" s="15" t="str">
        <f>IF('OLD Distrib by purpose'!G54&gt;0.0005=0,,IF('OLD Distrib by purpose'!G54&gt;0.0005,'OLD Distrib by purpose'!G54,"*"))</f>
        <v>*</v>
      </c>
      <c r="H16" s="15" t="str">
        <f>IF('OLD Distrib by purpose'!H54&gt;0.0005=0,,IF('OLD Distrib by purpose'!H54&gt;0.0005,'OLD Distrib by purpose'!H54,"*"))</f>
        <v>*</v>
      </c>
      <c r="I16" s="15">
        <f>IF('OLD Distrib by purpose'!I54&gt;0.0005=0,,IF('OLD Distrib by purpose'!I54&gt;0.0005,'OLD Distrib by purpose'!I54,"*"))</f>
        <v>2.7511127374156071E-2</v>
      </c>
      <c r="J16" s="15" t="str">
        <f>IF('OLD Distrib by purpose'!J54&gt;0.0005=0,,IF('OLD Distrib by purpose'!J54&gt;0.0005,'OLD Distrib by purpose'!J54,"*"))</f>
        <v>*</v>
      </c>
      <c r="K16" s="15" t="str">
        <f>IF('OLD Distrib by purpose'!K54&gt;0.0005=0,,IF('OLD Distrib by purpose'!K54&gt;0.0005,'OLD Distrib by purpose'!K54,"*"))</f>
        <v>*</v>
      </c>
      <c r="L16" s="15">
        <f>IF('OLD Distrib by purpose'!L54&gt;0.0005=0,,IF('OLD Distrib by purpose'!L54&gt;0.0005,'OLD Distrib by purpose'!L54,"*"))</f>
        <v>8.3571324834083804E-2</v>
      </c>
      <c r="M16" s="15" t="str">
        <f>IF('OLD Distrib by purpose'!M54&gt;0.0005=0,,IF('OLD Distrib by purpose'!M54&gt;0.0005,'OLD Distrib by purpose'!M54,"*"))</f>
        <v>*</v>
      </c>
      <c r="N16" s="15">
        <f>IF('OLD Distrib by purpose'!N54&gt;0.0005=0,,IF('OLD Distrib by purpose'!N54&gt;0.0005,'OLD Distrib by purpose'!N54,"*"))</f>
        <v>8.0148626789454652E-3</v>
      </c>
      <c r="O16" s="15" t="str">
        <f>IF('OLD Distrib by purpose'!O54&gt;0.0005=0,,IF('OLD Distrib by purpose'!O54&gt;0.0005,'OLD Distrib by purpose'!O54,"*"))</f>
        <v>*</v>
      </c>
      <c r="P16" s="15" t="str">
        <f>IF('OLD Distrib by purpose'!P54&gt;0.0005=0,,IF('OLD Distrib by purpose'!P54&gt;0.0005,'OLD Distrib by purpose'!P54,"*"))</f>
        <v>*</v>
      </c>
      <c r="Q16" s="15">
        <f>IF('OLD Distrib by purpose'!Q54&gt;0.0005=0,,IF('OLD Distrib by purpose'!Q54&gt;0.0005,'OLD Distrib by purpose'!Q54,"*"))</f>
        <v>3.5015974415301822E-3</v>
      </c>
      <c r="R16" s="15" t="str">
        <f>IF('OLD Distrib by purpose'!R54&gt;0.0005=0,,IF('OLD Distrib by purpose'!R54&gt;0.0005,'OLD Distrib by purpose'!R54,"*"))</f>
        <v>*</v>
      </c>
      <c r="S16" s="15">
        <f>IF('OLD Distrib by purpose'!S54&gt;0.0005=0,,IF('OLD Distrib by purpose'!S54&gt;0.0005,'OLD Distrib by purpose'!S54,"*"))</f>
        <v>8.5313890027715646E-3</v>
      </c>
      <c r="T16" s="15" t="str">
        <f>IF('OLD Distrib by purpose'!T54&gt;0.0005=0,,IF('OLD Distrib by purpose'!T54&gt;0.0005,'OLD Distrib by purpose'!T54,"*"))</f>
        <v>*</v>
      </c>
    </row>
    <row r="17" spans="1:20" s="122" customFormat="1" ht="16.5" customHeight="1">
      <c r="A17" s="73"/>
      <c r="B17" s="322" t="s">
        <v>3</v>
      </c>
      <c r="C17" s="323"/>
      <c r="D17" s="324">
        <f>SUM(D7:D16)</f>
        <v>0.9988757786819884</v>
      </c>
      <c r="E17" s="324">
        <f t="shared" ref="E17:T17" si="1">SUM(E7:E16)</f>
        <v>0.99889737674806833</v>
      </c>
      <c r="F17" s="324">
        <f t="shared" si="1"/>
        <v>0.99909151604969493</v>
      </c>
      <c r="G17" s="324">
        <f t="shared" si="1"/>
        <v>0.99893879603447611</v>
      </c>
      <c r="H17" s="324">
        <f t="shared" si="1"/>
        <v>0.99904428049401195</v>
      </c>
      <c r="I17" s="324">
        <f t="shared" si="1"/>
        <v>0.99885961410849577</v>
      </c>
      <c r="J17" s="324">
        <f t="shared" si="1"/>
        <v>0.99942993816469949</v>
      </c>
      <c r="K17" s="324">
        <f t="shared" si="1"/>
        <v>0.99951819622232563</v>
      </c>
      <c r="L17" s="324">
        <f t="shared" si="1"/>
        <v>0.99951726120188378</v>
      </c>
      <c r="M17" s="324">
        <f t="shared" si="1"/>
        <v>0.99780235203191037</v>
      </c>
      <c r="N17" s="324">
        <f t="shared" si="1"/>
        <v>0.99996561806265039</v>
      </c>
      <c r="O17" s="324">
        <f t="shared" si="1"/>
        <v>0.99999999999999989</v>
      </c>
      <c r="P17" s="324">
        <f t="shared" si="1"/>
        <v>0.99966214321313873</v>
      </c>
      <c r="Q17" s="324">
        <f t="shared" si="1"/>
        <v>0.99940065381560317</v>
      </c>
      <c r="R17" s="324">
        <f t="shared" si="1"/>
        <v>1</v>
      </c>
      <c r="S17" s="324">
        <f t="shared" si="1"/>
        <v>0.99877101559170434</v>
      </c>
      <c r="T17" s="324">
        <f t="shared" si="1"/>
        <v>0.9994206441222645</v>
      </c>
    </row>
    <row r="18" spans="1:20" ht="39.75" customHeight="1">
      <c r="A18" s="1478" t="s">
        <v>339</v>
      </c>
      <c r="B18" s="1479"/>
      <c r="C18" s="1479"/>
      <c r="D18" s="1479"/>
      <c r="E18" s="1479"/>
      <c r="F18" s="1479"/>
      <c r="G18" s="1479"/>
      <c r="H18" s="1479"/>
      <c r="I18" s="1479"/>
      <c r="J18" s="1479"/>
      <c r="K18" s="1479"/>
      <c r="L18" s="1479"/>
      <c r="M18" s="1479"/>
      <c r="N18" s="1479"/>
      <c r="O18" s="1479"/>
      <c r="P18" s="1479"/>
      <c r="Q18" s="1479"/>
      <c r="R18" s="1479"/>
      <c r="S18" s="1479"/>
      <c r="T18" s="1479"/>
    </row>
    <row r="19" spans="1:20" ht="14.25" customHeight="1">
      <c r="A19" s="70" t="s">
        <v>83</v>
      </c>
      <c r="B19" s="71"/>
      <c r="C19" s="71"/>
      <c r="D19" s="71"/>
      <c r="E19" s="71"/>
      <c r="F19" s="71"/>
      <c r="G19" s="71"/>
      <c r="H19" s="71"/>
      <c r="I19" s="71"/>
      <c r="J19" s="71"/>
      <c r="K19" s="184"/>
      <c r="L19" s="184"/>
      <c r="M19" s="185"/>
      <c r="N19" s="71"/>
      <c r="O19" s="71"/>
      <c r="P19" s="71"/>
      <c r="Q19" s="71"/>
      <c r="R19" s="71"/>
      <c r="S19" s="71"/>
      <c r="T19" s="72"/>
    </row>
    <row r="20" spans="1:20" ht="15" customHeight="1">
      <c r="A20" s="70" t="s">
        <v>232</v>
      </c>
      <c r="B20" s="71"/>
      <c r="C20" s="71"/>
      <c r="D20" s="71"/>
      <c r="E20" s="71"/>
      <c r="F20" s="71"/>
      <c r="G20" s="71"/>
      <c r="H20" s="71"/>
      <c r="I20" s="71"/>
      <c r="J20" s="71"/>
      <c r="K20" s="184"/>
      <c r="L20" s="184"/>
      <c r="M20" s="185"/>
      <c r="N20" s="71"/>
      <c r="O20" s="71"/>
      <c r="P20" s="71"/>
      <c r="Q20" s="71"/>
      <c r="R20" s="71"/>
      <c r="S20" s="71"/>
      <c r="T20" s="72"/>
    </row>
    <row r="21" spans="1:20" ht="12" customHeight="1">
      <c r="A21" s="72" t="s">
        <v>0</v>
      </c>
      <c r="B21" s="71"/>
      <c r="C21" s="71"/>
      <c r="D21" s="71"/>
      <c r="E21" s="71"/>
      <c r="F21" s="71"/>
      <c r="G21" s="71"/>
      <c r="H21" s="71"/>
      <c r="I21" s="71"/>
      <c r="J21" s="71"/>
      <c r="K21" s="184"/>
      <c r="L21" s="184"/>
      <c r="M21" s="185"/>
      <c r="N21" s="71"/>
      <c r="O21" s="71"/>
      <c r="P21" s="71"/>
      <c r="Q21" s="71"/>
      <c r="R21" s="71"/>
      <c r="S21" s="71"/>
      <c r="T21" s="72"/>
    </row>
    <row r="22" spans="1:20">
      <c r="T22" s="534" t="s">
        <v>1927</v>
      </c>
    </row>
    <row r="24" spans="1:20">
      <c r="H24" s="220"/>
    </row>
  </sheetData>
  <mergeCells count="5">
    <mergeCell ref="A2:T2"/>
    <mergeCell ref="A3:T3"/>
    <mergeCell ref="A5:A9"/>
    <mergeCell ref="A10:A16"/>
    <mergeCell ref="A18:T18"/>
  </mergeCells>
  <printOptions horizontalCentered="1"/>
  <pageMargins left="0.5513541666666667" right="0.3" top="0.75" bottom="0.5" header="0.75" footer="0.5"/>
  <pageSetup scale="84" firstPageNumber="113" orientation="landscape" useFirstPageNumber="1" r:id="rId1"/>
  <headerFooter alignWithMargins="0">
    <oddHeader>&amp;R&amp;"Arial,Regular"&amp;8SREB-State Data Exchange</oddHeader>
    <oddFooter>&amp;C&amp;"Arial,Regular"C-&amp;P</oddFooter>
  </headerFooter>
  <ignoredErrors>
    <ignoredError sqref="O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AX65"/>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sheetView>
  </sheetViews>
  <sheetFormatPr defaultColWidth="8.875" defaultRowHeight="12.75"/>
  <cols>
    <col min="1" max="1" width="10" style="7" customWidth="1"/>
    <col min="2" max="2" width="29.625" style="61" customWidth="1"/>
    <col min="3" max="3" width="10.875" style="312" hidden="1" customWidth="1"/>
    <col min="4" max="4" width="5.875" style="18" customWidth="1"/>
    <col min="5" max="5" width="5.875" style="6" customWidth="1"/>
    <col min="6" max="6" width="6.125" style="6" customWidth="1"/>
    <col min="7" max="7" width="7.5" style="6" customWidth="1"/>
    <col min="8" max="8" width="5.875" style="46" customWidth="1"/>
    <col min="9" max="14" width="5.875" style="6" customWidth="1"/>
    <col min="15" max="15" width="6.375" style="6" customWidth="1"/>
    <col min="16" max="16" width="6.75" style="6" customWidth="1"/>
    <col min="17" max="17" width="6.25" style="6" customWidth="1"/>
    <col min="18" max="19" width="5.875" style="6" customWidth="1"/>
    <col min="20" max="20" width="5.875" style="7" customWidth="1"/>
    <col min="21" max="16384" width="8.875" style="6"/>
  </cols>
  <sheetData>
    <row r="1" spans="1:50" s="61" customFormat="1" ht="18">
      <c r="A1" s="135" t="s">
        <v>356</v>
      </c>
      <c r="B1" s="123"/>
      <c r="C1" s="308"/>
      <c r="D1" s="123"/>
      <c r="E1" s="123"/>
      <c r="F1" s="123"/>
      <c r="G1" s="123"/>
      <c r="H1" s="136"/>
      <c r="I1" s="123"/>
      <c r="J1" s="123"/>
      <c r="K1" s="123"/>
      <c r="L1" s="123"/>
      <c r="M1" s="123"/>
      <c r="N1" s="123"/>
      <c r="O1" s="123"/>
      <c r="P1" s="123"/>
      <c r="Q1" s="123"/>
      <c r="R1" s="123"/>
      <c r="S1" s="123"/>
      <c r="T1" s="101"/>
    </row>
    <row r="2" spans="1:50" s="61" customFormat="1" ht="18">
      <c r="A2" s="135"/>
      <c r="B2" s="123"/>
      <c r="C2" s="308"/>
      <c r="D2" s="123"/>
      <c r="E2" s="123"/>
      <c r="F2" s="123"/>
      <c r="G2" s="123"/>
      <c r="H2" s="136"/>
      <c r="I2" s="123"/>
      <c r="J2" s="123"/>
      <c r="K2" s="123"/>
      <c r="L2" s="123"/>
      <c r="M2" s="123"/>
      <c r="N2" s="123"/>
      <c r="O2" s="123"/>
      <c r="P2" s="123"/>
      <c r="Q2" s="123"/>
      <c r="R2" s="123"/>
      <c r="S2" s="123"/>
      <c r="T2" s="101"/>
    </row>
    <row r="3" spans="1:50" s="139" customFormat="1" ht="18.75">
      <c r="A3" s="137" t="s">
        <v>25</v>
      </c>
      <c r="B3" s="124"/>
      <c r="C3" s="309"/>
      <c r="D3" s="315"/>
      <c r="E3" s="138"/>
      <c r="F3" s="138"/>
      <c r="G3" s="138"/>
      <c r="H3" s="101"/>
      <c r="I3" s="138"/>
      <c r="J3" s="138"/>
      <c r="K3" s="101"/>
      <c r="L3" s="101"/>
      <c r="M3" s="101"/>
      <c r="N3" s="138"/>
      <c r="O3" s="138"/>
      <c r="P3" s="138"/>
      <c r="Q3" s="138"/>
      <c r="R3" s="138"/>
      <c r="S3" s="138"/>
      <c r="T3" s="101"/>
    </row>
    <row r="4" spans="1:50" s="139" customFormat="1" ht="15.75">
      <c r="A4" s="137" t="s">
        <v>1924</v>
      </c>
      <c r="B4" s="124"/>
      <c r="C4" s="309"/>
      <c r="D4" s="313"/>
      <c r="E4" s="138"/>
      <c r="F4" s="138"/>
      <c r="G4" s="138"/>
      <c r="H4" s="101"/>
      <c r="I4" s="138"/>
      <c r="J4" s="138"/>
      <c r="K4" s="101"/>
      <c r="L4" s="101"/>
      <c r="M4" s="101"/>
      <c r="N4" s="138"/>
      <c r="O4" s="138"/>
      <c r="P4" s="138"/>
      <c r="Q4" s="138"/>
      <c r="R4" s="138"/>
      <c r="S4" s="138"/>
      <c r="T4" s="101"/>
    </row>
    <row r="5" spans="1:50" s="139" customFormat="1" ht="15.75">
      <c r="A5" s="137"/>
      <c r="B5" s="124"/>
      <c r="C5" s="309"/>
      <c r="D5" s="313"/>
      <c r="E5" s="138"/>
      <c r="F5" s="138"/>
      <c r="G5" s="138"/>
      <c r="H5" s="101"/>
      <c r="I5" s="138"/>
      <c r="J5" s="138"/>
      <c r="K5" s="101"/>
      <c r="L5" s="101"/>
      <c r="M5" s="101"/>
      <c r="N5" s="138"/>
      <c r="O5" s="138"/>
      <c r="P5" s="138"/>
      <c r="Q5" s="138"/>
      <c r="R5" s="138"/>
      <c r="S5" s="138"/>
      <c r="T5" s="101"/>
    </row>
    <row r="6" spans="1:50" s="84" customFormat="1" ht="12.75" customHeight="1">
      <c r="A6" s="80"/>
      <c r="B6" s="125"/>
      <c r="C6" s="310" t="s">
        <v>263</v>
      </c>
      <c r="D6" s="515" t="s">
        <v>393</v>
      </c>
      <c r="E6" s="516" t="s">
        <v>142</v>
      </c>
      <c r="F6" s="517" t="s">
        <v>143</v>
      </c>
      <c r="G6" s="517" t="s">
        <v>148</v>
      </c>
      <c r="H6" s="517" t="s">
        <v>149</v>
      </c>
      <c r="I6" s="517" t="s">
        <v>144</v>
      </c>
      <c r="J6" s="518" t="s">
        <v>150</v>
      </c>
      <c r="K6" s="518" t="s">
        <v>145</v>
      </c>
      <c r="L6" s="518" t="s">
        <v>151</v>
      </c>
      <c r="M6" s="518" t="s">
        <v>152</v>
      </c>
      <c r="N6" s="518" t="s">
        <v>153</v>
      </c>
      <c r="O6" s="518" t="s">
        <v>154</v>
      </c>
      <c r="P6" s="518" t="s">
        <v>146</v>
      </c>
      <c r="Q6" s="518" t="s">
        <v>155</v>
      </c>
      <c r="R6" s="518" t="s">
        <v>147</v>
      </c>
      <c r="S6" s="518" t="s">
        <v>156</v>
      </c>
      <c r="T6" s="518" t="s">
        <v>157</v>
      </c>
    </row>
    <row r="7" spans="1:50" ht="27">
      <c r="A7" s="1485" t="s">
        <v>337</v>
      </c>
      <c r="B7" s="361" t="s">
        <v>341</v>
      </c>
      <c r="C7" s="369" t="s">
        <v>264</v>
      </c>
      <c r="D7" s="363">
        <f>IF(GETPIVOTDATA("Total-New",'Distrib pivot table'!$C$2,"group","1A")/GETPIVOTDATA("Total-New",'Distrib pivot table'!$C$2)=0,,IF(GETPIVOTDATA("Total-New",'Distrib pivot table'!$C$2,"group","1A")/GETPIVOTDATA("Total-New",'Distrib pivot table'!$C$2)&gt;0.0005,GETPIVOTDATA("Total-New",'Distrib pivot table'!$C$2,"group","1A")/GETPIVOTDATA("Total-New",'Distrib pivot table'!$C$2),"*"))</f>
        <v>0.79763326290099079</v>
      </c>
      <c r="E7" s="364">
        <f>IF((GETPIVOTDATA("Total-New",'Distrib pivot table'!$C$2,"state","AL","group","1A")/GETPIVOTDATA("Total-New",'Distrib pivot table'!$C$2,"state","AL"))=0,,IF(GETPIVOTDATA("Total-New",'Distrib pivot table'!$C$2,"state","AL","group","1A")/GETPIVOTDATA("Total-New",'Distrib pivot table'!$C$2,"state","AL")&gt;0.0005,GETPIVOTDATA("Total-New",'Distrib pivot table'!$C$2,"state","AL","group","1A")/GETPIVOTDATA("Total-New",'Distrib pivot table'!$C$2,"state","AL"),"*"))</f>
        <v>0.78619868269045279</v>
      </c>
      <c r="F7" s="364">
        <f>IF((GETPIVOTDATA("Total-New",'Distrib pivot table'!$C$2,"state","AR","group","1A")/GETPIVOTDATA("Total-New",'Distrib pivot table'!$C$2,"state","AR"))=0,,IF(GETPIVOTDATA("Total-New",'Distrib pivot table'!$C$2,"state","AR","group","1A")/GETPIVOTDATA("Total-New",'Distrib pivot table'!$C$2,"state","AR")&gt;0.0005,GETPIVOTDATA("Total-New",'Distrib pivot table'!$C$2,"state","AR","group","1A")/GETPIVOTDATA("Total-New",'Distrib pivot table'!$C$2,"state","AR"),"*"))</f>
        <v>0.78113460460830886</v>
      </c>
      <c r="G7" s="364">
        <f>IF((GETPIVOTDATA("Total-New",'Distrib pivot table'!$C$2,"state","DE","group","1A")/GETPIVOTDATA("Total-New",'Distrib pivot table'!$C$2,"state","DE"))=0,,IF(GETPIVOTDATA("Total-New",'Distrib pivot table'!$C$2,"state","DE","group","1A")/GETPIVOTDATA("Total-New",'Distrib pivot table'!$C$2,"state","DE")&gt;0.0005,GETPIVOTDATA("Total-New",'Distrib pivot table'!$C$2,"state","DE","group","1A")/GETPIVOTDATA("Total-New",'Distrib pivot table'!$C$2,"state","DE"),"*"))</f>
        <v>0.96662218933096022</v>
      </c>
      <c r="H7" s="364">
        <f>IF((GETPIVOTDATA("Total-New",'Distrib pivot table'!$C$2,"state","FL","group","1A")/GETPIVOTDATA("Total-New",'Distrib pivot table'!$C$2,"state","FL"))=0,,IF(GETPIVOTDATA("Total-New",'Distrib pivot table'!$C$2,"state","FL","group","1A")/GETPIVOTDATA("Total-New",'Distrib pivot table'!$C$2,"state","FL")&gt;0.0005,GETPIVOTDATA("Total-New",'Distrib pivot table'!$C$2,"state","FL","group","1A")/GETPIVOTDATA("Total-New",'Distrib pivot table'!$C$2,"state","FL"),"*"))</f>
        <v>0.81563821391706337</v>
      </c>
      <c r="I7" s="364">
        <f>IF((GETPIVOTDATA("Total-New",'Distrib pivot table'!$C$2,"state","GA","group","1A")/GETPIVOTDATA("Total-New",'Distrib pivot table'!$C$2,"state","GA"))=0,,IF(GETPIVOTDATA("Total-New",'Distrib pivot table'!$C$2,"state","GA","group","1A")/GETPIVOTDATA("Total-New",'Distrib pivot table'!$C$2,"state","GA")&gt;0.0005,GETPIVOTDATA("Total-New",'Distrib pivot table'!$C$2,"state","GA","group","1A")/GETPIVOTDATA("Total-New",'Distrib pivot table'!$C$2,"state","GA"),"*"))</f>
        <v>0.77465772450958248</v>
      </c>
      <c r="J7" s="364">
        <f>IF((GETPIVOTDATA("Total-New",'Distrib pivot table'!$C$2,"state","KY","group","1A")/GETPIVOTDATA("Total-New",'Distrib pivot table'!$C$2,"state","KY"))=0,,IF(GETPIVOTDATA("Total-New",'Distrib pivot table'!$C$2,"state","KY","group","1A")/GETPIVOTDATA("Total-New",'Distrib pivot table'!$C$2,"state","KY")&gt;0.0005,GETPIVOTDATA("Total-New",'Distrib pivot table'!$C$2,"state","KY","group","1A")/GETPIVOTDATA("Total-New",'Distrib pivot table'!$C$2,"state","KY"),"*"))</f>
        <v>0.81340568416753878</v>
      </c>
      <c r="K7" s="364">
        <f>IF((GETPIVOTDATA("Total-New",'Distrib pivot table'!$C$2,"state","LA","group","1A")/GETPIVOTDATA("Total-New",'Distrib pivot table'!$C$2,"state","LA"))=0,,IF(GETPIVOTDATA("Total-New",'Distrib pivot table'!$C$2,"state","LA","group","1A")/GETPIVOTDATA("Total-New",'Distrib pivot table'!$C$2,"state","LA")&gt;0.0005,GETPIVOTDATA("Total-New",'Distrib pivot table'!$C$2,"state","LA","group","1A")/GETPIVOTDATA("Total-New",'Distrib pivot table'!$C$2,"state","LA"),"*"))</f>
        <v>0.70245426591600868</v>
      </c>
      <c r="L7" s="364">
        <f>IF((GETPIVOTDATA("Total-New",'Distrib pivot table'!$C$2,"state","MD","group","1A")/GETPIVOTDATA("Total-New",'Distrib pivot table'!$C$2,"state","MD"))=0,,IF(GETPIVOTDATA("Total-New",'Distrib pivot table'!$C$2,"state","MD","group","1A")/GETPIVOTDATA("Total-New",'Distrib pivot table'!$C$2,"state","MD")&gt;0.0005,GETPIVOTDATA("Total-New",'Distrib pivot table'!$C$2,"state","MD","group","1A")/GETPIVOTDATA("Total-New",'Distrib pivot table'!$C$2,"state","MD"),"*"))</f>
        <v>0.77282119816683947</v>
      </c>
      <c r="M7" s="364">
        <f>IF((GETPIVOTDATA("Total-New",'Distrib pivot table'!$C$2,"state","MS","group","1A")/GETPIVOTDATA("Total-New",'Distrib pivot table'!$C$2,"state","MS"))=0,,IF(GETPIVOTDATA("Total-New",'Distrib pivot table'!$C$2,"state","MS","group","1A")/GETPIVOTDATA("Total-New",'Distrib pivot table'!$C$2,"state","MS")&gt;0.0005,GETPIVOTDATA("Total-New",'Distrib pivot table'!$C$2,"state","MS","group","1A")/GETPIVOTDATA("Total-New",'Distrib pivot table'!$C$2,"state","MS"),"*"))</f>
        <v>0.78855514761196577</v>
      </c>
      <c r="N7" s="364">
        <f>IF((GETPIVOTDATA("Total-New",'Distrib pivot table'!$C$2,"state","NC","group","1A")/GETPIVOTDATA("Total-New",'Distrib pivot table'!$C$2,"state","NC"))=0,,IF(GETPIVOTDATA("Total-New",'Distrib pivot table'!$C$2,"state","NC","group","1A")/GETPIVOTDATA("Total-New",'Distrib pivot table'!$C$2,"state","NC")&gt;0.0005,GETPIVOTDATA("Total-New",'Distrib pivot table'!$C$2,"state","NC","group","1A")/GETPIVOTDATA("Total-New",'Distrib pivot table'!$C$2,"state","NC"),"*"))</f>
        <v>0.81000640386495004</v>
      </c>
      <c r="O7" s="364">
        <f>IF((GETPIVOTDATA("Total-New",'Distrib pivot table'!$C$2,"state","OK","group","1A")/GETPIVOTDATA("Total-New",'Distrib pivot table'!$C$2,"state","OK"))=0,,IF(GETPIVOTDATA("Total-New",'Distrib pivot table'!$C$2,"state","OK","group","1A")/GETPIVOTDATA("Total-New",'Distrib pivot table'!$C$2,"state","OK")&gt;0.0005,GETPIVOTDATA("Total-New",'Distrib pivot table'!$C$2,"state","OK","group","1A")/GETPIVOTDATA("Total-New",'Distrib pivot table'!$C$2,"state","OK"),"*"))</f>
        <v>0.89125785903553634</v>
      </c>
      <c r="P7" s="364">
        <f>IF((GETPIVOTDATA("Total-New",'Distrib pivot table'!$C$2,"state","SC","group","1A")/GETPIVOTDATA("Total-New",'Distrib pivot table'!$C$2,"state","SC"))=0,,IF(GETPIVOTDATA("Total-New",'Distrib pivot table'!$C$2,"state","SC","group","1A")/GETPIVOTDATA("Total-New",'Distrib pivot table'!$C$2,"state","SC")&gt;0.0005,GETPIVOTDATA("Total-New",'Distrib pivot table'!$C$2,"state","SC","group","1A")/GETPIVOTDATA("Total-New",'Distrib pivot table'!$C$2,"state","SC"),"*"))</f>
        <v>0.79482376937798538</v>
      </c>
      <c r="Q7" s="364">
        <f>IF((GETPIVOTDATA("Total-New",'Distrib pivot table'!$C$2,"state","TN","group","1A")/GETPIVOTDATA("Total-New",'Distrib pivot table'!$C$2,"state","TN"))=0,,IF(GETPIVOTDATA("Total-New",'Distrib pivot table'!$C$2,"state","TN","group","1A")/GETPIVOTDATA("Total-New",'Distrib pivot table'!$C$2,"state","TN")&gt;0.0005,GETPIVOTDATA("Total-New",'Distrib pivot table'!$C$2,"state","TN","group","1A")/GETPIVOTDATA("Total-New",'Distrib pivot table'!$C$2,"state","TN"),"*"))</f>
        <v>0.74452694811033526</v>
      </c>
      <c r="R7" s="364">
        <f>IF((GETPIVOTDATA("Total-New",'Distrib pivot table'!$C$2,"state","TX","group","1A")/GETPIVOTDATA("Total-New",'Distrib pivot table'!$C$2,"state","TX"))=0,,IF(GETPIVOTDATA("Total-New",'Distrib pivot table'!$C$2,"state","TX","group","1A")/GETPIVOTDATA("Total-New",'Distrib pivot table'!$C$2,"state","TX")&gt;0.0005,GETPIVOTDATA("Total-New",'Distrib pivot table'!$C$2,"state","TX","group","1A")/GETPIVOTDATA("Total-New",'Distrib pivot table'!$C$2,"state","TX"),"*"))</f>
        <v>0.79211562461740337</v>
      </c>
      <c r="S7" s="364">
        <f>IF((GETPIVOTDATA("Total-New",'Distrib pivot table'!$C$2,"state","VA","group","1A")/GETPIVOTDATA("Total-New",'Distrib pivot table'!$C$2,"state","VA"))=0,,IF(GETPIVOTDATA("Total-New",'Distrib pivot table'!$C$2,"state","VA","group","1A")/GETPIVOTDATA("Total-New",'Distrib pivot table'!$C$2,"state","VA")&gt;0.0005,GETPIVOTDATA("Total-New",'Distrib pivot table'!$C$2,"state","VA","group","1A")/GETPIVOTDATA("Total-New",'Distrib pivot table'!$C$2,"state","VA"),"*"))</f>
        <v>0.85722288868232999</v>
      </c>
      <c r="T7" s="365">
        <f>IF((GETPIVOTDATA("Total-New",'Distrib pivot table'!$C$2,"state","WV","group","1A")/GETPIVOTDATA("Total-New",'Distrib pivot table'!$C$2,"state","WV"))=0,,IF(GETPIVOTDATA("Total-New",'Distrib pivot table'!$C$2,"state","WV","group","1A")/GETPIVOTDATA("Total-New",'Distrib pivot table'!$C$2,"state","WV")&gt;0.0005,GETPIVOTDATA("Total-New",'Distrib pivot table'!$C$2,"state","WV","group","1A")/GETPIVOTDATA("Total-New",'Distrib pivot table'!$C$2,"state","WV"),"*"))</f>
        <v>0.71573160431308014</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s="45" customFormat="1" ht="27">
      <c r="A8" s="1486"/>
      <c r="B8" s="361" t="s">
        <v>342</v>
      </c>
      <c r="C8" s="370" t="s">
        <v>265</v>
      </c>
      <c r="D8" s="366">
        <f>SUM(D10:D16)</f>
        <v>2.2637185577558509E-2</v>
      </c>
      <c r="E8" s="366">
        <f>SUM(E10:E16)</f>
        <v>3.0319907276065913E-2</v>
      </c>
      <c r="F8" s="366">
        <f>SUM(F10:F16)</f>
        <v>1.6426900163631176E-2</v>
      </c>
      <c r="G8" s="366">
        <f t="shared" ref="G8:T8" si="0">SUM(G10:G16)</f>
        <v>7.2552127405602395E-3</v>
      </c>
      <c r="H8" s="366">
        <f t="shared" si="0"/>
        <v>3.1480929256140974E-2</v>
      </c>
      <c r="I8" s="366">
        <f t="shared" si="0"/>
        <v>1.8065775408192847E-2</v>
      </c>
      <c r="J8" s="366">
        <f t="shared" si="0"/>
        <v>3.3917289205920707E-2</v>
      </c>
      <c r="K8" s="366">
        <f t="shared" si="0"/>
        <v>3.2413403802064339E-2</v>
      </c>
      <c r="L8" s="366">
        <f t="shared" si="0"/>
        <v>1.4980016476389003E-2</v>
      </c>
      <c r="M8" s="366">
        <f t="shared" si="0"/>
        <v>5.7317470837086132E-2</v>
      </c>
      <c r="N8" s="366">
        <f t="shared" si="0"/>
        <v>1.7404606880696706E-2</v>
      </c>
      <c r="O8" s="366">
        <f t="shared" si="0"/>
        <v>0</v>
      </c>
      <c r="P8" s="366">
        <f t="shared" si="0"/>
        <v>3.3564623659615656E-2</v>
      </c>
      <c r="Q8" s="366">
        <f t="shared" si="0"/>
        <v>2.4225648442963946E-2</v>
      </c>
      <c r="R8" s="366">
        <f t="shared" si="0"/>
        <v>1.6182104115588243E-2</v>
      </c>
      <c r="S8" s="366">
        <f t="shared" si="0"/>
        <v>1.8542338407110122E-2</v>
      </c>
      <c r="T8" s="367">
        <f t="shared" si="0"/>
        <v>3.6489050984329252E-2</v>
      </c>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0" s="45" customFormat="1" ht="25.5">
      <c r="A9" s="1486"/>
      <c r="B9" s="377" t="s">
        <v>348</v>
      </c>
      <c r="C9" s="370"/>
      <c r="D9" s="366">
        <f>+D8+D7</f>
        <v>0.82027044847854935</v>
      </c>
      <c r="E9" s="366">
        <f t="shared" ref="E9:T9" si="1">+E8+E7</f>
        <v>0.81651858996651872</v>
      </c>
      <c r="F9" s="366">
        <f t="shared" si="1"/>
        <v>0.79756150477193999</v>
      </c>
      <c r="G9" s="366">
        <f t="shared" si="1"/>
        <v>0.97387740207152051</v>
      </c>
      <c r="H9" s="366">
        <f t="shared" si="1"/>
        <v>0.84711914317320436</v>
      </c>
      <c r="I9" s="366">
        <f t="shared" si="1"/>
        <v>0.79272349991777535</v>
      </c>
      <c r="J9" s="366">
        <f t="shared" si="1"/>
        <v>0.84732297337345952</v>
      </c>
      <c r="K9" s="366">
        <f t="shared" si="1"/>
        <v>0.73486766971807305</v>
      </c>
      <c r="L9" s="366">
        <f t="shared" si="1"/>
        <v>0.7878012146432285</v>
      </c>
      <c r="M9" s="366">
        <f t="shared" si="1"/>
        <v>0.84587261844905193</v>
      </c>
      <c r="N9" s="366">
        <f t="shared" si="1"/>
        <v>0.82741101074564671</v>
      </c>
      <c r="O9" s="366">
        <f t="shared" si="1"/>
        <v>0.89125785903553634</v>
      </c>
      <c r="P9" s="366">
        <f t="shared" si="1"/>
        <v>0.82838839303760103</v>
      </c>
      <c r="Q9" s="366">
        <f t="shared" si="1"/>
        <v>0.76875259655329919</v>
      </c>
      <c r="R9" s="366">
        <f t="shared" si="1"/>
        <v>0.80829772873299166</v>
      </c>
      <c r="S9" s="366">
        <f t="shared" si="1"/>
        <v>0.87576522708944016</v>
      </c>
      <c r="T9" s="367">
        <f t="shared" si="1"/>
        <v>0.75222065529740934</v>
      </c>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row>
    <row r="10" spans="1:50" ht="12.6" customHeight="1">
      <c r="A10" s="1486"/>
      <c r="B10" s="127" t="s">
        <v>319</v>
      </c>
      <c r="C10" s="371" t="s">
        <v>266</v>
      </c>
      <c r="D10" s="418">
        <f>IF(GETPIVOTDATA("Total-New",'Distrib pivot table'!$C$2,"group","1b1")/GETPIVOTDATA("Total-New",'Distrib pivot table'!$C$2)=0,,IF(GETPIVOTDATA("Total-New",'Distrib pivot table'!$C$2,"group","1b1")/GETPIVOTDATA("Total-New",'Distrib pivot table'!$C$2)&gt;0.0005,GETPIVOTDATA("Total-New",'Distrib pivot table'!$C$2,"group","1b1")/GETPIVOTDATA("Total-New",'Distrib pivot table'!$C$2),"*"))</f>
        <v>3.0278662912566015E-3</v>
      </c>
      <c r="E10" s="418">
        <f>IF((GETPIVOTDATA("Total-New",'Distrib pivot table'!$C$2,"state","AL","group","1b1")/GETPIVOTDATA("Total-New",'Distrib pivot table'!$C$2,"state","AL"))=0,,IF(GETPIVOTDATA("Total-New",'Distrib pivot table'!$C$2,"state","AL","group","1b1")/GETPIVOTDATA("Total-New",'Distrib pivot table'!$C$2,"state","AL")&gt;0.0005,GETPIVOTDATA("Total-New",'Distrib pivot table'!$C$2,"state","AL","group","1b1")/GETPIVOTDATA("Total-New",'Distrib pivot table'!$C$2,"state","AL"),"*"))</f>
        <v>1.4095689579851024E-3</v>
      </c>
      <c r="F10" s="418">
        <f>IF((GETPIVOTDATA("Total-New",'Distrib pivot table'!$C$2,"state","AR","group","1b1")/GETPIVOTDATA("Total-New",'Distrib pivot table'!$C$2,"state","AR"))=0,,IF(GETPIVOTDATA("Total-New",'Distrib pivot table'!$C$2,"state","AR","group","1b1")/GETPIVOTDATA("Total-New",'Distrib pivot table'!$C$2,"state","AR")&gt;0.0005,GETPIVOTDATA("Total-New",'Distrib pivot table'!$C$2,"state","AR","group","1b1")/GETPIVOTDATA("Total-New",'Distrib pivot table'!$C$2,"state","AR"),"*"))</f>
        <v>1.6426900163631176E-2</v>
      </c>
      <c r="G10" s="418" t="str">
        <f>IF((GETPIVOTDATA("Total-New",'Distrib pivot table'!$C$2,"state","DE","group","1b1")/GETPIVOTDATA("Total-New",'Distrib pivot table'!$C$2,"state","DE"))=0,,IF(GETPIVOTDATA("Total-New",'Distrib pivot table'!$C$2,"state","DE","group","1b1")/GETPIVOTDATA("Total-New",'Distrib pivot table'!$C$2,"state","DE")&gt;0.0005,GETPIVOTDATA("Total-New",'Distrib pivot table'!$C$2,"state","DE","group","1b1")/GETPIVOTDATA("Total-New",'Distrib pivot table'!$C$2,"state","DE"),"*"))</f>
        <v>*</v>
      </c>
      <c r="H10" s="418">
        <f>IF((GETPIVOTDATA("Total-New",'Distrib pivot table'!$C$2,"state","FL","group","1b1")/GETPIVOTDATA("Total-New",'Distrib pivot table'!$C$2,"state","FL"))=0,,IF(GETPIVOTDATA("Total-New",'Distrib pivot table'!$C$2,"state","FL","group","1b1")/GETPIVOTDATA("Total-New",'Distrib pivot table'!$C$2,"state","FL")&gt;0.0005,GETPIVOTDATA("Total-New",'Distrib pivot table'!$C$2,"state","FL","group","1b1")/GETPIVOTDATA("Total-New",'Distrib pivot table'!$C$2,"state","FL"),"*"))</f>
        <v>7.1187925261221351E-3</v>
      </c>
      <c r="I10" s="418">
        <f>IF((GETPIVOTDATA("Total-New",'Distrib pivot table'!$C$2,"state","GA","group","1b1")/GETPIVOTDATA("Total-New",'Distrib pivot table'!$C$2,"state","GA"))=0,,IF(GETPIVOTDATA("Total-New",'Distrib pivot table'!$C$2,"state","GA","group","1b1")/GETPIVOTDATA("Total-New",'Distrib pivot table'!$C$2,"state","GA")&gt;0.0005,GETPIVOTDATA("Total-New",'Distrib pivot table'!$C$2,"state","GA","group","1b1")/GETPIVOTDATA("Total-New",'Distrib pivot table'!$C$2,"state","GA"),"*"))</f>
        <v>1.4474109895167941E-3</v>
      </c>
      <c r="J10" s="418">
        <f>IF((GETPIVOTDATA("Total-New",'Distrib pivot table'!$C$2,"state","KY","group","1b1")/GETPIVOTDATA("Total-New",'Distrib pivot table'!$C$2,"state","KY"))=0,,IF(GETPIVOTDATA("Total-New",'Distrib pivot table'!$C$2,"state","KY","group","1b1")/GETPIVOTDATA("Total-New",'Distrib pivot table'!$C$2,"state","KY")&gt;0.0005,GETPIVOTDATA("Total-New",'Distrib pivot table'!$C$2,"state","KY","group","1b1")/GETPIVOTDATA("Total-New",'Distrib pivot table'!$C$2,"state","KY"),"*"))</f>
        <v>7.7933978493280615E-3</v>
      </c>
      <c r="K10" s="418">
        <f>IF((GETPIVOTDATA("Total-New",'Distrib pivot table'!$C$2,"state","LA","group","1b1")/GETPIVOTDATA("Total-New",'Distrib pivot table'!$C$2,"state","LA"))=0,,IF(GETPIVOTDATA("Total-New",'Distrib pivot table'!$C$2,"state","LA","group","1b1")/GETPIVOTDATA("Total-New",'Distrib pivot table'!$C$2,"state","LA")&gt;0.0005,GETPIVOTDATA("Total-New",'Distrib pivot table'!$C$2,"state","LA","group","1b1")/GETPIVOTDATA("Total-New",'Distrib pivot table'!$C$2,"state","LA"),"*"))</f>
        <v>0</v>
      </c>
      <c r="L10" s="418">
        <f>IF((GETPIVOTDATA("Total-New",'Distrib pivot table'!$C$2,"state","MD","group","1b1")/GETPIVOTDATA("Total-New",'Distrib pivot table'!$C$2,"state","MD"))=0,,IF(GETPIVOTDATA("Total-New",'Distrib pivot table'!$C$2,"state","MD","group","1b1")/GETPIVOTDATA("Total-New",'Distrib pivot table'!$C$2,"state","MD")&gt;0.0005,GETPIVOTDATA("Total-New",'Distrib pivot table'!$C$2,"state","MD","group","1b1")/GETPIVOTDATA("Total-New",'Distrib pivot table'!$C$2,"state","MD"),"*"))</f>
        <v>0</v>
      </c>
      <c r="M10" s="418" t="str">
        <f>IF((GETPIVOTDATA("Total-New",'Distrib pivot table'!$C$2,"state","MS","group","1b1")/GETPIVOTDATA("Total-New",'Distrib pivot table'!$C$2,"state","MS"))=0,,IF(GETPIVOTDATA("Total-New",'Distrib pivot table'!$C$2,"state","MS","group","1b1")/GETPIVOTDATA("Total-New",'Distrib pivot table'!$C$2,"state","MS")&gt;0.0005,GETPIVOTDATA("Total-New",'Distrib pivot table'!$C$2,"state","MS","group","1b1")/GETPIVOTDATA("Total-New",'Distrib pivot table'!$C$2,"state","MS"),"*"))</f>
        <v>*</v>
      </c>
      <c r="N10" s="418">
        <f>IF((GETPIVOTDATA("Total-New",'Distrib pivot table'!$C$2,"state","NC","group","1b1")/GETPIVOTDATA("Total-New",'Distrib pivot table'!$C$2,"state","NC"))=0,,IF(GETPIVOTDATA("Total-New",'Distrib pivot table'!$C$2,"state","NC","group","1b1")/GETPIVOTDATA("Total-New",'Distrib pivot table'!$C$2,"state","NC")&gt;0.0005,GETPIVOTDATA("Total-New",'Distrib pivot table'!$C$2,"state","NC","group","1b1")/GETPIVOTDATA("Total-New",'Distrib pivot table'!$C$2,"state","NC"),"*"))</f>
        <v>1.5813699839083424E-3</v>
      </c>
      <c r="O10" s="418">
        <f>IF((GETPIVOTDATA("Total-New",'Distrib pivot table'!$C$2,"state","OK","group","1b1")/GETPIVOTDATA("Total-New",'Distrib pivot table'!$C$2,"state","OK"))=0,,IF(GETPIVOTDATA("Total-New",'Distrib pivot table'!$C$2,"state","OK","group","1b1")/GETPIVOTDATA("Total-New",'Distrib pivot table'!$C$2,"state","OK")&gt;0.0005,GETPIVOTDATA("Total-New",'Distrib pivot table'!$C$2,"state","OK","group","1b1")/GETPIVOTDATA("Total-New",'Distrib pivot table'!$C$2,"state","OK"),"*"))</f>
        <v>0</v>
      </c>
      <c r="P10" s="418">
        <f>IF((GETPIVOTDATA("Total-New",'Distrib pivot table'!$C$2,"state","SC","group","1b1")/GETPIVOTDATA("Total-New",'Distrib pivot table'!$C$2,"state","SC"))=0,,IF(GETPIVOTDATA("Total-New",'Distrib pivot table'!$C$2,"state","SC","group","1b1")/GETPIVOTDATA("Total-New",'Distrib pivot table'!$C$2,"state","SC")&gt;0.0005,GETPIVOTDATA("Total-New",'Distrib pivot table'!$C$2,"state","SC","group","1b1")/GETPIVOTDATA("Total-New",'Distrib pivot table'!$C$2,"state","SC"),"*"))</f>
        <v>1.0222233039171135E-3</v>
      </c>
      <c r="Q10" s="418">
        <f>IF((GETPIVOTDATA("Total-New",'Distrib pivot table'!$C$2,"state","TN","group","1b1")/GETPIVOTDATA("Total-New",'Distrib pivot table'!$C$2,"state","TN"))=0,,IF(GETPIVOTDATA("Total-New",'Distrib pivot table'!$C$2,"state","TN","group","1b1")/GETPIVOTDATA("Total-New",'Distrib pivot table'!$C$2,"state","TN")&gt;0.0005,GETPIVOTDATA("Total-New",'Distrib pivot table'!$C$2,"state","TN","group","1b1")/GETPIVOTDATA("Total-New",'Distrib pivot table'!$C$2,"state","TN"),"*"))</f>
        <v>3.2994253260906496E-3</v>
      </c>
      <c r="R10" s="418">
        <f>IF((GETPIVOTDATA("Total-New",'Distrib pivot table'!$C$2,"state","TX","group","1b1")/GETPIVOTDATA("Total-New",'Distrib pivot table'!$C$2,"state","TX"))=0,,IF(GETPIVOTDATA("Total-New",'Distrib pivot table'!$C$2,"state","TX","group","1b1")/GETPIVOTDATA("Total-New",'Distrib pivot table'!$C$2,"state","TX")&gt;0.0005,GETPIVOTDATA("Total-New",'Distrib pivot table'!$C$2,"state","TX","group","1b1")/GETPIVOTDATA("Total-New",'Distrib pivot table'!$C$2,"state","TX"),"*"))</f>
        <v>4.2160428340149853E-3</v>
      </c>
      <c r="S10" s="418">
        <f>IF((GETPIVOTDATA("Total-New",'Distrib pivot table'!$C$2,"state","VA","group","1b1")/GETPIVOTDATA("Total-New",'Distrib pivot table'!$C$2,"state","VA"))=0,,IF(GETPIVOTDATA("Total-New",'Distrib pivot table'!$C$2,"state","VA","group","1b1")/GETPIVOTDATA("Total-New",'Distrib pivot table'!$C$2,"state","VA")&gt;0.0005,GETPIVOTDATA("Total-New",'Distrib pivot table'!$C$2,"state","VA","group","1b1")/GETPIVOTDATA("Total-New",'Distrib pivot table'!$C$2,"state","VA"),"*"))</f>
        <v>0</v>
      </c>
      <c r="T10" s="418">
        <f>IF((GETPIVOTDATA("Total-New",'Distrib pivot table'!$C$2,"state","WV","group","1b1")/GETPIVOTDATA("Total-New",'Distrib pivot table'!$C$2,"state","WV"))=0,,IF(GETPIVOTDATA("Total-New",'Distrib pivot table'!$C$2,"state","WV","group","1b1")/GETPIVOTDATA("Total-New",'Distrib pivot table'!$C$2,"state","WV")&gt;0.0005,GETPIVOTDATA("Total-New",'Distrib pivot table'!$C$2,"state","WV","group","1b1")/GETPIVOTDATA("Total-New",'Distrib pivot table'!$C$2,"state","WV"),"*"))</f>
        <v>0</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12.6" customHeight="1">
      <c r="A11" s="1486"/>
      <c r="B11" s="127" t="s">
        <v>258</v>
      </c>
      <c r="C11" s="371" t="s">
        <v>267</v>
      </c>
      <c r="D11" s="418" t="str">
        <f>IF(GETPIVOTDATA("Total-New",'Distrib pivot table'!$C$2,"group","1b2")/GETPIVOTDATA("Total-New",'Distrib pivot table'!$C$2)=0,,IF(GETPIVOTDATA("Total-New",'Distrib pivot table'!$C$2,"group","1b2")/GETPIVOTDATA("Total-New",'Distrib pivot table'!$C$2)&gt;0.0005,GETPIVOTDATA("Total-New",'Distrib pivot table'!$C$2,"group","1b2")/GETPIVOTDATA("Total-New",'Distrib pivot table'!$C$2),"*"))</f>
        <v>*</v>
      </c>
      <c r="E11" s="418">
        <f>IF((GETPIVOTDATA("Total-New",'Distrib pivot table'!$C$2,"state","AL","group","1b2")/GETPIVOTDATA("Total-New",'Distrib pivot table'!$C$2,"state","AL"))=0,,IF(GETPIVOTDATA("Total-New",'Distrib pivot table'!$C$2,"state","AL","group","1b2")/GETPIVOTDATA("Total-New",'Distrib pivot table'!$C$2,"state","AL")&gt;0.0005,GETPIVOTDATA("Total-New",'Distrib pivot table'!$C$2,"state","AL","group","1b2")/GETPIVOTDATA("Total-New",'Distrib pivot table'!$C$2,"state","AL"),"*"))</f>
        <v>7.6080352913276625E-4</v>
      </c>
      <c r="F11" s="418">
        <f>IF((GETPIVOTDATA("Total-New",'Distrib pivot table'!$C$2,"state","AR","group","1b2")/GETPIVOTDATA("Total-New",'Distrib pivot table'!$C$2,"state","AR"))=0,,IF(GETPIVOTDATA("Total-New",'Distrib pivot table'!$C$2,"state","AR","group","1b2")/GETPIVOTDATA("Total-New",'Distrib pivot table'!$C$2,"state","AR")&gt;0.0005,GETPIVOTDATA("Total-New",'Distrib pivot table'!$C$2,"state","AR","group","1b2")/GETPIVOTDATA("Total-New",'Distrib pivot table'!$C$2,"state","AR"),"*"))</f>
        <v>0</v>
      </c>
      <c r="G11" s="418">
        <f>IF((GETPIVOTDATA("Total-New",'Distrib pivot table'!$C$2,"state","DE","group","1b2")/GETPIVOTDATA("Total-New",'Distrib pivot table'!$C$2,"state","DE"))=0,,IF(GETPIVOTDATA("Total-New",'Distrib pivot table'!$C$2,"state","DE","group","1b2")/GETPIVOTDATA("Total-New",'Distrib pivot table'!$C$2,"state","DE")&gt;0.0005,GETPIVOTDATA("Total-New",'Distrib pivot table'!$C$2,"state","DE","group","1b2")/GETPIVOTDATA("Total-New",'Distrib pivot table'!$C$2,"state","DE"),"*"))</f>
        <v>0</v>
      </c>
      <c r="H11" s="418">
        <f>IF((GETPIVOTDATA("Total-New",'Distrib pivot table'!$C$2,"state","FL","group","1b2")/GETPIVOTDATA("Total-New",'Distrib pivot table'!$C$2,"state","FL"))=0,,IF(GETPIVOTDATA("Total-New",'Distrib pivot table'!$C$2,"state","FL","group","1b2")/GETPIVOTDATA("Total-New",'Distrib pivot table'!$C$2,"state","FL")&gt;0.0005,GETPIVOTDATA("Total-New",'Distrib pivot table'!$C$2,"state","FL","group","1b2")/GETPIVOTDATA("Total-New",'Distrib pivot table'!$C$2,"state","FL"),"*"))</f>
        <v>0</v>
      </c>
      <c r="I11" s="418">
        <f>IF((GETPIVOTDATA("Total-New",'Distrib pivot table'!$C$2,"state","GA","group","1b2")/GETPIVOTDATA("Total-New",'Distrib pivot table'!$C$2,"state","GA"))=0,,IF(GETPIVOTDATA("Total-New",'Distrib pivot table'!$C$2,"state","GA","group","1b2")/GETPIVOTDATA("Total-New",'Distrib pivot table'!$C$2,"state","GA")&gt;0.0005,GETPIVOTDATA("Total-New",'Distrib pivot table'!$C$2,"state","GA","group","1b2")/GETPIVOTDATA("Total-New",'Distrib pivot table'!$C$2,"state","GA"),"*"))</f>
        <v>0</v>
      </c>
      <c r="J11" s="418">
        <f>IF((GETPIVOTDATA("Total-New",'Distrib pivot table'!$C$2,"state","KY","group","1b2")/GETPIVOTDATA("Total-New",'Distrib pivot table'!$C$2,"state","KY"))=0,,IF(GETPIVOTDATA("Total-New",'Distrib pivot table'!$C$2,"state","KY","group","1b2")/GETPIVOTDATA("Total-New",'Distrib pivot table'!$C$2,"state","KY")&gt;0.0005,GETPIVOTDATA("Total-New",'Distrib pivot table'!$C$2,"state","KY","group","1b2")/GETPIVOTDATA("Total-New",'Distrib pivot table'!$C$2,"state","KY"),"*"))</f>
        <v>0</v>
      </c>
      <c r="K11" s="418">
        <f>IF((GETPIVOTDATA("Total-New",'Distrib pivot table'!$C$2,"state","LA","group","1b2")/GETPIVOTDATA("Total-New",'Distrib pivot table'!$C$2,"state","LA"))=0,,IF(GETPIVOTDATA("Total-New",'Distrib pivot table'!$C$2,"state","LA","group","1b2")/GETPIVOTDATA("Total-New",'Distrib pivot table'!$C$2,"state","LA")&gt;0.0005,GETPIVOTDATA("Total-New",'Distrib pivot table'!$C$2,"state","LA","group","1b2")/GETPIVOTDATA("Total-New",'Distrib pivot table'!$C$2,"state","LA"),"*"))</f>
        <v>0</v>
      </c>
      <c r="L11" s="418">
        <f>IF((GETPIVOTDATA("Total-New",'Distrib pivot table'!$C$2,"state","MD","group","1b2")/GETPIVOTDATA("Total-New",'Distrib pivot table'!$C$2,"state","MD"))=0,,IF(GETPIVOTDATA("Total-New",'Distrib pivot table'!$C$2,"state","MD","group","1b2")/GETPIVOTDATA("Total-New",'Distrib pivot table'!$C$2,"state","MD")&gt;0.0005,GETPIVOTDATA("Total-New",'Distrib pivot table'!$C$2,"state","MD","group","1b2")/GETPIVOTDATA("Total-New",'Distrib pivot table'!$C$2,"state","MD"),"*"))</f>
        <v>0</v>
      </c>
      <c r="M11" s="418">
        <f>IF((GETPIVOTDATA("Total-New",'Distrib pivot table'!$C$2,"state","MS","group","1b2")/GETPIVOTDATA("Total-New",'Distrib pivot table'!$C$2,"state","MS"))=0,,IF(GETPIVOTDATA("Total-New",'Distrib pivot table'!$C$2,"state","MS","group","1b2")/GETPIVOTDATA("Total-New",'Distrib pivot table'!$C$2,"state","MS")&gt;0.0005,GETPIVOTDATA("Total-New",'Distrib pivot table'!$C$2,"state","MS","group","1b2")/GETPIVOTDATA("Total-New",'Distrib pivot table'!$C$2,"state","MS"),"*"))</f>
        <v>0</v>
      </c>
      <c r="N11" s="418">
        <f>IF((GETPIVOTDATA("Total-New",'Distrib pivot table'!$C$2,"state","NC","group","1b2")/GETPIVOTDATA("Total-New",'Distrib pivot table'!$C$2,"state","NC"))=0,,IF(GETPIVOTDATA("Total-New",'Distrib pivot table'!$C$2,"state","NC","group","1b2")/GETPIVOTDATA("Total-New",'Distrib pivot table'!$C$2,"state","NC")&gt;0.0005,GETPIVOTDATA("Total-New",'Distrib pivot table'!$C$2,"state","NC","group","1b2")/GETPIVOTDATA("Total-New",'Distrib pivot table'!$C$2,"state","NC"),"*"))</f>
        <v>0</v>
      </c>
      <c r="O11" s="418">
        <f>IF((GETPIVOTDATA("Total-New",'Distrib pivot table'!$C$2,"state","OK","group","1b2")/GETPIVOTDATA("Total-New",'Distrib pivot table'!$C$2,"state","OK"))=0,,IF(GETPIVOTDATA("Total-New",'Distrib pivot table'!$C$2,"state","OK","group","1b2")/GETPIVOTDATA("Total-New",'Distrib pivot table'!$C$2,"state","OK")&gt;0.0005,GETPIVOTDATA("Total-New",'Distrib pivot table'!$C$2,"state","OK","group","1b2")/GETPIVOTDATA("Total-New",'Distrib pivot table'!$C$2,"state","OK"),"*"))</f>
        <v>0</v>
      </c>
      <c r="P11" s="418">
        <f>IF((GETPIVOTDATA("Total-New",'Distrib pivot table'!$C$2,"state","SC","group","1b2")/GETPIVOTDATA("Total-New",'Distrib pivot table'!$C$2,"state","SC"))=0,,IF(GETPIVOTDATA("Total-New",'Distrib pivot table'!$C$2,"state","SC","group","1b2")/GETPIVOTDATA("Total-New",'Distrib pivot table'!$C$2,"state","SC")&gt;0.0005,GETPIVOTDATA("Total-New",'Distrib pivot table'!$C$2,"state","SC","group","1b2")/GETPIVOTDATA("Total-New",'Distrib pivot table'!$C$2,"state","SC"),"*"))</f>
        <v>0</v>
      </c>
      <c r="Q11" s="418">
        <f>IF((GETPIVOTDATA("Total-New",'Distrib pivot table'!$C$2,"state","TN","group","1b2")/GETPIVOTDATA("Total-New",'Distrib pivot table'!$C$2,"state","TN"))=0,,IF(GETPIVOTDATA("Total-New",'Distrib pivot table'!$C$2,"state","TN","group","1b2")/GETPIVOTDATA("Total-New",'Distrib pivot table'!$C$2,"state","TN")&gt;0.0005,GETPIVOTDATA("Total-New",'Distrib pivot table'!$C$2,"state","TN","group","1b2")/GETPIVOTDATA("Total-New",'Distrib pivot table'!$C$2,"state","TN"),"*"))</f>
        <v>0</v>
      </c>
      <c r="R11" s="418">
        <f>IF((GETPIVOTDATA("Total-New",'Distrib pivot table'!$C$2,"state","TX","group","1b2")/GETPIVOTDATA("Total-New",'Distrib pivot table'!$C$2,"state","TX"))=0,,IF(GETPIVOTDATA("Total-New",'Distrib pivot table'!$C$2,"state","TX","group","1b2")/GETPIVOTDATA("Total-New",'Distrib pivot table'!$C$2,"state","TX")&gt;0.0005,GETPIVOTDATA("Total-New",'Distrib pivot table'!$C$2,"state","TX","group","1b2")/GETPIVOTDATA("Total-New",'Distrib pivot table'!$C$2,"state","TX"),"*"))</f>
        <v>0</v>
      </c>
      <c r="S11" s="418">
        <f>IF((GETPIVOTDATA("Total-New",'Distrib pivot table'!$C$2,"state","VA","group","1b2")/GETPIVOTDATA("Total-New",'Distrib pivot table'!$C$2,"state","VA"))=0,,IF(GETPIVOTDATA("Total-New",'Distrib pivot table'!$C$2,"state","VA","group","1b2")/GETPIVOTDATA("Total-New",'Distrib pivot table'!$C$2,"state","VA")&gt;0.0005,GETPIVOTDATA("Total-New",'Distrib pivot table'!$C$2,"state","VA","group","1b2")/GETPIVOTDATA("Total-New",'Distrib pivot table'!$C$2,"state","VA"),"*"))</f>
        <v>0</v>
      </c>
      <c r="T11" s="418">
        <f>IF((GETPIVOTDATA("Total-New",'Distrib pivot table'!$C$2,"state","WV","group","1b2")/GETPIVOTDATA("Total-New",'Distrib pivot table'!$C$2,"state","WV"))=0,,IF(GETPIVOTDATA("Total-New",'Distrib pivot table'!$C$2,"state","WV","group","1b2")/GETPIVOTDATA("Total-New",'Distrib pivot table'!$C$2,"state","WV")&gt;0.0005,GETPIVOTDATA("Total-New",'Distrib pivot table'!$C$2,"state","WV","group","1b2")/GETPIVOTDATA("Total-New",'Distrib pivot table'!$C$2,"state","WV"),"*"))</f>
        <v>0</v>
      </c>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2.6" customHeight="1">
      <c r="A12" s="1486"/>
      <c r="B12" s="127" t="s">
        <v>257</v>
      </c>
      <c r="C12" s="371" t="s">
        <v>268</v>
      </c>
      <c r="D12" s="418">
        <f>IF(GETPIVOTDATA("Total-New",'Distrib pivot table'!$C$2,"group","1b3")/GETPIVOTDATA("Total-New",'Distrib pivot table'!$C$2)=0,,IF(GETPIVOTDATA("Total-New",'Distrib pivot table'!$C$2,"group","1b3")/GETPIVOTDATA("Total-New",'Distrib pivot table'!$C$2)&gt;0.0005,GETPIVOTDATA("Total-New",'Distrib pivot table'!$C$2,"group","1b3")/GETPIVOTDATA("Total-New",'Distrib pivot table'!$C$2),"*"))</f>
        <v>1.0071931436710898E-2</v>
      </c>
      <c r="E12" s="418">
        <f>IF((GETPIVOTDATA("Total-New",'Distrib pivot table'!$C$2,"state","AL","group","1b3")/GETPIVOTDATA("Total-New",'Distrib pivot table'!$C$2,"state","AL"))=0,,IF(GETPIVOTDATA("Total-New",'Distrib pivot table'!$C$2,"state","AL","group","1b3")/GETPIVOTDATA("Total-New",'Distrib pivot table'!$C$2,"state","AL")&gt;0.0005,GETPIVOTDATA("Total-New",'Distrib pivot table'!$C$2,"state","AL","group","1b3")/GETPIVOTDATA("Total-New",'Distrib pivot table'!$C$2,"state","AL"),"*"))</f>
        <v>1.160406862104304E-2</v>
      </c>
      <c r="F12" s="418">
        <f>IF((GETPIVOTDATA("Total-New",'Distrib pivot table'!$C$2,"state","AR","group","1b3")/GETPIVOTDATA("Total-New",'Distrib pivot table'!$C$2,"state","AR"))=0,,IF(GETPIVOTDATA("Total-New",'Distrib pivot table'!$C$2,"state","AR","group","1b3")/GETPIVOTDATA("Total-New",'Distrib pivot table'!$C$2,"state","AR")&gt;0.0005,GETPIVOTDATA("Total-New",'Distrib pivot table'!$C$2,"state","AR","group","1b3")/GETPIVOTDATA("Total-New",'Distrib pivot table'!$C$2,"state","AR"),"*"))</f>
        <v>0</v>
      </c>
      <c r="G12" s="418">
        <f>IF((GETPIVOTDATA("Total-New",'Distrib pivot table'!$C$2,"state","DE","group","1b3")/GETPIVOTDATA("Total-New",'Distrib pivot table'!$C$2,"state","DE"))=0,,IF(GETPIVOTDATA("Total-New",'Distrib pivot table'!$C$2,"state","DE","group","1b3")/GETPIVOTDATA("Total-New",'Distrib pivot table'!$C$2,"state","DE")&gt;0.0005,GETPIVOTDATA("Total-New",'Distrib pivot table'!$C$2,"state","DE","group","1b3")/GETPIVOTDATA("Total-New",'Distrib pivot table'!$C$2,"state","DE"),"*"))</f>
        <v>2.0607194987835881E-3</v>
      </c>
      <c r="H12" s="418">
        <f>IF((GETPIVOTDATA("Total-New",'Distrib pivot table'!$C$2,"state","FL","group","1b3")/GETPIVOTDATA("Total-New",'Distrib pivot table'!$C$2,"state","FL"))=0,,IF(GETPIVOTDATA("Total-New",'Distrib pivot table'!$C$2,"state","FL","group","1b3")/GETPIVOTDATA("Total-New",'Distrib pivot table'!$C$2,"state","FL")&gt;0.0005,GETPIVOTDATA("Total-New",'Distrib pivot table'!$C$2,"state","FL","group","1b3")/GETPIVOTDATA("Total-New",'Distrib pivot table'!$C$2,"state","FL"),"*"))</f>
        <v>2.2577287324633103E-2</v>
      </c>
      <c r="I12" s="418">
        <f>IF((GETPIVOTDATA("Total-New",'Distrib pivot table'!$C$2,"state","GA","group","1b3")/GETPIVOTDATA("Total-New",'Distrib pivot table'!$C$2,"state","GA"))=0,,IF(GETPIVOTDATA("Total-New",'Distrib pivot table'!$C$2,"state","GA","group","1b3")/GETPIVOTDATA("Total-New",'Distrib pivot table'!$C$2,"state","GA")&gt;0.0005,GETPIVOTDATA("Total-New",'Distrib pivot table'!$C$2,"state","GA","group","1b3")/GETPIVOTDATA("Total-New",'Distrib pivot table'!$C$2,"state","GA"),"*"))</f>
        <v>6.0614850074011553E-3</v>
      </c>
      <c r="J12" s="418">
        <f>IF((GETPIVOTDATA("Total-New",'Distrib pivot table'!$C$2,"state","KY","group","1b3")/GETPIVOTDATA("Total-New",'Distrib pivot table'!$C$2,"state","KY"))=0,,IF(GETPIVOTDATA("Total-New",'Distrib pivot table'!$C$2,"state","KY","group","1b3")/GETPIVOTDATA("Total-New",'Distrib pivot table'!$C$2,"state","KY")&gt;0.0005,GETPIVOTDATA("Total-New",'Distrib pivot table'!$C$2,"state","KY","group","1b3")/GETPIVOTDATA("Total-New",'Distrib pivot table'!$C$2,"state","KY"),"*"))</f>
        <v>2.3732355918094857E-2</v>
      </c>
      <c r="K12" s="418">
        <f>IF((GETPIVOTDATA("Total-New",'Distrib pivot table'!$C$2,"state","LA","group","1b3")/GETPIVOTDATA("Total-New",'Distrib pivot table'!$C$2,"state","LA"))=0,,IF(GETPIVOTDATA("Total-New",'Distrib pivot table'!$C$2,"state","LA","group","1b3")/GETPIVOTDATA("Total-New",'Distrib pivot table'!$C$2,"state","LA")&gt;0.0005,GETPIVOTDATA("Total-New",'Distrib pivot table'!$C$2,"state","LA","group","1b3")/GETPIVOTDATA("Total-New",'Distrib pivot table'!$C$2,"state","LA"),"*"))</f>
        <v>1.8043723416523709E-2</v>
      </c>
      <c r="L12" s="418">
        <f>IF((GETPIVOTDATA("Total-New",'Distrib pivot table'!$C$2,"state","MD","group","1b3")/GETPIVOTDATA("Total-New",'Distrib pivot table'!$C$2,"state","MD"))=0,,IF(GETPIVOTDATA("Total-New",'Distrib pivot table'!$C$2,"state","MD","group","1b3")/GETPIVOTDATA("Total-New",'Distrib pivot table'!$C$2,"state","MD")&gt;0.0005,GETPIVOTDATA("Total-New",'Distrib pivot table'!$C$2,"state","MD","group","1b3")/GETPIVOTDATA("Total-New",'Distrib pivot table'!$C$2,"state","MD"),"*"))</f>
        <v>5.0084476970597988E-3</v>
      </c>
      <c r="M12" s="418">
        <f>IF((GETPIVOTDATA("Total-New",'Distrib pivot table'!$C$2,"state","MS","group","1b3")/GETPIVOTDATA("Total-New",'Distrib pivot table'!$C$2,"state","MS"))=0,,IF(GETPIVOTDATA("Total-New",'Distrib pivot table'!$C$2,"state","MS","group","1b3")/GETPIVOTDATA("Total-New",'Distrib pivot table'!$C$2,"state","MS")&gt;0.0005,GETPIVOTDATA("Total-New",'Distrib pivot table'!$C$2,"state","MS","group","1b3")/GETPIVOTDATA("Total-New",'Distrib pivot table'!$C$2,"state","MS"),"*"))</f>
        <v>1.861020435828795E-2</v>
      </c>
      <c r="N12" s="418">
        <f>IF((GETPIVOTDATA("Total-New",'Distrib pivot table'!$C$2,"state","NC","group","1b3")/GETPIVOTDATA("Total-New",'Distrib pivot table'!$C$2,"state","NC"))=0,,IF(GETPIVOTDATA("Total-New",'Distrib pivot table'!$C$2,"state","NC","group","1b3")/GETPIVOTDATA("Total-New",'Distrib pivot table'!$C$2,"state","NC")&gt;0.0005,GETPIVOTDATA("Total-New",'Distrib pivot table'!$C$2,"state","NC","group","1b3")/GETPIVOTDATA("Total-New",'Distrib pivot table'!$C$2,"state","NC"),"*"))</f>
        <v>6.6497605797540826E-3</v>
      </c>
      <c r="O12" s="418">
        <f>IF((GETPIVOTDATA("Total-New",'Distrib pivot table'!$C$2,"state","OK","group","1b3")/GETPIVOTDATA("Total-New",'Distrib pivot table'!$C$2,"state","OK"))=0,,IF(GETPIVOTDATA("Total-New",'Distrib pivot table'!$C$2,"state","OK","group","1b3")/GETPIVOTDATA("Total-New",'Distrib pivot table'!$C$2,"state","OK")&gt;0.0005,GETPIVOTDATA("Total-New",'Distrib pivot table'!$C$2,"state","OK","group","1b3")/GETPIVOTDATA("Total-New",'Distrib pivot table'!$C$2,"state","OK"),"*"))</f>
        <v>0</v>
      </c>
      <c r="P12" s="418">
        <f>IF((GETPIVOTDATA("Total-New",'Distrib pivot table'!$C$2,"state","SC","group","1b3")/GETPIVOTDATA("Total-New",'Distrib pivot table'!$C$2,"state","SC"))=0,,IF(GETPIVOTDATA("Total-New",'Distrib pivot table'!$C$2,"state","SC","group","1b3")/GETPIVOTDATA("Total-New",'Distrib pivot table'!$C$2,"state","SC")&gt;0.0005,GETPIVOTDATA("Total-New",'Distrib pivot table'!$C$2,"state","SC","group","1b3")/GETPIVOTDATA("Total-New",'Distrib pivot table'!$C$2,"state","SC"),"*"))</f>
        <v>1.2702033790086834E-2</v>
      </c>
      <c r="Q12" s="418">
        <f>IF((GETPIVOTDATA("Total-New",'Distrib pivot table'!$C$2,"state","TN","group","1b3")/GETPIVOTDATA("Total-New",'Distrib pivot table'!$C$2,"state","TN"))=0,,IF(GETPIVOTDATA("Total-New",'Distrib pivot table'!$C$2,"state","TN","group","1b3")/GETPIVOTDATA("Total-New",'Distrib pivot table'!$C$2,"state","TN")&gt;0.0005,GETPIVOTDATA("Total-New",'Distrib pivot table'!$C$2,"state","TN","group","1b3")/GETPIVOTDATA("Total-New",'Distrib pivot table'!$C$2,"state","TN"),"*"))</f>
        <v>1.2393034292432679E-2</v>
      </c>
      <c r="R12" s="418">
        <f>IF((GETPIVOTDATA("Total-New",'Distrib pivot table'!$C$2,"state","TX","group","1b3")/GETPIVOTDATA("Total-New",'Distrib pivot table'!$C$2,"state","TX"))=0,,IF(GETPIVOTDATA("Total-New",'Distrib pivot table'!$C$2,"state","TX","group","1b3")/GETPIVOTDATA("Total-New",'Distrib pivot table'!$C$2,"state","TX")&gt;0.0005,GETPIVOTDATA("Total-New",'Distrib pivot table'!$C$2,"state","TX","group","1b3")/GETPIVOTDATA("Total-New",'Distrib pivot table'!$C$2,"state","TX"),"*"))</f>
        <v>4.8799595403131325E-3</v>
      </c>
      <c r="S12" s="418">
        <f>IF((GETPIVOTDATA("Total-New",'Distrib pivot table'!$C$2,"state","VA","group","1b3")/GETPIVOTDATA("Total-New",'Distrib pivot table'!$C$2,"state","VA"))=0,,IF(GETPIVOTDATA("Total-New",'Distrib pivot table'!$C$2,"state","VA","group","1b3")/GETPIVOTDATA("Total-New",'Distrib pivot table'!$C$2,"state","VA")&gt;0.0005,GETPIVOTDATA("Total-New",'Distrib pivot table'!$C$2,"state","VA","group","1b3")/GETPIVOTDATA("Total-New",'Distrib pivot table'!$C$2,"state","VA"),"*"))</f>
        <v>7.9932043030176893E-3</v>
      </c>
      <c r="T12" s="418">
        <f>IF((GETPIVOTDATA("Total-New",'Distrib pivot table'!$C$2,"state","WV","group","1b3")/GETPIVOTDATA("Total-New",'Distrib pivot table'!$C$2,"state","WV"))=0,,IF(GETPIVOTDATA("Total-New",'Distrib pivot table'!$C$2,"state","WV","group","1b3")/GETPIVOTDATA("Total-New",'Distrib pivot table'!$C$2,"state","WV")&gt;0.0005,GETPIVOTDATA("Total-New",'Distrib pivot table'!$C$2,"state","WV","group","1b3")/GETPIVOTDATA("Total-New",'Distrib pivot table'!$C$2,"state","WV"),"*"))</f>
        <v>1.5144192179785564E-2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2.6" customHeight="1">
      <c r="A13" s="1486"/>
      <c r="B13" s="127" t="s">
        <v>256</v>
      </c>
      <c r="C13" s="371" t="s">
        <v>269</v>
      </c>
      <c r="D13" s="418">
        <f>IF(GETPIVOTDATA("Total-New",'Distrib pivot table'!$C$2,"group","1b4")/GETPIVOTDATA("Total-New",'Distrib pivot table'!$C$2)=0,,IF(GETPIVOTDATA("Total-New",'Distrib pivot table'!$C$2,"group","1b4")/GETPIVOTDATA("Total-New",'Distrib pivot table'!$C$2)&gt;0.0005,GETPIVOTDATA("Total-New",'Distrib pivot table'!$C$2,"group","1b4")/GETPIVOTDATA("Total-New",'Distrib pivot table'!$C$2),"*"))</f>
        <v>5.4294156187552033E-3</v>
      </c>
      <c r="E13" s="418">
        <f>IF((GETPIVOTDATA("Total-New",'Distrib pivot table'!$C$2,"state","AL","group","1b4")/GETPIVOTDATA("Total-New",'Distrib pivot table'!$C$2,"state","AL"))=0,,IF(GETPIVOTDATA("Total-New",'Distrib pivot table'!$C$2,"state","AL","group","1b4")/GETPIVOTDATA("Total-New",'Distrib pivot table'!$C$2,"state","AL")&gt;0.0005,GETPIVOTDATA("Total-New",'Distrib pivot table'!$C$2,"state","AL","group","1b4")/GETPIVOTDATA("Total-New",'Distrib pivot table'!$C$2,"state","AL"),"*"))</f>
        <v>9.0193227759061932E-3</v>
      </c>
      <c r="F13" s="418">
        <f>IF((GETPIVOTDATA("Total-New",'Distrib pivot table'!$C$2,"state","AR","group","1b4")/GETPIVOTDATA("Total-New",'Distrib pivot table'!$C$2,"state","AR"))=0,,IF(GETPIVOTDATA("Total-New",'Distrib pivot table'!$C$2,"state","AR","group","1b4")/GETPIVOTDATA("Total-New",'Distrib pivot table'!$C$2,"state","AR")&gt;0.0005,GETPIVOTDATA("Total-New",'Distrib pivot table'!$C$2,"state","AR","group","1b4")/GETPIVOTDATA("Total-New",'Distrib pivot table'!$C$2,"state","AR"),"*"))</f>
        <v>0</v>
      </c>
      <c r="G13" s="418">
        <f>IF((GETPIVOTDATA("Total-New",'Distrib pivot table'!$C$2,"state","DE","group","1b4")/GETPIVOTDATA("Total-New",'Distrib pivot table'!$C$2,"state","DE"))=0,,IF(GETPIVOTDATA("Total-New",'Distrib pivot table'!$C$2,"state","DE","group","1b4")/GETPIVOTDATA("Total-New",'Distrib pivot table'!$C$2,"state","DE")&gt;0.0005,GETPIVOTDATA("Total-New",'Distrib pivot table'!$C$2,"state","DE","group","1b4")/GETPIVOTDATA("Total-New",'Distrib pivot table'!$C$2,"state","DE"),"*"))</f>
        <v>7.7568033167560349E-4</v>
      </c>
      <c r="H13" s="418">
        <f>IF((GETPIVOTDATA("Total-New",'Distrib pivot table'!$C$2,"state","FL","group","1b4")/GETPIVOTDATA("Total-New",'Distrib pivot table'!$C$2,"state","FL"))=0,,IF(GETPIVOTDATA("Total-New",'Distrib pivot table'!$C$2,"state","FL","group","1b4")/GETPIVOTDATA("Total-New",'Distrib pivot table'!$C$2,"state","FL")&gt;0.0005,GETPIVOTDATA("Total-New",'Distrib pivot table'!$C$2,"state","FL","group","1b4")/GETPIVOTDATA("Total-New",'Distrib pivot table'!$C$2,"state","FL"),"*"))</f>
        <v>0</v>
      </c>
      <c r="I13" s="418">
        <f>IF((GETPIVOTDATA("Total-New",'Distrib pivot table'!$C$2,"state","GA","group","1b4")/GETPIVOTDATA("Total-New",'Distrib pivot table'!$C$2,"state","GA"))=0,,IF(GETPIVOTDATA("Total-New",'Distrib pivot table'!$C$2,"state","GA","group","1b4")/GETPIVOTDATA("Total-New",'Distrib pivot table'!$C$2,"state","GA")&gt;0.0005,GETPIVOTDATA("Total-New",'Distrib pivot table'!$C$2,"state","GA","group","1b4")/GETPIVOTDATA("Total-New",'Distrib pivot table'!$C$2,"state","GA"),"*"))</f>
        <v>7.3336367173060099E-3</v>
      </c>
      <c r="J13" s="418">
        <f>IF((GETPIVOTDATA("Total-New",'Distrib pivot table'!$C$2,"state","KY","group","1b4")/GETPIVOTDATA("Total-New",'Distrib pivot table'!$C$2,"state","KY"))=0,,IF(GETPIVOTDATA("Total-New",'Distrib pivot table'!$C$2,"state","KY","group","1b4")/GETPIVOTDATA("Total-New",'Distrib pivot table'!$C$2,"state","KY")&gt;0.0005,GETPIVOTDATA("Total-New",'Distrib pivot table'!$C$2,"state","KY","group","1b4")/GETPIVOTDATA("Total-New",'Distrib pivot table'!$C$2,"state","KY"),"*"))</f>
        <v>0</v>
      </c>
      <c r="K13" s="418">
        <f>IF((GETPIVOTDATA("Total-New",'Distrib pivot table'!$C$2,"state","LA","group","1b4")/GETPIVOTDATA("Total-New",'Distrib pivot table'!$C$2,"state","LA"))=0,,IF(GETPIVOTDATA("Total-New",'Distrib pivot table'!$C$2,"state","LA","group","1b4")/GETPIVOTDATA("Total-New",'Distrib pivot table'!$C$2,"state","LA")&gt;0.0005,GETPIVOTDATA("Total-New",'Distrib pivot table'!$C$2,"state","LA","group","1b4")/GETPIVOTDATA("Total-New",'Distrib pivot table'!$C$2,"state","LA"),"*"))</f>
        <v>1.4369680385540633E-2</v>
      </c>
      <c r="L13" s="418">
        <f>IF((GETPIVOTDATA("Total-New",'Distrib pivot table'!$C$2,"state","MD","group","1b4")/GETPIVOTDATA("Total-New",'Distrib pivot table'!$C$2,"state","MD"))=0,,IF(GETPIVOTDATA("Total-New",'Distrib pivot table'!$C$2,"state","MD","group","1b4")/GETPIVOTDATA("Total-New",'Distrib pivot table'!$C$2,"state","MD")&gt;0.0005,GETPIVOTDATA("Total-New",'Distrib pivot table'!$C$2,"state","MD","group","1b4")/GETPIVOTDATA("Total-New",'Distrib pivot table'!$C$2,"state","MD"),"*"))</f>
        <v>4.6995223817641743E-3</v>
      </c>
      <c r="M13" s="418">
        <f>IF((GETPIVOTDATA("Total-New",'Distrib pivot table'!$C$2,"state","MS","group","1b4")/GETPIVOTDATA("Total-New",'Distrib pivot table'!$C$2,"state","MS"))=0,,IF(GETPIVOTDATA("Total-New",'Distrib pivot table'!$C$2,"state","MS","group","1b4")/GETPIVOTDATA("Total-New",'Distrib pivot table'!$C$2,"state","MS")&gt;0.0005,GETPIVOTDATA("Total-New",'Distrib pivot table'!$C$2,"state","MS","group","1b4")/GETPIVOTDATA("Total-New",'Distrib pivot table'!$C$2,"state","MS"),"*"))</f>
        <v>1.2057946659181933E-2</v>
      </c>
      <c r="N13" s="418">
        <f>IF((GETPIVOTDATA("Total-New",'Distrib pivot table'!$C$2,"state","NC","group","1b4")/GETPIVOTDATA("Total-New",'Distrib pivot table'!$C$2,"state","NC"))=0,,IF(GETPIVOTDATA("Total-New",'Distrib pivot table'!$C$2,"state","NC","group","1b4")/GETPIVOTDATA("Total-New",'Distrib pivot table'!$C$2,"state","NC")&gt;0.0005,GETPIVOTDATA("Total-New",'Distrib pivot table'!$C$2,"state","NC","group","1b4")/GETPIVOTDATA("Total-New",'Distrib pivot table'!$C$2,"state","NC"),"*"))</f>
        <v>9.1734763170342806E-3</v>
      </c>
      <c r="O13" s="418">
        <f>IF((GETPIVOTDATA("Total-New",'Distrib pivot table'!$C$2,"state","OK","group","1b4")/GETPIVOTDATA("Total-New",'Distrib pivot table'!$C$2,"state","OK"))=0,,IF(GETPIVOTDATA("Total-New",'Distrib pivot table'!$C$2,"state","OK","group","1b4")/GETPIVOTDATA("Total-New",'Distrib pivot table'!$C$2,"state","OK")&gt;0.0005,GETPIVOTDATA("Total-New",'Distrib pivot table'!$C$2,"state","OK","group","1b4")/GETPIVOTDATA("Total-New",'Distrib pivot table'!$C$2,"state","OK"),"*"))</f>
        <v>0</v>
      </c>
      <c r="P13" s="418">
        <f>IF((GETPIVOTDATA("Total-New",'Distrib pivot table'!$C$2,"state","SC","group","1b4")/GETPIVOTDATA("Total-New",'Distrib pivot table'!$C$2,"state","SC"))=0,,IF(GETPIVOTDATA("Total-New",'Distrib pivot table'!$C$2,"state","SC","group","1b4")/GETPIVOTDATA("Total-New",'Distrib pivot table'!$C$2,"state","SC")&gt;0.0005,GETPIVOTDATA("Total-New",'Distrib pivot table'!$C$2,"state","SC","group","1b4")/GETPIVOTDATA("Total-New",'Distrib pivot table'!$C$2,"state","SC"),"*"))</f>
        <v>0</v>
      </c>
      <c r="Q13" s="418">
        <f>IF((GETPIVOTDATA("Total-New",'Distrib pivot table'!$C$2,"state","TN","group","1b4")/GETPIVOTDATA("Total-New",'Distrib pivot table'!$C$2,"state","TN"))=0,,IF(GETPIVOTDATA("Total-New",'Distrib pivot table'!$C$2,"state","TN","group","1b4")/GETPIVOTDATA("Total-New",'Distrib pivot table'!$C$2,"state","TN")&gt;0.0005,GETPIVOTDATA("Total-New",'Distrib pivot table'!$C$2,"state","TN","group","1b4")/GETPIVOTDATA("Total-New",'Distrib pivot table'!$C$2,"state","TN"),"*"))</f>
        <v>8.5331888244406188E-3</v>
      </c>
      <c r="R13" s="418">
        <f>IF((GETPIVOTDATA("Total-New",'Distrib pivot table'!$C$2,"state","TX","group","1b4")/GETPIVOTDATA("Total-New",'Distrib pivot table'!$C$2,"state","TX"))=0,,IF(GETPIVOTDATA("Total-New",'Distrib pivot table'!$C$2,"state","TX","group","1b4")/GETPIVOTDATA("Total-New",'Distrib pivot table'!$C$2,"state","TX")&gt;0.0005,GETPIVOTDATA("Total-New",'Distrib pivot table'!$C$2,"state","TX","group","1b4")/GETPIVOTDATA("Total-New",'Distrib pivot table'!$C$2,"state","TX"),"*"))</f>
        <v>5.3861275102847113E-3</v>
      </c>
      <c r="S13" s="418">
        <f>IF((GETPIVOTDATA("Total-New",'Distrib pivot table'!$C$2,"state","VA","group","1b4")/GETPIVOTDATA("Total-New",'Distrib pivot table'!$C$2,"state","VA"))=0,,IF(GETPIVOTDATA("Total-New",'Distrib pivot table'!$C$2,"state","VA","group","1b4")/GETPIVOTDATA("Total-New",'Distrib pivot table'!$C$2,"state","VA")&gt;0.0005,GETPIVOTDATA("Total-New",'Distrib pivot table'!$C$2,"state","VA","group","1b4")/GETPIVOTDATA("Total-New",'Distrib pivot table'!$C$2,"state","VA"),"*"))</f>
        <v>6.7513895898881184E-3</v>
      </c>
      <c r="T13" s="418">
        <f>IF((GETPIVOTDATA("Total-New",'Distrib pivot table'!$C$2,"state","WV","group","1b4")/GETPIVOTDATA("Total-New",'Distrib pivot table'!$C$2,"state","WV"))=0,,IF(GETPIVOTDATA("Total-New",'Distrib pivot table'!$C$2,"state","WV","group","1b4")/GETPIVOTDATA("Total-New",'Distrib pivot table'!$C$2,"state","WV")&gt;0.0005,GETPIVOTDATA("Total-New",'Distrib pivot table'!$C$2,"state","WV","group","1b4")/GETPIVOTDATA("Total-New",'Distrib pivot table'!$C$2,"state","WV"),"*"))</f>
        <v>7.5480758476589027E-3</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12.6" customHeight="1">
      <c r="A14" s="1486"/>
      <c r="B14" s="127" t="s">
        <v>308</v>
      </c>
      <c r="C14" s="371" t="s">
        <v>270</v>
      </c>
      <c r="D14" s="418">
        <f>IF(GETPIVOTDATA("Total-New",'Distrib pivot table'!$C$2,"group","1b5")/GETPIVOTDATA("Total-New",'Distrib pivot table'!$C$2)=0,,IF(GETPIVOTDATA("Total-New",'Distrib pivot table'!$C$2,"group","1b5")/GETPIVOTDATA("Total-New",'Distrib pivot table'!$C$2)&gt;0.0005,GETPIVOTDATA("Total-New",'Distrib pivot table'!$C$2,"group","1b5")/GETPIVOTDATA("Total-New",'Distrib pivot table'!$C$2),"*"))</f>
        <v>5.1045311085732984E-4</v>
      </c>
      <c r="E14" s="418">
        <f>IF((GETPIVOTDATA("Total-New",'Distrib pivot table'!$C$2,"state","AL","group","1b5")/GETPIVOTDATA("Total-New",'Distrib pivot table'!$C$2,"state","AL"))=0,,IF(GETPIVOTDATA("Total-New",'Distrib pivot table'!$C$2,"state","AL","group","1b5")/GETPIVOTDATA("Total-New",'Distrib pivot table'!$C$2,"state","AL")&gt;0.0005,GETPIVOTDATA("Total-New",'Distrib pivot table'!$C$2,"state","AL","group","1b5")/GETPIVOTDATA("Total-New",'Distrib pivot table'!$C$2,"state","AL"),"*"))</f>
        <v>0</v>
      </c>
      <c r="F14" s="418">
        <f>IF((GETPIVOTDATA("Total-New",'Distrib pivot table'!$C$2,"state","AR","group","1b5")/GETPIVOTDATA("Total-New",'Distrib pivot table'!$C$2,"state","AR"))=0,,IF(GETPIVOTDATA("Total-New",'Distrib pivot table'!$C$2,"state","AR","group","1b5")/GETPIVOTDATA("Total-New",'Distrib pivot table'!$C$2,"state","AR")&gt;0.0005,GETPIVOTDATA("Total-New",'Distrib pivot table'!$C$2,"state","AR","group","1b5")/GETPIVOTDATA("Total-New",'Distrib pivot table'!$C$2,"state","AR"),"*"))</f>
        <v>0</v>
      </c>
      <c r="G14" s="418">
        <f>IF((GETPIVOTDATA("Total-New",'Distrib pivot table'!$C$2,"state","DE","group","1b5")/GETPIVOTDATA("Total-New",'Distrib pivot table'!$C$2,"state","DE"))=0,,IF(GETPIVOTDATA("Total-New",'Distrib pivot table'!$C$2,"state","DE","group","1b5")/GETPIVOTDATA("Total-New",'Distrib pivot table'!$C$2,"state","DE")&gt;0.0005,GETPIVOTDATA("Total-New",'Distrib pivot table'!$C$2,"state","DE","group","1b5")/GETPIVOTDATA("Total-New",'Distrib pivot table'!$C$2,"state","DE"),"*"))</f>
        <v>0</v>
      </c>
      <c r="H14" s="418">
        <f>IF((GETPIVOTDATA("Total-New",'Distrib pivot table'!$C$2,"state","FL","group","1b5")/GETPIVOTDATA("Total-New",'Distrib pivot table'!$C$2,"state","FL"))=0,,IF(GETPIVOTDATA("Total-New",'Distrib pivot table'!$C$2,"state","FL","group","1b5")/GETPIVOTDATA("Total-New",'Distrib pivot table'!$C$2,"state","FL")&gt;0.0005,GETPIVOTDATA("Total-New",'Distrib pivot table'!$C$2,"state","FL","group","1b5")/GETPIVOTDATA("Total-New",'Distrib pivot table'!$C$2,"state","FL"),"*"))</f>
        <v>0</v>
      </c>
      <c r="I14" s="418">
        <f>IF((GETPIVOTDATA("Total-New",'Distrib pivot table'!$C$2,"state","GA","group","1b5")/GETPIVOTDATA("Total-New",'Distrib pivot table'!$C$2,"state","GA"))=0,,IF(GETPIVOTDATA("Total-New",'Distrib pivot table'!$C$2,"state","GA","group","1b5")/GETPIVOTDATA("Total-New",'Distrib pivot table'!$C$2,"state","GA")&gt;0.0005,GETPIVOTDATA("Total-New",'Distrib pivot table'!$C$2,"state","GA","group","1b5")/GETPIVOTDATA("Total-New",'Distrib pivot table'!$C$2,"state","GA"),"*"))</f>
        <v>1.1201621781943684E-3</v>
      </c>
      <c r="J14" s="418">
        <f>IF((GETPIVOTDATA("Total-New",'Distrib pivot table'!$C$2,"state","KY","group","1b5")/GETPIVOTDATA("Total-New",'Distrib pivot table'!$C$2,"state","KY"))=0,,IF(GETPIVOTDATA("Total-New",'Distrib pivot table'!$C$2,"state","KY","group","1b5")/GETPIVOTDATA("Total-New",'Distrib pivot table'!$C$2,"state","KY")&gt;0.0005,GETPIVOTDATA("Total-New",'Distrib pivot table'!$C$2,"state","KY","group","1b5")/GETPIVOTDATA("Total-New",'Distrib pivot table'!$C$2,"state","KY"),"*"))</f>
        <v>0</v>
      </c>
      <c r="K14" s="418">
        <f>IF((GETPIVOTDATA("Total-New",'Distrib pivot table'!$C$2,"state","LA","group","1b5")/GETPIVOTDATA("Total-New",'Distrib pivot table'!$C$2,"state","LA"))=0,,IF(GETPIVOTDATA("Total-New",'Distrib pivot table'!$C$2,"state","LA","group","1b5")/GETPIVOTDATA("Total-New",'Distrib pivot table'!$C$2,"state","LA")&gt;0.0005,GETPIVOTDATA("Total-New",'Distrib pivot table'!$C$2,"state","LA","group","1b5")/GETPIVOTDATA("Total-New",'Distrib pivot table'!$C$2,"state","LA"),"*"))</f>
        <v>0</v>
      </c>
      <c r="L14" s="418">
        <f>IF((GETPIVOTDATA("Total-New",'Distrib pivot table'!$C$2,"state","MD","group","1b5")/GETPIVOTDATA("Total-New",'Distrib pivot table'!$C$2,"state","MD"))=0,,IF(GETPIVOTDATA("Total-New",'Distrib pivot table'!$C$2,"state","MD","group","1b5")/GETPIVOTDATA("Total-New",'Distrib pivot table'!$C$2,"state","MD")&gt;0.0005,GETPIVOTDATA("Total-New",'Distrib pivot table'!$C$2,"state","MD","group","1b5")/GETPIVOTDATA("Total-New",'Distrib pivot table'!$C$2,"state","MD"),"*"))</f>
        <v>0</v>
      </c>
      <c r="M14" s="418">
        <f>IF((GETPIVOTDATA("Total-New",'Distrib pivot table'!$C$2,"state","MS","group","1b5")/GETPIVOTDATA("Total-New",'Distrib pivot table'!$C$2,"state","MS"))=0,,IF(GETPIVOTDATA("Total-New",'Distrib pivot table'!$C$2,"state","MS","group","1b5")/GETPIVOTDATA("Total-New",'Distrib pivot table'!$C$2,"state","MS")&gt;0.0005,GETPIVOTDATA("Total-New",'Distrib pivot table'!$C$2,"state","MS","group","1b5")/GETPIVOTDATA("Total-New",'Distrib pivot table'!$C$2,"state","MS"),"*"))</f>
        <v>0</v>
      </c>
      <c r="N14" s="418">
        <f>IF((GETPIVOTDATA("Total-New",'Distrib pivot table'!$C$2,"state","NC","group","1b5")/GETPIVOTDATA("Total-New",'Distrib pivot table'!$C$2,"state","NC"))=0,,IF(GETPIVOTDATA("Total-New",'Distrib pivot table'!$C$2,"state","NC","group","1b5")/GETPIVOTDATA("Total-New",'Distrib pivot table'!$C$2,"state","NC")&gt;0.0005,GETPIVOTDATA("Total-New",'Distrib pivot table'!$C$2,"state","NC","group","1b5")/GETPIVOTDATA("Total-New",'Distrib pivot table'!$C$2,"state","NC"),"*"))</f>
        <v>0</v>
      </c>
      <c r="O14" s="418">
        <f>IF((GETPIVOTDATA("Total-New",'Distrib pivot table'!$C$2,"state","OK","group","1b5")/GETPIVOTDATA("Total-New",'Distrib pivot table'!$C$2,"state","OK"))=0,,IF(GETPIVOTDATA("Total-New",'Distrib pivot table'!$C$2,"state","OK","group","1b5")/GETPIVOTDATA("Total-New",'Distrib pivot table'!$C$2,"state","OK")&gt;0.0005,GETPIVOTDATA("Total-New",'Distrib pivot table'!$C$2,"state","OK","group","1b5")/GETPIVOTDATA("Total-New",'Distrib pivot table'!$C$2,"state","OK"),"*"))</f>
        <v>0</v>
      </c>
      <c r="P14" s="418">
        <f>IF((GETPIVOTDATA("Total-New",'Distrib pivot table'!$C$2,"state","SC","group","1b5")/GETPIVOTDATA("Total-New",'Distrib pivot table'!$C$2,"state","SC"))=0,,IF(GETPIVOTDATA("Total-New",'Distrib pivot table'!$C$2,"state","SC","group","1b5")/GETPIVOTDATA("Total-New",'Distrib pivot table'!$C$2,"state","SC")&gt;0.0005,GETPIVOTDATA("Total-New",'Distrib pivot table'!$C$2,"state","SC","group","1b5")/GETPIVOTDATA("Total-New",'Distrib pivot table'!$C$2,"state","SC"),"*"))</f>
        <v>0</v>
      </c>
      <c r="Q14" s="418">
        <f>IF((GETPIVOTDATA("Total-New",'Distrib pivot table'!$C$2,"state","TN","group","1b5")/GETPIVOTDATA("Total-New",'Distrib pivot table'!$C$2,"state","TN"))=0,,IF(GETPIVOTDATA("Total-New",'Distrib pivot table'!$C$2,"state","TN","group","1b5")/GETPIVOTDATA("Total-New",'Distrib pivot table'!$C$2,"state","TN")&gt;0.0005,GETPIVOTDATA("Total-New",'Distrib pivot table'!$C$2,"state","TN","group","1b5")/GETPIVOTDATA("Total-New",'Distrib pivot table'!$C$2,"state","TN"),"*"))</f>
        <v>0</v>
      </c>
      <c r="R14" s="418">
        <f>IF((GETPIVOTDATA("Total-New",'Distrib pivot table'!$C$2,"state","TX","group","1b5")/GETPIVOTDATA("Total-New",'Distrib pivot table'!$C$2,"state","TX"))=0,,IF(GETPIVOTDATA("Total-New",'Distrib pivot table'!$C$2,"state","TX","group","1b5")/GETPIVOTDATA("Total-New",'Distrib pivot table'!$C$2,"state","TX")&gt;0.0005,GETPIVOTDATA("Total-New",'Distrib pivot table'!$C$2,"state","TX","group","1b5")/GETPIVOTDATA("Total-New",'Distrib pivot table'!$C$2,"state","TX"),"*"))</f>
        <v>1.699974230975413E-3</v>
      </c>
      <c r="S14" s="418">
        <f>IF((GETPIVOTDATA("Total-New",'Distrib pivot table'!$C$2,"state","VA","group","1b5")/GETPIVOTDATA("Total-New",'Distrib pivot table'!$C$2,"state","VA"))=0,,IF(GETPIVOTDATA("Total-New",'Distrib pivot table'!$C$2,"state","VA","group","1b5")/GETPIVOTDATA("Total-New",'Distrib pivot table'!$C$2,"state","VA")&gt;0.0005,GETPIVOTDATA("Total-New",'Distrib pivot table'!$C$2,"state","VA","group","1b5")/GETPIVOTDATA("Total-New",'Distrib pivot table'!$C$2,"state","VA"),"*"))</f>
        <v>0</v>
      </c>
      <c r="T14" s="418">
        <f>IF((GETPIVOTDATA("Total-New",'Distrib pivot table'!$C$2,"state","WV","group","1b5")/GETPIVOTDATA("Total-New",'Distrib pivot table'!$C$2,"state","WV"))=0,,IF(GETPIVOTDATA("Total-New",'Distrib pivot table'!$C$2,"state","WV","group","1b5")/GETPIVOTDATA("Total-New",'Distrib pivot table'!$C$2,"state","WV")&gt;0.0005,GETPIVOTDATA("Total-New",'Distrib pivot table'!$C$2,"state","WV","group","1b5")/GETPIVOTDATA("Total-New",'Distrib pivot table'!$C$2,"state","WV"),"*"))</f>
        <v>3.4606054870630395E-3</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2.6" customHeight="1">
      <c r="A15" s="1486"/>
      <c r="B15" s="127" t="s">
        <v>309</v>
      </c>
      <c r="C15" s="371" t="s">
        <v>271</v>
      </c>
      <c r="D15" s="418">
        <f>IF(GETPIVOTDATA("Total-New",'Distrib pivot table'!$C$2,"group","1b6")/GETPIVOTDATA("Total-New",'Distrib pivot table'!$C$2)=0,,IF(GETPIVOTDATA("Total-New",'Distrib pivot table'!$C$2,"group","1b6")/GETPIVOTDATA("Total-New",'Distrib pivot table'!$C$2)&gt;0.0005,GETPIVOTDATA("Total-New",'Distrib pivot table'!$C$2,"group","1b6")/GETPIVOTDATA("Total-New",'Distrib pivot table'!$C$2),"*"))</f>
        <v>1.7051411095163793E-3</v>
      </c>
      <c r="E15" s="418">
        <f>IF((GETPIVOTDATA("Total-New",'Distrib pivot table'!$C$2,"state","AL","group","1b6")/GETPIVOTDATA("Total-New",'Distrib pivot table'!$C$2,"state","AL"))=0,,IF(GETPIVOTDATA("Total-New",'Distrib pivot table'!$C$2,"state","AL","group","1b6")/GETPIVOTDATA("Total-New",'Distrib pivot table'!$C$2,"state","AL")&gt;0.0005,GETPIVOTDATA("Total-New",'Distrib pivot table'!$C$2,"state","AL","group","1b6")/GETPIVOTDATA("Total-New",'Distrib pivot table'!$C$2,"state","AL"),"*"))</f>
        <v>9.8924950384124887E-4</v>
      </c>
      <c r="F15" s="418">
        <f>IF((GETPIVOTDATA("Total-New",'Distrib pivot table'!$C$2,"state","AR","group","1b6")/GETPIVOTDATA("Total-New",'Distrib pivot table'!$C$2,"state","AR"))=0,,IF(GETPIVOTDATA("Total-New",'Distrib pivot table'!$C$2,"state","AR","group","1b6")/GETPIVOTDATA("Total-New",'Distrib pivot table'!$C$2,"state","AR")&gt;0.0005,GETPIVOTDATA("Total-New",'Distrib pivot table'!$C$2,"state","AR","group","1b6")/GETPIVOTDATA("Total-New",'Distrib pivot table'!$C$2,"state","AR"),"*"))</f>
        <v>0</v>
      </c>
      <c r="G15" s="418">
        <f>IF((GETPIVOTDATA("Total-New",'Distrib pivot table'!$C$2,"state","DE","group","1b6")/GETPIVOTDATA("Total-New",'Distrib pivot table'!$C$2,"state","DE"))=0,,IF(GETPIVOTDATA("Total-New",'Distrib pivot table'!$C$2,"state","DE","group","1b6")/GETPIVOTDATA("Total-New",'Distrib pivot table'!$C$2,"state","DE")&gt;0.0005,GETPIVOTDATA("Total-New",'Distrib pivot table'!$C$2,"state","DE","group","1b6")/GETPIVOTDATA("Total-New",'Distrib pivot table'!$C$2,"state","DE"),"*"))</f>
        <v>4.4188129101010477E-3</v>
      </c>
      <c r="H15" s="418">
        <f>IF((GETPIVOTDATA("Total-New",'Distrib pivot table'!$C$2,"state","FL","group","1b6")/GETPIVOTDATA("Total-New",'Distrib pivot table'!$C$2,"state","FL"))=0,,IF(GETPIVOTDATA("Total-New",'Distrib pivot table'!$C$2,"state","FL","group","1b6")/GETPIVOTDATA("Total-New",'Distrib pivot table'!$C$2,"state","FL")&gt;0.0005,GETPIVOTDATA("Total-New",'Distrib pivot table'!$C$2,"state","FL","group","1b6")/GETPIVOTDATA("Total-New",'Distrib pivot table'!$C$2,"state","FL"),"*"))</f>
        <v>1.0195739701554774E-3</v>
      </c>
      <c r="I15" s="418">
        <f>IF((GETPIVOTDATA("Total-New",'Distrib pivot table'!$C$2,"state","GA","group","1b6")/GETPIVOTDATA("Total-New",'Distrib pivot table'!$C$2,"state","GA"))=0,,IF(GETPIVOTDATA("Total-New",'Distrib pivot table'!$C$2,"state","GA","group","1b6")/GETPIVOTDATA("Total-New",'Distrib pivot table'!$C$2,"state","GA")&gt;0.0005,GETPIVOTDATA("Total-New",'Distrib pivot table'!$C$2,"state","GA","group","1b6")/GETPIVOTDATA("Total-New",'Distrib pivot table'!$C$2,"state","GA"),"*"))</f>
        <v>2.1030805157745153E-3</v>
      </c>
      <c r="J15" s="418">
        <f>IF((GETPIVOTDATA("Total-New",'Distrib pivot table'!$C$2,"state","KY","group","1b6")/GETPIVOTDATA("Total-New",'Distrib pivot table'!$C$2,"state","KY"))=0,,IF(GETPIVOTDATA("Total-New",'Distrib pivot table'!$C$2,"state","KY","group","1b6")/GETPIVOTDATA("Total-New",'Distrib pivot table'!$C$2,"state","KY")&gt;0.0005,GETPIVOTDATA("Total-New",'Distrib pivot table'!$C$2,"state","KY","group","1b6")/GETPIVOTDATA("Total-New",'Distrib pivot table'!$C$2,"state","KY"),"*"))</f>
        <v>2.3915354384977895E-3</v>
      </c>
      <c r="K15" s="418">
        <f>IF((GETPIVOTDATA("Total-New",'Distrib pivot table'!$C$2,"state","LA","group","1b6")/GETPIVOTDATA("Total-New",'Distrib pivot table'!$C$2,"state","LA"))=0,,IF(GETPIVOTDATA("Total-New",'Distrib pivot table'!$C$2,"state","LA","group","1b6")/GETPIVOTDATA("Total-New",'Distrib pivot table'!$C$2,"state","LA")&gt;0.0005,GETPIVOTDATA("Total-New",'Distrib pivot table'!$C$2,"state","LA","group","1b6")/GETPIVOTDATA("Total-New",'Distrib pivot table'!$C$2,"state","LA"),"*"))</f>
        <v>0</v>
      </c>
      <c r="L15" s="418">
        <f>IF((GETPIVOTDATA("Total-New",'Distrib pivot table'!$C$2,"state","MD","group","1b6")/GETPIVOTDATA("Total-New",'Distrib pivot table'!$C$2,"state","MD"))=0,,IF(GETPIVOTDATA("Total-New",'Distrib pivot table'!$C$2,"state","MD","group","1b6")/GETPIVOTDATA("Total-New",'Distrib pivot table'!$C$2,"state","MD")&gt;0.0005,GETPIVOTDATA("Total-New",'Distrib pivot table'!$C$2,"state","MD","group","1b6")/GETPIVOTDATA("Total-New",'Distrib pivot table'!$C$2,"state","MD"),"*"))</f>
        <v>5.2720463975650302E-3</v>
      </c>
      <c r="M15" s="418">
        <f>IF((GETPIVOTDATA("Total-New",'Distrib pivot table'!$C$2,"state","MS","group","1b6")/GETPIVOTDATA("Total-New",'Distrib pivot table'!$C$2,"state","MS"))=0,,IF(GETPIVOTDATA("Total-New",'Distrib pivot table'!$C$2,"state","MS","group","1b6")/GETPIVOTDATA("Total-New",'Distrib pivot table'!$C$2,"state","MS")&gt;0.0005,GETPIVOTDATA("Total-New",'Distrib pivot table'!$C$2,"state","MS","group","1b6")/GETPIVOTDATA("Total-New",'Distrib pivot table'!$C$2,"state","MS"),"*"))</f>
        <v>1.3090345219900212E-2</v>
      </c>
      <c r="N15" s="418">
        <f>IF((GETPIVOTDATA("Total-New",'Distrib pivot table'!$C$2,"state","NC","group","1b6")/GETPIVOTDATA("Total-New",'Distrib pivot table'!$C$2,"state","NC"))=0,,IF(GETPIVOTDATA("Total-New",'Distrib pivot table'!$C$2,"state","NC","group","1b6")/GETPIVOTDATA("Total-New",'Distrib pivot table'!$C$2,"state","NC")&gt;0.0005,GETPIVOTDATA("Total-New",'Distrib pivot table'!$C$2,"state","NC","group","1b6")/GETPIVOTDATA("Total-New",'Distrib pivot table'!$C$2,"state","NC"),"*"))</f>
        <v>0</v>
      </c>
      <c r="O15" s="418">
        <f>IF((GETPIVOTDATA("Total-New",'Distrib pivot table'!$C$2,"state","OK","group","1b6")/GETPIVOTDATA("Total-New",'Distrib pivot table'!$C$2,"state","OK"))=0,,IF(GETPIVOTDATA("Total-New",'Distrib pivot table'!$C$2,"state","OK","group","1b6")/GETPIVOTDATA("Total-New",'Distrib pivot table'!$C$2,"state","OK")&gt;0.0005,GETPIVOTDATA("Total-New",'Distrib pivot table'!$C$2,"state","OK","group","1b6")/GETPIVOTDATA("Total-New",'Distrib pivot table'!$C$2,"state","OK"),"*"))</f>
        <v>0</v>
      </c>
      <c r="P15" s="418">
        <f>IF((GETPIVOTDATA("Total-New",'Distrib pivot table'!$C$2,"state","SC","group","1b6")/GETPIVOTDATA("Total-New",'Distrib pivot table'!$C$2,"state","SC"))=0,,IF(GETPIVOTDATA("Total-New",'Distrib pivot table'!$C$2,"state","SC","group","1b6")/GETPIVOTDATA("Total-New",'Distrib pivot table'!$C$2,"state","SC")&gt;0.0005,GETPIVOTDATA("Total-New",'Distrib pivot table'!$C$2,"state","SC","group","1b6")/GETPIVOTDATA("Total-New",'Distrib pivot table'!$C$2,"state","SC"),"*"))</f>
        <v>0</v>
      </c>
      <c r="Q15" s="418">
        <f>IF((GETPIVOTDATA("Total-New",'Distrib pivot table'!$C$2,"state","TN","group","1b6")/GETPIVOTDATA("Total-New",'Distrib pivot table'!$C$2,"state","TN"))=0,,IF(GETPIVOTDATA("Total-New",'Distrib pivot table'!$C$2,"state","TN","group","1b6")/GETPIVOTDATA("Total-New",'Distrib pivot table'!$C$2,"state","TN")&gt;0.0005,GETPIVOTDATA("Total-New",'Distrib pivot table'!$C$2,"state","TN","group","1b6")/GETPIVOTDATA("Total-New",'Distrib pivot table'!$C$2,"state","TN"),"*"))</f>
        <v>0</v>
      </c>
      <c r="R15" s="418">
        <f>IF((GETPIVOTDATA("Total-New",'Distrib pivot table'!$C$2,"state","TX","group","1b6")/GETPIVOTDATA("Total-New",'Distrib pivot table'!$C$2,"state","TX"))=0,,IF(GETPIVOTDATA("Total-New",'Distrib pivot table'!$C$2,"state","TX","group","1b6")/GETPIVOTDATA("Total-New",'Distrib pivot table'!$C$2,"state","TX")&gt;0.0005,GETPIVOTDATA("Total-New",'Distrib pivot table'!$C$2,"state","TX","group","1b6")/GETPIVOTDATA("Total-New",'Distrib pivot table'!$C$2,"state","TX"),"*"))</f>
        <v>0</v>
      </c>
      <c r="S15" s="418">
        <f>IF((GETPIVOTDATA("Total-New",'Distrib pivot table'!$C$2,"state","VA","group","1b6")/GETPIVOTDATA("Total-New",'Distrib pivot table'!$C$2,"state","VA"))=0,,IF(GETPIVOTDATA("Total-New",'Distrib pivot table'!$C$2,"state","VA","group","1b6")/GETPIVOTDATA("Total-New",'Distrib pivot table'!$C$2,"state","VA")&gt;0.0005,GETPIVOTDATA("Total-New",'Distrib pivot table'!$C$2,"state","VA","group","1b6")/GETPIVOTDATA("Total-New",'Distrib pivot table'!$C$2,"state","VA"),"*"))</f>
        <v>3.7977445142043146E-3</v>
      </c>
      <c r="T15" s="418">
        <f>IF((GETPIVOTDATA("Total-New",'Distrib pivot table'!$C$2,"state","WV","group","1b6")/GETPIVOTDATA("Total-New",'Distrib pivot table'!$C$2,"state","WV"))=0,,IF(GETPIVOTDATA("Total-New",'Distrib pivot table'!$C$2,"state","WV","group","1b6")/GETPIVOTDATA("Total-New",'Distrib pivot table'!$C$2,"state","WV")&gt;0.0005,GETPIVOTDATA("Total-New",'Distrib pivot table'!$C$2,"state","WV","group","1b6")/GETPIVOTDATA("Total-New",'Distrib pivot table'!$C$2,"state","WV"),"*"))</f>
        <v>5.8650875843012703E-3</v>
      </c>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2.6" customHeight="1">
      <c r="A16" s="1486"/>
      <c r="B16" s="127" t="s">
        <v>295</v>
      </c>
      <c r="C16" s="371" t="s">
        <v>272</v>
      </c>
      <c r="D16" s="418">
        <f>IF(GETPIVOTDATA("Total-New",'Distrib pivot table'!$C$2,"group","1b7")/GETPIVOTDATA("Total-New",'Distrib pivot table'!$C$2)=0,,IF(GETPIVOTDATA("Total-New",'Distrib pivot table'!$C$2,"group","1b7")/GETPIVOTDATA("Total-New",'Distrib pivot table'!$C$2)&gt;0.0005,GETPIVOTDATA("Total-New",'Distrib pivot table'!$C$2,"group","1b7")/GETPIVOTDATA("Total-New",'Distrib pivot table'!$C$2),"*"))</f>
        <v>1.8923780104620957E-3</v>
      </c>
      <c r="E16" s="418">
        <f>IF((GETPIVOTDATA("Total-New",'Distrib pivot table'!$C$2,"state","AL","group","1b7")/GETPIVOTDATA("Total-New",'Distrib pivot table'!$C$2,"state","AL"))=0,,IF(GETPIVOTDATA("Total-New",'Distrib pivot table'!$C$2,"state","AL","group","1b7")/GETPIVOTDATA("Total-New",'Distrib pivot table'!$C$2,"state","AL")&gt;0.0005,GETPIVOTDATA("Total-New",'Distrib pivot table'!$C$2,"state","AL","group","1b7")/GETPIVOTDATA("Total-New",'Distrib pivot table'!$C$2,"state","AL"),"*"))</f>
        <v>6.5368938881575642E-3</v>
      </c>
      <c r="F16" s="418">
        <f>IF((GETPIVOTDATA("Total-New",'Distrib pivot table'!$C$2,"state","AR","group","1b7")/GETPIVOTDATA("Total-New",'Distrib pivot table'!$C$2,"state","AR"))=0,,IF(GETPIVOTDATA("Total-New",'Distrib pivot table'!$C$2,"state","AR","group","1b7")/GETPIVOTDATA("Total-New",'Distrib pivot table'!$C$2,"state","AR")&gt;0.0005,GETPIVOTDATA("Total-New",'Distrib pivot table'!$C$2,"state","AR","group","1b7")/GETPIVOTDATA("Total-New",'Distrib pivot table'!$C$2,"state","AR"),"*"))</f>
        <v>0</v>
      </c>
      <c r="G16" s="418">
        <f>IF((GETPIVOTDATA("Total-New",'Distrib pivot table'!$C$2,"state","DE","group","1b7")/GETPIVOTDATA("Total-New",'Distrib pivot table'!$C$2,"state","DE"))=0,,IF(GETPIVOTDATA("Total-New",'Distrib pivot table'!$C$2,"state","DE","group","1b7")/GETPIVOTDATA("Total-New",'Distrib pivot table'!$C$2,"state","DE")&gt;0.0005,GETPIVOTDATA("Total-New",'Distrib pivot table'!$C$2,"state","DE","group","1b7")/GETPIVOTDATA("Total-New",'Distrib pivot table'!$C$2,"state","DE"),"*"))</f>
        <v>0</v>
      </c>
      <c r="H16" s="418">
        <f>IF((GETPIVOTDATA("Total-New",'Distrib pivot table'!$C$2,"state","FL","group","1b7")/GETPIVOTDATA("Total-New",'Distrib pivot table'!$C$2,"state","FL"))=0,,IF(GETPIVOTDATA("Total-New",'Distrib pivot table'!$C$2,"state","FL","group","1b7")/GETPIVOTDATA("Total-New",'Distrib pivot table'!$C$2,"state","FL")&gt;0.0005,GETPIVOTDATA("Total-New",'Distrib pivot table'!$C$2,"state","FL","group","1b7")/GETPIVOTDATA("Total-New",'Distrib pivot table'!$C$2,"state","FL"),"*"))</f>
        <v>7.6527543523026171E-4</v>
      </c>
      <c r="I16" s="418">
        <f>IF((GETPIVOTDATA("Total-New",'Distrib pivot table'!$C$2,"state","GA","group","1b7")/GETPIVOTDATA("Total-New",'Distrib pivot table'!$C$2,"state","GA"))=0,,IF(GETPIVOTDATA("Total-New",'Distrib pivot table'!$C$2,"state","GA","group","1b7")/GETPIVOTDATA("Total-New",'Distrib pivot table'!$C$2,"state","GA")&gt;0.0005,GETPIVOTDATA("Total-New",'Distrib pivot table'!$C$2,"state","GA","group","1b7")/GETPIVOTDATA("Total-New",'Distrib pivot table'!$C$2,"state","GA"),"*"))</f>
        <v>0</v>
      </c>
      <c r="J16" s="418">
        <f>IF((GETPIVOTDATA("Total-New",'Distrib pivot table'!$C$2,"state","KY","group","1b7")/GETPIVOTDATA("Total-New",'Distrib pivot table'!$C$2,"state","KY"))=0,,IF(GETPIVOTDATA("Total-New",'Distrib pivot table'!$C$2,"state","KY","group","1b7")/GETPIVOTDATA("Total-New",'Distrib pivot table'!$C$2,"state","KY")&gt;0.0005,GETPIVOTDATA("Total-New",'Distrib pivot table'!$C$2,"state","KY","group","1b7")/GETPIVOTDATA("Total-New",'Distrib pivot table'!$C$2,"state","KY"),"*"))</f>
        <v>0</v>
      </c>
      <c r="K16" s="418">
        <f>IF((GETPIVOTDATA("Total-New",'Distrib pivot table'!$C$2,"state","LA","group","1b7")/GETPIVOTDATA("Total-New",'Distrib pivot table'!$C$2,"state","LA"))=0,,IF(GETPIVOTDATA("Total-New",'Distrib pivot table'!$C$2,"state","LA","group","1b7")/GETPIVOTDATA("Total-New",'Distrib pivot table'!$C$2,"state","LA")&gt;0.0005,GETPIVOTDATA("Total-New",'Distrib pivot table'!$C$2,"state","LA","group","1b7")/GETPIVOTDATA("Total-New",'Distrib pivot table'!$C$2,"state","LA"),"*"))</f>
        <v>0</v>
      </c>
      <c r="L16" s="418">
        <f>IF((GETPIVOTDATA("Total-New",'Distrib pivot table'!$C$2,"state","MD","group","1b7")/GETPIVOTDATA("Total-New",'Distrib pivot table'!$C$2,"state","MD"))=0,,IF(GETPIVOTDATA("Total-New",'Distrib pivot table'!$C$2,"state","MD","group","1b7")/GETPIVOTDATA("Total-New",'Distrib pivot table'!$C$2,"state","MD")&gt;0.0005,GETPIVOTDATA("Total-New",'Distrib pivot table'!$C$2,"state","MD","group","1b7")/GETPIVOTDATA("Total-New",'Distrib pivot table'!$C$2,"state","MD"),"*"))</f>
        <v>0</v>
      </c>
      <c r="M16" s="418">
        <f>IF((GETPIVOTDATA("Total-New",'Distrib pivot table'!$C$2,"state","MS","group","1b7")/GETPIVOTDATA("Total-New",'Distrib pivot table'!$C$2,"state","MS"))=0,,IF(GETPIVOTDATA("Total-New",'Distrib pivot table'!$C$2,"state","MS","group","1b7")/GETPIVOTDATA("Total-New",'Distrib pivot table'!$C$2,"state","MS")&gt;0.0005,GETPIVOTDATA("Total-New",'Distrib pivot table'!$C$2,"state","MS","group","1b7")/GETPIVOTDATA("Total-New",'Distrib pivot table'!$C$2,"state","MS"),"*"))</f>
        <v>1.3558974599716032E-2</v>
      </c>
      <c r="N16" s="418">
        <f>IF((GETPIVOTDATA("Total-New",'Distrib pivot table'!$C$2,"state","NC","group","1b7")/GETPIVOTDATA("Total-New",'Distrib pivot table'!$C$2,"state","NC"))=0,,IF(GETPIVOTDATA("Total-New",'Distrib pivot table'!$C$2,"state","NC","group","1b7")/GETPIVOTDATA("Total-New",'Distrib pivot table'!$C$2,"state","NC")&gt;0.0005,GETPIVOTDATA("Total-New",'Distrib pivot table'!$C$2,"state","NC","group","1b7")/GETPIVOTDATA("Total-New",'Distrib pivot table'!$C$2,"state","NC"),"*"))</f>
        <v>0</v>
      </c>
      <c r="O16" s="418">
        <f>IF((GETPIVOTDATA("Total-New",'Distrib pivot table'!$C$2,"state","OK","group","1b7")/GETPIVOTDATA("Total-New",'Distrib pivot table'!$C$2,"state","OK"))=0,,IF(GETPIVOTDATA("Total-New",'Distrib pivot table'!$C$2,"state","OK","group","1b7")/GETPIVOTDATA("Total-New",'Distrib pivot table'!$C$2,"state","OK")&gt;0.0005,GETPIVOTDATA("Total-New",'Distrib pivot table'!$C$2,"state","OK","group","1b7")/GETPIVOTDATA("Total-New",'Distrib pivot table'!$C$2,"state","OK"),"*"))</f>
        <v>0</v>
      </c>
      <c r="P16" s="418">
        <f>IF((GETPIVOTDATA("Total-New",'Distrib pivot table'!$C$2,"state","SC","group","1b7")/GETPIVOTDATA("Total-New",'Distrib pivot table'!$C$2,"state","SC"))=0,,IF(GETPIVOTDATA("Total-New",'Distrib pivot table'!$C$2,"state","SC","group","1b7")/GETPIVOTDATA("Total-New",'Distrib pivot table'!$C$2,"state","SC")&gt;0.0005,GETPIVOTDATA("Total-New",'Distrib pivot table'!$C$2,"state","SC","group","1b7")/GETPIVOTDATA("Total-New",'Distrib pivot table'!$C$2,"state","SC"),"*"))</f>
        <v>1.9840366565611712E-2</v>
      </c>
      <c r="Q16" s="418">
        <f>IF((GETPIVOTDATA("Total-New",'Distrib pivot table'!$C$2,"state","TN","group","1b7")/GETPIVOTDATA("Total-New",'Distrib pivot table'!$C$2,"state","TN"))=0,,IF(GETPIVOTDATA("Total-New",'Distrib pivot table'!$C$2,"state","TN","group","1b7")/GETPIVOTDATA("Total-New",'Distrib pivot table'!$C$2,"state","TN")&gt;0.0005,GETPIVOTDATA("Total-New",'Distrib pivot table'!$C$2,"state","TN","group","1b7")/GETPIVOTDATA("Total-New",'Distrib pivot table'!$C$2,"state","TN"),"*"))</f>
        <v>0</v>
      </c>
      <c r="R16" s="418">
        <f>IF((GETPIVOTDATA("Total-New",'Distrib pivot table'!$C$2,"state","TX","group","1b7")/GETPIVOTDATA("Total-New",'Distrib pivot table'!$C$2,"state","TX"))=0,,IF(GETPIVOTDATA("Total-New",'Distrib pivot table'!$C$2,"state","TX","group","1b7")/GETPIVOTDATA("Total-New",'Distrib pivot table'!$C$2,"state","TX")&gt;0.0005,GETPIVOTDATA("Total-New",'Distrib pivot table'!$C$2,"state","TX","group","1b7")/GETPIVOTDATA("Total-New",'Distrib pivot table'!$C$2,"state","TX"),"*"))</f>
        <v>0</v>
      </c>
      <c r="S16" s="418">
        <f>IF((GETPIVOTDATA("Total-New",'Distrib pivot table'!$C$2,"state","VA","group","1b7")/GETPIVOTDATA("Total-New",'Distrib pivot table'!$C$2,"state","VA"))=0,,IF(GETPIVOTDATA("Total-New",'Distrib pivot table'!$C$2,"state","VA","group","1b7")/GETPIVOTDATA("Total-New",'Distrib pivot table'!$C$2,"state","VA")&gt;0.0005,GETPIVOTDATA("Total-New",'Distrib pivot table'!$C$2,"state","VA","group","1b7")/GETPIVOTDATA("Total-New",'Distrib pivot table'!$C$2,"state","VA"),"*"))</f>
        <v>0</v>
      </c>
      <c r="T16" s="418">
        <f>IF((GETPIVOTDATA("Total-New",'Distrib pivot table'!$C$2,"state","WV","group","1b7")/GETPIVOTDATA("Total-New",'Distrib pivot table'!$C$2,"state","WV"))=0,,IF(GETPIVOTDATA("Total-New",'Distrib pivot table'!$C$2,"state","WV","group","1b7")/GETPIVOTDATA("Total-New",'Distrib pivot table'!$C$2,"state","WV")&gt;0.0005,GETPIVOTDATA("Total-New",'Distrib pivot table'!$C$2,"state","WV","group","1b7")/GETPIVOTDATA("Total-New",'Distrib pivot table'!$C$2,"state","WV"),"*"))</f>
        <v>4.4710898855204713E-3</v>
      </c>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s="45" customFormat="1" ht="26.25" customHeight="1">
      <c r="A17" s="1486"/>
      <c r="B17" s="126" t="s">
        <v>12</v>
      </c>
      <c r="C17" s="370" t="s">
        <v>273</v>
      </c>
      <c r="D17" s="419">
        <f>SUM(D18:D23)</f>
        <v>8.3641203831756137E-3</v>
      </c>
      <c r="E17" s="419">
        <f>SUM(E18:E23)</f>
        <v>6.6691830445757064E-3</v>
      </c>
      <c r="F17" s="419">
        <f>SUM(F18:F23)</f>
        <v>4.1171254894416531E-2</v>
      </c>
      <c r="G17" s="419">
        <f t="shared" ref="G17:T17" si="2">SUM(G18:G23)</f>
        <v>0</v>
      </c>
      <c r="H17" s="419">
        <f t="shared" si="2"/>
        <v>2.3982078269157475E-3</v>
      </c>
      <c r="I17" s="419">
        <f t="shared" si="2"/>
        <v>7.3492787455459044E-3</v>
      </c>
      <c r="J17" s="419">
        <f t="shared" si="2"/>
        <v>4.4806585515280344E-3</v>
      </c>
      <c r="K17" s="419">
        <f t="shared" si="2"/>
        <v>1.7904445794741129E-2</v>
      </c>
      <c r="L17" s="419">
        <f t="shared" si="2"/>
        <v>0</v>
      </c>
      <c r="M17" s="419">
        <f t="shared" si="2"/>
        <v>0</v>
      </c>
      <c r="N17" s="419">
        <f t="shared" si="2"/>
        <v>3.9858015428576095E-2</v>
      </c>
      <c r="O17" s="419">
        <f t="shared" si="2"/>
        <v>0</v>
      </c>
      <c r="P17" s="419">
        <f t="shared" si="2"/>
        <v>0</v>
      </c>
      <c r="Q17" s="419">
        <f t="shared" si="2"/>
        <v>0</v>
      </c>
      <c r="R17" s="419">
        <f t="shared" si="2"/>
        <v>6.2737899232761518E-3</v>
      </c>
      <c r="S17" s="419">
        <f t="shared" si="2"/>
        <v>7.6147926055326258E-4</v>
      </c>
      <c r="T17" s="419">
        <f t="shared" si="2"/>
        <v>3.8331866416939915E-3</v>
      </c>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2.6" customHeight="1">
      <c r="A18" s="1486"/>
      <c r="B18" s="127" t="s">
        <v>319</v>
      </c>
      <c r="C18" s="371" t="s">
        <v>274</v>
      </c>
      <c r="D18" s="418">
        <f>IF(GETPIVOTDATA("Total-New",'Distrib pivot table'!$C$2,"group","1c1")/GETPIVOTDATA("Total-New",'Distrib pivot table'!$C$2)=0,,IF(GETPIVOTDATA("Total-New",'Distrib pivot table'!$C$2,"group","1c1")/GETPIVOTDATA("Total-New",'Distrib pivot table'!$C$2)&gt;0.0005,GETPIVOTDATA("Total-New",'Distrib pivot table'!$C$2,"group","1c1")/GETPIVOTDATA("Total-New",'Distrib pivot table'!$C$2),"*"))</f>
        <v>1.9081678774421436E-3</v>
      </c>
      <c r="E18" s="418">
        <f>IF((GETPIVOTDATA("Total-New",'Distrib pivot table'!$C$2,"state","AL","group","1c1")/GETPIVOTDATA("Total-New",'Distrib pivot table'!$C$2,"state","AL"))=0,,IF(GETPIVOTDATA("Total-New",'Distrib pivot table'!$C$2,"state","AL","group","1c1")/GETPIVOTDATA("Total-New",'Distrib pivot table'!$C$2,"state","AL")&gt;0.0005,GETPIVOTDATA("Total-New",'Distrib pivot table'!$C$2,"state","AL","group","1c1")/GETPIVOTDATA("Total-New",'Distrib pivot table'!$C$2,"state","AL"),"*"))</f>
        <v>0</v>
      </c>
      <c r="F18" s="418">
        <f>IF((GETPIVOTDATA("Total-New",'Distrib pivot table'!$C$2,"state","AR","group","1c1")/GETPIVOTDATA("Total-New",'Distrib pivot table'!$C$2,"state","AR"))=0,,IF(GETPIVOTDATA("Total-New",'Distrib pivot table'!$C$2,"state","AR","group","1c1")/GETPIVOTDATA("Total-New",'Distrib pivot table'!$C$2,"state","AR")&gt;0.0005,GETPIVOTDATA("Total-New",'Distrib pivot table'!$C$2,"state","AR","group","1c1")/GETPIVOTDATA("Total-New",'Distrib pivot table'!$C$2,"state","AR"),"*"))</f>
        <v>0</v>
      </c>
      <c r="G18" s="418">
        <f>IF((GETPIVOTDATA("Total-New",'Distrib pivot table'!$C$2,"state","DE","group","1c1")/GETPIVOTDATA("Total-New",'Distrib pivot table'!$C$2,"state","DE"))=0,,IF(GETPIVOTDATA("Total-New",'Distrib pivot table'!$C$2,"state","DE","group","1c1")/GETPIVOTDATA("Total-New",'Distrib pivot table'!$C$2,"state","DE")&gt;0.0005,GETPIVOTDATA("Total-New",'Distrib pivot table'!$C$2,"state","DE","group","1c1")/GETPIVOTDATA("Total-New",'Distrib pivot table'!$C$2,"state","DE"),"*"))</f>
        <v>0</v>
      </c>
      <c r="H18" s="418">
        <f>IF((GETPIVOTDATA("Total-New",'Distrib pivot table'!$C$2,"state","FL","group","1c1")/GETPIVOTDATA("Total-New",'Distrib pivot table'!$C$2,"state","FL"))=0,,IF(GETPIVOTDATA("Total-New",'Distrib pivot table'!$C$2,"state","FL","group","1c1")/GETPIVOTDATA("Total-New",'Distrib pivot table'!$C$2,"state","FL")&gt;0.0005,GETPIVOTDATA("Total-New",'Distrib pivot table'!$C$2,"state","FL","group","1c1")/GETPIVOTDATA("Total-New",'Distrib pivot table'!$C$2,"state","FL"),"*"))</f>
        <v>0</v>
      </c>
      <c r="I18" s="418">
        <f>IF((GETPIVOTDATA("Total-New",'Distrib pivot table'!$C$2,"state","GA","group","1c1")/GETPIVOTDATA("Total-New",'Distrib pivot table'!$C$2,"state","GA"))=0,,IF(GETPIVOTDATA("Total-New",'Distrib pivot table'!$C$2,"state","GA","group","1c1")/GETPIVOTDATA("Total-New",'Distrib pivot table'!$C$2,"state","GA")&gt;0.0005,GETPIVOTDATA("Total-New",'Distrib pivot table'!$C$2,"state","GA","group","1c1")/GETPIVOTDATA("Total-New",'Distrib pivot table'!$C$2,"state","GA"),"*"))</f>
        <v>0</v>
      </c>
      <c r="J18" s="418">
        <f>IF((GETPIVOTDATA("Total-New",'Distrib pivot table'!$C$2,"state","KY","group","1c1")/GETPIVOTDATA("Total-New",'Distrib pivot table'!$C$2,"state","KY"))=0,,IF(GETPIVOTDATA("Total-New",'Distrib pivot table'!$C$2,"state","KY","group","1c1")/GETPIVOTDATA("Total-New",'Distrib pivot table'!$C$2,"state","KY")&gt;0.0005,GETPIVOTDATA("Total-New",'Distrib pivot table'!$C$2,"state","KY","group","1c1")/GETPIVOTDATA("Total-New",'Distrib pivot table'!$C$2,"state","KY"),"*"))</f>
        <v>4.4806585515280344E-3</v>
      </c>
      <c r="K18" s="418" t="str">
        <f>IF((GETPIVOTDATA("Total-New",'Distrib pivot table'!$C$2,"state","LA","group","1c1")/GETPIVOTDATA("Total-New",'Distrib pivot table'!$C$2,"state","LA"))=0,,IF(GETPIVOTDATA("Total-New",'Distrib pivot table'!$C$2,"state","LA","group","1c1")/GETPIVOTDATA("Total-New",'Distrib pivot table'!$C$2,"state","LA")&gt;0.0005,GETPIVOTDATA("Total-New",'Distrib pivot table'!$C$2,"state","LA","group","1c1")/GETPIVOTDATA("Total-New",'Distrib pivot table'!$C$2,"state","LA"),"*"))</f>
        <v>*</v>
      </c>
      <c r="L18" s="418">
        <f>IF((GETPIVOTDATA("Total-New",'Distrib pivot table'!$C$2,"state","MD","group","1c1")/GETPIVOTDATA("Total-New",'Distrib pivot table'!$C$2,"state","MD"))=0,,IF(GETPIVOTDATA("Total-New",'Distrib pivot table'!$C$2,"state","MD","group","1c1")/GETPIVOTDATA("Total-New",'Distrib pivot table'!$C$2,"state","MD")&gt;0.0005,GETPIVOTDATA("Total-New",'Distrib pivot table'!$C$2,"state","MD","group","1c1")/GETPIVOTDATA("Total-New",'Distrib pivot table'!$C$2,"state","MD"),"*"))</f>
        <v>0</v>
      </c>
      <c r="M18" s="418" t="str">
        <f>IF((GETPIVOTDATA("Total-New",'Distrib pivot table'!$C$2,"state","MS","group","1c1")/GETPIVOTDATA("Total-New",'Distrib pivot table'!$C$2,"state","MS"))=0,,IF(GETPIVOTDATA("Total-New",'Distrib pivot table'!$C$2,"state","MS","group","1c1")/GETPIVOTDATA("Total-New",'Distrib pivot table'!$C$2,"state","MS")&gt;0.0005,GETPIVOTDATA("Total-New",'Distrib pivot table'!$C$2,"state","MS","group","1c1")/GETPIVOTDATA("Total-New",'Distrib pivot table'!$C$2,"state","MS"),"*"))</f>
        <v>*</v>
      </c>
      <c r="N18" s="418">
        <f>IF((GETPIVOTDATA("Total-New",'Distrib pivot table'!$C$2,"state","NC","group","1c1")/GETPIVOTDATA("Total-New",'Distrib pivot table'!$C$2,"state","NC"))=0,,IF(GETPIVOTDATA("Total-New",'Distrib pivot table'!$C$2,"state","NC","group","1c1")/GETPIVOTDATA("Total-New",'Distrib pivot table'!$C$2,"state","NC")&gt;0.0005,GETPIVOTDATA("Total-New",'Distrib pivot table'!$C$2,"state","NC","group","1c1")/GETPIVOTDATA("Total-New",'Distrib pivot table'!$C$2,"state","NC"),"*"))</f>
        <v>9.035648727334044E-3</v>
      </c>
      <c r="O18" s="418">
        <f>IF((GETPIVOTDATA("Total-New",'Distrib pivot table'!$C$2,"state","OK","group","1c1")/GETPIVOTDATA("Total-New",'Distrib pivot table'!$C$2,"state","OK"))=0,,IF(GETPIVOTDATA("Total-New",'Distrib pivot table'!$C$2,"state","OK","group","1c1")/GETPIVOTDATA("Total-New",'Distrib pivot table'!$C$2,"state","OK")&gt;0.0005,GETPIVOTDATA("Total-New",'Distrib pivot table'!$C$2,"state","OK","group","1c1")/GETPIVOTDATA("Total-New",'Distrib pivot table'!$C$2,"state","OK"),"*"))</f>
        <v>0</v>
      </c>
      <c r="P18" s="418">
        <f>IF((GETPIVOTDATA("Total-New",'Distrib pivot table'!$C$2,"state","SC","group","1c1")/GETPIVOTDATA("Total-New",'Distrib pivot table'!$C$2,"state","SC"))=0,,IF(GETPIVOTDATA("Total-New",'Distrib pivot table'!$C$2,"state","SC","group","1c1")/GETPIVOTDATA("Total-New",'Distrib pivot table'!$C$2,"state","SC")&gt;0.0005,GETPIVOTDATA("Total-New",'Distrib pivot table'!$C$2,"state","SC","group","1c1")/GETPIVOTDATA("Total-New",'Distrib pivot table'!$C$2,"state","SC"),"*"))</f>
        <v>0</v>
      </c>
      <c r="Q18" s="418">
        <f>IF((GETPIVOTDATA("Total-New",'Distrib pivot table'!$C$2,"state","TN","group","1c1")/GETPIVOTDATA("Total-New",'Distrib pivot table'!$C$2,"state","TN"))=0,,IF(GETPIVOTDATA("Total-New",'Distrib pivot table'!$C$2,"state","TN","group","1c1")/GETPIVOTDATA("Total-New",'Distrib pivot table'!$C$2,"state","TN")&gt;0.0005,GETPIVOTDATA("Total-New",'Distrib pivot table'!$C$2,"state","TN","group","1c1")/GETPIVOTDATA("Total-New",'Distrib pivot table'!$C$2,"state","TN"),"*"))</f>
        <v>0</v>
      </c>
      <c r="R18" s="418">
        <f>IF((GETPIVOTDATA("Total-New",'Distrib pivot table'!$C$2,"state","TX","group","1c1")/GETPIVOTDATA("Total-New",'Distrib pivot table'!$C$2,"state","TX"))=0,,IF(GETPIVOTDATA("Total-New",'Distrib pivot table'!$C$2,"state","TX","group","1c1")/GETPIVOTDATA("Total-New",'Distrib pivot table'!$C$2,"state","TX")&gt;0.0005,GETPIVOTDATA("Total-New",'Distrib pivot table'!$C$2,"state","TX","group","1c1")/GETPIVOTDATA("Total-New",'Distrib pivot table'!$C$2,"state","TX"),"*"))</f>
        <v>3.7039275719187932E-3</v>
      </c>
      <c r="S18" s="418">
        <f>IF((GETPIVOTDATA("Total-New",'Distrib pivot table'!$C$2,"state","VA","group","1c1")/GETPIVOTDATA("Total-New",'Distrib pivot table'!$C$2,"state","VA"))=0,,IF(GETPIVOTDATA("Total-New",'Distrib pivot table'!$C$2,"state","VA","group","1c1")/GETPIVOTDATA("Total-New",'Distrib pivot table'!$C$2,"state","VA")&gt;0.0005,GETPIVOTDATA("Total-New",'Distrib pivot table'!$C$2,"state","VA","group","1c1")/GETPIVOTDATA("Total-New",'Distrib pivot table'!$C$2,"state","VA"),"*"))</f>
        <v>0</v>
      </c>
      <c r="T18" s="418">
        <f>IF((GETPIVOTDATA("Total-New",'Distrib pivot table'!$C$2,"state","WV","group","1c1")/GETPIVOTDATA("Total-New",'Distrib pivot table'!$C$2,"state","WV"))=0,,IF(GETPIVOTDATA("Total-New",'Distrib pivot table'!$C$2,"state","WV","group","1c1")/GETPIVOTDATA("Total-New",'Distrib pivot table'!$C$2,"state","WV")&gt;0.0005,GETPIVOTDATA("Total-New",'Distrib pivot table'!$C$2,"state","WV","group","1c1")/GETPIVOTDATA("Total-New",'Distrib pivot table'!$C$2,"state","WV"),"*"))</f>
        <v>3.8331866416939915E-3</v>
      </c>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12.6" customHeight="1">
      <c r="A19" s="1486"/>
      <c r="B19" s="127" t="s">
        <v>258</v>
      </c>
      <c r="C19" s="371" t="s">
        <v>275</v>
      </c>
      <c r="D19" s="418">
        <f>IF(GETPIVOTDATA("Total-New",'Distrib pivot table'!$C$2,"group","1c2")/GETPIVOTDATA("Total-New",'Distrib pivot table'!$C$2)=0,,IF(GETPIVOTDATA("Total-New",'Distrib pivot table'!$C$2,"group","1c2")/GETPIVOTDATA("Total-New",'Distrib pivot table'!$C$2)&gt;0.0005,GETPIVOTDATA("Total-New",'Distrib pivot table'!$C$2,"group","1c2")/GETPIVOTDATA("Total-New",'Distrib pivot table'!$C$2),"*"))</f>
        <v>2.4898805475936799E-3</v>
      </c>
      <c r="E19" s="418">
        <f>IF((GETPIVOTDATA("Total-New",'Distrib pivot table'!$C$2,"state","AL","group","1c2")/GETPIVOTDATA("Total-New",'Distrib pivot table'!$C$2,"state","AL"))=0,,IF(GETPIVOTDATA("Total-New",'Distrib pivot table'!$C$2,"state","AL","group","1c2")/GETPIVOTDATA("Total-New",'Distrib pivot table'!$C$2,"state","AL")&gt;0.0005,GETPIVOTDATA("Total-New",'Distrib pivot table'!$C$2,"state","AL","group","1c2")/GETPIVOTDATA("Total-New",'Distrib pivot table'!$C$2,"state","AL"),"*"))</f>
        <v>0</v>
      </c>
      <c r="F19" s="418">
        <f>IF((GETPIVOTDATA("Total-New",'Distrib pivot table'!$C$2,"state","AR","group","1c2")/GETPIVOTDATA("Total-New",'Distrib pivot table'!$C$2,"state","AR"))=0,,IF(GETPIVOTDATA("Total-New",'Distrib pivot table'!$C$2,"state","AR","group","1c2")/GETPIVOTDATA("Total-New",'Distrib pivot table'!$C$2,"state","AR")&gt;0.0005,GETPIVOTDATA("Total-New",'Distrib pivot table'!$C$2,"state","AR","group","1c2")/GETPIVOTDATA("Total-New",'Distrib pivot table'!$C$2,"state","AR"),"*"))</f>
        <v>0</v>
      </c>
      <c r="G19" s="418">
        <f>IF((GETPIVOTDATA("Total-New",'Distrib pivot table'!$C$2,"state","DE","group","1c2")/GETPIVOTDATA("Total-New",'Distrib pivot table'!$C$2,"state","DE"))=0,,IF(GETPIVOTDATA("Total-New",'Distrib pivot table'!$C$2,"state","DE","group","1c2")/GETPIVOTDATA("Total-New",'Distrib pivot table'!$C$2,"state","DE")&gt;0.0005,GETPIVOTDATA("Total-New",'Distrib pivot table'!$C$2,"state","DE","group","1c2")/GETPIVOTDATA("Total-New",'Distrib pivot table'!$C$2,"state","DE"),"*"))</f>
        <v>0</v>
      </c>
      <c r="H19" s="418">
        <f>IF((GETPIVOTDATA("Total-New",'Distrib pivot table'!$C$2,"state","FL","group","1c2")/GETPIVOTDATA("Total-New",'Distrib pivot table'!$C$2,"state","FL"))=0,,IF(GETPIVOTDATA("Total-New",'Distrib pivot table'!$C$2,"state","FL","group","1c2")/GETPIVOTDATA("Total-New",'Distrib pivot table'!$C$2,"state","FL")&gt;0.0005,GETPIVOTDATA("Total-New",'Distrib pivot table'!$C$2,"state","FL","group","1c2")/GETPIVOTDATA("Total-New",'Distrib pivot table'!$C$2,"state","FL"),"*"))</f>
        <v>0</v>
      </c>
      <c r="I19" s="418">
        <f>IF((GETPIVOTDATA("Total-New",'Distrib pivot table'!$C$2,"state","GA","group","1c2")/GETPIVOTDATA("Total-New",'Distrib pivot table'!$C$2,"state","GA"))=0,,IF(GETPIVOTDATA("Total-New",'Distrib pivot table'!$C$2,"state","GA","group","1c2")/GETPIVOTDATA("Total-New",'Distrib pivot table'!$C$2,"state","GA")&gt;0.0005,GETPIVOTDATA("Total-New",'Distrib pivot table'!$C$2,"state","GA","group","1c2")/GETPIVOTDATA("Total-New",'Distrib pivot table'!$C$2,"state","GA"),"*"))</f>
        <v>0</v>
      </c>
      <c r="J19" s="418">
        <f>IF((GETPIVOTDATA("Total-New",'Distrib pivot table'!$C$2,"state","KY","group","1c2")/GETPIVOTDATA("Total-New",'Distrib pivot table'!$C$2,"state","KY"))=0,,IF(GETPIVOTDATA("Total-New",'Distrib pivot table'!$C$2,"state","KY","group","1c2")/GETPIVOTDATA("Total-New",'Distrib pivot table'!$C$2,"state","KY")&gt;0.0005,GETPIVOTDATA("Total-New",'Distrib pivot table'!$C$2,"state","KY","group","1c2")/GETPIVOTDATA("Total-New",'Distrib pivot table'!$C$2,"state","KY"),"*"))</f>
        <v>0</v>
      </c>
      <c r="K19" s="418">
        <f>IF((GETPIVOTDATA("Total-New",'Distrib pivot table'!$C$2,"state","LA","group","1c2")/GETPIVOTDATA("Total-New",'Distrib pivot table'!$C$2,"state","LA"))=0,,IF(GETPIVOTDATA("Total-New",'Distrib pivot table'!$C$2,"state","LA","group","1c2")/GETPIVOTDATA("Total-New",'Distrib pivot table'!$C$2,"state","LA")&gt;0.0005,GETPIVOTDATA("Total-New",'Distrib pivot table'!$C$2,"state","LA","group","1c2")/GETPIVOTDATA("Total-New",'Distrib pivot table'!$C$2,"state","LA"),"*"))</f>
        <v>0</v>
      </c>
      <c r="L19" s="418">
        <f>IF((GETPIVOTDATA("Total-New",'Distrib pivot table'!$C$2,"state","MD","group","1c2")/GETPIVOTDATA("Total-New",'Distrib pivot table'!$C$2,"state","MD"))=0,,IF(GETPIVOTDATA("Total-New",'Distrib pivot table'!$C$2,"state","MD","group","1c2")/GETPIVOTDATA("Total-New",'Distrib pivot table'!$C$2,"state","MD")&gt;0.0005,GETPIVOTDATA("Total-New",'Distrib pivot table'!$C$2,"state","MD","group","1c2")/GETPIVOTDATA("Total-New",'Distrib pivot table'!$C$2,"state","MD"),"*"))</f>
        <v>0</v>
      </c>
      <c r="M19" s="418">
        <f>IF((GETPIVOTDATA("Total-New",'Distrib pivot table'!$C$2,"state","MS","group","1c2")/GETPIVOTDATA("Total-New",'Distrib pivot table'!$C$2,"state","MS"))=0,,IF(GETPIVOTDATA("Total-New",'Distrib pivot table'!$C$2,"state","MS","group","1c2")/GETPIVOTDATA("Total-New",'Distrib pivot table'!$C$2,"state","MS")&gt;0.0005,GETPIVOTDATA("Total-New",'Distrib pivot table'!$C$2,"state","MS","group","1c2")/GETPIVOTDATA("Total-New",'Distrib pivot table'!$C$2,"state","MS"),"*"))</f>
        <v>0</v>
      </c>
      <c r="N19" s="418">
        <f>IF((GETPIVOTDATA("Total-New",'Distrib pivot table'!$C$2,"state","NC","group","1c2")/GETPIVOTDATA("Total-New",'Distrib pivot table'!$C$2,"state","NC"))=0,,IF(GETPIVOTDATA("Total-New",'Distrib pivot table'!$C$2,"state","NC","group","1c2")/GETPIVOTDATA("Total-New",'Distrib pivot table'!$C$2,"state","NC")&gt;0.0005,GETPIVOTDATA("Total-New",'Distrib pivot table'!$C$2,"state","NC","group","1c2")/GETPIVOTDATA("Total-New",'Distrib pivot table'!$C$2,"state","NC"),"*"))</f>
        <v>2.6311974900058026E-2</v>
      </c>
      <c r="O19" s="418">
        <f>IF((GETPIVOTDATA("Total-New",'Distrib pivot table'!$C$2,"state","OK","group","1c2")/GETPIVOTDATA("Total-New",'Distrib pivot table'!$C$2,"state","OK"))=0,,IF(GETPIVOTDATA("Total-New",'Distrib pivot table'!$C$2,"state","OK","group","1c2")/GETPIVOTDATA("Total-New",'Distrib pivot table'!$C$2,"state","OK")&gt;0.0005,GETPIVOTDATA("Total-New",'Distrib pivot table'!$C$2,"state","OK","group","1c2")/GETPIVOTDATA("Total-New",'Distrib pivot table'!$C$2,"state","OK"),"*"))</f>
        <v>0</v>
      </c>
      <c r="P19" s="418">
        <f>IF((GETPIVOTDATA("Total-New",'Distrib pivot table'!$C$2,"state","SC","group","1c2")/GETPIVOTDATA("Total-New",'Distrib pivot table'!$C$2,"state","SC"))=0,,IF(GETPIVOTDATA("Total-New",'Distrib pivot table'!$C$2,"state","SC","group","1c2")/GETPIVOTDATA("Total-New",'Distrib pivot table'!$C$2,"state","SC")&gt;0.0005,GETPIVOTDATA("Total-New",'Distrib pivot table'!$C$2,"state","SC","group","1c2")/GETPIVOTDATA("Total-New",'Distrib pivot table'!$C$2,"state","SC"),"*"))</f>
        <v>0</v>
      </c>
      <c r="Q19" s="418">
        <f>IF((GETPIVOTDATA("Total-New",'Distrib pivot table'!$C$2,"state","TN","group","1c2")/GETPIVOTDATA("Total-New",'Distrib pivot table'!$C$2,"state","TN"))=0,,IF(GETPIVOTDATA("Total-New",'Distrib pivot table'!$C$2,"state","TN","group","1c2")/GETPIVOTDATA("Total-New",'Distrib pivot table'!$C$2,"state","TN")&gt;0.0005,GETPIVOTDATA("Total-New",'Distrib pivot table'!$C$2,"state","TN","group","1c2")/GETPIVOTDATA("Total-New",'Distrib pivot table'!$C$2,"state","TN"),"*"))</f>
        <v>0</v>
      </c>
      <c r="R19" s="418">
        <f>IF((GETPIVOTDATA("Total-New",'Distrib pivot table'!$C$2,"state","TX","group","1c2")/GETPIVOTDATA("Total-New",'Distrib pivot table'!$C$2,"state","TX"))=0,,IF(GETPIVOTDATA("Total-New",'Distrib pivot table'!$C$2,"state","TX","group","1c2")/GETPIVOTDATA("Total-New",'Distrib pivot table'!$C$2,"state","TX")&gt;0.0005,GETPIVOTDATA("Total-New",'Distrib pivot table'!$C$2,"state","TX","group","1c2")/GETPIVOTDATA("Total-New",'Distrib pivot table'!$C$2,"state","TX"),"*"))</f>
        <v>0</v>
      </c>
      <c r="S19" s="418">
        <f>IF((GETPIVOTDATA("Total-New",'Distrib pivot table'!$C$2,"state","VA","group","1c2")/GETPIVOTDATA("Total-New",'Distrib pivot table'!$C$2,"state","VA"))=0,,IF(GETPIVOTDATA("Total-New",'Distrib pivot table'!$C$2,"state","VA","group","1c2")/GETPIVOTDATA("Total-New",'Distrib pivot table'!$C$2,"state","VA")&gt;0.0005,GETPIVOTDATA("Total-New",'Distrib pivot table'!$C$2,"state","VA","group","1c2")/GETPIVOTDATA("Total-New",'Distrib pivot table'!$C$2,"state","VA"),"*"))</f>
        <v>0</v>
      </c>
      <c r="T19" s="418" t="str">
        <f>IF((GETPIVOTDATA("Total-New",'Distrib pivot table'!$C$2,"state","WV","group","1c2")/GETPIVOTDATA("Total-New",'Distrib pivot table'!$C$2,"state","WV"))=0,,IF(GETPIVOTDATA("Total-New",'Distrib pivot table'!$C$2,"state","WV","group","1c2")/GETPIVOTDATA("Total-New",'Distrib pivot table'!$C$2,"state","WV")&gt;0.0005,GETPIVOTDATA("Total-New",'Distrib pivot table'!$C$2,"state","WV","group","1c2")/GETPIVOTDATA("Total-New",'Distrib pivot table'!$C$2,"state","WV"),"*"))</f>
        <v>*</v>
      </c>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12.6" customHeight="1">
      <c r="A20" s="1486"/>
      <c r="B20" s="127" t="s">
        <v>257</v>
      </c>
      <c r="C20" s="371" t="s">
        <v>276</v>
      </c>
      <c r="D20" s="418">
        <f>IF(GETPIVOTDATA("Total-New",'Distrib pivot table'!$C$2,"group","1c3")/GETPIVOTDATA("Total-New",'Distrib pivot table'!$C$2)=0,,IF(GETPIVOTDATA("Total-New",'Distrib pivot table'!$C$2,"group","1c3")/GETPIVOTDATA("Total-New",'Distrib pivot table'!$C$2)&gt;0.0005,GETPIVOTDATA("Total-New",'Distrib pivot table'!$C$2,"group","1c3")/GETPIVOTDATA("Total-New",'Distrib pivot table'!$C$2),"*"))</f>
        <v>1.1126149909258909E-3</v>
      </c>
      <c r="E20" s="418">
        <f>IF((GETPIVOTDATA("Total-New",'Distrib pivot table'!$C$2,"state","AL","group","1c3")/GETPIVOTDATA("Total-New",'Distrib pivot table'!$C$2,"state","AL"))=0,,IF(GETPIVOTDATA("Total-New",'Distrib pivot table'!$C$2,"state","AL","group","1c3")/GETPIVOTDATA("Total-New",'Distrib pivot table'!$C$2,"state","AL")&gt;0.0005,GETPIVOTDATA("Total-New",'Distrib pivot table'!$C$2,"state","AL","group","1c3")/GETPIVOTDATA("Total-New",'Distrib pivot table'!$C$2,"state","AL"),"*"))</f>
        <v>0</v>
      </c>
      <c r="F20" s="418">
        <f>IF((GETPIVOTDATA("Total-New",'Distrib pivot table'!$C$2,"state","AR","group","1c3")/GETPIVOTDATA("Total-New",'Distrib pivot table'!$C$2,"state","AR"))=0,,IF(GETPIVOTDATA("Total-New",'Distrib pivot table'!$C$2,"state","AR","group","1c3")/GETPIVOTDATA("Total-New",'Distrib pivot table'!$C$2,"state","AR")&gt;0.0005,GETPIVOTDATA("Total-New",'Distrib pivot table'!$C$2,"state","AR","group","1c3")/GETPIVOTDATA("Total-New",'Distrib pivot table'!$C$2,"state","AR"),"*"))</f>
        <v>3.8741009080044506E-2</v>
      </c>
      <c r="G20" s="418">
        <f>IF((GETPIVOTDATA("Total-New",'Distrib pivot table'!$C$2,"state","DE","group","1c3")/GETPIVOTDATA("Total-New",'Distrib pivot table'!$C$2,"state","DE"))=0,,IF(GETPIVOTDATA("Total-New",'Distrib pivot table'!$C$2,"state","DE","group","1c3")/GETPIVOTDATA("Total-New",'Distrib pivot table'!$C$2,"state","DE")&gt;0.0005,GETPIVOTDATA("Total-New",'Distrib pivot table'!$C$2,"state","DE","group","1c3")/GETPIVOTDATA("Total-New",'Distrib pivot table'!$C$2,"state","DE"),"*"))</f>
        <v>0</v>
      </c>
      <c r="H20" s="418">
        <f>IF((GETPIVOTDATA("Total-New",'Distrib pivot table'!$C$2,"state","FL","group","1c3")/GETPIVOTDATA("Total-New",'Distrib pivot table'!$C$2,"state","FL"))=0,,IF(GETPIVOTDATA("Total-New",'Distrib pivot table'!$C$2,"state","FL","group","1c3")/GETPIVOTDATA("Total-New",'Distrib pivot table'!$C$2,"state","FL")&gt;0.0005,GETPIVOTDATA("Total-New",'Distrib pivot table'!$C$2,"state","FL","group","1c3")/GETPIVOTDATA("Total-New",'Distrib pivot table'!$C$2,"state","FL"),"*"))</f>
        <v>0</v>
      </c>
      <c r="I20" s="418">
        <f>IF((GETPIVOTDATA("Total-New",'Distrib pivot table'!$C$2,"state","GA","group","1c3")/GETPIVOTDATA("Total-New",'Distrib pivot table'!$C$2,"state","GA"))=0,,IF(GETPIVOTDATA("Total-New",'Distrib pivot table'!$C$2,"state","GA","group","1c3")/GETPIVOTDATA("Total-New",'Distrib pivot table'!$C$2,"state","GA")&gt;0.0005,GETPIVOTDATA("Total-New",'Distrib pivot table'!$C$2,"state","GA","group","1c3")/GETPIVOTDATA("Total-New",'Distrib pivot table'!$C$2,"state","GA"),"*"))</f>
        <v>0</v>
      </c>
      <c r="J20" s="418">
        <f>IF((GETPIVOTDATA("Total-New",'Distrib pivot table'!$C$2,"state","KY","group","1c3")/GETPIVOTDATA("Total-New",'Distrib pivot table'!$C$2,"state","KY"))=0,,IF(GETPIVOTDATA("Total-New",'Distrib pivot table'!$C$2,"state","KY","group","1c3")/GETPIVOTDATA("Total-New",'Distrib pivot table'!$C$2,"state","KY")&gt;0.0005,GETPIVOTDATA("Total-New",'Distrib pivot table'!$C$2,"state","KY","group","1c3")/GETPIVOTDATA("Total-New",'Distrib pivot table'!$C$2,"state","KY"),"*"))</f>
        <v>0</v>
      </c>
      <c r="K20" s="418">
        <f>IF((GETPIVOTDATA("Total-New",'Distrib pivot table'!$C$2,"state","LA","group","1c3")/GETPIVOTDATA("Total-New",'Distrib pivot table'!$C$2,"state","LA"))=0,,IF(GETPIVOTDATA("Total-New",'Distrib pivot table'!$C$2,"state","LA","group","1c3")/GETPIVOTDATA("Total-New",'Distrib pivot table'!$C$2,"state","LA")&gt;0.0005,GETPIVOTDATA("Total-New",'Distrib pivot table'!$C$2,"state","LA","group","1c3")/GETPIVOTDATA("Total-New",'Distrib pivot table'!$C$2,"state","LA"),"*"))</f>
        <v>0</v>
      </c>
      <c r="L20" s="418">
        <f>IF((GETPIVOTDATA("Total-New",'Distrib pivot table'!$C$2,"state","MD","group","1c3")/GETPIVOTDATA("Total-New",'Distrib pivot table'!$C$2,"state","MD"))=0,,IF(GETPIVOTDATA("Total-New",'Distrib pivot table'!$C$2,"state","MD","group","1c3")/GETPIVOTDATA("Total-New",'Distrib pivot table'!$C$2,"state","MD")&gt;0.0005,GETPIVOTDATA("Total-New",'Distrib pivot table'!$C$2,"state","MD","group","1c3")/GETPIVOTDATA("Total-New",'Distrib pivot table'!$C$2,"state","MD"),"*"))</f>
        <v>0</v>
      </c>
      <c r="M20" s="418">
        <f>IF((GETPIVOTDATA("Total-New",'Distrib pivot table'!$C$2,"state","MS","group","1c3")/GETPIVOTDATA("Total-New",'Distrib pivot table'!$C$2,"state","MS"))=0,,IF(GETPIVOTDATA("Total-New",'Distrib pivot table'!$C$2,"state","MS","group","1c3")/GETPIVOTDATA("Total-New",'Distrib pivot table'!$C$2,"state","MS")&gt;0.0005,GETPIVOTDATA("Total-New",'Distrib pivot table'!$C$2,"state","MS","group","1c3")/GETPIVOTDATA("Total-New",'Distrib pivot table'!$C$2,"state","MS"),"*"))</f>
        <v>0</v>
      </c>
      <c r="N20" s="418">
        <f>IF((GETPIVOTDATA("Total-New",'Distrib pivot table'!$C$2,"state","NC","group","1c3")/GETPIVOTDATA("Total-New",'Distrib pivot table'!$C$2,"state","NC"))=0,,IF(GETPIVOTDATA("Total-New",'Distrib pivot table'!$C$2,"state","NC","group","1c3")/GETPIVOTDATA("Total-New",'Distrib pivot table'!$C$2,"state","NC")&gt;0.0005,GETPIVOTDATA("Total-New",'Distrib pivot table'!$C$2,"state","NC","group","1c3")/GETPIVOTDATA("Total-New",'Distrib pivot table'!$C$2,"state","NC"),"*"))</f>
        <v>0</v>
      </c>
      <c r="O20" s="418">
        <f>IF((GETPIVOTDATA("Total-New",'Distrib pivot table'!$C$2,"state","OK","group","1c3")/GETPIVOTDATA("Total-New",'Distrib pivot table'!$C$2,"state","OK"))=0,,IF(GETPIVOTDATA("Total-New",'Distrib pivot table'!$C$2,"state","OK","group","1c3")/GETPIVOTDATA("Total-New",'Distrib pivot table'!$C$2,"state","OK")&gt;0.0005,GETPIVOTDATA("Total-New",'Distrib pivot table'!$C$2,"state","OK","group","1c3")/GETPIVOTDATA("Total-New",'Distrib pivot table'!$C$2,"state","OK"),"*"))</f>
        <v>0</v>
      </c>
      <c r="P20" s="418">
        <f>IF((GETPIVOTDATA("Total-New",'Distrib pivot table'!$C$2,"state","SC","group","1c3")/GETPIVOTDATA("Total-New",'Distrib pivot table'!$C$2,"state","SC"))=0,,IF(GETPIVOTDATA("Total-New",'Distrib pivot table'!$C$2,"state","SC","group","1c3")/GETPIVOTDATA("Total-New",'Distrib pivot table'!$C$2,"state","SC")&gt;0.0005,GETPIVOTDATA("Total-New",'Distrib pivot table'!$C$2,"state","SC","group","1c3")/GETPIVOTDATA("Total-New",'Distrib pivot table'!$C$2,"state","SC"),"*"))</f>
        <v>0</v>
      </c>
      <c r="Q20" s="418">
        <f>IF((GETPIVOTDATA("Total-New",'Distrib pivot table'!$C$2,"state","TN","group","1c3")/GETPIVOTDATA("Total-New",'Distrib pivot table'!$C$2,"state","TN"))=0,,IF(GETPIVOTDATA("Total-New",'Distrib pivot table'!$C$2,"state","TN","group","1c3")/GETPIVOTDATA("Total-New",'Distrib pivot table'!$C$2,"state","TN")&gt;0.0005,GETPIVOTDATA("Total-New",'Distrib pivot table'!$C$2,"state","TN","group","1c3")/GETPIVOTDATA("Total-New",'Distrib pivot table'!$C$2,"state","TN"),"*"))</f>
        <v>0</v>
      </c>
      <c r="R20" s="418">
        <f>IF((GETPIVOTDATA("Total-New",'Distrib pivot table'!$C$2,"state","TX","group","1c3")/GETPIVOTDATA("Total-New",'Distrib pivot table'!$C$2,"state","TX"))=0,,IF(GETPIVOTDATA("Total-New",'Distrib pivot table'!$C$2,"state","TX","group","1c3")/GETPIVOTDATA("Total-New",'Distrib pivot table'!$C$2,"state","TX")&gt;0.0005,GETPIVOTDATA("Total-New",'Distrib pivot table'!$C$2,"state","TX","group","1c3")/GETPIVOTDATA("Total-New",'Distrib pivot table'!$C$2,"state","TX"),"*"))</f>
        <v>0</v>
      </c>
      <c r="S20" s="418">
        <f>IF((GETPIVOTDATA("Total-New",'Distrib pivot table'!$C$2,"state","VA","group","1c3")/GETPIVOTDATA("Total-New",'Distrib pivot table'!$C$2,"state","VA"))=0,,IF(GETPIVOTDATA("Total-New",'Distrib pivot table'!$C$2,"state","VA","group","1c3")/GETPIVOTDATA("Total-New",'Distrib pivot table'!$C$2,"state","VA")&gt;0.0005,GETPIVOTDATA("Total-New",'Distrib pivot table'!$C$2,"state","VA","group","1c3")/GETPIVOTDATA("Total-New",'Distrib pivot table'!$C$2,"state","VA"),"*"))</f>
        <v>0</v>
      </c>
      <c r="T20" s="418">
        <f>IF((GETPIVOTDATA("Total-New",'Distrib pivot table'!$C$2,"state","WV","group","1c3")/GETPIVOTDATA("Total-New",'Distrib pivot table'!$C$2,"state","WV"))=0,,IF(GETPIVOTDATA("Total-New",'Distrib pivot table'!$C$2,"state","WV","group","1c3")/GETPIVOTDATA("Total-New",'Distrib pivot table'!$C$2,"state","WV")&gt;0.0005,GETPIVOTDATA("Total-New",'Distrib pivot table'!$C$2,"state","WV","group","1c3")/GETPIVOTDATA("Total-New",'Distrib pivot table'!$C$2,"state","WV"),"*"))</f>
        <v>0</v>
      </c>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12.6" customHeight="1">
      <c r="A21" s="1486"/>
      <c r="B21" s="127" t="s">
        <v>308</v>
      </c>
      <c r="C21" s="371" t="s">
        <v>277</v>
      </c>
      <c r="D21" s="418" t="str">
        <f>IF(GETPIVOTDATA("Total-New",'Distrib pivot table'!$C$2,"group","1c5")/GETPIVOTDATA("Total-New",'Distrib pivot table'!$C$2)=0,,IF(GETPIVOTDATA("Total-New",'Distrib pivot table'!$C$2,"group","1c5")/GETPIVOTDATA("Total-New",'Distrib pivot table'!$C$2)&gt;0.0005,GETPIVOTDATA("Total-New",'Distrib pivot table'!$C$2,"group","1c5")/GETPIVOTDATA("Total-New",'Distrib pivot table'!$C$2),"*"))</f>
        <v>*</v>
      </c>
      <c r="E21" s="418">
        <f>IF((GETPIVOTDATA("Total-New",'Distrib pivot table'!$C$2,"state","AL","group","1c5")/GETPIVOTDATA("Total-New",'Distrib pivot table'!$C$2,"state","AL"))=0,,IF(GETPIVOTDATA("Total-New",'Distrib pivot table'!$C$2,"state","AL","group","1c5")/GETPIVOTDATA("Total-New",'Distrib pivot table'!$C$2,"state","AL")&gt;0.0005,GETPIVOTDATA("Total-New",'Distrib pivot table'!$C$2,"state","AL","group","1c5")/GETPIVOTDATA("Total-New",'Distrib pivot table'!$C$2,"state","AL"),"*"))</f>
        <v>0</v>
      </c>
      <c r="F21" s="418">
        <f>IF((GETPIVOTDATA("Total-New",'Distrib pivot table'!$C$2,"state","AR","group","1c5")/GETPIVOTDATA("Total-New",'Distrib pivot table'!$C$2,"state","AR"))=0,,IF(GETPIVOTDATA("Total-New",'Distrib pivot table'!$C$2,"state","AR","group","1c5")/GETPIVOTDATA("Total-New",'Distrib pivot table'!$C$2,"state","AR")&gt;0.0005,GETPIVOTDATA("Total-New",'Distrib pivot table'!$C$2,"state","AR","group","1c5")/GETPIVOTDATA("Total-New",'Distrib pivot table'!$C$2,"state","AR"),"*"))</f>
        <v>0</v>
      </c>
      <c r="G21" s="418">
        <f>IF((GETPIVOTDATA("Total-New",'Distrib pivot table'!$C$2,"state","DE","group","1c5")/GETPIVOTDATA("Total-New",'Distrib pivot table'!$C$2,"state","DE"))=0,,IF(GETPIVOTDATA("Total-New",'Distrib pivot table'!$C$2,"state","DE","group","1c5")/GETPIVOTDATA("Total-New",'Distrib pivot table'!$C$2,"state","DE")&gt;0.0005,GETPIVOTDATA("Total-New",'Distrib pivot table'!$C$2,"state","DE","group","1c5")/GETPIVOTDATA("Total-New",'Distrib pivot table'!$C$2,"state","DE"),"*"))</f>
        <v>0</v>
      </c>
      <c r="H21" s="418">
        <f>IF((GETPIVOTDATA("Total-New",'Distrib pivot table'!$C$2,"state","FL","group","1c5")/GETPIVOTDATA("Total-New",'Distrib pivot table'!$C$2,"state","FL"))=0,,IF(GETPIVOTDATA("Total-New",'Distrib pivot table'!$C$2,"state","FL","group","1c5")/GETPIVOTDATA("Total-New",'Distrib pivot table'!$C$2,"state","FL")&gt;0.0005,GETPIVOTDATA("Total-New",'Distrib pivot table'!$C$2,"state","FL","group","1c5")/GETPIVOTDATA("Total-New",'Distrib pivot table'!$C$2,"state","FL"),"*"))</f>
        <v>0</v>
      </c>
      <c r="I21" s="418">
        <f>IF((GETPIVOTDATA("Total-New",'Distrib pivot table'!$C$2,"state","GA","group","1c5")/GETPIVOTDATA("Total-New",'Distrib pivot table'!$C$2,"state","GA"))=0,,IF(GETPIVOTDATA("Total-New",'Distrib pivot table'!$C$2,"state","GA","group","1c5")/GETPIVOTDATA("Total-New",'Distrib pivot table'!$C$2,"state","GA")&gt;0.0005,GETPIVOTDATA("Total-New",'Distrib pivot table'!$C$2,"state","GA","group","1c5")/GETPIVOTDATA("Total-New",'Distrib pivot table'!$C$2,"state","GA"),"*"))</f>
        <v>0</v>
      </c>
      <c r="J21" s="418">
        <f>IF((GETPIVOTDATA("Total-New",'Distrib pivot table'!$C$2,"state","KY","group","1c5")/GETPIVOTDATA("Total-New",'Distrib pivot table'!$C$2,"state","KY"))=0,,IF(GETPIVOTDATA("Total-New",'Distrib pivot table'!$C$2,"state","KY","group","1c5")/GETPIVOTDATA("Total-New",'Distrib pivot table'!$C$2,"state","KY")&gt;0.0005,GETPIVOTDATA("Total-New",'Distrib pivot table'!$C$2,"state","KY","group","1c5")/GETPIVOTDATA("Total-New",'Distrib pivot table'!$C$2,"state","KY"),"*"))</f>
        <v>0</v>
      </c>
      <c r="K21" s="418">
        <f>IF((GETPIVOTDATA("Total-New",'Distrib pivot table'!$C$2,"state","LA","group","1c5")/GETPIVOTDATA("Total-New",'Distrib pivot table'!$C$2,"state","LA"))=0,,IF(GETPIVOTDATA("Total-New",'Distrib pivot table'!$C$2,"state","LA","group","1c5")/GETPIVOTDATA("Total-New",'Distrib pivot table'!$C$2,"state","LA")&gt;0.0005,GETPIVOTDATA("Total-New",'Distrib pivot table'!$C$2,"state","LA","group","1c5")/GETPIVOTDATA("Total-New",'Distrib pivot table'!$C$2,"state","LA"),"*"))</f>
        <v>0</v>
      </c>
      <c r="L21" s="418">
        <f>IF((GETPIVOTDATA("Total-New",'Distrib pivot table'!$C$2,"state","MD","group","1c5")/GETPIVOTDATA("Total-New",'Distrib pivot table'!$C$2,"state","MD"))=0,,IF(GETPIVOTDATA("Total-New",'Distrib pivot table'!$C$2,"state","MD","group","1c5")/GETPIVOTDATA("Total-New",'Distrib pivot table'!$C$2,"state","MD")&gt;0.0005,GETPIVOTDATA("Total-New",'Distrib pivot table'!$C$2,"state","MD","group","1c5")/GETPIVOTDATA("Total-New",'Distrib pivot table'!$C$2,"state","MD"),"*"))</f>
        <v>0</v>
      </c>
      <c r="M21" s="418">
        <f>IF((GETPIVOTDATA("Total-New",'Distrib pivot table'!$C$2,"state","MS","group","1c5")/GETPIVOTDATA("Total-New",'Distrib pivot table'!$C$2,"state","MS"))=0,,IF(GETPIVOTDATA("Total-New",'Distrib pivot table'!$C$2,"state","MS","group","1c5")/GETPIVOTDATA("Total-New",'Distrib pivot table'!$C$2,"state","MS")&gt;0.0005,GETPIVOTDATA("Total-New",'Distrib pivot table'!$C$2,"state","MS","group","1c5")/GETPIVOTDATA("Total-New",'Distrib pivot table'!$C$2,"state","MS"),"*"))</f>
        <v>0</v>
      </c>
      <c r="N21" s="418">
        <f>IF((GETPIVOTDATA("Total-New",'Distrib pivot table'!$C$2,"state","NC","group","1c5")/GETPIVOTDATA("Total-New",'Distrib pivot table'!$C$2,"state","NC"))=0,,IF(GETPIVOTDATA("Total-New",'Distrib pivot table'!$C$2,"state","NC","group","1c5")/GETPIVOTDATA("Total-New",'Distrib pivot table'!$C$2,"state","NC")&gt;0.0005,GETPIVOTDATA("Total-New",'Distrib pivot table'!$C$2,"state","NC","group","1c5")/GETPIVOTDATA("Total-New",'Distrib pivot table'!$C$2,"state","NC"),"*"))</f>
        <v>0</v>
      </c>
      <c r="O21" s="418">
        <f>IF((GETPIVOTDATA("Total-New",'Distrib pivot table'!$C$2,"state","OK","group","1c5")/GETPIVOTDATA("Total-New",'Distrib pivot table'!$C$2,"state","OK"))=0,,IF(GETPIVOTDATA("Total-New",'Distrib pivot table'!$C$2,"state","OK","group","1c5")/GETPIVOTDATA("Total-New",'Distrib pivot table'!$C$2,"state","OK")&gt;0.0005,GETPIVOTDATA("Total-New",'Distrib pivot table'!$C$2,"state","OK","group","1c5")/GETPIVOTDATA("Total-New",'Distrib pivot table'!$C$2,"state","OK"),"*"))</f>
        <v>0</v>
      </c>
      <c r="P21" s="418">
        <f>IF((GETPIVOTDATA("Total-New",'Distrib pivot table'!$C$2,"state","SC","group","1c5")/GETPIVOTDATA("Total-New",'Distrib pivot table'!$C$2,"state","SC"))=0,,IF(GETPIVOTDATA("Total-New",'Distrib pivot table'!$C$2,"state","SC","group","1c5")/GETPIVOTDATA("Total-New",'Distrib pivot table'!$C$2,"state","SC")&gt;0.0005,GETPIVOTDATA("Total-New",'Distrib pivot table'!$C$2,"state","SC","group","1c5")/GETPIVOTDATA("Total-New",'Distrib pivot table'!$C$2,"state","SC"),"*"))</f>
        <v>0</v>
      </c>
      <c r="Q21" s="418">
        <f>IF((GETPIVOTDATA("Total-New",'Distrib pivot table'!$C$2,"state","TN","group","1c5")/GETPIVOTDATA("Total-New",'Distrib pivot table'!$C$2,"state","TN"))=0,,IF(GETPIVOTDATA("Total-New",'Distrib pivot table'!$C$2,"state","TN","group","1c5")/GETPIVOTDATA("Total-New",'Distrib pivot table'!$C$2,"state","TN")&gt;0.0005,GETPIVOTDATA("Total-New",'Distrib pivot table'!$C$2,"state","TN","group","1c5")/GETPIVOTDATA("Total-New",'Distrib pivot table'!$C$2,"state","TN"),"*"))</f>
        <v>0</v>
      </c>
      <c r="R21" s="418">
        <f>IF((GETPIVOTDATA("Total-New",'Distrib pivot table'!$C$2,"state","TX","group","1c5")/GETPIVOTDATA("Total-New",'Distrib pivot table'!$C$2,"state","TX"))=0,,IF(GETPIVOTDATA("Total-New",'Distrib pivot table'!$C$2,"state","TX","group","1c5")/GETPIVOTDATA("Total-New",'Distrib pivot table'!$C$2,"state","TX")&gt;0.0005,GETPIVOTDATA("Total-New",'Distrib pivot table'!$C$2,"state","TX","group","1c5")/GETPIVOTDATA("Total-New",'Distrib pivot table'!$C$2,"state","TX"),"*"))</f>
        <v>7.6433122305477163E-4</v>
      </c>
      <c r="S21" s="418">
        <f>IF((GETPIVOTDATA("Total-New",'Distrib pivot table'!$C$2,"state","VA","group","1c5")/GETPIVOTDATA("Total-New",'Distrib pivot table'!$C$2,"state","VA"))=0,,IF(GETPIVOTDATA("Total-New",'Distrib pivot table'!$C$2,"state","VA","group","1c5")/GETPIVOTDATA("Total-New",'Distrib pivot table'!$C$2,"state","VA")&gt;0.0005,GETPIVOTDATA("Total-New",'Distrib pivot table'!$C$2,"state","VA","group","1c5")/GETPIVOTDATA("Total-New",'Distrib pivot table'!$C$2,"state","VA"),"*"))</f>
        <v>0</v>
      </c>
      <c r="T21" s="418">
        <f>IF((GETPIVOTDATA("Total-New",'Distrib pivot table'!$C$2,"state","WV","group","1c5")/GETPIVOTDATA("Total-New",'Distrib pivot table'!$C$2,"state","WV"))=0,,IF(GETPIVOTDATA("Total-New",'Distrib pivot table'!$C$2,"state","WV","group","1c5")/GETPIVOTDATA("Total-New",'Distrib pivot table'!$C$2,"state","WV")&gt;0.0005,GETPIVOTDATA("Total-New",'Distrib pivot table'!$C$2,"state","WV","group","1c5")/GETPIVOTDATA("Total-New",'Distrib pivot table'!$C$2,"state","WV"),"*"))</f>
        <v>0</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12.6" customHeight="1">
      <c r="A22" s="1486"/>
      <c r="B22" s="127" t="s">
        <v>309</v>
      </c>
      <c r="C22" s="371" t="s">
        <v>278</v>
      </c>
      <c r="D22" s="418">
        <f>IF(GETPIVOTDATA("Total-New",'Distrib pivot table'!$C$2,"group","1c6")/GETPIVOTDATA("Total-New",'Distrib pivot table'!$C$2)=0,,IF(GETPIVOTDATA("Total-New",'Distrib pivot table'!$C$2,"group","1c6")/GETPIVOTDATA("Total-New",'Distrib pivot table'!$C$2)&gt;0.0005,GETPIVOTDATA("Total-New",'Distrib pivot table'!$C$2,"group","1c6")/GETPIVOTDATA("Total-New",'Distrib pivot table'!$C$2),"*"))</f>
        <v>1.4214925097854672E-3</v>
      </c>
      <c r="E22" s="418">
        <f>IF((GETPIVOTDATA("Total-New",'Distrib pivot table'!$C$2,"state","AL","group","1c6")/GETPIVOTDATA("Total-New",'Distrib pivot table'!$C$2,"state","AL"))=0,,IF(GETPIVOTDATA("Total-New",'Distrib pivot table'!$C$2,"state","AL","group","1c6")/GETPIVOTDATA("Total-New",'Distrib pivot table'!$C$2,"state","AL")&gt;0.0005,GETPIVOTDATA("Total-New",'Distrib pivot table'!$C$2,"state","AL","group","1c6")/GETPIVOTDATA("Total-New",'Distrib pivot table'!$C$2,"state","AL"),"*"))</f>
        <v>1.5157746080658018E-3</v>
      </c>
      <c r="F22" s="418">
        <f>IF((GETPIVOTDATA("Total-New",'Distrib pivot table'!$C$2,"state","AR","group","1c6")/GETPIVOTDATA("Total-New",'Distrib pivot table'!$C$2,"state","AR"))=0,,IF(GETPIVOTDATA("Total-New",'Distrib pivot table'!$C$2,"state","AR","group","1c6")/GETPIVOTDATA("Total-New",'Distrib pivot table'!$C$2,"state","AR")&gt;0.0005,GETPIVOTDATA("Total-New",'Distrib pivot table'!$C$2,"state","AR","group","1c6")/GETPIVOTDATA("Total-New",'Distrib pivot table'!$C$2,"state","AR"),"*"))</f>
        <v>2.4302458143720231E-3</v>
      </c>
      <c r="G22" s="418">
        <f>IF((GETPIVOTDATA("Total-New",'Distrib pivot table'!$C$2,"state","DE","group","1c6")/GETPIVOTDATA("Total-New",'Distrib pivot table'!$C$2,"state","DE"))=0,,IF(GETPIVOTDATA("Total-New",'Distrib pivot table'!$C$2,"state","DE","group","1c6")/GETPIVOTDATA("Total-New",'Distrib pivot table'!$C$2,"state","DE")&gt;0.0005,GETPIVOTDATA("Total-New",'Distrib pivot table'!$C$2,"state","DE","group","1c6")/GETPIVOTDATA("Total-New",'Distrib pivot table'!$C$2,"state","DE"),"*"))</f>
        <v>0</v>
      </c>
      <c r="H22" s="418">
        <f>IF((GETPIVOTDATA("Total-New",'Distrib pivot table'!$C$2,"state","FL","group","1c6")/GETPIVOTDATA("Total-New",'Distrib pivot table'!$C$2,"state","FL"))=0,,IF(GETPIVOTDATA("Total-New",'Distrib pivot table'!$C$2,"state","FL","group","1c6")/GETPIVOTDATA("Total-New",'Distrib pivot table'!$C$2,"state","FL")&gt;0.0005,GETPIVOTDATA("Total-New",'Distrib pivot table'!$C$2,"state","FL","group","1c6")/GETPIVOTDATA("Total-New",'Distrib pivot table'!$C$2,"state","FL"),"*"))</f>
        <v>2.3982078269157475E-3</v>
      </c>
      <c r="I22" s="418">
        <f>IF((GETPIVOTDATA("Total-New",'Distrib pivot table'!$C$2,"state","GA","group","1c6")/GETPIVOTDATA("Total-New",'Distrib pivot table'!$C$2,"state","GA"))=0,,IF(GETPIVOTDATA("Total-New",'Distrib pivot table'!$C$2,"state","GA","group","1c6")/GETPIVOTDATA("Total-New",'Distrib pivot table'!$C$2,"state","GA")&gt;0.0005,GETPIVOTDATA("Total-New",'Distrib pivot table'!$C$2,"state","GA","group","1c6")/GETPIVOTDATA("Total-New",'Distrib pivot table'!$C$2,"state","GA"),"*"))</f>
        <v>7.3492787455459044E-3</v>
      </c>
      <c r="J22" s="418">
        <f>IF((GETPIVOTDATA("Total-New",'Distrib pivot table'!$C$2,"state","KY","group","1c6")/GETPIVOTDATA("Total-New",'Distrib pivot table'!$C$2,"state","KY"))=0,,IF(GETPIVOTDATA("Total-New",'Distrib pivot table'!$C$2,"state","KY","group","1c6")/GETPIVOTDATA("Total-New",'Distrib pivot table'!$C$2,"state","KY")&gt;0.0005,GETPIVOTDATA("Total-New",'Distrib pivot table'!$C$2,"state","KY","group","1c6")/GETPIVOTDATA("Total-New",'Distrib pivot table'!$C$2,"state","KY"),"*"))</f>
        <v>0</v>
      </c>
      <c r="K22" s="418">
        <f>IF((GETPIVOTDATA("Total-New",'Distrib pivot table'!$C$2,"state","LA","group","1c6")/GETPIVOTDATA("Total-New",'Distrib pivot table'!$C$2,"state","LA"))=0,,IF(GETPIVOTDATA("Total-New",'Distrib pivot table'!$C$2,"state","LA","group","1c6")/GETPIVOTDATA("Total-New",'Distrib pivot table'!$C$2,"state","LA")&gt;0.0005,GETPIVOTDATA("Total-New",'Distrib pivot table'!$C$2,"state","LA","group","1c6")/GETPIVOTDATA("Total-New",'Distrib pivot table'!$C$2,"state","LA"),"*"))</f>
        <v>7.0970623957573092E-3</v>
      </c>
      <c r="L22" s="418">
        <f>IF((GETPIVOTDATA("Total-New",'Distrib pivot table'!$C$2,"state","MD","group","1c6")/GETPIVOTDATA("Total-New",'Distrib pivot table'!$C$2,"state","MD"))=0,,IF(GETPIVOTDATA("Total-New",'Distrib pivot table'!$C$2,"state","MD","group","1c6")/GETPIVOTDATA("Total-New",'Distrib pivot table'!$C$2,"state","MD")&gt;0.0005,GETPIVOTDATA("Total-New",'Distrib pivot table'!$C$2,"state","MD","group","1c6")/GETPIVOTDATA("Total-New",'Distrib pivot table'!$C$2,"state","MD"),"*"))</f>
        <v>0</v>
      </c>
      <c r="M22" s="418">
        <f>IF((GETPIVOTDATA("Total-New",'Distrib pivot table'!$C$2,"state","MS","group","1c6")/GETPIVOTDATA("Total-New",'Distrib pivot table'!$C$2,"state","MS"))=0,,IF(GETPIVOTDATA("Total-New",'Distrib pivot table'!$C$2,"state","MS","group","1c6")/GETPIVOTDATA("Total-New",'Distrib pivot table'!$C$2,"state","MS")&gt;0.0005,GETPIVOTDATA("Total-New",'Distrib pivot table'!$C$2,"state","MS","group","1c6")/GETPIVOTDATA("Total-New",'Distrib pivot table'!$C$2,"state","MS"),"*"))</f>
        <v>0</v>
      </c>
      <c r="N22" s="418">
        <f>IF((GETPIVOTDATA("Total-New",'Distrib pivot table'!$C$2,"state","NC","group","1c6")/GETPIVOTDATA("Total-New",'Distrib pivot table'!$C$2,"state","NC"))=0,,IF(GETPIVOTDATA("Total-New",'Distrib pivot table'!$C$2,"state","NC","group","1c6")/GETPIVOTDATA("Total-New",'Distrib pivot table'!$C$2,"state","NC")&gt;0.0005,GETPIVOTDATA("Total-New",'Distrib pivot table'!$C$2,"state","NC","group","1c6")/GETPIVOTDATA("Total-New",'Distrib pivot table'!$C$2,"state","NC"),"*"))</f>
        <v>8.4452123889402282E-4</v>
      </c>
      <c r="O22" s="418">
        <f>IF((GETPIVOTDATA("Total-New",'Distrib pivot table'!$C$2,"state","OK","group","1c6")/GETPIVOTDATA("Total-New",'Distrib pivot table'!$C$2,"state","OK"))=0,,IF(GETPIVOTDATA("Total-New",'Distrib pivot table'!$C$2,"state","OK","group","1c6")/GETPIVOTDATA("Total-New",'Distrib pivot table'!$C$2,"state","OK")&gt;0.0005,GETPIVOTDATA("Total-New",'Distrib pivot table'!$C$2,"state","OK","group","1c6")/GETPIVOTDATA("Total-New",'Distrib pivot table'!$C$2,"state","OK"),"*"))</f>
        <v>0</v>
      </c>
      <c r="P22" s="418">
        <f>IF((GETPIVOTDATA("Total-New",'Distrib pivot table'!$C$2,"state","SC","group","1c6")/GETPIVOTDATA("Total-New",'Distrib pivot table'!$C$2,"state","SC"))=0,,IF(GETPIVOTDATA("Total-New",'Distrib pivot table'!$C$2,"state","SC","group","1c6")/GETPIVOTDATA("Total-New",'Distrib pivot table'!$C$2,"state","SC")&gt;0.0005,GETPIVOTDATA("Total-New",'Distrib pivot table'!$C$2,"state","SC","group","1c6")/GETPIVOTDATA("Total-New",'Distrib pivot table'!$C$2,"state","SC"),"*"))</f>
        <v>0</v>
      </c>
      <c r="Q22" s="418">
        <f>IF((GETPIVOTDATA("Total-New",'Distrib pivot table'!$C$2,"state","TN","group","1c6")/GETPIVOTDATA("Total-New",'Distrib pivot table'!$C$2,"state","TN"))=0,,IF(GETPIVOTDATA("Total-New",'Distrib pivot table'!$C$2,"state","TN","group","1c6")/GETPIVOTDATA("Total-New",'Distrib pivot table'!$C$2,"state","TN")&gt;0.0005,GETPIVOTDATA("Total-New",'Distrib pivot table'!$C$2,"state","TN","group","1c6")/GETPIVOTDATA("Total-New",'Distrib pivot table'!$C$2,"state","TN"),"*"))</f>
        <v>0</v>
      </c>
      <c r="R22" s="418">
        <f>IF((GETPIVOTDATA("Total-New",'Distrib pivot table'!$C$2,"state","TX","group","1c6")/GETPIVOTDATA("Total-New",'Distrib pivot table'!$C$2,"state","TX"))=0,,IF(GETPIVOTDATA("Total-New",'Distrib pivot table'!$C$2,"state","TX","group","1c6")/GETPIVOTDATA("Total-New",'Distrib pivot table'!$C$2,"state","TX")&gt;0.0005,GETPIVOTDATA("Total-New",'Distrib pivot table'!$C$2,"state","TX","group","1c6")/GETPIVOTDATA("Total-New",'Distrib pivot table'!$C$2,"state","TX"),"*"))</f>
        <v>0</v>
      </c>
      <c r="S22" s="418">
        <f>IF((GETPIVOTDATA("Total-New",'Distrib pivot table'!$C$2,"state","VA","group","1c6")/GETPIVOTDATA("Total-New",'Distrib pivot table'!$C$2,"state","VA"))=0,,IF(GETPIVOTDATA("Total-New",'Distrib pivot table'!$C$2,"state","VA","group","1c6")/GETPIVOTDATA("Total-New",'Distrib pivot table'!$C$2,"state","VA")&gt;0.0005,GETPIVOTDATA("Total-New",'Distrib pivot table'!$C$2,"state","VA","group","1c6")/GETPIVOTDATA("Total-New",'Distrib pivot table'!$C$2,"state","VA"),"*"))</f>
        <v>7.6147926055326258E-4</v>
      </c>
      <c r="T22" s="418">
        <f>IF((GETPIVOTDATA("Total-New",'Distrib pivot table'!$C$2,"state","WV","group","1c6")/GETPIVOTDATA("Total-New",'Distrib pivot table'!$C$2,"state","WV"))=0,,IF(GETPIVOTDATA("Total-New",'Distrib pivot table'!$C$2,"state","WV","group","1c6")/GETPIVOTDATA("Total-New",'Distrib pivot table'!$C$2,"state","WV")&gt;0.0005,GETPIVOTDATA("Total-New",'Distrib pivot table'!$C$2,"state","WV","group","1c6")/GETPIVOTDATA("Total-New",'Distrib pivot table'!$C$2,"state","WV"),"*"))</f>
        <v>0</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12.6" customHeight="1">
      <c r="A23" s="1486"/>
      <c r="B23" s="127" t="s">
        <v>295</v>
      </c>
      <c r="C23" s="371" t="s">
        <v>279</v>
      </c>
      <c r="D23" s="418">
        <f>IF(GETPIVOTDATA("Total-New",'Distrib pivot table'!$C$2,"group","1c7")/GETPIVOTDATA("Total-New",'Distrib pivot table'!$C$2)=0,,IF(GETPIVOTDATA("Total-New",'Distrib pivot table'!$C$2,"group","1c7")/GETPIVOTDATA("Total-New",'Distrib pivot table'!$C$2)&gt;0.0005,GETPIVOTDATA("Total-New",'Distrib pivot table'!$C$2,"group","1c7")/GETPIVOTDATA("Total-New",'Distrib pivot table'!$C$2),"*"))</f>
        <v>1.4319644574284332E-3</v>
      </c>
      <c r="E23" s="420">
        <f>IF((GETPIVOTDATA("Total-New",'Distrib pivot table'!$C$2,"state","AL","group","1c7")/GETPIVOTDATA("Total-New",'Distrib pivot table'!$C$2,"state","AL"))=0,,IF(GETPIVOTDATA("Total-New",'Distrib pivot table'!$C$2,"state","AL","group","1c7")/GETPIVOTDATA("Total-New",'Distrib pivot table'!$C$2,"state","AL")&gt;0.0005,GETPIVOTDATA("Total-New",'Distrib pivot table'!$C$2,"state","AL","group","1c7")/GETPIVOTDATA("Total-New",'Distrib pivot table'!$C$2,"state","AL"),"*"))</f>
        <v>5.1534084365099046E-3</v>
      </c>
      <c r="F23" s="420">
        <f>IF((GETPIVOTDATA("Total-New",'Distrib pivot table'!$C$2,"state","AR","group","1c7")/GETPIVOTDATA("Total-New",'Distrib pivot table'!$C$2,"state","AR"))=0,,IF(GETPIVOTDATA("Total-New",'Distrib pivot table'!$C$2,"state","AR","group","1c7")/GETPIVOTDATA("Total-New",'Distrib pivot table'!$C$2,"state","AR")&gt;0.0005,GETPIVOTDATA("Total-New",'Distrib pivot table'!$C$2,"state","AR","group","1c7")/GETPIVOTDATA("Total-New",'Distrib pivot table'!$C$2,"state","AR"),"*"))</f>
        <v>0</v>
      </c>
      <c r="G23" s="420">
        <f>IF((GETPIVOTDATA("Total-New",'Distrib pivot table'!$C$2,"state","DE","group","1c7")/GETPIVOTDATA("Total-New",'Distrib pivot table'!$C$2,"state","DE"))=0,,IF(GETPIVOTDATA("Total-New",'Distrib pivot table'!$C$2,"state","DE","group","1c7")/GETPIVOTDATA("Total-New",'Distrib pivot table'!$C$2,"state","DE")&gt;0.0005,GETPIVOTDATA("Total-New",'Distrib pivot table'!$C$2,"state","DE","group","1c7")/GETPIVOTDATA("Total-New",'Distrib pivot table'!$C$2,"state","DE"),"*"))</f>
        <v>0</v>
      </c>
      <c r="H23" s="420">
        <f>IF((GETPIVOTDATA("Total-New",'Distrib pivot table'!$C$2,"state","FL","group","1c7")/GETPIVOTDATA("Total-New",'Distrib pivot table'!$C$2,"state","FL"))=0,,IF(GETPIVOTDATA("Total-New",'Distrib pivot table'!$C$2,"state","FL","group","1c7")/GETPIVOTDATA("Total-New",'Distrib pivot table'!$C$2,"state","FL")&gt;0.0005,GETPIVOTDATA("Total-New",'Distrib pivot table'!$C$2,"state","FL","group","1c7")/GETPIVOTDATA("Total-New",'Distrib pivot table'!$C$2,"state","FL"),"*"))</f>
        <v>0</v>
      </c>
      <c r="I23" s="420">
        <f>IF((GETPIVOTDATA("Total-New",'Distrib pivot table'!$C$2,"state","GA","group","1c7")/GETPIVOTDATA("Total-New",'Distrib pivot table'!$C$2,"state","GA"))=0,,IF(GETPIVOTDATA("Total-New",'Distrib pivot table'!$C$2,"state","GA","group","1c7")/GETPIVOTDATA("Total-New",'Distrib pivot table'!$C$2,"state","GA")&gt;0.0005,GETPIVOTDATA("Total-New",'Distrib pivot table'!$C$2,"state","GA","group","1c7")/GETPIVOTDATA("Total-New",'Distrib pivot table'!$C$2,"state","GA"),"*"))</f>
        <v>0</v>
      </c>
      <c r="J23" s="420">
        <f>IF((GETPIVOTDATA("Total-New",'Distrib pivot table'!$C$2,"state","KY","group","1c7")/GETPIVOTDATA("Total-New",'Distrib pivot table'!$C$2,"state","KY"))=0,,IF(GETPIVOTDATA("Total-New",'Distrib pivot table'!$C$2,"state","KY","group","1c7")/GETPIVOTDATA("Total-New",'Distrib pivot table'!$C$2,"state","KY")&gt;0.0005,GETPIVOTDATA("Total-New",'Distrib pivot table'!$C$2,"state","KY","group","1c7")/GETPIVOTDATA("Total-New",'Distrib pivot table'!$C$2,"state","KY"),"*"))</f>
        <v>0</v>
      </c>
      <c r="K23" s="420">
        <f>IF((GETPIVOTDATA("Total-New",'Distrib pivot table'!$C$2,"state","LA","group","1c7")/GETPIVOTDATA("Total-New",'Distrib pivot table'!$C$2,"state","LA"))=0,,IF(GETPIVOTDATA("Total-New",'Distrib pivot table'!$C$2,"state","LA","group","1c7")/GETPIVOTDATA("Total-New",'Distrib pivot table'!$C$2,"state","LA")&gt;0.0005,GETPIVOTDATA("Total-New",'Distrib pivot table'!$C$2,"state","LA","group","1c7")/GETPIVOTDATA("Total-New",'Distrib pivot table'!$C$2,"state","LA"),"*"))</f>
        <v>1.080738339898382E-2</v>
      </c>
      <c r="L23" s="420">
        <f>IF((GETPIVOTDATA("Total-New",'Distrib pivot table'!$C$2,"state","MD","group","1c7")/GETPIVOTDATA("Total-New",'Distrib pivot table'!$C$2,"state","MD"))=0,,IF(GETPIVOTDATA("Total-New",'Distrib pivot table'!$C$2,"state","MD","group","1c7")/GETPIVOTDATA("Total-New",'Distrib pivot table'!$C$2,"state","MD")&gt;0.0005,GETPIVOTDATA("Total-New",'Distrib pivot table'!$C$2,"state","MD","group","1c7")/GETPIVOTDATA("Total-New",'Distrib pivot table'!$C$2,"state","MD"),"*"))</f>
        <v>0</v>
      </c>
      <c r="M23" s="420">
        <f>IF((GETPIVOTDATA("Total-New",'Distrib pivot table'!$C$2,"state","MS","group","1c7")/GETPIVOTDATA("Total-New",'Distrib pivot table'!$C$2,"state","MS"))=0,,IF(GETPIVOTDATA("Total-New",'Distrib pivot table'!$C$2,"state","MS","group","1c7")/GETPIVOTDATA("Total-New",'Distrib pivot table'!$C$2,"state","MS")&gt;0.0005,GETPIVOTDATA("Total-New",'Distrib pivot table'!$C$2,"state","MS","group","1c7")/GETPIVOTDATA("Total-New",'Distrib pivot table'!$C$2,"state","MS"),"*"))</f>
        <v>0</v>
      </c>
      <c r="N23" s="420">
        <f>IF((GETPIVOTDATA("Total-New",'Distrib pivot table'!$C$2,"state","NC","group","1c7")/GETPIVOTDATA("Total-New",'Distrib pivot table'!$C$2,"state","NC"))=0,,IF(GETPIVOTDATA("Total-New",'Distrib pivot table'!$C$2,"state","NC","group","1c7")/GETPIVOTDATA("Total-New",'Distrib pivot table'!$C$2,"state","NC")&gt;0.0005,GETPIVOTDATA("Total-New",'Distrib pivot table'!$C$2,"state","NC","group","1c7")/GETPIVOTDATA("Total-New",'Distrib pivot table'!$C$2,"state","NC"),"*"))</f>
        <v>3.6658705622900018E-3</v>
      </c>
      <c r="O23" s="420">
        <f>IF((GETPIVOTDATA("Total-New",'Distrib pivot table'!$C$2,"state","OK","group","1c7")/GETPIVOTDATA("Total-New",'Distrib pivot table'!$C$2,"state","OK"))=0,,IF(GETPIVOTDATA("Total-New",'Distrib pivot table'!$C$2,"state","OK","group","1c7")/GETPIVOTDATA("Total-New",'Distrib pivot table'!$C$2,"state","OK")&gt;0.0005,GETPIVOTDATA("Total-New",'Distrib pivot table'!$C$2,"state","OK","group","1c7")/GETPIVOTDATA("Total-New",'Distrib pivot table'!$C$2,"state","OK"),"*"))</f>
        <v>0</v>
      </c>
      <c r="P23" s="420">
        <f>IF((GETPIVOTDATA("Total-New",'Distrib pivot table'!$C$2,"state","SC","group","1c7")/GETPIVOTDATA("Total-New",'Distrib pivot table'!$C$2,"state","SC"))=0,,IF(GETPIVOTDATA("Total-New",'Distrib pivot table'!$C$2,"state","SC","group","1c7")/GETPIVOTDATA("Total-New",'Distrib pivot table'!$C$2,"state","SC")&gt;0.0005,GETPIVOTDATA("Total-New",'Distrib pivot table'!$C$2,"state","SC","group","1c7")/GETPIVOTDATA("Total-New",'Distrib pivot table'!$C$2,"state","SC"),"*"))</f>
        <v>0</v>
      </c>
      <c r="Q23" s="420">
        <f>IF((GETPIVOTDATA("Total-New",'Distrib pivot table'!$C$2,"state","TN","group","1c7")/GETPIVOTDATA("Total-New",'Distrib pivot table'!$C$2,"state","TN"))=0,,IF(GETPIVOTDATA("Total-New",'Distrib pivot table'!$C$2,"state","TN","group","1c7")/GETPIVOTDATA("Total-New",'Distrib pivot table'!$C$2,"state","TN")&gt;0.0005,GETPIVOTDATA("Total-New",'Distrib pivot table'!$C$2,"state","TN","group","1c7")/GETPIVOTDATA("Total-New",'Distrib pivot table'!$C$2,"state","TN"),"*"))</f>
        <v>0</v>
      </c>
      <c r="R23" s="420">
        <f>IF((GETPIVOTDATA("Total-New",'Distrib pivot table'!$C$2,"state","TX","group","1c7")/GETPIVOTDATA("Total-New",'Distrib pivot table'!$C$2,"state","TX"))=0,,IF(GETPIVOTDATA("Total-New",'Distrib pivot table'!$C$2,"state","TX","group","1c7")/GETPIVOTDATA("Total-New",'Distrib pivot table'!$C$2,"state","TX")&gt;0.0005,GETPIVOTDATA("Total-New",'Distrib pivot table'!$C$2,"state","TX","group","1c7")/GETPIVOTDATA("Total-New",'Distrib pivot table'!$C$2,"state","TX"),"*"))</f>
        <v>1.8055311283025873E-3</v>
      </c>
      <c r="S23" s="420" t="str">
        <f>IF((GETPIVOTDATA("Total-New",'Distrib pivot table'!$C$2,"state","VA","group","1c7")/GETPIVOTDATA("Total-New",'Distrib pivot table'!$C$2,"state","VA"))=0,,IF(GETPIVOTDATA("Total-New",'Distrib pivot table'!$C$2,"state","VA","group","1c7")/GETPIVOTDATA("Total-New",'Distrib pivot table'!$C$2,"state","VA")&gt;0.0005,GETPIVOTDATA("Total-New",'Distrib pivot table'!$C$2,"state","VA","group","1c7")/GETPIVOTDATA("Total-New",'Distrib pivot table'!$C$2,"state","VA"),"*"))</f>
        <v>*</v>
      </c>
      <c r="T23" s="421">
        <f>IF((GETPIVOTDATA("Total-New",'Distrib pivot table'!$C$2,"state","WV","group","1c7")/GETPIVOTDATA("Total-New",'Distrib pivot table'!$C$2,"state","WV"))=0,,IF(GETPIVOTDATA("Total-New",'Distrib pivot table'!$C$2,"state","WV","group","1c7")/GETPIVOTDATA("Total-New",'Distrib pivot table'!$C$2,"state","WV")&gt;0.0005,GETPIVOTDATA("Total-New",'Distrib pivot table'!$C$2,"state","WV","group","1c7")/GETPIVOTDATA("Total-New",'Distrib pivot table'!$C$2,"state","WV"),"*"))</f>
        <v>0</v>
      </c>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5.5" customHeight="1">
      <c r="A24" s="1487"/>
      <c r="B24" s="129" t="s">
        <v>86</v>
      </c>
      <c r="C24" s="372" t="s">
        <v>303</v>
      </c>
      <c r="D24" s="422">
        <f>IF(GETPIVOTDATA("Total-New",'Distrib pivot table'!$C$2,"group","1g")/GETPIVOTDATA("Total-New",'Distrib pivot table'!$C$2)=0,,IF(GETPIVOTDATA("Total-New",'Distrib pivot table'!$C$2,"group","1g")/GETPIVOTDATA("Total-New",'Distrib pivot table'!$C$2)&gt;0.0005,GETPIVOTDATA("Total-New",'Distrib pivot table'!$C$2,"group","1g")/GETPIVOTDATA("Total-New",'Distrib pivot table'!$C$2),"*"))</f>
        <v>4.8109155126983263E-3</v>
      </c>
      <c r="E24" s="422">
        <f>IF((GETPIVOTDATA("Total-New",'Distrib pivot table'!$C$2,"state","AL","group","1g")/GETPIVOTDATA("Total-New",'Distrib pivot table'!$C$2,"state","AL"))=0,,IF(GETPIVOTDATA("Total-New",'Distrib pivot table'!$C$2,"state","AL","group","1g")/GETPIVOTDATA("Total-New",'Distrib pivot table'!$C$2,"state","AL")&gt;0.0005,GETPIVOTDATA("Total-New",'Distrib pivot table'!$C$2,"state","AL","group","1g")/GETPIVOTDATA("Total-New",'Distrib pivot table'!$C$2,"state","AL"),"*"))</f>
        <v>1.7297566362340436E-3</v>
      </c>
      <c r="F24" s="422" t="str">
        <f>IF((GETPIVOTDATA("Total-New",'Distrib pivot table'!$C$2,"state","AR","group","1g")/GETPIVOTDATA("Total-New",'Distrib pivot table'!$C$2,"state","AR"))=0,,IF(GETPIVOTDATA("Total-New",'Distrib pivot table'!$C$2,"state","AR","group","1g")/GETPIVOTDATA("Total-New",'Distrib pivot table'!$C$2,"state","AR")&gt;0.0005,GETPIVOTDATA("Total-New",'Distrib pivot table'!$C$2,"state","AR","group","1g")/GETPIVOTDATA("Total-New",'Distrib pivot table'!$C$2,"state","AR"),"*"))</f>
        <v>*</v>
      </c>
      <c r="G24" s="422">
        <f>IF((GETPIVOTDATA("Total-New",'Distrib pivot table'!$C$2,"state","DE","group","1g")/GETPIVOTDATA("Total-New",'Distrib pivot table'!$C$2,"state","DE"))=0,,IF(GETPIVOTDATA("Total-New",'Distrib pivot table'!$C$2,"state","DE","group","1g")/GETPIVOTDATA("Total-New",'Distrib pivot table'!$C$2,"state","DE")&gt;0.0005,GETPIVOTDATA("Total-New",'Distrib pivot table'!$C$2,"state","DE","group","1g")/GETPIVOTDATA("Total-New",'Distrib pivot table'!$C$2,"state","DE"),"*"))</f>
        <v>2.197245423355202E-3</v>
      </c>
      <c r="H24" s="422">
        <f>IF((GETPIVOTDATA("Total-New",'Distrib pivot table'!$C$2,"state","FL","group","1g")/GETPIVOTDATA("Total-New",'Distrib pivot table'!$C$2,"state","FL"))=0,,IF(GETPIVOTDATA("Total-New",'Distrib pivot table'!$C$2,"state","FL","group","1g")/GETPIVOTDATA("Total-New",'Distrib pivot table'!$C$2,"state","FL")&gt;0.0005,GETPIVOTDATA("Total-New",'Distrib pivot table'!$C$2,"state","FL","group","1g")/GETPIVOTDATA("Total-New",'Distrib pivot table'!$C$2,"state","FL"),"*"))</f>
        <v>0</v>
      </c>
      <c r="I24" s="422">
        <f>IF((GETPIVOTDATA("Total-New",'Distrib pivot table'!$C$2,"state","GA","group","1g")/GETPIVOTDATA("Total-New",'Distrib pivot table'!$C$2,"state","GA"))=0,,IF(GETPIVOTDATA("Total-New",'Distrib pivot table'!$C$2,"state","GA","group","1g")/GETPIVOTDATA("Total-New",'Distrib pivot table'!$C$2,"state","GA")&gt;0.0005,GETPIVOTDATA("Total-New",'Distrib pivot table'!$C$2,"state","GA","group","1g")/GETPIVOTDATA("Total-New",'Distrib pivot table'!$C$2,"state","GA"),"*"))</f>
        <v>1.2857642955553986E-2</v>
      </c>
      <c r="J24" s="422">
        <f>IF((GETPIVOTDATA("Total-New",'Distrib pivot table'!$C$2,"state","KY","group","1g")/GETPIVOTDATA("Total-New",'Distrib pivot table'!$C$2,"state","KY"))=0,,IF(GETPIVOTDATA("Total-New",'Distrib pivot table'!$C$2,"state","KY","group","1g")/GETPIVOTDATA("Total-New",'Distrib pivot table'!$C$2,"state","KY")&gt;0.0005,GETPIVOTDATA("Total-New",'Distrib pivot table'!$C$2,"state","KY","group","1g")/GETPIVOTDATA("Total-New",'Distrib pivot table'!$C$2,"state","KY"),"*"))</f>
        <v>1.253291214476809E-2</v>
      </c>
      <c r="K24" s="422">
        <f>IF((GETPIVOTDATA("Total-New",'Distrib pivot table'!$C$2,"state","LA","group","1g")/GETPIVOTDATA("Total-New",'Distrib pivot table'!$C$2,"state","LA"))=0,,IF(GETPIVOTDATA("Total-New",'Distrib pivot table'!$C$2,"state","LA","group","1g")/GETPIVOTDATA("Total-New",'Distrib pivot table'!$C$2,"state","LA")&gt;0.0005,GETPIVOTDATA("Total-New",'Distrib pivot table'!$C$2,"state","LA","group","1g")/GETPIVOTDATA("Total-New",'Distrib pivot table'!$C$2,"state","LA"),"*"))</f>
        <v>4.8069394932167379E-3</v>
      </c>
      <c r="L24" s="422">
        <f>IF((GETPIVOTDATA("Total-New",'Distrib pivot table'!$C$2,"state","MD","group","1g")/GETPIVOTDATA("Total-New",'Distrib pivot table'!$C$2,"state","MD"))=0,,IF(GETPIVOTDATA("Total-New",'Distrib pivot table'!$C$2,"state","MD","group","1g")/GETPIVOTDATA("Total-New",'Distrib pivot table'!$C$2,"state","MD")&gt;0.0005,GETPIVOTDATA("Total-New",'Distrib pivot table'!$C$2,"state","MD","group","1g")/GETPIVOTDATA("Total-New",'Distrib pivot table'!$C$2,"state","MD"),"*"))</f>
        <v>1.4193619687295387E-3</v>
      </c>
      <c r="M24" s="422">
        <f>IF((GETPIVOTDATA("Total-New",'Distrib pivot table'!$C$2,"state","MS","group","1g")/GETPIVOTDATA("Total-New",'Distrib pivot table'!$C$2,"state","MS"))=0,,IF(GETPIVOTDATA("Total-New",'Distrib pivot table'!$C$2,"state","MS","group","1g")/GETPIVOTDATA("Total-New",'Distrib pivot table'!$C$2,"state","MS")&gt;0.0005,GETPIVOTDATA("Total-New",'Distrib pivot table'!$C$2,"state","MS","group","1g")/GETPIVOTDATA("Total-New",'Distrib pivot table'!$C$2,"state","MS"),"*"))</f>
        <v>4.635229797007645E-3</v>
      </c>
      <c r="N24" s="422">
        <f>IF((GETPIVOTDATA("Total-New",'Distrib pivot table'!$C$2,"state","NC","group","1g")/GETPIVOTDATA("Total-New",'Distrib pivot table'!$C$2,"state","NC"))=0,,IF(GETPIVOTDATA("Total-New",'Distrib pivot table'!$C$2,"state","NC","group","1g")/GETPIVOTDATA("Total-New",'Distrib pivot table'!$C$2,"state","NC")&gt;0.0005,GETPIVOTDATA("Total-New",'Distrib pivot table'!$C$2,"state","NC","group","1g")/GETPIVOTDATA("Total-New",'Distrib pivot table'!$C$2,"state","NC"),"*"))</f>
        <v>5.3222107647902459E-3</v>
      </c>
      <c r="O24" s="422">
        <f>IF((GETPIVOTDATA("Total-New",'Distrib pivot table'!$C$2,"state","OK","group","1g")/GETPIVOTDATA("Total-New",'Distrib pivot table'!$C$2,"state","OK"))=0,,IF(GETPIVOTDATA("Total-New",'Distrib pivot table'!$C$2,"state","OK","group","1g")/GETPIVOTDATA("Total-New",'Distrib pivot table'!$C$2,"state","OK")&gt;0.0005,GETPIVOTDATA("Total-New",'Distrib pivot table'!$C$2,"state","OK","group","1g")/GETPIVOTDATA("Total-New",'Distrib pivot table'!$C$2,"state","OK"),"*"))</f>
        <v>7.5676074438642774E-3</v>
      </c>
      <c r="P24" s="422">
        <f>IF((GETPIVOTDATA("Total-New",'Distrib pivot table'!$C$2,"state","SC","group","1g")/GETPIVOTDATA("Total-New",'Distrib pivot table'!$C$2,"state","SC"))=0,,IF(GETPIVOTDATA("Total-New",'Distrib pivot table'!$C$2,"state","SC","group","1g")/GETPIVOTDATA("Total-New",'Distrib pivot table'!$C$2,"state","SC")&gt;0.0005,GETPIVOTDATA("Total-New",'Distrib pivot table'!$C$2,"state","SC","group","1g")/GETPIVOTDATA("Total-New",'Distrib pivot table'!$C$2,"state","SC"),"*"))</f>
        <v>1.5041249192851915E-3</v>
      </c>
      <c r="Q24" s="422" t="str">
        <f>IF((GETPIVOTDATA("Total-New",'Distrib pivot table'!$C$2,"state","TN","group","1g")/GETPIVOTDATA("Total-New",'Distrib pivot table'!$C$2,"state","TN"))=0,,IF(GETPIVOTDATA("Total-New",'Distrib pivot table'!$C$2,"state","TN","group","1g")/GETPIVOTDATA("Total-New",'Distrib pivot table'!$C$2,"state","TN")&gt;0.0005,GETPIVOTDATA("Total-New",'Distrib pivot table'!$C$2,"state","TN","group","1g")/GETPIVOTDATA("Total-New",'Distrib pivot table'!$C$2,"state","TN"),"*"))</f>
        <v>*</v>
      </c>
      <c r="R24" s="422">
        <f>IF((GETPIVOTDATA("Total-New",'Distrib pivot table'!$C$2,"state","TX","group","1g")/GETPIVOTDATA("Total-New",'Distrib pivot table'!$C$2,"state","TX"))=0,,IF(GETPIVOTDATA("Total-New",'Distrib pivot table'!$C$2,"state","TX","group","1g")/GETPIVOTDATA("Total-New",'Distrib pivot table'!$C$2,"state","TX")&gt;0.0005,GETPIVOTDATA("Total-New",'Distrib pivot table'!$C$2,"state","TX","group","1g")/GETPIVOTDATA("Total-New",'Distrib pivot table'!$C$2,"state","TX"),"*"))</f>
        <v>0</v>
      </c>
      <c r="S24" s="422">
        <f>IF((GETPIVOTDATA("Total-New",'Distrib pivot table'!$C$2,"state","VA","group","1g")/GETPIVOTDATA("Total-New",'Distrib pivot table'!$C$2,"state","VA"))=0,,IF(GETPIVOTDATA("Total-New",'Distrib pivot table'!$C$2,"state","VA","group","1g")/GETPIVOTDATA("Total-New",'Distrib pivot table'!$C$2,"state","VA")&gt;0.0005,GETPIVOTDATA("Total-New",'Distrib pivot table'!$C$2,"state","VA","group","1g")/GETPIVOTDATA("Total-New",'Distrib pivot table'!$C$2,"state","VA"),"*"))</f>
        <v>2.1254660604481137E-2</v>
      </c>
      <c r="T24" s="422">
        <f>IF((GETPIVOTDATA("Total-New",'Distrib pivot table'!$C$2,"state","WV","group","1g")/GETPIVOTDATA("Total-New",'Distrib pivot table'!$C$2,"state","WV"))=0,,IF(GETPIVOTDATA("Total-New",'Distrib pivot table'!$C$2,"state","WV","group","1g")/GETPIVOTDATA("Total-New",'Distrib pivot table'!$C$2,"state","WV")&gt;0.0005,GETPIVOTDATA("Total-New",'Distrib pivot table'!$C$2,"state","WV","group","1g")/GETPIVOTDATA("Total-New",'Distrib pivot table'!$C$2,"state","WV"),"*"))</f>
        <v>7.1338865167215404E-3</v>
      </c>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s="10" customFormat="1" ht="39.75" customHeight="1">
      <c r="A25" s="1478" t="s">
        <v>1951</v>
      </c>
      <c r="B25" s="1479"/>
      <c r="C25" s="1479"/>
      <c r="D25" s="1479"/>
      <c r="E25" s="1479"/>
      <c r="F25" s="1479"/>
      <c r="G25" s="1479"/>
      <c r="H25" s="1479"/>
      <c r="I25" s="1479"/>
      <c r="J25" s="1479"/>
      <c r="K25" s="1479"/>
      <c r="L25" s="1479"/>
      <c r="M25" s="1479"/>
      <c r="N25" s="1479"/>
      <c r="O25" s="1479"/>
      <c r="P25" s="1479"/>
      <c r="Q25" s="1479"/>
      <c r="R25" s="1479"/>
      <c r="S25" s="1479"/>
      <c r="T25" s="1479"/>
    </row>
    <row r="26" spans="1:50" s="10" customFormat="1" ht="15.75" customHeight="1">
      <c r="A26" s="55" t="s">
        <v>83</v>
      </c>
      <c r="B26" s="335"/>
      <c r="C26" s="47"/>
      <c r="D26" s="47"/>
      <c r="E26" s="47"/>
      <c r="F26" s="47"/>
      <c r="G26" s="47"/>
      <c r="H26" s="336"/>
      <c r="I26" s="47"/>
      <c r="J26" s="47"/>
      <c r="K26" s="336"/>
      <c r="L26" s="336"/>
      <c r="M26" s="336"/>
      <c r="N26" s="47"/>
      <c r="O26" s="47"/>
      <c r="P26" s="47"/>
      <c r="Q26" s="47"/>
      <c r="R26" s="47"/>
      <c r="S26" s="47"/>
      <c r="T26" s="47"/>
    </row>
    <row r="27" spans="1:50" s="10" customFormat="1" ht="15.75" customHeight="1">
      <c r="A27" s="47" t="s">
        <v>0</v>
      </c>
      <c r="B27" s="335"/>
      <c r="C27" s="47"/>
      <c r="D27" s="47"/>
      <c r="E27" s="47"/>
      <c r="F27" s="47"/>
      <c r="G27" s="47"/>
      <c r="H27" s="336"/>
      <c r="I27" s="47"/>
      <c r="J27" s="47"/>
      <c r="K27" s="336"/>
      <c r="L27" s="336"/>
      <c r="M27" s="336"/>
      <c r="N27" s="47"/>
      <c r="O27" s="47"/>
      <c r="P27" s="47"/>
      <c r="Q27" s="47"/>
      <c r="R27" s="47"/>
      <c r="S27" s="47"/>
      <c r="T27" s="534" t="s">
        <v>1927</v>
      </c>
    </row>
    <row r="28" spans="1:50" s="10" customFormat="1" ht="14.25" customHeight="1">
      <c r="B28" s="335"/>
      <c r="C28" s="47"/>
      <c r="D28" s="47"/>
      <c r="E28" s="47"/>
      <c r="F28" s="47"/>
      <c r="G28" s="47"/>
      <c r="H28" s="336"/>
      <c r="I28" s="47"/>
      <c r="J28" s="47"/>
      <c r="K28" s="336"/>
      <c r="L28" s="336"/>
      <c r="M28" s="336"/>
      <c r="N28" s="47"/>
      <c r="O28" s="47"/>
      <c r="P28" s="47"/>
      <c r="Q28" s="47"/>
      <c r="R28" s="47"/>
      <c r="S28" s="47"/>
    </row>
    <row r="29" spans="1:50" s="45" customFormat="1" ht="12.6" customHeight="1">
      <c r="A29" s="1485" t="s">
        <v>338</v>
      </c>
      <c r="B29" s="216" t="s">
        <v>120</v>
      </c>
      <c r="C29" s="373" t="s">
        <v>281</v>
      </c>
      <c r="D29" s="423">
        <f>SUM(D30:D33)</f>
        <v>6.3644189070572767E-3</v>
      </c>
      <c r="E29" s="423">
        <f>SUM(E30:E33)</f>
        <v>3.1027277788694477E-3</v>
      </c>
      <c r="F29" s="423">
        <f t="shared" ref="F29:T29" si="3">SUM(F30:F33)</f>
        <v>5.6020684899043506E-3</v>
      </c>
      <c r="G29" s="423">
        <f t="shared" si="3"/>
        <v>1.3493584289923838E-2</v>
      </c>
      <c r="H29" s="423">
        <f t="shared" si="3"/>
        <v>1.2254120636581611E-3</v>
      </c>
      <c r="I29" s="423">
        <f t="shared" si="3"/>
        <v>6.3041034762032142E-3</v>
      </c>
      <c r="J29" s="423">
        <f t="shared" si="3"/>
        <v>1.308240501422199E-2</v>
      </c>
      <c r="K29" s="423">
        <f t="shared" si="3"/>
        <v>1.5134647142862983E-2</v>
      </c>
      <c r="L29" s="423">
        <f t="shared" si="3"/>
        <v>4.1681220134039756E-3</v>
      </c>
      <c r="M29" s="423">
        <f t="shared" si="3"/>
        <v>4.3121659048383498E-3</v>
      </c>
      <c r="N29" s="423">
        <f t="shared" si="3"/>
        <v>8.7195720038197311E-3</v>
      </c>
      <c r="O29" s="423">
        <f t="shared" si="3"/>
        <v>4.9023840408683331E-3</v>
      </c>
      <c r="P29" s="423">
        <f t="shared" si="3"/>
        <v>6.7846136775053072E-3</v>
      </c>
      <c r="Q29" s="423">
        <f t="shared" si="3"/>
        <v>6.4572936439542417E-3</v>
      </c>
      <c r="R29" s="423">
        <f t="shared" si="3"/>
        <v>7.2259339741756398E-3</v>
      </c>
      <c r="S29" s="423">
        <f t="shared" si="3"/>
        <v>6.3133092937817268E-3</v>
      </c>
      <c r="T29" s="423">
        <f t="shared" si="3"/>
        <v>7.1572820765888863E-3</v>
      </c>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row>
    <row r="30" spans="1:50" ht="12.6" customHeight="1">
      <c r="A30" s="1488"/>
      <c r="B30" s="127" t="s">
        <v>140</v>
      </c>
      <c r="C30" s="374" t="s">
        <v>282</v>
      </c>
      <c r="D30" s="418">
        <f>IF(GETPIVOTDATA("Total-New",'Distrib pivot table'!$C$2,"group","2a1")/GETPIVOTDATA("Total-New",'Distrib pivot table'!$C$2)=0,,IF(GETPIVOTDATA("Total-New",'Distrib pivot table'!$C$2,"group","2a1")/GETPIVOTDATA("Total-New",'Distrib pivot table'!$C$2)&gt;0.0005,GETPIVOTDATA("Total-New",'Distrib pivot table'!$C$2,"group","2a1")/GETPIVOTDATA("Total-New",'Distrib pivot table'!$C$2),"*"))</f>
        <v>3.8327456042401074E-3</v>
      </c>
      <c r="E30" s="418">
        <f>IF((GETPIVOTDATA("Total-New",'Distrib pivot table'!$C$2,"state","AL","group","2a1")/GETPIVOTDATA("Total-New",'Distrib pivot table'!$C$2,"state","AL"))=0,,IF(GETPIVOTDATA("Total-New",'Distrib pivot table'!$C$2,"state","AL","group","2a1")/GETPIVOTDATA("Total-New",'Distrib pivot table'!$C$2,"state","AL")&gt;0.0005,GETPIVOTDATA("Total-New",'Distrib pivot table'!$C$2,"state","AL","group","2a1")/GETPIVOTDATA("Total-New",'Distrib pivot table'!$C$2,"state","AL"),"*"))</f>
        <v>8.9883092151217796E-4</v>
      </c>
      <c r="F30" s="418">
        <f>IF((GETPIVOTDATA("Total-New",'Distrib pivot table'!$C$2,"state","AR","group","2a1")/GETPIVOTDATA("Total-New",'Distrib pivot table'!$C$2,"state","AR"))=0,,IF(GETPIVOTDATA("Total-New",'Distrib pivot table'!$C$2,"state","AR","group","2a1")/GETPIVOTDATA("Total-New",'Distrib pivot table'!$C$2,"state","AR")&gt;0.0005,GETPIVOTDATA("Total-New",'Distrib pivot table'!$C$2,"state","AR","group","2a1")/GETPIVOTDATA("Total-New",'Distrib pivot table'!$C$2,"state","AR"),"*"))</f>
        <v>5.6020684899043506E-3</v>
      </c>
      <c r="G30" s="418">
        <f>IF((GETPIVOTDATA("Total-New",'Distrib pivot table'!$C$2,"state","DE","group","2a1")/GETPIVOTDATA("Total-New",'Distrib pivot table'!$C$2,"state","DE"))=0,,IF(GETPIVOTDATA("Total-New",'Distrib pivot table'!$C$2,"state","DE","group","2a1")/GETPIVOTDATA("Total-New",'Distrib pivot table'!$C$2,"state","DE")&gt;0.0005,GETPIVOTDATA("Total-New",'Distrib pivot table'!$C$2,"state","DE","group","2a1")/GETPIVOTDATA("Total-New",'Distrib pivot table'!$C$2,"state","DE"),"*"))</f>
        <v>1.0321783766647744E-3</v>
      </c>
      <c r="H30" s="418">
        <f>IF((GETPIVOTDATA("Total-New",'Distrib pivot table'!$C$2,"state","FL","group","2a1")/GETPIVOTDATA("Total-New",'Distrib pivot table'!$C$2,"state","FL"))=0,,IF(GETPIVOTDATA("Total-New",'Distrib pivot table'!$C$2,"state","FL","group","2a1")/GETPIVOTDATA("Total-New",'Distrib pivot table'!$C$2,"state","FL")&gt;0.0005,GETPIVOTDATA("Total-New",'Distrib pivot table'!$C$2,"state","FL","group","2a1")/GETPIVOTDATA("Total-New",'Distrib pivot table'!$C$2,"state","FL"),"*"))</f>
        <v>1.2254120636581611E-3</v>
      </c>
      <c r="I30" s="418">
        <f>IF((GETPIVOTDATA("Total-New",'Distrib pivot table'!$C$2,"state","GA","group","2a1")/GETPIVOTDATA("Total-New",'Distrib pivot table'!$C$2,"state","GA"))=0,,IF(GETPIVOTDATA("Total-New",'Distrib pivot table'!$C$2,"state","GA","group","2a1")/GETPIVOTDATA("Total-New",'Distrib pivot table'!$C$2,"state","GA")&gt;0.0005,GETPIVOTDATA("Total-New",'Distrib pivot table'!$C$2,"state","GA","group","2a1")/GETPIVOTDATA("Total-New",'Distrib pivot table'!$C$2,"state","GA"),"*"))</f>
        <v>2.0511910511691544E-3</v>
      </c>
      <c r="J30" s="418">
        <f>IF((GETPIVOTDATA("Total-New",'Distrib pivot table'!$C$2,"state","KY","group","2a1")/GETPIVOTDATA("Total-New",'Distrib pivot table'!$C$2,"state","KY"))=0,,IF(GETPIVOTDATA("Total-New",'Distrib pivot table'!$C$2,"state","KY","group","2a1")/GETPIVOTDATA("Total-New",'Distrib pivot table'!$C$2,"state","KY")&gt;0.0005,GETPIVOTDATA("Total-New",'Distrib pivot table'!$C$2,"state","KY","group","2a1")/GETPIVOTDATA("Total-New",'Distrib pivot table'!$C$2,"state","KY"),"*"))</f>
        <v>2.4033162897501457E-3</v>
      </c>
      <c r="K30" s="418">
        <f>IF((GETPIVOTDATA("Total-New",'Distrib pivot table'!$C$2,"state","LA","group","2a1")/GETPIVOTDATA("Total-New",'Distrib pivot table'!$C$2,"state","LA"))=0,,IF(GETPIVOTDATA("Total-New",'Distrib pivot table'!$C$2,"state","LA","group","2a1")/GETPIVOTDATA("Total-New",'Distrib pivot table'!$C$2,"state","LA")&gt;0.0005,GETPIVOTDATA("Total-New",'Distrib pivot table'!$C$2,"state","LA","group","2a1")/GETPIVOTDATA("Total-New",'Distrib pivot table'!$C$2,"state","LA"),"*"))</f>
        <v>7.6680096247518006E-3</v>
      </c>
      <c r="L30" s="418">
        <f>IF((GETPIVOTDATA("Total-New",'Distrib pivot table'!$C$2,"state","MD","group","2a1")/GETPIVOTDATA("Total-New",'Distrib pivot table'!$C$2,"state","MD"))=0,,IF(GETPIVOTDATA("Total-New",'Distrib pivot table'!$C$2,"state","MD","group","2a1")/GETPIVOTDATA("Total-New",'Distrib pivot table'!$C$2,"state","MD")&gt;0.0005,GETPIVOTDATA("Total-New",'Distrib pivot table'!$C$2,"state","MD","group","2a1")/GETPIVOTDATA("Total-New",'Distrib pivot table'!$C$2,"state","MD"),"*"))</f>
        <v>4.1681220134039756E-3</v>
      </c>
      <c r="M30" s="418">
        <f>IF((GETPIVOTDATA("Total-New",'Distrib pivot table'!$C$2,"state","MS","group","2a1")/GETPIVOTDATA("Total-New",'Distrib pivot table'!$C$2,"state","MS"))=0,,IF(GETPIVOTDATA("Total-New",'Distrib pivot table'!$C$2,"state","MS","group","2a1")/GETPIVOTDATA("Total-New",'Distrib pivot table'!$C$2,"state","MS")&gt;0.0005,GETPIVOTDATA("Total-New",'Distrib pivot table'!$C$2,"state","MS","group","2a1")/GETPIVOTDATA("Total-New",'Distrib pivot table'!$C$2,"state","MS"),"*"))</f>
        <v>3.7212001621625577E-3</v>
      </c>
      <c r="N30" s="418">
        <f>IF((GETPIVOTDATA("Total-New",'Distrib pivot table'!$C$2,"state","NC","group","2a1")/GETPIVOTDATA("Total-New",'Distrib pivot table'!$C$2,"state","NC"))=0,,IF(GETPIVOTDATA("Total-New",'Distrib pivot table'!$C$2,"state","NC","group","2a1")/GETPIVOTDATA("Total-New",'Distrib pivot table'!$C$2,"state","NC")&gt;0.0005,GETPIVOTDATA("Total-New",'Distrib pivot table'!$C$2,"state","NC","group","2a1")/GETPIVOTDATA("Total-New",'Distrib pivot table'!$C$2,"state","NC"),"*"))</f>
        <v>4.2952912075300779E-3</v>
      </c>
      <c r="O30" s="418">
        <f>IF((GETPIVOTDATA("Total-New",'Distrib pivot table'!$C$2,"state","OK","group","2a1")/GETPIVOTDATA("Total-New",'Distrib pivot table'!$C$2,"state","OK"))=0,,IF(GETPIVOTDATA("Total-New",'Distrib pivot table'!$C$2,"state","OK","group","2a1")/GETPIVOTDATA("Total-New",'Distrib pivot table'!$C$2,"state","OK")&gt;0.0005,GETPIVOTDATA("Total-New",'Distrib pivot table'!$C$2,"state","OK","group","2a1")/GETPIVOTDATA("Total-New",'Distrib pivot table'!$C$2,"state","OK"),"*"))</f>
        <v>4.9023840408683331E-3</v>
      </c>
      <c r="P30" s="418">
        <f>IF((GETPIVOTDATA("Total-New",'Distrib pivot table'!$C$2,"state","SC","group","2a1")/GETPIVOTDATA("Total-New",'Distrib pivot table'!$C$2,"state","SC"))=0,,IF(GETPIVOTDATA("Total-New",'Distrib pivot table'!$C$2,"state","SC","group","2a1")/GETPIVOTDATA("Total-New",'Distrib pivot table'!$C$2,"state","SC")&gt;0.0005,GETPIVOTDATA("Total-New",'Distrib pivot table'!$C$2,"state","SC","group","2a1")/GETPIVOTDATA("Total-New",'Distrib pivot table'!$C$2,"state","SC"),"*"))</f>
        <v>1.2083151534194874E-3</v>
      </c>
      <c r="Q30" s="418">
        <f>IF((GETPIVOTDATA("Total-New",'Distrib pivot table'!$C$2,"state","TN","group","2a1")/GETPIVOTDATA("Total-New",'Distrib pivot table'!$C$2,"state","TN"))=0,,IF(GETPIVOTDATA("Total-New",'Distrib pivot table'!$C$2,"state","TN","group","2a1")/GETPIVOTDATA("Total-New",'Distrib pivot table'!$C$2,"state","TN")&gt;0.0005,GETPIVOTDATA("Total-New",'Distrib pivot table'!$C$2,"state","TN","group","2a1")/GETPIVOTDATA("Total-New",'Distrib pivot table'!$C$2,"state","TN"),"*"))</f>
        <v>6.4572936439542417E-3</v>
      </c>
      <c r="R30" s="418">
        <f>IF((GETPIVOTDATA("Total-New",'Distrib pivot table'!$C$2,"state","TX","group","2a1")/GETPIVOTDATA("Total-New",'Distrib pivot table'!$C$2,"state","TX"))=0,,IF(GETPIVOTDATA("Total-New",'Distrib pivot table'!$C$2,"state","TX","group","2a1")/GETPIVOTDATA("Total-New",'Distrib pivot table'!$C$2,"state","TX")&gt;0.0005,GETPIVOTDATA("Total-New",'Distrib pivot table'!$C$2,"state","TX","group","2a1")/GETPIVOTDATA("Total-New",'Distrib pivot table'!$C$2,"state","TX"),"*"))</f>
        <v>6.7119846121701972E-3</v>
      </c>
      <c r="S30" s="418">
        <f>IF((GETPIVOTDATA("Total-New",'Distrib pivot table'!$C$2,"state","VA","group","2a1")/GETPIVOTDATA("Total-New",'Distrib pivot table'!$C$2,"state","VA"))=0,,IF(GETPIVOTDATA("Total-New",'Distrib pivot table'!$C$2,"state","VA","group","2a1")/GETPIVOTDATA("Total-New",'Distrib pivot table'!$C$2,"state","VA")&gt;0.0005,GETPIVOTDATA("Total-New",'Distrib pivot table'!$C$2,"state","VA","group","2a1")/GETPIVOTDATA("Total-New",'Distrib pivot table'!$C$2,"state","VA"),"*"))</f>
        <v>9.6677942082560946E-4</v>
      </c>
      <c r="T30" s="418">
        <f>IF((GETPIVOTDATA("Total-New",'Distrib pivot table'!$C$2,"state","WV","group","2a1")/GETPIVOTDATA("Total-New",'Distrib pivot table'!$C$2,"state","WV"))=0,,IF(GETPIVOTDATA("Total-New",'Distrib pivot table'!$C$2,"state","WV","group","2a1")/GETPIVOTDATA("Total-New",'Distrib pivot table'!$C$2,"state","WV")&gt;0.0005,GETPIVOTDATA("Total-New",'Distrib pivot table'!$C$2,"state","WV","group","2a1")/GETPIVOTDATA("Total-New",'Distrib pivot table'!$C$2,"state","WV"),"*"))</f>
        <v>5.2222301884953361E-3</v>
      </c>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2.6" customHeight="1">
      <c r="A31" s="1488"/>
      <c r="B31" s="127" t="s">
        <v>139</v>
      </c>
      <c r="C31" s="374" t="s">
        <v>283</v>
      </c>
      <c r="D31" s="418">
        <f>IF(GETPIVOTDATA("Total-New",'Distrib pivot table'!$C$2,"group","2a2")/GETPIVOTDATA("Total-New",'Distrib pivot table'!$C$2)=0,,IF(GETPIVOTDATA("Total-New",'Distrib pivot table'!$C$2,"group","2a2")/GETPIVOTDATA("Total-New",'Distrib pivot table'!$C$2)&gt;0.0005,GETPIVOTDATA("Total-New",'Distrib pivot table'!$C$2,"group","2a2")/GETPIVOTDATA("Total-New",'Distrib pivot table'!$C$2),"*"))</f>
        <v>2.5316733028171693E-3</v>
      </c>
      <c r="E31" s="418">
        <f>IF((GETPIVOTDATA("Total-New",'Distrib pivot table'!$C$2,"state","AL","group","2a2")/GETPIVOTDATA("Total-New",'Distrib pivot table'!$C$2,"state","AL"))=0,,IF(GETPIVOTDATA("Total-New",'Distrib pivot table'!$C$2,"state","AL","group","2a2")/GETPIVOTDATA("Total-New",'Distrib pivot table'!$C$2,"state","AL")&gt;0.0005,GETPIVOTDATA("Total-New",'Distrib pivot table'!$C$2,"state","AL","group","2a2")/GETPIVOTDATA("Total-New",'Distrib pivot table'!$C$2,"state","AL"),"*"))</f>
        <v>2.2038968573572697E-3</v>
      </c>
      <c r="F31" s="418">
        <f>IF((GETPIVOTDATA("Total-New",'Distrib pivot table'!$C$2,"state","AR","group","2a2")/GETPIVOTDATA("Total-New",'Distrib pivot table'!$C$2,"state","AR"))=0,,IF(GETPIVOTDATA("Total-New",'Distrib pivot table'!$C$2,"state","AR","group","2a2")/GETPIVOTDATA("Total-New",'Distrib pivot table'!$C$2,"state","AR")&gt;0.0005,GETPIVOTDATA("Total-New",'Distrib pivot table'!$C$2,"state","AR","group","2a2")/GETPIVOTDATA("Total-New",'Distrib pivot table'!$C$2,"state","AR"),"*"))</f>
        <v>0</v>
      </c>
      <c r="G31" s="418">
        <f>IF((GETPIVOTDATA("Total-New",'Distrib pivot table'!$C$2,"state","DE","group","2a2")/GETPIVOTDATA("Total-New",'Distrib pivot table'!$C$2,"state","DE"))=0,,IF(GETPIVOTDATA("Total-New",'Distrib pivot table'!$C$2,"state","DE","group","2a2")/GETPIVOTDATA("Total-New",'Distrib pivot table'!$C$2,"state","DE")&gt;0.0005,GETPIVOTDATA("Total-New",'Distrib pivot table'!$C$2,"state","DE","group","2a2")/GETPIVOTDATA("Total-New",'Distrib pivot table'!$C$2,"state","DE"),"*"))</f>
        <v>1.2461405913259064E-2</v>
      </c>
      <c r="H31" s="418" t="str">
        <f>IF((GETPIVOTDATA("Total-New",'Distrib pivot table'!$C$2,"state","FL","group","2a2")/GETPIVOTDATA("Total-New",'Distrib pivot table'!$C$2,"state","FL"))=0,,IF(GETPIVOTDATA("Total-New",'Distrib pivot table'!$C$2,"state","FL","group","2a2")/GETPIVOTDATA("Total-New",'Distrib pivot table'!$C$2,"state","FL")&gt;0.0005,GETPIVOTDATA("Total-New",'Distrib pivot table'!$C$2,"state","FL","group","2a2")/GETPIVOTDATA("Total-New",'Distrib pivot table'!$C$2,"state","FL"),"*"))</f>
        <v>*</v>
      </c>
      <c r="I31" s="418">
        <f>IF((GETPIVOTDATA("Total-New",'Distrib pivot table'!$C$2,"state","GA","group","2a2")/GETPIVOTDATA("Total-New",'Distrib pivot table'!$C$2,"state","GA"))=0,,IF(GETPIVOTDATA("Total-New",'Distrib pivot table'!$C$2,"state","GA","group","2a2")/GETPIVOTDATA("Total-New",'Distrib pivot table'!$C$2,"state","GA")&gt;0.0005,GETPIVOTDATA("Total-New",'Distrib pivot table'!$C$2,"state","GA","group","2a2")/GETPIVOTDATA("Total-New",'Distrib pivot table'!$C$2,"state","GA"),"*"))</f>
        <v>4.2529124250340602E-3</v>
      </c>
      <c r="J31" s="418">
        <f>IF((GETPIVOTDATA("Total-New",'Distrib pivot table'!$C$2,"state","KY","group","2a2")/GETPIVOTDATA("Total-New",'Distrib pivot table'!$C$2,"state","KY"))=0,,IF(GETPIVOTDATA("Total-New",'Distrib pivot table'!$C$2,"state","KY","group","2a2")/GETPIVOTDATA("Total-New",'Distrib pivot table'!$C$2,"state","KY")&gt;0.0005,GETPIVOTDATA("Total-New",'Distrib pivot table'!$C$2,"state","KY","group","2a2")/GETPIVOTDATA("Total-New",'Distrib pivot table'!$C$2,"state","KY"),"*"))</f>
        <v>1.0679088724471845E-2</v>
      </c>
      <c r="K31" s="418">
        <f>IF((GETPIVOTDATA("Total-New",'Distrib pivot table'!$C$2,"state","LA","group","2a2")/GETPIVOTDATA("Total-New",'Distrib pivot table'!$C$2,"state","LA"))=0,,IF(GETPIVOTDATA("Total-New",'Distrib pivot table'!$C$2,"state","LA","group","2a2")/GETPIVOTDATA("Total-New",'Distrib pivot table'!$C$2,"state","LA")&gt;0.0005,GETPIVOTDATA("Total-New",'Distrib pivot table'!$C$2,"state","LA","group","2a2")/GETPIVOTDATA("Total-New",'Distrib pivot table'!$C$2,"state","LA"),"*"))</f>
        <v>7.4666375181111815E-3</v>
      </c>
      <c r="L31" s="418">
        <f>IF((GETPIVOTDATA("Total-New",'Distrib pivot table'!$C$2,"state","MD","group","2a2")/GETPIVOTDATA("Total-New",'Distrib pivot table'!$C$2,"state","MD"))=0,,IF(GETPIVOTDATA("Total-New",'Distrib pivot table'!$C$2,"state","MD","group","2a2")/GETPIVOTDATA("Total-New",'Distrib pivot table'!$C$2,"state","MD")&gt;0.0005,GETPIVOTDATA("Total-New",'Distrib pivot table'!$C$2,"state","MD","group","2a2")/GETPIVOTDATA("Total-New",'Distrib pivot table'!$C$2,"state","MD"),"*"))</f>
        <v>0</v>
      </c>
      <c r="M31" s="418">
        <f>IF((GETPIVOTDATA("Total-New",'Distrib pivot table'!$C$2,"state","MS","group","2a2")/GETPIVOTDATA("Total-New",'Distrib pivot table'!$C$2,"state","MS"))=0,,IF(GETPIVOTDATA("Total-New",'Distrib pivot table'!$C$2,"state","MS","group","2a2")/GETPIVOTDATA("Total-New",'Distrib pivot table'!$C$2,"state","MS")&gt;0.0005,GETPIVOTDATA("Total-New",'Distrib pivot table'!$C$2,"state","MS","group","2a2")/GETPIVOTDATA("Total-New",'Distrib pivot table'!$C$2,"state","MS"),"*"))</f>
        <v>0</v>
      </c>
      <c r="N31" s="418">
        <f>IF((GETPIVOTDATA("Total-New",'Distrib pivot table'!$C$2,"state","NC","group","2a2")/GETPIVOTDATA("Total-New",'Distrib pivot table'!$C$2,"state","NC"))=0,,IF(GETPIVOTDATA("Total-New",'Distrib pivot table'!$C$2,"state","NC","group","2a2")/GETPIVOTDATA("Total-New",'Distrib pivot table'!$C$2,"state","NC")&gt;0.0005,GETPIVOTDATA("Total-New",'Distrib pivot table'!$C$2,"state","NC","group","2a2")/GETPIVOTDATA("Total-New",'Distrib pivot table'!$C$2,"state","NC"),"*"))</f>
        <v>4.4242807962896523E-3</v>
      </c>
      <c r="O31" s="418">
        <f>IF((GETPIVOTDATA("Total-New",'Distrib pivot table'!$C$2,"state","OK","group","2a2")/GETPIVOTDATA("Total-New",'Distrib pivot table'!$C$2,"state","OK"))=0,,IF(GETPIVOTDATA("Total-New",'Distrib pivot table'!$C$2,"state","OK","group","2a2")/GETPIVOTDATA("Total-New",'Distrib pivot table'!$C$2,"state","OK")&gt;0.0005,GETPIVOTDATA("Total-New",'Distrib pivot table'!$C$2,"state","OK","group","2a2")/GETPIVOTDATA("Total-New",'Distrib pivot table'!$C$2,"state","OK"),"*"))</f>
        <v>0</v>
      </c>
      <c r="P31" s="418">
        <f>IF((GETPIVOTDATA("Total-New",'Distrib pivot table'!$C$2,"state","SC","group","2a2")/GETPIVOTDATA("Total-New",'Distrib pivot table'!$C$2,"state","SC"))=0,,IF(GETPIVOTDATA("Total-New",'Distrib pivot table'!$C$2,"state","SC","group","2a2")/GETPIVOTDATA("Total-New",'Distrib pivot table'!$C$2,"state","SC")&gt;0.0005,GETPIVOTDATA("Total-New",'Distrib pivot table'!$C$2,"state","SC","group","2a2")/GETPIVOTDATA("Total-New",'Distrib pivot table'!$C$2,"state","SC"),"*"))</f>
        <v>2.9737650940592671E-3</v>
      </c>
      <c r="Q31" s="418">
        <f>IF((GETPIVOTDATA("Total-New",'Distrib pivot table'!$C$2,"state","TN","group","2a2")/GETPIVOTDATA("Total-New",'Distrib pivot table'!$C$2,"state","TN"))=0,,IF(GETPIVOTDATA("Total-New",'Distrib pivot table'!$C$2,"state","TN","group","2a2")/GETPIVOTDATA("Total-New",'Distrib pivot table'!$C$2,"state","TN")&gt;0.0005,GETPIVOTDATA("Total-New",'Distrib pivot table'!$C$2,"state","TN","group","2a2")/GETPIVOTDATA("Total-New",'Distrib pivot table'!$C$2,"state","TN"),"*"))</f>
        <v>0</v>
      </c>
      <c r="R31" s="418">
        <f>IF((GETPIVOTDATA("Total-New",'Distrib pivot table'!$C$2,"state","TX","group","2a2")/GETPIVOTDATA("Total-New",'Distrib pivot table'!$C$2,"state","TX"))=0,,IF(GETPIVOTDATA("Total-New",'Distrib pivot table'!$C$2,"state","TX","group","2a2")/GETPIVOTDATA("Total-New",'Distrib pivot table'!$C$2,"state","TX")&gt;0.0005,GETPIVOTDATA("Total-New",'Distrib pivot table'!$C$2,"state","TX","group","2a2")/GETPIVOTDATA("Total-New",'Distrib pivot table'!$C$2,"state","TX"),"*"))</f>
        <v>5.1394936200544221E-4</v>
      </c>
      <c r="S31" s="418">
        <f>IF((GETPIVOTDATA("Total-New",'Distrib pivot table'!$C$2,"state","VA","group","2a2")/GETPIVOTDATA("Total-New",'Distrib pivot table'!$C$2,"state","VA"))=0,,IF(GETPIVOTDATA("Total-New",'Distrib pivot table'!$C$2,"state","VA","group","2a2")/GETPIVOTDATA("Total-New",'Distrib pivot table'!$C$2,"state","VA")&gt;0.0005,GETPIVOTDATA("Total-New",'Distrib pivot table'!$C$2,"state","VA","group","2a2")/GETPIVOTDATA("Total-New",'Distrib pivot table'!$C$2,"state","VA"),"*"))</f>
        <v>5.3465298729561172E-3</v>
      </c>
      <c r="T31" s="418">
        <f>IF((GETPIVOTDATA("Total-New",'Distrib pivot table'!$C$2,"state","WV","group","2a2")/GETPIVOTDATA("Total-New",'Distrib pivot table'!$C$2,"state","WV"))=0,,IF(GETPIVOTDATA("Total-New",'Distrib pivot table'!$C$2,"state","WV","group","2a2")/GETPIVOTDATA("Total-New",'Distrib pivot table'!$C$2,"state","WV")&gt;0.0005,GETPIVOTDATA("Total-New",'Distrib pivot table'!$C$2,"state","WV","group","2a2")/GETPIVOTDATA("Total-New",'Distrib pivot table'!$C$2,"state","WV"),"*"))</f>
        <v>6.3183046508471835E-4</v>
      </c>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24">
      <c r="A32" s="1488"/>
      <c r="B32" s="130" t="s">
        <v>138</v>
      </c>
      <c r="C32" s="374" t="s">
        <v>284</v>
      </c>
      <c r="D32" s="418" t="str">
        <f>IF(GETPIVOTDATA("Total-New",'Distrib pivot table'!$C$2,"group","2a3")/GETPIVOTDATA("Total-New",'Distrib pivot table'!$C$2)=0,,IF(GETPIVOTDATA("Total-New",'Distrib pivot table'!$C$2,"group","2a3")/GETPIVOTDATA("Total-New",'Distrib pivot table'!$C$2)&gt;0.0005,GETPIVOTDATA("Total-New",'Distrib pivot table'!$C$2,"group","2a3")/GETPIVOTDATA("Total-New",'Distrib pivot table'!$C$2),"*"))</f>
        <v>*</v>
      </c>
      <c r="E32" s="418" t="str">
        <f>IF((GETPIVOTDATA("Total-New",'Distrib pivot table'!$C$2,"state","AL","group","2a3")/GETPIVOTDATA("Total-New",'Distrib pivot table'!$C$2,"state","AL"))=0,,IF(GETPIVOTDATA("Total-New",'Distrib pivot table'!$C$2,"state","AL","group","2a3")/GETPIVOTDATA("Total-New",'Distrib pivot table'!$C$2,"state","AL")&gt;0.0005,GETPIVOTDATA("Total-New",'Distrib pivot table'!$C$2,"state","AL","group","2a3")/GETPIVOTDATA("Total-New",'Distrib pivot table'!$C$2,"state","AL"),"*"))</f>
        <v>*</v>
      </c>
      <c r="F32" s="418">
        <f>IF((GETPIVOTDATA("Total-New",'Distrib pivot table'!$C$2,"state","AR","group","2a3")/GETPIVOTDATA("Total-New",'Distrib pivot table'!$C$2,"state","AR"))=0,,IF(GETPIVOTDATA("Total-New",'Distrib pivot table'!$C$2,"state","AR","group","2a3")/GETPIVOTDATA("Total-New",'Distrib pivot table'!$C$2,"state","AR")&gt;0.0005,GETPIVOTDATA("Total-New",'Distrib pivot table'!$C$2,"state","AR","group","2a3")/GETPIVOTDATA("Total-New",'Distrib pivot table'!$C$2,"state","AR"),"*"))</f>
        <v>0</v>
      </c>
      <c r="G32" s="418" t="str">
        <f>IF((GETPIVOTDATA("Total-New",'Distrib pivot table'!$C$2,"state","DE","group","2a3")/GETPIVOTDATA("Total-New",'Distrib pivot table'!$C$2,"state","DE"))=0,,IF(GETPIVOTDATA("Total-New",'Distrib pivot table'!$C$2,"state","DE","group","2a3")/GETPIVOTDATA("Total-New",'Distrib pivot table'!$C$2,"state","DE")&gt;0.0005,GETPIVOTDATA("Total-New",'Distrib pivot table'!$C$2,"state","DE","group","2a3")/GETPIVOTDATA("Total-New",'Distrib pivot table'!$C$2,"state","DE"),"*"))</f>
        <v>*</v>
      </c>
      <c r="H32" s="418" t="str">
        <f>IF((GETPIVOTDATA("Total-New",'Distrib pivot table'!$C$2,"state","FL","group","2a3")/GETPIVOTDATA("Total-New",'Distrib pivot table'!$C$2,"state","FL"))=0,,IF(GETPIVOTDATA("Total-New",'Distrib pivot table'!$C$2,"state","FL","group","2a3")/GETPIVOTDATA("Total-New",'Distrib pivot table'!$C$2,"state","FL")&gt;0.0005,GETPIVOTDATA("Total-New",'Distrib pivot table'!$C$2,"state","FL","group","2a3")/GETPIVOTDATA("Total-New",'Distrib pivot table'!$C$2,"state","FL"),"*"))</f>
        <v>*</v>
      </c>
      <c r="I32" s="418" t="str">
        <f>IF((GETPIVOTDATA("Total-New",'Distrib pivot table'!$C$2,"state","GA","group","2a3")/GETPIVOTDATA("Total-New",'Distrib pivot table'!$C$2,"state","GA"))=0,,IF(GETPIVOTDATA("Total-New",'Distrib pivot table'!$C$2,"state","GA","group","2a3")/GETPIVOTDATA("Total-New",'Distrib pivot table'!$C$2,"state","GA")&gt;0.0005,GETPIVOTDATA("Total-New",'Distrib pivot table'!$C$2,"state","GA","group","2a3")/GETPIVOTDATA("Total-New",'Distrib pivot table'!$C$2,"state","GA"),"*"))</f>
        <v>*</v>
      </c>
      <c r="J32" s="418" t="str">
        <f>IF((GETPIVOTDATA("Total-New",'Distrib pivot table'!$C$2,"state","KY","group","2a3")/GETPIVOTDATA("Total-New",'Distrib pivot table'!$C$2,"state","KY"))=0,,IF(GETPIVOTDATA("Total-New",'Distrib pivot table'!$C$2,"state","KY","group","2a3")/GETPIVOTDATA("Total-New",'Distrib pivot table'!$C$2,"state","KY")&gt;0.0005,GETPIVOTDATA("Total-New",'Distrib pivot table'!$C$2,"state","KY","group","2a3")/GETPIVOTDATA("Total-New",'Distrib pivot table'!$C$2,"state","KY"),"*"))</f>
        <v>*</v>
      </c>
      <c r="K32" s="418">
        <f>IF((GETPIVOTDATA("Total-New",'Distrib pivot table'!$C$2,"state","LA","group","2a3")/GETPIVOTDATA("Total-New",'Distrib pivot table'!$C$2,"state","LA"))=0,,IF(GETPIVOTDATA("Total-New",'Distrib pivot table'!$C$2,"state","LA","group","2a3")/GETPIVOTDATA("Total-New",'Distrib pivot table'!$C$2,"state","LA")&gt;0.0005,GETPIVOTDATA("Total-New",'Distrib pivot table'!$C$2,"state","LA","group","2a3")/GETPIVOTDATA("Total-New",'Distrib pivot table'!$C$2,"state","LA"),"*"))</f>
        <v>0</v>
      </c>
      <c r="L32" s="418">
        <f>IF((GETPIVOTDATA("Total-New",'Distrib pivot table'!$C$2,"state","MD","group","2a3")/GETPIVOTDATA("Total-New",'Distrib pivot table'!$C$2,"state","MD"))=0,,IF(GETPIVOTDATA("Total-New",'Distrib pivot table'!$C$2,"state","MD","group","2a3")/GETPIVOTDATA("Total-New",'Distrib pivot table'!$C$2,"state","MD")&gt;0.0005,GETPIVOTDATA("Total-New",'Distrib pivot table'!$C$2,"state","MD","group","2a3")/GETPIVOTDATA("Total-New",'Distrib pivot table'!$C$2,"state","MD"),"*"))</f>
        <v>0</v>
      </c>
      <c r="M32" s="418">
        <f>IF((GETPIVOTDATA("Total-New",'Distrib pivot table'!$C$2,"state","MS","group","2a3")/GETPIVOTDATA("Total-New",'Distrib pivot table'!$C$2,"state","MS"))=0,,IF(GETPIVOTDATA("Total-New",'Distrib pivot table'!$C$2,"state","MS","group","2a3")/GETPIVOTDATA("Total-New",'Distrib pivot table'!$C$2,"state","MS")&gt;0.0005,GETPIVOTDATA("Total-New",'Distrib pivot table'!$C$2,"state","MS","group","2a3")/GETPIVOTDATA("Total-New",'Distrib pivot table'!$C$2,"state","MS"),"*"))</f>
        <v>0</v>
      </c>
      <c r="N32" s="418" t="str">
        <f>IF((GETPIVOTDATA("Total-New",'Distrib pivot table'!$C$2,"state","NC","group","2a3")/GETPIVOTDATA("Total-New",'Distrib pivot table'!$C$2,"state","NC"))=0,,IF(GETPIVOTDATA("Total-New",'Distrib pivot table'!$C$2,"state","NC","group","2a3")/GETPIVOTDATA("Total-New",'Distrib pivot table'!$C$2,"state","NC")&gt;0.0005,GETPIVOTDATA("Total-New",'Distrib pivot table'!$C$2,"state","NC","group","2a3")/GETPIVOTDATA("Total-New",'Distrib pivot table'!$C$2,"state","NC"),"*"))</f>
        <v>*</v>
      </c>
      <c r="O32" s="418">
        <f>IF((GETPIVOTDATA("Total-New",'Distrib pivot table'!$C$2,"state","OK","group","2a3")/GETPIVOTDATA("Total-New",'Distrib pivot table'!$C$2,"state","OK"))=0,,IF(GETPIVOTDATA("Total-New",'Distrib pivot table'!$C$2,"state","OK","group","2a3")/GETPIVOTDATA("Total-New",'Distrib pivot table'!$C$2,"state","OK")&gt;0.0005,GETPIVOTDATA("Total-New",'Distrib pivot table'!$C$2,"state","OK","group","2a3")/GETPIVOTDATA("Total-New",'Distrib pivot table'!$C$2,"state","OK"),"*"))</f>
        <v>0</v>
      </c>
      <c r="P32" s="418">
        <f>IF((GETPIVOTDATA("Total-New",'Distrib pivot table'!$C$2,"state","SC","group","2a3")/GETPIVOTDATA("Total-New",'Distrib pivot table'!$C$2,"state","SC"))=0,,IF(GETPIVOTDATA("Total-New",'Distrib pivot table'!$C$2,"state","SC","group","2a3")/GETPIVOTDATA("Total-New",'Distrib pivot table'!$C$2,"state","SC")&gt;0.0005,GETPIVOTDATA("Total-New",'Distrib pivot table'!$C$2,"state","SC","group","2a3")/GETPIVOTDATA("Total-New",'Distrib pivot table'!$C$2,"state","SC"),"*"))</f>
        <v>2.6025334300265536E-3</v>
      </c>
      <c r="Q32" s="418">
        <f>IF((GETPIVOTDATA("Total-New",'Distrib pivot table'!$C$2,"state","TN","group","2a3")/GETPIVOTDATA("Total-New",'Distrib pivot table'!$C$2,"state","TN"))=0,,IF(GETPIVOTDATA("Total-New",'Distrib pivot table'!$C$2,"state","TN","group","2a3")/GETPIVOTDATA("Total-New",'Distrib pivot table'!$C$2,"state","TN")&gt;0.0005,GETPIVOTDATA("Total-New",'Distrib pivot table'!$C$2,"state","TN","group","2a3")/GETPIVOTDATA("Total-New",'Distrib pivot table'!$C$2,"state","TN"),"*"))</f>
        <v>0</v>
      </c>
      <c r="R32" s="418">
        <f>IF((GETPIVOTDATA("Total-New",'Distrib pivot table'!$C$2,"state","TX","group","2a3")/GETPIVOTDATA("Total-New",'Distrib pivot table'!$C$2,"state","TX"))=0,,IF(GETPIVOTDATA("Total-New",'Distrib pivot table'!$C$2,"state","TX","group","2a3")/GETPIVOTDATA("Total-New",'Distrib pivot table'!$C$2,"state","TX")&gt;0.0005,GETPIVOTDATA("Total-New",'Distrib pivot table'!$C$2,"state","TX","group","2a3")/GETPIVOTDATA("Total-New",'Distrib pivot table'!$C$2,"state","TX"),"*"))</f>
        <v>0</v>
      </c>
      <c r="S32" s="418">
        <f>IF((GETPIVOTDATA("Total-New",'Distrib pivot table'!$C$2,"state","VA","group","2a3")/GETPIVOTDATA("Total-New",'Distrib pivot table'!$C$2,"state","VA"))=0,,IF(GETPIVOTDATA("Total-New",'Distrib pivot table'!$C$2,"state","VA","group","2a3")/GETPIVOTDATA("Total-New",'Distrib pivot table'!$C$2,"state","VA")&gt;0.0005,GETPIVOTDATA("Total-New",'Distrib pivot table'!$C$2,"state","VA","group","2a3")/GETPIVOTDATA("Total-New",'Distrib pivot table'!$C$2,"state","VA"),"*"))</f>
        <v>0</v>
      </c>
      <c r="T32" s="418">
        <f>IF((GETPIVOTDATA("Total-New",'Distrib pivot table'!$C$2,"state","WV","group","2a3")/GETPIVOTDATA("Total-New",'Distrib pivot table'!$C$2,"state","WV"))=0,,IF(GETPIVOTDATA("Total-New",'Distrib pivot table'!$C$2,"state","WV","group","2a3")/GETPIVOTDATA("Total-New",'Distrib pivot table'!$C$2,"state","WV")&gt;0.0005,GETPIVOTDATA("Total-New",'Distrib pivot table'!$C$2,"state","WV","group","2a3")/GETPIVOTDATA("Total-New",'Distrib pivot table'!$C$2,"state","WV"),"*"))</f>
        <v>0</v>
      </c>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36">
      <c r="A33" s="1488"/>
      <c r="B33" s="130" t="s">
        <v>141</v>
      </c>
      <c r="C33" s="374" t="s">
        <v>285</v>
      </c>
      <c r="D33" s="418" t="str">
        <f>IF(GETPIVOTDATA("Total-New",'Distrib pivot table'!$C$2,"group","2a4")/GETPIVOTDATA("Total-New",'Distrib pivot table'!$C$2)=0,,IF(GETPIVOTDATA("Total-New",'Distrib pivot table'!$C$2,"group","2a4")/GETPIVOTDATA("Total-New",'Distrib pivot table'!$C$2)&gt;0.0005,GETPIVOTDATA("Total-New",'Distrib pivot table'!$C$2,"group","2a4")/GETPIVOTDATA("Total-New",'Distrib pivot table'!$C$2),"*"))</f>
        <v>*</v>
      </c>
      <c r="E33" s="418" t="str">
        <f>IF((GETPIVOTDATA("Total-New",'Distrib pivot table'!$C$2,"state","AL","group","2a4")/GETPIVOTDATA("Total-New",'Distrib pivot table'!$C$2,"state","AL"))=0,,IF(GETPIVOTDATA("Total-New",'Distrib pivot table'!$C$2,"state","AL","group","2a4")/GETPIVOTDATA("Total-New",'Distrib pivot table'!$C$2,"state","AL")&gt;0.0005,GETPIVOTDATA("Total-New",'Distrib pivot table'!$C$2,"state","AL","group","2a4")/GETPIVOTDATA("Total-New",'Distrib pivot table'!$C$2,"state","AL"),"*"))</f>
        <v>*</v>
      </c>
      <c r="F33" s="418">
        <f>IF((GETPIVOTDATA("Total-New",'Distrib pivot table'!$C$2,"state","AR","group","2a4")/GETPIVOTDATA("Total-New",'Distrib pivot table'!$C$2,"state","AR"))=0,,IF(GETPIVOTDATA("Total-New",'Distrib pivot table'!$C$2,"state","AR","group","2a4")/GETPIVOTDATA("Total-New",'Distrib pivot table'!$C$2,"state","AR")&gt;0.0005,GETPIVOTDATA("Total-New",'Distrib pivot table'!$C$2,"state","AR","group","2a4")/GETPIVOTDATA("Total-New",'Distrib pivot table'!$C$2,"state","AR"),"*"))</f>
        <v>0</v>
      </c>
      <c r="G33" s="418">
        <f>IF((GETPIVOTDATA("Total-New",'Distrib pivot table'!$C$2,"state","DE","group","2a4")/GETPIVOTDATA("Total-New",'Distrib pivot table'!$C$2,"state","DE"))=0,,IF(GETPIVOTDATA("Total-New",'Distrib pivot table'!$C$2,"state","DE","group","2a4")/GETPIVOTDATA("Total-New",'Distrib pivot table'!$C$2,"state","DE")&gt;0.0005,GETPIVOTDATA("Total-New",'Distrib pivot table'!$C$2,"state","DE","group","2a4")/GETPIVOTDATA("Total-New",'Distrib pivot table'!$C$2,"state","DE"),"*"))</f>
        <v>0</v>
      </c>
      <c r="H33" s="418">
        <f>IF((GETPIVOTDATA("Total-New",'Distrib pivot table'!$C$2,"state","FL","group","2a4")/GETPIVOTDATA("Total-New",'Distrib pivot table'!$C$2,"state","FL"))=0,,IF(GETPIVOTDATA("Total-New",'Distrib pivot table'!$C$2,"state","FL","group","2a4")/GETPIVOTDATA("Total-New",'Distrib pivot table'!$C$2,"state","FL")&gt;0.0005,GETPIVOTDATA("Total-New",'Distrib pivot table'!$C$2,"state","FL","group","2a4")/GETPIVOTDATA("Total-New",'Distrib pivot table'!$C$2,"state","FL"),"*"))</f>
        <v>0</v>
      </c>
      <c r="I33" s="418">
        <f>IF((GETPIVOTDATA("Total-New",'Distrib pivot table'!$C$2,"state","GA","group","2a4")/GETPIVOTDATA("Total-New",'Distrib pivot table'!$C$2,"state","GA"))=0,,IF(GETPIVOTDATA("Total-New",'Distrib pivot table'!$C$2,"state","GA","group","2a4")/GETPIVOTDATA("Total-New",'Distrib pivot table'!$C$2,"state","GA")&gt;0.0005,GETPIVOTDATA("Total-New",'Distrib pivot table'!$C$2,"state","GA","group","2a4")/GETPIVOTDATA("Total-New",'Distrib pivot table'!$C$2,"state","GA"),"*"))</f>
        <v>0</v>
      </c>
      <c r="J33" s="418">
        <f>IF((GETPIVOTDATA("Total-New",'Distrib pivot table'!$C$2,"state","KY","group","2a4")/GETPIVOTDATA("Total-New",'Distrib pivot table'!$C$2,"state","KY"))=0,,IF(GETPIVOTDATA("Total-New",'Distrib pivot table'!$C$2,"state","KY","group","2a4")/GETPIVOTDATA("Total-New",'Distrib pivot table'!$C$2,"state","KY")&gt;0.0005,GETPIVOTDATA("Total-New",'Distrib pivot table'!$C$2,"state","KY","group","2a4")/GETPIVOTDATA("Total-New",'Distrib pivot table'!$C$2,"state","KY"),"*"))</f>
        <v>0</v>
      </c>
      <c r="K33" s="418" t="str">
        <f>IF((GETPIVOTDATA("Total-New",'Distrib pivot table'!$C$2,"state","LA","group","2a4")/GETPIVOTDATA("Total-New",'Distrib pivot table'!$C$2,"state","LA"))=0,,IF(GETPIVOTDATA("Total-New",'Distrib pivot table'!$C$2,"state","LA","group","2a4")/GETPIVOTDATA("Total-New",'Distrib pivot table'!$C$2,"state","LA")&gt;0.0005,GETPIVOTDATA("Total-New",'Distrib pivot table'!$C$2,"state","LA","group","2a4")/GETPIVOTDATA("Total-New",'Distrib pivot table'!$C$2,"state","LA"),"*"))</f>
        <v>*</v>
      </c>
      <c r="L33" s="418">
        <f>IF((GETPIVOTDATA("Total-New",'Distrib pivot table'!$C$2,"state","MD","group","2a4")/GETPIVOTDATA("Total-New",'Distrib pivot table'!$C$2,"state","MD"))=0,,IF(GETPIVOTDATA("Total-New",'Distrib pivot table'!$C$2,"state","MD","group","2a4")/GETPIVOTDATA("Total-New",'Distrib pivot table'!$C$2,"state","MD")&gt;0.0005,GETPIVOTDATA("Total-New",'Distrib pivot table'!$C$2,"state","MD","group","2a4")/GETPIVOTDATA("Total-New",'Distrib pivot table'!$C$2,"state","MD"),"*"))</f>
        <v>0</v>
      </c>
      <c r="M33" s="418">
        <f>IF((GETPIVOTDATA("Total-New",'Distrib pivot table'!$C$2,"state","MS","group","2a4")/GETPIVOTDATA("Total-New",'Distrib pivot table'!$C$2,"state","MS"))=0,,IF(GETPIVOTDATA("Total-New",'Distrib pivot table'!$C$2,"state","MS","group","2a4")/GETPIVOTDATA("Total-New",'Distrib pivot table'!$C$2,"state","MS")&gt;0.0005,GETPIVOTDATA("Total-New",'Distrib pivot table'!$C$2,"state","MS","group","2a4")/GETPIVOTDATA("Total-New",'Distrib pivot table'!$C$2,"state","MS"),"*"))</f>
        <v>5.9096574267579244E-4</v>
      </c>
      <c r="N33" s="418">
        <f>IF((GETPIVOTDATA("Total-New",'Distrib pivot table'!$C$2,"state","NC","group","2a4")/GETPIVOTDATA("Total-New",'Distrib pivot table'!$C$2,"state","NC"))=0,,IF(GETPIVOTDATA("Total-New",'Distrib pivot table'!$C$2,"state","NC","group","2a4")/GETPIVOTDATA("Total-New",'Distrib pivot table'!$C$2,"state","NC")&gt;0.0005,GETPIVOTDATA("Total-New",'Distrib pivot table'!$C$2,"state","NC","group","2a4")/GETPIVOTDATA("Total-New",'Distrib pivot table'!$C$2,"state","NC"),"*"))</f>
        <v>0</v>
      </c>
      <c r="O33" s="418">
        <f>IF((GETPIVOTDATA("Total-New",'Distrib pivot table'!$C$2,"state","OK","group","2a4")/GETPIVOTDATA("Total-New",'Distrib pivot table'!$C$2,"state","OK"))=0,,IF(GETPIVOTDATA("Total-New",'Distrib pivot table'!$C$2,"state","OK","group","2a4")/GETPIVOTDATA("Total-New",'Distrib pivot table'!$C$2,"state","OK")&gt;0.0005,GETPIVOTDATA("Total-New",'Distrib pivot table'!$C$2,"state","OK","group","2a4")/GETPIVOTDATA("Total-New",'Distrib pivot table'!$C$2,"state","OK"),"*"))</f>
        <v>0</v>
      </c>
      <c r="P33" s="418" t="str">
        <f>IF((GETPIVOTDATA("Total-New",'Distrib pivot table'!$C$2,"state","SC","group","2a4")/GETPIVOTDATA("Total-New",'Distrib pivot table'!$C$2,"state","SC"))=0,,IF(GETPIVOTDATA("Total-New",'Distrib pivot table'!$C$2,"state","SC","group","2a4")/GETPIVOTDATA("Total-New",'Distrib pivot table'!$C$2,"state","SC")&gt;0.0005,GETPIVOTDATA("Total-New",'Distrib pivot table'!$C$2,"state","SC","group","2a4")/GETPIVOTDATA("Total-New",'Distrib pivot table'!$C$2,"state","SC"),"*"))</f>
        <v>*</v>
      </c>
      <c r="Q33" s="418" t="str">
        <f>IF((GETPIVOTDATA("Total-New",'Distrib pivot table'!$C$2,"state","TN","group","2a4")/GETPIVOTDATA("Total-New",'Distrib pivot table'!$C$2,"state","TN"))=0,,IF(GETPIVOTDATA("Total-New",'Distrib pivot table'!$C$2,"state","TN","group","2a4")/GETPIVOTDATA("Total-New",'Distrib pivot table'!$C$2,"state","TN")&gt;0.0005,GETPIVOTDATA("Total-New",'Distrib pivot table'!$C$2,"state","TN","group","2a4")/GETPIVOTDATA("Total-New",'Distrib pivot table'!$C$2,"state","TN"),"*"))</f>
        <v>*</v>
      </c>
      <c r="R33" s="418">
        <f>IF((GETPIVOTDATA("Total-New",'Distrib pivot table'!$C$2,"state","TX","group","2a4")/GETPIVOTDATA("Total-New",'Distrib pivot table'!$C$2,"state","TX"))=0,,IF(GETPIVOTDATA("Total-New",'Distrib pivot table'!$C$2,"state","TX","group","2a4")/GETPIVOTDATA("Total-New",'Distrib pivot table'!$C$2,"state","TX")&gt;0.0005,GETPIVOTDATA("Total-New",'Distrib pivot table'!$C$2,"state","TX","group","2a4")/GETPIVOTDATA("Total-New",'Distrib pivot table'!$C$2,"state","TX"),"*"))</f>
        <v>0</v>
      </c>
      <c r="S33" s="418">
        <f>IF((GETPIVOTDATA("Total-New",'Distrib pivot table'!$C$2,"state","VA","group","2a4")/GETPIVOTDATA("Total-New",'Distrib pivot table'!$C$2,"state","VA"))=0,,IF(GETPIVOTDATA("Total-New",'Distrib pivot table'!$C$2,"state","VA","group","2a4")/GETPIVOTDATA("Total-New",'Distrib pivot table'!$C$2,"state","VA")&gt;0.0005,GETPIVOTDATA("Total-New",'Distrib pivot table'!$C$2,"state","VA","group","2a4")/GETPIVOTDATA("Total-New",'Distrib pivot table'!$C$2,"state","VA"),"*"))</f>
        <v>0</v>
      </c>
      <c r="T33" s="418">
        <f>IF((GETPIVOTDATA("Total-New",'Distrib pivot table'!$C$2,"state","WV","group","2a4")/GETPIVOTDATA("Total-New",'Distrib pivot table'!$C$2,"state","WV"))=0,,IF(GETPIVOTDATA("Total-New",'Distrib pivot table'!$C$2,"state","WV","group","2a4")/GETPIVOTDATA("Total-New",'Distrib pivot table'!$C$2,"state","WV")&gt;0.0005,GETPIVOTDATA("Total-New",'Distrib pivot table'!$C$2,"state","WV","group","2a4")/GETPIVOTDATA("Total-New",'Distrib pivot table'!$C$2,"state","WV"),"*"))</f>
        <v>1.303221423008832E-3</v>
      </c>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26.25" customHeight="1">
      <c r="A34" s="1488"/>
      <c r="B34" s="131" t="s">
        <v>300</v>
      </c>
      <c r="C34" s="374" t="s">
        <v>286</v>
      </c>
      <c r="D34" s="424">
        <f>IF(GETPIVOTDATA("Total-New",'Distrib pivot table'!$C$2,"group","2b")/GETPIVOTDATA("Total-New",'Distrib pivot table'!$C$2)=0,,IF(GETPIVOTDATA("Total-New",'Distrib pivot table'!$C$2,"group","2b")/GETPIVOTDATA("Total-New",'Distrib pivot table'!$C$2)&gt;0.0005,GETPIVOTDATA("Total-New",'Distrib pivot table'!$C$2,"group","2b")/GETPIVOTDATA("Total-New",'Distrib pivot table'!$C$2),"*"))</f>
        <v>2.6427885148903856E-3</v>
      </c>
      <c r="E34" s="424">
        <f>IF((GETPIVOTDATA("Total-New",'Distrib pivot table'!$C$2,"state","AL","group","2b")/GETPIVOTDATA("Total-New",'Distrib pivot table'!$C$2,"state","AL"))=0,,IF(GETPIVOTDATA("Total-New",'Distrib pivot table'!$C$2,"state","AL","group","2b")/GETPIVOTDATA("Total-New",'Distrib pivot table'!$C$2,"state","AL")&gt;0.0005,GETPIVOTDATA("Total-New",'Distrib pivot table'!$C$2,"state","AL","group","2b")/GETPIVOTDATA("Total-New",'Distrib pivot table'!$C$2,"state","AL"),"*"))</f>
        <v>3.6840411125345701E-3</v>
      </c>
      <c r="F34" s="424">
        <f>IF((GETPIVOTDATA("Total-New",'Distrib pivot table'!$C$2,"state","AR","group","2b")/GETPIVOTDATA("Total-New",'Distrib pivot table'!$C$2,"state","AR"))=0,,IF(GETPIVOTDATA("Total-New",'Distrib pivot table'!$C$2,"state","AR","group","2b")/GETPIVOTDATA("Total-New",'Distrib pivot table'!$C$2,"state","AR")&gt;0.0005,GETPIVOTDATA("Total-New",'Distrib pivot table'!$C$2,"state","AR","group","2b")/GETPIVOTDATA("Total-New",'Distrib pivot table'!$C$2,"state","AR"),"*"))</f>
        <v>0</v>
      </c>
      <c r="G34" s="424">
        <f>IF((GETPIVOTDATA("Total-New",'Distrib pivot table'!$C$2,"state","DE","group","2b")/GETPIVOTDATA("Total-New",'Distrib pivot table'!$C$2,"state","DE"))=0,,IF(GETPIVOTDATA("Total-New",'Distrib pivot table'!$C$2,"state","DE","group","2b")/GETPIVOTDATA("Total-New",'Distrib pivot table'!$C$2,"state","DE")&gt;0.0005,GETPIVOTDATA("Total-New",'Distrib pivot table'!$C$2,"state","DE","group","2b")/GETPIVOTDATA("Total-New",'Distrib pivot table'!$C$2,"state","DE"),"*"))</f>
        <v>0</v>
      </c>
      <c r="H34" s="424">
        <f>IF((GETPIVOTDATA("Total-New",'Distrib pivot table'!$C$2,"state","FL","group","2b")/GETPIVOTDATA("Total-New",'Distrib pivot table'!$C$2,"state","FL"))=0,,IF(GETPIVOTDATA("Total-New",'Distrib pivot table'!$C$2,"state","FL","group","2b")/GETPIVOTDATA("Total-New",'Distrib pivot table'!$C$2,"state","FL")&gt;0.0005,GETPIVOTDATA("Total-New",'Distrib pivot table'!$C$2,"state","FL","group","2b")/GETPIVOTDATA("Total-New",'Distrib pivot table'!$C$2,"state","FL"),"*"))</f>
        <v>2.1426997476027918E-3</v>
      </c>
      <c r="I34" s="424">
        <f>IF((GETPIVOTDATA("Total-New",'Distrib pivot table'!$C$2,"state","GA","group","2b")/GETPIVOTDATA("Total-New",'Distrib pivot table'!$C$2,"state","GA"))=0,,IF(GETPIVOTDATA("Total-New",'Distrib pivot table'!$C$2,"state","GA","group","2b")/GETPIVOTDATA("Total-New",'Distrib pivot table'!$C$2,"state","GA")&gt;0.0005,GETPIVOTDATA("Total-New",'Distrib pivot table'!$C$2,"state","GA","group","2b")/GETPIVOTDATA("Total-New",'Distrib pivot table'!$C$2,"state","GA"),"*"))</f>
        <v>8.1641956473155145E-3</v>
      </c>
      <c r="J34" s="424">
        <f>IF((GETPIVOTDATA("Total-New",'Distrib pivot table'!$C$2,"state","KY","group","2b")/GETPIVOTDATA("Total-New",'Distrib pivot table'!$C$2,"state","KY"))=0,,IF(GETPIVOTDATA("Total-New",'Distrib pivot table'!$C$2,"state","KY","group","2b")/GETPIVOTDATA("Total-New",'Distrib pivot table'!$C$2,"state","KY")&gt;0.0005,GETPIVOTDATA("Total-New",'Distrib pivot table'!$C$2,"state","KY","group","2b")/GETPIVOTDATA("Total-New",'Distrib pivot table'!$C$2,"state","KY"),"*"))</f>
        <v>0</v>
      </c>
      <c r="K34" s="424">
        <f>IF((GETPIVOTDATA("Total-New",'Distrib pivot table'!$C$2,"state","LA","group","2b")/GETPIVOTDATA("Total-New",'Distrib pivot table'!$C$2,"state","LA"))=0,,IF(GETPIVOTDATA("Total-New",'Distrib pivot table'!$C$2,"state","LA","group","2b")/GETPIVOTDATA("Total-New",'Distrib pivot table'!$C$2,"state","LA")&gt;0.0005,GETPIVOTDATA("Total-New",'Distrib pivot table'!$C$2,"state","LA","group","2b")/GETPIVOTDATA("Total-New",'Distrib pivot table'!$C$2,"state","LA"),"*"))</f>
        <v>0</v>
      </c>
      <c r="L34" s="424">
        <f>IF((GETPIVOTDATA("Total-New",'Distrib pivot table'!$C$2,"state","MD","group","2b")/GETPIVOTDATA("Total-New",'Distrib pivot table'!$C$2,"state","MD"))=0,,IF(GETPIVOTDATA("Total-New",'Distrib pivot table'!$C$2,"state","MD","group","2b")/GETPIVOTDATA("Total-New",'Distrib pivot table'!$C$2,"state","MD")&gt;0.0005,GETPIVOTDATA("Total-New",'Distrib pivot table'!$C$2,"state","MD","group","2b")/GETPIVOTDATA("Total-New",'Distrib pivot table'!$C$2,"state","MD"),"*"))</f>
        <v>9.7988586859312412E-3</v>
      </c>
      <c r="M34" s="424">
        <f>IF((GETPIVOTDATA("Total-New",'Distrib pivot table'!$C$2,"state","MS","group","2b")/GETPIVOTDATA("Total-New",'Distrib pivot table'!$C$2,"state","MS"))=0,,IF(GETPIVOTDATA("Total-New",'Distrib pivot table'!$C$2,"state","MS","group","2b")/GETPIVOTDATA("Total-New",'Distrib pivot table'!$C$2,"state","MS")&gt;0.0005,GETPIVOTDATA("Total-New",'Distrib pivot table'!$C$2,"state","MS","group","2b")/GETPIVOTDATA("Total-New",'Distrib pivot table'!$C$2,"state","MS"),"*"))</f>
        <v>0</v>
      </c>
      <c r="N34" s="424">
        <f>IF((GETPIVOTDATA("Total-New",'Distrib pivot table'!$C$2,"state","NC","group","2b")/GETPIVOTDATA("Total-New",'Distrib pivot table'!$C$2,"state","NC"))=0,,IF(GETPIVOTDATA("Total-New",'Distrib pivot table'!$C$2,"state","NC","group","2b")/GETPIVOTDATA("Total-New",'Distrib pivot table'!$C$2,"state","NC")&gt;0.0005,GETPIVOTDATA("Total-New",'Distrib pivot table'!$C$2,"state","NC","group","2b")/GETPIVOTDATA("Total-New",'Distrib pivot table'!$C$2,"state","NC"),"*"))</f>
        <v>0</v>
      </c>
      <c r="O34" s="424">
        <f>IF((GETPIVOTDATA("Total-New",'Distrib pivot table'!$C$2,"state","OK","group","2b")/GETPIVOTDATA("Total-New",'Distrib pivot table'!$C$2,"state","OK"))=0,,IF(GETPIVOTDATA("Total-New",'Distrib pivot table'!$C$2,"state","OK","group","2b")/GETPIVOTDATA("Total-New",'Distrib pivot table'!$C$2,"state","OK")&gt;0.0005,GETPIVOTDATA("Total-New",'Distrib pivot table'!$C$2,"state","OK","group","2b")/GETPIVOTDATA("Total-New",'Distrib pivot table'!$C$2,"state","OK"),"*"))</f>
        <v>0</v>
      </c>
      <c r="P34" s="424">
        <f>IF((GETPIVOTDATA("Total-New",'Distrib pivot table'!$C$2,"state","SC","group","2b")/GETPIVOTDATA("Total-New",'Distrib pivot table'!$C$2,"state","SC"))=0,,IF(GETPIVOTDATA("Total-New",'Distrib pivot table'!$C$2,"state","SC","group","2b")/GETPIVOTDATA("Total-New",'Distrib pivot table'!$C$2,"state","SC")&gt;0.0005,GETPIVOTDATA("Total-New",'Distrib pivot table'!$C$2,"state","SC","group","2b")/GETPIVOTDATA("Total-New",'Distrib pivot table'!$C$2,"state","SC"),"*"))</f>
        <v>1.3993432989997357E-3</v>
      </c>
      <c r="Q34" s="424">
        <f>IF((GETPIVOTDATA("Total-New",'Distrib pivot table'!$C$2,"state","TN","group","2b")/GETPIVOTDATA("Total-New",'Distrib pivot table'!$C$2,"state","TN"))=0,,IF(GETPIVOTDATA("Total-New",'Distrib pivot table'!$C$2,"state","TN","group","2b")/GETPIVOTDATA("Total-New",'Distrib pivot table'!$C$2,"state","TN")&gt;0.0005,GETPIVOTDATA("Total-New",'Distrib pivot table'!$C$2,"state","TN","group","2b")/GETPIVOTDATA("Total-New",'Distrib pivot table'!$C$2,"state","TN"),"*"))</f>
        <v>0</v>
      </c>
      <c r="R34" s="424">
        <f>IF((GETPIVOTDATA("Total-New",'Distrib pivot table'!$C$2,"state","TX","group","2b")/GETPIVOTDATA("Total-New",'Distrib pivot table'!$C$2,"state","TX"))=0,,IF(GETPIVOTDATA("Total-New",'Distrib pivot table'!$C$2,"state","TX","group","2b")/GETPIVOTDATA("Total-New",'Distrib pivot table'!$C$2,"state","TX")&gt;0.0005,GETPIVOTDATA("Total-New",'Distrib pivot table'!$C$2,"state","TX","group","2b")/GETPIVOTDATA("Total-New",'Distrib pivot table'!$C$2,"state","TX"),"*"))</f>
        <v>3.8754537413486154E-3</v>
      </c>
      <c r="S34" s="424">
        <f>IF((GETPIVOTDATA("Total-New",'Distrib pivot table'!$C$2,"state","VA","group","2b")/GETPIVOTDATA("Total-New",'Distrib pivot table'!$C$2,"state","VA"))=0,,IF(GETPIVOTDATA("Total-New",'Distrib pivot table'!$C$2,"state","VA","group","2b")/GETPIVOTDATA("Total-New",'Distrib pivot table'!$C$2,"state","VA")&gt;0.0005,GETPIVOTDATA("Total-New",'Distrib pivot table'!$C$2,"state","VA","group","2b")/GETPIVOTDATA("Total-New",'Distrib pivot table'!$C$2,"state","VA"),"*"))</f>
        <v>0</v>
      </c>
      <c r="T34" s="424">
        <f>IF((GETPIVOTDATA("Total-New",'Distrib pivot table'!$C$2,"state","WV","group","2b")/GETPIVOTDATA("Total-New",'Distrib pivot table'!$C$2,"state","WV"))=0,,IF(GETPIVOTDATA("Total-New",'Distrib pivot table'!$C$2,"state","WV","group","2b")/GETPIVOTDATA("Total-New",'Distrib pivot table'!$C$2,"state","WV")&gt;0.0005,GETPIVOTDATA("Total-New",'Distrib pivot table'!$C$2,"state","WV","group","2b")/GETPIVOTDATA("Total-New",'Distrib pivot table'!$C$2,"state","WV"),"*"))</f>
        <v>0</v>
      </c>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s="45" customFormat="1" ht="12.6" customHeight="1">
      <c r="A35" s="1488"/>
      <c r="B35" s="126" t="s">
        <v>188</v>
      </c>
      <c r="C35" s="375" t="s">
        <v>287</v>
      </c>
      <c r="D35" s="419">
        <f>SUM(D36:D38)</f>
        <v>0</v>
      </c>
      <c r="E35" s="419">
        <f>SUM(E36:E38)</f>
        <v>0</v>
      </c>
      <c r="F35" s="419">
        <f t="shared" ref="F35:T35" si="4">SUM(F36:F38)</f>
        <v>1.7713604119294329E-3</v>
      </c>
      <c r="G35" s="419">
        <f t="shared" si="4"/>
        <v>3.3479925702583828E-3</v>
      </c>
      <c r="H35" s="419">
        <f t="shared" si="4"/>
        <v>0</v>
      </c>
      <c r="I35" s="419">
        <f t="shared" si="4"/>
        <v>0</v>
      </c>
      <c r="J35" s="419">
        <f t="shared" si="4"/>
        <v>1.6394277968342611E-3</v>
      </c>
      <c r="K35" s="419">
        <f t="shared" si="4"/>
        <v>0</v>
      </c>
      <c r="L35" s="419">
        <f t="shared" si="4"/>
        <v>0</v>
      </c>
      <c r="M35" s="419">
        <f t="shared" si="4"/>
        <v>0</v>
      </c>
      <c r="N35" s="419">
        <f t="shared" si="4"/>
        <v>0</v>
      </c>
      <c r="O35" s="419">
        <f t="shared" si="4"/>
        <v>0</v>
      </c>
      <c r="P35" s="419">
        <f t="shared" si="4"/>
        <v>8.869086370588943E-4</v>
      </c>
      <c r="Q35" s="419">
        <f t="shared" si="4"/>
        <v>6.5374054166298713E-4</v>
      </c>
      <c r="R35" s="419">
        <f t="shared" si="4"/>
        <v>0</v>
      </c>
      <c r="S35" s="419">
        <f t="shared" si="4"/>
        <v>0</v>
      </c>
      <c r="T35" s="419">
        <f t="shared" si="4"/>
        <v>5.8330379878819864E-4</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row>
    <row r="36" spans="1:50" ht="12.6" customHeight="1">
      <c r="A36" s="1488"/>
      <c r="B36" s="127" t="s">
        <v>84</v>
      </c>
      <c r="C36" s="374" t="s">
        <v>288</v>
      </c>
      <c r="D36" s="418" t="str">
        <f>IF(GETPIVOTDATA("Total-New",'Distrib pivot table'!$C$2,"group","2c1")/GETPIVOTDATA("Total-New",'Distrib pivot table'!$C$2)=0,,IF(GETPIVOTDATA("Total-New",'Distrib pivot table'!$C$2,"group","2c1")/GETPIVOTDATA("Total-New",'Distrib pivot table'!$C$2)&gt;0.0005,GETPIVOTDATA("Total-New",'Distrib pivot table'!$C$2,"group","2c1")/GETPIVOTDATA("Total-New",'Distrib pivot table'!$C$2),"*"))</f>
        <v>*</v>
      </c>
      <c r="E36" s="418">
        <f>IF((GETPIVOTDATA("Total-New",'Distrib pivot table'!$C$2,"state","AL","group","2c1")/GETPIVOTDATA("Total-New",'Distrib pivot table'!$C$2,"state","AL"))=0,,IF(GETPIVOTDATA("Total-New",'Distrib pivot table'!$C$2,"state","AL","group","2c1")/GETPIVOTDATA("Total-New",'Distrib pivot table'!$C$2,"state","AL")&gt;0.0005,GETPIVOTDATA("Total-New",'Distrib pivot table'!$C$2,"state","AL","group","2c1")/GETPIVOTDATA("Total-New",'Distrib pivot table'!$C$2,"state","AL"),"*"))</f>
        <v>0</v>
      </c>
      <c r="F36" s="418" t="str">
        <f>IF((GETPIVOTDATA("Total-New",'Distrib pivot table'!$C$2,"state","AR","group","2c1")/GETPIVOTDATA("Total-New",'Distrib pivot table'!$C$2,"state","AR"))=0,,IF(GETPIVOTDATA("Total-New",'Distrib pivot table'!$C$2,"state","AR","group","2c1")/GETPIVOTDATA("Total-New",'Distrib pivot table'!$C$2,"state","AR")&gt;0.0005,GETPIVOTDATA("Total-New",'Distrib pivot table'!$C$2,"state","AR","group","2c1")/GETPIVOTDATA("Total-New",'Distrib pivot table'!$C$2,"state","AR"),"*"))</f>
        <v>*</v>
      </c>
      <c r="G36" s="418">
        <f>IF((GETPIVOTDATA("Total-New",'Distrib pivot table'!$C$2,"state","DE","group","2c1")/GETPIVOTDATA("Total-New",'Distrib pivot table'!$C$2,"state","DE"))=0,,IF(GETPIVOTDATA("Total-New",'Distrib pivot table'!$C$2,"state","DE","group","2c1")/GETPIVOTDATA("Total-New",'Distrib pivot table'!$C$2,"state","DE")&gt;0.0005,GETPIVOTDATA("Total-New",'Distrib pivot table'!$C$2,"state","DE","group","2c1")/GETPIVOTDATA("Total-New",'Distrib pivot table'!$C$2,"state","DE"),"*"))</f>
        <v>2.4401109237469137E-3</v>
      </c>
      <c r="H36" s="418">
        <f>IF((GETPIVOTDATA("Total-New",'Distrib pivot table'!$C$2,"state","FL","group","2c1")/GETPIVOTDATA("Total-New",'Distrib pivot table'!$C$2,"state","FL"))=0,,IF(GETPIVOTDATA("Total-New",'Distrib pivot table'!$C$2,"state","FL","group","2c1")/GETPIVOTDATA("Total-New",'Distrib pivot table'!$C$2,"state","FL")&gt;0.0005,GETPIVOTDATA("Total-New",'Distrib pivot table'!$C$2,"state","FL","group","2c1")/GETPIVOTDATA("Total-New",'Distrib pivot table'!$C$2,"state","FL"),"*"))</f>
        <v>0</v>
      </c>
      <c r="I36" s="418" t="str">
        <f>IF((GETPIVOTDATA("Total-New",'Distrib pivot table'!$C$2,"state","GA","group","2c1")/GETPIVOTDATA("Total-New",'Distrib pivot table'!$C$2,"state","GA"))=0,,IF(GETPIVOTDATA("Total-New",'Distrib pivot table'!$C$2,"state","GA","group","2c1")/GETPIVOTDATA("Total-New",'Distrib pivot table'!$C$2,"state","GA")&gt;0.0005,GETPIVOTDATA("Total-New",'Distrib pivot table'!$C$2,"state","GA","group","2c1")/GETPIVOTDATA("Total-New",'Distrib pivot table'!$C$2,"state","GA"),"*"))</f>
        <v>*</v>
      </c>
      <c r="J36" s="418" t="str">
        <f>IF((GETPIVOTDATA("Total-New",'Distrib pivot table'!$C$2,"state","KY","group","2c1")/GETPIVOTDATA("Total-New",'Distrib pivot table'!$C$2,"state","KY"))=0,,IF(GETPIVOTDATA("Total-New",'Distrib pivot table'!$C$2,"state","KY","group","2c1")/GETPIVOTDATA("Total-New",'Distrib pivot table'!$C$2,"state","KY")&gt;0.0005,GETPIVOTDATA("Total-New",'Distrib pivot table'!$C$2,"state","KY","group","2c1")/GETPIVOTDATA("Total-New",'Distrib pivot table'!$C$2,"state","KY"),"*"))</f>
        <v>*</v>
      </c>
      <c r="K36" s="418">
        <f>IF((GETPIVOTDATA("Total-New",'Distrib pivot table'!$C$2,"state","LA","group","2c1")/GETPIVOTDATA("Total-New",'Distrib pivot table'!$C$2,"state","LA"))=0,,IF(GETPIVOTDATA("Total-New",'Distrib pivot table'!$C$2,"state","LA","group","2c1")/GETPIVOTDATA("Total-New",'Distrib pivot table'!$C$2,"state","LA")&gt;0.0005,GETPIVOTDATA("Total-New",'Distrib pivot table'!$C$2,"state","LA","group","2c1")/GETPIVOTDATA("Total-New",'Distrib pivot table'!$C$2,"state","LA"),"*"))</f>
        <v>0</v>
      </c>
      <c r="L36" s="418">
        <f>IF((GETPIVOTDATA("Total-New",'Distrib pivot table'!$C$2,"state","MD","group","2c1")/GETPIVOTDATA("Total-New",'Distrib pivot table'!$C$2,"state","MD"))=0,,IF(GETPIVOTDATA("Total-New",'Distrib pivot table'!$C$2,"state","MD","group","2c1")/GETPIVOTDATA("Total-New",'Distrib pivot table'!$C$2,"state","MD")&gt;0.0005,GETPIVOTDATA("Total-New",'Distrib pivot table'!$C$2,"state","MD","group","2c1")/GETPIVOTDATA("Total-New",'Distrib pivot table'!$C$2,"state","MD"),"*"))</f>
        <v>0</v>
      </c>
      <c r="M36" s="418" t="str">
        <f>IF((GETPIVOTDATA("Total-New",'Distrib pivot table'!$C$2,"state","MS","group","2c1")/GETPIVOTDATA("Total-New",'Distrib pivot table'!$C$2,"state","MS"))=0,,IF(GETPIVOTDATA("Total-New",'Distrib pivot table'!$C$2,"state","MS","group","2c1")/GETPIVOTDATA("Total-New",'Distrib pivot table'!$C$2,"state","MS")&gt;0.0005,GETPIVOTDATA("Total-New",'Distrib pivot table'!$C$2,"state","MS","group","2c1")/GETPIVOTDATA("Total-New",'Distrib pivot table'!$C$2,"state","MS"),"*"))</f>
        <v>*</v>
      </c>
      <c r="N36" s="418">
        <f>IF((GETPIVOTDATA("Total-New",'Distrib pivot table'!$C$2,"state","NC","group","2c1")/GETPIVOTDATA("Total-New",'Distrib pivot table'!$C$2,"state","NC"))=0,,IF(GETPIVOTDATA("Total-New",'Distrib pivot table'!$C$2,"state","NC","group","2c1")/GETPIVOTDATA("Total-New",'Distrib pivot table'!$C$2,"state","NC")&gt;0.0005,GETPIVOTDATA("Total-New",'Distrib pivot table'!$C$2,"state","NC","group","2c1")/GETPIVOTDATA("Total-New",'Distrib pivot table'!$C$2,"state","NC"),"*"))</f>
        <v>0</v>
      </c>
      <c r="O36" s="418">
        <f>IF((GETPIVOTDATA("Total-New",'Distrib pivot table'!$C$2,"state","OK","group","2c1")/GETPIVOTDATA("Total-New",'Distrib pivot table'!$C$2,"state","OK"))=0,,IF(GETPIVOTDATA("Total-New",'Distrib pivot table'!$C$2,"state","OK","group","2c1")/GETPIVOTDATA("Total-New",'Distrib pivot table'!$C$2,"state","OK")&gt;0.0005,GETPIVOTDATA("Total-New",'Distrib pivot table'!$C$2,"state","OK","group","2c1")/GETPIVOTDATA("Total-New",'Distrib pivot table'!$C$2,"state","OK"),"*"))</f>
        <v>0</v>
      </c>
      <c r="P36" s="418" t="str">
        <f>IF((GETPIVOTDATA("Total-New",'Distrib pivot table'!$C$2,"state","SC","group","2c1")/GETPIVOTDATA("Total-New",'Distrib pivot table'!$C$2,"state","SC"))=0,,IF(GETPIVOTDATA("Total-New",'Distrib pivot table'!$C$2,"state","SC","group","2c1")/GETPIVOTDATA("Total-New",'Distrib pivot table'!$C$2,"state","SC")&gt;0.0005,GETPIVOTDATA("Total-New",'Distrib pivot table'!$C$2,"state","SC","group","2c1")/GETPIVOTDATA("Total-New",'Distrib pivot table'!$C$2,"state","SC"),"*"))</f>
        <v>*</v>
      </c>
      <c r="Q36" s="418">
        <f>IF((GETPIVOTDATA("Total-New",'Distrib pivot table'!$C$2,"state","TN","group","2c1")/GETPIVOTDATA("Total-New",'Distrib pivot table'!$C$2,"state","TN"))=0,,IF(GETPIVOTDATA("Total-New",'Distrib pivot table'!$C$2,"state","TN","group","2c1")/GETPIVOTDATA("Total-New",'Distrib pivot table'!$C$2,"state","TN")&gt;0.0005,GETPIVOTDATA("Total-New",'Distrib pivot table'!$C$2,"state","TN","group","2c1")/GETPIVOTDATA("Total-New",'Distrib pivot table'!$C$2,"state","TN"),"*"))</f>
        <v>6.5374054166298713E-4</v>
      </c>
      <c r="R36" s="418">
        <f>IF((GETPIVOTDATA("Total-New",'Distrib pivot table'!$C$2,"state","TX","group","2c1")/GETPIVOTDATA("Total-New",'Distrib pivot table'!$C$2,"state","TX"))=0,,IF(GETPIVOTDATA("Total-New",'Distrib pivot table'!$C$2,"state","TX","group","2c1")/GETPIVOTDATA("Total-New",'Distrib pivot table'!$C$2,"state","TX")&gt;0.0005,GETPIVOTDATA("Total-New",'Distrib pivot table'!$C$2,"state","TX","group","2c1")/GETPIVOTDATA("Total-New",'Distrib pivot table'!$C$2,"state","TX"),"*"))</f>
        <v>0</v>
      </c>
      <c r="S36" s="418" t="str">
        <f>IF((GETPIVOTDATA("Total-New",'Distrib pivot table'!$C$2,"state","VA","group","2c1")/GETPIVOTDATA("Total-New",'Distrib pivot table'!$C$2,"state","VA"))=0,,IF(GETPIVOTDATA("Total-New",'Distrib pivot table'!$C$2,"state","VA","group","2c1")/GETPIVOTDATA("Total-New",'Distrib pivot table'!$C$2,"state","VA")&gt;0.0005,GETPIVOTDATA("Total-New",'Distrib pivot table'!$C$2,"state","VA","group","2c1")/GETPIVOTDATA("Total-New",'Distrib pivot table'!$C$2,"state","VA"),"*"))</f>
        <v>*</v>
      </c>
      <c r="T36" s="418" t="str">
        <f>IF((GETPIVOTDATA("Total-New",'Distrib pivot table'!$C$2,"state","WV","group","2c1")/GETPIVOTDATA("Total-New",'Distrib pivot table'!$C$2,"state","WV"))=0,,IF(GETPIVOTDATA("Total-New",'Distrib pivot table'!$C$2,"state","WV","group","2c1")/GETPIVOTDATA("Total-New",'Distrib pivot table'!$C$2,"state","WV")&gt;0.0005,GETPIVOTDATA("Total-New",'Distrib pivot table'!$C$2,"state","WV","group","2c1")/GETPIVOTDATA("Total-New",'Distrib pivot table'!$C$2,"state","WV"),"*"))</f>
        <v>*</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2.6" customHeight="1">
      <c r="A37" s="1488"/>
      <c r="B37" s="127" t="s">
        <v>85</v>
      </c>
      <c r="C37" s="374" t="s">
        <v>289</v>
      </c>
      <c r="D37" s="418" t="str">
        <f>IF(GETPIVOTDATA("Total-New",'Distrib pivot table'!$C$2,"group","2c2")/GETPIVOTDATA("Total-New",'Distrib pivot table'!$C$2)=0,,IF(GETPIVOTDATA("Total-New",'Distrib pivot table'!$C$2,"group","2c2")/GETPIVOTDATA("Total-New",'Distrib pivot table'!$C$2)&gt;0.0005,GETPIVOTDATA("Total-New",'Distrib pivot table'!$C$2,"group","2c2")/GETPIVOTDATA("Total-New",'Distrib pivot table'!$C$2),"*"))</f>
        <v>*</v>
      </c>
      <c r="E37" s="418">
        <f>IF((GETPIVOTDATA("Total-New",'Distrib pivot table'!$C$2,"state","AL","group","2c2")/GETPIVOTDATA("Total-New",'Distrib pivot table'!$C$2,"state","AL"))=0,,IF(GETPIVOTDATA("Total-New",'Distrib pivot table'!$C$2,"state","AL","group","2c2")/GETPIVOTDATA("Total-New",'Distrib pivot table'!$C$2,"state","AL")&gt;0.0005,GETPIVOTDATA("Total-New",'Distrib pivot table'!$C$2,"state","AL","group","2c2")/GETPIVOTDATA("Total-New",'Distrib pivot table'!$C$2,"state","AL"),"*"))</f>
        <v>0</v>
      </c>
      <c r="F37" s="418">
        <f>IF((GETPIVOTDATA("Total-New",'Distrib pivot table'!$C$2,"state","AR","group","2c2")/GETPIVOTDATA("Total-New",'Distrib pivot table'!$C$2,"state","AR"))=0,,IF(GETPIVOTDATA("Total-New",'Distrib pivot table'!$C$2,"state","AR","group","2c2")/GETPIVOTDATA("Total-New",'Distrib pivot table'!$C$2,"state","AR")&gt;0.0005,GETPIVOTDATA("Total-New",'Distrib pivot table'!$C$2,"state","AR","group","2c2")/GETPIVOTDATA("Total-New",'Distrib pivot table'!$C$2,"state","AR"),"*"))</f>
        <v>1.7713604119294329E-3</v>
      </c>
      <c r="G37" s="418">
        <f>IF((GETPIVOTDATA("Total-New",'Distrib pivot table'!$C$2,"state","DE","group","2c2")/GETPIVOTDATA("Total-New",'Distrib pivot table'!$C$2,"state","DE"))=0,,IF(GETPIVOTDATA("Total-New",'Distrib pivot table'!$C$2,"state","DE","group","2c2")/GETPIVOTDATA("Total-New",'Distrib pivot table'!$C$2,"state","DE")&gt;0.0005,GETPIVOTDATA("Total-New",'Distrib pivot table'!$C$2,"state","DE","group","2c2")/GETPIVOTDATA("Total-New",'Distrib pivot table'!$C$2,"state","DE"),"*"))</f>
        <v>9.0788164651146917E-4</v>
      </c>
      <c r="H37" s="418">
        <f>IF((GETPIVOTDATA("Total-New",'Distrib pivot table'!$C$2,"state","FL","group","2c2")/GETPIVOTDATA("Total-New",'Distrib pivot table'!$C$2,"state","FL"))=0,,IF(GETPIVOTDATA("Total-New",'Distrib pivot table'!$C$2,"state","FL","group","2c2")/GETPIVOTDATA("Total-New",'Distrib pivot table'!$C$2,"state","FL")&gt;0.0005,GETPIVOTDATA("Total-New",'Distrib pivot table'!$C$2,"state","FL","group","2c2")/GETPIVOTDATA("Total-New",'Distrib pivot table'!$C$2,"state","FL"),"*"))</f>
        <v>0</v>
      </c>
      <c r="I37" s="418" t="str">
        <f>IF((GETPIVOTDATA("Total-New",'Distrib pivot table'!$C$2,"state","GA","group","2c2")/GETPIVOTDATA("Total-New",'Distrib pivot table'!$C$2,"state","GA"))=0,,IF(GETPIVOTDATA("Total-New",'Distrib pivot table'!$C$2,"state","GA","group","2c2")/GETPIVOTDATA("Total-New",'Distrib pivot table'!$C$2,"state","GA")&gt;0.0005,GETPIVOTDATA("Total-New",'Distrib pivot table'!$C$2,"state","GA","group","2c2")/GETPIVOTDATA("Total-New",'Distrib pivot table'!$C$2,"state","GA"),"*"))</f>
        <v>*</v>
      </c>
      <c r="J37" s="418">
        <f>IF((GETPIVOTDATA("Total-New",'Distrib pivot table'!$C$2,"state","KY","group","2c2")/GETPIVOTDATA("Total-New",'Distrib pivot table'!$C$2,"state","KY"))=0,,IF(GETPIVOTDATA("Total-New",'Distrib pivot table'!$C$2,"state","KY","group","2c2")/GETPIVOTDATA("Total-New",'Distrib pivot table'!$C$2,"state","KY")&gt;0.0005,GETPIVOTDATA("Total-New",'Distrib pivot table'!$C$2,"state","KY","group","2c2")/GETPIVOTDATA("Total-New",'Distrib pivot table'!$C$2,"state","KY"),"*"))</f>
        <v>1.6394277968342611E-3</v>
      </c>
      <c r="K37" s="418" t="str">
        <f>IF((GETPIVOTDATA("Total-New",'Distrib pivot table'!$C$2,"state","LA","group","2c2")/GETPIVOTDATA("Total-New",'Distrib pivot table'!$C$2,"state","LA"))=0,,IF(GETPIVOTDATA("Total-New",'Distrib pivot table'!$C$2,"state","LA","group","2c2")/GETPIVOTDATA("Total-New",'Distrib pivot table'!$C$2,"state","LA")&gt;0.0005,GETPIVOTDATA("Total-New",'Distrib pivot table'!$C$2,"state","LA","group","2c2")/GETPIVOTDATA("Total-New",'Distrib pivot table'!$C$2,"state","LA"),"*"))</f>
        <v>*</v>
      </c>
      <c r="L37" s="418">
        <f>IF((GETPIVOTDATA("Total-New",'Distrib pivot table'!$C$2,"state","MD","group","2c2")/GETPIVOTDATA("Total-New",'Distrib pivot table'!$C$2,"state","MD"))=0,,IF(GETPIVOTDATA("Total-New",'Distrib pivot table'!$C$2,"state","MD","group","2c2")/GETPIVOTDATA("Total-New",'Distrib pivot table'!$C$2,"state","MD")&gt;0.0005,GETPIVOTDATA("Total-New",'Distrib pivot table'!$C$2,"state","MD","group","2c2")/GETPIVOTDATA("Total-New",'Distrib pivot table'!$C$2,"state","MD"),"*"))</f>
        <v>0</v>
      </c>
      <c r="M37" s="418" t="str">
        <f>IF((GETPIVOTDATA("Total-New",'Distrib pivot table'!$C$2,"state","MS","group","2c2")/GETPIVOTDATA("Total-New",'Distrib pivot table'!$C$2,"state","MS"))=0,,IF(GETPIVOTDATA("Total-New",'Distrib pivot table'!$C$2,"state","MS","group","2c2")/GETPIVOTDATA("Total-New",'Distrib pivot table'!$C$2,"state","MS")&gt;0.0005,GETPIVOTDATA("Total-New",'Distrib pivot table'!$C$2,"state","MS","group","2c2")/GETPIVOTDATA("Total-New",'Distrib pivot table'!$C$2,"state","MS"),"*"))</f>
        <v>*</v>
      </c>
      <c r="N37" s="418">
        <f>IF((GETPIVOTDATA("Total-New",'Distrib pivot table'!$C$2,"state","NC","group","2c2")/GETPIVOTDATA("Total-New",'Distrib pivot table'!$C$2,"state","NC"))=0,,IF(GETPIVOTDATA("Total-New",'Distrib pivot table'!$C$2,"state","NC","group","2c2")/GETPIVOTDATA("Total-New",'Distrib pivot table'!$C$2,"state","NC")&gt;0.0005,GETPIVOTDATA("Total-New",'Distrib pivot table'!$C$2,"state","NC","group","2c2")/GETPIVOTDATA("Total-New",'Distrib pivot table'!$C$2,"state","NC"),"*"))</f>
        <v>0</v>
      </c>
      <c r="O37" s="418">
        <f>IF((GETPIVOTDATA("Total-New",'Distrib pivot table'!$C$2,"state","OK","group","2c2")/GETPIVOTDATA("Total-New",'Distrib pivot table'!$C$2,"state","OK"))=0,,IF(GETPIVOTDATA("Total-New",'Distrib pivot table'!$C$2,"state","OK","group","2c2")/GETPIVOTDATA("Total-New",'Distrib pivot table'!$C$2,"state","OK")&gt;0.0005,GETPIVOTDATA("Total-New",'Distrib pivot table'!$C$2,"state","OK","group","2c2")/GETPIVOTDATA("Total-New",'Distrib pivot table'!$C$2,"state","OK"),"*"))</f>
        <v>0</v>
      </c>
      <c r="P37" s="418">
        <f>IF((GETPIVOTDATA("Total-New",'Distrib pivot table'!$C$2,"state","SC","group","2c2")/GETPIVOTDATA("Total-New",'Distrib pivot table'!$C$2,"state","SC"))=0,,IF(GETPIVOTDATA("Total-New",'Distrib pivot table'!$C$2,"state","SC","group","2c2")/GETPIVOTDATA("Total-New",'Distrib pivot table'!$C$2,"state","SC")&gt;0.0005,GETPIVOTDATA("Total-New",'Distrib pivot table'!$C$2,"state","SC","group","2c2")/GETPIVOTDATA("Total-New",'Distrib pivot table'!$C$2,"state","SC"),"*"))</f>
        <v>8.869086370588943E-4</v>
      </c>
      <c r="Q37" s="418">
        <f>IF((GETPIVOTDATA("Total-New",'Distrib pivot table'!$C$2,"state","TN","group","2c2")/GETPIVOTDATA("Total-New",'Distrib pivot table'!$C$2,"state","TN"))=0,,IF(GETPIVOTDATA("Total-New",'Distrib pivot table'!$C$2,"state","TN","group","2c2")/GETPIVOTDATA("Total-New",'Distrib pivot table'!$C$2,"state","TN")&gt;0.0005,GETPIVOTDATA("Total-New",'Distrib pivot table'!$C$2,"state","TN","group","2c2")/GETPIVOTDATA("Total-New",'Distrib pivot table'!$C$2,"state","TN"),"*"))</f>
        <v>0</v>
      </c>
      <c r="R37" s="418">
        <f>IF((GETPIVOTDATA("Total-New",'Distrib pivot table'!$C$2,"state","TX","group","2c2")/GETPIVOTDATA("Total-New",'Distrib pivot table'!$C$2,"state","TX"))=0,,IF(GETPIVOTDATA("Total-New",'Distrib pivot table'!$C$2,"state","TX","group","2c2")/GETPIVOTDATA("Total-New",'Distrib pivot table'!$C$2,"state","TX")&gt;0.0005,GETPIVOTDATA("Total-New",'Distrib pivot table'!$C$2,"state","TX","group","2c2")/GETPIVOTDATA("Total-New",'Distrib pivot table'!$C$2,"state","TX"),"*"))</f>
        <v>0</v>
      </c>
      <c r="S37" s="418">
        <f>IF((GETPIVOTDATA("Total-New",'Distrib pivot table'!$C$2,"state","VA","group","2c2")/GETPIVOTDATA("Total-New",'Distrib pivot table'!$C$2,"state","VA"))=0,,IF(GETPIVOTDATA("Total-New",'Distrib pivot table'!$C$2,"state","VA","group","2c2")/GETPIVOTDATA("Total-New",'Distrib pivot table'!$C$2,"state","VA")&gt;0.0005,GETPIVOTDATA("Total-New",'Distrib pivot table'!$C$2,"state","VA","group","2c2")/GETPIVOTDATA("Total-New",'Distrib pivot table'!$C$2,"state","VA"),"*"))</f>
        <v>0</v>
      </c>
      <c r="T37" s="418">
        <f>IF((GETPIVOTDATA("Total-New",'Distrib pivot table'!$C$2,"state","WV","group","2c2")/GETPIVOTDATA("Total-New",'Distrib pivot table'!$C$2,"state","WV"))=0,,IF(GETPIVOTDATA("Total-New",'Distrib pivot table'!$C$2,"state","WV","group","2c2")/GETPIVOTDATA("Total-New",'Distrib pivot table'!$C$2,"state","WV")&gt;0.0005,GETPIVOTDATA("Total-New",'Distrib pivot table'!$C$2,"state","WV","group","2c2")/GETPIVOTDATA("Total-New",'Distrib pivot table'!$C$2,"state","WV"),"*"))</f>
        <v>5.8330379878819864E-4</v>
      </c>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2.6" customHeight="1">
      <c r="A38" s="1488"/>
      <c r="B38" s="130" t="s">
        <v>137</v>
      </c>
      <c r="C38" s="374" t="s">
        <v>290</v>
      </c>
      <c r="D38" s="418" t="str">
        <f>IF(GETPIVOTDATA("Total-New",'Distrib pivot table'!$C$2,"group","2c3")/GETPIVOTDATA("Total-New",'Distrib pivot table'!$C$2)=0,,IF(GETPIVOTDATA("Total-New",'Distrib pivot table'!$C$2,"group","2c3")/GETPIVOTDATA("Total-New",'Distrib pivot table'!$C$2)&gt;0.0005,GETPIVOTDATA("Total-New",'Distrib pivot table'!$C$2,"group","2c3")/GETPIVOTDATA("Total-New",'Distrib pivot table'!$C$2),"*"))</f>
        <v>*</v>
      </c>
      <c r="E38" s="418">
        <f>IF((GETPIVOTDATA("Total-New",'Distrib pivot table'!$C$2,"state","AL","group","2c3")/GETPIVOTDATA("Total-New",'Distrib pivot table'!$C$2,"state","AL"))=0,,IF(GETPIVOTDATA("Total-New",'Distrib pivot table'!$C$2,"state","AL","group","2c3")/GETPIVOTDATA("Total-New",'Distrib pivot table'!$C$2,"state","AL")&gt;0.0005,GETPIVOTDATA("Total-New",'Distrib pivot table'!$C$2,"state","AL","group","2c3")/GETPIVOTDATA("Total-New",'Distrib pivot table'!$C$2,"state","AL"),"*"))</f>
        <v>0</v>
      </c>
      <c r="F38" s="418">
        <f>IF((GETPIVOTDATA("Total-New",'Distrib pivot table'!$C$2,"state","AR","group","2c3")/GETPIVOTDATA("Total-New",'Distrib pivot table'!$C$2,"state","AR"))=0,,IF(GETPIVOTDATA("Total-New",'Distrib pivot table'!$C$2,"state","AR","group","2c3")/GETPIVOTDATA("Total-New",'Distrib pivot table'!$C$2,"state","AR")&gt;0.0005,GETPIVOTDATA("Total-New",'Distrib pivot table'!$C$2,"state","AR","group","2c3")/GETPIVOTDATA("Total-New",'Distrib pivot table'!$C$2,"state","AR"),"*"))</f>
        <v>0</v>
      </c>
      <c r="G38" s="418">
        <f>IF((GETPIVOTDATA("Total-New",'Distrib pivot table'!$C$2,"state","DE","group","2c3")/GETPIVOTDATA("Total-New",'Distrib pivot table'!$C$2,"state","DE"))=0,,IF(GETPIVOTDATA("Total-New",'Distrib pivot table'!$C$2,"state","DE","group","2c3")/GETPIVOTDATA("Total-New",'Distrib pivot table'!$C$2,"state","DE")&gt;0.0005,GETPIVOTDATA("Total-New",'Distrib pivot table'!$C$2,"state","DE","group","2c3")/GETPIVOTDATA("Total-New",'Distrib pivot table'!$C$2,"state","DE"),"*"))</f>
        <v>0</v>
      </c>
      <c r="H38" s="418" t="str">
        <f>IF((GETPIVOTDATA("Total-New",'Distrib pivot table'!$C$2,"state","FL","group","2c3")/GETPIVOTDATA("Total-New",'Distrib pivot table'!$C$2,"state","FL"))=0,,IF(GETPIVOTDATA("Total-New",'Distrib pivot table'!$C$2,"state","FL","group","2c3")/GETPIVOTDATA("Total-New",'Distrib pivot table'!$C$2,"state","FL")&gt;0.0005,GETPIVOTDATA("Total-New",'Distrib pivot table'!$C$2,"state","FL","group","2c3")/GETPIVOTDATA("Total-New",'Distrib pivot table'!$C$2,"state","FL"),"*"))</f>
        <v>*</v>
      </c>
      <c r="I38" s="418" t="str">
        <f>IF((GETPIVOTDATA("Total-New",'Distrib pivot table'!$C$2,"state","GA","group","2c3")/GETPIVOTDATA("Total-New",'Distrib pivot table'!$C$2,"state","GA"))=0,,IF(GETPIVOTDATA("Total-New",'Distrib pivot table'!$C$2,"state","GA","group","2c3")/GETPIVOTDATA("Total-New",'Distrib pivot table'!$C$2,"state","GA")&gt;0.0005,GETPIVOTDATA("Total-New",'Distrib pivot table'!$C$2,"state","GA","group","2c3")/GETPIVOTDATA("Total-New",'Distrib pivot table'!$C$2,"state","GA"),"*"))</f>
        <v>*</v>
      </c>
      <c r="J38" s="418" t="str">
        <f>IF((GETPIVOTDATA("Total-New",'Distrib pivot table'!$C$2,"state","KY","group","2c3")/GETPIVOTDATA("Total-New",'Distrib pivot table'!$C$2,"state","KY"))=0,,IF(GETPIVOTDATA("Total-New",'Distrib pivot table'!$C$2,"state","KY","group","2c3")/GETPIVOTDATA("Total-New",'Distrib pivot table'!$C$2,"state","KY")&gt;0.0005,GETPIVOTDATA("Total-New",'Distrib pivot table'!$C$2,"state","KY","group","2c3")/GETPIVOTDATA("Total-New",'Distrib pivot table'!$C$2,"state","KY"),"*"))</f>
        <v>*</v>
      </c>
      <c r="K38" s="418">
        <f>IF((GETPIVOTDATA("Total-New",'Distrib pivot table'!$C$2,"state","LA","group","2c3")/GETPIVOTDATA("Total-New",'Distrib pivot table'!$C$2,"state","LA"))=0,,IF(GETPIVOTDATA("Total-New",'Distrib pivot table'!$C$2,"state","LA","group","2c3")/GETPIVOTDATA("Total-New",'Distrib pivot table'!$C$2,"state","LA")&gt;0.0005,GETPIVOTDATA("Total-New",'Distrib pivot table'!$C$2,"state","LA","group","2c3")/GETPIVOTDATA("Total-New",'Distrib pivot table'!$C$2,"state","LA"),"*"))</f>
        <v>0</v>
      </c>
      <c r="L38" s="418">
        <f>IF((GETPIVOTDATA("Total-New",'Distrib pivot table'!$C$2,"state","MD","group","2c3")/GETPIVOTDATA("Total-New",'Distrib pivot table'!$C$2,"state","MD"))=0,,IF(GETPIVOTDATA("Total-New",'Distrib pivot table'!$C$2,"state","MD","group","2c3")/GETPIVOTDATA("Total-New",'Distrib pivot table'!$C$2,"state","MD")&gt;0.0005,GETPIVOTDATA("Total-New",'Distrib pivot table'!$C$2,"state","MD","group","2c3")/GETPIVOTDATA("Total-New",'Distrib pivot table'!$C$2,"state","MD"),"*"))</f>
        <v>0</v>
      </c>
      <c r="M38" s="418">
        <f>IF((GETPIVOTDATA("Total-New",'Distrib pivot table'!$C$2,"state","MS","group","2c3")/GETPIVOTDATA("Total-New",'Distrib pivot table'!$C$2,"state","MS"))=0,,IF(GETPIVOTDATA("Total-New",'Distrib pivot table'!$C$2,"state","MS","group","2c3")/GETPIVOTDATA("Total-New",'Distrib pivot table'!$C$2,"state","MS")&gt;0.0005,GETPIVOTDATA("Total-New",'Distrib pivot table'!$C$2,"state","MS","group","2c3")/GETPIVOTDATA("Total-New",'Distrib pivot table'!$C$2,"state","MS"),"*"))</f>
        <v>0</v>
      </c>
      <c r="N38" s="418">
        <f>IF((GETPIVOTDATA("Total-New",'Distrib pivot table'!$C$2,"state","NC","group","2c3")/GETPIVOTDATA("Total-New",'Distrib pivot table'!$C$2,"state","NC"))=0,,IF(GETPIVOTDATA("Total-New",'Distrib pivot table'!$C$2,"state","NC","group","2c3")/GETPIVOTDATA("Total-New",'Distrib pivot table'!$C$2,"state","NC")&gt;0.0005,GETPIVOTDATA("Total-New",'Distrib pivot table'!$C$2,"state","NC","group","2c3")/GETPIVOTDATA("Total-New",'Distrib pivot table'!$C$2,"state","NC"),"*"))</f>
        <v>0</v>
      </c>
      <c r="O38" s="418">
        <f>IF((GETPIVOTDATA("Total-New",'Distrib pivot table'!$C$2,"state","OK","group","2c3")/GETPIVOTDATA("Total-New",'Distrib pivot table'!$C$2,"state","OK"))=0,,IF(GETPIVOTDATA("Total-New",'Distrib pivot table'!$C$2,"state","OK","group","2c3")/GETPIVOTDATA("Total-New",'Distrib pivot table'!$C$2,"state","OK")&gt;0.0005,GETPIVOTDATA("Total-New",'Distrib pivot table'!$C$2,"state","OK","group","2c3")/GETPIVOTDATA("Total-New",'Distrib pivot table'!$C$2,"state","OK"),"*"))</f>
        <v>0</v>
      </c>
      <c r="P38" s="418" t="str">
        <f>IF((GETPIVOTDATA("Total-New",'Distrib pivot table'!$C$2,"state","SC","group","2c3")/GETPIVOTDATA("Total-New",'Distrib pivot table'!$C$2,"state","SC"))=0,,IF(GETPIVOTDATA("Total-New",'Distrib pivot table'!$C$2,"state","SC","group","2c3")/GETPIVOTDATA("Total-New",'Distrib pivot table'!$C$2,"state","SC")&gt;0.0005,GETPIVOTDATA("Total-New",'Distrib pivot table'!$C$2,"state","SC","group","2c3")/GETPIVOTDATA("Total-New",'Distrib pivot table'!$C$2,"state","SC"),"*"))</f>
        <v>*</v>
      </c>
      <c r="Q38" s="418">
        <f>IF((GETPIVOTDATA("Total-New",'Distrib pivot table'!$C$2,"state","TN","group","2c3")/GETPIVOTDATA("Total-New",'Distrib pivot table'!$C$2,"state","TN"))=0,,IF(GETPIVOTDATA("Total-New",'Distrib pivot table'!$C$2,"state","TN","group","2c3")/GETPIVOTDATA("Total-New",'Distrib pivot table'!$C$2,"state","TN")&gt;0.0005,GETPIVOTDATA("Total-New",'Distrib pivot table'!$C$2,"state","TN","group","2c3")/GETPIVOTDATA("Total-New",'Distrib pivot table'!$C$2,"state","TN"),"*"))</f>
        <v>0</v>
      </c>
      <c r="R38" s="418">
        <f>IF((GETPIVOTDATA("Total-New",'Distrib pivot table'!$C$2,"state","TX","group","2c3")/GETPIVOTDATA("Total-New",'Distrib pivot table'!$C$2,"state","TX"))=0,,IF(GETPIVOTDATA("Total-New",'Distrib pivot table'!$C$2,"state","TX","group","2c3")/GETPIVOTDATA("Total-New",'Distrib pivot table'!$C$2,"state","TX")&gt;0.0005,GETPIVOTDATA("Total-New",'Distrib pivot table'!$C$2,"state","TX","group","2c3")/GETPIVOTDATA("Total-New",'Distrib pivot table'!$C$2,"state","TX"),"*"))</f>
        <v>0</v>
      </c>
      <c r="S38" s="418" t="str">
        <f>IF((GETPIVOTDATA("Total-New",'Distrib pivot table'!$C$2,"state","VA","group","2c3")/GETPIVOTDATA("Total-New",'Distrib pivot table'!$C$2,"state","VA"))=0,,IF(GETPIVOTDATA("Total-New",'Distrib pivot table'!$C$2,"state","VA","group","2c3")/GETPIVOTDATA("Total-New",'Distrib pivot table'!$C$2,"state","VA")&gt;0.0005,GETPIVOTDATA("Total-New",'Distrib pivot table'!$C$2,"state","VA","group","2c3")/GETPIVOTDATA("Total-New",'Distrib pivot table'!$C$2,"state","VA"),"*"))</f>
        <v>*</v>
      </c>
      <c r="T38" s="418" t="str">
        <f>IF((GETPIVOTDATA("Total-New",'Distrib pivot table'!$C$2,"state","WV","group","2c3")/GETPIVOTDATA("Total-New",'Distrib pivot table'!$C$2,"state","WV"))=0,,IF(GETPIVOTDATA("Total-New",'Distrib pivot table'!$C$2,"state","WV","group","2c3")/GETPIVOTDATA("Total-New",'Distrib pivot table'!$C$2,"state","WV")&gt;0.0005,GETPIVOTDATA("Total-New",'Distrib pivot table'!$C$2,"state","WV","group","2c3")/GETPIVOTDATA("Total-New",'Distrib pivot table'!$C$2,"state","WV"),"*"))</f>
        <v>*</v>
      </c>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s="45" customFormat="1" ht="24">
      <c r="A39" s="1488"/>
      <c r="B39" s="126" t="s">
        <v>94</v>
      </c>
      <c r="C39" s="375" t="s">
        <v>291</v>
      </c>
      <c r="D39" s="419">
        <f>SUM(D40:D54)</f>
        <v>6.0326528386582236E-2</v>
      </c>
      <c r="E39" s="419">
        <f>SUM(E40:E54)</f>
        <v>1.7856872721998526E-2</v>
      </c>
      <c r="F39" s="419">
        <f t="shared" ref="F39:T39" si="5">SUM(F40:F54)</f>
        <v>7.1861525027026779E-2</v>
      </c>
      <c r="G39" s="419">
        <f t="shared" si="5"/>
        <v>6.0344309733695728E-3</v>
      </c>
      <c r="H39" s="419">
        <f t="shared" si="5"/>
        <v>8.0894977235367205E-2</v>
      </c>
      <c r="I39" s="419">
        <f t="shared" si="5"/>
        <v>8.8857409994025069E-2</v>
      </c>
      <c r="J39" s="419">
        <f t="shared" si="5"/>
        <v>7.1074917639877791E-2</v>
      </c>
      <c r="K39" s="419">
        <f t="shared" si="5"/>
        <v>0.12673792548824619</v>
      </c>
      <c r="L39" s="419">
        <f t="shared" si="5"/>
        <v>3.7704671298037833E-2</v>
      </c>
      <c r="M39" s="419">
        <f t="shared" si="5"/>
        <v>1.9740533762048096E-2</v>
      </c>
      <c r="N39" s="419">
        <f t="shared" si="5"/>
        <v>4.0195825475295155E-2</v>
      </c>
      <c r="O39" s="419">
        <f t="shared" si="5"/>
        <v>3.8987013218376596E-2</v>
      </c>
      <c r="P39" s="419">
        <f t="shared" si="5"/>
        <v>0.12989807386386465</v>
      </c>
      <c r="Q39" s="419">
        <f t="shared" si="5"/>
        <v>0.12220786207219511</v>
      </c>
      <c r="R39" s="419">
        <f t="shared" si="5"/>
        <v>3.5366737726710881E-2</v>
      </c>
      <c r="S39" s="419">
        <f t="shared" si="5"/>
        <v>5.120751247688736E-2</v>
      </c>
      <c r="T39" s="419">
        <f t="shared" si="5"/>
        <v>7.4410112549549837E-2</v>
      </c>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row>
    <row r="40" spans="1:50" ht="12.6" customHeight="1">
      <c r="A40" s="1488"/>
      <c r="B40" s="127" t="s">
        <v>52</v>
      </c>
      <c r="C40" s="374" t="s">
        <v>292</v>
      </c>
      <c r="D40" s="418">
        <f>IF(GETPIVOTDATA("Total-New",'Distrib pivot table'!$C$2,"group","2d1")/GETPIVOTDATA("Total-New",'Distrib pivot table'!$C$2)=0,,IF(GETPIVOTDATA("Total-New",'Distrib pivot table'!$C$2,"group","2d1")/GETPIVOTDATA("Total-New",'Distrib pivot table'!$C$2)&gt;0.0005,GETPIVOTDATA("Total-New",'Distrib pivot table'!$C$2,"group","2d1")/GETPIVOTDATA("Total-New",'Distrib pivot table'!$C$2),"*"))</f>
        <v>8.2840673183892967E-3</v>
      </c>
      <c r="E40" s="418">
        <f>IF((GETPIVOTDATA("Total-New",'Distrib pivot table'!$C$2,"state","AL","group","2d1")/GETPIVOTDATA("Total-New",'Distrib pivot table'!$C$2,"state","AL"))=0,,IF(GETPIVOTDATA("Total-New",'Distrib pivot table'!$C$2,"state","AL","group","2d1")/GETPIVOTDATA("Total-New",'Distrib pivot table'!$C$2,"state","AL")&gt;0.0005,GETPIVOTDATA("Total-New",'Distrib pivot table'!$C$2,"state","AL","group","2d1")/GETPIVOTDATA("Total-New",'Distrib pivot table'!$C$2,"state","AL"),"*"))</f>
        <v>0</v>
      </c>
      <c r="F40" s="418">
        <f>IF((GETPIVOTDATA("Total-New",'Distrib pivot table'!$C$2,"state","AR","group","2d1")/GETPIVOTDATA("Total-New",'Distrib pivot table'!$C$2,"state","AR"))=0,,IF(GETPIVOTDATA("Total-New",'Distrib pivot table'!$C$2,"state","AR","group","2d1")/GETPIVOTDATA("Total-New",'Distrib pivot table'!$C$2,"state","AR")&gt;0.0005,GETPIVOTDATA("Total-New",'Distrib pivot table'!$C$2,"state","AR","group","2d1")/GETPIVOTDATA("Total-New",'Distrib pivot table'!$C$2,"state","AR"),"*"))</f>
        <v>0</v>
      </c>
      <c r="G40" s="418">
        <f>IF((GETPIVOTDATA("Total-New",'Distrib pivot table'!$C$2,"state","DE","group","2d1")/GETPIVOTDATA("Total-New",'Distrib pivot table'!$C$2,"state","DE"))=0,,IF(GETPIVOTDATA("Total-New",'Distrib pivot table'!$C$2,"state","DE","group","2d1")/GETPIVOTDATA("Total-New",'Distrib pivot table'!$C$2,"state","DE")&gt;0.0005,GETPIVOTDATA("Total-New",'Distrib pivot table'!$C$2,"state","DE","group","2d1")/GETPIVOTDATA("Total-New",'Distrib pivot table'!$C$2,"state","DE"),"*"))</f>
        <v>2.5720842657781665E-3</v>
      </c>
      <c r="H40" s="418">
        <f>IF((GETPIVOTDATA("Total-New",'Distrib pivot table'!$C$2,"state","FL","group","2d1")/GETPIVOTDATA("Total-New",'Distrib pivot table'!$C$2,"state","FL"))=0,,IF(GETPIVOTDATA("Total-New",'Distrib pivot table'!$C$2,"state","FL","group","2d1")/GETPIVOTDATA("Total-New",'Distrib pivot table'!$C$2,"state","FL")&gt;0.0005,GETPIVOTDATA("Total-New",'Distrib pivot table'!$C$2,"state","FL","group","2d1")/GETPIVOTDATA("Total-New",'Distrib pivot table'!$C$2,"state","FL"),"*"))</f>
        <v>0</v>
      </c>
      <c r="I40" s="418">
        <f>IF((GETPIVOTDATA("Total-New",'Distrib pivot table'!$C$2,"state","GA","group","2d1")/GETPIVOTDATA("Total-New",'Distrib pivot table'!$C$2,"state","GA"))=0,,IF(GETPIVOTDATA("Total-New",'Distrib pivot table'!$C$2,"state","GA","group","2d1")/GETPIVOTDATA("Total-New",'Distrib pivot table'!$C$2,"state","GA")&gt;0.0005,GETPIVOTDATA("Total-New",'Distrib pivot table'!$C$2,"state","GA","group","2d1")/GETPIVOTDATA("Total-New",'Distrib pivot table'!$C$2,"state","GA"),"*"))</f>
        <v>0</v>
      </c>
      <c r="J40" s="418">
        <f>IF((GETPIVOTDATA("Total-New",'Distrib pivot table'!$C$2,"state","KY","group","2d1")/GETPIVOTDATA("Total-New",'Distrib pivot table'!$C$2,"state","KY"))=0,,IF(GETPIVOTDATA("Total-New",'Distrib pivot table'!$C$2,"state","KY","group","2d1")/GETPIVOTDATA("Total-New",'Distrib pivot table'!$C$2,"state","KY")&gt;0.0005,GETPIVOTDATA("Total-New",'Distrib pivot table'!$C$2,"state","KY","group","2d1")/GETPIVOTDATA("Total-New",'Distrib pivot table'!$C$2,"state","KY"),"*"))</f>
        <v>0</v>
      </c>
      <c r="K40" s="418">
        <f>IF((GETPIVOTDATA("Total-New",'Distrib pivot table'!$C$2,"state","LA","group","2d1")/GETPIVOTDATA("Total-New",'Distrib pivot table'!$C$2,"state","LA"))=0,,IF(GETPIVOTDATA("Total-New",'Distrib pivot table'!$C$2,"state","LA","group","2d1")/GETPIVOTDATA("Total-New",'Distrib pivot table'!$C$2,"state","LA")&gt;0.0005,GETPIVOTDATA("Total-New",'Distrib pivot table'!$C$2,"state","LA","group","2d1")/GETPIVOTDATA("Total-New",'Distrib pivot table'!$C$2,"state","LA"),"*"))</f>
        <v>0</v>
      </c>
      <c r="L40" s="418">
        <f>IF((GETPIVOTDATA("Total-New",'Distrib pivot table'!$C$2,"state","MD","group","2d1")/GETPIVOTDATA("Total-New",'Distrib pivot table'!$C$2,"state","MD"))=0,,IF(GETPIVOTDATA("Total-New",'Distrib pivot table'!$C$2,"state","MD","group","2d1")/GETPIVOTDATA("Total-New",'Distrib pivot table'!$C$2,"state","MD")&gt;0.0005,GETPIVOTDATA("Total-New",'Distrib pivot table'!$C$2,"state","MD","group","2d1")/GETPIVOTDATA("Total-New",'Distrib pivot table'!$C$2,"state","MD"),"*"))</f>
        <v>0</v>
      </c>
      <c r="M40" s="418">
        <f>IF((GETPIVOTDATA("Total-New",'Distrib pivot table'!$C$2,"state","MS","group","2d1")/GETPIVOTDATA("Total-New",'Distrib pivot table'!$C$2,"state","MS"))=0,,IF(GETPIVOTDATA("Total-New",'Distrib pivot table'!$C$2,"state","MS","group","2d1")/GETPIVOTDATA("Total-New",'Distrib pivot table'!$C$2,"state","MS")&gt;0.0005,GETPIVOTDATA("Total-New",'Distrib pivot table'!$C$2,"state","MS","group","2d1")/GETPIVOTDATA("Total-New",'Distrib pivot table'!$C$2,"state","MS"),"*"))</f>
        <v>0</v>
      </c>
      <c r="N40" s="418">
        <f>IF((GETPIVOTDATA("Total-New",'Distrib pivot table'!$C$2,"state","NC","group","2d1")/GETPIVOTDATA("Total-New",'Distrib pivot table'!$C$2,"state","NC"))=0,,IF(GETPIVOTDATA("Total-New",'Distrib pivot table'!$C$2,"state","NC","group","2d1")/GETPIVOTDATA("Total-New",'Distrib pivot table'!$C$2,"state","NC")&gt;0.0005,GETPIVOTDATA("Total-New",'Distrib pivot table'!$C$2,"state","NC","group","2d1")/GETPIVOTDATA("Total-New",'Distrib pivot table'!$C$2,"state","NC"),"*"))</f>
        <v>0</v>
      </c>
      <c r="O40" s="418">
        <f>IF((GETPIVOTDATA("Total-New",'Distrib pivot table'!$C$2,"state","OK","group","2d1")/GETPIVOTDATA("Total-New",'Distrib pivot table'!$C$2,"state","OK"))=0,,IF(GETPIVOTDATA("Total-New",'Distrib pivot table'!$C$2,"state","OK","group","2d1")/GETPIVOTDATA("Total-New",'Distrib pivot table'!$C$2,"state","OK")&gt;0.0005,GETPIVOTDATA("Total-New",'Distrib pivot table'!$C$2,"state","OK","group","2d1")/GETPIVOTDATA("Total-New",'Distrib pivot table'!$C$2,"state","OK"),"*"))</f>
        <v>3.7339895585468616E-2</v>
      </c>
      <c r="P40" s="418">
        <f>IF((GETPIVOTDATA("Total-New",'Distrib pivot table'!$C$2,"state","SC","group","2d1")/GETPIVOTDATA("Total-New",'Distrib pivot table'!$C$2,"state","SC"))=0,,IF(GETPIVOTDATA("Total-New",'Distrib pivot table'!$C$2,"state","SC","group","2d1")/GETPIVOTDATA("Total-New",'Distrib pivot table'!$C$2,"state","SC")&gt;0.0005,GETPIVOTDATA("Total-New",'Distrib pivot table'!$C$2,"state","SC","group","2d1")/GETPIVOTDATA("Total-New",'Distrib pivot table'!$C$2,"state","SC"),"*"))</f>
        <v>0</v>
      </c>
      <c r="Q40" s="418">
        <f>IF((GETPIVOTDATA("Total-New",'Distrib pivot table'!$C$2,"state","TN","group","2d1")/GETPIVOTDATA("Total-New",'Distrib pivot table'!$C$2,"state","TN"))=0,,IF(GETPIVOTDATA("Total-New",'Distrib pivot table'!$C$2,"state","TN","group","2d1")/GETPIVOTDATA("Total-New",'Distrib pivot table'!$C$2,"state","TN")&gt;0.0005,GETPIVOTDATA("Total-New",'Distrib pivot table'!$C$2,"state","TN","group","2d1")/GETPIVOTDATA("Total-New",'Distrib pivot table'!$C$2,"state","TN"),"*"))</f>
        <v>0</v>
      </c>
      <c r="R40" s="418">
        <f>IF((GETPIVOTDATA("Total-New",'Distrib pivot table'!$C$2,"state","TX","group","2d1")/GETPIVOTDATA("Total-New",'Distrib pivot table'!$C$2,"state","TX"))=0,,IF(GETPIVOTDATA("Total-New",'Distrib pivot table'!$C$2,"state","TX","group","2d1")/GETPIVOTDATA("Total-New",'Distrib pivot table'!$C$2,"state","TX")&gt;0.0005,GETPIVOTDATA("Total-New",'Distrib pivot table'!$C$2,"state","TX","group","2d1")/GETPIVOTDATA("Total-New",'Distrib pivot table'!$C$2,"state","TX"),"*"))</f>
        <v>3.3968845907717371E-2</v>
      </c>
      <c r="S40" s="418">
        <f>IF((GETPIVOTDATA("Total-New",'Distrib pivot table'!$C$2,"state","VA","group","2d1")/GETPIVOTDATA("Total-New",'Distrib pivot table'!$C$2,"state","VA"))=0,,IF(GETPIVOTDATA("Total-New",'Distrib pivot table'!$C$2,"state","VA","group","2d1")/GETPIVOTDATA("Total-New",'Distrib pivot table'!$C$2,"state","VA")&gt;0.0005,GETPIVOTDATA("Total-New",'Distrib pivot table'!$C$2,"state","VA","group","2d1")/GETPIVOTDATA("Total-New",'Distrib pivot table'!$C$2,"state","VA"),"*"))</f>
        <v>0</v>
      </c>
      <c r="T40" s="418">
        <f>IF((GETPIVOTDATA("Total-New",'Distrib pivot table'!$C$2,"state","WV","group","2d1")/GETPIVOTDATA("Total-New",'Distrib pivot table'!$C$2,"state","WV"))=0,,IF(GETPIVOTDATA("Total-New",'Distrib pivot table'!$C$2,"state","WV","group","2d1")/GETPIVOTDATA("Total-New",'Distrib pivot table'!$C$2,"state","WV")&gt;0.0005,GETPIVOTDATA("Total-New",'Distrib pivot table'!$C$2,"state","WV","group","2d1")/GETPIVOTDATA("Total-New",'Distrib pivot table'!$C$2,"state","WV"),"*"))</f>
        <v>0</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2.6" customHeight="1">
      <c r="A41" s="1488"/>
      <c r="B41" s="127" t="s">
        <v>311</v>
      </c>
      <c r="C41" s="374" t="s">
        <v>310</v>
      </c>
      <c r="D41" s="418" t="str">
        <f>IF(GETPIVOTDATA("Total-New",'Distrib pivot table'!$C$2,"group","2d1a")/GETPIVOTDATA("Total-New",'Distrib pivot table'!$C$2)=0,,IF(GETPIVOTDATA("Total-New",'Distrib pivot table'!$C$2,"group","2d1a")/GETPIVOTDATA("Total-New",'Distrib pivot table'!$C$2)&gt;0.0005,GETPIVOTDATA("Total-New",'Distrib pivot table'!$C$2,"group","2d1a")/GETPIVOTDATA("Total-New",'Distrib pivot table'!$C$2),"*"))</f>
        <v>*</v>
      </c>
      <c r="E41" s="418" t="str">
        <f>IF((GETPIVOTDATA("Total-New",'Distrib pivot table'!$C$2,"state","AL","group","2d1a")/GETPIVOTDATA("Total-New",'Distrib pivot table'!$C$2,"state","AL"))=0,,IF(GETPIVOTDATA("Total-New",'Distrib pivot table'!$C$2,"state","AL","group","2d1a")/GETPIVOTDATA("Total-New",'Distrib pivot table'!$C$2,"state","AL")&gt;0.0005,GETPIVOTDATA("Total-New",'Distrib pivot table'!$C$2,"state","AL","group","2d1a")/GETPIVOTDATA("Total-New",'Distrib pivot table'!$C$2,"state","AL"),"*"))</f>
        <v>*</v>
      </c>
      <c r="F41" s="418">
        <f>IF((GETPIVOTDATA("Total-New",'Distrib pivot table'!$C$2,"state","AR","group","2d1a")/GETPIVOTDATA("Total-New",'Distrib pivot table'!$C$2,"state","AR"))=0,,IF(GETPIVOTDATA("Total-New",'Distrib pivot table'!$C$2,"state","AR","group","2d1a")/GETPIVOTDATA("Total-New",'Distrib pivot table'!$C$2,"state","AR")&gt;0.0005,GETPIVOTDATA("Total-New",'Distrib pivot table'!$C$2,"state","AR","group","2d1a")/GETPIVOTDATA("Total-New",'Distrib pivot table'!$C$2,"state","AR"),"*"))</f>
        <v>0</v>
      </c>
      <c r="G41" s="418" t="str">
        <f>IF((GETPIVOTDATA("Total-New",'Distrib pivot table'!$C$2,"state","DE","group","2d1a")/GETPIVOTDATA("Total-New",'Distrib pivot table'!$C$2,"state","DE"))=0,,IF(GETPIVOTDATA("Total-New",'Distrib pivot table'!$C$2,"state","DE","group","2d1a")/GETPIVOTDATA("Total-New",'Distrib pivot table'!$C$2,"state","DE")&gt;0.0005,GETPIVOTDATA("Total-New",'Distrib pivot table'!$C$2,"state","DE","group","2d1a")/GETPIVOTDATA("Total-New",'Distrib pivot table'!$C$2,"state","DE"),"*"))</f>
        <v>*</v>
      </c>
      <c r="H41" s="418">
        <f>IF((GETPIVOTDATA("Total-New",'Distrib pivot table'!$C$2,"state","FL","group","2d1a")/GETPIVOTDATA("Total-New",'Distrib pivot table'!$C$2,"state","FL"))=0,,IF(GETPIVOTDATA("Total-New",'Distrib pivot table'!$C$2,"state","FL","group","2d1a")/GETPIVOTDATA("Total-New",'Distrib pivot table'!$C$2,"state","FL")&gt;0.0005,GETPIVOTDATA("Total-New",'Distrib pivot table'!$C$2,"state","FL","group","2d1a")/GETPIVOTDATA("Total-New",'Distrib pivot table'!$C$2,"state","FL"),"*"))</f>
        <v>1.2792423865819363E-3</v>
      </c>
      <c r="I41" s="418">
        <f>IF((GETPIVOTDATA("Total-New",'Distrib pivot table'!$C$2,"state","GA","group","2d1a")/GETPIVOTDATA("Total-New",'Distrib pivot table'!$C$2,"state","GA"))=0,,IF(GETPIVOTDATA("Total-New",'Distrib pivot table'!$C$2,"state","GA","group","2d1a")/GETPIVOTDATA("Total-New",'Distrib pivot table'!$C$2,"state","GA")&gt;0.0005,GETPIVOTDATA("Total-New",'Distrib pivot table'!$C$2,"state","GA","group","2d1a")/GETPIVOTDATA("Total-New",'Distrib pivot table'!$C$2,"state","GA"),"*"))</f>
        <v>0</v>
      </c>
      <c r="J41" s="418">
        <f>IF((GETPIVOTDATA("Total-New",'Distrib pivot table'!$C$2,"state","KY","group","2d1a")/GETPIVOTDATA("Total-New",'Distrib pivot table'!$C$2,"state","KY"))=0,,IF(GETPIVOTDATA("Total-New",'Distrib pivot table'!$C$2,"state","KY","group","2d1a")/GETPIVOTDATA("Total-New",'Distrib pivot table'!$C$2,"state","KY")&gt;0.0005,GETPIVOTDATA("Total-New",'Distrib pivot table'!$C$2,"state","KY","group","2d1a")/GETPIVOTDATA("Total-New",'Distrib pivot table'!$C$2,"state","KY"),"*"))</f>
        <v>0</v>
      </c>
      <c r="K41" s="418">
        <f>IF((GETPIVOTDATA("Total-New",'Distrib pivot table'!$C$2,"state","LA","group","2d1a")/GETPIVOTDATA("Total-New",'Distrib pivot table'!$C$2,"state","LA"))=0,,IF(GETPIVOTDATA("Total-New",'Distrib pivot table'!$C$2,"state","LA","group","2d1a")/GETPIVOTDATA("Total-New",'Distrib pivot table'!$C$2,"state","LA")&gt;0.0005,GETPIVOTDATA("Total-New",'Distrib pivot table'!$C$2,"state","LA","group","2d1a")/GETPIVOTDATA("Total-New",'Distrib pivot table'!$C$2,"state","LA"),"*"))</f>
        <v>0</v>
      </c>
      <c r="L41" s="418">
        <f>IF((GETPIVOTDATA("Total-New",'Distrib pivot table'!$C$2,"state","MD","group","2d1a")/GETPIVOTDATA("Total-New",'Distrib pivot table'!$C$2,"state","MD"))=0,,IF(GETPIVOTDATA("Total-New",'Distrib pivot table'!$C$2,"state","MD","group","2d1a")/GETPIVOTDATA("Total-New",'Distrib pivot table'!$C$2,"state","MD")&gt;0.0005,GETPIVOTDATA("Total-New",'Distrib pivot table'!$C$2,"state","MD","group","2d1a")/GETPIVOTDATA("Total-New",'Distrib pivot table'!$C$2,"state","MD"),"*"))</f>
        <v>0</v>
      </c>
      <c r="M41" s="418">
        <f>IF((GETPIVOTDATA("Total-New",'Distrib pivot table'!$C$2,"state","MS","group","2d1a")/GETPIVOTDATA("Total-New",'Distrib pivot table'!$C$2,"state","MS"))=0,,IF(GETPIVOTDATA("Total-New",'Distrib pivot table'!$C$2,"state","MS","group","2d1a")/GETPIVOTDATA("Total-New",'Distrib pivot table'!$C$2,"state","MS")&gt;0.0005,GETPIVOTDATA("Total-New",'Distrib pivot table'!$C$2,"state","MS","group","2d1a")/GETPIVOTDATA("Total-New",'Distrib pivot table'!$C$2,"state","MS"),"*"))</f>
        <v>0</v>
      </c>
      <c r="N41" s="418">
        <f>IF((GETPIVOTDATA("Total-New",'Distrib pivot table'!$C$2,"state","NC","group","2d1a")/GETPIVOTDATA("Total-New",'Distrib pivot table'!$C$2,"state","NC"))=0,,IF(GETPIVOTDATA("Total-New",'Distrib pivot table'!$C$2,"state","NC","group","2d1a")/GETPIVOTDATA("Total-New",'Distrib pivot table'!$C$2,"state","NC")&gt;0.0005,GETPIVOTDATA("Total-New",'Distrib pivot table'!$C$2,"state","NC","group","2d1a")/GETPIVOTDATA("Total-New",'Distrib pivot table'!$C$2,"state","NC"),"*"))</f>
        <v>0</v>
      </c>
      <c r="O41" s="418">
        <f>IF((GETPIVOTDATA("Total-New",'Distrib pivot table'!$C$2,"state","OK","group","2d1a")/GETPIVOTDATA("Total-New",'Distrib pivot table'!$C$2,"state","OK"))=0,,IF(GETPIVOTDATA("Total-New",'Distrib pivot table'!$C$2,"state","OK","group","2d1a")/GETPIVOTDATA("Total-New",'Distrib pivot table'!$C$2,"state","OK")&gt;0.0005,GETPIVOTDATA("Total-New",'Distrib pivot table'!$C$2,"state","OK","group","2d1a")/GETPIVOTDATA("Total-New",'Distrib pivot table'!$C$2,"state","OK"),"*"))</f>
        <v>0</v>
      </c>
      <c r="P41" s="418">
        <f>IF((GETPIVOTDATA("Total-New",'Distrib pivot table'!$C$2,"state","SC","group","2d1a")/GETPIVOTDATA("Total-New",'Distrib pivot table'!$C$2,"state","SC"))=0,,IF(GETPIVOTDATA("Total-New",'Distrib pivot table'!$C$2,"state","SC","group","2d1a")/GETPIVOTDATA("Total-New",'Distrib pivot table'!$C$2,"state","SC")&gt;0.0005,GETPIVOTDATA("Total-New",'Distrib pivot table'!$C$2,"state","SC","group","2d1a")/GETPIVOTDATA("Total-New",'Distrib pivot table'!$C$2,"state","SC"),"*"))</f>
        <v>0</v>
      </c>
      <c r="Q41" s="418">
        <f>IF((GETPIVOTDATA("Total-New",'Distrib pivot table'!$C$2,"state","TN","group","2d1a")/GETPIVOTDATA("Total-New",'Distrib pivot table'!$C$2,"state","TN"))=0,,IF(GETPIVOTDATA("Total-New",'Distrib pivot table'!$C$2,"state","TN","group","2d1a")/GETPIVOTDATA("Total-New",'Distrib pivot table'!$C$2,"state","TN")&gt;0.0005,GETPIVOTDATA("Total-New",'Distrib pivot table'!$C$2,"state","TN","group","2d1a")/GETPIVOTDATA("Total-New",'Distrib pivot table'!$C$2,"state","TN"),"*"))</f>
        <v>0</v>
      </c>
      <c r="R41" s="418">
        <f>IF((GETPIVOTDATA("Total-New",'Distrib pivot table'!$C$2,"state","TX","group","2d1a")/GETPIVOTDATA("Total-New",'Distrib pivot table'!$C$2,"state","TX"))=0,,IF(GETPIVOTDATA("Total-New",'Distrib pivot table'!$C$2,"state","TX","group","2d1a")/GETPIVOTDATA("Total-New",'Distrib pivot table'!$C$2,"state","TX")&gt;0.0005,GETPIVOTDATA("Total-New",'Distrib pivot table'!$C$2,"state","TX","group","2d1a")/GETPIVOTDATA("Total-New",'Distrib pivot table'!$C$2,"state","TX"),"*"))</f>
        <v>0</v>
      </c>
      <c r="S41" s="418">
        <f>IF((GETPIVOTDATA("Total-New",'Distrib pivot table'!$C$2,"state","VA","group","2d1a")/GETPIVOTDATA("Total-New",'Distrib pivot table'!$C$2,"state","VA"))=0,,IF(GETPIVOTDATA("Total-New",'Distrib pivot table'!$C$2,"state","VA","group","2d1a")/GETPIVOTDATA("Total-New",'Distrib pivot table'!$C$2,"state","VA")&gt;0.0005,GETPIVOTDATA("Total-New",'Distrib pivot table'!$C$2,"state","VA","group","2d1a")/GETPIVOTDATA("Total-New",'Distrib pivot table'!$C$2,"state","VA"),"*"))</f>
        <v>0</v>
      </c>
      <c r="T41" s="418">
        <f>IF((GETPIVOTDATA("Total-New",'Distrib pivot table'!$C$2,"state","WV","group","2d1a")/GETPIVOTDATA("Total-New",'Distrib pivot table'!$C$2,"state","WV"))=0,,IF(GETPIVOTDATA("Total-New",'Distrib pivot table'!$C$2,"state","WV","group","2d1a")/GETPIVOTDATA("Total-New",'Distrib pivot table'!$C$2,"state","WV")&gt;0.0005,GETPIVOTDATA("Total-New",'Distrib pivot table'!$C$2,"state","WV","group","2d1a")/GETPIVOTDATA("Total-New",'Distrib pivot table'!$C$2,"state","WV"),"*"))</f>
        <v>0</v>
      </c>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2.6" customHeight="1">
      <c r="A42" s="1488"/>
      <c r="B42" s="127" t="s">
        <v>249</v>
      </c>
      <c r="C42" s="374" t="s">
        <v>251</v>
      </c>
      <c r="D42" s="418">
        <f>IF(GETPIVOTDATA("Total-New",'Distrib pivot table'!$C$2,"group","2d1b")/GETPIVOTDATA("Total-New",'Distrib pivot table'!$C$2)=0,,IF(GETPIVOTDATA("Total-New",'Distrib pivot table'!$C$2,"group","2d1b")/GETPIVOTDATA("Total-New",'Distrib pivot table'!$C$2)&gt;0.0005,GETPIVOTDATA("Total-New",'Distrib pivot table'!$C$2,"group","2d1b")/GETPIVOTDATA("Total-New",'Distrib pivot table'!$C$2),"*"))</f>
        <v>5.1624457573497765E-3</v>
      </c>
      <c r="E42" s="418" t="str">
        <f>IF((GETPIVOTDATA("Total-New",'Distrib pivot table'!$C$2,"state","AL","group","2d1b")/GETPIVOTDATA("Total-New",'Distrib pivot table'!$C$2,"state","AL"))=0,,IF(GETPIVOTDATA("Total-New",'Distrib pivot table'!$C$2,"state","AL","group","2d1b")/GETPIVOTDATA("Total-New",'Distrib pivot table'!$C$2,"state","AL")&gt;0.0005,GETPIVOTDATA("Total-New",'Distrib pivot table'!$C$2,"state","AL","group","2d1b")/GETPIVOTDATA("Total-New",'Distrib pivot table'!$C$2,"state","AL"),"*"))</f>
        <v>*</v>
      </c>
      <c r="F42" s="418" t="str">
        <f>IF((GETPIVOTDATA("Total-New",'Distrib pivot table'!$C$2,"state","AR","group","2d1b")/GETPIVOTDATA("Total-New",'Distrib pivot table'!$C$2,"state","AR"))=0,,IF(GETPIVOTDATA("Total-New",'Distrib pivot table'!$C$2,"state","AR","group","2d1b")/GETPIVOTDATA("Total-New",'Distrib pivot table'!$C$2,"state","AR")&gt;0.0005,GETPIVOTDATA("Total-New",'Distrib pivot table'!$C$2,"state","AR","group","2d1b")/GETPIVOTDATA("Total-New",'Distrib pivot table'!$C$2,"state","AR"),"*"))</f>
        <v>*</v>
      </c>
      <c r="G42" s="418">
        <f>IF((GETPIVOTDATA("Total-New",'Distrib pivot table'!$C$2,"state","DE","group","2d1b")/GETPIVOTDATA("Total-New",'Distrib pivot table'!$C$2,"state","DE"))=0,,IF(GETPIVOTDATA("Total-New",'Distrib pivot table'!$C$2,"state","DE","group","2d1b")/GETPIVOTDATA("Total-New",'Distrib pivot table'!$C$2,"state","DE")&gt;0.0005,GETPIVOTDATA("Total-New",'Distrib pivot table'!$C$2,"state","DE","group","2d1b")/GETPIVOTDATA("Total-New",'Distrib pivot table'!$C$2,"state","DE"),"*"))</f>
        <v>1.8638781563080887E-3</v>
      </c>
      <c r="H42" s="418">
        <f>IF((GETPIVOTDATA("Total-New",'Distrib pivot table'!$C$2,"state","FL","group","2d1b")/GETPIVOTDATA("Total-New",'Distrib pivot table'!$C$2,"state","FL"))=0,,IF(GETPIVOTDATA("Total-New",'Distrib pivot table'!$C$2,"state","FL","group","2d1b")/GETPIVOTDATA("Total-New",'Distrib pivot table'!$C$2,"state","FL")&gt;0.0005,GETPIVOTDATA("Total-New",'Distrib pivot table'!$C$2,"state","FL","group","2d1b")/GETPIVOTDATA("Total-New",'Distrib pivot table'!$C$2,"state","FL"),"*"))</f>
        <v>4.0199870042788452E-2</v>
      </c>
      <c r="I42" s="418">
        <f>IF((GETPIVOTDATA("Total-New",'Distrib pivot table'!$C$2,"state","GA","group","2d1b")/GETPIVOTDATA("Total-New",'Distrib pivot table'!$C$2,"state","GA"))=0,,IF(GETPIVOTDATA("Total-New",'Distrib pivot table'!$C$2,"state","GA","group","2d1b")/GETPIVOTDATA("Total-New",'Distrib pivot table'!$C$2,"state","GA")&gt;0.0005,GETPIVOTDATA("Total-New",'Distrib pivot table'!$C$2,"state","GA","group","2d1b")/GETPIVOTDATA("Total-New",'Distrib pivot table'!$C$2,"state","GA"),"*"))</f>
        <v>0</v>
      </c>
      <c r="J42" s="418">
        <f>IF((GETPIVOTDATA("Total-New",'Distrib pivot table'!$C$2,"state","KY","group","2d1b")/GETPIVOTDATA("Total-New",'Distrib pivot table'!$C$2,"state","KY"))=0,,IF(GETPIVOTDATA("Total-New",'Distrib pivot table'!$C$2,"state","KY","group","2d1b")/GETPIVOTDATA("Total-New",'Distrib pivot table'!$C$2,"state","KY")&gt;0.0005,GETPIVOTDATA("Total-New",'Distrib pivot table'!$C$2,"state","KY","group","2d1b")/GETPIVOTDATA("Total-New",'Distrib pivot table'!$C$2,"state","KY"),"*"))</f>
        <v>0</v>
      </c>
      <c r="K42" s="418">
        <f>IF((GETPIVOTDATA("Total-New",'Distrib pivot table'!$C$2,"state","LA","group","2d1b")/GETPIVOTDATA("Total-New",'Distrib pivot table'!$C$2,"state","LA"))=0,,IF(GETPIVOTDATA("Total-New",'Distrib pivot table'!$C$2,"state","LA","group","2d1b")/GETPIVOTDATA("Total-New",'Distrib pivot table'!$C$2,"state","LA")&gt;0.0005,GETPIVOTDATA("Total-New",'Distrib pivot table'!$C$2,"state","LA","group","2d1b")/GETPIVOTDATA("Total-New",'Distrib pivot table'!$C$2,"state","LA"),"*"))</f>
        <v>0</v>
      </c>
      <c r="L42" s="418">
        <f>IF((GETPIVOTDATA("Total-New",'Distrib pivot table'!$C$2,"state","MD","group","2d1b")/GETPIVOTDATA("Total-New",'Distrib pivot table'!$C$2,"state","MD"))=0,,IF(GETPIVOTDATA("Total-New",'Distrib pivot table'!$C$2,"state","MD","group","2d1b")/GETPIVOTDATA("Total-New",'Distrib pivot table'!$C$2,"state","MD")&gt;0.0005,GETPIVOTDATA("Total-New",'Distrib pivot table'!$C$2,"state","MD","group","2d1b")/GETPIVOTDATA("Total-New",'Distrib pivot table'!$C$2,"state","MD"),"*"))</f>
        <v>0</v>
      </c>
      <c r="M42" s="418" t="str">
        <f>IF((GETPIVOTDATA("Total-New",'Distrib pivot table'!$C$2,"state","MS","group","2d1b")/GETPIVOTDATA("Total-New",'Distrib pivot table'!$C$2,"state","MS"))=0,,IF(GETPIVOTDATA("Total-New",'Distrib pivot table'!$C$2,"state","MS","group","2d1b")/GETPIVOTDATA("Total-New",'Distrib pivot table'!$C$2,"state","MS")&gt;0.0005,GETPIVOTDATA("Total-New",'Distrib pivot table'!$C$2,"state","MS","group","2d1b")/GETPIVOTDATA("Total-New",'Distrib pivot table'!$C$2,"state","MS"),"*"))</f>
        <v>*</v>
      </c>
      <c r="N42" s="418">
        <f>IF((GETPIVOTDATA("Total-New",'Distrib pivot table'!$C$2,"state","NC","group","2d1b")/GETPIVOTDATA("Total-New",'Distrib pivot table'!$C$2,"state","NC"))=0,,IF(GETPIVOTDATA("Total-New",'Distrib pivot table'!$C$2,"state","NC","group","2d1b")/GETPIVOTDATA("Total-New",'Distrib pivot table'!$C$2,"state","NC")&gt;0.0005,GETPIVOTDATA("Total-New",'Distrib pivot table'!$C$2,"state","NC","group","2d1b")/GETPIVOTDATA("Total-New",'Distrib pivot table'!$C$2,"state","NC"),"*"))</f>
        <v>3.8197157899204134E-3</v>
      </c>
      <c r="O42" s="418">
        <f>IF((GETPIVOTDATA("Total-New",'Distrib pivot table'!$C$2,"state","OK","group","2d1b")/GETPIVOTDATA("Total-New",'Distrib pivot table'!$C$2,"state","OK"))=0,,IF(GETPIVOTDATA("Total-New",'Distrib pivot table'!$C$2,"state","OK","group","2d1b")/GETPIVOTDATA("Total-New",'Distrib pivot table'!$C$2,"state","OK")&gt;0.0005,GETPIVOTDATA("Total-New",'Distrib pivot table'!$C$2,"state","OK","group","2d1b")/GETPIVOTDATA("Total-New",'Distrib pivot table'!$C$2,"state","OK"),"*"))</f>
        <v>0</v>
      </c>
      <c r="P42" s="418">
        <f>IF((GETPIVOTDATA("Total-New",'Distrib pivot table'!$C$2,"state","SC","group","2d1b")/GETPIVOTDATA("Total-New",'Distrib pivot table'!$C$2,"state","SC"))=0,,IF(GETPIVOTDATA("Total-New",'Distrib pivot table'!$C$2,"state","SC","group","2d1b")/GETPIVOTDATA("Total-New",'Distrib pivot table'!$C$2,"state","SC")&gt;0.0005,GETPIVOTDATA("Total-New",'Distrib pivot table'!$C$2,"state","SC","group","2d1b")/GETPIVOTDATA("Total-New",'Distrib pivot table'!$C$2,"state","SC"),"*"))</f>
        <v>1.5913935078691963E-3</v>
      </c>
      <c r="Q42" s="418">
        <f>IF((GETPIVOTDATA("Total-New",'Distrib pivot table'!$C$2,"state","TN","group","2d1b")/GETPIVOTDATA("Total-New",'Distrib pivot table'!$C$2,"state","TN"))=0,,IF(GETPIVOTDATA("Total-New",'Distrib pivot table'!$C$2,"state","TN","group","2d1b")/GETPIVOTDATA("Total-New",'Distrib pivot table'!$C$2,"state","TN")&gt;0.0005,GETPIVOTDATA("Total-New",'Distrib pivot table'!$C$2,"state","TN","group","2d1b")/GETPIVOTDATA("Total-New",'Distrib pivot table'!$C$2,"state","TN"),"*"))</f>
        <v>0</v>
      </c>
      <c r="R42" s="418">
        <f>IF((GETPIVOTDATA("Total-New",'Distrib pivot table'!$C$2,"state","TX","group","2d1b")/GETPIVOTDATA("Total-New",'Distrib pivot table'!$C$2,"state","TX"))=0,,IF(GETPIVOTDATA("Total-New",'Distrib pivot table'!$C$2,"state","TX","group","2d1b")/GETPIVOTDATA("Total-New",'Distrib pivot table'!$C$2,"state","TX")&gt;0.0005,GETPIVOTDATA("Total-New",'Distrib pivot table'!$C$2,"state","TX","group","2d1b")/GETPIVOTDATA("Total-New",'Distrib pivot table'!$C$2,"state","TX"),"*"))</f>
        <v>1.3978918189935087E-3</v>
      </c>
      <c r="S42" s="418">
        <f>IF((GETPIVOTDATA("Total-New",'Distrib pivot table'!$C$2,"state","VA","group","2d1b")/GETPIVOTDATA("Total-New",'Distrib pivot table'!$C$2,"state","VA"))=0,,IF(GETPIVOTDATA("Total-New",'Distrib pivot table'!$C$2,"state","VA","group","2d1b")/GETPIVOTDATA("Total-New",'Distrib pivot table'!$C$2,"state","VA")&gt;0.0005,GETPIVOTDATA("Total-New",'Distrib pivot table'!$C$2,"state","VA","group","2d1b")/GETPIVOTDATA("Total-New",'Distrib pivot table'!$C$2,"state","VA"),"*"))</f>
        <v>0</v>
      </c>
      <c r="T42" s="418">
        <f>IF((GETPIVOTDATA("Total-New",'Distrib pivot table'!$C$2,"state","WV","group","2d1b")/GETPIVOTDATA("Total-New",'Distrib pivot table'!$C$2,"state","WV"))=0,,IF(GETPIVOTDATA("Total-New",'Distrib pivot table'!$C$2,"state","WV","group","2d1b")/GETPIVOTDATA("Total-New",'Distrib pivot table'!$C$2,"state","WV")&gt;0.0005,GETPIVOTDATA("Total-New",'Distrib pivot table'!$C$2,"state","WV","group","2d1b")/GETPIVOTDATA("Total-New",'Distrib pivot table'!$C$2,"state","WV"),"*"))</f>
        <v>0</v>
      </c>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2.6" customHeight="1">
      <c r="A43" s="1488"/>
      <c r="B43" s="127" t="s">
        <v>250</v>
      </c>
      <c r="C43" s="374" t="s">
        <v>209</v>
      </c>
      <c r="D43" s="418" t="str">
        <f>IF(GETPIVOTDATA("Total-New",'Distrib pivot table'!$C$2,"group","2d1c")/GETPIVOTDATA("Total-New",'Distrib pivot table'!$C$2)=0,,IF(GETPIVOTDATA("Total-New",'Distrib pivot table'!$C$2,"group","2d1c")/GETPIVOTDATA("Total-New",'Distrib pivot table'!$C$2)&gt;0.0005,GETPIVOTDATA("Total-New",'Distrib pivot table'!$C$2,"group","2d1c")/GETPIVOTDATA("Total-New",'Distrib pivot table'!$C$2),"*"))</f>
        <v>*</v>
      </c>
      <c r="E43" s="418">
        <f>IF((GETPIVOTDATA("Total-New",'Distrib pivot table'!$C$2,"state","AL","group","2d1c")/GETPIVOTDATA("Total-New",'Distrib pivot table'!$C$2,"state","AL"))=0,,IF(GETPIVOTDATA("Total-New",'Distrib pivot table'!$C$2,"state","AL","group","2d1c")/GETPIVOTDATA("Total-New",'Distrib pivot table'!$C$2,"state","AL")&gt;0.0005,GETPIVOTDATA("Total-New",'Distrib pivot table'!$C$2,"state","AL","group","2d1c")/GETPIVOTDATA("Total-New",'Distrib pivot table'!$C$2,"state","AL"),"*"))</f>
        <v>0</v>
      </c>
      <c r="F43" s="418">
        <f>IF((GETPIVOTDATA("Total-New",'Distrib pivot table'!$C$2,"state","AR","group","2d1c")/GETPIVOTDATA("Total-New",'Distrib pivot table'!$C$2,"state","AR"))=0,,IF(GETPIVOTDATA("Total-New",'Distrib pivot table'!$C$2,"state","AR","group","2d1c")/GETPIVOTDATA("Total-New",'Distrib pivot table'!$C$2,"state","AR")&gt;0.0005,GETPIVOTDATA("Total-New",'Distrib pivot table'!$C$2,"state","AR","group","2d1c")/GETPIVOTDATA("Total-New",'Distrib pivot table'!$C$2,"state","AR"),"*"))</f>
        <v>8.5052516577917715E-4</v>
      </c>
      <c r="G43" s="418">
        <f>IF((GETPIVOTDATA("Total-New",'Distrib pivot table'!$C$2,"state","DE","group","2d1c")/GETPIVOTDATA("Total-New",'Distrib pivot table'!$C$2,"state","DE"))=0,,IF(GETPIVOTDATA("Total-New",'Distrib pivot table'!$C$2,"state","DE","group","2d1c")/GETPIVOTDATA("Total-New",'Distrib pivot table'!$C$2,"state","DE")&gt;0.0005,GETPIVOTDATA("Total-New",'Distrib pivot table'!$C$2,"state","DE","group","2d1c")/GETPIVOTDATA("Total-New",'Distrib pivot table'!$C$2,"state","DE"),"*"))</f>
        <v>0</v>
      </c>
      <c r="H43" s="418">
        <f>IF((GETPIVOTDATA("Total-New",'Distrib pivot table'!$C$2,"state","FL","group","2d1c")/GETPIVOTDATA("Total-New",'Distrib pivot table'!$C$2,"state","FL"))=0,,IF(GETPIVOTDATA("Total-New",'Distrib pivot table'!$C$2,"state","FL","group","2d1c")/GETPIVOTDATA("Total-New",'Distrib pivot table'!$C$2,"state","FL")&gt;0.0005,GETPIVOTDATA("Total-New",'Distrib pivot table'!$C$2,"state","FL","group","2d1c")/GETPIVOTDATA("Total-New",'Distrib pivot table'!$C$2,"state","FL"),"*"))</f>
        <v>0</v>
      </c>
      <c r="I43" s="418">
        <f>IF((GETPIVOTDATA("Total-New",'Distrib pivot table'!$C$2,"state","GA","group","2d1c")/GETPIVOTDATA("Total-New",'Distrib pivot table'!$C$2,"state","GA"))=0,,IF(GETPIVOTDATA("Total-New",'Distrib pivot table'!$C$2,"state","GA","group","2d1c")/GETPIVOTDATA("Total-New",'Distrib pivot table'!$C$2,"state","GA")&gt;0.0005,GETPIVOTDATA("Total-New",'Distrib pivot table'!$C$2,"state","GA","group","2d1c")/GETPIVOTDATA("Total-New",'Distrib pivot table'!$C$2,"state","GA"),"*"))</f>
        <v>0</v>
      </c>
      <c r="J43" s="418">
        <f>IF((GETPIVOTDATA("Total-New",'Distrib pivot table'!$C$2,"state","KY","group","2d1c")/GETPIVOTDATA("Total-New",'Distrib pivot table'!$C$2,"state","KY"))=0,,IF(GETPIVOTDATA("Total-New",'Distrib pivot table'!$C$2,"state","KY","group","2d1c")/GETPIVOTDATA("Total-New",'Distrib pivot table'!$C$2,"state","KY")&gt;0.0005,GETPIVOTDATA("Total-New",'Distrib pivot table'!$C$2,"state","KY","group","2d1c")/GETPIVOTDATA("Total-New",'Distrib pivot table'!$C$2,"state","KY"),"*"))</f>
        <v>0</v>
      </c>
      <c r="K43" s="418">
        <f>IF((GETPIVOTDATA("Total-New",'Distrib pivot table'!$C$2,"state","LA","group","2d1c")/GETPIVOTDATA("Total-New",'Distrib pivot table'!$C$2,"state","LA"))=0,,IF(GETPIVOTDATA("Total-New",'Distrib pivot table'!$C$2,"state","LA","group","2d1c")/GETPIVOTDATA("Total-New",'Distrib pivot table'!$C$2,"state","LA")&gt;0.0005,GETPIVOTDATA("Total-New",'Distrib pivot table'!$C$2,"state","LA","group","2d1c")/GETPIVOTDATA("Total-New",'Distrib pivot table'!$C$2,"state","LA"),"*"))</f>
        <v>0</v>
      </c>
      <c r="L43" s="418">
        <f>IF((GETPIVOTDATA("Total-New",'Distrib pivot table'!$C$2,"state","MD","group","2d1c")/GETPIVOTDATA("Total-New",'Distrib pivot table'!$C$2,"state","MD"))=0,,IF(GETPIVOTDATA("Total-New",'Distrib pivot table'!$C$2,"state","MD","group","2d1c")/GETPIVOTDATA("Total-New",'Distrib pivot table'!$C$2,"state","MD")&gt;0.0005,GETPIVOTDATA("Total-New",'Distrib pivot table'!$C$2,"state","MD","group","2d1c")/GETPIVOTDATA("Total-New",'Distrib pivot table'!$C$2,"state","MD"),"*"))</f>
        <v>0</v>
      </c>
      <c r="M43" s="418" t="str">
        <f>IF((GETPIVOTDATA("Total-New",'Distrib pivot table'!$C$2,"state","MS","group","2d1c")/GETPIVOTDATA("Total-New",'Distrib pivot table'!$C$2,"state","MS"))=0,,IF(GETPIVOTDATA("Total-New",'Distrib pivot table'!$C$2,"state","MS","group","2d1c")/GETPIVOTDATA("Total-New",'Distrib pivot table'!$C$2,"state","MS")&gt;0.0005,GETPIVOTDATA("Total-New",'Distrib pivot table'!$C$2,"state","MS","group","2d1c")/GETPIVOTDATA("Total-New",'Distrib pivot table'!$C$2,"state","MS"),"*"))</f>
        <v>*</v>
      </c>
      <c r="N43" s="418">
        <f>IF((GETPIVOTDATA("Total-New",'Distrib pivot table'!$C$2,"state","NC","group","2d1c")/GETPIVOTDATA("Total-New",'Distrib pivot table'!$C$2,"state","NC"))=0,,IF(GETPIVOTDATA("Total-New",'Distrib pivot table'!$C$2,"state","NC","group","2d1c")/GETPIVOTDATA("Total-New",'Distrib pivot table'!$C$2,"state","NC")&gt;0.0005,GETPIVOTDATA("Total-New",'Distrib pivot table'!$C$2,"state","NC","group","2d1c")/GETPIVOTDATA("Total-New",'Distrib pivot table'!$C$2,"state","NC"),"*"))</f>
        <v>0</v>
      </c>
      <c r="O43" s="418">
        <f>IF((GETPIVOTDATA("Total-New",'Distrib pivot table'!$C$2,"state","OK","group","2d1c")/GETPIVOTDATA("Total-New",'Distrib pivot table'!$C$2,"state","OK"))=0,,IF(GETPIVOTDATA("Total-New",'Distrib pivot table'!$C$2,"state","OK","group","2d1c")/GETPIVOTDATA("Total-New",'Distrib pivot table'!$C$2,"state","OK")&gt;0.0005,GETPIVOTDATA("Total-New",'Distrib pivot table'!$C$2,"state","OK","group","2d1c")/GETPIVOTDATA("Total-New",'Distrib pivot table'!$C$2,"state","OK"),"*"))</f>
        <v>0</v>
      </c>
      <c r="P43" s="418">
        <f>IF((GETPIVOTDATA("Total-New",'Distrib pivot table'!$C$2,"state","SC","group","2d1c")/GETPIVOTDATA("Total-New",'Distrib pivot table'!$C$2,"state","SC"))=0,,IF(GETPIVOTDATA("Total-New",'Distrib pivot table'!$C$2,"state","SC","group","2d1c")/GETPIVOTDATA("Total-New",'Distrib pivot table'!$C$2,"state","SC")&gt;0.0005,GETPIVOTDATA("Total-New",'Distrib pivot table'!$C$2,"state","SC","group","2d1c")/GETPIVOTDATA("Total-New",'Distrib pivot table'!$C$2,"state","SC"),"*"))</f>
        <v>0</v>
      </c>
      <c r="Q43" s="418">
        <f>IF((GETPIVOTDATA("Total-New",'Distrib pivot table'!$C$2,"state","TN","group","2d1c")/GETPIVOTDATA("Total-New",'Distrib pivot table'!$C$2,"state","TN"))=0,,IF(GETPIVOTDATA("Total-New",'Distrib pivot table'!$C$2,"state","TN","group","2d1c")/GETPIVOTDATA("Total-New",'Distrib pivot table'!$C$2,"state","TN")&gt;0.0005,GETPIVOTDATA("Total-New",'Distrib pivot table'!$C$2,"state","TN","group","2d1c")/GETPIVOTDATA("Total-New",'Distrib pivot table'!$C$2,"state","TN"),"*"))</f>
        <v>0</v>
      </c>
      <c r="R43" s="418">
        <f>IF((GETPIVOTDATA("Total-New",'Distrib pivot table'!$C$2,"state","TX","group","2d1c")/GETPIVOTDATA("Total-New",'Distrib pivot table'!$C$2,"state","TX"))=0,,IF(GETPIVOTDATA("Total-New",'Distrib pivot table'!$C$2,"state","TX","group","2d1c")/GETPIVOTDATA("Total-New",'Distrib pivot table'!$C$2,"state","TX")&gt;0.0005,GETPIVOTDATA("Total-New",'Distrib pivot table'!$C$2,"state","TX","group","2d1c")/GETPIVOTDATA("Total-New",'Distrib pivot table'!$C$2,"state","TX"),"*"))</f>
        <v>0</v>
      </c>
      <c r="S43" s="418">
        <f>IF((GETPIVOTDATA("Total-New",'Distrib pivot table'!$C$2,"state","VA","group","2d1c")/GETPIVOTDATA("Total-New",'Distrib pivot table'!$C$2,"state","VA"))=0,,IF(GETPIVOTDATA("Total-New",'Distrib pivot table'!$C$2,"state","VA","group","2d1c")/GETPIVOTDATA("Total-New",'Distrib pivot table'!$C$2,"state","VA")&gt;0.0005,GETPIVOTDATA("Total-New",'Distrib pivot table'!$C$2,"state","VA","group","2d1c")/GETPIVOTDATA("Total-New",'Distrib pivot table'!$C$2,"state","VA"),"*"))</f>
        <v>0</v>
      </c>
      <c r="T43" s="418">
        <f>IF((GETPIVOTDATA("Total-New",'Distrib pivot table'!$C$2,"state","WV","group","2d1c")/GETPIVOTDATA("Total-New",'Distrib pivot table'!$C$2,"state","WV"))=0,,IF(GETPIVOTDATA("Total-New",'Distrib pivot table'!$C$2,"state","WV","group","2d1c")/GETPIVOTDATA("Total-New",'Distrib pivot table'!$C$2,"state","WV")&gt;0.0005,GETPIVOTDATA("Total-New",'Distrib pivot table'!$C$2,"state","WV","group","2d1c")/GETPIVOTDATA("Total-New",'Distrib pivot table'!$C$2,"state","WV"),"*"))</f>
        <v>0</v>
      </c>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2.6" customHeight="1">
      <c r="A44" s="1488"/>
      <c r="B44" s="127" t="s">
        <v>311</v>
      </c>
      <c r="C44" s="374" t="s">
        <v>210</v>
      </c>
      <c r="D44" s="418">
        <f>IF(GETPIVOTDATA("Total-New",'Distrib pivot table'!$C$2,"group","2d1c1")/GETPIVOTDATA("Total-New",'Distrib pivot table'!$C$2)=0,,IF(GETPIVOTDATA("Total-New",'Distrib pivot table'!$C$2,"group","2d1c1")/GETPIVOTDATA("Total-New",'Distrib pivot table'!$C$2)&gt;0.0005,GETPIVOTDATA("Total-New",'Distrib pivot table'!$C$2,"group","2d1c1")/GETPIVOTDATA("Total-New",'Distrib pivot table'!$C$2),"*"))</f>
        <v>5.3806478942792293E-3</v>
      </c>
      <c r="E44" s="418">
        <f>IF((GETPIVOTDATA("Total-New",'Distrib pivot table'!$C$2,"state","AL","group","2d1c1")/GETPIVOTDATA("Total-New",'Distrib pivot table'!$C$2,"state","AL"))=0,,IF(GETPIVOTDATA("Total-New",'Distrib pivot table'!$C$2,"state","AL","group","2d1c1")/GETPIVOTDATA("Total-New",'Distrib pivot table'!$C$2,"state","AL")&gt;0.0005,GETPIVOTDATA("Total-New",'Distrib pivot table'!$C$2,"state","AL","group","2d1c1")/GETPIVOTDATA("Total-New",'Distrib pivot table'!$C$2,"state","AL"),"*"))</f>
        <v>7.3380261164830869E-4</v>
      </c>
      <c r="F44" s="418">
        <f>IF((GETPIVOTDATA("Total-New",'Distrib pivot table'!$C$2,"state","AR","group","2d1c1")/GETPIVOTDATA("Total-New",'Distrib pivot table'!$C$2,"state","AR"))=0,,IF(GETPIVOTDATA("Total-New",'Distrib pivot table'!$C$2,"state","AR","group","2d1c1")/GETPIVOTDATA("Total-New",'Distrib pivot table'!$C$2,"state","AR")&gt;0.0005,GETPIVOTDATA("Total-New",'Distrib pivot table'!$C$2,"state","AR","group","2d1c1")/GETPIVOTDATA("Total-New",'Distrib pivot table'!$C$2,"state","AR"),"*"))</f>
        <v>4.8482769533299023E-3</v>
      </c>
      <c r="G44" s="418" t="str">
        <f>IF((GETPIVOTDATA("Total-New",'Distrib pivot table'!$C$2,"state","DE","group","2d1c1")/GETPIVOTDATA("Total-New",'Distrib pivot table'!$C$2,"state","DE"))=0,,IF(GETPIVOTDATA("Total-New",'Distrib pivot table'!$C$2,"state","DE","group","2d1c1")/GETPIVOTDATA("Total-New",'Distrib pivot table'!$C$2,"state","DE")&gt;0.0005,GETPIVOTDATA("Total-New",'Distrib pivot table'!$C$2,"state","DE","group","2d1c1")/GETPIVOTDATA("Total-New",'Distrib pivot table'!$C$2,"state","DE"),"*"))</f>
        <v>*</v>
      </c>
      <c r="H44" s="418">
        <f>IF((GETPIVOTDATA("Total-New",'Distrib pivot table'!$C$2,"state","FL","group","2d1c1")/GETPIVOTDATA("Total-New",'Distrib pivot table'!$C$2,"state","FL"))=0,,IF(GETPIVOTDATA("Total-New",'Distrib pivot table'!$C$2,"state","FL","group","2d1c1")/GETPIVOTDATA("Total-New",'Distrib pivot table'!$C$2,"state","FL")&gt;0.0005,GETPIVOTDATA("Total-New",'Distrib pivot table'!$C$2,"state","FL","group","2d1c1")/GETPIVOTDATA("Total-New",'Distrib pivot table'!$C$2,"state","FL"),"*"))</f>
        <v>0</v>
      </c>
      <c r="I44" s="418">
        <f>IF((GETPIVOTDATA("Total-New",'Distrib pivot table'!$C$2,"state","GA","group","2d1c1")/GETPIVOTDATA("Total-New",'Distrib pivot table'!$C$2,"state","GA"))=0,,IF(GETPIVOTDATA("Total-New",'Distrib pivot table'!$C$2,"state","GA","group","2d1c1")/GETPIVOTDATA("Total-New",'Distrib pivot table'!$C$2,"state","GA")&gt;0.0005,GETPIVOTDATA("Total-New",'Distrib pivot table'!$C$2,"state","GA","group","2d1c1")/GETPIVOTDATA("Total-New",'Distrib pivot table'!$C$2,"state","GA"),"*"))</f>
        <v>0</v>
      </c>
      <c r="J44" s="418">
        <f>IF((GETPIVOTDATA("Total-New",'Distrib pivot table'!$C$2,"state","KY","group","2d1c1")/GETPIVOTDATA("Total-New",'Distrib pivot table'!$C$2,"state","KY"))=0,,IF(GETPIVOTDATA("Total-New",'Distrib pivot table'!$C$2,"state","KY","group","2d1c1")/GETPIVOTDATA("Total-New",'Distrib pivot table'!$C$2,"state","KY")&gt;0.0005,GETPIVOTDATA("Total-New",'Distrib pivot table'!$C$2,"state","KY","group","2d1c1")/GETPIVOTDATA("Total-New",'Distrib pivot table'!$C$2,"state","KY"),"*"))</f>
        <v>1.7118648807967391E-2</v>
      </c>
      <c r="K44" s="418">
        <f>IF((GETPIVOTDATA("Total-New",'Distrib pivot table'!$C$2,"state","LA","group","2d1c1")/GETPIVOTDATA("Total-New",'Distrib pivot table'!$C$2,"state","LA"))=0,,IF(GETPIVOTDATA("Total-New",'Distrib pivot table'!$C$2,"state","LA","group","2d1c1")/GETPIVOTDATA("Total-New",'Distrib pivot table'!$C$2,"state","LA")&gt;0.0005,GETPIVOTDATA("Total-New",'Distrib pivot table'!$C$2,"state","LA","group","2d1c1")/GETPIVOTDATA("Total-New",'Distrib pivot table'!$C$2,"state","LA"),"*"))</f>
        <v>1.0716553744380927E-2</v>
      </c>
      <c r="L44" s="418">
        <f>IF((GETPIVOTDATA("Total-New",'Distrib pivot table'!$C$2,"state","MD","group","2d1c1")/GETPIVOTDATA("Total-New",'Distrib pivot table'!$C$2,"state","MD"))=0,,IF(GETPIVOTDATA("Total-New",'Distrib pivot table'!$C$2,"state","MD","group","2d1c1")/GETPIVOTDATA("Total-New",'Distrib pivot table'!$C$2,"state","MD")&gt;0.0005,GETPIVOTDATA("Total-New",'Distrib pivot table'!$C$2,"state","MD","group","2d1c1")/GETPIVOTDATA("Total-New",'Distrib pivot table'!$C$2,"state","MD"),"*"))</f>
        <v>1.4793778207506752E-2</v>
      </c>
      <c r="M44" s="418">
        <f>IF((GETPIVOTDATA("Total-New",'Distrib pivot table'!$C$2,"state","MS","group","2d1c1")/GETPIVOTDATA("Total-New",'Distrib pivot table'!$C$2,"state","MS"))=0,,IF(GETPIVOTDATA("Total-New",'Distrib pivot table'!$C$2,"state","MS","group","2d1c1")/GETPIVOTDATA("Total-New",'Distrib pivot table'!$C$2,"state","MS")&gt;0.0005,GETPIVOTDATA("Total-New",'Distrib pivot table'!$C$2,"state","MS","group","2d1c1")/GETPIVOTDATA("Total-New",'Distrib pivot table'!$C$2,"state","MS"),"*"))</f>
        <v>5.906979953085709E-3</v>
      </c>
      <c r="N44" s="418">
        <f>IF((GETPIVOTDATA("Total-New",'Distrib pivot table'!$C$2,"state","NC","group","2d1c1")/GETPIVOTDATA("Total-New",'Distrib pivot table'!$C$2,"state","NC"))=0,,IF(GETPIVOTDATA("Total-New",'Distrib pivot table'!$C$2,"state","NC","group","2d1c1")/GETPIVOTDATA("Total-New",'Distrib pivot table'!$C$2,"state","NC")&gt;0.0005,GETPIVOTDATA("Total-New",'Distrib pivot table'!$C$2,"state","NC","group","2d1c1")/GETPIVOTDATA("Total-New",'Distrib pivot table'!$C$2,"state","NC"),"*"))</f>
        <v>0</v>
      </c>
      <c r="O44" s="418">
        <f>IF((GETPIVOTDATA("Total-New",'Distrib pivot table'!$C$2,"state","OK","group","2d1c1")/GETPIVOTDATA("Total-New",'Distrib pivot table'!$C$2,"state","OK"))=0,,IF(GETPIVOTDATA("Total-New",'Distrib pivot table'!$C$2,"state","OK","group","2d1c1")/GETPIVOTDATA("Total-New",'Distrib pivot table'!$C$2,"state","OK")&gt;0.0005,GETPIVOTDATA("Total-New",'Distrib pivot table'!$C$2,"state","OK","group","2d1c1")/GETPIVOTDATA("Total-New",'Distrib pivot table'!$C$2,"state","OK"),"*"))</f>
        <v>0</v>
      </c>
      <c r="P44" s="418">
        <f>IF((GETPIVOTDATA("Total-New",'Distrib pivot table'!$C$2,"state","SC","group","2d1c1")/GETPIVOTDATA("Total-New",'Distrib pivot table'!$C$2,"state","SC"))=0,,IF(GETPIVOTDATA("Total-New",'Distrib pivot table'!$C$2,"state","SC","group","2d1c1")/GETPIVOTDATA("Total-New",'Distrib pivot table'!$C$2,"state","SC")&gt;0.0005,GETPIVOTDATA("Total-New",'Distrib pivot table'!$C$2,"state","SC","group","2d1c1")/GETPIVOTDATA("Total-New",'Distrib pivot table'!$C$2,"state","SC"),"*"))</f>
        <v>7.8834150471060391E-3</v>
      </c>
      <c r="Q44" s="418">
        <f>IF((GETPIVOTDATA("Total-New",'Distrib pivot table'!$C$2,"state","TN","group","2d1c1")/GETPIVOTDATA("Total-New",'Distrib pivot table'!$C$2,"state","TN"))=0,,IF(GETPIVOTDATA("Total-New",'Distrib pivot table'!$C$2,"state","TN","group","2d1c1")/GETPIVOTDATA("Total-New",'Distrib pivot table'!$C$2,"state","TN")&gt;0.0005,GETPIVOTDATA("Total-New",'Distrib pivot table'!$C$2,"state","TN","group","2d1c1")/GETPIVOTDATA("Total-New",'Distrib pivot table'!$C$2,"state","TN"),"*"))</f>
        <v>3.7529131329050502E-2</v>
      </c>
      <c r="R44" s="418">
        <f>IF((GETPIVOTDATA("Total-New",'Distrib pivot table'!$C$2,"state","TX","group","2d1c1")/GETPIVOTDATA("Total-New",'Distrib pivot table'!$C$2,"state","TX"))=0,,IF(GETPIVOTDATA("Total-New",'Distrib pivot table'!$C$2,"state","TX","group","2d1c1")/GETPIVOTDATA("Total-New",'Distrib pivot table'!$C$2,"state","TX")&gt;0.0005,GETPIVOTDATA("Total-New",'Distrib pivot table'!$C$2,"state","TX","group","2d1c1")/GETPIVOTDATA("Total-New",'Distrib pivot table'!$C$2,"state","TX"),"*"))</f>
        <v>0</v>
      </c>
      <c r="S44" s="418">
        <f>IF((GETPIVOTDATA("Total-New",'Distrib pivot table'!$C$2,"state","VA","group","2d1c1")/GETPIVOTDATA("Total-New",'Distrib pivot table'!$C$2,"state","VA"))=0,,IF(GETPIVOTDATA("Total-New",'Distrib pivot table'!$C$2,"state","VA","group","2d1c1")/GETPIVOTDATA("Total-New",'Distrib pivot table'!$C$2,"state","VA")&gt;0.0005,GETPIVOTDATA("Total-New",'Distrib pivot table'!$C$2,"state","VA","group","2d1c1")/GETPIVOTDATA("Total-New",'Distrib pivot table'!$C$2,"state","VA"),"*"))</f>
        <v>0</v>
      </c>
      <c r="T44" s="418">
        <f>IF((GETPIVOTDATA("Total-New",'Distrib pivot table'!$C$2,"state","WV","group","2d1c1")/GETPIVOTDATA("Total-New",'Distrib pivot table'!$C$2,"state","WV"))=0,,IF(GETPIVOTDATA("Total-New",'Distrib pivot table'!$C$2,"state","WV","group","2d1c1")/GETPIVOTDATA("Total-New",'Distrib pivot table'!$C$2,"state","WV")&gt;0.0005,GETPIVOTDATA("Total-New",'Distrib pivot table'!$C$2,"state","WV","group","2d1c1")/GETPIVOTDATA("Total-New",'Distrib pivot table'!$C$2,"state","WV"),"*"))</f>
        <v>3.0646492820839043E-2</v>
      </c>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t="12.6" customHeight="1">
      <c r="A45" s="1488"/>
      <c r="B45" s="127" t="s">
        <v>249</v>
      </c>
      <c r="C45" s="374" t="s">
        <v>204</v>
      </c>
      <c r="D45" s="418">
        <f>IF(GETPIVOTDATA("Total-New",'Distrib pivot table'!$C$2,"group","2d1c2")/GETPIVOTDATA("Total-New",'Distrib pivot table'!$C$2)=0,,IF(GETPIVOTDATA("Total-New",'Distrib pivot table'!$C$2,"group","2d1c2")/GETPIVOTDATA("Total-New",'Distrib pivot table'!$C$2)&gt;0.0005,GETPIVOTDATA("Total-New",'Distrib pivot table'!$C$2,"group","2d1c2")/GETPIVOTDATA("Total-New",'Distrib pivot table'!$C$2),"*"))</f>
        <v>1.6167861516126123E-2</v>
      </c>
      <c r="E45" s="418">
        <f>IF((GETPIVOTDATA("Total-New",'Distrib pivot table'!$C$2,"state","AL","group","2d1c2")/GETPIVOTDATA("Total-New",'Distrib pivot table'!$C$2,"state","AL"))=0,,IF(GETPIVOTDATA("Total-New",'Distrib pivot table'!$C$2,"state","AL","group","2d1c2")/GETPIVOTDATA("Total-New",'Distrib pivot table'!$C$2,"state","AL")&gt;0.0005,GETPIVOTDATA("Total-New",'Distrib pivot table'!$C$2,"state","AL","group","2d1c2")/GETPIVOTDATA("Total-New",'Distrib pivot table'!$C$2,"state","AL"),"*"))</f>
        <v>1.6558983261348713E-2</v>
      </c>
      <c r="F45" s="418">
        <f>IF((GETPIVOTDATA("Total-New",'Distrib pivot table'!$C$2,"state","AR","group","2d1c2")/GETPIVOTDATA("Total-New",'Distrib pivot table'!$C$2,"state","AR"))=0,,IF(GETPIVOTDATA("Total-New",'Distrib pivot table'!$C$2,"state","AR","group","2d1c2")/GETPIVOTDATA("Total-New",'Distrib pivot table'!$C$2,"state","AR")&gt;0.0005,GETPIVOTDATA("Total-New",'Distrib pivot table'!$C$2,"state","AR","group","2d1c2")/GETPIVOTDATA("Total-New",'Distrib pivot table'!$C$2,"state","AR"),"*"))</f>
        <v>5.774996541581897E-2</v>
      </c>
      <c r="G45" s="418">
        <f>IF((GETPIVOTDATA("Total-New",'Distrib pivot table'!$C$2,"state","DE","group","2d1c2")/GETPIVOTDATA("Total-New",'Distrib pivot table'!$C$2,"state","DE"))=0,,IF(GETPIVOTDATA("Total-New",'Distrib pivot table'!$C$2,"state","DE","group","2d1c2")/GETPIVOTDATA("Total-New",'Distrib pivot table'!$C$2,"state","DE")&gt;0.0005,GETPIVOTDATA("Total-New",'Distrib pivot table'!$C$2,"state","DE","group","2d1c2")/GETPIVOTDATA("Total-New",'Distrib pivot table'!$C$2,"state","DE"),"*"))</f>
        <v>1.042619301997652E-3</v>
      </c>
      <c r="H45" s="418">
        <f>IF((GETPIVOTDATA("Total-New",'Distrib pivot table'!$C$2,"state","FL","group","2d1c2")/GETPIVOTDATA("Total-New",'Distrib pivot table'!$C$2,"state","FL"))=0,,IF(GETPIVOTDATA("Total-New",'Distrib pivot table'!$C$2,"state","FL","group","2d1c2")/GETPIVOTDATA("Total-New",'Distrib pivot table'!$C$2,"state","FL")&gt;0.0005,GETPIVOTDATA("Total-New",'Distrib pivot table'!$C$2,"state","FL","group","2d1c2")/GETPIVOTDATA("Total-New",'Distrib pivot table'!$C$2,"state","FL"),"*"))</f>
        <v>0</v>
      </c>
      <c r="I45" s="418" t="str">
        <f>IF((GETPIVOTDATA("Total-New",'Distrib pivot table'!$C$2,"state","GA","group","2d1c2")/GETPIVOTDATA("Total-New",'Distrib pivot table'!$C$2,"state","GA"))=0,,IF(GETPIVOTDATA("Total-New",'Distrib pivot table'!$C$2,"state","GA","group","2d1c2")/GETPIVOTDATA("Total-New",'Distrib pivot table'!$C$2,"state","GA")&gt;0.0005,GETPIVOTDATA("Total-New",'Distrib pivot table'!$C$2,"state","GA","group","2d1c2")/GETPIVOTDATA("Total-New",'Distrib pivot table'!$C$2,"state","GA"),"*"))</f>
        <v>*</v>
      </c>
      <c r="J45" s="418">
        <f>IF((GETPIVOTDATA("Total-New",'Distrib pivot table'!$C$2,"state","KY","group","2d1c2")/GETPIVOTDATA("Total-New",'Distrib pivot table'!$C$2,"state","KY"))=0,,IF(GETPIVOTDATA("Total-New",'Distrib pivot table'!$C$2,"state","KY","group","2d1c2")/GETPIVOTDATA("Total-New",'Distrib pivot table'!$C$2,"state","KY")&gt;0.0005,GETPIVOTDATA("Total-New",'Distrib pivot table'!$C$2,"state","KY","group","2d1c2")/GETPIVOTDATA("Total-New",'Distrib pivot table'!$C$2,"state","KY"),"*"))</f>
        <v>3.2111211665627172E-2</v>
      </c>
      <c r="K45" s="418">
        <f>IF((GETPIVOTDATA("Total-New",'Distrib pivot table'!$C$2,"state","LA","group","2d1c2")/GETPIVOTDATA("Total-New",'Distrib pivot table'!$C$2,"state","LA"))=0,,IF(GETPIVOTDATA("Total-New",'Distrib pivot table'!$C$2,"state","LA","group","2d1c2")/GETPIVOTDATA("Total-New",'Distrib pivot table'!$C$2,"state","LA")&gt;0.0005,GETPIVOTDATA("Total-New",'Distrib pivot table'!$C$2,"state","LA","group","2d1c2")/GETPIVOTDATA("Total-New",'Distrib pivot table'!$C$2,"state","LA"),"*"))</f>
        <v>0.10786420301940457</v>
      </c>
      <c r="L45" s="418">
        <f>IF((GETPIVOTDATA("Total-New",'Distrib pivot table'!$C$2,"state","MD","group","2d1c2")/GETPIVOTDATA("Total-New",'Distrib pivot table'!$C$2,"state","MD"))=0,,IF(GETPIVOTDATA("Total-New",'Distrib pivot table'!$C$2,"state","MD","group","2d1c2")/GETPIVOTDATA("Total-New",'Distrib pivot table'!$C$2,"state","MD")&gt;0.0005,GETPIVOTDATA("Total-New",'Distrib pivot table'!$C$2,"state","MD","group","2d1c2")/GETPIVOTDATA("Total-New",'Distrib pivot table'!$C$2,"state","MD"),"*"))</f>
        <v>1.9707706096422617E-3</v>
      </c>
      <c r="M45" s="418">
        <f>IF((GETPIVOTDATA("Total-New",'Distrib pivot table'!$C$2,"state","MS","group","2d1c2")/GETPIVOTDATA("Total-New",'Distrib pivot table'!$C$2,"state","MS"))=0,,IF(GETPIVOTDATA("Total-New",'Distrib pivot table'!$C$2,"state","MS","group","2d1c2")/GETPIVOTDATA("Total-New",'Distrib pivot table'!$C$2,"state","MS")&gt;0.0005,GETPIVOTDATA("Total-New",'Distrib pivot table'!$C$2,"state","MS","group","2d1c2")/GETPIVOTDATA("Total-New",'Distrib pivot table'!$C$2,"state","MS"),"*"))</f>
        <v>6.6048083800613515E-3</v>
      </c>
      <c r="N45" s="418">
        <f>IF((GETPIVOTDATA("Total-New",'Distrib pivot table'!$C$2,"state","NC","group","2d1c2")/GETPIVOTDATA("Total-New",'Distrib pivot table'!$C$2,"state","NC"))=0,,IF(GETPIVOTDATA("Total-New",'Distrib pivot table'!$C$2,"state","NC","group","2d1c2")/GETPIVOTDATA("Total-New",'Distrib pivot table'!$C$2,"state","NC")&gt;0.0005,GETPIVOTDATA("Total-New",'Distrib pivot table'!$C$2,"state","NC","group","2d1c2")/GETPIVOTDATA("Total-New",'Distrib pivot table'!$C$2,"state","NC"),"*"))</f>
        <v>0</v>
      </c>
      <c r="O45" s="418">
        <f>IF((GETPIVOTDATA("Total-New",'Distrib pivot table'!$C$2,"state","OK","group","2d1c2")/GETPIVOTDATA("Total-New",'Distrib pivot table'!$C$2,"state","OK"))=0,,IF(GETPIVOTDATA("Total-New",'Distrib pivot table'!$C$2,"state","OK","group","2d1c2")/GETPIVOTDATA("Total-New",'Distrib pivot table'!$C$2,"state","OK")&gt;0.0005,GETPIVOTDATA("Total-New",'Distrib pivot table'!$C$2,"state","OK","group","2d1c2")/GETPIVOTDATA("Total-New",'Distrib pivot table'!$C$2,"state","OK"),"*"))</f>
        <v>0</v>
      </c>
      <c r="P45" s="418">
        <f>IF((GETPIVOTDATA("Total-New",'Distrib pivot table'!$C$2,"state","SC","group","2d1c2")/GETPIVOTDATA("Total-New",'Distrib pivot table'!$C$2,"state","SC"))=0,,IF(GETPIVOTDATA("Total-New",'Distrib pivot table'!$C$2,"state","SC","group","2d1c2")/GETPIVOTDATA("Total-New",'Distrib pivot table'!$C$2,"state","SC")&gt;0.0005,GETPIVOTDATA("Total-New",'Distrib pivot table'!$C$2,"state","SC","group","2d1c2")/GETPIVOTDATA("Total-New",'Distrib pivot table'!$C$2,"state","SC"),"*"))</f>
        <v>9.1107095901745247E-2</v>
      </c>
      <c r="Q45" s="418">
        <f>IF((GETPIVOTDATA("Total-New",'Distrib pivot table'!$C$2,"state","TN","group","2d1c2")/GETPIVOTDATA("Total-New",'Distrib pivot table'!$C$2,"state","TN"))=0,,IF(GETPIVOTDATA("Total-New",'Distrib pivot table'!$C$2,"state","TN","group","2d1c2")/GETPIVOTDATA("Total-New",'Distrib pivot table'!$C$2,"state","TN")&gt;0.0005,GETPIVOTDATA("Total-New",'Distrib pivot table'!$C$2,"state","TN","group","2d1c2")/GETPIVOTDATA("Total-New",'Distrib pivot table'!$C$2,"state","TN"),"*"))</f>
        <v>5.6637460653170775E-2</v>
      </c>
      <c r="R45" s="418">
        <f>IF((GETPIVOTDATA("Total-New",'Distrib pivot table'!$C$2,"state","TX","group","2d1c2")/GETPIVOTDATA("Total-New",'Distrib pivot table'!$C$2,"state","TX"))=0,,IF(GETPIVOTDATA("Total-New",'Distrib pivot table'!$C$2,"state","TX","group","2d1c2")/GETPIVOTDATA("Total-New",'Distrib pivot table'!$C$2,"state","TX")&gt;0.0005,GETPIVOTDATA("Total-New",'Distrib pivot table'!$C$2,"state","TX","group","2d1c2")/GETPIVOTDATA("Total-New",'Distrib pivot table'!$C$2,"state","TX"),"*"))</f>
        <v>0</v>
      </c>
      <c r="S45" s="418" t="str">
        <f>IF((GETPIVOTDATA("Total-New",'Distrib pivot table'!$C$2,"state","VA","group","2d1c2")/GETPIVOTDATA("Total-New",'Distrib pivot table'!$C$2,"state","VA"))=0,,IF(GETPIVOTDATA("Total-New",'Distrib pivot table'!$C$2,"state","VA","group","2d1c2")/GETPIVOTDATA("Total-New",'Distrib pivot table'!$C$2,"state","VA")&gt;0.0005,GETPIVOTDATA("Total-New",'Distrib pivot table'!$C$2,"state","VA","group","2d1c2")/GETPIVOTDATA("Total-New",'Distrib pivot table'!$C$2,"state","VA"),"*"))</f>
        <v>*</v>
      </c>
      <c r="T45" s="418">
        <f>IF((GETPIVOTDATA("Total-New",'Distrib pivot table'!$C$2,"state","WV","group","2d1c2")/GETPIVOTDATA("Total-New",'Distrib pivot table'!$C$2,"state","WV"))=0,,IF(GETPIVOTDATA("Total-New",'Distrib pivot table'!$C$2,"state","WV","group","2d1c2")/GETPIVOTDATA("Total-New",'Distrib pivot table'!$C$2,"state","WV")&gt;0.0005,GETPIVOTDATA("Total-New",'Distrib pivot table'!$C$2,"state","WV","group","2d1c2")/GETPIVOTDATA("Total-New",'Distrib pivot table'!$C$2,"state","WV"),"*"))</f>
        <v>3.5082067736602801E-2</v>
      </c>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2.6" customHeight="1">
      <c r="A46" s="1488"/>
      <c r="B46" s="127" t="s">
        <v>222</v>
      </c>
      <c r="C46" s="374" t="s">
        <v>205</v>
      </c>
      <c r="D46" s="418">
        <f>IF(GETPIVOTDATA("Total-New",'Distrib pivot table'!$C$2,"group","2d1d")/GETPIVOTDATA("Total-New",'Distrib pivot table'!$C$2)=0,,IF(GETPIVOTDATA("Total-New",'Distrib pivot table'!$C$2,"group","2d1d")/GETPIVOTDATA("Total-New",'Distrib pivot table'!$C$2)&gt;0.0005,GETPIVOTDATA("Total-New",'Distrib pivot table'!$C$2,"group","2d1d")/GETPIVOTDATA("Total-New",'Distrib pivot table'!$C$2),"*"))</f>
        <v>0</v>
      </c>
      <c r="E46" s="418">
        <f>IF((GETPIVOTDATA("Total-New",'Distrib pivot table'!$C$2,"state","AL","group","2d1d")/GETPIVOTDATA("Total-New",'Distrib pivot table'!$C$2,"state","AL"))=0,,IF(GETPIVOTDATA("Total-New",'Distrib pivot table'!$C$2,"state","AL","group","2d1d")/GETPIVOTDATA("Total-New",'Distrib pivot table'!$C$2,"state","AL")&gt;0.0005,GETPIVOTDATA("Total-New",'Distrib pivot table'!$C$2,"state","AL","group","2d1d")/GETPIVOTDATA("Total-New",'Distrib pivot table'!$C$2,"state","AL"),"*"))</f>
        <v>0</v>
      </c>
      <c r="F46" s="418">
        <f>IF((GETPIVOTDATA("Total-New",'Distrib pivot table'!$C$2,"state","AR","group","2d1d")/GETPIVOTDATA("Total-New",'Distrib pivot table'!$C$2,"state","AR"))=0,,IF(GETPIVOTDATA("Total-New",'Distrib pivot table'!$C$2,"state","AR","group","2d1d")/GETPIVOTDATA("Total-New",'Distrib pivot table'!$C$2,"state","AR")&gt;0.0005,GETPIVOTDATA("Total-New",'Distrib pivot table'!$C$2,"state","AR","group","2d1d")/GETPIVOTDATA("Total-New",'Distrib pivot table'!$C$2,"state","AR"),"*"))</f>
        <v>0</v>
      </c>
      <c r="G46" s="418">
        <f>IF((GETPIVOTDATA("Total-New",'Distrib pivot table'!$C$2,"state","DE","group","2d1d")/GETPIVOTDATA("Total-New",'Distrib pivot table'!$C$2,"state","DE"))=0,,IF(GETPIVOTDATA("Total-New",'Distrib pivot table'!$C$2,"state","DE","group","2d1d")/GETPIVOTDATA("Total-New",'Distrib pivot table'!$C$2,"state","DE")&gt;0.0005,GETPIVOTDATA("Total-New",'Distrib pivot table'!$C$2,"state","DE","group","2d1d")/GETPIVOTDATA("Total-New",'Distrib pivot table'!$C$2,"state","DE"),"*"))</f>
        <v>0</v>
      </c>
      <c r="H46" s="418">
        <f>IF((GETPIVOTDATA("Total-New",'Distrib pivot table'!$C$2,"state","FL","group","2d1d")/GETPIVOTDATA("Total-New",'Distrib pivot table'!$C$2,"state","FL"))=0,,IF(GETPIVOTDATA("Total-New",'Distrib pivot table'!$C$2,"state","FL","group","2d1d")/GETPIVOTDATA("Total-New",'Distrib pivot table'!$C$2,"state","FL")&gt;0.0005,GETPIVOTDATA("Total-New",'Distrib pivot table'!$C$2,"state","FL","group","2d1d")/GETPIVOTDATA("Total-New",'Distrib pivot table'!$C$2,"state","FL"),"*"))</f>
        <v>0</v>
      </c>
      <c r="I46" s="418">
        <f>IF((GETPIVOTDATA("Total-New",'Distrib pivot table'!$C$2,"state","GA","group","2d1d")/GETPIVOTDATA("Total-New",'Distrib pivot table'!$C$2,"state","GA"))=0,,IF(GETPIVOTDATA("Total-New",'Distrib pivot table'!$C$2,"state","GA","group","2d1d")/GETPIVOTDATA("Total-New",'Distrib pivot table'!$C$2,"state","GA")&gt;0.0005,GETPIVOTDATA("Total-New",'Distrib pivot table'!$C$2,"state","GA","group","2d1d")/GETPIVOTDATA("Total-New",'Distrib pivot table'!$C$2,"state","GA"),"*"))</f>
        <v>0</v>
      </c>
      <c r="J46" s="418">
        <f>IF((GETPIVOTDATA("Total-New",'Distrib pivot table'!$C$2,"state","KY","group","2d1d")/GETPIVOTDATA("Total-New",'Distrib pivot table'!$C$2,"state","KY"))=0,,IF(GETPIVOTDATA("Total-New",'Distrib pivot table'!$C$2,"state","KY","group","2d1d")/GETPIVOTDATA("Total-New",'Distrib pivot table'!$C$2,"state","KY")&gt;0.0005,GETPIVOTDATA("Total-New",'Distrib pivot table'!$C$2,"state","KY","group","2d1d")/GETPIVOTDATA("Total-New",'Distrib pivot table'!$C$2,"state","KY"),"*"))</f>
        <v>0</v>
      </c>
      <c r="K46" s="418">
        <f>IF((GETPIVOTDATA("Total-New",'Distrib pivot table'!$C$2,"state","LA","group","2d1d")/GETPIVOTDATA("Total-New",'Distrib pivot table'!$C$2,"state","LA"))=0,,IF(GETPIVOTDATA("Total-New",'Distrib pivot table'!$C$2,"state","LA","group","2d1d")/GETPIVOTDATA("Total-New",'Distrib pivot table'!$C$2,"state","LA")&gt;0.0005,GETPIVOTDATA("Total-New",'Distrib pivot table'!$C$2,"state","LA","group","2d1d")/GETPIVOTDATA("Total-New",'Distrib pivot table'!$C$2,"state","LA"),"*"))</f>
        <v>0</v>
      </c>
      <c r="L46" s="418">
        <f>IF((GETPIVOTDATA("Total-New",'Distrib pivot table'!$C$2,"state","MD","group","2d1d")/GETPIVOTDATA("Total-New",'Distrib pivot table'!$C$2,"state","MD"))=0,,IF(GETPIVOTDATA("Total-New",'Distrib pivot table'!$C$2,"state","MD","group","2d1d")/GETPIVOTDATA("Total-New",'Distrib pivot table'!$C$2,"state","MD")&gt;0.0005,GETPIVOTDATA("Total-New",'Distrib pivot table'!$C$2,"state","MD","group","2d1d")/GETPIVOTDATA("Total-New",'Distrib pivot table'!$C$2,"state","MD"),"*"))</f>
        <v>0</v>
      </c>
      <c r="M46" s="418">
        <f>IF((GETPIVOTDATA("Total-New",'Distrib pivot table'!$C$2,"state","MS","group","2d1d")/GETPIVOTDATA("Total-New",'Distrib pivot table'!$C$2,"state","MS"))=0,,IF(GETPIVOTDATA("Total-New",'Distrib pivot table'!$C$2,"state","MS","group","2d1d")/GETPIVOTDATA("Total-New",'Distrib pivot table'!$C$2,"state","MS")&gt;0.0005,GETPIVOTDATA("Total-New",'Distrib pivot table'!$C$2,"state","MS","group","2d1d")/GETPIVOTDATA("Total-New",'Distrib pivot table'!$C$2,"state","MS"),"*"))</f>
        <v>0</v>
      </c>
      <c r="N46" s="418">
        <f>IF((GETPIVOTDATA("Total-New",'Distrib pivot table'!$C$2,"state","NC","group","2d1d")/GETPIVOTDATA("Total-New",'Distrib pivot table'!$C$2,"state","NC"))=0,,IF(GETPIVOTDATA("Total-New",'Distrib pivot table'!$C$2,"state","NC","group","2d1d")/GETPIVOTDATA("Total-New",'Distrib pivot table'!$C$2,"state","NC")&gt;0.0005,GETPIVOTDATA("Total-New",'Distrib pivot table'!$C$2,"state","NC","group","2d1d")/GETPIVOTDATA("Total-New",'Distrib pivot table'!$C$2,"state","NC"),"*"))</f>
        <v>0</v>
      </c>
      <c r="O46" s="418">
        <f>IF((GETPIVOTDATA("Total-New",'Distrib pivot table'!$C$2,"state","OK","group","2d1d")/GETPIVOTDATA("Total-New",'Distrib pivot table'!$C$2,"state","OK"))=0,,IF(GETPIVOTDATA("Total-New",'Distrib pivot table'!$C$2,"state","OK","group","2d1d")/GETPIVOTDATA("Total-New",'Distrib pivot table'!$C$2,"state","OK")&gt;0.0005,GETPIVOTDATA("Total-New",'Distrib pivot table'!$C$2,"state","OK","group","2d1d")/GETPIVOTDATA("Total-New",'Distrib pivot table'!$C$2,"state","OK"),"*"))</f>
        <v>0</v>
      </c>
      <c r="P46" s="418">
        <f>IF((GETPIVOTDATA("Total-New",'Distrib pivot table'!$C$2,"state","SC","group","2d1d")/GETPIVOTDATA("Total-New",'Distrib pivot table'!$C$2,"state","SC"))=0,,IF(GETPIVOTDATA("Total-New",'Distrib pivot table'!$C$2,"state","SC","group","2d1d")/GETPIVOTDATA("Total-New",'Distrib pivot table'!$C$2,"state","SC")&gt;0.0005,GETPIVOTDATA("Total-New",'Distrib pivot table'!$C$2,"state","SC","group","2d1d")/GETPIVOTDATA("Total-New",'Distrib pivot table'!$C$2,"state","SC"),"*"))</f>
        <v>0</v>
      </c>
      <c r="Q46" s="418">
        <f>IF((GETPIVOTDATA("Total-New",'Distrib pivot table'!$C$2,"state","TN","group","2d1d")/GETPIVOTDATA("Total-New",'Distrib pivot table'!$C$2,"state","TN"))=0,,IF(GETPIVOTDATA("Total-New",'Distrib pivot table'!$C$2,"state","TN","group","2d1d")/GETPIVOTDATA("Total-New",'Distrib pivot table'!$C$2,"state","TN")&gt;0.0005,GETPIVOTDATA("Total-New",'Distrib pivot table'!$C$2,"state","TN","group","2d1d")/GETPIVOTDATA("Total-New",'Distrib pivot table'!$C$2,"state","TN"),"*"))</f>
        <v>0</v>
      </c>
      <c r="R46" s="418">
        <f>IF((GETPIVOTDATA("Total-New",'Distrib pivot table'!$C$2,"state","TX","group","2d1d")/GETPIVOTDATA("Total-New",'Distrib pivot table'!$C$2,"state","TX"))=0,,IF(GETPIVOTDATA("Total-New",'Distrib pivot table'!$C$2,"state","TX","group","2d1d")/GETPIVOTDATA("Total-New",'Distrib pivot table'!$C$2,"state","TX")&gt;0.0005,GETPIVOTDATA("Total-New",'Distrib pivot table'!$C$2,"state","TX","group","2d1d")/GETPIVOTDATA("Total-New",'Distrib pivot table'!$C$2,"state","TX"),"*"))</f>
        <v>0</v>
      </c>
      <c r="S46" s="418">
        <f>IF((GETPIVOTDATA("Total-New",'Distrib pivot table'!$C$2,"state","VA","group","2d1d")/GETPIVOTDATA("Total-New",'Distrib pivot table'!$C$2,"state","VA"))=0,,IF(GETPIVOTDATA("Total-New",'Distrib pivot table'!$C$2,"state","VA","group","2d1d")/GETPIVOTDATA("Total-New",'Distrib pivot table'!$C$2,"state","VA")&gt;0.0005,GETPIVOTDATA("Total-New",'Distrib pivot table'!$C$2,"state","VA","group","2d1d")/GETPIVOTDATA("Total-New",'Distrib pivot table'!$C$2,"state","VA"),"*"))</f>
        <v>0</v>
      </c>
      <c r="T46" s="418">
        <f>IF((GETPIVOTDATA("Total-New",'Distrib pivot table'!$C$2,"state","WV","group","2d1d")/GETPIVOTDATA("Total-New",'Distrib pivot table'!$C$2,"state","WV"))=0,,IF(GETPIVOTDATA("Total-New",'Distrib pivot table'!$C$2,"state","WV","group","2d1d")/GETPIVOTDATA("Total-New",'Distrib pivot table'!$C$2,"state","WV")&gt;0.0005,GETPIVOTDATA("Total-New",'Distrib pivot table'!$C$2,"state","WV","group","2d1d")/GETPIVOTDATA("Total-New",'Distrib pivot table'!$C$2,"state","WV"),"*"))</f>
        <v>0</v>
      </c>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2.6" customHeight="1">
      <c r="A47" s="1488"/>
      <c r="B47" s="127" t="s">
        <v>311</v>
      </c>
      <c r="C47" s="374" t="s">
        <v>218</v>
      </c>
      <c r="D47" s="418">
        <f>IF(GETPIVOTDATA("Total-New",'Distrib pivot table'!$C$2,"group","2d1d1")/GETPIVOTDATA("Total-New",'Distrib pivot table'!$C$2)=0,,IF(GETPIVOTDATA("Total-New",'Distrib pivot table'!$C$2,"group","2d1d1")/GETPIVOTDATA("Total-New",'Distrib pivot table'!$C$2)&gt;0.0005,GETPIVOTDATA("Total-New",'Distrib pivot table'!$C$2,"group","2d1d1")/GETPIVOTDATA("Total-New",'Distrib pivot table'!$C$2),"*"))</f>
        <v>1.3281942194944677E-3</v>
      </c>
      <c r="E47" s="418" t="str">
        <f>IF((GETPIVOTDATA("Total-New",'Distrib pivot table'!$C$2,"state","AL","group","2d1d1")/GETPIVOTDATA("Total-New",'Distrib pivot table'!$C$2,"state","AL"))=0,,IF(GETPIVOTDATA("Total-New",'Distrib pivot table'!$C$2,"state","AL","group","2d1d1")/GETPIVOTDATA("Total-New",'Distrib pivot table'!$C$2,"state","AL")&gt;0.0005,GETPIVOTDATA("Total-New",'Distrib pivot table'!$C$2,"state","AL","group","2d1d1")/GETPIVOTDATA("Total-New",'Distrib pivot table'!$C$2,"state","AL"),"*"))</f>
        <v>*</v>
      </c>
      <c r="F47" s="418" t="str">
        <f>IF((GETPIVOTDATA("Total-New",'Distrib pivot table'!$C$2,"state","AR","group","2d1d1")/GETPIVOTDATA("Total-New",'Distrib pivot table'!$C$2,"state","AR"))=0,,IF(GETPIVOTDATA("Total-New",'Distrib pivot table'!$C$2,"state","AR","group","2d1d1")/GETPIVOTDATA("Total-New",'Distrib pivot table'!$C$2,"state","AR")&gt;0.0005,GETPIVOTDATA("Total-New",'Distrib pivot table'!$C$2,"state","AR","group","2d1d1")/GETPIVOTDATA("Total-New",'Distrib pivot table'!$C$2,"state","AR"),"*"))</f>
        <v>*</v>
      </c>
      <c r="G47" s="418" t="str">
        <f>IF((GETPIVOTDATA("Total-New",'Distrib pivot table'!$C$2,"state","DE","group","2d1d1")/GETPIVOTDATA("Total-New",'Distrib pivot table'!$C$2,"state","DE"))=0,,IF(GETPIVOTDATA("Total-New",'Distrib pivot table'!$C$2,"state","DE","group","2d1d1")/GETPIVOTDATA("Total-New",'Distrib pivot table'!$C$2,"state","DE")&gt;0.0005,GETPIVOTDATA("Total-New",'Distrib pivot table'!$C$2,"state","DE","group","2d1d1")/GETPIVOTDATA("Total-New",'Distrib pivot table'!$C$2,"state","DE"),"*"))</f>
        <v>*</v>
      </c>
      <c r="H47" s="418">
        <f>IF((GETPIVOTDATA("Total-New",'Distrib pivot table'!$C$2,"state","FL","group","2d1d1")/GETPIVOTDATA("Total-New",'Distrib pivot table'!$C$2,"state","FL"))=0,,IF(GETPIVOTDATA("Total-New",'Distrib pivot table'!$C$2,"state","FL","group","2d1d1")/GETPIVOTDATA("Total-New",'Distrib pivot table'!$C$2,"state","FL")&gt;0.0005,GETPIVOTDATA("Total-New",'Distrib pivot table'!$C$2,"state","FL","group","2d1d1")/GETPIVOTDATA("Total-New",'Distrib pivot table'!$C$2,"state","FL"),"*"))</f>
        <v>0</v>
      </c>
      <c r="I47" s="418">
        <f>IF((GETPIVOTDATA("Total-New",'Distrib pivot table'!$C$2,"state","GA","group","2d1d1")/GETPIVOTDATA("Total-New",'Distrib pivot table'!$C$2,"state","GA"))=0,,IF(GETPIVOTDATA("Total-New",'Distrib pivot table'!$C$2,"state","GA","group","2d1d1")/GETPIVOTDATA("Total-New",'Distrib pivot table'!$C$2,"state","GA")&gt;0.0005,GETPIVOTDATA("Total-New",'Distrib pivot table'!$C$2,"state","GA","group","2d1d1")/GETPIVOTDATA("Total-New",'Distrib pivot table'!$C$2,"state","GA"),"*"))</f>
        <v>0</v>
      </c>
      <c r="J47" s="418">
        <f>IF((GETPIVOTDATA("Total-New",'Distrib pivot table'!$C$2,"state","KY","group","2d1d1")/GETPIVOTDATA("Total-New",'Distrib pivot table'!$C$2,"state","KY"))=0,,IF(GETPIVOTDATA("Total-New",'Distrib pivot table'!$C$2,"state","KY","group","2d1d1")/GETPIVOTDATA("Total-New",'Distrib pivot table'!$C$2,"state","KY")&gt;0.0005,GETPIVOTDATA("Total-New",'Distrib pivot table'!$C$2,"state","KY","group","2d1d1")/GETPIVOTDATA("Total-New",'Distrib pivot table'!$C$2,"state","KY"),"*"))</f>
        <v>4.9007367632107673E-3</v>
      </c>
      <c r="K47" s="418">
        <f>IF((GETPIVOTDATA("Total-New",'Distrib pivot table'!$C$2,"state","LA","group","2d1d1")/GETPIVOTDATA("Total-New",'Distrib pivot table'!$C$2,"state","LA"))=0,,IF(GETPIVOTDATA("Total-New",'Distrib pivot table'!$C$2,"state","LA","group","2d1d1")/GETPIVOTDATA("Total-New",'Distrib pivot table'!$C$2,"state","LA")&gt;0.0005,GETPIVOTDATA("Total-New",'Distrib pivot table'!$C$2,"state","LA","group","2d1d1")/GETPIVOTDATA("Total-New",'Distrib pivot table'!$C$2,"state","LA"),"*"))</f>
        <v>9.590015209968956E-4</v>
      </c>
      <c r="L47" s="418">
        <f>IF((GETPIVOTDATA("Total-New",'Distrib pivot table'!$C$2,"state","MD","group","2d1d1")/GETPIVOTDATA("Total-New",'Distrib pivot table'!$C$2,"state","MD"))=0,,IF(GETPIVOTDATA("Total-New",'Distrib pivot table'!$C$2,"state","MD","group","2d1d1")/GETPIVOTDATA("Total-New",'Distrib pivot table'!$C$2,"state","MD")&gt;0.0005,GETPIVOTDATA("Total-New",'Distrib pivot table'!$C$2,"state","MD","group","2d1d1")/GETPIVOTDATA("Total-New",'Distrib pivot table'!$C$2,"state","MD"),"*"))</f>
        <v>2.0877868318699027E-3</v>
      </c>
      <c r="M47" s="418">
        <f>IF((GETPIVOTDATA("Total-New",'Distrib pivot table'!$C$2,"state","MS","group","2d1d1")/GETPIVOTDATA("Total-New",'Distrib pivot table'!$C$2,"state","MS"))=0,,IF(GETPIVOTDATA("Total-New",'Distrib pivot table'!$C$2,"state","MS","group","2d1d1")/GETPIVOTDATA("Total-New",'Distrib pivot table'!$C$2,"state","MS")&gt;0.0005,GETPIVOTDATA("Total-New",'Distrib pivot table'!$C$2,"state","MS","group","2d1d1")/GETPIVOTDATA("Total-New",'Distrib pivot table'!$C$2,"state","MS"),"*"))</f>
        <v>5.1208344410255116E-4</v>
      </c>
      <c r="N47" s="418">
        <f>IF((GETPIVOTDATA("Total-New",'Distrib pivot table'!$C$2,"state","NC","group","2d1d1")/GETPIVOTDATA("Total-New",'Distrib pivot table'!$C$2,"state","NC"))=0,,IF(GETPIVOTDATA("Total-New",'Distrib pivot table'!$C$2,"state","NC","group","2d1d1")/GETPIVOTDATA("Total-New",'Distrib pivot table'!$C$2,"state","NC")&gt;0.0005,GETPIVOTDATA("Total-New",'Distrib pivot table'!$C$2,"state","NC","group","2d1d1")/GETPIVOTDATA("Total-New",'Distrib pivot table'!$C$2,"state","NC"),"*"))</f>
        <v>0</v>
      </c>
      <c r="O47" s="418">
        <f>IF((GETPIVOTDATA("Total-New",'Distrib pivot table'!$C$2,"state","OK","group","2d1d1")/GETPIVOTDATA("Total-New",'Distrib pivot table'!$C$2,"state","OK"))=0,,IF(GETPIVOTDATA("Total-New",'Distrib pivot table'!$C$2,"state","OK","group","2d1d1")/GETPIVOTDATA("Total-New",'Distrib pivot table'!$C$2,"state","OK")&gt;0.0005,GETPIVOTDATA("Total-New",'Distrib pivot table'!$C$2,"state","OK","group","2d1d1")/GETPIVOTDATA("Total-New",'Distrib pivot table'!$C$2,"state","OK"),"*"))</f>
        <v>0</v>
      </c>
      <c r="P47" s="418">
        <f>IF((GETPIVOTDATA("Total-New",'Distrib pivot table'!$C$2,"state","SC","group","2d1d1")/GETPIVOTDATA("Total-New",'Distrib pivot table'!$C$2,"state","SC"))=0,,IF(GETPIVOTDATA("Total-New",'Distrib pivot table'!$C$2,"state","SC","group","2d1d1")/GETPIVOTDATA("Total-New",'Distrib pivot table'!$C$2,"state","SC")&gt;0.0005,GETPIVOTDATA("Total-New",'Distrib pivot table'!$C$2,"state","SC","group","2d1d1")/GETPIVOTDATA("Total-New",'Distrib pivot table'!$C$2,"state","SC"),"*"))</f>
        <v>1.7804927234527778E-3</v>
      </c>
      <c r="Q47" s="418">
        <f>IF((GETPIVOTDATA("Total-New",'Distrib pivot table'!$C$2,"state","TN","group","2d1d1")/GETPIVOTDATA("Total-New",'Distrib pivot table'!$C$2,"state","TN"))=0,,IF(GETPIVOTDATA("Total-New",'Distrib pivot table'!$C$2,"state","TN","group","2d1d1")/GETPIVOTDATA("Total-New",'Distrib pivot table'!$C$2,"state","TN")&gt;0.0005,GETPIVOTDATA("Total-New",'Distrib pivot table'!$C$2,"state","TN","group","2d1d1")/GETPIVOTDATA("Total-New",'Distrib pivot table'!$C$2,"state","TN"),"*"))</f>
        <v>1.4653280746089285E-2</v>
      </c>
      <c r="R47" s="418">
        <f>IF((GETPIVOTDATA("Total-New",'Distrib pivot table'!$C$2,"state","TX","group","2d1d1")/GETPIVOTDATA("Total-New",'Distrib pivot table'!$C$2,"state","TX"))=0,,IF(GETPIVOTDATA("Total-New",'Distrib pivot table'!$C$2,"state","TX","group","2d1d1")/GETPIVOTDATA("Total-New",'Distrib pivot table'!$C$2,"state","TX")&gt;0.0005,GETPIVOTDATA("Total-New",'Distrib pivot table'!$C$2,"state","TX","group","2d1d1")/GETPIVOTDATA("Total-New",'Distrib pivot table'!$C$2,"state","TX"),"*"))</f>
        <v>0</v>
      </c>
      <c r="S47" s="418">
        <f>IF((GETPIVOTDATA("Total-New",'Distrib pivot table'!$C$2,"state","VA","group","2d1d1")/GETPIVOTDATA("Total-New",'Distrib pivot table'!$C$2,"state","VA"))=0,,IF(GETPIVOTDATA("Total-New",'Distrib pivot table'!$C$2,"state","VA","group","2d1d1")/GETPIVOTDATA("Total-New",'Distrib pivot table'!$C$2,"state","VA")&gt;0.0005,GETPIVOTDATA("Total-New",'Distrib pivot table'!$C$2,"state","VA","group","2d1d1")/GETPIVOTDATA("Total-New",'Distrib pivot table'!$C$2,"state","VA"),"*"))</f>
        <v>0</v>
      </c>
      <c r="T47" s="418">
        <f>IF((GETPIVOTDATA("Total-New",'Distrib pivot table'!$C$2,"state","WV","group","2d1d1")/GETPIVOTDATA("Total-New",'Distrib pivot table'!$C$2,"state","WV"))=0,,IF(GETPIVOTDATA("Total-New",'Distrib pivot table'!$C$2,"state","WV","group","2d1d1")/GETPIVOTDATA("Total-New",'Distrib pivot table'!$C$2,"state","WV")&gt;0.0005,GETPIVOTDATA("Total-New",'Distrib pivot table'!$C$2,"state","WV","group","2d1d1")/GETPIVOTDATA("Total-New",'Distrib pivot table'!$C$2,"state","WV"),"*"))</f>
        <v>4.6520361397250094E-3</v>
      </c>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2.6" customHeight="1">
      <c r="A48" s="1488"/>
      <c r="B48" s="127" t="s">
        <v>249</v>
      </c>
      <c r="C48" s="374" t="s">
        <v>219</v>
      </c>
      <c r="D48" s="418">
        <f>IF(GETPIVOTDATA("Total-New",'Distrib pivot table'!$C$2,"group","2d1d2")/GETPIVOTDATA("Total-New",'Distrib pivot table'!$C$2)=0,,IF(GETPIVOTDATA("Total-New",'Distrib pivot table'!$C$2,"group","2d1d2")/GETPIVOTDATA("Total-New",'Distrib pivot table'!$C$2)&gt;0.0005,GETPIVOTDATA("Total-New",'Distrib pivot table'!$C$2,"group","2d1d2")/GETPIVOTDATA("Total-New",'Distrib pivot table'!$C$2),"*"))</f>
        <v>2.4267578735746561E-3</v>
      </c>
      <c r="E48" s="418" t="str">
        <f>IF((GETPIVOTDATA("Total-New",'Distrib pivot table'!$C$2,"state","AL","group","2d1d2")/GETPIVOTDATA("Total-New",'Distrib pivot table'!$C$2,"state","AL"))=0,,IF(GETPIVOTDATA("Total-New",'Distrib pivot table'!$C$2,"state","AL","group","2d1d2")/GETPIVOTDATA("Total-New",'Distrib pivot table'!$C$2,"state","AL")&gt;0.0005,GETPIVOTDATA("Total-New",'Distrib pivot table'!$C$2,"state","AL","group","2d1d2")/GETPIVOTDATA("Total-New",'Distrib pivot table'!$C$2,"state","AL"),"*"))</f>
        <v>*</v>
      </c>
      <c r="F48" s="418">
        <f>IF((GETPIVOTDATA("Total-New",'Distrib pivot table'!$C$2,"state","AR","group","2d1d2")/GETPIVOTDATA("Total-New",'Distrib pivot table'!$C$2,"state","AR"))=0,,IF(GETPIVOTDATA("Total-New",'Distrib pivot table'!$C$2,"state","AR","group","2d1d2")/GETPIVOTDATA("Total-New",'Distrib pivot table'!$C$2,"state","AR")&gt;0.0005,GETPIVOTDATA("Total-New",'Distrib pivot table'!$C$2,"state","AR","group","2d1d2")/GETPIVOTDATA("Total-New",'Distrib pivot table'!$C$2,"state","AR"),"*"))</f>
        <v>8.4127574920987245E-3</v>
      </c>
      <c r="G48" s="418">
        <f>IF((GETPIVOTDATA("Total-New",'Distrib pivot table'!$C$2,"state","DE","group","2d1d2")/GETPIVOTDATA("Total-New",'Distrib pivot table'!$C$2,"state","DE"))=0,,IF(GETPIVOTDATA("Total-New",'Distrib pivot table'!$C$2,"state","DE","group","2d1d2")/GETPIVOTDATA("Total-New",'Distrib pivot table'!$C$2,"state","DE")&gt;0.0005,GETPIVOTDATA("Total-New",'Distrib pivot table'!$C$2,"state","DE","group","2d1d2")/GETPIVOTDATA("Total-New",'Distrib pivot table'!$C$2,"state","DE"),"*"))</f>
        <v>5.5584924928566608E-4</v>
      </c>
      <c r="H48" s="418">
        <f>IF((GETPIVOTDATA("Total-New",'Distrib pivot table'!$C$2,"state","FL","group","2d1d2")/GETPIVOTDATA("Total-New",'Distrib pivot table'!$C$2,"state","FL"))=0,,IF(GETPIVOTDATA("Total-New",'Distrib pivot table'!$C$2,"state","FL","group","2d1d2")/GETPIVOTDATA("Total-New",'Distrib pivot table'!$C$2,"state","FL")&gt;0.0005,GETPIVOTDATA("Total-New",'Distrib pivot table'!$C$2,"state","FL","group","2d1d2")/GETPIVOTDATA("Total-New",'Distrib pivot table'!$C$2,"state","FL"),"*"))</f>
        <v>0</v>
      </c>
      <c r="I48" s="418" t="str">
        <f>IF((GETPIVOTDATA("Total-New",'Distrib pivot table'!$C$2,"state","GA","group","2d1d2")/GETPIVOTDATA("Total-New",'Distrib pivot table'!$C$2,"state","GA"))=0,,IF(GETPIVOTDATA("Total-New",'Distrib pivot table'!$C$2,"state","GA","group","2d1d2")/GETPIVOTDATA("Total-New",'Distrib pivot table'!$C$2,"state","GA")&gt;0.0005,GETPIVOTDATA("Total-New",'Distrib pivot table'!$C$2,"state","GA","group","2d1d2")/GETPIVOTDATA("Total-New",'Distrib pivot table'!$C$2,"state","GA"),"*"))</f>
        <v>*</v>
      </c>
      <c r="J48" s="418">
        <f>IF((GETPIVOTDATA("Total-New",'Distrib pivot table'!$C$2,"state","KY","group","2d1d2")/GETPIVOTDATA("Total-New",'Distrib pivot table'!$C$2,"state","KY"))=0,,IF(GETPIVOTDATA("Total-New",'Distrib pivot table'!$C$2,"state","KY","group","2d1d2")/GETPIVOTDATA("Total-New",'Distrib pivot table'!$C$2,"state","KY")&gt;0.0005,GETPIVOTDATA("Total-New",'Distrib pivot table'!$C$2,"state","KY","group","2d1d2")/GETPIVOTDATA("Total-New",'Distrib pivot table'!$C$2,"state","KY"),"*"))</f>
        <v>6.6609910837740387E-3</v>
      </c>
      <c r="K48" s="418">
        <f>IF((GETPIVOTDATA("Total-New",'Distrib pivot table'!$C$2,"state","LA","group","2d1d2")/GETPIVOTDATA("Total-New",'Distrib pivot table'!$C$2,"state","LA"))=0,,IF(GETPIVOTDATA("Total-New",'Distrib pivot table'!$C$2,"state","LA","group","2d1d2")/GETPIVOTDATA("Total-New",'Distrib pivot table'!$C$2,"state","LA")&gt;0.0005,GETPIVOTDATA("Total-New",'Distrib pivot table'!$C$2,"state","LA","group","2d1d2")/GETPIVOTDATA("Total-New",'Distrib pivot table'!$C$2,"state","LA"),"*"))</f>
        <v>7.1981672034637937E-3</v>
      </c>
      <c r="L48" s="418" t="str">
        <f>IF((GETPIVOTDATA("Total-New",'Distrib pivot table'!$C$2,"state","MD","group","2d1d2")/GETPIVOTDATA("Total-New",'Distrib pivot table'!$C$2,"state","MD"))=0,,IF(GETPIVOTDATA("Total-New",'Distrib pivot table'!$C$2,"state","MD","group","2d1d2")/GETPIVOTDATA("Total-New",'Distrib pivot table'!$C$2,"state","MD")&gt;0.0005,GETPIVOTDATA("Total-New",'Distrib pivot table'!$C$2,"state","MD","group","2d1d2")/GETPIVOTDATA("Total-New",'Distrib pivot table'!$C$2,"state","MD"),"*"))</f>
        <v>*</v>
      </c>
      <c r="M48" s="418">
        <f>IF((GETPIVOTDATA("Total-New",'Distrib pivot table'!$C$2,"state","MS","group","2d1d2")/GETPIVOTDATA("Total-New",'Distrib pivot table'!$C$2,"state","MS"))=0,,IF(GETPIVOTDATA("Total-New",'Distrib pivot table'!$C$2,"state","MS","group","2d1d2")/GETPIVOTDATA("Total-New",'Distrib pivot table'!$C$2,"state","MS")&gt;0.0005,GETPIVOTDATA("Total-New",'Distrib pivot table'!$C$2,"state","MS","group","2d1d2")/GETPIVOTDATA("Total-New",'Distrib pivot table'!$C$2,"state","MS"),"*"))</f>
        <v>1.7062326459004614E-3</v>
      </c>
      <c r="N48" s="418">
        <f>IF((GETPIVOTDATA("Total-New",'Distrib pivot table'!$C$2,"state","NC","group","2d1d2")/GETPIVOTDATA("Total-New",'Distrib pivot table'!$C$2,"state","NC"))=0,,IF(GETPIVOTDATA("Total-New",'Distrib pivot table'!$C$2,"state","NC","group","2d1d2")/GETPIVOTDATA("Total-New",'Distrib pivot table'!$C$2,"state","NC")&gt;0.0005,GETPIVOTDATA("Total-New",'Distrib pivot table'!$C$2,"state","NC","group","2d1d2")/GETPIVOTDATA("Total-New",'Distrib pivot table'!$C$2,"state","NC"),"*"))</f>
        <v>0</v>
      </c>
      <c r="O48" s="418">
        <f>IF((GETPIVOTDATA("Total-New",'Distrib pivot table'!$C$2,"state","OK","group","2d1d2")/GETPIVOTDATA("Total-New",'Distrib pivot table'!$C$2,"state","OK"))=0,,IF(GETPIVOTDATA("Total-New",'Distrib pivot table'!$C$2,"state","OK","group","2d1d2")/GETPIVOTDATA("Total-New",'Distrib pivot table'!$C$2,"state","OK")&gt;0.0005,GETPIVOTDATA("Total-New",'Distrib pivot table'!$C$2,"state","OK","group","2d1d2")/GETPIVOTDATA("Total-New",'Distrib pivot table'!$C$2,"state","OK"),"*"))</f>
        <v>0</v>
      </c>
      <c r="P48" s="418">
        <f>IF((GETPIVOTDATA("Total-New",'Distrib pivot table'!$C$2,"state","SC","group","2d1d2")/GETPIVOTDATA("Total-New",'Distrib pivot table'!$C$2,"state","SC"))=0,,IF(GETPIVOTDATA("Total-New",'Distrib pivot table'!$C$2,"state","SC","group","2d1d2")/GETPIVOTDATA("Total-New",'Distrib pivot table'!$C$2,"state","SC")&gt;0.0005,GETPIVOTDATA("Total-New",'Distrib pivot table'!$C$2,"state","SC","group","2d1d2")/GETPIVOTDATA("Total-New",'Distrib pivot table'!$C$2,"state","SC"),"*"))</f>
        <v>1.6489624918973315E-2</v>
      </c>
      <c r="Q48" s="418">
        <f>IF((GETPIVOTDATA("Total-New",'Distrib pivot table'!$C$2,"state","TN","group","2d1d2")/GETPIVOTDATA("Total-New",'Distrib pivot table'!$C$2,"state","TN"))=0,,IF(GETPIVOTDATA("Total-New",'Distrib pivot table'!$C$2,"state","TN","group","2d1d2")/GETPIVOTDATA("Total-New",'Distrib pivot table'!$C$2,"state","TN")&gt;0.0005,GETPIVOTDATA("Total-New",'Distrib pivot table'!$C$2,"state","TN","group","2d1d2")/GETPIVOTDATA("Total-New",'Distrib pivot table'!$C$2,"state","TN"),"*"))</f>
        <v>1.3387989343884545E-2</v>
      </c>
      <c r="R48" s="418">
        <f>IF((GETPIVOTDATA("Total-New",'Distrib pivot table'!$C$2,"state","TX","group","2d1d2")/GETPIVOTDATA("Total-New",'Distrib pivot table'!$C$2,"state","TX"))=0,,IF(GETPIVOTDATA("Total-New",'Distrib pivot table'!$C$2,"state","TX","group","2d1d2")/GETPIVOTDATA("Total-New",'Distrib pivot table'!$C$2,"state","TX")&gt;0.0005,GETPIVOTDATA("Total-New",'Distrib pivot table'!$C$2,"state","TX","group","2d1d2")/GETPIVOTDATA("Total-New",'Distrib pivot table'!$C$2,"state","TX"),"*"))</f>
        <v>0</v>
      </c>
      <c r="S48" s="418">
        <f>IF((GETPIVOTDATA("Total-New",'Distrib pivot table'!$C$2,"state","VA","group","2d1d2")/GETPIVOTDATA("Total-New",'Distrib pivot table'!$C$2,"state","VA"))=0,,IF(GETPIVOTDATA("Total-New",'Distrib pivot table'!$C$2,"state","VA","group","2d1d2")/GETPIVOTDATA("Total-New",'Distrib pivot table'!$C$2,"state","VA")&gt;0.0005,GETPIVOTDATA("Total-New",'Distrib pivot table'!$C$2,"state","VA","group","2d1d2")/GETPIVOTDATA("Total-New",'Distrib pivot table'!$C$2,"state","VA"),"*"))</f>
        <v>0</v>
      </c>
      <c r="T48" s="418">
        <f>IF((GETPIVOTDATA("Total-New",'Distrib pivot table'!$C$2,"state","WV","group","2d1d2")/GETPIVOTDATA("Total-New",'Distrib pivot table'!$C$2,"state","WV"))=0,,IF(GETPIVOTDATA("Total-New",'Distrib pivot table'!$C$2,"state","WV","group","2d1d2")/GETPIVOTDATA("Total-New",'Distrib pivot table'!$C$2,"state","WV")&gt;0.0005,GETPIVOTDATA("Total-New",'Distrib pivot table'!$C$2,"state","WV","group","2d1d2")/GETPIVOTDATA("Total-New",'Distrib pivot table'!$C$2,"state","WV"),"*"))</f>
        <v>4.0295158523829758E-3</v>
      </c>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2.6" customHeight="1">
      <c r="A49" s="1488"/>
      <c r="B49" s="127" t="s">
        <v>121</v>
      </c>
      <c r="C49" s="374" t="s">
        <v>293</v>
      </c>
      <c r="D49" s="418" t="str">
        <f>IF(GETPIVOTDATA("Total-New",'Distrib pivot table'!$C$2,"group","2d2")/GETPIVOTDATA("Total-New",'Distrib pivot table'!$C$2)=0,,IF(GETPIVOTDATA("Total-New",'Distrib pivot table'!$C$2,"group","2d2")/GETPIVOTDATA("Total-New",'Distrib pivot table'!$C$2)&gt;0.0005,GETPIVOTDATA("Total-New",'Distrib pivot table'!$C$2,"group","2d2")/GETPIVOTDATA("Total-New",'Distrib pivot table'!$C$2),"*"))</f>
        <v>*</v>
      </c>
      <c r="E49" s="418">
        <f>IF((GETPIVOTDATA("Total-New",'Distrib pivot table'!$C$2,"state","AL","group","2d2")/GETPIVOTDATA("Total-New",'Distrib pivot table'!$C$2,"state","AL"))=0,,IF(GETPIVOTDATA("Total-New",'Distrib pivot table'!$C$2,"state","AL","group","2d2")/GETPIVOTDATA("Total-New",'Distrib pivot table'!$C$2,"state","AL")&gt;0.0005,GETPIVOTDATA("Total-New",'Distrib pivot table'!$C$2,"state","AL","group","2d2")/GETPIVOTDATA("Total-New",'Distrib pivot table'!$C$2,"state","AL"),"*"))</f>
        <v>0</v>
      </c>
      <c r="F49" s="418">
        <f>IF((GETPIVOTDATA("Total-New",'Distrib pivot table'!$C$2,"state","AR","group","2d2")/GETPIVOTDATA("Total-New",'Distrib pivot table'!$C$2,"state","AR"))=0,,IF(GETPIVOTDATA("Total-New",'Distrib pivot table'!$C$2,"state","AR","group","2d2")/GETPIVOTDATA("Total-New",'Distrib pivot table'!$C$2,"state","AR")&gt;0.0005,GETPIVOTDATA("Total-New",'Distrib pivot table'!$C$2,"state","AR","group","2d2")/GETPIVOTDATA("Total-New",'Distrib pivot table'!$C$2,"state","AR"),"*"))</f>
        <v>0</v>
      </c>
      <c r="G49" s="418">
        <f>IF((GETPIVOTDATA("Total-New",'Distrib pivot table'!$C$2,"state","DE","group","2d2")/GETPIVOTDATA("Total-New",'Distrib pivot table'!$C$2,"state","DE"))=0,,IF(GETPIVOTDATA("Total-New",'Distrib pivot table'!$C$2,"state","DE","group","2d2")/GETPIVOTDATA("Total-New",'Distrib pivot table'!$C$2,"state","DE")&gt;0.0005,GETPIVOTDATA("Total-New",'Distrib pivot table'!$C$2,"state","DE","group","2d2")/GETPIVOTDATA("Total-New",'Distrib pivot table'!$C$2,"state","DE"),"*"))</f>
        <v>0</v>
      </c>
      <c r="H49" s="418">
        <f>IF((GETPIVOTDATA("Total-New",'Distrib pivot table'!$C$2,"state","FL","group","2d2")/GETPIVOTDATA("Total-New",'Distrib pivot table'!$C$2,"state","FL"))=0,,IF(GETPIVOTDATA("Total-New",'Distrib pivot table'!$C$2,"state","FL","group","2d2")/GETPIVOTDATA("Total-New",'Distrib pivot table'!$C$2,"state","FL")&gt;0.0005,GETPIVOTDATA("Total-New",'Distrib pivot table'!$C$2,"state","FL","group","2d2")/GETPIVOTDATA("Total-New",'Distrib pivot table'!$C$2,"state","FL"),"*"))</f>
        <v>0</v>
      </c>
      <c r="I49" s="418">
        <f>IF((GETPIVOTDATA("Total-New",'Distrib pivot table'!$C$2,"state","GA","group","2d2")/GETPIVOTDATA("Total-New",'Distrib pivot table'!$C$2,"state","GA"))=0,,IF(GETPIVOTDATA("Total-New",'Distrib pivot table'!$C$2,"state","GA","group","2d2")/GETPIVOTDATA("Total-New",'Distrib pivot table'!$C$2,"state","GA")&gt;0.0005,GETPIVOTDATA("Total-New",'Distrib pivot table'!$C$2,"state","GA","group","2d2")/GETPIVOTDATA("Total-New",'Distrib pivot table'!$C$2,"state","GA"),"*"))</f>
        <v>0</v>
      </c>
      <c r="J49" s="418">
        <f>IF((GETPIVOTDATA("Total-New",'Distrib pivot table'!$C$2,"state","KY","group","2d2")/GETPIVOTDATA("Total-New",'Distrib pivot table'!$C$2,"state","KY"))=0,,IF(GETPIVOTDATA("Total-New",'Distrib pivot table'!$C$2,"state","KY","group","2d2")/GETPIVOTDATA("Total-New",'Distrib pivot table'!$C$2,"state","KY")&gt;0.0005,GETPIVOTDATA("Total-New",'Distrib pivot table'!$C$2,"state","KY","group","2d2")/GETPIVOTDATA("Total-New",'Distrib pivot table'!$C$2,"state","KY"),"*"))</f>
        <v>0</v>
      </c>
      <c r="K49" s="418">
        <f>IF((GETPIVOTDATA("Total-New",'Distrib pivot table'!$C$2,"state","LA","group","2d2")/GETPIVOTDATA("Total-New",'Distrib pivot table'!$C$2,"state","LA"))=0,,IF(GETPIVOTDATA("Total-New",'Distrib pivot table'!$C$2,"state","LA","group","2d2")/GETPIVOTDATA("Total-New",'Distrib pivot table'!$C$2,"state","LA")&gt;0.0005,GETPIVOTDATA("Total-New",'Distrib pivot table'!$C$2,"state","LA","group","2d2")/GETPIVOTDATA("Total-New",'Distrib pivot table'!$C$2,"state","LA"),"*"))</f>
        <v>0</v>
      </c>
      <c r="L49" s="418">
        <f>IF((GETPIVOTDATA("Total-New",'Distrib pivot table'!$C$2,"state","MD","group","2d2")/GETPIVOTDATA("Total-New",'Distrib pivot table'!$C$2,"state","MD"))=0,,IF(GETPIVOTDATA("Total-New",'Distrib pivot table'!$C$2,"state","MD","group","2d2")/GETPIVOTDATA("Total-New",'Distrib pivot table'!$C$2,"state","MD")&gt;0.0005,GETPIVOTDATA("Total-New",'Distrib pivot table'!$C$2,"state","MD","group","2d2")/GETPIVOTDATA("Total-New",'Distrib pivot table'!$C$2,"state","MD"),"*"))</f>
        <v>0</v>
      </c>
      <c r="M49" s="418">
        <f>IF((GETPIVOTDATA("Total-New",'Distrib pivot table'!$C$2,"state","MS","group","2d2")/GETPIVOTDATA("Total-New",'Distrib pivot table'!$C$2,"state","MS"))=0,,IF(GETPIVOTDATA("Total-New",'Distrib pivot table'!$C$2,"state","MS","group","2d2")/GETPIVOTDATA("Total-New",'Distrib pivot table'!$C$2,"state","MS")&gt;0.0005,GETPIVOTDATA("Total-New",'Distrib pivot table'!$C$2,"state","MS","group","2d2")/GETPIVOTDATA("Total-New",'Distrib pivot table'!$C$2,"state","MS"),"*"))</f>
        <v>0</v>
      </c>
      <c r="N49" s="418">
        <f>IF((GETPIVOTDATA("Total-New",'Distrib pivot table'!$C$2,"state","NC","group","2d2")/GETPIVOTDATA("Total-New",'Distrib pivot table'!$C$2,"state","NC"))=0,,IF(GETPIVOTDATA("Total-New",'Distrib pivot table'!$C$2,"state","NC","group","2d2")/GETPIVOTDATA("Total-New",'Distrib pivot table'!$C$2,"state","NC")&gt;0.0005,GETPIVOTDATA("Total-New",'Distrib pivot table'!$C$2,"state","NC","group","2d2")/GETPIVOTDATA("Total-New",'Distrib pivot table'!$C$2,"state","NC"),"*"))</f>
        <v>0</v>
      </c>
      <c r="O49" s="418">
        <f>IF((GETPIVOTDATA("Total-New",'Distrib pivot table'!$C$2,"state","OK","group","2d2")/GETPIVOTDATA("Total-New",'Distrib pivot table'!$C$2,"state","OK"))=0,,IF(GETPIVOTDATA("Total-New",'Distrib pivot table'!$C$2,"state","OK","group","2d2")/GETPIVOTDATA("Total-New",'Distrib pivot table'!$C$2,"state","OK")&gt;0.0005,GETPIVOTDATA("Total-New",'Distrib pivot table'!$C$2,"state","OK","group","2d2")/GETPIVOTDATA("Total-New",'Distrib pivot table'!$C$2,"state","OK"),"*"))</f>
        <v>0</v>
      </c>
      <c r="P49" s="418">
        <f>IF((GETPIVOTDATA("Total-New",'Distrib pivot table'!$C$2,"state","SC","group","2d2")/GETPIVOTDATA("Total-New",'Distrib pivot table'!$C$2,"state","SC"))=0,,IF(GETPIVOTDATA("Total-New",'Distrib pivot table'!$C$2,"state","SC","group","2d2")/GETPIVOTDATA("Total-New",'Distrib pivot table'!$C$2,"state","SC")&gt;0.0005,GETPIVOTDATA("Total-New",'Distrib pivot table'!$C$2,"state","SC","group","2d2")/GETPIVOTDATA("Total-New",'Distrib pivot table'!$C$2,"state","SC"),"*"))</f>
        <v>0</v>
      </c>
      <c r="Q49" s="418">
        <f>IF((GETPIVOTDATA("Total-New",'Distrib pivot table'!$C$2,"state","TN","group","2d2")/GETPIVOTDATA("Total-New",'Distrib pivot table'!$C$2,"state","TN"))=0,,IF(GETPIVOTDATA("Total-New",'Distrib pivot table'!$C$2,"state","TN","group","2d2")/GETPIVOTDATA("Total-New",'Distrib pivot table'!$C$2,"state","TN")&gt;0.0005,GETPIVOTDATA("Total-New",'Distrib pivot table'!$C$2,"state","TN","group","2d2")/GETPIVOTDATA("Total-New",'Distrib pivot table'!$C$2,"state","TN"),"*"))</f>
        <v>0</v>
      </c>
      <c r="R49" s="418">
        <f>IF((GETPIVOTDATA("Total-New",'Distrib pivot table'!$C$2,"state","TX","group","2d2")/GETPIVOTDATA("Total-New",'Distrib pivot table'!$C$2,"state","TX"))=0,,IF(GETPIVOTDATA("Total-New",'Distrib pivot table'!$C$2,"state","TX","group","2d2")/GETPIVOTDATA("Total-New",'Distrib pivot table'!$C$2,"state","TX")&gt;0.0005,GETPIVOTDATA("Total-New",'Distrib pivot table'!$C$2,"state","TX","group","2d2")/GETPIVOTDATA("Total-New",'Distrib pivot table'!$C$2,"state","TX"),"*"))</f>
        <v>0</v>
      </c>
      <c r="S49" s="418" t="str">
        <f>IF((GETPIVOTDATA("Total-New",'Distrib pivot table'!$C$2,"state","VA","group","2d2")/GETPIVOTDATA("Total-New",'Distrib pivot table'!$C$2,"state","VA"))=0,,IF(GETPIVOTDATA("Total-New",'Distrib pivot table'!$C$2,"state","VA","group","2d2")/GETPIVOTDATA("Total-New",'Distrib pivot table'!$C$2,"state","VA")&gt;0.0005,GETPIVOTDATA("Total-New",'Distrib pivot table'!$C$2,"state","VA","group","2d2")/GETPIVOTDATA("Total-New",'Distrib pivot table'!$C$2,"state","VA"),"*"))</f>
        <v>*</v>
      </c>
      <c r="T49" s="418">
        <f>IF((GETPIVOTDATA("Total-New",'Distrib pivot table'!$C$2,"state","WV","group","2d2")/GETPIVOTDATA("Total-New",'Distrib pivot table'!$C$2,"state","WV"))=0,,IF(GETPIVOTDATA("Total-New",'Distrib pivot table'!$C$2,"state","WV","group","2d2")/GETPIVOTDATA("Total-New",'Distrib pivot table'!$C$2,"state","WV")&gt;0.0005,GETPIVOTDATA("Total-New",'Distrib pivot table'!$C$2,"state","WV","group","2d2")/GETPIVOTDATA("Total-New",'Distrib pivot table'!$C$2,"state","WV"),"*"))</f>
        <v>0</v>
      </c>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2.6" customHeight="1">
      <c r="A50" s="1488"/>
      <c r="B50" s="127" t="s">
        <v>311</v>
      </c>
      <c r="C50" s="374" t="s">
        <v>252</v>
      </c>
      <c r="D50" s="418">
        <f>IF(GETPIVOTDATA("Total-New",'Distrib pivot table'!$C$2,"group","2d2a")/GETPIVOTDATA("Total-New",'Distrib pivot table'!$C$2)=0,,IF(GETPIVOTDATA("Total-New",'Distrib pivot table'!$C$2,"group","2d2a")/GETPIVOTDATA("Total-New",'Distrib pivot table'!$C$2)&gt;0.0005,GETPIVOTDATA("Total-New",'Distrib pivot table'!$C$2,"group","2d2a")/GETPIVOTDATA("Total-New",'Distrib pivot table'!$C$2),"*"))</f>
        <v>7.63080604209063E-3</v>
      </c>
      <c r="E50" s="418">
        <f>IF((GETPIVOTDATA("Total-New",'Distrib pivot table'!$C$2,"state","AL","group","2d2a")/GETPIVOTDATA("Total-New",'Distrib pivot table'!$C$2,"state","AL"))=0,,IF(GETPIVOTDATA("Total-New",'Distrib pivot table'!$C$2,"state","AL","group","2d2a")/GETPIVOTDATA("Total-New",'Distrib pivot table'!$C$2,"state","AL")&gt;0.0005,GETPIVOTDATA("Total-New",'Distrib pivot table'!$C$2,"state","AL","group","2d2a")/GETPIVOTDATA("Total-New",'Distrib pivot table'!$C$2,"state","AL"),"*"))</f>
        <v>0</v>
      </c>
      <c r="F50" s="418">
        <f>IF((GETPIVOTDATA("Total-New",'Distrib pivot table'!$C$2,"state","AR","group","2d2a")/GETPIVOTDATA("Total-New",'Distrib pivot table'!$C$2,"state","AR"))=0,,IF(GETPIVOTDATA("Total-New",'Distrib pivot table'!$C$2,"state","AR","group","2d2a")/GETPIVOTDATA("Total-New",'Distrib pivot table'!$C$2,"state","AR")&gt;0.0005,GETPIVOTDATA("Total-New",'Distrib pivot table'!$C$2,"state","AR","group","2d2a")/GETPIVOTDATA("Total-New",'Distrib pivot table'!$C$2,"state","AR"),"*"))</f>
        <v>0</v>
      </c>
      <c r="G50" s="418">
        <f>IF((GETPIVOTDATA("Total-New",'Distrib pivot table'!$C$2,"state","DE","group","2d2a")/GETPIVOTDATA("Total-New",'Distrib pivot table'!$C$2,"state","DE"))=0,,IF(GETPIVOTDATA("Total-New",'Distrib pivot table'!$C$2,"state","DE","group","2d2a")/GETPIVOTDATA("Total-New",'Distrib pivot table'!$C$2,"state","DE")&gt;0.0005,GETPIVOTDATA("Total-New",'Distrib pivot table'!$C$2,"state","DE","group","2d2a")/GETPIVOTDATA("Total-New",'Distrib pivot table'!$C$2,"state","DE"),"*"))</f>
        <v>0</v>
      </c>
      <c r="H50" s="418">
        <f>IF((GETPIVOTDATA("Total-New",'Distrib pivot table'!$C$2,"state","FL","group","2d2a")/GETPIVOTDATA("Total-New",'Distrib pivot table'!$C$2,"state","FL"))=0,,IF(GETPIVOTDATA("Total-New",'Distrib pivot table'!$C$2,"state","FL","group","2d2a")/GETPIVOTDATA("Total-New",'Distrib pivot table'!$C$2,"state","FL")&gt;0.0005,GETPIVOTDATA("Total-New",'Distrib pivot table'!$C$2,"state","FL","group","2d2a")/GETPIVOTDATA("Total-New",'Distrib pivot table'!$C$2,"state","FL"),"*"))</f>
        <v>1.7095318391368811E-2</v>
      </c>
      <c r="I50" s="418">
        <f>IF((GETPIVOTDATA("Total-New",'Distrib pivot table'!$C$2,"state","GA","group","2d2a")/GETPIVOTDATA("Total-New",'Distrib pivot table'!$C$2,"state","GA"))=0,,IF(GETPIVOTDATA("Total-New",'Distrib pivot table'!$C$2,"state","GA","group","2d2a")/GETPIVOTDATA("Total-New",'Distrib pivot table'!$C$2,"state","GA")&gt;0.0005,GETPIVOTDATA("Total-New",'Distrib pivot table'!$C$2,"state","GA","group","2d2a")/GETPIVOTDATA("Total-New",'Distrib pivot table'!$C$2,"state","GA"),"*"))</f>
        <v>0</v>
      </c>
      <c r="J50" s="418">
        <f>IF((GETPIVOTDATA("Total-New",'Distrib pivot table'!$C$2,"state","KY","group","2d2a")/GETPIVOTDATA("Total-New",'Distrib pivot table'!$C$2,"state","KY"))=0,,IF(GETPIVOTDATA("Total-New",'Distrib pivot table'!$C$2,"state","KY","group","2d2a")/GETPIVOTDATA("Total-New",'Distrib pivot table'!$C$2,"state","KY")&gt;0.0005,GETPIVOTDATA("Total-New",'Distrib pivot table'!$C$2,"state","KY","group","2d2a")/GETPIVOTDATA("Total-New",'Distrib pivot table'!$C$2,"state","KY"),"*"))</f>
        <v>0</v>
      </c>
      <c r="K50" s="418">
        <f>IF((GETPIVOTDATA("Total-New",'Distrib pivot table'!$C$2,"state","LA","group","2d2a")/GETPIVOTDATA("Total-New",'Distrib pivot table'!$C$2,"state","LA"))=0,,IF(GETPIVOTDATA("Total-New",'Distrib pivot table'!$C$2,"state","LA","group","2d2a")/GETPIVOTDATA("Total-New",'Distrib pivot table'!$C$2,"state","LA")&gt;0.0005,GETPIVOTDATA("Total-New",'Distrib pivot table'!$C$2,"state","LA","group","2d2a")/GETPIVOTDATA("Total-New",'Distrib pivot table'!$C$2,"state","LA"),"*"))</f>
        <v>0</v>
      </c>
      <c r="L50" s="418">
        <f>IF((GETPIVOTDATA("Total-New",'Distrib pivot table'!$C$2,"state","MD","group","2d2a")/GETPIVOTDATA("Total-New",'Distrib pivot table'!$C$2,"state","MD"))=0,,IF(GETPIVOTDATA("Total-New",'Distrib pivot table'!$C$2,"state","MD","group","2d2a")/GETPIVOTDATA("Total-New",'Distrib pivot table'!$C$2,"state","MD")&gt;0.0005,GETPIVOTDATA("Total-New",'Distrib pivot table'!$C$2,"state","MD","group","2d2a")/GETPIVOTDATA("Total-New",'Distrib pivot table'!$C$2,"state","MD"),"*"))</f>
        <v>1.4793778207506752E-2</v>
      </c>
      <c r="M50" s="418" t="str">
        <f>IF((GETPIVOTDATA("Total-New",'Distrib pivot table'!$C$2,"state","MS","group","2d2a")/GETPIVOTDATA("Total-New",'Distrib pivot table'!$C$2,"state","MS"))=0,,IF(GETPIVOTDATA("Total-New",'Distrib pivot table'!$C$2,"state","MS","group","2d2a")/GETPIVOTDATA("Total-New",'Distrib pivot table'!$C$2,"state","MS")&gt;0.0005,GETPIVOTDATA("Total-New",'Distrib pivot table'!$C$2,"state","MS","group","2d2a")/GETPIVOTDATA("Total-New",'Distrib pivot table'!$C$2,"state","MS"),"*"))</f>
        <v>*</v>
      </c>
      <c r="N50" s="418">
        <f>IF((GETPIVOTDATA("Total-New",'Distrib pivot table'!$C$2,"state","NC","group","2d2a")/GETPIVOTDATA("Total-New",'Distrib pivot table'!$C$2,"state","NC"))=0,,IF(GETPIVOTDATA("Total-New",'Distrib pivot table'!$C$2,"state","NC","group","2d2a")/GETPIVOTDATA("Total-New",'Distrib pivot table'!$C$2,"state","NC")&gt;0.0005,GETPIVOTDATA("Total-New",'Distrib pivot table'!$C$2,"state","NC","group","2d2a")/GETPIVOTDATA("Total-New",'Distrib pivot table'!$C$2,"state","NC"),"*"))</f>
        <v>2.0931783098733326E-2</v>
      </c>
      <c r="O50" s="418">
        <f>IF((GETPIVOTDATA("Total-New",'Distrib pivot table'!$C$2,"state","OK","group","2d2a")/GETPIVOTDATA("Total-New",'Distrib pivot table'!$C$2,"state","OK"))=0,,IF(GETPIVOTDATA("Total-New",'Distrib pivot table'!$C$2,"state","OK","group","2d2a")/GETPIVOTDATA("Total-New",'Distrib pivot table'!$C$2,"state","OK")&gt;0.0005,GETPIVOTDATA("Total-New",'Distrib pivot table'!$C$2,"state","OK","group","2d2a")/GETPIVOTDATA("Total-New",'Distrib pivot table'!$C$2,"state","OK"),"*"))</f>
        <v>0</v>
      </c>
      <c r="P50" s="418">
        <f>IF((GETPIVOTDATA("Total-New",'Distrib pivot table'!$C$2,"state","SC","group","2d2a")/GETPIVOTDATA("Total-New",'Distrib pivot table'!$C$2,"state","SC"))=0,,IF(GETPIVOTDATA("Total-New",'Distrib pivot table'!$C$2,"state","SC","group","2d2a")/GETPIVOTDATA("Total-New",'Distrib pivot table'!$C$2,"state","SC")&gt;0.0005,GETPIVOTDATA("Total-New",'Distrib pivot table'!$C$2,"state","SC","group","2d2a")/GETPIVOTDATA("Total-New",'Distrib pivot table'!$C$2,"state","SC"),"*"))</f>
        <v>0</v>
      </c>
      <c r="Q50" s="418">
        <f>IF((GETPIVOTDATA("Total-New",'Distrib pivot table'!$C$2,"state","TN","group","2d2a")/GETPIVOTDATA("Total-New",'Distrib pivot table'!$C$2,"state","TN"))=0,,IF(GETPIVOTDATA("Total-New",'Distrib pivot table'!$C$2,"state","TN","group","2d2a")/GETPIVOTDATA("Total-New",'Distrib pivot table'!$C$2,"state","TN")&gt;0.0005,GETPIVOTDATA("Total-New",'Distrib pivot table'!$C$2,"state","TN","group","2d2a")/GETPIVOTDATA("Total-New",'Distrib pivot table'!$C$2,"state","TN"),"*"))</f>
        <v>0</v>
      </c>
      <c r="R50" s="418">
        <f>IF((GETPIVOTDATA("Total-New",'Distrib pivot table'!$C$2,"state","TX","group","2d2a")/GETPIVOTDATA("Total-New",'Distrib pivot table'!$C$2,"state","TX"))=0,,IF(GETPIVOTDATA("Total-New",'Distrib pivot table'!$C$2,"state","TX","group","2d2a")/GETPIVOTDATA("Total-New",'Distrib pivot table'!$C$2,"state","TX")&gt;0.0005,GETPIVOTDATA("Total-New",'Distrib pivot table'!$C$2,"state","TX","group","2d2a")/GETPIVOTDATA("Total-New",'Distrib pivot table'!$C$2,"state","TX"),"*"))</f>
        <v>0</v>
      </c>
      <c r="S50" s="418">
        <f>IF((GETPIVOTDATA("Total-New",'Distrib pivot table'!$C$2,"state","VA","group","2d2a")/GETPIVOTDATA("Total-New",'Distrib pivot table'!$C$2,"state","VA"))=0,,IF(GETPIVOTDATA("Total-New",'Distrib pivot table'!$C$2,"state","VA","group","2d2a")/GETPIVOTDATA("Total-New",'Distrib pivot table'!$C$2,"state","VA")&gt;0.0005,GETPIVOTDATA("Total-New",'Distrib pivot table'!$C$2,"state","VA","group","2d2a")/GETPIVOTDATA("Total-New",'Distrib pivot table'!$C$2,"state","VA"),"*"))</f>
        <v>3.5327886691467116E-2</v>
      </c>
      <c r="T50" s="418">
        <f>IF((GETPIVOTDATA("Total-New",'Distrib pivot table'!$C$2,"state","WV","group","2d2a")/GETPIVOTDATA("Total-New",'Distrib pivot table'!$C$2,"state","WV"))=0,,IF(GETPIVOTDATA("Total-New",'Distrib pivot table'!$C$2,"state","WV","group","2d2a")/GETPIVOTDATA("Total-New",'Distrib pivot table'!$C$2,"state","WV")&gt;0.0005,GETPIVOTDATA("Total-New",'Distrib pivot table'!$C$2,"state","WV","group","2d2a")/GETPIVOTDATA("Total-New",'Distrib pivot table'!$C$2,"state","WV"),"*"))</f>
        <v>0</v>
      </c>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2.6" customHeight="1">
      <c r="A51" s="1488"/>
      <c r="B51" s="127" t="s">
        <v>249</v>
      </c>
      <c r="C51" s="374" t="s">
        <v>253</v>
      </c>
      <c r="D51" s="418">
        <f>IF(GETPIVOTDATA("Total-New",'Distrib pivot table'!$C$2,"group","2d2b")/GETPIVOTDATA("Total-New",'Distrib pivot table'!$C$2)=0,,IF(GETPIVOTDATA("Total-New",'Distrib pivot table'!$C$2,"group","2d2b")/GETPIVOTDATA("Total-New",'Distrib pivot table'!$C$2)&gt;0.0005,GETPIVOTDATA("Total-New",'Distrib pivot table'!$C$2,"group","2d2b")/GETPIVOTDATA("Total-New",'Distrib pivot table'!$C$2),"*"))</f>
        <v>7.7831814466674479E-3</v>
      </c>
      <c r="E51" s="418" t="str">
        <f>IF((GETPIVOTDATA("Total-New",'Distrib pivot table'!$C$2,"state","AL","group","2d2b")/GETPIVOTDATA("Total-New",'Distrib pivot table'!$C$2,"state","AL"))=0,,IF(GETPIVOTDATA("Total-New",'Distrib pivot table'!$C$2,"state","AL","group","2d2b")/GETPIVOTDATA("Total-New",'Distrib pivot table'!$C$2,"state","AL")&gt;0.0005,GETPIVOTDATA("Total-New",'Distrib pivot table'!$C$2,"state","AL","group","2d2b")/GETPIVOTDATA("Total-New",'Distrib pivot table'!$C$2,"state","AL"),"*"))</f>
        <v>*</v>
      </c>
      <c r="F51" s="418" t="str">
        <f>IF((GETPIVOTDATA("Total-New",'Distrib pivot table'!$C$2,"state","AR","group","2d2b")/GETPIVOTDATA("Total-New",'Distrib pivot table'!$C$2,"state","AR"))=0,,IF(GETPIVOTDATA("Total-New",'Distrib pivot table'!$C$2,"state","AR","group","2d2b")/GETPIVOTDATA("Total-New",'Distrib pivot table'!$C$2,"state","AR")&gt;0.0005,GETPIVOTDATA("Total-New",'Distrib pivot table'!$C$2,"state","AR","group","2d2b")/GETPIVOTDATA("Total-New",'Distrib pivot table'!$C$2,"state","AR"),"*"))</f>
        <v>*</v>
      </c>
      <c r="G51" s="418">
        <f>IF((GETPIVOTDATA("Total-New",'Distrib pivot table'!$C$2,"state","DE","group","2d2b")/GETPIVOTDATA("Total-New",'Distrib pivot table'!$C$2,"state","DE"))=0,,IF(GETPIVOTDATA("Total-New",'Distrib pivot table'!$C$2,"state","DE","group","2d2b")/GETPIVOTDATA("Total-New",'Distrib pivot table'!$C$2,"state","DE")&gt;0.0005,GETPIVOTDATA("Total-New",'Distrib pivot table'!$C$2,"state","DE","group","2d2b")/GETPIVOTDATA("Total-New",'Distrib pivot table'!$C$2,"state","DE"),"*"))</f>
        <v>0</v>
      </c>
      <c r="H51" s="418" t="str">
        <f>IF((GETPIVOTDATA("Total-New",'Distrib pivot table'!$C$2,"state","FL","group","2d2b")/GETPIVOTDATA("Total-New",'Distrib pivot table'!$C$2,"state","FL"))=0,,IF(GETPIVOTDATA("Total-New",'Distrib pivot table'!$C$2,"state","FL","group","2d2b")/GETPIVOTDATA("Total-New",'Distrib pivot table'!$C$2,"state","FL")&gt;0.0005,GETPIVOTDATA("Total-New",'Distrib pivot table'!$C$2,"state","FL","group","2d2b")/GETPIVOTDATA("Total-New",'Distrib pivot table'!$C$2,"state","FL"),"*"))</f>
        <v>*</v>
      </c>
      <c r="I51" s="418">
        <f>IF((GETPIVOTDATA("Total-New",'Distrib pivot table'!$C$2,"state","GA","group","2d2b")/GETPIVOTDATA("Total-New",'Distrib pivot table'!$C$2,"state","GA"))=0,,IF(GETPIVOTDATA("Total-New",'Distrib pivot table'!$C$2,"state","GA","group","2d2b")/GETPIVOTDATA("Total-New",'Distrib pivot table'!$C$2,"state","GA")&gt;0.0005,GETPIVOTDATA("Total-New",'Distrib pivot table'!$C$2,"state","GA","group","2d2b")/GETPIVOTDATA("Total-New",'Distrib pivot table'!$C$2,"state","GA"),"*"))</f>
        <v>8.8857409994025069E-2</v>
      </c>
      <c r="J51" s="418">
        <f>IF((GETPIVOTDATA("Total-New",'Distrib pivot table'!$C$2,"state","KY","group","2d2b")/GETPIVOTDATA("Total-New",'Distrib pivot table'!$C$2,"state","KY"))=0,,IF(GETPIVOTDATA("Total-New",'Distrib pivot table'!$C$2,"state","KY","group","2d2b")/GETPIVOTDATA("Total-New",'Distrib pivot table'!$C$2,"state","KY")&gt;0.0005,GETPIVOTDATA("Total-New",'Distrib pivot table'!$C$2,"state","KY","group","2d2b")/GETPIVOTDATA("Total-New",'Distrib pivot table'!$C$2,"state","KY"),"*"))</f>
        <v>0</v>
      </c>
      <c r="K51" s="418" t="str">
        <f>IF((GETPIVOTDATA("Total-New",'Distrib pivot table'!$C$2,"state","LA","group","2d2b")/GETPIVOTDATA("Total-New",'Distrib pivot table'!$C$2,"state","LA"))=0,,IF(GETPIVOTDATA("Total-New",'Distrib pivot table'!$C$2,"state","LA","group","2d2b")/GETPIVOTDATA("Total-New",'Distrib pivot table'!$C$2,"state","LA")&gt;0.0005,GETPIVOTDATA("Total-New",'Distrib pivot table'!$C$2,"state","LA","group","2d2b")/GETPIVOTDATA("Total-New",'Distrib pivot table'!$C$2,"state","LA"),"*"))</f>
        <v>*</v>
      </c>
      <c r="L51" s="418">
        <f>IF((GETPIVOTDATA("Total-New",'Distrib pivot table'!$C$2,"state","MD","group","2d2b")/GETPIVOTDATA("Total-New",'Distrib pivot table'!$C$2,"state","MD"))=0,,IF(GETPIVOTDATA("Total-New",'Distrib pivot table'!$C$2,"state","MD","group","2d2b")/GETPIVOTDATA("Total-New",'Distrib pivot table'!$C$2,"state","MD")&gt;0.0005,GETPIVOTDATA("Total-New",'Distrib pivot table'!$C$2,"state","MD","group","2d2b")/GETPIVOTDATA("Total-New",'Distrib pivot table'!$C$2,"state","MD"),"*"))</f>
        <v>1.9707706096422617E-3</v>
      </c>
      <c r="M51" s="418">
        <f>IF((GETPIVOTDATA("Total-New",'Distrib pivot table'!$C$2,"state","MS","group","2d2b")/GETPIVOTDATA("Total-New",'Distrib pivot table'!$C$2,"state","MS"))=0,,IF(GETPIVOTDATA("Total-New",'Distrib pivot table'!$C$2,"state","MS","group","2d2b")/GETPIVOTDATA("Total-New",'Distrib pivot table'!$C$2,"state","MS")&gt;0.0005,GETPIVOTDATA("Total-New",'Distrib pivot table'!$C$2,"state","MS","group","2d2b")/GETPIVOTDATA("Total-New",'Distrib pivot table'!$C$2,"state","MS"),"*"))</f>
        <v>5.0104293388980219E-3</v>
      </c>
      <c r="N51" s="418">
        <f>IF((GETPIVOTDATA("Total-New",'Distrib pivot table'!$C$2,"state","NC","group","2d2b")/GETPIVOTDATA("Total-New",'Distrib pivot table'!$C$2,"state","NC"))=0,,IF(GETPIVOTDATA("Total-New",'Distrib pivot table'!$C$2,"state","NC","group","2d2b")/GETPIVOTDATA("Total-New",'Distrib pivot table'!$C$2,"state","NC")&gt;0.0005,GETPIVOTDATA("Total-New",'Distrib pivot table'!$C$2,"state","NC","group","2d2b")/GETPIVOTDATA("Total-New",'Distrib pivot table'!$C$2,"state","NC"),"*"))</f>
        <v>5.6152044822790339E-4</v>
      </c>
      <c r="O51" s="418">
        <f>IF((GETPIVOTDATA("Total-New",'Distrib pivot table'!$C$2,"state","OK","group","2d2b")/GETPIVOTDATA("Total-New",'Distrib pivot table'!$C$2,"state","OK"))=0,,IF(GETPIVOTDATA("Total-New",'Distrib pivot table'!$C$2,"state","OK","group","2d2b")/GETPIVOTDATA("Total-New",'Distrib pivot table'!$C$2,"state","OK")&gt;0.0005,GETPIVOTDATA("Total-New",'Distrib pivot table'!$C$2,"state","OK","group","2d2b")/GETPIVOTDATA("Total-New",'Distrib pivot table'!$C$2,"state","OK"),"*"))</f>
        <v>0</v>
      </c>
      <c r="P51" s="418">
        <f>IF((GETPIVOTDATA("Total-New",'Distrib pivot table'!$C$2,"state","SC","group","2d2b")/GETPIVOTDATA("Total-New",'Distrib pivot table'!$C$2,"state","SC"))=0,,IF(GETPIVOTDATA("Total-New",'Distrib pivot table'!$C$2,"state","SC","group","2d2b")/GETPIVOTDATA("Total-New",'Distrib pivot table'!$C$2,"state","SC")&gt;0.0005,GETPIVOTDATA("Total-New",'Distrib pivot table'!$C$2,"state","SC","group","2d2b")/GETPIVOTDATA("Total-New",'Distrib pivot table'!$C$2,"state","SC"),"*"))</f>
        <v>0</v>
      </c>
      <c r="Q51" s="418">
        <f>IF((GETPIVOTDATA("Total-New",'Distrib pivot table'!$C$2,"state","TN","group","2d2b")/GETPIVOTDATA("Total-New",'Distrib pivot table'!$C$2,"state","TN"))=0,,IF(GETPIVOTDATA("Total-New",'Distrib pivot table'!$C$2,"state","TN","group","2d2b")/GETPIVOTDATA("Total-New",'Distrib pivot table'!$C$2,"state","TN")&gt;0.0005,GETPIVOTDATA("Total-New",'Distrib pivot table'!$C$2,"state","TN","group","2d2b")/GETPIVOTDATA("Total-New",'Distrib pivot table'!$C$2,"state","TN"),"*"))</f>
        <v>0</v>
      </c>
      <c r="R51" s="418">
        <f>IF((GETPIVOTDATA("Total-New",'Distrib pivot table'!$C$2,"state","TX","group","2d2b")/GETPIVOTDATA("Total-New",'Distrib pivot table'!$C$2,"state","TX"))=0,,IF(GETPIVOTDATA("Total-New",'Distrib pivot table'!$C$2,"state","TX","group","2d2b")/GETPIVOTDATA("Total-New",'Distrib pivot table'!$C$2,"state","TX")&gt;0.0005,GETPIVOTDATA("Total-New",'Distrib pivot table'!$C$2,"state","TX","group","2d2b")/GETPIVOTDATA("Total-New",'Distrib pivot table'!$C$2,"state","TX"),"*"))</f>
        <v>0</v>
      </c>
      <c r="S51" s="418">
        <f>IF((GETPIVOTDATA("Total-New",'Distrib pivot table'!$C$2,"state","VA","group","2d2b")/GETPIVOTDATA("Total-New",'Distrib pivot table'!$C$2,"state","VA"))=0,,IF(GETPIVOTDATA("Total-New",'Distrib pivot table'!$C$2,"state","VA","group","2d2b")/GETPIVOTDATA("Total-New",'Distrib pivot table'!$C$2,"state","VA")&gt;0.0005,GETPIVOTDATA("Total-New",'Distrib pivot table'!$C$2,"state","VA","group","2d2b")/GETPIVOTDATA("Total-New",'Distrib pivot table'!$C$2,"state","VA"),"*"))</f>
        <v>1.7016073610170758E-3</v>
      </c>
      <c r="T51" s="418">
        <f>IF((GETPIVOTDATA("Total-New",'Distrib pivot table'!$C$2,"state","WV","group","2d2b")/GETPIVOTDATA("Total-New",'Distrib pivot table'!$C$2,"state","WV"))=0,,IF(GETPIVOTDATA("Total-New",'Distrib pivot table'!$C$2,"state","WV","group","2d2b")/GETPIVOTDATA("Total-New",'Distrib pivot table'!$C$2,"state","WV")&gt;0.0005,GETPIVOTDATA("Total-New",'Distrib pivot table'!$C$2,"state","WV","group","2d2b")/GETPIVOTDATA("Total-New",'Distrib pivot table'!$C$2,"state","WV"),"*"))</f>
        <v>0</v>
      </c>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2.6" customHeight="1">
      <c r="A52" s="1488"/>
      <c r="B52" s="127" t="s">
        <v>307</v>
      </c>
      <c r="C52" s="374" t="s">
        <v>294</v>
      </c>
      <c r="D52" s="418" t="str">
        <f>IF(GETPIVOTDATA("Total-New",'Distrib pivot table'!$C$2,"group","2d3")/GETPIVOTDATA("Total-New",'Distrib pivot table'!$C$2)=0,,IF(GETPIVOTDATA("Total-New",'Distrib pivot table'!$C$2,"group","2d3")/GETPIVOTDATA("Total-New",'Distrib pivot table'!$C$2)&gt;0.0005,GETPIVOTDATA("Total-New",'Distrib pivot table'!$C$2,"group","2d3")/GETPIVOTDATA("Total-New",'Distrib pivot table'!$C$2),"*"))</f>
        <v>*</v>
      </c>
      <c r="E52" s="418">
        <f>IF((GETPIVOTDATA("Total-New",'Distrib pivot table'!$C$2,"state","AL","group","2d3")/GETPIVOTDATA("Total-New",'Distrib pivot table'!$C$2,"state","AL"))=0,,IF(GETPIVOTDATA("Total-New",'Distrib pivot table'!$C$2,"state","AL","group","2d3")/GETPIVOTDATA("Total-New",'Distrib pivot table'!$C$2,"state","AL")&gt;0.0005,GETPIVOTDATA("Total-New",'Distrib pivot table'!$C$2,"state","AL","group","2d3")/GETPIVOTDATA("Total-New",'Distrib pivot table'!$C$2,"state","AL"),"*"))</f>
        <v>0</v>
      </c>
      <c r="F52" s="418">
        <f>IF((GETPIVOTDATA("Total-New",'Distrib pivot table'!$C$2,"state","AR","group","2d3")/GETPIVOTDATA("Total-New",'Distrib pivot table'!$C$2,"state","AR"))=0,,IF(GETPIVOTDATA("Total-New",'Distrib pivot table'!$C$2,"state","AR","group","2d3")/GETPIVOTDATA("Total-New",'Distrib pivot table'!$C$2,"state","AR")&gt;0.0005,GETPIVOTDATA("Total-New",'Distrib pivot table'!$C$2,"state","AR","group","2d3")/GETPIVOTDATA("Total-New",'Distrib pivot table'!$C$2,"state","AR"),"*"))</f>
        <v>0</v>
      </c>
      <c r="G52" s="418">
        <f>IF((GETPIVOTDATA("Total-New",'Distrib pivot table'!$C$2,"state","DE","group","2d3")/GETPIVOTDATA("Total-New",'Distrib pivot table'!$C$2,"state","DE"))=0,,IF(GETPIVOTDATA("Total-New",'Distrib pivot table'!$C$2,"state","DE","group","2d3")/GETPIVOTDATA("Total-New",'Distrib pivot table'!$C$2,"state","DE")&gt;0.0005,GETPIVOTDATA("Total-New",'Distrib pivot table'!$C$2,"state","DE","group","2d3")/GETPIVOTDATA("Total-New",'Distrib pivot table'!$C$2,"state","DE"),"*"))</f>
        <v>0</v>
      </c>
      <c r="H52" s="418">
        <f>IF((GETPIVOTDATA("Total-New",'Distrib pivot table'!$C$2,"state","FL","group","2d3")/GETPIVOTDATA("Total-New",'Distrib pivot table'!$C$2,"state","FL"))=0,,IF(GETPIVOTDATA("Total-New",'Distrib pivot table'!$C$2,"state","FL","group","2d3")/GETPIVOTDATA("Total-New",'Distrib pivot table'!$C$2,"state","FL")&gt;0.0005,GETPIVOTDATA("Total-New",'Distrib pivot table'!$C$2,"state","FL","group","2d3")/GETPIVOTDATA("Total-New",'Distrib pivot table'!$C$2,"state","FL"),"*"))</f>
        <v>0</v>
      </c>
      <c r="I52" s="418">
        <f>IF((GETPIVOTDATA("Total-New",'Distrib pivot table'!$C$2,"state","GA","group","2d3")/GETPIVOTDATA("Total-New",'Distrib pivot table'!$C$2,"state","GA"))=0,,IF(GETPIVOTDATA("Total-New",'Distrib pivot table'!$C$2,"state","GA","group","2d3")/GETPIVOTDATA("Total-New",'Distrib pivot table'!$C$2,"state","GA")&gt;0.0005,GETPIVOTDATA("Total-New",'Distrib pivot table'!$C$2,"state","GA","group","2d3")/GETPIVOTDATA("Total-New",'Distrib pivot table'!$C$2,"state","GA"),"*"))</f>
        <v>0</v>
      </c>
      <c r="J52" s="418">
        <f>IF((GETPIVOTDATA("Total-New",'Distrib pivot table'!$C$2,"state","KY","group","2d3")/GETPIVOTDATA("Total-New",'Distrib pivot table'!$C$2,"state","KY"))=0,,IF(GETPIVOTDATA("Total-New",'Distrib pivot table'!$C$2,"state","KY","group","2d3")/GETPIVOTDATA("Total-New",'Distrib pivot table'!$C$2,"state","KY")&gt;0.0005,GETPIVOTDATA("Total-New",'Distrib pivot table'!$C$2,"state","KY","group","2d3")/GETPIVOTDATA("Total-New",'Distrib pivot table'!$C$2,"state","KY"),"*"))</f>
        <v>0</v>
      </c>
      <c r="K52" s="418">
        <f>IF((GETPIVOTDATA("Total-New",'Distrib pivot table'!$C$2,"state","LA","group","2d3")/GETPIVOTDATA("Total-New",'Distrib pivot table'!$C$2,"state","LA"))=0,,IF(GETPIVOTDATA("Total-New",'Distrib pivot table'!$C$2,"state","LA","group","2d3")/GETPIVOTDATA("Total-New",'Distrib pivot table'!$C$2,"state","LA")&gt;0.0005,GETPIVOTDATA("Total-New",'Distrib pivot table'!$C$2,"state","LA","group","2d3")/GETPIVOTDATA("Total-New",'Distrib pivot table'!$C$2,"state","LA"),"*"))</f>
        <v>0</v>
      </c>
      <c r="L52" s="418">
        <f>IF((GETPIVOTDATA("Total-New",'Distrib pivot table'!$C$2,"state","MD","group","2d3")/GETPIVOTDATA("Total-New",'Distrib pivot table'!$C$2,"state","MD"))=0,,IF(GETPIVOTDATA("Total-New",'Distrib pivot table'!$C$2,"state","MD","group","2d3")/GETPIVOTDATA("Total-New",'Distrib pivot table'!$C$2,"state","MD")&gt;0.0005,GETPIVOTDATA("Total-New",'Distrib pivot table'!$C$2,"state","MD","group","2d3")/GETPIVOTDATA("Total-New",'Distrib pivot table'!$C$2,"state","MD"),"*"))</f>
        <v>0</v>
      </c>
      <c r="M52" s="418">
        <f>IF((GETPIVOTDATA("Total-New",'Distrib pivot table'!$C$2,"state","MS","group","2d3")/GETPIVOTDATA("Total-New",'Distrib pivot table'!$C$2,"state","MS"))=0,,IF(GETPIVOTDATA("Total-New",'Distrib pivot table'!$C$2,"state","MS","group","2d3")/GETPIVOTDATA("Total-New",'Distrib pivot table'!$C$2,"state","MS")&gt;0.0005,GETPIVOTDATA("Total-New",'Distrib pivot table'!$C$2,"state","MS","group","2d3")/GETPIVOTDATA("Total-New",'Distrib pivot table'!$C$2,"state","MS"),"*"))</f>
        <v>0</v>
      </c>
      <c r="N52" s="418">
        <f>IF((GETPIVOTDATA("Total-New",'Distrib pivot table'!$C$2,"state","NC","group","2d3")/GETPIVOTDATA("Total-New",'Distrib pivot table'!$C$2,"state","NC"))=0,,IF(GETPIVOTDATA("Total-New",'Distrib pivot table'!$C$2,"state","NC","group","2d3")/GETPIVOTDATA("Total-New",'Distrib pivot table'!$C$2,"state","NC")&gt;0.0005,GETPIVOTDATA("Total-New",'Distrib pivot table'!$C$2,"state","NC","group","2d3")/GETPIVOTDATA("Total-New",'Distrib pivot table'!$C$2,"state","NC"),"*"))</f>
        <v>0</v>
      </c>
      <c r="O52" s="418">
        <f>IF((GETPIVOTDATA("Total-New",'Distrib pivot table'!$C$2,"state","OK","group","2d3")/GETPIVOTDATA("Total-New",'Distrib pivot table'!$C$2,"state","OK"))=0,,IF(GETPIVOTDATA("Total-New",'Distrib pivot table'!$C$2,"state","OK","group","2d3")/GETPIVOTDATA("Total-New",'Distrib pivot table'!$C$2,"state","OK")&gt;0.0005,GETPIVOTDATA("Total-New",'Distrib pivot table'!$C$2,"state","OK","group","2d3")/GETPIVOTDATA("Total-New",'Distrib pivot table'!$C$2,"state","OK"),"*"))</f>
        <v>1.6471176329079789E-3</v>
      </c>
      <c r="P52" s="418">
        <f>IF((GETPIVOTDATA("Total-New",'Distrib pivot table'!$C$2,"state","SC","group","2d3")/GETPIVOTDATA("Total-New",'Distrib pivot table'!$C$2,"state","SC"))=0,,IF(GETPIVOTDATA("Total-New",'Distrib pivot table'!$C$2,"state","SC","group","2d3")/GETPIVOTDATA("Total-New",'Distrib pivot table'!$C$2,"state","SC")&gt;0.0005,GETPIVOTDATA("Total-New",'Distrib pivot table'!$C$2,"state","SC","group","2d3")/GETPIVOTDATA("Total-New",'Distrib pivot table'!$C$2,"state","SC"),"*"))</f>
        <v>0</v>
      </c>
      <c r="Q52" s="418">
        <f>IF((GETPIVOTDATA("Total-New",'Distrib pivot table'!$C$2,"state","TN","group","2d3")/GETPIVOTDATA("Total-New",'Distrib pivot table'!$C$2,"state","TN"))=0,,IF(GETPIVOTDATA("Total-New",'Distrib pivot table'!$C$2,"state","TN","group","2d3")/GETPIVOTDATA("Total-New",'Distrib pivot table'!$C$2,"state","TN")&gt;0.0005,GETPIVOTDATA("Total-New",'Distrib pivot table'!$C$2,"state","TN","group","2d3")/GETPIVOTDATA("Total-New",'Distrib pivot table'!$C$2,"state","TN"),"*"))</f>
        <v>0</v>
      </c>
      <c r="R52" s="418">
        <f>IF((GETPIVOTDATA("Total-New",'Distrib pivot table'!$C$2,"state","TX","group","2d3")/GETPIVOTDATA("Total-New",'Distrib pivot table'!$C$2,"state","TX"))=0,,IF(GETPIVOTDATA("Total-New",'Distrib pivot table'!$C$2,"state","TX","group","2d3")/GETPIVOTDATA("Total-New",'Distrib pivot table'!$C$2,"state","TX")&gt;0.0005,GETPIVOTDATA("Total-New",'Distrib pivot table'!$C$2,"state","TX","group","2d3")/GETPIVOTDATA("Total-New",'Distrib pivot table'!$C$2,"state","TX"),"*"))</f>
        <v>0</v>
      </c>
      <c r="S52" s="418">
        <f>IF((GETPIVOTDATA("Total-New",'Distrib pivot table'!$C$2,"state","VA","group","2d3")/GETPIVOTDATA("Total-New",'Distrib pivot table'!$C$2,"state","VA"))=0,,IF(GETPIVOTDATA("Total-New",'Distrib pivot table'!$C$2,"state","VA","group","2d3")/GETPIVOTDATA("Total-New",'Distrib pivot table'!$C$2,"state","VA")&gt;0.0005,GETPIVOTDATA("Total-New",'Distrib pivot table'!$C$2,"state","VA","group","2d3")/GETPIVOTDATA("Total-New",'Distrib pivot table'!$C$2,"state","VA"),"*"))</f>
        <v>0</v>
      </c>
      <c r="T52" s="418">
        <f>IF((GETPIVOTDATA("Total-New",'Distrib pivot table'!$C$2,"state","WV","group","2d3")/GETPIVOTDATA("Total-New",'Distrib pivot table'!$C$2,"state","WV"))=0,,IF(GETPIVOTDATA("Total-New",'Distrib pivot table'!$C$2,"state","WV","group","2d3")/GETPIVOTDATA("Total-New",'Distrib pivot table'!$C$2,"state","WV")&gt;0.0005,GETPIVOTDATA("Total-New",'Distrib pivot table'!$C$2,"state","WV","group","2d3")/GETPIVOTDATA("Total-New",'Distrib pivot table'!$C$2,"state","WV"),"*"))</f>
        <v>0</v>
      </c>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2.6" customHeight="1">
      <c r="A53" s="1488"/>
      <c r="B53" s="127" t="s">
        <v>311</v>
      </c>
      <c r="C53" s="374" t="s">
        <v>254</v>
      </c>
      <c r="D53" s="418">
        <f>IF(GETPIVOTDATA("Total-New",'Distrib pivot table'!$C$2,"group","2d3a")/GETPIVOTDATA("Total-New",'Distrib pivot table'!$C$2)=0,,IF(GETPIVOTDATA("Total-New",'Distrib pivot table'!$C$2,"group","2d3a")/GETPIVOTDATA("Total-New",'Distrib pivot table'!$C$2)&gt;0.0005,GETPIVOTDATA("Total-New",'Distrib pivot table'!$C$2,"group","2d3a")/GETPIVOTDATA("Total-New",'Distrib pivot table'!$C$2),"*"))</f>
        <v>3.038830041942111E-3</v>
      </c>
      <c r="E53" s="418">
        <f>IF((GETPIVOTDATA("Total-New",'Distrib pivot table'!$C$2,"state","AL","group","2d3a")/GETPIVOTDATA("Total-New",'Distrib pivot table'!$C$2,"state","AL"))=0,,IF(GETPIVOTDATA("Total-New",'Distrib pivot table'!$C$2,"state","AL","group","2d3a")/GETPIVOTDATA("Total-New",'Distrib pivot table'!$C$2,"state","AL")&gt;0.0005,GETPIVOTDATA("Total-New",'Distrib pivot table'!$C$2,"state","AL","group","2d3a")/GETPIVOTDATA("Total-New",'Distrib pivot table'!$C$2,"state","AL"),"*"))</f>
        <v>0</v>
      </c>
      <c r="F53" s="418">
        <f>IF((GETPIVOTDATA("Total-New",'Distrib pivot table'!$C$2,"state","AR","group","2d3a")/GETPIVOTDATA("Total-New",'Distrib pivot table'!$C$2,"state","AR"))=0,,IF(GETPIVOTDATA("Total-New",'Distrib pivot table'!$C$2,"state","AR","group","2d3a")/GETPIVOTDATA("Total-New",'Distrib pivot table'!$C$2,"state","AR")&gt;0.0005,GETPIVOTDATA("Total-New",'Distrib pivot table'!$C$2,"state","AR","group","2d3a")/GETPIVOTDATA("Total-New",'Distrib pivot table'!$C$2,"state","AR"),"*"))</f>
        <v>0</v>
      </c>
      <c r="G53" s="418">
        <f>IF((GETPIVOTDATA("Total-New",'Distrib pivot table'!$C$2,"state","DE","group","2d3a")/GETPIVOTDATA("Total-New",'Distrib pivot table'!$C$2,"state","DE"))=0,,IF(GETPIVOTDATA("Total-New",'Distrib pivot table'!$C$2,"state","DE","group","2d3a")/GETPIVOTDATA("Total-New",'Distrib pivot table'!$C$2,"state","DE")&gt;0.0005,GETPIVOTDATA("Total-New",'Distrib pivot table'!$C$2,"state","DE","group","2d3a")/GETPIVOTDATA("Total-New",'Distrib pivot table'!$C$2,"state","DE"),"*"))</f>
        <v>0</v>
      </c>
      <c r="H53" s="418">
        <f>IF((GETPIVOTDATA("Total-New",'Distrib pivot table'!$C$2,"state","FL","group","2d3a")/GETPIVOTDATA("Total-New",'Distrib pivot table'!$C$2,"state","FL"))=0,,IF(GETPIVOTDATA("Total-New",'Distrib pivot table'!$C$2,"state","FL","group","2d3a")/GETPIVOTDATA("Total-New",'Distrib pivot table'!$C$2,"state","FL")&gt;0.0005,GETPIVOTDATA("Total-New",'Distrib pivot table'!$C$2,"state","FL","group","2d3a")/GETPIVOTDATA("Total-New",'Distrib pivot table'!$C$2,"state","FL"),"*"))</f>
        <v>4.6993072863818408E-3</v>
      </c>
      <c r="I53" s="418">
        <f>IF((GETPIVOTDATA("Total-New",'Distrib pivot table'!$C$2,"state","GA","group","2d3a")/GETPIVOTDATA("Total-New",'Distrib pivot table'!$C$2,"state","GA"))=0,,IF(GETPIVOTDATA("Total-New",'Distrib pivot table'!$C$2,"state","GA","group","2d3a")/GETPIVOTDATA("Total-New",'Distrib pivot table'!$C$2,"state","GA")&gt;0.0005,GETPIVOTDATA("Total-New",'Distrib pivot table'!$C$2,"state","GA","group","2d3a")/GETPIVOTDATA("Total-New",'Distrib pivot table'!$C$2,"state","GA"),"*"))</f>
        <v>0</v>
      </c>
      <c r="J53" s="418">
        <f>IF((GETPIVOTDATA("Total-New",'Distrib pivot table'!$C$2,"state","KY","group","2d3a")/GETPIVOTDATA("Total-New",'Distrib pivot table'!$C$2,"state","KY"))=0,,IF(GETPIVOTDATA("Total-New",'Distrib pivot table'!$C$2,"state","KY","group","2d3a")/GETPIVOTDATA("Total-New",'Distrib pivot table'!$C$2,"state","KY")&gt;0.0005,GETPIVOTDATA("Total-New",'Distrib pivot table'!$C$2,"state","KY","group","2d3a")/GETPIVOTDATA("Total-New",'Distrib pivot table'!$C$2,"state","KY"),"*"))</f>
        <v>1.0283329319298418E-2</v>
      </c>
      <c r="K53" s="418">
        <f>IF((GETPIVOTDATA("Total-New",'Distrib pivot table'!$C$2,"state","LA","group","2d3a")/GETPIVOTDATA("Total-New",'Distrib pivot table'!$C$2,"state","LA"))=0,,IF(GETPIVOTDATA("Total-New",'Distrib pivot table'!$C$2,"state","LA","group","2d3a")/GETPIVOTDATA("Total-New",'Distrib pivot table'!$C$2,"state","LA")&gt;0.0005,GETPIVOTDATA("Total-New",'Distrib pivot table'!$C$2,"state","LA","group","2d3a")/GETPIVOTDATA("Total-New",'Distrib pivot table'!$C$2,"state","LA"),"*"))</f>
        <v>0</v>
      </c>
      <c r="L53" s="418">
        <f>IF((GETPIVOTDATA("Total-New",'Distrib pivot table'!$C$2,"state","MD","group","2d3a")/GETPIVOTDATA("Total-New",'Distrib pivot table'!$C$2,"state","MD"))=0,,IF(GETPIVOTDATA("Total-New",'Distrib pivot table'!$C$2,"state","MD","group","2d3a")/GETPIVOTDATA("Total-New",'Distrib pivot table'!$C$2,"state","MD")&gt;0.0005,GETPIVOTDATA("Total-New",'Distrib pivot table'!$C$2,"state","MD","group","2d3a")/GETPIVOTDATA("Total-New",'Distrib pivot table'!$C$2,"state","MD"),"*"))</f>
        <v>2.0877868318699027E-3</v>
      </c>
      <c r="M53" s="418">
        <f>IF((GETPIVOTDATA("Total-New",'Distrib pivot table'!$C$2,"state","MS","group","2d3a")/GETPIVOTDATA("Total-New",'Distrib pivot table'!$C$2,"state","MS"))=0,,IF(GETPIVOTDATA("Total-New",'Distrib pivot table'!$C$2,"state","MS","group","2d3a")/GETPIVOTDATA("Total-New",'Distrib pivot table'!$C$2,"state","MS")&gt;0.0005,GETPIVOTDATA("Total-New",'Distrib pivot table'!$C$2,"state","MS","group","2d3a")/GETPIVOTDATA("Total-New",'Distrib pivot table'!$C$2,"state","MS"),"*"))</f>
        <v>0</v>
      </c>
      <c r="N53" s="418">
        <f>IF((GETPIVOTDATA("Total-New",'Distrib pivot table'!$C$2,"state","NC","group","2d3a")/GETPIVOTDATA("Total-New",'Distrib pivot table'!$C$2,"state","NC"))=0,,IF(GETPIVOTDATA("Total-New",'Distrib pivot table'!$C$2,"state","NC","group","2d3a")/GETPIVOTDATA("Total-New",'Distrib pivot table'!$C$2,"state","NC")&gt;0.0005,GETPIVOTDATA("Total-New",'Distrib pivot table'!$C$2,"state","NC","group","2d3a")/GETPIVOTDATA("Total-New",'Distrib pivot table'!$C$2,"state","NC"),"*"))</f>
        <v>1.4882806138413517E-2</v>
      </c>
      <c r="O53" s="418">
        <f>IF((GETPIVOTDATA("Total-New",'Distrib pivot table'!$C$2,"state","OK","group","2d3a")/GETPIVOTDATA("Total-New",'Distrib pivot table'!$C$2,"state","OK"))=0,,IF(GETPIVOTDATA("Total-New",'Distrib pivot table'!$C$2,"state","OK","group","2d3a")/GETPIVOTDATA("Total-New",'Distrib pivot table'!$C$2,"state","OK")&gt;0.0005,GETPIVOTDATA("Total-New",'Distrib pivot table'!$C$2,"state","OK","group","2d3a")/GETPIVOTDATA("Total-New",'Distrib pivot table'!$C$2,"state","OK"),"*"))</f>
        <v>0</v>
      </c>
      <c r="P53" s="418">
        <f>IF((GETPIVOTDATA("Total-New",'Distrib pivot table'!$C$2,"state","SC","group","2d3a")/GETPIVOTDATA("Total-New",'Distrib pivot table'!$C$2,"state","SC"))=0,,IF(GETPIVOTDATA("Total-New",'Distrib pivot table'!$C$2,"state","SC","group","2d3a")/GETPIVOTDATA("Total-New",'Distrib pivot table'!$C$2,"state","SC")&gt;0.0005,GETPIVOTDATA("Total-New",'Distrib pivot table'!$C$2,"state","SC","group","2d3a")/GETPIVOTDATA("Total-New",'Distrib pivot table'!$C$2,"state","SC"),"*"))</f>
        <v>1.1046051764718059E-2</v>
      </c>
      <c r="Q53" s="418">
        <f>IF((GETPIVOTDATA("Total-New",'Distrib pivot table'!$C$2,"state","TN","group","2d3a")/GETPIVOTDATA("Total-New",'Distrib pivot table'!$C$2,"state","TN"))=0,,IF(GETPIVOTDATA("Total-New",'Distrib pivot table'!$C$2,"state","TN","group","2d3a")/GETPIVOTDATA("Total-New",'Distrib pivot table'!$C$2,"state","TN")&gt;0.0005,GETPIVOTDATA("Total-New",'Distrib pivot table'!$C$2,"state","TN","group","2d3a")/GETPIVOTDATA("Total-New",'Distrib pivot table'!$C$2,"state","TN"),"*"))</f>
        <v>0</v>
      </c>
      <c r="R53" s="418">
        <f>IF((GETPIVOTDATA("Total-New",'Distrib pivot table'!$C$2,"state","TX","group","2d3a")/GETPIVOTDATA("Total-New",'Distrib pivot table'!$C$2,"state","TX"))=0,,IF(GETPIVOTDATA("Total-New",'Distrib pivot table'!$C$2,"state","TX","group","2d3a")/GETPIVOTDATA("Total-New",'Distrib pivot table'!$C$2,"state","TX")&gt;0.0005,GETPIVOTDATA("Total-New",'Distrib pivot table'!$C$2,"state","TX","group","2d3a")/GETPIVOTDATA("Total-New",'Distrib pivot table'!$C$2,"state","TX"),"*"))</f>
        <v>0</v>
      </c>
      <c r="S53" s="418">
        <f>IF((GETPIVOTDATA("Total-New",'Distrib pivot table'!$C$2,"state","VA","group","2d3a")/GETPIVOTDATA("Total-New",'Distrib pivot table'!$C$2,"state","VA"))=0,,IF(GETPIVOTDATA("Total-New",'Distrib pivot table'!$C$2,"state","VA","group","2d3a")/GETPIVOTDATA("Total-New",'Distrib pivot table'!$C$2,"state","VA")&gt;0.0005,GETPIVOTDATA("Total-New",'Distrib pivot table'!$C$2,"state","VA","group","2d3a")/GETPIVOTDATA("Total-New",'Distrib pivot table'!$C$2,"state","VA"),"*"))</f>
        <v>0</v>
      </c>
      <c r="T53" s="418">
        <f>IF((GETPIVOTDATA("Total-New",'Distrib pivot table'!$C$2,"state","WV","group","2d3a")/GETPIVOTDATA("Total-New",'Distrib pivot table'!$C$2,"state","WV"))=0,,IF(GETPIVOTDATA("Total-New",'Distrib pivot table'!$C$2,"state","WV","group","2d3a")/GETPIVOTDATA("Total-New",'Distrib pivot table'!$C$2,"state","WV")&gt;0.0005,GETPIVOTDATA("Total-New",'Distrib pivot table'!$C$2,"state","WV","group","2d3a")/GETPIVOTDATA("Total-New",'Distrib pivot table'!$C$2,"state","WV"),"*"))</f>
        <v>0</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2.6" customHeight="1">
      <c r="A54" s="1488"/>
      <c r="B54" s="368" t="s">
        <v>249</v>
      </c>
      <c r="C54" s="374" t="s">
        <v>255</v>
      </c>
      <c r="D54" s="425">
        <f>IF(GETPIVOTDATA("Total-New",'Distrib pivot table'!$C$2,"group","2d3b")/GETPIVOTDATA("Total-New",'Distrib pivot table'!$C$2)=0,,IF(GETPIVOTDATA("Total-New",'Distrib pivot table'!$C$2,"group","2d3b")/GETPIVOTDATA("Total-New",'Distrib pivot table'!$C$2)&gt;0.0005,GETPIVOTDATA("Total-New",'Distrib pivot table'!$C$2,"group","2d3b")/GETPIVOTDATA("Total-New",'Distrib pivot table'!$C$2),"*"))</f>
        <v>3.1237362766684978E-3</v>
      </c>
      <c r="E54" s="425">
        <f>IF((GETPIVOTDATA("Total-New",'Distrib pivot table'!$C$2,"state","AL","group","2d3b")/GETPIVOTDATA("Total-New",'Distrib pivot table'!$C$2,"state","AL"))=0,,IF(GETPIVOTDATA("Total-New",'Distrib pivot table'!$C$2,"state","AL","group","2d3b")/GETPIVOTDATA("Total-New",'Distrib pivot table'!$C$2,"state","AL")&gt;0.0005,GETPIVOTDATA("Total-New",'Distrib pivot table'!$C$2,"state","AL","group","2d3b")/GETPIVOTDATA("Total-New",'Distrib pivot table'!$C$2,"state","AL"),"*"))</f>
        <v>5.6408684900150603E-4</v>
      </c>
      <c r="F54" s="425">
        <f>IF((GETPIVOTDATA("Total-New",'Distrib pivot table'!$C$2,"state","AR","group","2d3b")/GETPIVOTDATA("Total-New",'Distrib pivot table'!$C$2,"state","AR"))=0,,IF(GETPIVOTDATA("Total-New",'Distrib pivot table'!$C$2,"state","AR","group","2d3b")/GETPIVOTDATA("Total-New",'Distrib pivot table'!$C$2,"state","AR")&gt;0.0005,GETPIVOTDATA("Total-New",'Distrib pivot table'!$C$2,"state","AR","group","2d3b")/GETPIVOTDATA("Total-New",'Distrib pivot table'!$C$2,"state","AR"),"*"))</f>
        <v>0</v>
      </c>
      <c r="G54" s="425">
        <f>IF((GETPIVOTDATA("Total-New",'Distrib pivot table'!$C$2,"state","DE","group","2d3b")/GETPIVOTDATA("Total-New",'Distrib pivot table'!$C$2,"state","DE"))=0,,IF(GETPIVOTDATA("Total-New",'Distrib pivot table'!$C$2,"state","DE","group","2d3b")/GETPIVOTDATA("Total-New",'Distrib pivot table'!$C$2,"state","DE")&gt;0.0005,GETPIVOTDATA("Total-New",'Distrib pivot table'!$C$2,"state","DE","group","2d3b")/GETPIVOTDATA("Total-New",'Distrib pivot table'!$C$2,"state","DE"),"*"))</f>
        <v>0</v>
      </c>
      <c r="H54" s="425">
        <f>IF((GETPIVOTDATA("Total-New",'Distrib pivot table'!$C$2,"state","FL","group","2d3b")/GETPIVOTDATA("Total-New",'Distrib pivot table'!$C$2,"state","FL"))=0,,IF(GETPIVOTDATA("Total-New",'Distrib pivot table'!$C$2,"state","FL","group","2d3b")/GETPIVOTDATA("Total-New",'Distrib pivot table'!$C$2,"state","FL")&gt;0.0005,GETPIVOTDATA("Total-New",'Distrib pivot table'!$C$2,"state","FL","group","2d3b")/GETPIVOTDATA("Total-New",'Distrib pivot table'!$C$2,"state","FL"),"*"))</f>
        <v>1.7621239128246174E-2</v>
      </c>
      <c r="I54" s="425" t="str">
        <f>IF((GETPIVOTDATA("Total-New",'Distrib pivot table'!$C$2,"state","GA","group","2d3b")/GETPIVOTDATA("Total-New",'Distrib pivot table'!$C$2,"state","GA"))=0,,IF(GETPIVOTDATA("Total-New",'Distrib pivot table'!$C$2,"state","GA","group","2d3b")/GETPIVOTDATA("Total-New",'Distrib pivot table'!$C$2,"state","GA")&gt;0.0005,GETPIVOTDATA("Total-New",'Distrib pivot table'!$C$2,"state","GA","group","2d3b")/GETPIVOTDATA("Total-New",'Distrib pivot table'!$C$2,"state","GA"),"*"))</f>
        <v>*</v>
      </c>
      <c r="J54" s="425" t="str">
        <f>IF((GETPIVOTDATA("Total-New",'Distrib pivot table'!$C$2,"state","KY","group","2d3b")/GETPIVOTDATA("Total-New",'Distrib pivot table'!$C$2,"state","KY"))=0,,IF(GETPIVOTDATA("Total-New",'Distrib pivot table'!$C$2,"state","KY","group","2d3b")/GETPIVOTDATA("Total-New",'Distrib pivot table'!$C$2,"state","KY")&gt;0.0005,GETPIVOTDATA("Total-New",'Distrib pivot table'!$C$2,"state","KY","group","2d3b")/GETPIVOTDATA("Total-New",'Distrib pivot table'!$C$2,"state","KY"),"*"))</f>
        <v>*</v>
      </c>
      <c r="K54" s="425">
        <f>IF((GETPIVOTDATA("Total-New",'Distrib pivot table'!$C$2,"state","LA","group","2d3b")/GETPIVOTDATA("Total-New",'Distrib pivot table'!$C$2,"state","LA"))=0,,IF(GETPIVOTDATA("Total-New",'Distrib pivot table'!$C$2,"state","LA","group","2d3b")/GETPIVOTDATA("Total-New",'Distrib pivot table'!$C$2,"state","LA")&gt;0.0005,GETPIVOTDATA("Total-New",'Distrib pivot table'!$C$2,"state","LA","group","2d3b")/GETPIVOTDATA("Total-New",'Distrib pivot table'!$C$2,"state","LA"),"*"))</f>
        <v>0</v>
      </c>
      <c r="L54" s="425" t="str">
        <f>IF((GETPIVOTDATA("Total-New",'Distrib pivot table'!$C$2,"state","MD","group","2d3b")/GETPIVOTDATA("Total-New",'Distrib pivot table'!$C$2,"state","MD"))=0,,IF(GETPIVOTDATA("Total-New",'Distrib pivot table'!$C$2,"state","MD","group","2d3b")/GETPIVOTDATA("Total-New",'Distrib pivot table'!$C$2,"state","MD")&gt;0.0005,GETPIVOTDATA("Total-New",'Distrib pivot table'!$C$2,"state","MD","group","2d3b")/GETPIVOTDATA("Total-New",'Distrib pivot table'!$C$2,"state","MD"),"*"))</f>
        <v>*</v>
      </c>
      <c r="M54" s="425">
        <f>IF((GETPIVOTDATA("Total-New",'Distrib pivot table'!$C$2,"state","MS","group","2d3b")/GETPIVOTDATA("Total-New",'Distrib pivot table'!$C$2,"state","MS"))=0,,IF(GETPIVOTDATA("Total-New",'Distrib pivot table'!$C$2,"state","MS","group","2d3b")/GETPIVOTDATA("Total-New",'Distrib pivot table'!$C$2,"state","MS")&gt;0.0005,GETPIVOTDATA("Total-New",'Distrib pivot table'!$C$2,"state","MS","group","2d3b")/GETPIVOTDATA("Total-New",'Distrib pivot table'!$C$2,"state","MS"),"*"))</f>
        <v>0</v>
      </c>
      <c r="N54" s="425">
        <f>IF((GETPIVOTDATA("Total-New",'Distrib pivot table'!$C$2,"state","NC","group","2d3b")/GETPIVOTDATA("Total-New",'Distrib pivot table'!$C$2,"state","NC"))=0,,IF(GETPIVOTDATA("Total-New",'Distrib pivot table'!$C$2,"state","NC","group","2d3b")/GETPIVOTDATA("Total-New",'Distrib pivot table'!$C$2,"state","NC")&gt;0.0005,GETPIVOTDATA("Total-New",'Distrib pivot table'!$C$2,"state","NC","group","2d3b")/GETPIVOTDATA("Total-New",'Distrib pivot table'!$C$2,"state","NC"),"*"))</f>
        <v>0</v>
      </c>
      <c r="O54" s="425">
        <f>IF((GETPIVOTDATA("Total-New",'Distrib pivot table'!$C$2,"state","OK","group","2d3b")/GETPIVOTDATA("Total-New",'Distrib pivot table'!$C$2,"state","OK"))=0,,IF(GETPIVOTDATA("Total-New",'Distrib pivot table'!$C$2,"state","OK","group","2d3b")/GETPIVOTDATA("Total-New",'Distrib pivot table'!$C$2,"state","OK")&gt;0.0005,GETPIVOTDATA("Total-New",'Distrib pivot table'!$C$2,"state","OK","group","2d3b")/GETPIVOTDATA("Total-New",'Distrib pivot table'!$C$2,"state","OK"),"*"))</f>
        <v>0</v>
      </c>
      <c r="P54" s="425">
        <f>IF((GETPIVOTDATA("Total-New",'Distrib pivot table'!$C$2,"state","SC","group","2d3b")/GETPIVOTDATA("Total-New",'Distrib pivot table'!$C$2,"state","SC"))=0,,IF(GETPIVOTDATA("Total-New",'Distrib pivot table'!$C$2,"state","SC","group","2d3b")/GETPIVOTDATA("Total-New",'Distrib pivot table'!$C$2,"state","SC")&gt;0.0005,GETPIVOTDATA("Total-New",'Distrib pivot table'!$C$2,"state","SC","group","2d3b")/GETPIVOTDATA("Total-New",'Distrib pivot table'!$C$2,"state","SC"),"*"))</f>
        <v>0</v>
      </c>
      <c r="Q54" s="425">
        <f>IF((GETPIVOTDATA("Total-New",'Distrib pivot table'!$C$2,"state","TN","group","2d3b")/GETPIVOTDATA("Total-New",'Distrib pivot table'!$C$2,"state","TN"))=0,,IF(GETPIVOTDATA("Total-New",'Distrib pivot table'!$C$2,"state","TN","group","2d3b")/GETPIVOTDATA("Total-New",'Distrib pivot table'!$C$2,"state","TN")&gt;0.0005,GETPIVOTDATA("Total-New",'Distrib pivot table'!$C$2,"state","TN","group","2d3b")/GETPIVOTDATA("Total-New",'Distrib pivot table'!$C$2,"state","TN"),"*"))</f>
        <v>0</v>
      </c>
      <c r="R54" s="425">
        <f>IF((GETPIVOTDATA("Total-New",'Distrib pivot table'!$C$2,"state","TX","group","2d3b")/GETPIVOTDATA("Total-New",'Distrib pivot table'!$C$2,"state","TX"))=0,,IF(GETPIVOTDATA("Total-New",'Distrib pivot table'!$C$2,"state","TX","group","2d3b")/GETPIVOTDATA("Total-New",'Distrib pivot table'!$C$2,"state","TX")&gt;0.0005,GETPIVOTDATA("Total-New",'Distrib pivot table'!$C$2,"state","TX","group","2d3b")/GETPIVOTDATA("Total-New",'Distrib pivot table'!$C$2,"state","TX"),"*"))</f>
        <v>0</v>
      </c>
      <c r="S54" s="425">
        <f>IF((GETPIVOTDATA("Total-New",'Distrib pivot table'!$C$2,"state","VA","group","2d3b")/GETPIVOTDATA("Total-New",'Distrib pivot table'!$C$2,"state","VA"))=0,,IF(GETPIVOTDATA("Total-New",'Distrib pivot table'!$C$2,"state","VA","group","2d3b")/GETPIVOTDATA("Total-New",'Distrib pivot table'!$C$2,"state","VA")&gt;0.0005,GETPIVOTDATA("Total-New",'Distrib pivot table'!$C$2,"state","VA","group","2d3b")/GETPIVOTDATA("Total-New",'Distrib pivot table'!$C$2,"state","VA"),"*"))</f>
        <v>1.4178018424403164E-2</v>
      </c>
      <c r="T54" s="425">
        <f>IF((GETPIVOTDATA("Total-New",'Distrib pivot table'!$C$2,"state","WV","group","2d3b")/GETPIVOTDATA("Total-New",'Distrib pivot table'!$C$2,"state","WV"))=0,,IF(GETPIVOTDATA("Total-New",'Distrib pivot table'!$C$2,"state","WV","group","2d3b")/GETPIVOTDATA("Total-New",'Distrib pivot table'!$C$2,"state","WV")&gt;0.0005,GETPIVOTDATA("Total-New",'Distrib pivot table'!$C$2,"state","WV","group","2d3b")/GETPIVOTDATA("Total-New",'Distrib pivot table'!$C$2,"state","WV"),"*"))</f>
        <v>0</v>
      </c>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36" customHeight="1">
      <c r="A55" s="1484"/>
      <c r="B55" s="128" t="s">
        <v>192</v>
      </c>
      <c r="C55" s="374" t="s">
        <v>280</v>
      </c>
      <c r="D55" s="426">
        <f>IF(GETPIVOTDATA("Total-New",'Distrib pivot table'!$C$2,"group","1d")/GETPIVOTDATA("Total-New",'Distrib pivot table'!$C$2)=0,,IF(GETPIVOTDATA("Total-New",'Distrib pivot table'!$C$2,"group","1d")/GETPIVOTDATA("Total-New",'Distrib pivot table'!$C$2)&gt;0.0005,GETPIVOTDATA("Total-New",'Distrib pivot table'!$C$2,"group","1d")/GETPIVOTDATA("Total-New",'Distrib pivot table'!$C$2),"*"))</f>
        <v>6.6374931426111367E-2</v>
      </c>
      <c r="E55" s="426">
        <f>IF((GETPIVOTDATA("Total-New",'Distrib pivot table'!$C$2,"state","AL","group","1d")/GETPIVOTDATA("Total-New",'Distrib pivot table'!$C$2,"state","AL"))=0,,IF(GETPIVOTDATA("Total-New",'Distrib pivot table'!$C$2,"state","AL","group","1d")/GETPIVOTDATA("Total-New",'Distrib pivot table'!$C$2,"state","AL")&gt;0.0005,GETPIVOTDATA("Total-New",'Distrib pivot table'!$C$2,"state","AL","group","1d")/GETPIVOTDATA("Total-New",'Distrib pivot table'!$C$2,"state","AL"),"*"))</f>
        <v>0.14679804521106535</v>
      </c>
      <c r="F55" s="426">
        <f>IF((GETPIVOTDATA("Total-New",'Distrib pivot table'!$C$2,"state","AR","group","1d")/GETPIVOTDATA("Total-New",'Distrib pivot table'!$C$2,"state","AR"))=0,,IF(GETPIVOTDATA("Total-New",'Distrib pivot table'!$C$2,"state","AR","group","1d")/GETPIVOTDATA("Total-New",'Distrib pivot table'!$C$2,"state","AR")&gt;0.0005,GETPIVOTDATA("Total-New",'Distrib pivot table'!$C$2,"state","AR","group","1d")/GETPIVOTDATA("Total-New",'Distrib pivot table'!$C$2,"state","AR"),"*"))</f>
        <v>0</v>
      </c>
      <c r="G55" s="426">
        <f>IF((GETPIVOTDATA("Total-New",'Distrib pivot table'!$C$2,"state","DE","group","1d")/GETPIVOTDATA("Total-New",'Distrib pivot table'!$C$2,"state","DE"))=0,,IF(GETPIVOTDATA("Total-New",'Distrib pivot table'!$C$2,"state","DE","group","1d")/GETPIVOTDATA("Total-New",'Distrib pivot table'!$C$2,"state","DE")&gt;0.0005,GETPIVOTDATA("Total-New",'Distrib pivot table'!$C$2,"state","DE","group","1d")/GETPIVOTDATA("Total-New",'Distrib pivot table'!$C$2,"state","DE"),"*"))</f>
        <v>0</v>
      </c>
      <c r="H55" s="426">
        <f>IF((GETPIVOTDATA("Total-New",'Distrib pivot table'!$C$2,"state","FL","group","1d")/GETPIVOTDATA("Total-New",'Distrib pivot table'!$C$2,"state","FL"))=0,,IF(GETPIVOTDATA("Total-New",'Distrib pivot table'!$C$2,"state","FL","group","1d")/GETPIVOTDATA("Total-New",'Distrib pivot table'!$C$2,"state","FL")&gt;0.0005,GETPIVOTDATA("Total-New",'Distrib pivot table'!$C$2,"state","FL","group","1d")/GETPIVOTDATA("Total-New",'Distrib pivot table'!$C$2,"state","FL"),"*"))</f>
        <v>6.5280126993830428E-2</v>
      </c>
      <c r="I55" s="426">
        <f>IF((GETPIVOTDATA("Total-New",'Distrib pivot table'!$C$2,"state","GA","group","1d")/GETPIVOTDATA("Total-New",'Distrib pivot table'!$C$2,"state","GA"))=0,,IF(GETPIVOTDATA("Total-New",'Distrib pivot table'!$C$2,"state","GA","group","1d")/GETPIVOTDATA("Total-New",'Distrib pivot table'!$C$2,"state","GA")&gt;0.0005,GETPIVOTDATA("Total-New",'Distrib pivot table'!$C$2,"state","GA","group","1d")/GETPIVOTDATA("Total-New",'Distrib pivot table'!$C$2,"state","GA"),"*"))</f>
        <v>5.323808969133146E-2</v>
      </c>
      <c r="J55" s="426">
        <f>IF((GETPIVOTDATA("Total-New",'Distrib pivot table'!$C$2,"state","KY","group","1d")/GETPIVOTDATA("Total-New",'Distrib pivot table'!$C$2,"state","KY"))=0,,IF(GETPIVOTDATA("Total-New",'Distrib pivot table'!$C$2,"state","KY","group","1d")/GETPIVOTDATA("Total-New",'Distrib pivot table'!$C$2,"state","KY")&gt;0.0005,GETPIVOTDATA("Total-New",'Distrib pivot table'!$C$2,"state","KY","group","1d")/GETPIVOTDATA("Total-New",'Distrib pivot table'!$C$2,"state","KY"),"*"))</f>
        <v>4.9315251842047041E-2</v>
      </c>
      <c r="K55" s="426">
        <f>IF((GETPIVOTDATA("Total-New",'Distrib pivot table'!$C$2,"state","LA","group","1d")/GETPIVOTDATA("Total-New",'Distrib pivot table'!$C$2,"state","LA"))=0,,IF(GETPIVOTDATA("Total-New",'Distrib pivot table'!$C$2,"state","LA","group","1d")/GETPIVOTDATA("Total-New",'Distrib pivot table'!$C$2,"state","LA")&gt;0.0005,GETPIVOTDATA("Total-New",'Distrib pivot table'!$C$2,"state","LA","group","1d")/GETPIVOTDATA("Total-New",'Distrib pivot table'!$C$2,"state","LA"),"*"))</f>
        <v>1.4521474932868383E-2</v>
      </c>
      <c r="L55" s="426">
        <f>IF((GETPIVOTDATA("Total-New",'Distrib pivot table'!$C$2,"state","MD","group","1d")/GETPIVOTDATA("Total-New",'Distrib pivot table'!$C$2,"state","MD"))=0,,IF(GETPIVOTDATA("Total-New",'Distrib pivot table'!$C$2,"state","MD","group","1d")/GETPIVOTDATA("Total-New",'Distrib pivot table'!$C$2,"state","MD")&gt;0.0005,GETPIVOTDATA("Total-New",'Distrib pivot table'!$C$2,"state","MD","group","1d")/GETPIVOTDATA("Total-New",'Distrib pivot table'!$C$2,"state","MD"),"*"))</f>
        <v>0</v>
      </c>
      <c r="M55" s="426">
        <f>IF((GETPIVOTDATA("Total-New",'Distrib pivot table'!$C$2,"state","MS","group","1d")/GETPIVOTDATA("Total-New",'Distrib pivot table'!$C$2,"state","MS"))=0,,IF(GETPIVOTDATA("Total-New",'Distrib pivot table'!$C$2,"state","MS","group","1d")/GETPIVOTDATA("Total-New",'Distrib pivot table'!$C$2,"state","MS")&gt;0.0005,GETPIVOTDATA("Total-New",'Distrib pivot table'!$C$2,"state","MS","group","1d")/GETPIVOTDATA("Total-New",'Distrib pivot table'!$C$2,"state","MS"),"*"))</f>
        <v>1.4325742523487636E-2</v>
      </c>
      <c r="N55" s="426">
        <f>IF((GETPIVOTDATA("Total-New",'Distrib pivot table'!$C$2,"state","NC","group","1d")/GETPIVOTDATA("Total-New",'Distrib pivot table'!$C$2,"state","NC"))=0,,IF(GETPIVOTDATA("Total-New",'Distrib pivot table'!$C$2,"state","NC","group","1d")/GETPIVOTDATA("Total-New",'Distrib pivot table'!$C$2,"state","NC")&gt;0.0005,GETPIVOTDATA("Total-New",'Distrib pivot table'!$C$2,"state","NC","group","1d")/GETPIVOTDATA("Total-New",'Distrib pivot table'!$C$2,"state","NC"),"*"))</f>
        <v>7.0976020749946134E-2</v>
      </c>
      <c r="O55" s="426">
        <f>IF((GETPIVOTDATA("Total-New",'Distrib pivot table'!$C$2,"state","OK","group","1d")/GETPIVOTDATA("Total-New",'Distrib pivot table'!$C$2,"state","OK"))=0,,IF(GETPIVOTDATA("Total-New",'Distrib pivot table'!$C$2,"state","OK","group","1d")/GETPIVOTDATA("Total-New",'Distrib pivot table'!$C$2,"state","OK")&gt;0.0005,GETPIVOTDATA("Total-New",'Distrib pivot table'!$C$2,"state","OK","group","1d")/GETPIVOTDATA("Total-New",'Distrib pivot table'!$C$2,"state","OK"),"*"))</f>
        <v>5.7285136261354487E-2</v>
      </c>
      <c r="P55" s="426">
        <f>IF((GETPIVOTDATA("Total-New",'Distrib pivot table'!$C$2,"state","SC","group","1d")/GETPIVOTDATA("Total-New",'Distrib pivot table'!$C$2,"state","SC"))=0,,IF(GETPIVOTDATA("Total-New",'Distrib pivot table'!$C$2,"state","SC","group","1d")/GETPIVOTDATA("Total-New",'Distrib pivot table'!$C$2,"state","SC")&gt;0.0005,GETPIVOTDATA("Total-New",'Distrib pivot table'!$C$2,"state","SC","group","1d")/GETPIVOTDATA("Total-New",'Distrib pivot table'!$C$2,"state","SC"),"*"))</f>
        <v>4.7784154860889263E-3</v>
      </c>
      <c r="Q55" s="426">
        <f>IF((GETPIVOTDATA("Total-New",'Distrib pivot table'!$C$2,"state","TN","group","1d")/GETPIVOTDATA("Total-New",'Distrib pivot table'!$C$2,"state","TN"))=0,,IF(GETPIVOTDATA("Total-New",'Distrib pivot table'!$C$2,"state","TN","group","1d")/GETPIVOTDATA("Total-New",'Distrib pivot table'!$C$2,"state","TN")&gt;0.0005,GETPIVOTDATA("Total-New",'Distrib pivot table'!$C$2,"state","TN","group","1d")/GETPIVOTDATA("Total-New",'Distrib pivot table'!$C$2,"state","TN"),"*"))</f>
        <v>1.8301082613760768E-2</v>
      </c>
      <c r="R55" s="426">
        <f>IF((GETPIVOTDATA("Total-New",'Distrib pivot table'!$C$2,"state","TX","group","1d")/GETPIVOTDATA("Total-New",'Distrib pivot table'!$C$2,"state","TX"))=0,,IF(GETPIVOTDATA("Total-New",'Distrib pivot table'!$C$2,"state","TX","group","1d")/GETPIVOTDATA("Total-New",'Distrib pivot table'!$C$2,"state","TX")&gt;0.0005,GETPIVOTDATA("Total-New",'Distrib pivot table'!$C$2,"state","TX","group","1d")/GETPIVOTDATA("Total-New",'Distrib pivot table'!$C$2,"state","TX"),"*"))</f>
        <v>0.13896035590149708</v>
      </c>
      <c r="S55" s="426">
        <f>IF((GETPIVOTDATA("Total-New",'Distrib pivot table'!$C$2,"state","VA","group","1d")/GETPIVOTDATA("Total-New",'Distrib pivot table'!$C$2,"state","VA"))=0,,IF(GETPIVOTDATA("Total-New",'Distrib pivot table'!$C$2,"state","VA","group","1d")/GETPIVOTDATA("Total-New",'Distrib pivot table'!$C$2,"state","VA")&gt;0.0005,GETPIVOTDATA("Total-New",'Distrib pivot table'!$C$2,"state","VA","group","1d")/GETPIVOTDATA("Total-New",'Distrib pivot table'!$C$2,"state","VA"),"*"))</f>
        <v>3.5575060017355643E-2</v>
      </c>
      <c r="T55" s="426">
        <f>IF((GETPIVOTDATA("Total-New",'Distrib pivot table'!$C$2,"state","WV","group","1d")/GETPIVOTDATA("Total-New",'Distrib pivot table'!$C$2,"state","WV"))=0,,IF(GETPIVOTDATA("Total-New",'Distrib pivot table'!$C$2,"state","WV","group","1d")/GETPIVOTDATA("Total-New",'Distrib pivot table'!$C$2,"state","WV")&gt;0.0005,GETPIVOTDATA("Total-New",'Distrib pivot table'!$C$2,"state","WV","group","1d")/GETPIVOTDATA("Total-New",'Distrib pivot table'!$C$2,"state","WV"),"*"))</f>
        <v>0.12187670390107851</v>
      </c>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36" customHeight="1">
      <c r="A56" s="1484"/>
      <c r="B56" s="128" t="s">
        <v>304</v>
      </c>
      <c r="C56" s="374" t="s">
        <v>301</v>
      </c>
      <c r="D56" s="424">
        <f>IF(GETPIVOTDATA("Total-New",'Distrib pivot table'!$C$2,"group","1e")/GETPIVOTDATA("Total-New",'Distrib pivot table'!$C$2)=0,,IF(GETPIVOTDATA("Total-New",'Distrib pivot table'!$C$2,"group","1e")/GETPIVOTDATA("Total-New",'Distrib pivot table'!$C$2)&gt;0.0005,GETPIVOTDATA("Total-New",'Distrib pivot table'!$C$2,"group","1e")/GETPIVOTDATA("Total-New",'Distrib pivot table'!$C$2),"*"))</f>
        <v>2.026014660668779E-2</v>
      </c>
      <c r="E56" s="424">
        <f>IF((GETPIVOTDATA("Total-New",'Distrib pivot table'!$C$2,"state","AL","group","1e")/GETPIVOTDATA("Total-New",'Distrib pivot table'!$C$2,"state","AL"))=0,,IF(GETPIVOTDATA("Total-New",'Distrib pivot table'!$C$2,"state","AL","group","1e")/GETPIVOTDATA("Total-New",'Distrib pivot table'!$C$2,"state","AL")&gt;0.0005,GETPIVOTDATA("Total-New",'Distrib pivot table'!$C$2,"state","AL","group","1e")/GETPIVOTDATA("Total-New",'Distrib pivot table'!$C$2,"state","AL"),"*"))</f>
        <v>0</v>
      </c>
      <c r="F56" s="424">
        <f>IF((GETPIVOTDATA("Total-New",'Distrib pivot table'!$C$2,"state","AR","group","1e")/GETPIVOTDATA("Total-New",'Distrib pivot table'!$C$2,"state","AR"))=0,,IF(GETPIVOTDATA("Total-New",'Distrib pivot table'!$C$2,"state","AR","group","1e")/GETPIVOTDATA("Total-New",'Distrib pivot table'!$C$2,"state","AR")&gt;0.0005,GETPIVOTDATA("Total-New",'Distrib pivot table'!$C$2,"state","AR","group","1e")/GETPIVOTDATA("Total-New",'Distrib pivot table'!$C$2,"state","AR"),"*"))</f>
        <v>8.1038305994375601E-2</v>
      </c>
      <c r="G56" s="424">
        <f>IF((GETPIVOTDATA("Total-New",'Distrib pivot table'!$C$2,"state","DE","group","1e")/GETPIVOTDATA("Total-New",'Distrib pivot table'!$C$2,"state","DE"))=0,,IF(GETPIVOTDATA("Total-New",'Distrib pivot table'!$C$2,"state","DE","group","1e")/GETPIVOTDATA("Total-New",'Distrib pivot table'!$C$2,"state","DE")&gt;0.0005,GETPIVOTDATA("Total-New",'Distrib pivot table'!$C$2,"state","DE","group","1e")/GETPIVOTDATA("Total-New",'Distrib pivot table'!$C$2,"state","DE"),"*"))</f>
        <v>0</v>
      </c>
      <c r="H56" s="424">
        <f>IF((GETPIVOTDATA("Total-New",'Distrib pivot table'!$C$2,"state","FL","group","1e")/GETPIVOTDATA("Total-New",'Distrib pivot table'!$C$2,"state","FL"))=0,,IF(GETPIVOTDATA("Total-New",'Distrib pivot table'!$C$2,"state","FL","group","1e")/GETPIVOTDATA("Total-New",'Distrib pivot table'!$C$2,"state","FL")&gt;0.0005,GETPIVOTDATA("Total-New",'Distrib pivot table'!$C$2,"state","FL","group","1e")/GETPIVOTDATA("Total-New",'Distrib pivot table'!$C$2,"state","FL"),"*"))</f>
        <v>0</v>
      </c>
      <c r="I56" s="424">
        <f>IF((GETPIVOTDATA("Total-New",'Distrib pivot table'!$C$2,"state","GA","group","1e")/GETPIVOTDATA("Total-New",'Distrib pivot table'!$C$2,"state","GA"))=0,,IF(GETPIVOTDATA("Total-New",'Distrib pivot table'!$C$2,"state","GA","group","1e")/GETPIVOTDATA("Total-New",'Distrib pivot table'!$C$2,"state","GA")&gt;0.0005,GETPIVOTDATA("Total-New",'Distrib pivot table'!$C$2,"state","GA","group","1e")/GETPIVOTDATA("Total-New",'Distrib pivot table'!$C$2,"state","GA"),"*"))</f>
        <v>0</v>
      </c>
      <c r="J56" s="424">
        <f>IF((GETPIVOTDATA("Total-New",'Distrib pivot table'!$C$2,"state","KY","group","1e")/GETPIVOTDATA("Total-New",'Distrib pivot table'!$C$2,"state","KY"))=0,,IF(GETPIVOTDATA("Total-New",'Distrib pivot table'!$C$2,"state","KY","group","1e")/GETPIVOTDATA("Total-New",'Distrib pivot table'!$C$2,"state","KY")&gt;0.0005,GETPIVOTDATA("Total-New",'Distrib pivot table'!$C$2,"state","KY","group","1e")/GETPIVOTDATA("Total-New",'Distrib pivot table'!$C$2,"state","KY"),"*"))</f>
        <v>0</v>
      </c>
      <c r="K56" s="424">
        <f>IF((GETPIVOTDATA("Total-New",'Distrib pivot table'!$C$2,"state","LA","group","1e")/GETPIVOTDATA("Total-New",'Distrib pivot table'!$C$2,"state","LA"))=0,,IF(GETPIVOTDATA("Total-New",'Distrib pivot table'!$C$2,"state","LA","group","1e")/GETPIVOTDATA("Total-New",'Distrib pivot table'!$C$2,"state","LA")&gt;0.0005,GETPIVOTDATA("Total-New",'Distrib pivot table'!$C$2,"state","LA","group","1e")/GETPIVOTDATA("Total-New",'Distrib pivot table'!$C$2,"state","LA"),"*"))</f>
        <v>8.5520181552052363E-2</v>
      </c>
      <c r="L56" s="424">
        <f>IF((GETPIVOTDATA("Total-New",'Distrib pivot table'!$C$2,"state","MD","group","1e")/GETPIVOTDATA("Total-New",'Distrib pivot table'!$C$2,"state","MD"))=0,,IF(GETPIVOTDATA("Total-New",'Distrib pivot table'!$C$2,"state","MD","group","1e")/GETPIVOTDATA("Total-New",'Distrib pivot table'!$C$2,"state","MD")&gt;0.0005,GETPIVOTDATA("Total-New",'Distrib pivot table'!$C$2,"state","MD","group","1e")/GETPIVOTDATA("Total-New",'Distrib pivot table'!$C$2,"state","MD"),"*"))</f>
        <v>7.9240460529477294E-2</v>
      </c>
      <c r="M56" s="424">
        <f>IF((GETPIVOTDATA("Total-New",'Distrib pivot table'!$C$2,"state","MS","group","1e")/GETPIVOTDATA("Total-New",'Distrib pivot table'!$C$2,"state","MS"))=0,,IF(GETPIVOTDATA("Total-New",'Distrib pivot table'!$C$2,"state","MS","group","1e")/GETPIVOTDATA("Total-New",'Distrib pivot table'!$C$2,"state","MS")&gt;0.0005,GETPIVOTDATA("Total-New",'Distrib pivot table'!$C$2,"state","MS","group","1e")/GETPIVOTDATA("Total-New",'Distrib pivot table'!$C$2,"state","MS"),"*"))</f>
        <v>0.10956286300964524</v>
      </c>
      <c r="N56" s="424">
        <f>IF((GETPIVOTDATA("Total-New",'Distrib pivot table'!$C$2,"state","NC","group","1e")/GETPIVOTDATA("Total-New",'Distrib pivot table'!$C$2,"state","NC"))=0,,IF(GETPIVOTDATA("Total-New",'Distrib pivot table'!$C$2,"state","NC","group","1e")/GETPIVOTDATA("Total-New",'Distrib pivot table'!$C$2,"state","NC")&gt;0.0005,GETPIVOTDATA("Total-New",'Distrib pivot table'!$C$2,"state","NC","group","1e")/GETPIVOTDATA("Total-New",'Distrib pivot table'!$C$2,"state","NC"),"*"))</f>
        <v>0</v>
      </c>
      <c r="O56" s="424">
        <f>IF((GETPIVOTDATA("Total-New",'Distrib pivot table'!$C$2,"state","OK","group","1e")/GETPIVOTDATA("Total-New",'Distrib pivot table'!$C$2,"state","OK"))=0,,IF(GETPIVOTDATA("Total-New",'Distrib pivot table'!$C$2,"state","OK","group","1e")/GETPIVOTDATA("Total-New",'Distrib pivot table'!$C$2,"state","OK")&gt;0.0005,GETPIVOTDATA("Total-New",'Distrib pivot table'!$C$2,"state","OK","group","1e")/GETPIVOTDATA("Total-New",'Distrib pivot table'!$C$2,"state","OK"),"*"))</f>
        <v>0</v>
      </c>
      <c r="P56" s="424">
        <f>IF((GETPIVOTDATA("Total-New",'Distrib pivot table'!$C$2,"state","SC","group","1e")/GETPIVOTDATA("Total-New",'Distrib pivot table'!$C$2,"state","SC"))=0,,IF(GETPIVOTDATA("Total-New",'Distrib pivot table'!$C$2,"state","SC","group","1e")/GETPIVOTDATA("Total-New",'Distrib pivot table'!$C$2,"state","SC")&gt;0.0005,GETPIVOTDATA("Total-New",'Distrib pivot table'!$C$2,"state","SC","group","1e")/GETPIVOTDATA("Total-New",'Distrib pivot table'!$C$2,"state","SC"),"*"))</f>
        <v>2.6022213488310502E-2</v>
      </c>
      <c r="Q56" s="424">
        <f>IF((GETPIVOTDATA("Total-New",'Distrib pivot table'!$C$2,"state","TN","group","1e")/GETPIVOTDATA("Total-New",'Distrib pivot table'!$C$2,"state","TN"))=0,,IF(GETPIVOTDATA("Total-New",'Distrib pivot table'!$C$2,"state","TN","group","1e")/GETPIVOTDATA("Total-New",'Distrib pivot table'!$C$2,"state","TN")&gt;0.0005,GETPIVOTDATA("Total-New",'Distrib pivot table'!$C$2,"state","TN","group","1e")/GETPIVOTDATA("Total-New",'Distrib pivot table'!$C$2,"state","TN"),"*"))</f>
        <v>7.9706277659343197E-2</v>
      </c>
      <c r="R56" s="424">
        <f>IF((GETPIVOTDATA("Total-New",'Distrib pivot table'!$C$2,"state","TX","group","1e")/GETPIVOTDATA("Total-New",'Distrib pivot table'!$C$2,"state","TX"))=0,,IF(GETPIVOTDATA("Total-New",'Distrib pivot table'!$C$2,"state","TX","group","1e")/GETPIVOTDATA("Total-New",'Distrib pivot table'!$C$2,"state","TX")&gt;0.0005,GETPIVOTDATA("Total-New",'Distrib pivot table'!$C$2,"state","TX","group","1e")/GETPIVOTDATA("Total-New",'Distrib pivot table'!$C$2,"state","TX"),"*"))</f>
        <v>0</v>
      </c>
      <c r="S56" s="424">
        <f>IF((GETPIVOTDATA("Total-New",'Distrib pivot table'!$C$2,"state","VA","group","1e")/GETPIVOTDATA("Total-New",'Distrib pivot table'!$C$2,"state","VA"))=0,,IF(GETPIVOTDATA("Total-New",'Distrib pivot table'!$C$2,"state","VA","group","1e")/GETPIVOTDATA("Total-New",'Distrib pivot table'!$C$2,"state","VA")&gt;0.0005,GETPIVOTDATA("Total-New",'Distrib pivot table'!$C$2,"state","VA","group","1e")/GETPIVOTDATA("Total-New",'Distrib pivot table'!$C$2,"state","VA"),"*"))</f>
        <v>0</v>
      </c>
      <c r="T56" s="424">
        <f>IF((GETPIVOTDATA("Total-New",'Distrib pivot table'!$C$2,"state","WV","group","1e")/GETPIVOTDATA("Total-New",'Distrib pivot table'!$C$2,"state","WV"))=0,,IF(GETPIVOTDATA("Total-New",'Distrib pivot table'!$C$2,"state","WV","group","1e")/GETPIVOTDATA("Total-New",'Distrib pivot table'!$C$2,"state","WV")&gt;0.0005,GETPIVOTDATA("Total-New",'Distrib pivot table'!$C$2,"state","WV","group","1e")/GETPIVOTDATA("Total-New",'Distrib pivot table'!$C$2,"state","WV"),"*"))</f>
        <v>3.2140063826599265E-2</v>
      </c>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row>
    <row r="57" spans="1:50" s="7" customFormat="1" ht="36" customHeight="1">
      <c r="A57" s="1483"/>
      <c r="B57" s="129" t="s">
        <v>305</v>
      </c>
      <c r="C57" s="376" t="s">
        <v>302</v>
      </c>
      <c r="D57" s="422">
        <f>IF(GETPIVOTDATA("Total-New",'Distrib pivot table'!$C$2,"group","1f")/GETPIVOTDATA("Total-New",'Distrib pivot table'!$C$2)=0,,IF(GETPIVOTDATA("Total-New",'Distrib pivot table'!$C$2,"group","1f")/GETPIVOTDATA("Total-New",'Distrib pivot table'!$C$2)&gt;0.0005,GETPIVOTDATA("Total-New",'Distrib pivot table'!$C$2,"group","1f")/GETPIVOTDATA("Total-New",'Distrib pivot table'!$C$2),"*"))</f>
        <v>9.49783628240446E-3</v>
      </c>
      <c r="E57" s="422">
        <f>IF((GETPIVOTDATA("Total-New",'Distrib pivot table'!$C$2,"state","AL","group","1f")/GETPIVOTDATA("Total-New",'Distrib pivot table'!$C$2,"state","AL"))=0,,IF(GETPIVOTDATA("Total-New",'Distrib pivot table'!$C$2,"state","AL","group","1f")/GETPIVOTDATA("Total-New",'Distrib pivot table'!$C$2,"state","AL")&gt;0.0005,GETPIVOTDATA("Total-New",'Distrib pivot table'!$C$2,"state","AL","group","1f")/GETPIVOTDATA("Total-New",'Distrib pivot table'!$C$2,"state","AL"),"*"))</f>
        <v>3.0745156195817751E-3</v>
      </c>
      <c r="F57" s="422">
        <f>IF((GETPIVOTDATA("Total-New",'Distrib pivot table'!$C$2,"state","AR","group","1f")/GETPIVOTDATA("Total-New",'Distrib pivot table'!$C$2,"state","AR"))=0,,IF(GETPIVOTDATA("Total-New",'Distrib pivot table'!$C$2,"state","AR","group","1f")/GETPIVOTDATA("Total-New",'Distrib pivot table'!$C$2,"state","AR")&gt;0.0005,GETPIVOTDATA("Total-New",'Distrib pivot table'!$C$2,"state","AR","group","1f")/GETPIVOTDATA("Total-New",'Distrib pivot table'!$C$2,"state","AR"),"*"))</f>
        <v>0</v>
      </c>
      <c r="G57" s="422">
        <f>IF((GETPIVOTDATA("Total-New",'Distrib pivot table'!$C$2,"state","DE","group","1f")/GETPIVOTDATA("Total-New",'Distrib pivot table'!$C$2,"state","DE"))=0,,IF(GETPIVOTDATA("Total-New",'Distrib pivot table'!$C$2,"state","DE","group","1f")/GETPIVOTDATA("Total-New",'Distrib pivot table'!$C$2,"state","DE")&gt;0.0005,GETPIVOTDATA("Total-New",'Distrib pivot table'!$C$2,"state","DE","group","1f")/GETPIVOTDATA("Total-New",'Distrib pivot table'!$C$2,"state","DE"),"*"))</f>
        <v>0</v>
      </c>
      <c r="H57" s="422">
        <f>IF((GETPIVOTDATA("Total-New",'Distrib pivot table'!$C$2,"state","FL","group","1f")/GETPIVOTDATA("Total-New",'Distrib pivot table'!$C$2,"state","FL"))=0,,IF(GETPIVOTDATA("Total-New",'Distrib pivot table'!$C$2,"state","FL","group","1f")/GETPIVOTDATA("Total-New",'Distrib pivot table'!$C$2,"state","FL")&gt;0.0005,GETPIVOTDATA("Total-New",'Distrib pivot table'!$C$2,"state","FL","group","1f")/GETPIVOTDATA("Total-New",'Distrib pivot table'!$C$2,"state","FL"),"*"))</f>
        <v>0</v>
      </c>
      <c r="I57" s="422">
        <f>IF((GETPIVOTDATA("Total-New",'Distrib pivot table'!$C$2,"state","GA","group","1f")/GETPIVOTDATA("Total-New",'Distrib pivot table'!$C$2,"state","GA"))=0,,IF(GETPIVOTDATA("Total-New",'Distrib pivot table'!$C$2,"state","GA","group","1f")/GETPIVOTDATA("Total-New",'Distrib pivot table'!$C$2,"state","GA")&gt;0.0005,GETPIVOTDATA("Total-New",'Distrib pivot table'!$C$2,"state","GA","group","1f")/GETPIVOTDATA("Total-New",'Distrib pivot table'!$C$2,"state","GA"),"*"))</f>
        <v>2.9353656657747244E-2</v>
      </c>
      <c r="J57" s="422">
        <f>IF((GETPIVOTDATA("Total-New",'Distrib pivot table'!$C$2,"state","KY","group","1f")/GETPIVOTDATA("Total-New",'Distrib pivot table'!$C$2,"state","KY"))=0,,IF(GETPIVOTDATA("Total-New",'Distrib pivot table'!$C$2,"state","KY","group","1f")/GETPIVOTDATA("Total-New",'Distrib pivot table'!$C$2,"state","KY")&gt;0.0005,GETPIVOTDATA("Total-New",'Distrib pivot table'!$C$2,"state","KY","group","1f")/GETPIVOTDATA("Total-New",'Distrib pivot table'!$C$2,"state","KY"),"*"))</f>
        <v>0</v>
      </c>
      <c r="K57" s="422">
        <f>IF((GETPIVOTDATA("Total-New",'Distrib pivot table'!$C$2,"state","LA","group","1f")/GETPIVOTDATA("Total-New",'Distrib pivot table'!$C$2,"state","LA"))=0,,IF(GETPIVOTDATA("Total-New",'Distrib pivot table'!$C$2,"state","LA","group","1f")/GETPIVOTDATA("Total-New",'Distrib pivot table'!$C$2,"state","LA")&gt;0.0005,GETPIVOTDATA("Total-New",'Distrib pivot table'!$C$2,"state","LA","group","1f")/GETPIVOTDATA("Total-New",'Distrib pivot table'!$C$2,"state","LA"),"*"))</f>
        <v>0</v>
      </c>
      <c r="L57" s="422">
        <f>IF((GETPIVOTDATA("Total-New",'Distrib pivot table'!$C$2,"state","MD","group","1f")/GETPIVOTDATA("Total-New",'Distrib pivot table'!$C$2,"state","MD"))=0,,IF(GETPIVOTDATA("Total-New",'Distrib pivot table'!$C$2,"state","MD","group","1f")/GETPIVOTDATA("Total-New",'Distrib pivot table'!$C$2,"state","MD")&gt;0.0005,GETPIVOTDATA("Total-New",'Distrib pivot table'!$C$2,"state","MD","group","1f")/GETPIVOTDATA("Total-New",'Distrib pivot table'!$C$2,"state","MD"),"*"))</f>
        <v>7.8871200739054584E-2</v>
      </c>
      <c r="M57" s="422">
        <f>IF((GETPIVOTDATA("Total-New",'Distrib pivot table'!$C$2,"state","MS","group","1f")/GETPIVOTDATA("Total-New",'Distrib pivot table'!$C$2,"state","MS"))=0,,IF(GETPIVOTDATA("Total-New",'Distrib pivot table'!$C$2,"state","MS","group","1f")/GETPIVOTDATA("Total-New",'Distrib pivot table'!$C$2,"state","MS")&gt;0.0005,GETPIVOTDATA("Total-New",'Distrib pivot table'!$C$2,"state","MS","group","1f")/GETPIVOTDATA("Total-New",'Distrib pivot table'!$C$2,"state","MS"),"*"))</f>
        <v>0</v>
      </c>
      <c r="N57" s="422">
        <f>IF((GETPIVOTDATA("Total-New",'Distrib pivot table'!$C$2,"state","NC","group","1f")/GETPIVOTDATA("Total-New",'Distrib pivot table'!$C$2,"state","NC"))=0,,IF(GETPIVOTDATA("Total-New",'Distrib pivot table'!$C$2,"state","NC","group","1f")/GETPIVOTDATA("Total-New",'Distrib pivot table'!$C$2,"state","NC")&gt;0.0005,GETPIVOTDATA("Total-New",'Distrib pivot table'!$C$2,"state","NC","group","1f")/GETPIVOTDATA("Total-New",'Distrib pivot table'!$C$2,"state","NC"),"*"))</f>
        <v>7.4820133379648003E-3</v>
      </c>
      <c r="O57" s="422">
        <f>IF((GETPIVOTDATA("Total-New",'Distrib pivot table'!$C$2,"state","OK","group","1f")/GETPIVOTDATA("Total-New",'Distrib pivot table'!$C$2,"state","OK"))=0,,IF(GETPIVOTDATA("Total-New",'Distrib pivot table'!$C$2,"state","OK","group","1f")/GETPIVOTDATA("Total-New",'Distrib pivot table'!$C$2,"state","OK")&gt;0.0005,GETPIVOTDATA("Total-New",'Distrib pivot table'!$C$2,"state","OK","group","1f")/GETPIVOTDATA("Total-New",'Distrib pivot table'!$C$2,"state","OK"),"*"))</f>
        <v>0</v>
      </c>
      <c r="P57" s="422">
        <f>IF((GETPIVOTDATA("Total-New",'Distrib pivot table'!$C$2,"state","SC","group","1f")/GETPIVOTDATA("Total-New",'Distrib pivot table'!$C$2,"state","SC"))=0,,IF(GETPIVOTDATA("Total-New",'Distrib pivot table'!$C$2,"state","SC","group","1f")/GETPIVOTDATA("Total-New",'Distrib pivot table'!$C$2,"state","SC")&gt;0.0005,GETPIVOTDATA("Total-New",'Distrib pivot table'!$C$2,"state","SC","group","1f")/GETPIVOTDATA("Total-New",'Distrib pivot table'!$C$2,"state","SC"),"*"))</f>
        <v>0</v>
      </c>
      <c r="Q57" s="422">
        <f>IF((GETPIVOTDATA("Total-New",'Distrib pivot table'!$C$2,"state","TN","group","1f")/GETPIVOTDATA("Total-New",'Distrib pivot table'!$C$2,"state","TN"))=0,,IF(GETPIVOTDATA("Total-New",'Distrib pivot table'!$C$2,"state","TN","group","1f")/GETPIVOTDATA("Total-New",'Distrib pivot table'!$C$2,"state","TN")&gt;0.0005,GETPIVOTDATA("Total-New",'Distrib pivot table'!$C$2,"state","TN","group","1f")/GETPIVOTDATA("Total-New",'Distrib pivot table'!$C$2,"state","TN"),"*"))</f>
        <v>3.337668208038564E-3</v>
      </c>
      <c r="R57" s="422">
        <f>IF((GETPIVOTDATA("Total-New",'Distrib pivot table'!$C$2,"state","TX","group","1f")/GETPIVOTDATA("Total-New",'Distrib pivot table'!$C$2,"state","TX"))=0,,IF(GETPIVOTDATA("Total-New",'Distrib pivot table'!$C$2,"state","TX","group","1f")/GETPIVOTDATA("Total-New",'Distrib pivot table'!$C$2,"state","TX")&gt;0.0005,GETPIVOTDATA("Total-New",'Distrib pivot table'!$C$2,"state","TX","group","1f")/GETPIVOTDATA("Total-New",'Distrib pivot table'!$C$2,"state","TX"),"*"))</f>
        <v>0</v>
      </c>
      <c r="S57" s="422">
        <f>IF((GETPIVOTDATA("Total-New",'Distrib pivot table'!$C$2,"state","VA","group","1f")/GETPIVOTDATA("Total-New",'Distrib pivot table'!$C$2,"state","VA"))=0,,IF(GETPIVOTDATA("Total-New",'Distrib pivot table'!$C$2,"state","VA","group","1f")/GETPIVOTDATA("Total-New",'Distrib pivot table'!$C$2,"state","VA")&gt;0.0005,GETPIVOTDATA("Total-New",'Distrib pivot table'!$C$2,"state","VA","group","1f")/GETPIVOTDATA("Total-New",'Distrib pivot table'!$C$2,"state","VA"),"*"))</f>
        <v>8.0120270014317728E-3</v>
      </c>
      <c r="T57" s="422">
        <f>IF((GETPIVOTDATA("Total-New",'Distrib pivot table'!$C$2,"state","WV","group","1f")/GETPIVOTDATA("Total-New",'Distrib pivot table'!$C$2,"state","WV"))=0,,IF(GETPIVOTDATA("Total-New",'Distrib pivot table'!$C$2,"state","WV","group","1f")/GETPIVOTDATA("Total-New",'Distrib pivot table'!$C$2,"state","WV")&gt;0.0005,GETPIVOTDATA("Total-New",'Distrib pivot table'!$C$2,"state","WV","group","1f")/GETPIVOTDATA("Total-New",'Distrib pivot table'!$C$2,"state","WV"),"*"))</f>
        <v>0</v>
      </c>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spans="1:50" s="61" customFormat="1" ht="12" customHeight="1">
      <c r="A58" s="134"/>
      <c r="B58" s="132" t="s">
        <v>97</v>
      </c>
      <c r="C58" s="311"/>
      <c r="D58" s="334">
        <f t="shared" ref="D58:T58" si="6">SUM(D9,D17,D24,D29,D34,D35,D39,D55,D56,D57)</f>
        <v>0.99891213449815675</v>
      </c>
      <c r="E58" s="334">
        <f t="shared" si="6"/>
        <v>0.99943373209137831</v>
      </c>
      <c r="F58" s="334">
        <f t="shared" si="6"/>
        <v>0.99900601958959256</v>
      </c>
      <c r="G58" s="334">
        <f t="shared" si="6"/>
        <v>0.99895065532842753</v>
      </c>
      <c r="H58" s="334">
        <f t="shared" si="6"/>
        <v>0.99906056704057877</v>
      </c>
      <c r="I58" s="334">
        <f t="shared" si="6"/>
        <v>0.99884787708549783</v>
      </c>
      <c r="J58" s="334">
        <f t="shared" si="6"/>
        <v>0.99944854636273661</v>
      </c>
      <c r="K58" s="334">
        <f t="shared" si="6"/>
        <v>0.99949328412206073</v>
      </c>
      <c r="L58" s="334">
        <f t="shared" si="6"/>
        <v>0.99900388987786293</v>
      </c>
      <c r="M58" s="334">
        <f t="shared" si="6"/>
        <v>0.99844915344607887</v>
      </c>
      <c r="N58" s="334">
        <f t="shared" si="6"/>
        <v>0.99996466850603893</v>
      </c>
      <c r="O58" s="334">
        <f t="shared" si="6"/>
        <v>1</v>
      </c>
      <c r="P58" s="334">
        <f t="shared" si="6"/>
        <v>0.99966208640871412</v>
      </c>
      <c r="Q58" s="334">
        <f t="shared" si="6"/>
        <v>0.99941652129225411</v>
      </c>
      <c r="R58" s="334">
        <f t="shared" si="6"/>
        <v>1</v>
      </c>
      <c r="S58" s="334">
        <f t="shared" si="6"/>
        <v>0.99888927574393105</v>
      </c>
      <c r="T58" s="334">
        <f t="shared" si="6"/>
        <v>0.99935519460842959</v>
      </c>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row>
    <row r="59" spans="1:50" s="10" customFormat="1" ht="36.75" customHeight="1">
      <c r="A59" s="1478" t="s">
        <v>1951</v>
      </c>
      <c r="B59" s="1479"/>
      <c r="C59" s="1479"/>
      <c r="D59" s="1479"/>
      <c r="E59" s="1479"/>
      <c r="F59" s="1479"/>
      <c r="G59" s="1479"/>
      <c r="H59" s="1479"/>
      <c r="I59" s="1479"/>
      <c r="J59" s="1479"/>
      <c r="K59" s="1479"/>
      <c r="L59" s="1479"/>
      <c r="M59" s="1479"/>
      <c r="N59" s="1479"/>
      <c r="O59" s="1479"/>
      <c r="P59" s="1479"/>
      <c r="Q59" s="1479"/>
      <c r="R59" s="1479"/>
      <c r="S59" s="1479"/>
      <c r="T59" s="1479"/>
    </row>
    <row r="60" spans="1:50" s="10" customFormat="1" ht="15" customHeight="1">
      <c r="A60" s="55" t="s">
        <v>83</v>
      </c>
      <c r="B60" s="133"/>
      <c r="C60" s="2"/>
      <c r="D60" s="2"/>
      <c r="E60" s="2"/>
      <c r="F60" s="2"/>
      <c r="G60" s="2"/>
      <c r="H60" s="1"/>
      <c r="I60" s="2"/>
      <c r="J60" s="2"/>
      <c r="K60" s="1"/>
      <c r="L60" s="1"/>
      <c r="M60" s="1"/>
      <c r="N60" s="2"/>
      <c r="O60" s="2"/>
      <c r="P60" s="2"/>
      <c r="Q60" s="2"/>
      <c r="R60" s="2"/>
      <c r="S60" s="2"/>
      <c r="T60" s="47"/>
    </row>
    <row r="61" spans="1:50" s="10" customFormat="1" ht="15" customHeight="1">
      <c r="A61" s="47" t="s">
        <v>0</v>
      </c>
      <c r="B61" s="133"/>
      <c r="C61" s="2"/>
      <c r="D61" s="2"/>
      <c r="E61" s="2"/>
      <c r="F61" s="2"/>
      <c r="G61" s="2"/>
      <c r="H61" s="1"/>
      <c r="I61" s="2"/>
      <c r="J61" s="2"/>
      <c r="K61" s="1"/>
      <c r="L61" s="1"/>
      <c r="M61" s="1"/>
      <c r="N61" s="2"/>
      <c r="O61" s="2"/>
      <c r="P61" s="2"/>
      <c r="Q61" s="2"/>
      <c r="R61" s="2"/>
      <c r="S61" s="2"/>
      <c r="T61" s="534" t="s">
        <v>1927</v>
      </c>
    </row>
    <row r="65" spans="6:6">
      <c r="F65" s="219"/>
    </row>
  </sheetData>
  <mergeCells count="4">
    <mergeCell ref="A7:A24"/>
    <mergeCell ref="A59:T59"/>
    <mergeCell ref="A25:T25"/>
    <mergeCell ref="A29:A57"/>
  </mergeCells>
  <phoneticPr fontId="17" type="noConversion"/>
  <printOptions horizontalCentered="1"/>
  <pageMargins left="0.25" right="0.27" top="0.7" bottom="0.5" header="0.7" footer="0.25"/>
  <pageSetup scale="71" firstPageNumber="125" orientation="landscape" useFirstPageNumber="1" r:id="rId1"/>
  <headerFooter alignWithMargins="0">
    <oddHeader>&amp;R&amp;"Arial,Regular"&amp;8SREB-State Data Exchange</oddHeader>
    <oddFooter>&amp;C&amp;"Arial,Regular"&amp;P</oddFooter>
  </headerFooter>
  <rowBreaks count="1" manualBreakCount="1">
    <brk id="28"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X62"/>
  <sheetViews>
    <sheetView view="pageBreakPreview" zoomScaleNormal="100" zoomScaleSheetLayoutView="100" workbookViewId="0">
      <pane xSplit="3" ySplit="4" topLeftCell="D5" activePane="bottomRight" state="frozen"/>
      <selection pane="topRight" activeCell="D1" sqref="D1"/>
      <selection pane="bottomLeft" activeCell="A5" sqref="A5"/>
      <selection pane="bottomRight"/>
    </sheetView>
  </sheetViews>
  <sheetFormatPr defaultColWidth="8.875" defaultRowHeight="12.75"/>
  <cols>
    <col min="1" max="1" width="10" style="7" customWidth="1"/>
    <col min="2" max="2" width="29.625" style="61" customWidth="1"/>
    <col min="3" max="3" width="4.5" style="312" hidden="1" customWidth="1"/>
    <col min="4" max="4" width="5.875" style="18" customWidth="1"/>
    <col min="5" max="5" width="5.875" style="6" customWidth="1"/>
    <col min="6" max="6" width="6.125" style="6" customWidth="1"/>
    <col min="7" max="7" width="7.5" style="6" customWidth="1"/>
    <col min="8" max="8" width="5.875" style="46" customWidth="1"/>
    <col min="9" max="14" width="5.875" style="6" customWidth="1"/>
    <col min="15" max="15" width="6" style="6" customWidth="1"/>
    <col min="16" max="16" width="6.75" style="6" customWidth="1"/>
    <col min="17" max="17" width="6.25" style="6" customWidth="1"/>
    <col min="18" max="19" width="5.875" style="6" customWidth="1"/>
    <col min="20" max="20" width="5.875" style="7" customWidth="1"/>
    <col min="21" max="16384" width="8.875" style="6"/>
  </cols>
  <sheetData>
    <row r="1" spans="1:50" s="61" customFormat="1" ht="18">
      <c r="A1" s="135" t="s">
        <v>356</v>
      </c>
      <c r="B1" s="123"/>
      <c r="C1" s="308"/>
      <c r="D1" s="123"/>
      <c r="E1" s="123"/>
      <c r="F1" s="123"/>
      <c r="G1" s="123"/>
      <c r="H1" s="136"/>
      <c r="I1" s="123"/>
      <c r="J1" s="123"/>
      <c r="K1" s="123"/>
      <c r="L1" s="123"/>
      <c r="M1" s="123"/>
      <c r="N1" s="123"/>
      <c r="O1" s="123"/>
      <c r="P1" s="123"/>
      <c r="Q1" s="123"/>
      <c r="R1" s="123"/>
      <c r="S1" s="123"/>
      <c r="T1" s="101"/>
    </row>
    <row r="2" spans="1:50" s="139" customFormat="1" ht="18.75">
      <c r="A2" s="137" t="s">
        <v>25</v>
      </c>
      <c r="B2" s="124"/>
      <c r="C2" s="309"/>
      <c r="D2" s="315"/>
      <c r="E2" s="138"/>
      <c r="F2" s="138"/>
      <c r="G2" s="138"/>
      <c r="H2" s="101"/>
      <c r="I2" s="138"/>
      <c r="J2" s="138"/>
      <c r="K2" s="101"/>
      <c r="L2" s="101"/>
      <c r="M2" s="101"/>
      <c r="N2" s="138"/>
      <c r="O2" s="138"/>
      <c r="P2" s="138"/>
      <c r="Q2" s="138"/>
      <c r="R2" s="138"/>
      <c r="S2" s="138"/>
      <c r="T2" s="101"/>
    </row>
    <row r="3" spans="1:50" s="139" customFormat="1" ht="15.75">
      <c r="A3" s="137" t="s">
        <v>435</v>
      </c>
      <c r="B3" s="124"/>
      <c r="C3" s="309"/>
      <c r="D3" s="313"/>
      <c r="E3" s="138"/>
      <c r="F3" s="138"/>
      <c r="G3" s="138"/>
      <c r="H3" s="101"/>
      <c r="I3" s="138"/>
      <c r="J3" s="138"/>
      <c r="K3" s="101"/>
      <c r="L3" s="101"/>
      <c r="M3" s="101"/>
      <c r="N3" s="138"/>
      <c r="O3" s="138"/>
      <c r="P3" s="138"/>
      <c r="Q3" s="138"/>
      <c r="R3" s="138"/>
      <c r="S3" s="138"/>
      <c r="T3" s="101"/>
    </row>
    <row r="4" spans="1:50" s="84" customFormat="1" ht="12.75" customHeight="1">
      <c r="A4" s="80"/>
      <c r="B4" s="125"/>
      <c r="C4" s="310" t="s">
        <v>263</v>
      </c>
      <c r="D4" s="79" t="s">
        <v>95</v>
      </c>
      <c r="E4" s="81" t="s">
        <v>142</v>
      </c>
      <c r="F4" s="82" t="s">
        <v>143</v>
      </c>
      <c r="G4" s="82" t="s">
        <v>148</v>
      </c>
      <c r="H4" s="82" t="s">
        <v>149</v>
      </c>
      <c r="I4" s="82" t="s">
        <v>144</v>
      </c>
      <c r="J4" s="83" t="s">
        <v>150</v>
      </c>
      <c r="K4" s="83" t="s">
        <v>145</v>
      </c>
      <c r="L4" s="83" t="s">
        <v>151</v>
      </c>
      <c r="M4" s="83" t="s">
        <v>152</v>
      </c>
      <c r="N4" s="83" t="s">
        <v>153</v>
      </c>
      <c r="O4" s="83" t="s">
        <v>154</v>
      </c>
      <c r="P4" s="83" t="s">
        <v>146</v>
      </c>
      <c r="Q4" s="83" t="s">
        <v>155</v>
      </c>
      <c r="R4" s="83" t="s">
        <v>147</v>
      </c>
      <c r="S4" s="83" t="s">
        <v>156</v>
      </c>
      <c r="T4" s="83" t="s">
        <v>157</v>
      </c>
    </row>
    <row r="5" spans="1:50" ht="27">
      <c r="A5" s="1485" t="s">
        <v>337</v>
      </c>
      <c r="B5" s="361" t="s">
        <v>341</v>
      </c>
      <c r="C5" s="369" t="s">
        <v>264</v>
      </c>
      <c r="D5" s="363">
        <f>IF(GETPIVOTDATA("Total-Old",'Distrib pivot table'!$C$2,"group","1A")/GETPIVOTDATA("Total-Old",'Distrib pivot table'!$C$2)=0,,IF(GETPIVOTDATA("Total-Old",'Distrib pivot table'!$C$2,"group","1A")/GETPIVOTDATA("Total-Old",'Distrib pivot table'!$C$2)&gt;0.0005,GETPIVOTDATA("Total-Old",'Distrib pivot table'!$C$2,"group","1A")/GETPIVOTDATA("Total-Old",'Distrib pivot table'!$C$2),"*"))</f>
        <v>0.79682711816450158</v>
      </c>
      <c r="E5" s="364">
        <f>IF((GETPIVOTDATA("Total-Old",'Distrib pivot table'!$C$2,"state","AL","group","1A")/GETPIVOTDATA("Total-Old",'Distrib pivot table'!$C$2,"state","AL"))=0,,IF(GETPIVOTDATA("Total-Old",'Distrib pivot table'!$C$2,"state","AL","group","1A")/GETPIVOTDATA("Total-Old",'Distrib pivot table'!$C$2,"state","AL")&gt;0.0005,GETPIVOTDATA("Total-Old",'Distrib pivot table'!$C$2,"state","AL","group","1A")/GETPIVOTDATA("Total-Old",'Distrib pivot table'!$C$2,"state","AL"),"*"))</f>
        <v>0.79064816407749239</v>
      </c>
      <c r="F5" s="364">
        <f>IF((GETPIVOTDATA("Total-Old",'Distrib pivot table'!$C$2,"state","AR","group","1A")/GETPIVOTDATA("Total-Old",'Distrib pivot table'!$C$2,"state","AR"))=0,,IF(GETPIVOTDATA("Total-Old",'Distrib pivot table'!$C$2,"state","AR","group","1A")/GETPIVOTDATA("Total-Old",'Distrib pivot table'!$C$2,"state","AR")&gt;0.0005,GETPIVOTDATA("Total-Old",'Distrib pivot table'!$C$2,"state","AR","group","1A")/GETPIVOTDATA("Total-Old",'Distrib pivot table'!$C$2,"state","AR"),"*"))</f>
        <v>0.78101359291193706</v>
      </c>
      <c r="G5" s="364">
        <f>IF((GETPIVOTDATA("Total-Old",'Distrib pivot table'!$C$2,"state","DE","group","1A")/GETPIVOTDATA("Total-Old",'Distrib pivot table'!$C$2,"state","DE"))=0,,IF(GETPIVOTDATA("Total-Old",'Distrib pivot table'!$C$2,"state","DE","group","1A")/GETPIVOTDATA("Total-Old",'Distrib pivot table'!$C$2,"state","DE")&gt;0.0005,GETPIVOTDATA("Total-Old",'Distrib pivot table'!$C$2,"state","DE","group","1A")/GETPIVOTDATA("Total-Old",'Distrib pivot table'!$C$2,"state","DE"),"*"))</f>
        <v>0.9637654520348321</v>
      </c>
      <c r="H5" s="364">
        <f>IF((GETPIVOTDATA("Total-Old",'Distrib pivot table'!$C$2,"state","FL","group","1A")/GETPIVOTDATA("Total-Old",'Distrib pivot table'!$C$2,"state","FL"))=0,,IF(GETPIVOTDATA("Total-Old",'Distrib pivot table'!$C$2,"state","FL","group","1A")/GETPIVOTDATA("Total-Old",'Distrib pivot table'!$C$2,"state","FL")&gt;0.0005,GETPIVOTDATA("Total-Old",'Distrib pivot table'!$C$2,"state","FL","group","1A")/GETPIVOTDATA("Total-Old",'Distrib pivot table'!$C$2,"state","FL"),"*"))</f>
        <v>0.81881988407896866</v>
      </c>
      <c r="I5" s="364">
        <f>IF((GETPIVOTDATA("Total-Old",'Distrib pivot table'!$C$2,"state","GA","group","1A")/GETPIVOTDATA("Total-Old",'Distrib pivot table'!$C$2,"state","GA"))=0,,IF(GETPIVOTDATA("Total-Old",'Distrib pivot table'!$C$2,"state","GA","group","1A")/GETPIVOTDATA("Total-Old",'Distrib pivot table'!$C$2,"state","GA")&gt;0.0005,GETPIVOTDATA("Total-Old",'Distrib pivot table'!$C$2,"state","GA","group","1A")/GETPIVOTDATA("Total-Old",'Distrib pivot table'!$C$2,"state","GA"),"*"))</f>
        <v>0.78333163187107391</v>
      </c>
      <c r="J5" s="364">
        <f>IF((GETPIVOTDATA("Total-Old",'Distrib pivot table'!$C$2,"state","KY","group","1A")/GETPIVOTDATA("Total-Old",'Distrib pivot table'!$C$2,"state","KY"))=0,,IF(GETPIVOTDATA("Total-Old",'Distrib pivot table'!$C$2,"state","KY","group","1A")/GETPIVOTDATA("Total-Old",'Distrib pivot table'!$C$2,"state","KY")&gt;0.0005,GETPIVOTDATA("Total-Old",'Distrib pivot table'!$C$2,"state","KY","group","1A")/GETPIVOTDATA("Total-Old",'Distrib pivot table'!$C$2,"state","KY"),"*"))</f>
        <v>0.80750711038810785</v>
      </c>
      <c r="K5" s="364">
        <f>IF((GETPIVOTDATA("Total-Old",'Distrib pivot table'!$C$2,"state","LA","group","1A")/GETPIVOTDATA("Total-Old",'Distrib pivot table'!$C$2,"state","LA"))=0,,IF(GETPIVOTDATA("Total-Old",'Distrib pivot table'!$C$2,"state","LA","group","1A")/GETPIVOTDATA("Total-Old",'Distrib pivot table'!$C$2,"state","LA")&gt;0.0005,GETPIVOTDATA("Total-Old",'Distrib pivot table'!$C$2,"state","LA","group","1A")/GETPIVOTDATA("Total-Old",'Distrib pivot table'!$C$2,"state","LA"),"*"))</f>
        <v>0.69687997758400022</v>
      </c>
      <c r="L5" s="364">
        <f>IF((GETPIVOTDATA("Total-Old",'Distrib pivot table'!$C$2,"state","MD","group","1A")/GETPIVOTDATA("Total-Old",'Distrib pivot table'!$C$2,"state","MD"))=0,,IF(GETPIVOTDATA("Total-Old",'Distrib pivot table'!$C$2,"state","MD","group","1A")/GETPIVOTDATA("Total-Old",'Distrib pivot table'!$C$2,"state","MD")&gt;0.0005,GETPIVOTDATA("Total-Old",'Distrib pivot table'!$C$2,"state","MD","group","1A")/GETPIVOTDATA("Total-Old",'Distrib pivot table'!$C$2,"state","MD"),"*"))</f>
        <v>0.78075674572977583</v>
      </c>
      <c r="M5" s="364">
        <f>IF((GETPIVOTDATA("Total-Old",'Distrib pivot table'!$C$2,"state","MS","group","1A")/GETPIVOTDATA("Total-Old",'Distrib pivot table'!$C$2,"state","MS"))=0,,IF(GETPIVOTDATA("Total-Old",'Distrib pivot table'!$C$2,"state","MS","group","1A")/GETPIVOTDATA("Total-Old",'Distrib pivot table'!$C$2,"state","MS")&gt;0.0005,GETPIVOTDATA("Total-Old",'Distrib pivot table'!$C$2,"state","MS","group","1A")/GETPIVOTDATA("Total-Old",'Distrib pivot table'!$C$2,"state","MS"),"*"))</f>
        <v>0.78502492016075998</v>
      </c>
      <c r="N5" s="364">
        <f>IF((GETPIVOTDATA("Total-Old",'Distrib pivot table'!$C$2,"state","NC","group","1A")/GETPIVOTDATA("Total-Old",'Distrib pivot table'!$C$2,"state","NC"))=0,,IF(GETPIVOTDATA("Total-Old",'Distrib pivot table'!$C$2,"state","NC","group","1A")/GETPIVOTDATA("Total-Old",'Distrib pivot table'!$C$2,"state","NC")&gt;0.0005,GETPIVOTDATA("Total-Old",'Distrib pivot table'!$C$2,"state","NC","group","1A")/GETPIVOTDATA("Total-Old",'Distrib pivot table'!$C$2,"state","NC"),"*"))</f>
        <v>0.81228948686286706</v>
      </c>
      <c r="O5" s="364">
        <f>IF((GETPIVOTDATA("Total-Old",'Distrib pivot table'!$C$2,"state","OK","group","1A")/GETPIVOTDATA("Total-Old",'Distrib pivot table'!$C$2,"state","OK"))=0,,IF(GETPIVOTDATA("Total-Old",'Distrib pivot table'!$C$2,"state","OK","group","1A")/GETPIVOTDATA("Total-Old",'Distrib pivot table'!$C$2,"state","OK")&gt;0.0005,GETPIVOTDATA("Total-Old",'Distrib pivot table'!$C$2,"state","OK","group","1A")/GETPIVOTDATA("Total-Old",'Distrib pivot table'!$C$2,"state","OK"),"*"))</f>
        <v>0.8884673507488845</v>
      </c>
      <c r="P5" s="364">
        <f>IF((GETPIVOTDATA("Total-Old",'Distrib pivot table'!$C$2,"state","SC","group","1A")/GETPIVOTDATA("Total-Old",'Distrib pivot table'!$C$2,"state","SC"))=0,,IF(GETPIVOTDATA("Total-Old",'Distrib pivot table'!$C$2,"state","SC","group","1A")/GETPIVOTDATA("Total-Old",'Distrib pivot table'!$C$2,"state","SC")&gt;0.0005,GETPIVOTDATA("Total-Old",'Distrib pivot table'!$C$2,"state","SC","group","1A")/GETPIVOTDATA("Total-Old",'Distrib pivot table'!$C$2,"state","SC"),"*"))</f>
        <v>0.79967877779525576</v>
      </c>
      <c r="Q5" s="364">
        <f>IF((GETPIVOTDATA("Total-Old",'Distrib pivot table'!$C$2,"state","TN","group","1A")/GETPIVOTDATA("Total-Old",'Distrib pivot table'!$C$2,"state","TN"))=0,,IF(GETPIVOTDATA("Total-Old",'Distrib pivot table'!$C$2,"state","TN","group","1A")/GETPIVOTDATA("Total-Old",'Distrib pivot table'!$C$2,"state","TN")&gt;0.0005,GETPIVOTDATA("Total-Old",'Distrib pivot table'!$C$2,"state","TN","group","1A")/GETPIVOTDATA("Total-Old",'Distrib pivot table'!$C$2,"state","TN"),"*"))</f>
        <v>0.74259815542077012</v>
      </c>
      <c r="R5" s="364">
        <f>IF((GETPIVOTDATA("Total-Old",'Distrib pivot table'!$C$2,"state","TX","group","1A")/GETPIVOTDATA("Total-Old",'Distrib pivot table'!$C$2,"state","TX"))=0,,IF(GETPIVOTDATA("Total-Old",'Distrib pivot table'!$C$2,"state","TX","group","1A")/GETPIVOTDATA("Total-Old",'Distrib pivot table'!$C$2,"state","TX")&gt;0.0005,GETPIVOTDATA("Total-Old",'Distrib pivot table'!$C$2,"state","TX","group","1A")/GETPIVOTDATA("Total-Old",'Distrib pivot table'!$C$2,"state","TX"),"*"))</f>
        <v>0.78416441367019496</v>
      </c>
      <c r="S5" s="364">
        <f>IF((GETPIVOTDATA("Total-Old",'Distrib pivot table'!$C$2,"state","VA","group","1A")/GETPIVOTDATA("Total-Old",'Distrib pivot table'!$C$2,"state","VA"))=0,,IF(GETPIVOTDATA("Total-Old",'Distrib pivot table'!$C$2,"state","VA","group","1A")/GETPIVOTDATA("Total-Old",'Distrib pivot table'!$C$2,"state","VA")&gt;0.0005,GETPIVOTDATA("Total-Old",'Distrib pivot table'!$C$2,"state","VA","group","1A")/GETPIVOTDATA("Total-Old",'Distrib pivot table'!$C$2,"state","VA"),"*"))</f>
        <v>0.85130380546691997</v>
      </c>
      <c r="T5" s="365">
        <f>IF((GETPIVOTDATA("Total-Old",'Distrib pivot table'!$C$2,"state","WV","group","1A")/GETPIVOTDATA("Total-Old",'Distrib pivot table'!$C$2,"state","WV"))=0,,IF(GETPIVOTDATA("Total-Old",'Distrib pivot table'!$C$2,"state","WV","group","1A")/GETPIVOTDATA("Total-Old",'Distrib pivot table'!$C$2,"state","WV")&gt;0.0005,GETPIVOTDATA("Total-Old",'Distrib pivot table'!$C$2,"state","WV","group","1A")/GETPIVOTDATA("Total-Old",'Distrib pivot table'!$C$2,"state","WV"),"*"))</f>
        <v>0.708625632632925</v>
      </c>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s="45" customFormat="1" ht="27">
      <c r="A6" s="1486"/>
      <c r="B6" s="361" t="s">
        <v>342</v>
      </c>
      <c r="C6" s="370" t="s">
        <v>265</v>
      </c>
      <c r="D6" s="366">
        <f>SUM(D8:D14)</f>
        <v>2.2280964709501087E-2</v>
      </c>
      <c r="E6" s="366">
        <f>SUM(E8:E14)</f>
        <v>2.742080396956164E-2</v>
      </c>
      <c r="F6" s="366">
        <f>SUM(F8:F14)</f>
        <v>1.5599355665420409E-2</v>
      </c>
      <c r="G6" s="366">
        <f t="shared" ref="G6:T6" si="0">SUM(G8:G14)</f>
        <v>7.3483158796325016E-3</v>
      </c>
      <c r="H6" s="366">
        <f t="shared" si="0"/>
        <v>2.9711490522196515E-2</v>
      </c>
      <c r="I6" s="366">
        <f t="shared" si="0"/>
        <v>1.8104601430803884E-2</v>
      </c>
      <c r="J6" s="366">
        <f t="shared" si="0"/>
        <v>3.3145327512910182E-2</v>
      </c>
      <c r="K6" s="366">
        <f t="shared" si="0"/>
        <v>3.4561396310275626E-2</v>
      </c>
      <c r="L6" s="366">
        <f t="shared" si="0"/>
        <v>1.4408539043152351E-2</v>
      </c>
      <c r="M6" s="366">
        <f t="shared" si="0"/>
        <v>5.8109471664340773E-2</v>
      </c>
      <c r="N6" s="366">
        <f t="shared" si="0"/>
        <v>1.7754095247479357E-2</v>
      </c>
      <c r="O6" s="366">
        <f t="shared" si="0"/>
        <v>0</v>
      </c>
      <c r="P6" s="366">
        <f t="shared" si="0"/>
        <v>3.3485923801706383E-2</v>
      </c>
      <c r="Q6" s="366">
        <f t="shared" si="0"/>
        <v>2.4506584274360123E-2</v>
      </c>
      <c r="R6" s="366">
        <f t="shared" si="0"/>
        <v>1.5930119507492947E-2</v>
      </c>
      <c r="S6" s="366">
        <f t="shared" si="0"/>
        <v>1.8581764303070892E-2</v>
      </c>
      <c r="T6" s="367">
        <f t="shared" si="0"/>
        <v>3.6249896851424344E-2</v>
      </c>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row>
    <row r="7" spans="1:50" s="45" customFormat="1" ht="25.5">
      <c r="A7" s="1486"/>
      <c r="B7" s="377" t="s">
        <v>348</v>
      </c>
      <c r="C7" s="370"/>
      <c r="D7" s="366">
        <f>+D6+D5</f>
        <v>0.81910808287400272</v>
      </c>
      <c r="E7" s="366">
        <f t="shared" ref="E7:T7" si="1">+E6+E5</f>
        <v>0.81806896804705398</v>
      </c>
      <c r="F7" s="366">
        <f t="shared" si="1"/>
        <v>0.79661294857735743</v>
      </c>
      <c r="G7" s="366">
        <f t="shared" si="1"/>
        <v>0.97111376791446458</v>
      </c>
      <c r="H7" s="366">
        <f t="shared" si="1"/>
        <v>0.84853137460116512</v>
      </c>
      <c r="I7" s="366">
        <f t="shared" si="1"/>
        <v>0.80143623330187774</v>
      </c>
      <c r="J7" s="366">
        <f t="shared" si="1"/>
        <v>0.84065243790101807</v>
      </c>
      <c r="K7" s="366">
        <f t="shared" si="1"/>
        <v>0.73144137389427588</v>
      </c>
      <c r="L7" s="366">
        <f t="shared" si="1"/>
        <v>0.79516528477292814</v>
      </c>
      <c r="M7" s="366">
        <f t="shared" si="1"/>
        <v>0.84313439182510075</v>
      </c>
      <c r="N7" s="366">
        <f t="shared" si="1"/>
        <v>0.83004358211034646</v>
      </c>
      <c r="O7" s="366">
        <f t="shared" si="1"/>
        <v>0.8884673507488845</v>
      </c>
      <c r="P7" s="366">
        <f t="shared" si="1"/>
        <v>0.8331647015969621</v>
      </c>
      <c r="Q7" s="366">
        <f t="shared" si="1"/>
        <v>0.76710473969513027</v>
      </c>
      <c r="R7" s="366">
        <f t="shared" si="1"/>
        <v>0.80009453317768786</v>
      </c>
      <c r="S7" s="366">
        <f t="shared" si="1"/>
        <v>0.86988556976999087</v>
      </c>
      <c r="T7" s="367">
        <f t="shared" si="1"/>
        <v>0.74487552948434932</v>
      </c>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ht="12.6" customHeight="1">
      <c r="A8" s="1486"/>
      <c r="B8" s="127" t="s">
        <v>319</v>
      </c>
      <c r="C8" s="371" t="s">
        <v>266</v>
      </c>
      <c r="D8" s="418">
        <f>IF(GETPIVOTDATA("Total-Old",'Distrib pivot table'!$C$2,"group","1b1")/GETPIVOTDATA("Total-Old",'Distrib pivot table'!$C$2)=0,,IF(GETPIVOTDATA("Total-Old",'Distrib pivot table'!$C$2,"group","1b1")/GETPIVOTDATA("Total-Old",'Distrib pivot table'!$C$2)&gt;0.0005,GETPIVOTDATA("Total-Old",'Distrib pivot table'!$C$2,"group","1b1")/GETPIVOTDATA("Total-Old",'Distrib pivot table'!$C$2),"*"))</f>
        <v>3.0023458324542713E-3</v>
      </c>
      <c r="E8" s="418">
        <f>IF((GETPIVOTDATA("Total-Old",'Distrib pivot table'!$C$2,"state","AL","group","1b1")/GETPIVOTDATA("Total-Old",'Distrib pivot table'!$C$2,"state","AL"))=0,,IF(GETPIVOTDATA("Total-Old",'Distrib pivot table'!$C$2,"state","AL","group","1b1")/GETPIVOTDATA("Total-Old",'Distrib pivot table'!$C$2,"state","AL")&gt;0.0005,GETPIVOTDATA("Total-Old",'Distrib pivot table'!$C$2,"state","AL","group","1b1")/GETPIVOTDATA("Total-Old",'Distrib pivot table'!$C$2,"state","AL"),"*"))</f>
        <v>1.1493531882909211E-3</v>
      </c>
      <c r="F8" s="418">
        <f>IF((GETPIVOTDATA("Total-Old",'Distrib pivot table'!$C$2,"state","AR","group","1b1")/GETPIVOTDATA("Total-Old",'Distrib pivot table'!$C$2,"state","AR"))=0,,IF(GETPIVOTDATA("Total-Old",'Distrib pivot table'!$C$2,"state","AR","group","1b1")/GETPIVOTDATA("Total-Old",'Distrib pivot table'!$C$2,"state","AR")&gt;0.0005,GETPIVOTDATA("Total-Old",'Distrib pivot table'!$C$2,"state","AR","group","1b1")/GETPIVOTDATA("Total-Old",'Distrib pivot table'!$C$2,"state","AR"),"*"))</f>
        <v>1.5599355665420409E-2</v>
      </c>
      <c r="G8" s="418" t="str">
        <f>IF((GETPIVOTDATA("Total-Old",'Distrib pivot table'!$C$2,"state","DE","group","1b1")/GETPIVOTDATA("Total-Old",'Distrib pivot table'!$C$2,"state","DE"))=0,,IF(GETPIVOTDATA("Total-Old",'Distrib pivot table'!$C$2,"state","DE","group","1b1")/GETPIVOTDATA("Total-Old",'Distrib pivot table'!$C$2,"state","DE")&gt;0.0005,GETPIVOTDATA("Total-Old",'Distrib pivot table'!$C$2,"state","DE","group","1b1")/GETPIVOTDATA("Total-Old",'Distrib pivot table'!$C$2,"state","DE"),"*"))</f>
        <v>*</v>
      </c>
      <c r="H8" s="418">
        <f>IF((GETPIVOTDATA("Total-Old",'Distrib pivot table'!$C$2,"state","FL","group","1b1")/GETPIVOTDATA("Total-Old",'Distrib pivot table'!$C$2,"state","FL"))=0,,IF(GETPIVOTDATA("Total-Old",'Distrib pivot table'!$C$2,"state","FL","group","1b1")/GETPIVOTDATA("Total-Old",'Distrib pivot table'!$C$2,"state","FL")&gt;0.0005,GETPIVOTDATA("Total-Old",'Distrib pivot table'!$C$2,"state","FL","group","1b1")/GETPIVOTDATA("Total-Old",'Distrib pivot table'!$C$2,"state","FL"),"*"))</f>
        <v>6.5803863418912572E-3</v>
      </c>
      <c r="I8" s="418">
        <f>IF((GETPIVOTDATA("Total-Old",'Distrib pivot table'!$C$2,"state","GA","group","1b1")/GETPIVOTDATA("Total-Old",'Distrib pivot table'!$C$2,"state","GA"))=0,,IF(GETPIVOTDATA("Total-Old",'Distrib pivot table'!$C$2,"state","GA","group","1b1")/GETPIVOTDATA("Total-Old",'Distrib pivot table'!$C$2,"state","GA")&gt;0.0005,GETPIVOTDATA("Total-Old",'Distrib pivot table'!$C$2,"state","GA","group","1b1")/GETPIVOTDATA("Total-Old",'Distrib pivot table'!$C$2,"state","GA"),"*"))</f>
        <v>1.4838105917493378E-3</v>
      </c>
      <c r="J8" s="418">
        <f>IF((GETPIVOTDATA("Total-Old",'Distrib pivot table'!$C$2,"state","KY","group","1b1")/GETPIVOTDATA("Total-Old",'Distrib pivot table'!$C$2,"state","KY"))=0,,IF(GETPIVOTDATA("Total-Old",'Distrib pivot table'!$C$2,"state","KY","group","1b1")/GETPIVOTDATA("Total-Old",'Distrib pivot table'!$C$2,"state","KY")&gt;0.0005,GETPIVOTDATA("Total-Old",'Distrib pivot table'!$C$2,"state","KY","group","1b1")/GETPIVOTDATA("Total-Old",'Distrib pivot table'!$C$2,"state","KY"),"*"))</f>
        <v>7.7649786617776124E-3</v>
      </c>
      <c r="K8" s="418">
        <f>IF((GETPIVOTDATA("Total-Old",'Distrib pivot table'!$C$2,"state","LA","group","1b1")/GETPIVOTDATA("Total-Old",'Distrib pivot table'!$C$2,"state","LA"))=0,,IF(GETPIVOTDATA("Total-Old",'Distrib pivot table'!$C$2,"state","LA","group","1b1")/GETPIVOTDATA("Total-Old",'Distrib pivot table'!$C$2,"state","LA")&gt;0.0005,GETPIVOTDATA("Total-Old",'Distrib pivot table'!$C$2,"state","LA","group","1b1")/GETPIVOTDATA("Total-Old",'Distrib pivot table'!$C$2,"state","LA"),"*"))</f>
        <v>0</v>
      </c>
      <c r="L8" s="418">
        <f>IF((GETPIVOTDATA("Total-Old",'Distrib pivot table'!$C$2,"state","MD","group","1b1")/GETPIVOTDATA("Total-Old",'Distrib pivot table'!$C$2,"state","MD"))=0,,IF(GETPIVOTDATA("Total-Old",'Distrib pivot table'!$C$2,"state","MD","group","1b1")/GETPIVOTDATA("Total-Old",'Distrib pivot table'!$C$2,"state","MD")&gt;0.0005,GETPIVOTDATA("Total-Old",'Distrib pivot table'!$C$2,"state","MD","group","1b1")/GETPIVOTDATA("Total-Old",'Distrib pivot table'!$C$2,"state","MD"),"*"))</f>
        <v>0</v>
      </c>
      <c r="M8" s="418" t="str">
        <f>IF((GETPIVOTDATA("Total-Old",'Distrib pivot table'!$C$2,"state","MS","group","1b1")/GETPIVOTDATA("Total-Old",'Distrib pivot table'!$C$2,"state","MS"))=0,,IF(GETPIVOTDATA("Total-Old",'Distrib pivot table'!$C$2,"state","MS","group","1b1")/GETPIVOTDATA("Total-Old",'Distrib pivot table'!$C$2,"state","MS")&gt;0.0005,GETPIVOTDATA("Total-Old",'Distrib pivot table'!$C$2,"state","MS","group","1b1")/GETPIVOTDATA("Total-Old",'Distrib pivot table'!$C$2,"state","MS"),"*"))</f>
        <v>*</v>
      </c>
      <c r="N8" s="418">
        <f>IF((GETPIVOTDATA("Total-Old",'Distrib pivot table'!$C$2,"state","NC","group","1b1")/GETPIVOTDATA("Total-Old",'Distrib pivot table'!$C$2,"state","NC"))=0,,IF(GETPIVOTDATA("Total-Old",'Distrib pivot table'!$C$2,"state","NC","group","1b1")/GETPIVOTDATA("Total-Old",'Distrib pivot table'!$C$2,"state","NC")&gt;0.0005,GETPIVOTDATA("Total-Old",'Distrib pivot table'!$C$2,"state","NC","group","1b1")/GETPIVOTDATA("Total-Old",'Distrib pivot table'!$C$2,"state","NC"),"*"))</f>
        <v>1.6151243257196261E-3</v>
      </c>
      <c r="O8" s="418">
        <f>IF((GETPIVOTDATA("Total-Old",'Distrib pivot table'!$C$2,"state","OK","group","1b1")/GETPIVOTDATA("Total-Old",'Distrib pivot table'!$C$2,"state","OK"))=0,,IF(GETPIVOTDATA("Total-Old",'Distrib pivot table'!$C$2,"state","OK","group","1b1")/GETPIVOTDATA("Total-Old",'Distrib pivot table'!$C$2,"state","OK")&gt;0.0005,GETPIVOTDATA("Total-Old",'Distrib pivot table'!$C$2,"state","OK","group","1b1")/GETPIVOTDATA("Total-Old",'Distrib pivot table'!$C$2,"state","OK"),"*"))</f>
        <v>0</v>
      </c>
      <c r="P8" s="418">
        <f>IF((GETPIVOTDATA("Total-Old",'Distrib pivot table'!$C$2,"state","SC","group","1b1")/GETPIVOTDATA("Total-Old",'Distrib pivot table'!$C$2,"state","SC"))=0,,IF(GETPIVOTDATA("Total-Old",'Distrib pivot table'!$C$2,"state","SC","group","1b1")/GETPIVOTDATA("Total-Old",'Distrib pivot table'!$C$2,"state","SC")&gt;0.0005,GETPIVOTDATA("Total-Old",'Distrib pivot table'!$C$2,"state","SC","group","1b1")/GETPIVOTDATA("Total-Old",'Distrib pivot table'!$C$2,"state","SC"),"*"))</f>
        <v>1.4529428170907699E-3</v>
      </c>
      <c r="Q8" s="418">
        <f>IF((GETPIVOTDATA("Total-Old",'Distrib pivot table'!$C$2,"state","TN","group","1b1")/GETPIVOTDATA("Total-Old",'Distrib pivot table'!$C$2,"state","TN"))=0,,IF(GETPIVOTDATA("Total-Old",'Distrib pivot table'!$C$2,"state","TN","group","1b1")/GETPIVOTDATA("Total-Old",'Distrib pivot table'!$C$2,"state","TN")&gt;0.0005,GETPIVOTDATA("Total-Old",'Distrib pivot table'!$C$2,"state","TN","group","1b1")/GETPIVOTDATA("Total-Old",'Distrib pivot table'!$C$2,"state","TN"),"*"))</f>
        <v>3.3418652071078915E-3</v>
      </c>
      <c r="R8" s="418">
        <f>IF((GETPIVOTDATA("Total-Old",'Distrib pivot table'!$C$2,"state","TX","group","1b1")/GETPIVOTDATA("Total-Old",'Distrib pivot table'!$C$2,"state","TX"))=0,,IF(GETPIVOTDATA("Total-Old",'Distrib pivot table'!$C$2,"state","TX","group","1b1")/GETPIVOTDATA("Total-Old",'Distrib pivot table'!$C$2,"state","TX")&gt;0.0005,GETPIVOTDATA("Total-Old",'Distrib pivot table'!$C$2,"state","TX","group","1b1")/GETPIVOTDATA("Total-Old",'Distrib pivot table'!$C$2,"state","TX"),"*"))</f>
        <v>4.1690974020759742E-3</v>
      </c>
      <c r="S8" s="418">
        <f>IF((GETPIVOTDATA("Total-Old",'Distrib pivot table'!$C$2,"state","VA","group","1b1")/GETPIVOTDATA("Total-Old",'Distrib pivot table'!$C$2,"state","VA"))=0,,IF(GETPIVOTDATA("Total-Old",'Distrib pivot table'!$C$2,"state","VA","group","1b1")/GETPIVOTDATA("Total-Old",'Distrib pivot table'!$C$2,"state","VA")&gt;0.0005,GETPIVOTDATA("Total-Old",'Distrib pivot table'!$C$2,"state","VA","group","1b1")/GETPIVOTDATA("Total-Old",'Distrib pivot table'!$C$2,"state","VA"),"*"))</f>
        <v>0</v>
      </c>
      <c r="T8" s="418">
        <f>IF((GETPIVOTDATA("Total-Old",'Distrib pivot table'!$C$2,"state","WV","group","1b1")/GETPIVOTDATA("Total-Old",'Distrib pivot table'!$C$2,"state","WV"))=0,,IF(GETPIVOTDATA("Total-Old",'Distrib pivot table'!$C$2,"state","WV","group","1b1")/GETPIVOTDATA("Total-Old",'Distrib pivot table'!$C$2,"state","WV")&gt;0.0005,GETPIVOTDATA("Total-Old",'Distrib pivot table'!$C$2,"state","WV","group","1b1")/GETPIVOTDATA("Total-Old",'Distrib pivot table'!$C$2,"state","WV"),"*"))</f>
        <v>0</v>
      </c>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12.6" customHeight="1">
      <c r="A9" s="1486"/>
      <c r="B9" s="127" t="s">
        <v>258</v>
      </c>
      <c r="C9" s="371" t="s">
        <v>267</v>
      </c>
      <c r="D9" s="418" t="str">
        <f>IF(GETPIVOTDATA("Total-Old",'Distrib pivot table'!$C$2,"group","1b2")/GETPIVOTDATA("Total-Old",'Distrib pivot table'!$C$2)=0,,IF(GETPIVOTDATA("Total-Old",'Distrib pivot table'!$C$2,"group","1b2")/GETPIVOTDATA("Total-Old",'Distrib pivot table'!$C$2)&gt;0.0005,GETPIVOTDATA("Total-Old",'Distrib pivot table'!$C$2,"group","1b2")/GETPIVOTDATA("Total-Old",'Distrib pivot table'!$C$2),"*"))</f>
        <v>*</v>
      </c>
      <c r="E9" s="418">
        <f>IF((GETPIVOTDATA("Total-Old",'Distrib pivot table'!$C$2,"state","AL","group","1b2")/GETPIVOTDATA("Total-Old",'Distrib pivot table'!$C$2,"state","AL"))=0,,IF(GETPIVOTDATA("Total-Old",'Distrib pivot table'!$C$2,"state","AL","group","1b2")/GETPIVOTDATA("Total-Old",'Distrib pivot table'!$C$2,"state","AL")&gt;0.0005,GETPIVOTDATA("Total-Old",'Distrib pivot table'!$C$2,"state","AL","group","1b2")/GETPIVOTDATA("Total-Old",'Distrib pivot table'!$C$2,"state","AL"),"*"))</f>
        <v>7.5612484547888943E-4</v>
      </c>
      <c r="F9" s="418">
        <f>IF((GETPIVOTDATA("Total-Old",'Distrib pivot table'!$C$2,"state","AR","group","1b2")/GETPIVOTDATA("Total-Old",'Distrib pivot table'!$C$2,"state","AR"))=0,,IF(GETPIVOTDATA("Total-Old",'Distrib pivot table'!$C$2,"state","AR","group","1b2")/GETPIVOTDATA("Total-Old",'Distrib pivot table'!$C$2,"state","AR")&gt;0.0005,GETPIVOTDATA("Total-Old",'Distrib pivot table'!$C$2,"state","AR","group","1b2")/GETPIVOTDATA("Total-Old",'Distrib pivot table'!$C$2,"state","AR"),"*"))</f>
        <v>0</v>
      </c>
      <c r="G9" s="418">
        <f>IF((GETPIVOTDATA("Total-Old",'Distrib pivot table'!$C$2,"state","DE","group","1b2")/GETPIVOTDATA("Total-Old",'Distrib pivot table'!$C$2,"state","DE"))=0,,IF(GETPIVOTDATA("Total-Old",'Distrib pivot table'!$C$2,"state","DE","group","1b2")/GETPIVOTDATA("Total-Old",'Distrib pivot table'!$C$2,"state","DE")&gt;0.0005,GETPIVOTDATA("Total-Old",'Distrib pivot table'!$C$2,"state","DE","group","1b2")/GETPIVOTDATA("Total-Old",'Distrib pivot table'!$C$2,"state","DE"),"*"))</f>
        <v>0</v>
      </c>
      <c r="H9" s="418">
        <f>IF((GETPIVOTDATA("Total-Old",'Distrib pivot table'!$C$2,"state","FL","group","1b2")/GETPIVOTDATA("Total-Old",'Distrib pivot table'!$C$2,"state","FL"))=0,,IF(GETPIVOTDATA("Total-Old",'Distrib pivot table'!$C$2,"state","FL","group","1b2")/GETPIVOTDATA("Total-Old",'Distrib pivot table'!$C$2,"state","FL")&gt;0.0005,GETPIVOTDATA("Total-Old",'Distrib pivot table'!$C$2,"state","FL","group","1b2")/GETPIVOTDATA("Total-Old",'Distrib pivot table'!$C$2,"state","FL"),"*"))</f>
        <v>0</v>
      </c>
      <c r="I9" s="418">
        <f>IF((GETPIVOTDATA("Total-Old",'Distrib pivot table'!$C$2,"state","GA","group","1b2")/GETPIVOTDATA("Total-Old",'Distrib pivot table'!$C$2,"state","GA"))=0,,IF(GETPIVOTDATA("Total-Old",'Distrib pivot table'!$C$2,"state","GA","group","1b2")/GETPIVOTDATA("Total-Old",'Distrib pivot table'!$C$2,"state","GA")&gt;0.0005,GETPIVOTDATA("Total-Old",'Distrib pivot table'!$C$2,"state","GA","group","1b2")/GETPIVOTDATA("Total-Old",'Distrib pivot table'!$C$2,"state","GA"),"*"))</f>
        <v>0</v>
      </c>
      <c r="J9" s="418">
        <f>IF((GETPIVOTDATA("Total-Old",'Distrib pivot table'!$C$2,"state","KY","group","1b2")/GETPIVOTDATA("Total-Old",'Distrib pivot table'!$C$2,"state","KY"))=0,,IF(GETPIVOTDATA("Total-Old",'Distrib pivot table'!$C$2,"state","KY","group","1b2")/GETPIVOTDATA("Total-Old",'Distrib pivot table'!$C$2,"state","KY")&gt;0.0005,GETPIVOTDATA("Total-Old",'Distrib pivot table'!$C$2,"state","KY","group","1b2")/GETPIVOTDATA("Total-Old",'Distrib pivot table'!$C$2,"state","KY"),"*"))</f>
        <v>0</v>
      </c>
      <c r="K9" s="418">
        <f>IF((GETPIVOTDATA("Total-Old",'Distrib pivot table'!$C$2,"state","LA","group","1b2")/GETPIVOTDATA("Total-Old",'Distrib pivot table'!$C$2,"state","LA"))=0,,IF(GETPIVOTDATA("Total-Old",'Distrib pivot table'!$C$2,"state","LA","group","1b2")/GETPIVOTDATA("Total-Old",'Distrib pivot table'!$C$2,"state","LA")&gt;0.0005,GETPIVOTDATA("Total-Old",'Distrib pivot table'!$C$2,"state","LA","group","1b2")/GETPIVOTDATA("Total-Old",'Distrib pivot table'!$C$2,"state","LA"),"*"))</f>
        <v>0</v>
      </c>
      <c r="L9" s="418">
        <f>IF((GETPIVOTDATA("Total-Old",'Distrib pivot table'!$C$2,"state","MD","group","1b2")/GETPIVOTDATA("Total-Old",'Distrib pivot table'!$C$2,"state","MD"))=0,,IF(GETPIVOTDATA("Total-Old",'Distrib pivot table'!$C$2,"state","MD","group","1b2")/GETPIVOTDATA("Total-Old",'Distrib pivot table'!$C$2,"state","MD")&gt;0.0005,GETPIVOTDATA("Total-Old",'Distrib pivot table'!$C$2,"state","MD","group","1b2")/GETPIVOTDATA("Total-Old",'Distrib pivot table'!$C$2,"state","MD"),"*"))</f>
        <v>0</v>
      </c>
      <c r="M9" s="418">
        <f>IF((GETPIVOTDATA("Total-Old",'Distrib pivot table'!$C$2,"state","MS","group","1b2")/GETPIVOTDATA("Total-Old",'Distrib pivot table'!$C$2,"state","MS"))=0,,IF(GETPIVOTDATA("Total-Old",'Distrib pivot table'!$C$2,"state","MS","group","1b2")/GETPIVOTDATA("Total-Old",'Distrib pivot table'!$C$2,"state","MS")&gt;0.0005,GETPIVOTDATA("Total-Old",'Distrib pivot table'!$C$2,"state","MS","group","1b2")/GETPIVOTDATA("Total-Old",'Distrib pivot table'!$C$2,"state","MS"),"*"))</f>
        <v>0</v>
      </c>
      <c r="N9" s="418">
        <f>IF((GETPIVOTDATA("Total-Old",'Distrib pivot table'!$C$2,"state","NC","group","1b2")/GETPIVOTDATA("Total-Old",'Distrib pivot table'!$C$2,"state","NC"))=0,,IF(GETPIVOTDATA("Total-Old",'Distrib pivot table'!$C$2,"state","NC","group","1b2")/GETPIVOTDATA("Total-Old",'Distrib pivot table'!$C$2,"state","NC")&gt;0.0005,GETPIVOTDATA("Total-Old",'Distrib pivot table'!$C$2,"state","NC","group","1b2")/GETPIVOTDATA("Total-Old",'Distrib pivot table'!$C$2,"state","NC"),"*"))</f>
        <v>0</v>
      </c>
      <c r="O9" s="418">
        <f>IF((GETPIVOTDATA("Total-Old",'Distrib pivot table'!$C$2,"state","OK","group","1b2")/GETPIVOTDATA("Total-Old",'Distrib pivot table'!$C$2,"state","OK"))=0,,IF(GETPIVOTDATA("Total-Old",'Distrib pivot table'!$C$2,"state","OK","group","1b2")/GETPIVOTDATA("Total-Old",'Distrib pivot table'!$C$2,"state","OK")&gt;0.0005,GETPIVOTDATA("Total-Old",'Distrib pivot table'!$C$2,"state","OK","group","1b2")/GETPIVOTDATA("Total-Old",'Distrib pivot table'!$C$2,"state","OK"),"*"))</f>
        <v>0</v>
      </c>
      <c r="P9" s="418">
        <f>IF((GETPIVOTDATA("Total-Old",'Distrib pivot table'!$C$2,"state","SC","group","1b2")/GETPIVOTDATA("Total-Old",'Distrib pivot table'!$C$2,"state","SC"))=0,,IF(GETPIVOTDATA("Total-Old",'Distrib pivot table'!$C$2,"state","SC","group","1b2")/GETPIVOTDATA("Total-Old",'Distrib pivot table'!$C$2,"state","SC")&gt;0.0005,GETPIVOTDATA("Total-Old",'Distrib pivot table'!$C$2,"state","SC","group","1b2")/GETPIVOTDATA("Total-Old",'Distrib pivot table'!$C$2,"state","SC"),"*"))</f>
        <v>0</v>
      </c>
      <c r="Q9" s="418">
        <f>IF((GETPIVOTDATA("Total-Old",'Distrib pivot table'!$C$2,"state","TN","group","1b2")/GETPIVOTDATA("Total-Old",'Distrib pivot table'!$C$2,"state","TN"))=0,,IF(GETPIVOTDATA("Total-Old",'Distrib pivot table'!$C$2,"state","TN","group","1b2")/GETPIVOTDATA("Total-Old",'Distrib pivot table'!$C$2,"state","TN")&gt;0.0005,GETPIVOTDATA("Total-Old",'Distrib pivot table'!$C$2,"state","TN","group","1b2")/GETPIVOTDATA("Total-Old",'Distrib pivot table'!$C$2,"state","TN"),"*"))</f>
        <v>0</v>
      </c>
      <c r="R9" s="418">
        <f>IF((GETPIVOTDATA("Total-Old",'Distrib pivot table'!$C$2,"state","TX","group","1b2")/GETPIVOTDATA("Total-Old",'Distrib pivot table'!$C$2,"state","TX"))=0,,IF(GETPIVOTDATA("Total-Old",'Distrib pivot table'!$C$2,"state","TX","group","1b2")/GETPIVOTDATA("Total-Old",'Distrib pivot table'!$C$2,"state","TX")&gt;0.0005,GETPIVOTDATA("Total-Old",'Distrib pivot table'!$C$2,"state","TX","group","1b2")/GETPIVOTDATA("Total-Old",'Distrib pivot table'!$C$2,"state","TX"),"*"))</f>
        <v>0</v>
      </c>
      <c r="S9" s="418">
        <f>IF((GETPIVOTDATA("Total-Old",'Distrib pivot table'!$C$2,"state","VA","group","1b2")/GETPIVOTDATA("Total-Old",'Distrib pivot table'!$C$2,"state","VA"))=0,,IF(GETPIVOTDATA("Total-Old",'Distrib pivot table'!$C$2,"state","VA","group","1b2")/GETPIVOTDATA("Total-Old",'Distrib pivot table'!$C$2,"state","VA")&gt;0.0005,GETPIVOTDATA("Total-Old",'Distrib pivot table'!$C$2,"state","VA","group","1b2")/GETPIVOTDATA("Total-Old",'Distrib pivot table'!$C$2,"state","VA"),"*"))</f>
        <v>0</v>
      </c>
      <c r="T9" s="418">
        <f>IF((GETPIVOTDATA("Total-Old",'Distrib pivot table'!$C$2,"state","WV","group","1b2")/GETPIVOTDATA("Total-Old",'Distrib pivot table'!$C$2,"state","WV"))=0,,IF(GETPIVOTDATA("Total-Old",'Distrib pivot table'!$C$2,"state","WV","group","1b2")/GETPIVOTDATA("Total-Old",'Distrib pivot table'!$C$2,"state","WV")&gt;0.0005,GETPIVOTDATA("Total-Old",'Distrib pivot table'!$C$2,"state","WV","group","1b2")/GETPIVOTDATA("Total-Old",'Distrib pivot table'!$C$2,"state","WV"),"*"))</f>
        <v>0</v>
      </c>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ht="12.6" customHeight="1">
      <c r="A10" s="1486"/>
      <c r="B10" s="127" t="s">
        <v>257</v>
      </c>
      <c r="C10" s="371" t="s">
        <v>268</v>
      </c>
      <c r="D10" s="418">
        <f>IF(GETPIVOTDATA("Total-Old",'Distrib pivot table'!$C$2,"group","1b3")/GETPIVOTDATA("Total-Old",'Distrib pivot table'!$C$2)=0,,IF(GETPIVOTDATA("Total-Old",'Distrib pivot table'!$C$2,"group","1b3")/GETPIVOTDATA("Total-Old",'Distrib pivot table'!$C$2)&gt;0.0005,GETPIVOTDATA("Total-Old",'Distrib pivot table'!$C$2,"group","1b3")/GETPIVOTDATA("Total-Old",'Distrib pivot table'!$C$2),"*"))</f>
        <v>9.9702253763448209E-3</v>
      </c>
      <c r="E10" s="418">
        <f>IF((GETPIVOTDATA("Total-Old",'Distrib pivot table'!$C$2,"state","AL","group","1b3")/GETPIVOTDATA("Total-Old",'Distrib pivot table'!$C$2,"state","AL"))=0,,IF(GETPIVOTDATA("Total-Old",'Distrib pivot table'!$C$2,"state","AL","group","1b3")/GETPIVOTDATA("Total-Old",'Distrib pivot table'!$C$2,"state","AL")&gt;0.0005,GETPIVOTDATA("Total-Old",'Distrib pivot table'!$C$2,"state","AL","group","1b3")/GETPIVOTDATA("Total-Old",'Distrib pivot table'!$C$2,"state","AL"),"*"))</f>
        <v>1.1408978147740872E-2</v>
      </c>
      <c r="F10" s="418">
        <f>IF((GETPIVOTDATA("Total-Old",'Distrib pivot table'!$C$2,"state","AR","group","1b3")/GETPIVOTDATA("Total-Old",'Distrib pivot table'!$C$2,"state","AR"))=0,,IF(GETPIVOTDATA("Total-Old",'Distrib pivot table'!$C$2,"state","AR","group","1b3")/GETPIVOTDATA("Total-Old",'Distrib pivot table'!$C$2,"state","AR")&gt;0.0005,GETPIVOTDATA("Total-Old",'Distrib pivot table'!$C$2,"state","AR","group","1b3")/GETPIVOTDATA("Total-Old",'Distrib pivot table'!$C$2,"state","AR"),"*"))</f>
        <v>0</v>
      </c>
      <c r="G10" s="418">
        <f>IF((GETPIVOTDATA("Total-Old",'Distrib pivot table'!$C$2,"state","DE","group","1b3")/GETPIVOTDATA("Total-Old",'Distrib pivot table'!$C$2,"state","DE"))=0,,IF(GETPIVOTDATA("Total-Old",'Distrib pivot table'!$C$2,"state","DE","group","1b3")/GETPIVOTDATA("Total-Old",'Distrib pivot table'!$C$2,"state","DE")&gt;0.0005,GETPIVOTDATA("Total-Old",'Distrib pivot table'!$C$2,"state","DE","group","1b3")/GETPIVOTDATA("Total-Old",'Distrib pivot table'!$C$2,"state","DE"),"*"))</f>
        <v>2.0870615148587466E-3</v>
      </c>
      <c r="H10" s="418">
        <f>IF((GETPIVOTDATA("Total-Old",'Distrib pivot table'!$C$2,"state","FL","group","1b3")/GETPIVOTDATA("Total-Old",'Distrib pivot table'!$C$2,"state","FL"))=0,,IF(GETPIVOTDATA("Total-Old",'Distrib pivot table'!$C$2,"state","FL","group","1b3")/GETPIVOTDATA("Total-Old",'Distrib pivot table'!$C$2,"state","FL")&gt;0.0005,GETPIVOTDATA("Total-Old",'Distrib pivot table'!$C$2,"state","FL","group","1b3")/GETPIVOTDATA("Total-Old",'Distrib pivot table'!$C$2,"state","FL"),"*"))</f>
        <v>2.1548629016510827E-2</v>
      </c>
      <c r="I10" s="418">
        <f>IF((GETPIVOTDATA("Total-Old",'Distrib pivot table'!$C$2,"state","GA","group","1b3")/GETPIVOTDATA("Total-Old",'Distrib pivot table'!$C$2,"state","GA"))=0,,IF(GETPIVOTDATA("Total-Old",'Distrib pivot table'!$C$2,"state","GA","group","1b3")/GETPIVOTDATA("Total-Old",'Distrib pivot table'!$C$2,"state","GA")&gt;0.0005,GETPIVOTDATA("Total-Old",'Distrib pivot table'!$C$2,"state","GA","group","1b3")/GETPIVOTDATA("Total-Old",'Distrib pivot table'!$C$2,"state","GA"),"*"))</f>
        <v>6.0621897523108559E-3</v>
      </c>
      <c r="J10" s="418">
        <f>IF((GETPIVOTDATA("Total-Old",'Distrib pivot table'!$C$2,"state","KY","group","1b3")/GETPIVOTDATA("Total-Old",'Distrib pivot table'!$C$2,"state","KY"))=0,,IF(GETPIVOTDATA("Total-Old",'Distrib pivot table'!$C$2,"state","KY","group","1b3")/GETPIVOTDATA("Total-Old",'Distrib pivot table'!$C$2,"state","KY")&gt;0.0005,GETPIVOTDATA("Total-Old",'Distrib pivot table'!$C$2,"state","KY","group","1b3")/GETPIVOTDATA("Total-Old",'Distrib pivot table'!$C$2,"state","KY"),"*"))</f>
        <v>2.3195113505216566E-2</v>
      </c>
      <c r="K10" s="418">
        <f>IF((GETPIVOTDATA("Total-Old",'Distrib pivot table'!$C$2,"state","LA","group","1b3")/GETPIVOTDATA("Total-Old",'Distrib pivot table'!$C$2,"state","LA"))=0,,IF(GETPIVOTDATA("Total-Old",'Distrib pivot table'!$C$2,"state","LA","group","1b3")/GETPIVOTDATA("Total-Old",'Distrib pivot table'!$C$2,"state","LA")&gt;0.0005,GETPIVOTDATA("Total-Old",'Distrib pivot table'!$C$2,"state","LA","group","1b3")/GETPIVOTDATA("Total-Old",'Distrib pivot table'!$C$2,"state","LA"),"*"))</f>
        <v>2.0498972346307168E-2</v>
      </c>
      <c r="L10" s="418">
        <f>IF((GETPIVOTDATA("Total-Old",'Distrib pivot table'!$C$2,"state","MD","group","1b3")/GETPIVOTDATA("Total-Old",'Distrib pivot table'!$C$2,"state","MD"))=0,,IF(GETPIVOTDATA("Total-Old",'Distrib pivot table'!$C$2,"state","MD","group","1b3")/GETPIVOTDATA("Total-Old",'Distrib pivot table'!$C$2,"state","MD")&gt;0.0005,GETPIVOTDATA("Total-Old",'Distrib pivot table'!$C$2,"state","MD","group","1b3")/GETPIVOTDATA("Total-Old",'Distrib pivot table'!$C$2,"state","MD"),"*"))</f>
        <v>4.6575516667064151E-3</v>
      </c>
      <c r="M10" s="418">
        <f>IF((GETPIVOTDATA("Total-Old",'Distrib pivot table'!$C$2,"state","MS","group","1b3")/GETPIVOTDATA("Total-Old",'Distrib pivot table'!$C$2,"state","MS"))=0,,IF(GETPIVOTDATA("Total-Old",'Distrib pivot table'!$C$2,"state","MS","group","1b3")/GETPIVOTDATA("Total-Old",'Distrib pivot table'!$C$2,"state","MS")&gt;0.0005,GETPIVOTDATA("Total-Old",'Distrib pivot table'!$C$2,"state","MS","group","1b3")/GETPIVOTDATA("Total-Old",'Distrib pivot table'!$C$2,"state","MS"),"*"))</f>
        <v>1.8666168221512725E-2</v>
      </c>
      <c r="N10" s="418">
        <f>IF((GETPIVOTDATA("Total-Old",'Distrib pivot table'!$C$2,"state","NC","group","1b3")/GETPIVOTDATA("Total-Old",'Distrib pivot table'!$C$2,"state","NC"))=0,,IF(GETPIVOTDATA("Total-Old",'Distrib pivot table'!$C$2,"state","NC","group","1b3")/GETPIVOTDATA("Total-Old",'Distrib pivot table'!$C$2,"state","NC")&gt;0.0005,GETPIVOTDATA("Total-Old",'Distrib pivot table'!$C$2,"state","NC","group","1b3")/GETPIVOTDATA("Total-Old",'Distrib pivot table'!$C$2,"state","NC"),"*"))</f>
        <v>6.7654630443271004E-3</v>
      </c>
      <c r="O10" s="418">
        <f>IF((GETPIVOTDATA("Total-Old",'Distrib pivot table'!$C$2,"state","OK","group","1b3")/GETPIVOTDATA("Total-Old",'Distrib pivot table'!$C$2,"state","OK"))=0,,IF(GETPIVOTDATA("Total-Old",'Distrib pivot table'!$C$2,"state","OK","group","1b3")/GETPIVOTDATA("Total-Old",'Distrib pivot table'!$C$2,"state","OK")&gt;0.0005,GETPIVOTDATA("Total-Old",'Distrib pivot table'!$C$2,"state","OK","group","1b3")/GETPIVOTDATA("Total-Old",'Distrib pivot table'!$C$2,"state","OK"),"*"))</f>
        <v>0</v>
      </c>
      <c r="P10" s="418">
        <f>IF((GETPIVOTDATA("Total-Old",'Distrib pivot table'!$C$2,"state","SC","group","1b3")/GETPIVOTDATA("Total-Old",'Distrib pivot table'!$C$2,"state","SC"))=0,,IF(GETPIVOTDATA("Total-Old",'Distrib pivot table'!$C$2,"state","SC","group","1b3")/GETPIVOTDATA("Total-Old",'Distrib pivot table'!$C$2,"state","SC")&gt;0.0005,GETPIVOTDATA("Total-Old",'Distrib pivot table'!$C$2,"state","SC","group","1b3")/GETPIVOTDATA("Total-Old",'Distrib pivot table'!$C$2,"state","SC"),"*"))</f>
        <v>1.2483407905773047E-2</v>
      </c>
      <c r="Q10" s="418">
        <f>IF((GETPIVOTDATA("Total-Old",'Distrib pivot table'!$C$2,"state","TN","group","1b3")/GETPIVOTDATA("Total-Old",'Distrib pivot table'!$C$2,"state","TN"))=0,,IF(GETPIVOTDATA("Total-Old",'Distrib pivot table'!$C$2,"state","TN","group","1b3")/GETPIVOTDATA("Total-Old",'Distrib pivot table'!$C$2,"state","TN")&gt;0.0005,GETPIVOTDATA("Total-Old",'Distrib pivot table'!$C$2,"state","TN","group","1b3")/GETPIVOTDATA("Total-Old",'Distrib pivot table'!$C$2,"state","TN"),"*"))</f>
        <v>1.2529986691619508E-2</v>
      </c>
      <c r="R10" s="418">
        <f>IF((GETPIVOTDATA("Total-Old",'Distrib pivot table'!$C$2,"state","TX","group","1b3")/GETPIVOTDATA("Total-Old",'Distrib pivot table'!$C$2,"state","TX"))=0,,IF(GETPIVOTDATA("Total-Old",'Distrib pivot table'!$C$2,"state","TX","group","1b3")/GETPIVOTDATA("Total-Old",'Distrib pivot table'!$C$2,"state","TX")&gt;0.0005,GETPIVOTDATA("Total-Old",'Distrib pivot table'!$C$2,"state","TX","group","1b3")/GETPIVOTDATA("Total-Old",'Distrib pivot table'!$C$2,"state","TX"),"*"))</f>
        <v>4.7784450417251417E-3</v>
      </c>
      <c r="S10" s="418">
        <f>IF((GETPIVOTDATA("Total-Old",'Distrib pivot table'!$C$2,"state","VA","group","1b3")/GETPIVOTDATA("Total-Old",'Distrib pivot table'!$C$2,"state","VA"))=0,,IF(GETPIVOTDATA("Total-Old",'Distrib pivot table'!$C$2,"state","VA","group","1b3")/GETPIVOTDATA("Total-Old",'Distrib pivot table'!$C$2,"state","VA")&gt;0.0005,GETPIVOTDATA("Total-Old",'Distrib pivot table'!$C$2,"state","VA","group","1b3")/GETPIVOTDATA("Total-Old",'Distrib pivot table'!$C$2,"state","VA"),"*"))</f>
        <v>7.9387904757450122E-3</v>
      </c>
      <c r="T10" s="418">
        <f>IF((GETPIVOTDATA("Total-Old",'Distrib pivot table'!$C$2,"state","WV","group","1b3")/GETPIVOTDATA("Total-Old",'Distrib pivot table'!$C$2,"state","WV"))=0,,IF(GETPIVOTDATA("Total-Old",'Distrib pivot table'!$C$2,"state","WV","group","1b3")/GETPIVOTDATA("Total-Old",'Distrib pivot table'!$C$2,"state","WV")&gt;0.0005,GETPIVOTDATA("Total-Old",'Distrib pivot table'!$C$2,"state","WV","group","1b3")/GETPIVOTDATA("Total-Old",'Distrib pivot table'!$C$2,"state","WV"),"*"))</f>
        <v>1.5056655261193659E-2</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12.6" customHeight="1">
      <c r="A11" s="1486"/>
      <c r="B11" s="127" t="s">
        <v>256</v>
      </c>
      <c r="C11" s="371" t="s">
        <v>269</v>
      </c>
      <c r="D11" s="418">
        <f>IF(GETPIVOTDATA("Total-Old",'Distrib pivot table'!$C$2,"group","1b4")/GETPIVOTDATA("Total-Old",'Distrib pivot table'!$C$2)=0,,IF(GETPIVOTDATA("Total-Old",'Distrib pivot table'!$C$2,"group","1b4")/GETPIVOTDATA("Total-Old",'Distrib pivot table'!$C$2)&gt;0.0005,GETPIVOTDATA("Total-Old",'Distrib pivot table'!$C$2,"group","1b4")/GETPIVOTDATA("Total-Old",'Distrib pivot table'!$C$2),"*"))</f>
        <v>5.3859331478470869E-3</v>
      </c>
      <c r="E11" s="418">
        <f>IF((GETPIVOTDATA("Total-Old",'Distrib pivot table'!$C$2,"state","AL","group","1b4")/GETPIVOTDATA("Total-Old",'Distrib pivot table'!$C$2,"state","AL"))=0,,IF(GETPIVOTDATA("Total-Old",'Distrib pivot table'!$C$2,"state","AL","group","1b4")/GETPIVOTDATA("Total-Old",'Distrib pivot table'!$C$2,"state","AL")&gt;0.0005,GETPIVOTDATA("Total-Old",'Distrib pivot table'!$C$2,"state","AL","group","1b4")/GETPIVOTDATA("Total-Old",'Distrib pivot table'!$C$2,"state","AL"),"*"))</f>
        <v>8.9605493488425815E-3</v>
      </c>
      <c r="F11" s="418">
        <f>IF((GETPIVOTDATA("Total-Old",'Distrib pivot table'!$C$2,"state","AR","group","1b4")/GETPIVOTDATA("Total-Old",'Distrib pivot table'!$C$2,"state","AR"))=0,,IF(GETPIVOTDATA("Total-Old",'Distrib pivot table'!$C$2,"state","AR","group","1b4")/GETPIVOTDATA("Total-Old",'Distrib pivot table'!$C$2,"state","AR")&gt;0.0005,GETPIVOTDATA("Total-Old",'Distrib pivot table'!$C$2,"state","AR","group","1b4")/GETPIVOTDATA("Total-Old",'Distrib pivot table'!$C$2,"state","AR"),"*"))</f>
        <v>0</v>
      </c>
      <c r="G11" s="418">
        <f>IF((GETPIVOTDATA("Total-Old",'Distrib pivot table'!$C$2,"state","DE","group","1b4")/GETPIVOTDATA("Total-Old",'Distrib pivot table'!$C$2,"state","DE"))=0,,IF(GETPIVOTDATA("Total-Old",'Distrib pivot table'!$C$2,"state","DE","group","1b4")/GETPIVOTDATA("Total-Old",'Distrib pivot table'!$C$2,"state","DE")&gt;0.0005,GETPIVOTDATA("Total-Old",'Distrib pivot table'!$C$2,"state","DE","group","1b4")/GETPIVOTDATA("Total-Old",'Distrib pivot table'!$C$2,"state","DE"),"*"))</f>
        <v>7.6843614499328306E-4</v>
      </c>
      <c r="H11" s="418">
        <f>IF((GETPIVOTDATA("Total-Old",'Distrib pivot table'!$C$2,"state","FL","group","1b4")/GETPIVOTDATA("Total-Old",'Distrib pivot table'!$C$2,"state","FL"))=0,,IF(GETPIVOTDATA("Total-Old",'Distrib pivot table'!$C$2,"state","FL","group","1b4")/GETPIVOTDATA("Total-Old",'Distrib pivot table'!$C$2,"state","FL")&gt;0.0005,GETPIVOTDATA("Total-Old",'Distrib pivot table'!$C$2,"state","FL","group","1b4")/GETPIVOTDATA("Total-Old",'Distrib pivot table'!$C$2,"state","FL"),"*"))</f>
        <v>0</v>
      </c>
      <c r="I11" s="418">
        <f>IF((GETPIVOTDATA("Total-Old",'Distrib pivot table'!$C$2,"state","GA","group","1b4")/GETPIVOTDATA("Total-Old",'Distrib pivot table'!$C$2,"state","GA"))=0,,IF(GETPIVOTDATA("Total-Old",'Distrib pivot table'!$C$2,"state","GA","group","1b4")/GETPIVOTDATA("Total-Old",'Distrib pivot table'!$C$2,"state","GA")&gt;0.0005,GETPIVOTDATA("Total-Old",'Distrib pivot table'!$C$2,"state","GA","group","1b4")/GETPIVOTDATA("Total-Old",'Distrib pivot table'!$C$2,"state","GA"),"*"))</f>
        <v>7.2735059491233524E-3</v>
      </c>
      <c r="J11" s="418">
        <f>IF((GETPIVOTDATA("Total-Old",'Distrib pivot table'!$C$2,"state","KY","group","1b4")/GETPIVOTDATA("Total-Old",'Distrib pivot table'!$C$2,"state","KY"))=0,,IF(GETPIVOTDATA("Total-Old",'Distrib pivot table'!$C$2,"state","KY","group","1b4")/GETPIVOTDATA("Total-Old",'Distrib pivot table'!$C$2,"state","KY")&gt;0.0005,GETPIVOTDATA("Total-Old",'Distrib pivot table'!$C$2,"state","KY","group","1b4")/GETPIVOTDATA("Total-Old",'Distrib pivot table'!$C$2,"state","KY"),"*"))</f>
        <v>0</v>
      </c>
      <c r="K11" s="418">
        <f>IF((GETPIVOTDATA("Total-Old",'Distrib pivot table'!$C$2,"state","LA","group","1b4")/GETPIVOTDATA("Total-Old",'Distrib pivot table'!$C$2,"state","LA"))=0,,IF(GETPIVOTDATA("Total-Old",'Distrib pivot table'!$C$2,"state","LA","group","1b4")/GETPIVOTDATA("Total-Old",'Distrib pivot table'!$C$2,"state","LA")&gt;0.0005,GETPIVOTDATA("Total-Old",'Distrib pivot table'!$C$2,"state","LA","group","1b4")/GETPIVOTDATA("Total-Old",'Distrib pivot table'!$C$2,"state","LA"),"*"))</f>
        <v>1.4062423963968458E-2</v>
      </c>
      <c r="L11" s="418">
        <f>IF((GETPIVOTDATA("Total-Old",'Distrib pivot table'!$C$2,"state","MD","group","1b4")/GETPIVOTDATA("Total-Old",'Distrib pivot table'!$C$2,"state","MD"))=0,,IF(GETPIVOTDATA("Total-Old",'Distrib pivot table'!$C$2,"state","MD","group","1b4")/GETPIVOTDATA("Total-Old",'Distrib pivot table'!$C$2,"state","MD")&gt;0.0005,GETPIVOTDATA("Total-Old",'Distrib pivot table'!$C$2,"state","MD","group","1b4")/GETPIVOTDATA("Total-Old",'Distrib pivot table'!$C$2,"state","MD"),"*"))</f>
        <v>4.5311438335003968E-3</v>
      </c>
      <c r="M11" s="418">
        <f>IF((GETPIVOTDATA("Total-Old",'Distrib pivot table'!$C$2,"state","MS","group","1b4")/GETPIVOTDATA("Total-Old",'Distrib pivot table'!$C$2,"state","MS"))=0,,IF(GETPIVOTDATA("Total-Old",'Distrib pivot table'!$C$2,"state","MS","group","1b4")/GETPIVOTDATA("Total-Old",'Distrib pivot table'!$C$2,"state","MS")&gt;0.0005,GETPIVOTDATA("Total-Old",'Distrib pivot table'!$C$2,"state","MS","group","1b4")/GETPIVOTDATA("Total-Old",'Distrib pivot table'!$C$2,"state","MS"),"*"))</f>
        <v>1.2094207037114918E-2</v>
      </c>
      <c r="N11" s="418">
        <f>IF((GETPIVOTDATA("Total-Old",'Distrib pivot table'!$C$2,"state","NC","group","1b4")/GETPIVOTDATA("Total-Old",'Distrib pivot table'!$C$2,"state","NC"))=0,,IF(GETPIVOTDATA("Total-Old",'Distrib pivot table'!$C$2,"state","NC","group","1b4")/GETPIVOTDATA("Total-Old",'Distrib pivot table'!$C$2,"state","NC")&gt;0.0005,GETPIVOTDATA("Total-Old",'Distrib pivot table'!$C$2,"state","NC","group","1b4")/GETPIVOTDATA("Total-Old",'Distrib pivot table'!$C$2,"state","NC"),"*"))</f>
        <v>9.3735078774326314E-3</v>
      </c>
      <c r="O11" s="418">
        <f>IF((GETPIVOTDATA("Total-Old",'Distrib pivot table'!$C$2,"state","OK","group","1b4")/GETPIVOTDATA("Total-Old",'Distrib pivot table'!$C$2,"state","OK"))=0,,IF(GETPIVOTDATA("Total-Old",'Distrib pivot table'!$C$2,"state","OK","group","1b4")/GETPIVOTDATA("Total-Old",'Distrib pivot table'!$C$2,"state","OK")&gt;0.0005,GETPIVOTDATA("Total-Old",'Distrib pivot table'!$C$2,"state","OK","group","1b4")/GETPIVOTDATA("Total-Old",'Distrib pivot table'!$C$2,"state","OK"),"*"))</f>
        <v>0</v>
      </c>
      <c r="P11" s="418">
        <f>IF((GETPIVOTDATA("Total-Old",'Distrib pivot table'!$C$2,"state","SC","group","1b4")/GETPIVOTDATA("Total-Old",'Distrib pivot table'!$C$2,"state","SC"))=0,,IF(GETPIVOTDATA("Total-Old",'Distrib pivot table'!$C$2,"state","SC","group","1b4")/GETPIVOTDATA("Total-Old",'Distrib pivot table'!$C$2,"state","SC")&gt;0.0005,GETPIVOTDATA("Total-Old",'Distrib pivot table'!$C$2,"state","SC","group","1b4")/GETPIVOTDATA("Total-Old",'Distrib pivot table'!$C$2,"state","SC"),"*"))</f>
        <v>0</v>
      </c>
      <c r="Q11" s="418">
        <f>IF((GETPIVOTDATA("Total-Old",'Distrib pivot table'!$C$2,"state","TN","group","1b4")/GETPIVOTDATA("Total-Old",'Distrib pivot table'!$C$2,"state","TN"))=0,,IF(GETPIVOTDATA("Total-Old",'Distrib pivot table'!$C$2,"state","TN","group","1b4")/GETPIVOTDATA("Total-Old",'Distrib pivot table'!$C$2,"state","TN")&gt;0.0005,GETPIVOTDATA("Total-Old",'Distrib pivot table'!$C$2,"state","TN","group","1b4")/GETPIVOTDATA("Total-Old",'Distrib pivot table'!$C$2,"state","TN"),"*"))</f>
        <v>8.6347323756327237E-3</v>
      </c>
      <c r="R11" s="418">
        <f>IF((GETPIVOTDATA("Total-Old",'Distrib pivot table'!$C$2,"state","TX","group","1b4")/GETPIVOTDATA("Total-Old",'Distrib pivot table'!$C$2,"state","TX"))=0,,IF(GETPIVOTDATA("Total-Old",'Distrib pivot table'!$C$2,"state","TX","group","1b4")/GETPIVOTDATA("Total-Old",'Distrib pivot table'!$C$2,"state","TX")&gt;0.0005,GETPIVOTDATA("Total-Old",'Distrib pivot table'!$C$2,"state","TX","group","1b4")/GETPIVOTDATA("Total-Old",'Distrib pivot table'!$C$2,"state","TX"),"*"))</f>
        <v>5.3094009992590745E-3</v>
      </c>
      <c r="S11" s="418">
        <f>IF((GETPIVOTDATA("Total-Old",'Distrib pivot table'!$C$2,"state","VA","group","1b4")/GETPIVOTDATA("Total-Old",'Distrib pivot table'!$C$2,"state","VA"))=0,,IF(GETPIVOTDATA("Total-Old",'Distrib pivot table'!$C$2,"state","VA","group","1b4")/GETPIVOTDATA("Total-Old",'Distrib pivot table'!$C$2,"state","VA")&gt;0.0005,GETPIVOTDATA("Total-Old",'Distrib pivot table'!$C$2,"state","VA","group","1b4")/GETPIVOTDATA("Total-Old",'Distrib pivot table'!$C$2,"state","VA"),"*"))</f>
        <v>6.8060097920613219E-3</v>
      </c>
      <c r="T11" s="418">
        <f>IF((GETPIVOTDATA("Total-Old",'Distrib pivot table'!$C$2,"state","WV","group","1b4")/GETPIVOTDATA("Total-Old",'Distrib pivot table'!$C$2,"state","WV"))=0,,IF(GETPIVOTDATA("Total-Old",'Distrib pivot table'!$C$2,"state","WV","group","1b4")/GETPIVOTDATA("Total-Old",'Distrib pivot table'!$C$2,"state","WV")&gt;0.0005,GETPIVOTDATA("Total-Old",'Distrib pivot table'!$C$2,"state","WV","group","1b4")/GETPIVOTDATA("Total-Old",'Distrib pivot table'!$C$2,"state","WV"),"*"))</f>
        <v>7.6563927743314442E-3</v>
      </c>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2.6" customHeight="1">
      <c r="A12" s="1486"/>
      <c r="B12" s="127" t="s">
        <v>308</v>
      </c>
      <c r="C12" s="371" t="s">
        <v>270</v>
      </c>
      <c r="D12" s="418">
        <f>IF(GETPIVOTDATA("Total-Old",'Distrib pivot table'!$C$2,"group","1b5")/GETPIVOTDATA("Total-Old",'Distrib pivot table'!$C$2)=0,,IF(GETPIVOTDATA("Total-Old",'Distrib pivot table'!$C$2,"group","1b5")/GETPIVOTDATA("Total-Old",'Distrib pivot table'!$C$2)&gt;0.0005,GETPIVOTDATA("Total-Old",'Distrib pivot table'!$C$2,"group","1b5")/GETPIVOTDATA("Total-Old",'Distrib pivot table'!$C$2),"*"))</f>
        <v>5.0690980772211775E-4</v>
      </c>
      <c r="E12" s="418">
        <f>IF((GETPIVOTDATA("Total-Old",'Distrib pivot table'!$C$2,"state","AL","group","1b5")/GETPIVOTDATA("Total-Old",'Distrib pivot table'!$C$2,"state","AL"))=0,,IF(GETPIVOTDATA("Total-Old",'Distrib pivot table'!$C$2,"state","AL","group","1b5")/GETPIVOTDATA("Total-Old",'Distrib pivot table'!$C$2,"state","AL")&gt;0.0005,GETPIVOTDATA("Total-Old",'Distrib pivot table'!$C$2,"state","AL","group","1b5")/GETPIVOTDATA("Total-Old",'Distrib pivot table'!$C$2,"state","AL"),"*"))</f>
        <v>0</v>
      </c>
      <c r="F12" s="418">
        <f>IF((GETPIVOTDATA("Total-Old",'Distrib pivot table'!$C$2,"state","AR","group","1b5")/GETPIVOTDATA("Total-Old",'Distrib pivot table'!$C$2,"state","AR"))=0,,IF(GETPIVOTDATA("Total-Old",'Distrib pivot table'!$C$2,"state","AR","group","1b5")/GETPIVOTDATA("Total-Old",'Distrib pivot table'!$C$2,"state","AR")&gt;0.0005,GETPIVOTDATA("Total-Old",'Distrib pivot table'!$C$2,"state","AR","group","1b5")/GETPIVOTDATA("Total-Old",'Distrib pivot table'!$C$2,"state","AR"),"*"))</f>
        <v>0</v>
      </c>
      <c r="G12" s="418">
        <f>IF((GETPIVOTDATA("Total-Old",'Distrib pivot table'!$C$2,"state","DE","group","1b5")/GETPIVOTDATA("Total-Old",'Distrib pivot table'!$C$2,"state","DE"))=0,,IF(GETPIVOTDATA("Total-Old",'Distrib pivot table'!$C$2,"state","DE","group","1b5")/GETPIVOTDATA("Total-Old",'Distrib pivot table'!$C$2,"state","DE")&gt;0.0005,GETPIVOTDATA("Total-Old",'Distrib pivot table'!$C$2,"state","DE","group","1b5")/GETPIVOTDATA("Total-Old",'Distrib pivot table'!$C$2,"state","DE"),"*"))</f>
        <v>0</v>
      </c>
      <c r="H12" s="418">
        <f>IF((GETPIVOTDATA("Total-Old",'Distrib pivot table'!$C$2,"state","FL","group","1b5")/GETPIVOTDATA("Total-Old",'Distrib pivot table'!$C$2,"state","FL"))=0,,IF(GETPIVOTDATA("Total-Old",'Distrib pivot table'!$C$2,"state","FL","group","1b5")/GETPIVOTDATA("Total-Old",'Distrib pivot table'!$C$2,"state","FL")&gt;0.0005,GETPIVOTDATA("Total-Old",'Distrib pivot table'!$C$2,"state","FL","group","1b5")/GETPIVOTDATA("Total-Old",'Distrib pivot table'!$C$2,"state","FL"),"*"))</f>
        <v>0</v>
      </c>
      <c r="I12" s="418">
        <f>IF((GETPIVOTDATA("Total-Old",'Distrib pivot table'!$C$2,"state","GA","group","1b5")/GETPIVOTDATA("Total-Old",'Distrib pivot table'!$C$2,"state","GA"))=0,,IF(GETPIVOTDATA("Total-Old",'Distrib pivot table'!$C$2,"state","GA","group","1b5")/GETPIVOTDATA("Total-Old",'Distrib pivot table'!$C$2,"state","GA")&gt;0.0005,GETPIVOTDATA("Total-Old",'Distrib pivot table'!$C$2,"state","GA","group","1b5")/GETPIVOTDATA("Total-Old",'Distrib pivot table'!$C$2,"state","GA"),"*"))</f>
        <v>1.153694045839287E-3</v>
      </c>
      <c r="J12" s="418">
        <f>IF((GETPIVOTDATA("Total-Old",'Distrib pivot table'!$C$2,"state","KY","group","1b5")/GETPIVOTDATA("Total-Old",'Distrib pivot table'!$C$2,"state","KY"))=0,,IF(GETPIVOTDATA("Total-Old",'Distrib pivot table'!$C$2,"state","KY","group","1b5")/GETPIVOTDATA("Total-Old",'Distrib pivot table'!$C$2,"state","KY")&gt;0.0005,GETPIVOTDATA("Total-Old",'Distrib pivot table'!$C$2,"state","KY","group","1b5")/GETPIVOTDATA("Total-Old",'Distrib pivot table'!$C$2,"state","KY"),"*"))</f>
        <v>0</v>
      </c>
      <c r="K12" s="418">
        <f>IF((GETPIVOTDATA("Total-Old",'Distrib pivot table'!$C$2,"state","LA","group","1b5")/GETPIVOTDATA("Total-Old",'Distrib pivot table'!$C$2,"state","LA"))=0,,IF(GETPIVOTDATA("Total-Old",'Distrib pivot table'!$C$2,"state","LA","group","1b5")/GETPIVOTDATA("Total-Old",'Distrib pivot table'!$C$2,"state","LA")&gt;0.0005,GETPIVOTDATA("Total-Old",'Distrib pivot table'!$C$2,"state","LA","group","1b5")/GETPIVOTDATA("Total-Old",'Distrib pivot table'!$C$2,"state","LA"),"*"))</f>
        <v>0</v>
      </c>
      <c r="L12" s="418">
        <f>IF((GETPIVOTDATA("Total-Old",'Distrib pivot table'!$C$2,"state","MD","group","1b5")/GETPIVOTDATA("Total-Old",'Distrib pivot table'!$C$2,"state","MD"))=0,,IF(GETPIVOTDATA("Total-Old",'Distrib pivot table'!$C$2,"state","MD","group","1b5")/GETPIVOTDATA("Total-Old",'Distrib pivot table'!$C$2,"state","MD")&gt;0.0005,GETPIVOTDATA("Total-Old",'Distrib pivot table'!$C$2,"state","MD","group","1b5")/GETPIVOTDATA("Total-Old",'Distrib pivot table'!$C$2,"state","MD"),"*"))</f>
        <v>0</v>
      </c>
      <c r="M12" s="418">
        <f>IF((GETPIVOTDATA("Total-Old",'Distrib pivot table'!$C$2,"state","MS","group","1b5")/GETPIVOTDATA("Total-Old",'Distrib pivot table'!$C$2,"state","MS"))=0,,IF(GETPIVOTDATA("Total-Old",'Distrib pivot table'!$C$2,"state","MS","group","1b5")/GETPIVOTDATA("Total-Old",'Distrib pivot table'!$C$2,"state","MS")&gt;0.0005,GETPIVOTDATA("Total-Old",'Distrib pivot table'!$C$2,"state","MS","group","1b5")/GETPIVOTDATA("Total-Old",'Distrib pivot table'!$C$2,"state","MS"),"*"))</f>
        <v>0</v>
      </c>
      <c r="N12" s="418">
        <f>IF((GETPIVOTDATA("Total-Old",'Distrib pivot table'!$C$2,"state","NC","group","1b5")/GETPIVOTDATA("Total-Old",'Distrib pivot table'!$C$2,"state","NC"))=0,,IF(GETPIVOTDATA("Total-Old",'Distrib pivot table'!$C$2,"state","NC","group","1b5")/GETPIVOTDATA("Total-Old",'Distrib pivot table'!$C$2,"state","NC")&gt;0.0005,GETPIVOTDATA("Total-Old",'Distrib pivot table'!$C$2,"state","NC","group","1b5")/GETPIVOTDATA("Total-Old",'Distrib pivot table'!$C$2,"state","NC"),"*"))</f>
        <v>0</v>
      </c>
      <c r="O12" s="418">
        <f>IF((GETPIVOTDATA("Total-Old",'Distrib pivot table'!$C$2,"state","OK","group","1b5")/GETPIVOTDATA("Total-Old",'Distrib pivot table'!$C$2,"state","OK"))=0,,IF(GETPIVOTDATA("Total-Old",'Distrib pivot table'!$C$2,"state","OK","group","1b5")/GETPIVOTDATA("Total-Old",'Distrib pivot table'!$C$2,"state","OK")&gt;0.0005,GETPIVOTDATA("Total-Old",'Distrib pivot table'!$C$2,"state","OK","group","1b5")/GETPIVOTDATA("Total-Old",'Distrib pivot table'!$C$2,"state","OK"),"*"))</f>
        <v>0</v>
      </c>
      <c r="P12" s="418">
        <f>IF((GETPIVOTDATA("Total-Old",'Distrib pivot table'!$C$2,"state","SC","group","1b5")/GETPIVOTDATA("Total-Old",'Distrib pivot table'!$C$2,"state","SC"))=0,,IF(GETPIVOTDATA("Total-Old",'Distrib pivot table'!$C$2,"state","SC","group","1b5")/GETPIVOTDATA("Total-Old",'Distrib pivot table'!$C$2,"state","SC")&gt;0.0005,GETPIVOTDATA("Total-Old",'Distrib pivot table'!$C$2,"state","SC","group","1b5")/GETPIVOTDATA("Total-Old",'Distrib pivot table'!$C$2,"state","SC"),"*"))</f>
        <v>0</v>
      </c>
      <c r="Q12" s="418">
        <f>IF((GETPIVOTDATA("Total-Old",'Distrib pivot table'!$C$2,"state","TN","group","1b5")/GETPIVOTDATA("Total-Old",'Distrib pivot table'!$C$2,"state","TN"))=0,,IF(GETPIVOTDATA("Total-Old",'Distrib pivot table'!$C$2,"state","TN","group","1b5")/GETPIVOTDATA("Total-Old",'Distrib pivot table'!$C$2,"state","TN")&gt;0.0005,GETPIVOTDATA("Total-Old",'Distrib pivot table'!$C$2,"state","TN","group","1b5")/GETPIVOTDATA("Total-Old",'Distrib pivot table'!$C$2,"state","TN"),"*"))</f>
        <v>0</v>
      </c>
      <c r="R12" s="418">
        <f>IF((GETPIVOTDATA("Total-Old",'Distrib pivot table'!$C$2,"state","TX","group","1b5")/GETPIVOTDATA("Total-Old",'Distrib pivot table'!$C$2,"state","TX"))=0,,IF(GETPIVOTDATA("Total-Old",'Distrib pivot table'!$C$2,"state","TX","group","1b5")/GETPIVOTDATA("Total-Old",'Distrib pivot table'!$C$2,"state","TX")&gt;0.0005,GETPIVOTDATA("Total-Old",'Distrib pivot table'!$C$2,"state","TX","group","1b5")/GETPIVOTDATA("Total-Old",'Distrib pivot table'!$C$2,"state","TX"),"*"))</f>
        <v>1.6731760644327549E-3</v>
      </c>
      <c r="S12" s="418">
        <f>IF((GETPIVOTDATA("Total-Old",'Distrib pivot table'!$C$2,"state","VA","group","1b5")/GETPIVOTDATA("Total-Old",'Distrib pivot table'!$C$2,"state","VA"))=0,,IF(GETPIVOTDATA("Total-Old",'Distrib pivot table'!$C$2,"state","VA","group","1b5")/GETPIVOTDATA("Total-Old",'Distrib pivot table'!$C$2,"state","VA")&gt;0.0005,GETPIVOTDATA("Total-Old",'Distrib pivot table'!$C$2,"state","VA","group","1b5")/GETPIVOTDATA("Total-Old",'Distrib pivot table'!$C$2,"state","VA"),"*"))</f>
        <v>0</v>
      </c>
      <c r="T12" s="418">
        <f>IF((GETPIVOTDATA("Total-Old",'Distrib pivot table'!$C$2,"state","WV","group","1b5")/GETPIVOTDATA("Total-Old",'Distrib pivot table'!$C$2,"state","WV"))=0,,IF(GETPIVOTDATA("Total-Old",'Distrib pivot table'!$C$2,"state","WV","group","1b5")/GETPIVOTDATA("Total-Old",'Distrib pivot table'!$C$2,"state","WV")&gt;0.0005,GETPIVOTDATA("Total-Old",'Distrib pivot table'!$C$2,"state","WV","group","1b5")/GETPIVOTDATA("Total-Old",'Distrib pivot table'!$C$2,"state","WV"),"*"))</f>
        <v>3.1190949665921806E-3</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2.6" customHeight="1">
      <c r="A13" s="1486"/>
      <c r="B13" s="127" t="s">
        <v>309</v>
      </c>
      <c r="C13" s="371" t="s">
        <v>271</v>
      </c>
      <c r="D13" s="418">
        <f>IF(GETPIVOTDATA("Total-Old",'Distrib pivot table'!$C$2,"group","1b6")/GETPIVOTDATA("Total-Old",'Distrib pivot table'!$C$2)=0,,IF(GETPIVOTDATA("Total-Old",'Distrib pivot table'!$C$2,"group","1b6")/GETPIVOTDATA("Total-Old",'Distrib pivot table'!$C$2)&gt;0.0005,GETPIVOTDATA("Total-Old",'Distrib pivot table'!$C$2,"group","1b6")/GETPIVOTDATA("Total-Old",'Distrib pivot table'!$C$2),"*"))</f>
        <v>1.6828369342850756E-3</v>
      </c>
      <c r="E13" s="418" t="str">
        <f>IF((GETPIVOTDATA("Total-Old",'Distrib pivot table'!$C$2,"state","AL","group","1b6")/GETPIVOTDATA("Total-Old",'Distrib pivot table'!$C$2,"state","AL"))=0,,IF(GETPIVOTDATA("Total-Old",'Distrib pivot table'!$C$2,"state","AL","group","1b6")/GETPIVOTDATA("Total-Old",'Distrib pivot table'!$C$2,"state","AL")&gt;0.0005,GETPIVOTDATA("Total-Old",'Distrib pivot table'!$C$2,"state","AL","group","1b6")/GETPIVOTDATA("Total-Old",'Distrib pivot table'!$C$2,"state","AL"),"*"))</f>
        <v>*</v>
      </c>
      <c r="F13" s="418">
        <f>IF((GETPIVOTDATA("Total-Old",'Distrib pivot table'!$C$2,"state","AR","group","1b6")/GETPIVOTDATA("Total-Old",'Distrib pivot table'!$C$2,"state","AR"))=0,,IF(GETPIVOTDATA("Total-Old",'Distrib pivot table'!$C$2,"state","AR","group","1b6")/GETPIVOTDATA("Total-Old",'Distrib pivot table'!$C$2,"state","AR")&gt;0.0005,GETPIVOTDATA("Total-Old",'Distrib pivot table'!$C$2,"state","AR","group","1b6")/GETPIVOTDATA("Total-Old",'Distrib pivot table'!$C$2,"state","AR"),"*"))</f>
        <v>0</v>
      </c>
      <c r="G13" s="418">
        <f>IF((GETPIVOTDATA("Total-Old",'Distrib pivot table'!$C$2,"state","DE","group","1b6")/GETPIVOTDATA("Total-Old",'Distrib pivot table'!$C$2,"state","DE"))=0,,IF(GETPIVOTDATA("Total-Old",'Distrib pivot table'!$C$2,"state","DE","group","1b6")/GETPIVOTDATA("Total-Old",'Distrib pivot table'!$C$2,"state","DE")&gt;0.0005,GETPIVOTDATA("Total-Old",'Distrib pivot table'!$C$2,"state","DE","group","1b6")/GETPIVOTDATA("Total-Old",'Distrib pivot table'!$C$2,"state","DE"),"*"))</f>
        <v>4.4928182197804716E-3</v>
      </c>
      <c r="H13" s="418">
        <f>IF((GETPIVOTDATA("Total-Old",'Distrib pivot table'!$C$2,"state","FL","group","1b6")/GETPIVOTDATA("Total-Old",'Distrib pivot table'!$C$2,"state","FL"))=0,,IF(GETPIVOTDATA("Total-Old",'Distrib pivot table'!$C$2,"state","FL","group","1b6")/GETPIVOTDATA("Total-Old",'Distrib pivot table'!$C$2,"state","FL")&gt;0.0005,GETPIVOTDATA("Total-Old",'Distrib pivot table'!$C$2,"state","FL","group","1b6")/GETPIVOTDATA("Total-Old",'Distrib pivot table'!$C$2,"state","FL"),"*"))</f>
        <v>1.0006242593038138E-3</v>
      </c>
      <c r="I13" s="418">
        <f>IF((GETPIVOTDATA("Total-Old",'Distrib pivot table'!$C$2,"state","GA","group","1b6")/GETPIVOTDATA("Total-Old",'Distrib pivot table'!$C$2,"state","GA"))=0,,IF(GETPIVOTDATA("Total-Old",'Distrib pivot table'!$C$2,"state","GA","group","1b6")/GETPIVOTDATA("Total-Old",'Distrib pivot table'!$C$2,"state","GA")&gt;0.0005,GETPIVOTDATA("Total-Old",'Distrib pivot table'!$C$2,"state","GA","group","1b6")/GETPIVOTDATA("Total-Old",'Distrib pivot table'!$C$2,"state","GA"),"*"))</f>
        <v>2.1314010917810513E-3</v>
      </c>
      <c r="J13" s="418">
        <f>IF((GETPIVOTDATA("Total-Old",'Distrib pivot table'!$C$2,"state","KY","group","1b6")/GETPIVOTDATA("Total-Old",'Distrib pivot table'!$C$2,"state","KY"))=0,,IF(GETPIVOTDATA("Total-Old",'Distrib pivot table'!$C$2,"state","KY","group","1b6")/GETPIVOTDATA("Total-Old",'Distrib pivot table'!$C$2,"state","KY")&gt;0.0005,GETPIVOTDATA("Total-Old",'Distrib pivot table'!$C$2,"state","KY","group","1b6")/GETPIVOTDATA("Total-Old",'Distrib pivot table'!$C$2,"state","KY"),"*"))</f>
        <v>2.1852353459160022E-3</v>
      </c>
      <c r="K13" s="418">
        <f>IF((GETPIVOTDATA("Total-Old",'Distrib pivot table'!$C$2,"state","LA","group","1b6")/GETPIVOTDATA("Total-Old",'Distrib pivot table'!$C$2,"state","LA"))=0,,IF(GETPIVOTDATA("Total-Old",'Distrib pivot table'!$C$2,"state","LA","group","1b6")/GETPIVOTDATA("Total-Old",'Distrib pivot table'!$C$2,"state","LA")&gt;0.0005,GETPIVOTDATA("Total-Old",'Distrib pivot table'!$C$2,"state","LA","group","1b6")/GETPIVOTDATA("Total-Old",'Distrib pivot table'!$C$2,"state","LA"),"*"))</f>
        <v>0</v>
      </c>
      <c r="L13" s="418">
        <f>IF((GETPIVOTDATA("Total-Old",'Distrib pivot table'!$C$2,"state","MD","group","1b6")/GETPIVOTDATA("Total-Old",'Distrib pivot table'!$C$2,"state","MD"))=0,,IF(GETPIVOTDATA("Total-Old",'Distrib pivot table'!$C$2,"state","MD","group","1b6")/GETPIVOTDATA("Total-Old",'Distrib pivot table'!$C$2,"state","MD")&gt;0.0005,GETPIVOTDATA("Total-Old",'Distrib pivot table'!$C$2,"state","MD","group","1b6")/GETPIVOTDATA("Total-Old",'Distrib pivot table'!$C$2,"state","MD"),"*"))</f>
        <v>5.2198435429455384E-3</v>
      </c>
      <c r="M13" s="418">
        <f>IF((GETPIVOTDATA("Total-Old",'Distrib pivot table'!$C$2,"state","MS","group","1b6")/GETPIVOTDATA("Total-Old",'Distrib pivot table'!$C$2,"state","MS"))=0,,IF(GETPIVOTDATA("Total-Old",'Distrib pivot table'!$C$2,"state","MS","group","1b6")/GETPIVOTDATA("Total-Old",'Distrib pivot table'!$C$2,"state","MS")&gt;0.0005,GETPIVOTDATA("Total-Old",'Distrib pivot table'!$C$2,"state","MS","group","1b6")/GETPIVOTDATA("Total-Old",'Distrib pivot table'!$C$2,"state","MS"),"*"))</f>
        <v>1.3059513068135414E-2</v>
      </c>
      <c r="N13" s="418">
        <f>IF((GETPIVOTDATA("Total-Old",'Distrib pivot table'!$C$2,"state","NC","group","1b6")/GETPIVOTDATA("Total-Old",'Distrib pivot table'!$C$2,"state","NC"))=0,,IF(GETPIVOTDATA("Total-Old",'Distrib pivot table'!$C$2,"state","NC","group","1b6")/GETPIVOTDATA("Total-Old",'Distrib pivot table'!$C$2,"state","NC")&gt;0.0005,GETPIVOTDATA("Total-Old",'Distrib pivot table'!$C$2,"state","NC","group","1b6")/GETPIVOTDATA("Total-Old",'Distrib pivot table'!$C$2,"state","NC"),"*"))</f>
        <v>0</v>
      </c>
      <c r="O13" s="418">
        <f>IF((GETPIVOTDATA("Total-Old",'Distrib pivot table'!$C$2,"state","OK","group","1b6")/GETPIVOTDATA("Total-Old",'Distrib pivot table'!$C$2,"state","OK"))=0,,IF(GETPIVOTDATA("Total-Old",'Distrib pivot table'!$C$2,"state","OK","group","1b6")/GETPIVOTDATA("Total-Old",'Distrib pivot table'!$C$2,"state","OK")&gt;0.0005,GETPIVOTDATA("Total-Old",'Distrib pivot table'!$C$2,"state","OK","group","1b6")/GETPIVOTDATA("Total-Old",'Distrib pivot table'!$C$2,"state","OK"),"*"))</f>
        <v>0</v>
      </c>
      <c r="P13" s="418">
        <f>IF((GETPIVOTDATA("Total-Old",'Distrib pivot table'!$C$2,"state","SC","group","1b6")/GETPIVOTDATA("Total-Old",'Distrib pivot table'!$C$2,"state","SC"))=0,,IF(GETPIVOTDATA("Total-Old",'Distrib pivot table'!$C$2,"state","SC","group","1b6")/GETPIVOTDATA("Total-Old",'Distrib pivot table'!$C$2,"state","SC")&gt;0.0005,GETPIVOTDATA("Total-Old",'Distrib pivot table'!$C$2,"state","SC","group","1b6")/GETPIVOTDATA("Total-Old",'Distrib pivot table'!$C$2,"state","SC"),"*"))</f>
        <v>1.0917659103835834E-3</v>
      </c>
      <c r="Q13" s="418">
        <f>IF((GETPIVOTDATA("Total-Old",'Distrib pivot table'!$C$2,"state","TN","group","1b6")/GETPIVOTDATA("Total-Old",'Distrib pivot table'!$C$2,"state","TN"))=0,,IF(GETPIVOTDATA("Total-Old",'Distrib pivot table'!$C$2,"state","TN","group","1b6")/GETPIVOTDATA("Total-Old",'Distrib pivot table'!$C$2,"state","TN")&gt;0.0005,GETPIVOTDATA("Total-Old",'Distrib pivot table'!$C$2,"state","TN","group","1b6")/GETPIVOTDATA("Total-Old",'Distrib pivot table'!$C$2,"state","TN"),"*"))</f>
        <v>0</v>
      </c>
      <c r="R13" s="418">
        <f>IF((GETPIVOTDATA("Total-Old",'Distrib pivot table'!$C$2,"state","TX","group","1b6")/GETPIVOTDATA("Total-Old",'Distrib pivot table'!$C$2,"state","TX"))=0,,IF(GETPIVOTDATA("Total-Old",'Distrib pivot table'!$C$2,"state","TX","group","1b6")/GETPIVOTDATA("Total-Old",'Distrib pivot table'!$C$2,"state","TX")&gt;0.0005,GETPIVOTDATA("Total-Old",'Distrib pivot table'!$C$2,"state","TX","group","1b6")/GETPIVOTDATA("Total-Old",'Distrib pivot table'!$C$2,"state","TX"),"*"))</f>
        <v>0</v>
      </c>
      <c r="S13" s="418">
        <f>IF((GETPIVOTDATA("Total-Old",'Distrib pivot table'!$C$2,"state","VA","group","1b6")/GETPIVOTDATA("Total-Old",'Distrib pivot table'!$C$2,"state","VA"))=0,,IF(GETPIVOTDATA("Total-Old",'Distrib pivot table'!$C$2,"state","VA","group","1b6")/GETPIVOTDATA("Total-Old",'Distrib pivot table'!$C$2,"state","VA")&gt;0.0005,GETPIVOTDATA("Total-Old",'Distrib pivot table'!$C$2,"state","VA","group","1b6")/GETPIVOTDATA("Total-Old",'Distrib pivot table'!$C$2,"state","VA"),"*"))</f>
        <v>3.8369640352645556E-3</v>
      </c>
      <c r="T13" s="418">
        <f>IF((GETPIVOTDATA("Total-Old",'Distrib pivot table'!$C$2,"state","WV","group","1b6")/GETPIVOTDATA("Total-Old",'Distrib pivot table'!$C$2,"state","WV"))=0,,IF(GETPIVOTDATA("Total-Old",'Distrib pivot table'!$C$2,"state","WV","group","1b6")/GETPIVOTDATA("Total-Old",'Distrib pivot table'!$C$2,"state","WV")&gt;0.0005,GETPIVOTDATA("Total-Old",'Distrib pivot table'!$C$2,"state","WV","group","1b6")/GETPIVOTDATA("Total-Old",'Distrib pivot table'!$C$2,"state","WV"),"*"))</f>
        <v>6.0680641847216067E-3</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12.6" customHeight="1">
      <c r="A14" s="1486"/>
      <c r="B14" s="127" t="s">
        <v>295</v>
      </c>
      <c r="C14" s="371" t="s">
        <v>272</v>
      </c>
      <c r="D14" s="418">
        <f>IF(GETPIVOTDATA("Total-Old",'Distrib pivot table'!$C$2,"group","1b7")/GETPIVOTDATA("Total-Old",'Distrib pivot table'!$C$2)=0,,IF(GETPIVOTDATA("Total-Old",'Distrib pivot table'!$C$2,"group","1b7")/GETPIVOTDATA("Total-Old",'Distrib pivot table'!$C$2)&gt;0.0005,GETPIVOTDATA("Total-Old",'Distrib pivot table'!$C$2,"group","1b7")/GETPIVOTDATA("Total-Old",'Distrib pivot table'!$C$2),"*"))</f>
        <v>1.7327136108477132E-3</v>
      </c>
      <c r="E14" s="418">
        <f>IF((GETPIVOTDATA("Total-Old",'Distrib pivot table'!$C$2,"state","AL","group","1b7")/GETPIVOTDATA("Total-Old",'Distrib pivot table'!$C$2,"state","AL"))=0,,IF(GETPIVOTDATA("Total-Old",'Distrib pivot table'!$C$2,"state","AL","group","1b7")/GETPIVOTDATA("Total-Old",'Distrib pivot table'!$C$2,"state","AL")&gt;0.0005,GETPIVOTDATA("Total-Old",'Distrib pivot table'!$C$2,"state","AL","group","1b7")/GETPIVOTDATA("Total-Old",'Distrib pivot table'!$C$2,"state","AL"),"*"))</f>
        <v>5.1457984392083789E-3</v>
      </c>
      <c r="F14" s="418">
        <f>IF((GETPIVOTDATA("Total-Old",'Distrib pivot table'!$C$2,"state","AR","group","1b7")/GETPIVOTDATA("Total-Old",'Distrib pivot table'!$C$2,"state","AR"))=0,,IF(GETPIVOTDATA("Total-Old",'Distrib pivot table'!$C$2,"state","AR","group","1b7")/GETPIVOTDATA("Total-Old",'Distrib pivot table'!$C$2,"state","AR")&gt;0.0005,GETPIVOTDATA("Total-Old",'Distrib pivot table'!$C$2,"state","AR","group","1b7")/GETPIVOTDATA("Total-Old",'Distrib pivot table'!$C$2,"state","AR"),"*"))</f>
        <v>0</v>
      </c>
      <c r="G14" s="418">
        <f>IF((GETPIVOTDATA("Total-Old",'Distrib pivot table'!$C$2,"state","DE","group","1b7")/GETPIVOTDATA("Total-Old",'Distrib pivot table'!$C$2,"state","DE"))=0,,IF(GETPIVOTDATA("Total-Old",'Distrib pivot table'!$C$2,"state","DE","group","1b7")/GETPIVOTDATA("Total-Old",'Distrib pivot table'!$C$2,"state","DE")&gt;0.0005,GETPIVOTDATA("Total-Old",'Distrib pivot table'!$C$2,"state","DE","group","1b7")/GETPIVOTDATA("Total-Old",'Distrib pivot table'!$C$2,"state","DE"),"*"))</f>
        <v>0</v>
      </c>
      <c r="H14" s="418">
        <f>IF((GETPIVOTDATA("Total-Old",'Distrib pivot table'!$C$2,"state","FL","group","1b7")/GETPIVOTDATA("Total-Old",'Distrib pivot table'!$C$2,"state","FL"))=0,,IF(GETPIVOTDATA("Total-Old",'Distrib pivot table'!$C$2,"state","FL","group","1b7")/GETPIVOTDATA("Total-Old",'Distrib pivot table'!$C$2,"state","FL")&gt;0.0005,GETPIVOTDATA("Total-Old",'Distrib pivot table'!$C$2,"state","FL","group","1b7")/GETPIVOTDATA("Total-Old",'Distrib pivot table'!$C$2,"state","FL"),"*"))</f>
        <v>5.8185090449061605E-4</v>
      </c>
      <c r="I14" s="418">
        <f>IF((GETPIVOTDATA("Total-Old",'Distrib pivot table'!$C$2,"state","GA","group","1b7")/GETPIVOTDATA("Total-Old",'Distrib pivot table'!$C$2,"state","GA"))=0,,IF(GETPIVOTDATA("Total-Old",'Distrib pivot table'!$C$2,"state","GA","group","1b7")/GETPIVOTDATA("Total-Old",'Distrib pivot table'!$C$2,"state","GA")&gt;0.0005,GETPIVOTDATA("Total-Old",'Distrib pivot table'!$C$2,"state","GA","group","1b7")/GETPIVOTDATA("Total-Old",'Distrib pivot table'!$C$2,"state","GA"),"*"))</f>
        <v>0</v>
      </c>
      <c r="J14" s="418">
        <f>IF((GETPIVOTDATA("Total-Old",'Distrib pivot table'!$C$2,"state","KY","group","1b7")/GETPIVOTDATA("Total-Old",'Distrib pivot table'!$C$2,"state","KY"))=0,,IF(GETPIVOTDATA("Total-Old",'Distrib pivot table'!$C$2,"state","KY","group","1b7")/GETPIVOTDATA("Total-Old",'Distrib pivot table'!$C$2,"state","KY")&gt;0.0005,GETPIVOTDATA("Total-Old",'Distrib pivot table'!$C$2,"state","KY","group","1b7")/GETPIVOTDATA("Total-Old",'Distrib pivot table'!$C$2,"state","KY"),"*"))</f>
        <v>0</v>
      </c>
      <c r="K14" s="418">
        <f>IF((GETPIVOTDATA("Total-Old",'Distrib pivot table'!$C$2,"state","LA","group","1b7")/GETPIVOTDATA("Total-Old",'Distrib pivot table'!$C$2,"state","LA"))=0,,IF(GETPIVOTDATA("Total-Old",'Distrib pivot table'!$C$2,"state","LA","group","1b7")/GETPIVOTDATA("Total-Old",'Distrib pivot table'!$C$2,"state","LA")&gt;0.0005,GETPIVOTDATA("Total-Old",'Distrib pivot table'!$C$2,"state","LA","group","1b7")/GETPIVOTDATA("Total-Old",'Distrib pivot table'!$C$2,"state","LA"),"*"))</f>
        <v>0</v>
      </c>
      <c r="L14" s="418">
        <f>IF((GETPIVOTDATA("Total-Old",'Distrib pivot table'!$C$2,"state","MD","group","1b7")/GETPIVOTDATA("Total-Old",'Distrib pivot table'!$C$2,"state","MD"))=0,,IF(GETPIVOTDATA("Total-Old",'Distrib pivot table'!$C$2,"state","MD","group","1b7")/GETPIVOTDATA("Total-Old",'Distrib pivot table'!$C$2,"state","MD")&gt;0.0005,GETPIVOTDATA("Total-Old",'Distrib pivot table'!$C$2,"state","MD","group","1b7")/GETPIVOTDATA("Total-Old",'Distrib pivot table'!$C$2,"state","MD"),"*"))</f>
        <v>0</v>
      </c>
      <c r="M14" s="418">
        <f>IF((GETPIVOTDATA("Total-Old",'Distrib pivot table'!$C$2,"state","MS","group","1b7")/GETPIVOTDATA("Total-Old",'Distrib pivot table'!$C$2,"state","MS"))=0,,IF(GETPIVOTDATA("Total-Old",'Distrib pivot table'!$C$2,"state","MS","group","1b7")/GETPIVOTDATA("Total-Old",'Distrib pivot table'!$C$2,"state","MS")&gt;0.0005,GETPIVOTDATA("Total-Old",'Distrib pivot table'!$C$2,"state","MS","group","1b7")/GETPIVOTDATA("Total-Old",'Distrib pivot table'!$C$2,"state","MS"),"*"))</f>
        <v>1.4289583337577719E-2</v>
      </c>
      <c r="N14" s="418">
        <f>IF((GETPIVOTDATA("Total-Old",'Distrib pivot table'!$C$2,"state","NC","group","1b7")/GETPIVOTDATA("Total-Old",'Distrib pivot table'!$C$2,"state","NC"))=0,,IF(GETPIVOTDATA("Total-Old",'Distrib pivot table'!$C$2,"state","NC","group","1b7")/GETPIVOTDATA("Total-Old",'Distrib pivot table'!$C$2,"state","NC")&gt;0.0005,GETPIVOTDATA("Total-Old",'Distrib pivot table'!$C$2,"state","NC","group","1b7")/GETPIVOTDATA("Total-Old",'Distrib pivot table'!$C$2,"state","NC"),"*"))</f>
        <v>0</v>
      </c>
      <c r="O14" s="418">
        <f>IF((GETPIVOTDATA("Total-Old",'Distrib pivot table'!$C$2,"state","OK","group","1b7")/GETPIVOTDATA("Total-Old",'Distrib pivot table'!$C$2,"state","OK"))=0,,IF(GETPIVOTDATA("Total-Old",'Distrib pivot table'!$C$2,"state","OK","group","1b7")/GETPIVOTDATA("Total-Old",'Distrib pivot table'!$C$2,"state","OK")&gt;0.0005,GETPIVOTDATA("Total-Old",'Distrib pivot table'!$C$2,"state","OK","group","1b7")/GETPIVOTDATA("Total-Old",'Distrib pivot table'!$C$2,"state","OK"),"*"))</f>
        <v>0</v>
      </c>
      <c r="P14" s="418">
        <f>IF((GETPIVOTDATA("Total-Old",'Distrib pivot table'!$C$2,"state","SC","group","1b7")/GETPIVOTDATA("Total-Old",'Distrib pivot table'!$C$2,"state","SC"))=0,,IF(GETPIVOTDATA("Total-Old",'Distrib pivot table'!$C$2,"state","SC","group","1b7")/GETPIVOTDATA("Total-Old",'Distrib pivot table'!$C$2,"state","SC")&gt;0.0005,GETPIVOTDATA("Total-Old",'Distrib pivot table'!$C$2,"state","SC","group","1b7")/GETPIVOTDATA("Total-Old",'Distrib pivot table'!$C$2,"state","SC"),"*"))</f>
        <v>1.8457807168458983E-2</v>
      </c>
      <c r="Q14" s="418">
        <f>IF((GETPIVOTDATA("Total-Old",'Distrib pivot table'!$C$2,"state","TN","group","1b7")/GETPIVOTDATA("Total-Old",'Distrib pivot table'!$C$2,"state","TN"))=0,,IF(GETPIVOTDATA("Total-Old",'Distrib pivot table'!$C$2,"state","TN","group","1b7")/GETPIVOTDATA("Total-Old",'Distrib pivot table'!$C$2,"state","TN")&gt;0.0005,GETPIVOTDATA("Total-Old",'Distrib pivot table'!$C$2,"state","TN","group","1b7")/GETPIVOTDATA("Total-Old",'Distrib pivot table'!$C$2,"state","TN"),"*"))</f>
        <v>0</v>
      </c>
      <c r="R14" s="418">
        <f>IF((GETPIVOTDATA("Total-Old",'Distrib pivot table'!$C$2,"state","TX","group","1b7")/GETPIVOTDATA("Total-Old",'Distrib pivot table'!$C$2,"state","TX"))=0,,IF(GETPIVOTDATA("Total-Old",'Distrib pivot table'!$C$2,"state","TX","group","1b7")/GETPIVOTDATA("Total-Old",'Distrib pivot table'!$C$2,"state","TX")&gt;0.0005,GETPIVOTDATA("Total-Old",'Distrib pivot table'!$C$2,"state","TX","group","1b7")/GETPIVOTDATA("Total-Old",'Distrib pivot table'!$C$2,"state","TX"),"*"))</f>
        <v>0</v>
      </c>
      <c r="S14" s="418">
        <f>IF((GETPIVOTDATA("Total-Old",'Distrib pivot table'!$C$2,"state","VA","group","1b7")/GETPIVOTDATA("Total-Old",'Distrib pivot table'!$C$2,"state","VA"))=0,,IF(GETPIVOTDATA("Total-Old",'Distrib pivot table'!$C$2,"state","VA","group","1b7")/GETPIVOTDATA("Total-Old",'Distrib pivot table'!$C$2,"state","VA")&gt;0.0005,GETPIVOTDATA("Total-Old",'Distrib pivot table'!$C$2,"state","VA","group","1b7")/GETPIVOTDATA("Total-Old",'Distrib pivot table'!$C$2,"state","VA"),"*"))</f>
        <v>0</v>
      </c>
      <c r="T14" s="418">
        <f>IF((GETPIVOTDATA("Total-Old",'Distrib pivot table'!$C$2,"state","WV","group","1b7")/GETPIVOTDATA("Total-Old",'Distrib pivot table'!$C$2,"state","WV"))=0,,IF(GETPIVOTDATA("Total-Old",'Distrib pivot table'!$C$2,"state","WV","group","1b7")/GETPIVOTDATA("Total-Old",'Distrib pivot table'!$C$2,"state","WV")&gt;0.0005,GETPIVOTDATA("Total-Old",'Distrib pivot table'!$C$2,"state","WV","group","1b7")/GETPIVOTDATA("Total-Old",'Distrib pivot table'!$C$2,"state","WV"),"*"))</f>
        <v>4.3496896645854538E-3</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s="45" customFormat="1" ht="26.25" customHeight="1">
      <c r="A15" s="1486"/>
      <c r="B15" s="126" t="s">
        <v>12</v>
      </c>
      <c r="C15" s="370" t="s">
        <v>273</v>
      </c>
      <c r="D15" s="419">
        <f>SUM(D16:D21)</f>
        <v>8.5177689346942649E-3</v>
      </c>
      <c r="E15" s="419">
        <f>SUM(E16:E21)</f>
        <v>6.4949530883310902E-3</v>
      </c>
      <c r="F15" s="419">
        <f>SUM(F16:F21)</f>
        <v>4.0070561086635675E-2</v>
      </c>
      <c r="G15" s="419">
        <f t="shared" ref="G15:T15" si="2">SUM(G16:G21)</f>
        <v>0</v>
      </c>
      <c r="H15" s="419">
        <f t="shared" si="2"/>
        <v>2.0046963379588239E-3</v>
      </c>
      <c r="I15" s="419">
        <f t="shared" si="2"/>
        <v>7.359390148414093E-3</v>
      </c>
      <c r="J15" s="419">
        <f t="shared" si="2"/>
        <v>4.5902447769962714E-3</v>
      </c>
      <c r="K15" s="419">
        <f t="shared" si="2"/>
        <v>1.7913792404115544E-2</v>
      </c>
      <c r="L15" s="419">
        <f t="shared" si="2"/>
        <v>0</v>
      </c>
      <c r="M15" s="419">
        <f t="shared" si="2"/>
        <v>0</v>
      </c>
      <c r="N15" s="419">
        <f t="shared" si="2"/>
        <v>4.1122359401085599E-2</v>
      </c>
      <c r="O15" s="419">
        <f t="shared" si="2"/>
        <v>0</v>
      </c>
      <c r="P15" s="419">
        <f t="shared" si="2"/>
        <v>0</v>
      </c>
      <c r="Q15" s="419">
        <f t="shared" si="2"/>
        <v>0</v>
      </c>
      <c r="R15" s="419">
        <f t="shared" si="2"/>
        <v>6.3214523575667548E-3</v>
      </c>
      <c r="S15" s="419">
        <f t="shared" si="2"/>
        <v>1.4630788805454584E-3</v>
      </c>
      <c r="T15" s="419">
        <f t="shared" si="2"/>
        <v>4.2545891163715101E-3</v>
      </c>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row>
    <row r="16" spans="1:50" ht="12.6" customHeight="1">
      <c r="A16" s="1486"/>
      <c r="B16" s="127" t="s">
        <v>319</v>
      </c>
      <c r="C16" s="371" t="s">
        <v>274</v>
      </c>
      <c r="D16" s="418">
        <f>IF(GETPIVOTDATA("Total-Old",'Distrib pivot table'!$C$2,"group","1c1")/GETPIVOTDATA("Total-Old",'Distrib pivot table'!$C$2)=0,,IF(GETPIVOTDATA("Total-Old",'Distrib pivot table'!$C$2,"group","1c1")/GETPIVOTDATA("Total-Old",'Distrib pivot table'!$C$2)&gt;0.0005,GETPIVOTDATA("Total-Old",'Distrib pivot table'!$C$2,"group","1c1")/GETPIVOTDATA("Total-Old",'Distrib pivot table'!$C$2),"*"))</f>
        <v>1.9224488435389002E-3</v>
      </c>
      <c r="E16" s="418">
        <f>IF((GETPIVOTDATA("Total-Old",'Distrib pivot table'!$C$2,"state","AL","group","1c1")/GETPIVOTDATA("Total-Old",'Distrib pivot table'!$C$2,"state","AL"))=0,,IF(GETPIVOTDATA("Total-Old",'Distrib pivot table'!$C$2,"state","AL","group","1c1")/GETPIVOTDATA("Total-Old",'Distrib pivot table'!$C$2,"state","AL")&gt;0.0005,GETPIVOTDATA("Total-Old",'Distrib pivot table'!$C$2,"state","AL","group","1c1")/GETPIVOTDATA("Total-Old",'Distrib pivot table'!$C$2,"state","AL"),"*"))</f>
        <v>0</v>
      </c>
      <c r="F16" s="418">
        <f>IF((GETPIVOTDATA("Total-Old",'Distrib pivot table'!$C$2,"state","AR","group","1c1")/GETPIVOTDATA("Total-Old",'Distrib pivot table'!$C$2,"state","AR"))=0,,IF(GETPIVOTDATA("Total-Old",'Distrib pivot table'!$C$2,"state","AR","group","1c1")/GETPIVOTDATA("Total-Old",'Distrib pivot table'!$C$2,"state","AR")&gt;0.0005,GETPIVOTDATA("Total-Old",'Distrib pivot table'!$C$2,"state","AR","group","1c1")/GETPIVOTDATA("Total-Old",'Distrib pivot table'!$C$2,"state","AR"),"*"))</f>
        <v>0</v>
      </c>
      <c r="G16" s="418">
        <f>IF((GETPIVOTDATA("Total-Old",'Distrib pivot table'!$C$2,"state","DE","group","1c1")/GETPIVOTDATA("Total-Old",'Distrib pivot table'!$C$2,"state","DE"))=0,,IF(GETPIVOTDATA("Total-Old",'Distrib pivot table'!$C$2,"state","DE","group","1c1")/GETPIVOTDATA("Total-Old",'Distrib pivot table'!$C$2,"state","DE")&gt;0.0005,GETPIVOTDATA("Total-Old",'Distrib pivot table'!$C$2,"state","DE","group","1c1")/GETPIVOTDATA("Total-Old",'Distrib pivot table'!$C$2,"state","DE"),"*"))</f>
        <v>0</v>
      </c>
      <c r="H16" s="418">
        <f>IF((GETPIVOTDATA("Total-Old",'Distrib pivot table'!$C$2,"state","FL","group","1c1")/GETPIVOTDATA("Total-Old",'Distrib pivot table'!$C$2,"state","FL"))=0,,IF(GETPIVOTDATA("Total-Old",'Distrib pivot table'!$C$2,"state","FL","group","1c1")/GETPIVOTDATA("Total-Old",'Distrib pivot table'!$C$2,"state","FL")&gt;0.0005,GETPIVOTDATA("Total-Old",'Distrib pivot table'!$C$2,"state","FL","group","1c1")/GETPIVOTDATA("Total-Old",'Distrib pivot table'!$C$2,"state","FL"),"*"))</f>
        <v>0</v>
      </c>
      <c r="I16" s="418">
        <f>IF((GETPIVOTDATA("Total-Old",'Distrib pivot table'!$C$2,"state","GA","group","1c1")/GETPIVOTDATA("Total-Old",'Distrib pivot table'!$C$2,"state","GA"))=0,,IF(GETPIVOTDATA("Total-Old",'Distrib pivot table'!$C$2,"state","GA","group","1c1")/GETPIVOTDATA("Total-Old",'Distrib pivot table'!$C$2,"state","GA")&gt;0.0005,GETPIVOTDATA("Total-Old",'Distrib pivot table'!$C$2,"state","GA","group","1c1")/GETPIVOTDATA("Total-Old",'Distrib pivot table'!$C$2,"state","GA"),"*"))</f>
        <v>0</v>
      </c>
      <c r="J16" s="418">
        <f>IF((GETPIVOTDATA("Total-Old",'Distrib pivot table'!$C$2,"state","KY","group","1c1")/GETPIVOTDATA("Total-Old",'Distrib pivot table'!$C$2,"state","KY"))=0,,IF(GETPIVOTDATA("Total-Old",'Distrib pivot table'!$C$2,"state","KY","group","1c1")/GETPIVOTDATA("Total-Old",'Distrib pivot table'!$C$2,"state","KY")&gt;0.0005,GETPIVOTDATA("Total-Old",'Distrib pivot table'!$C$2,"state","KY","group","1c1")/GETPIVOTDATA("Total-Old",'Distrib pivot table'!$C$2,"state","KY"),"*"))</f>
        <v>4.5902447769962714E-3</v>
      </c>
      <c r="K16" s="418" t="str">
        <f>IF((GETPIVOTDATA("Total-Old",'Distrib pivot table'!$C$2,"state","LA","group","1c1")/GETPIVOTDATA("Total-Old",'Distrib pivot table'!$C$2,"state","LA"))=0,,IF(GETPIVOTDATA("Total-Old",'Distrib pivot table'!$C$2,"state","LA","group","1c1")/GETPIVOTDATA("Total-Old",'Distrib pivot table'!$C$2,"state","LA")&gt;0.0005,GETPIVOTDATA("Total-Old",'Distrib pivot table'!$C$2,"state","LA","group","1c1")/GETPIVOTDATA("Total-Old",'Distrib pivot table'!$C$2,"state","LA"),"*"))</f>
        <v>*</v>
      </c>
      <c r="L16" s="418">
        <f>IF((GETPIVOTDATA("Total-Old",'Distrib pivot table'!$C$2,"state","MD","group","1c1")/GETPIVOTDATA("Total-Old",'Distrib pivot table'!$C$2,"state","MD"))=0,,IF(GETPIVOTDATA("Total-Old",'Distrib pivot table'!$C$2,"state","MD","group","1c1")/GETPIVOTDATA("Total-Old",'Distrib pivot table'!$C$2,"state","MD")&gt;0.0005,GETPIVOTDATA("Total-Old",'Distrib pivot table'!$C$2,"state","MD","group","1c1")/GETPIVOTDATA("Total-Old",'Distrib pivot table'!$C$2,"state","MD"),"*"))</f>
        <v>0</v>
      </c>
      <c r="M16" s="418" t="str">
        <f>IF((GETPIVOTDATA("Total-Old",'Distrib pivot table'!$C$2,"state","MS","group","1c1")/GETPIVOTDATA("Total-Old",'Distrib pivot table'!$C$2,"state","MS"))=0,,IF(GETPIVOTDATA("Total-Old",'Distrib pivot table'!$C$2,"state","MS","group","1c1")/GETPIVOTDATA("Total-Old",'Distrib pivot table'!$C$2,"state","MS")&gt;0.0005,GETPIVOTDATA("Total-Old",'Distrib pivot table'!$C$2,"state","MS","group","1c1")/GETPIVOTDATA("Total-Old",'Distrib pivot table'!$C$2,"state","MS"),"*"))</f>
        <v>*</v>
      </c>
      <c r="N16" s="418">
        <f>IF((GETPIVOTDATA("Total-Old",'Distrib pivot table'!$C$2,"state","NC","group","1c1")/GETPIVOTDATA("Total-Old",'Distrib pivot table'!$C$2,"state","NC"))=0,,IF(GETPIVOTDATA("Total-Old",'Distrib pivot table'!$C$2,"state","NC","group","1c1")/GETPIVOTDATA("Total-Old",'Distrib pivot table'!$C$2,"state","NC")&gt;0.0005,GETPIVOTDATA("Total-Old",'Distrib pivot table'!$C$2,"state","NC","group","1c1")/GETPIVOTDATA("Total-Old",'Distrib pivot table'!$C$2,"state","NC"),"*"))</f>
        <v>9.0400109012360001E-3</v>
      </c>
      <c r="O16" s="418">
        <f>IF((GETPIVOTDATA("Total-Old",'Distrib pivot table'!$C$2,"state","OK","group","1c1")/GETPIVOTDATA("Total-Old",'Distrib pivot table'!$C$2,"state","OK"))=0,,IF(GETPIVOTDATA("Total-Old",'Distrib pivot table'!$C$2,"state","OK","group","1c1")/GETPIVOTDATA("Total-Old",'Distrib pivot table'!$C$2,"state","OK")&gt;0.0005,GETPIVOTDATA("Total-Old",'Distrib pivot table'!$C$2,"state","OK","group","1c1")/GETPIVOTDATA("Total-Old",'Distrib pivot table'!$C$2,"state","OK"),"*"))</f>
        <v>0</v>
      </c>
      <c r="P16" s="418">
        <f>IF((GETPIVOTDATA("Total-Old",'Distrib pivot table'!$C$2,"state","SC","group","1c1")/GETPIVOTDATA("Total-Old",'Distrib pivot table'!$C$2,"state","SC"))=0,,IF(GETPIVOTDATA("Total-Old",'Distrib pivot table'!$C$2,"state","SC","group","1c1")/GETPIVOTDATA("Total-Old",'Distrib pivot table'!$C$2,"state","SC")&gt;0.0005,GETPIVOTDATA("Total-Old",'Distrib pivot table'!$C$2,"state","SC","group","1c1")/GETPIVOTDATA("Total-Old",'Distrib pivot table'!$C$2,"state","SC"),"*"))</f>
        <v>0</v>
      </c>
      <c r="Q16" s="418">
        <f>IF((GETPIVOTDATA("Total-Old",'Distrib pivot table'!$C$2,"state","TN","group","1c1")/GETPIVOTDATA("Total-Old",'Distrib pivot table'!$C$2,"state","TN"))=0,,IF(GETPIVOTDATA("Total-Old",'Distrib pivot table'!$C$2,"state","TN","group","1c1")/GETPIVOTDATA("Total-Old",'Distrib pivot table'!$C$2,"state","TN")&gt;0.0005,GETPIVOTDATA("Total-Old",'Distrib pivot table'!$C$2,"state","TN","group","1c1")/GETPIVOTDATA("Total-Old",'Distrib pivot table'!$C$2,"state","TN"),"*"))</f>
        <v>0</v>
      </c>
      <c r="R16" s="418">
        <f>IF((GETPIVOTDATA("Total-Old",'Distrib pivot table'!$C$2,"state","TX","group","1c1")/GETPIVOTDATA("Total-Old",'Distrib pivot table'!$C$2,"state","TX"))=0,,IF(GETPIVOTDATA("Total-Old",'Distrib pivot table'!$C$2,"state","TX","group","1c1")/GETPIVOTDATA("Total-Old",'Distrib pivot table'!$C$2,"state","TX")&gt;0.0005,GETPIVOTDATA("Total-Old",'Distrib pivot table'!$C$2,"state","TX","group","1c1")/GETPIVOTDATA("Total-Old",'Distrib pivot table'!$C$2,"state","TX"),"*"))</f>
        <v>3.6488895194054429E-3</v>
      </c>
      <c r="S16" s="418">
        <f>IF((GETPIVOTDATA("Total-Old",'Distrib pivot table'!$C$2,"state","VA","group","1c1")/GETPIVOTDATA("Total-Old",'Distrib pivot table'!$C$2,"state","VA"))=0,,IF(GETPIVOTDATA("Total-Old",'Distrib pivot table'!$C$2,"state","VA","group","1c1")/GETPIVOTDATA("Total-Old",'Distrib pivot table'!$C$2,"state","VA")&gt;0.0005,GETPIVOTDATA("Total-Old",'Distrib pivot table'!$C$2,"state","VA","group","1c1")/GETPIVOTDATA("Total-Old",'Distrib pivot table'!$C$2,"state","VA"),"*"))</f>
        <v>0</v>
      </c>
      <c r="T16" s="418">
        <f>IF((GETPIVOTDATA("Total-Old",'Distrib pivot table'!$C$2,"state","WV","group","1c1")/GETPIVOTDATA("Total-Old",'Distrib pivot table'!$C$2,"state","WV"))=0,,IF(GETPIVOTDATA("Total-Old",'Distrib pivot table'!$C$2,"state","WV","group","1c1")/GETPIVOTDATA("Total-Old",'Distrib pivot table'!$C$2,"state","WV")&gt;0.0005,GETPIVOTDATA("Total-Old",'Distrib pivot table'!$C$2,"state","WV","group","1c1")/GETPIVOTDATA("Total-Old",'Distrib pivot table'!$C$2,"state","WV"),"*"))</f>
        <v>4.2545891163715101E-3</v>
      </c>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2.6" customHeight="1">
      <c r="A17" s="1486"/>
      <c r="B17" s="127" t="s">
        <v>258</v>
      </c>
      <c r="C17" s="371" t="s">
        <v>275</v>
      </c>
      <c r="D17" s="418">
        <f>IF(GETPIVOTDATA("Total-Old",'Distrib pivot table'!$C$2,"group","1c2")/GETPIVOTDATA("Total-Old",'Distrib pivot table'!$C$2)=0,,IF(GETPIVOTDATA("Total-Old",'Distrib pivot table'!$C$2,"group","1c2")/GETPIVOTDATA("Total-Old",'Distrib pivot table'!$C$2)&gt;0.0005,GETPIVOTDATA("Total-Old",'Distrib pivot table'!$C$2,"group","1c2")/GETPIVOTDATA("Total-Old",'Distrib pivot table'!$C$2),"*"))</f>
        <v>2.5753793034736338E-3</v>
      </c>
      <c r="E17" s="418">
        <f>IF((GETPIVOTDATA("Total-Old",'Distrib pivot table'!$C$2,"state","AL","group","1c2")/GETPIVOTDATA("Total-Old",'Distrib pivot table'!$C$2,"state","AL"))=0,,IF(GETPIVOTDATA("Total-Old",'Distrib pivot table'!$C$2,"state","AL","group","1c2")/GETPIVOTDATA("Total-Old",'Distrib pivot table'!$C$2,"state","AL")&gt;0.0005,GETPIVOTDATA("Total-Old",'Distrib pivot table'!$C$2,"state","AL","group","1c2")/GETPIVOTDATA("Total-Old",'Distrib pivot table'!$C$2,"state","AL"),"*"))</f>
        <v>0</v>
      </c>
      <c r="F17" s="418">
        <f>IF((GETPIVOTDATA("Total-Old",'Distrib pivot table'!$C$2,"state","AR","group","1c2")/GETPIVOTDATA("Total-Old",'Distrib pivot table'!$C$2,"state","AR"))=0,,IF(GETPIVOTDATA("Total-Old",'Distrib pivot table'!$C$2,"state","AR","group","1c2")/GETPIVOTDATA("Total-Old",'Distrib pivot table'!$C$2,"state","AR")&gt;0.0005,GETPIVOTDATA("Total-Old",'Distrib pivot table'!$C$2,"state","AR","group","1c2")/GETPIVOTDATA("Total-Old",'Distrib pivot table'!$C$2,"state","AR"),"*"))</f>
        <v>0</v>
      </c>
      <c r="G17" s="418">
        <f>IF((GETPIVOTDATA("Total-Old",'Distrib pivot table'!$C$2,"state","DE","group","1c2")/GETPIVOTDATA("Total-Old",'Distrib pivot table'!$C$2,"state","DE"))=0,,IF(GETPIVOTDATA("Total-Old",'Distrib pivot table'!$C$2,"state","DE","group","1c2")/GETPIVOTDATA("Total-Old",'Distrib pivot table'!$C$2,"state","DE")&gt;0.0005,GETPIVOTDATA("Total-Old",'Distrib pivot table'!$C$2,"state","DE","group","1c2")/GETPIVOTDATA("Total-Old",'Distrib pivot table'!$C$2,"state","DE"),"*"))</f>
        <v>0</v>
      </c>
      <c r="H17" s="418">
        <f>IF((GETPIVOTDATA("Total-Old",'Distrib pivot table'!$C$2,"state","FL","group","1c2")/GETPIVOTDATA("Total-Old",'Distrib pivot table'!$C$2,"state","FL"))=0,,IF(GETPIVOTDATA("Total-Old",'Distrib pivot table'!$C$2,"state","FL","group","1c2")/GETPIVOTDATA("Total-Old",'Distrib pivot table'!$C$2,"state","FL")&gt;0.0005,GETPIVOTDATA("Total-Old",'Distrib pivot table'!$C$2,"state","FL","group","1c2")/GETPIVOTDATA("Total-Old",'Distrib pivot table'!$C$2,"state","FL"),"*"))</f>
        <v>0</v>
      </c>
      <c r="I17" s="418">
        <f>IF((GETPIVOTDATA("Total-Old",'Distrib pivot table'!$C$2,"state","GA","group","1c2")/GETPIVOTDATA("Total-Old",'Distrib pivot table'!$C$2,"state","GA"))=0,,IF(GETPIVOTDATA("Total-Old",'Distrib pivot table'!$C$2,"state","GA","group","1c2")/GETPIVOTDATA("Total-Old",'Distrib pivot table'!$C$2,"state","GA")&gt;0.0005,GETPIVOTDATA("Total-Old",'Distrib pivot table'!$C$2,"state","GA","group","1c2")/GETPIVOTDATA("Total-Old",'Distrib pivot table'!$C$2,"state","GA"),"*"))</f>
        <v>0</v>
      </c>
      <c r="J17" s="418">
        <f>IF((GETPIVOTDATA("Total-Old",'Distrib pivot table'!$C$2,"state","KY","group","1c2")/GETPIVOTDATA("Total-Old",'Distrib pivot table'!$C$2,"state","KY"))=0,,IF(GETPIVOTDATA("Total-Old",'Distrib pivot table'!$C$2,"state","KY","group","1c2")/GETPIVOTDATA("Total-Old",'Distrib pivot table'!$C$2,"state","KY")&gt;0.0005,GETPIVOTDATA("Total-Old",'Distrib pivot table'!$C$2,"state","KY","group","1c2")/GETPIVOTDATA("Total-Old",'Distrib pivot table'!$C$2,"state","KY"),"*"))</f>
        <v>0</v>
      </c>
      <c r="K17" s="418">
        <f>IF((GETPIVOTDATA("Total-Old",'Distrib pivot table'!$C$2,"state","LA","group","1c2")/GETPIVOTDATA("Total-Old",'Distrib pivot table'!$C$2,"state","LA"))=0,,IF(GETPIVOTDATA("Total-Old",'Distrib pivot table'!$C$2,"state","LA","group","1c2")/GETPIVOTDATA("Total-Old",'Distrib pivot table'!$C$2,"state","LA")&gt;0.0005,GETPIVOTDATA("Total-Old",'Distrib pivot table'!$C$2,"state","LA","group","1c2")/GETPIVOTDATA("Total-Old",'Distrib pivot table'!$C$2,"state","LA"),"*"))</f>
        <v>0</v>
      </c>
      <c r="L17" s="418">
        <f>IF((GETPIVOTDATA("Total-Old",'Distrib pivot table'!$C$2,"state","MD","group","1c2")/GETPIVOTDATA("Total-Old",'Distrib pivot table'!$C$2,"state","MD"))=0,,IF(GETPIVOTDATA("Total-Old",'Distrib pivot table'!$C$2,"state","MD","group","1c2")/GETPIVOTDATA("Total-Old",'Distrib pivot table'!$C$2,"state","MD")&gt;0.0005,GETPIVOTDATA("Total-Old",'Distrib pivot table'!$C$2,"state","MD","group","1c2")/GETPIVOTDATA("Total-Old",'Distrib pivot table'!$C$2,"state","MD"),"*"))</f>
        <v>0</v>
      </c>
      <c r="M17" s="418">
        <f>IF((GETPIVOTDATA("Total-Old",'Distrib pivot table'!$C$2,"state","MS","group","1c2")/GETPIVOTDATA("Total-Old",'Distrib pivot table'!$C$2,"state","MS"))=0,,IF(GETPIVOTDATA("Total-Old",'Distrib pivot table'!$C$2,"state","MS","group","1c2")/GETPIVOTDATA("Total-Old",'Distrib pivot table'!$C$2,"state","MS")&gt;0.0005,GETPIVOTDATA("Total-Old",'Distrib pivot table'!$C$2,"state","MS","group","1c2")/GETPIVOTDATA("Total-Old",'Distrib pivot table'!$C$2,"state","MS"),"*"))</f>
        <v>0</v>
      </c>
      <c r="N17" s="418">
        <f>IF((GETPIVOTDATA("Total-Old",'Distrib pivot table'!$C$2,"state","NC","group","1c2")/GETPIVOTDATA("Total-Old",'Distrib pivot table'!$C$2,"state","NC"))=0,,IF(GETPIVOTDATA("Total-Old",'Distrib pivot table'!$C$2,"state","NC","group","1c2")/GETPIVOTDATA("Total-Old",'Distrib pivot table'!$C$2,"state","NC")&gt;0.0005,GETPIVOTDATA("Total-Old",'Distrib pivot table'!$C$2,"state","NC","group","1c2")/GETPIVOTDATA("Total-Old",'Distrib pivot table'!$C$2,"state","NC"),"*"))</f>
        <v>2.7438617103006834E-2</v>
      </c>
      <c r="O17" s="418">
        <f>IF((GETPIVOTDATA("Total-Old",'Distrib pivot table'!$C$2,"state","OK","group","1c2")/GETPIVOTDATA("Total-Old",'Distrib pivot table'!$C$2,"state","OK"))=0,,IF(GETPIVOTDATA("Total-Old",'Distrib pivot table'!$C$2,"state","OK","group","1c2")/GETPIVOTDATA("Total-Old",'Distrib pivot table'!$C$2,"state","OK")&gt;0.0005,GETPIVOTDATA("Total-Old",'Distrib pivot table'!$C$2,"state","OK","group","1c2")/GETPIVOTDATA("Total-Old",'Distrib pivot table'!$C$2,"state","OK"),"*"))</f>
        <v>0</v>
      </c>
      <c r="P17" s="418">
        <f>IF((GETPIVOTDATA("Total-Old",'Distrib pivot table'!$C$2,"state","SC","group","1c2")/GETPIVOTDATA("Total-Old",'Distrib pivot table'!$C$2,"state","SC"))=0,,IF(GETPIVOTDATA("Total-Old",'Distrib pivot table'!$C$2,"state","SC","group","1c2")/GETPIVOTDATA("Total-Old",'Distrib pivot table'!$C$2,"state","SC")&gt;0.0005,GETPIVOTDATA("Total-Old",'Distrib pivot table'!$C$2,"state","SC","group","1c2")/GETPIVOTDATA("Total-Old",'Distrib pivot table'!$C$2,"state","SC"),"*"))</f>
        <v>0</v>
      </c>
      <c r="Q17" s="418">
        <f>IF((GETPIVOTDATA("Total-Old",'Distrib pivot table'!$C$2,"state","TN","group","1c2")/GETPIVOTDATA("Total-Old",'Distrib pivot table'!$C$2,"state","TN"))=0,,IF(GETPIVOTDATA("Total-Old",'Distrib pivot table'!$C$2,"state","TN","group","1c2")/GETPIVOTDATA("Total-Old",'Distrib pivot table'!$C$2,"state","TN")&gt;0.0005,GETPIVOTDATA("Total-Old",'Distrib pivot table'!$C$2,"state","TN","group","1c2")/GETPIVOTDATA("Total-Old",'Distrib pivot table'!$C$2,"state","TN"),"*"))</f>
        <v>0</v>
      </c>
      <c r="R17" s="418">
        <f>IF((GETPIVOTDATA("Total-Old",'Distrib pivot table'!$C$2,"state","TX","group","1c2")/GETPIVOTDATA("Total-Old",'Distrib pivot table'!$C$2,"state","TX"))=0,,IF(GETPIVOTDATA("Total-Old",'Distrib pivot table'!$C$2,"state","TX","group","1c2")/GETPIVOTDATA("Total-Old",'Distrib pivot table'!$C$2,"state","TX")&gt;0.0005,GETPIVOTDATA("Total-Old",'Distrib pivot table'!$C$2,"state","TX","group","1c2")/GETPIVOTDATA("Total-Old",'Distrib pivot table'!$C$2,"state","TX"),"*"))</f>
        <v>0</v>
      </c>
      <c r="S17" s="418">
        <f>IF((GETPIVOTDATA("Total-Old",'Distrib pivot table'!$C$2,"state","VA","group","1c2")/GETPIVOTDATA("Total-Old",'Distrib pivot table'!$C$2,"state","VA"))=0,,IF(GETPIVOTDATA("Total-Old",'Distrib pivot table'!$C$2,"state","VA","group","1c2")/GETPIVOTDATA("Total-Old",'Distrib pivot table'!$C$2,"state","VA")&gt;0.0005,GETPIVOTDATA("Total-Old",'Distrib pivot table'!$C$2,"state","VA","group","1c2")/GETPIVOTDATA("Total-Old",'Distrib pivot table'!$C$2,"state","VA"),"*"))</f>
        <v>0</v>
      </c>
      <c r="T17" s="418" t="str">
        <f>IF((GETPIVOTDATA("Total-Old",'Distrib pivot table'!$C$2,"state","WV","group","1c2")/GETPIVOTDATA("Total-Old",'Distrib pivot table'!$C$2,"state","WV"))=0,,IF(GETPIVOTDATA("Total-Old",'Distrib pivot table'!$C$2,"state","WV","group","1c2")/GETPIVOTDATA("Total-Old",'Distrib pivot table'!$C$2,"state","WV")&gt;0.0005,GETPIVOTDATA("Total-Old",'Distrib pivot table'!$C$2,"state","WV","group","1c2")/GETPIVOTDATA("Total-Old",'Distrib pivot table'!$C$2,"state","WV"),"*"))</f>
        <v>*</v>
      </c>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12.6" customHeight="1">
      <c r="A18" s="1486"/>
      <c r="B18" s="127" t="s">
        <v>257</v>
      </c>
      <c r="C18" s="371" t="s">
        <v>276</v>
      </c>
      <c r="D18" s="418">
        <f>IF(GETPIVOTDATA("Total-Old",'Distrib pivot table'!$C$2,"group","1c3")/GETPIVOTDATA("Total-Old",'Distrib pivot table'!$C$2)=0,,IF(GETPIVOTDATA("Total-Old",'Distrib pivot table'!$C$2,"group","1c3")/GETPIVOTDATA("Total-Old",'Distrib pivot table'!$C$2)&gt;0.0005,GETPIVOTDATA("Total-Old",'Distrib pivot table'!$C$2,"group","1c3")/GETPIVOTDATA("Total-Old",'Distrib pivot table'!$C$2),"*"))</f>
        <v>1.1352296329445863E-3</v>
      </c>
      <c r="E18" s="418">
        <f>IF((GETPIVOTDATA("Total-Old",'Distrib pivot table'!$C$2,"state","AL","group","1c3")/GETPIVOTDATA("Total-Old",'Distrib pivot table'!$C$2,"state","AL"))=0,,IF(GETPIVOTDATA("Total-Old",'Distrib pivot table'!$C$2,"state","AL","group","1c3")/GETPIVOTDATA("Total-Old",'Distrib pivot table'!$C$2,"state","AL")&gt;0.0005,GETPIVOTDATA("Total-Old",'Distrib pivot table'!$C$2,"state","AL","group","1c3")/GETPIVOTDATA("Total-Old",'Distrib pivot table'!$C$2,"state","AL"),"*"))</f>
        <v>0</v>
      </c>
      <c r="F18" s="418">
        <f>IF((GETPIVOTDATA("Total-Old",'Distrib pivot table'!$C$2,"state","AR","group","1c3")/GETPIVOTDATA("Total-Old",'Distrib pivot table'!$C$2,"state","AR"))=0,,IF(GETPIVOTDATA("Total-Old",'Distrib pivot table'!$C$2,"state","AR","group","1c3")/GETPIVOTDATA("Total-Old",'Distrib pivot table'!$C$2,"state","AR")&gt;0.0005,GETPIVOTDATA("Total-Old",'Distrib pivot table'!$C$2,"state","AR","group","1c3")/GETPIVOTDATA("Total-Old",'Distrib pivot table'!$C$2,"state","AR"),"*"))</f>
        <v>3.7702686008109297E-2</v>
      </c>
      <c r="G18" s="418">
        <f>IF((GETPIVOTDATA("Total-Old",'Distrib pivot table'!$C$2,"state","DE","group","1c3")/GETPIVOTDATA("Total-Old",'Distrib pivot table'!$C$2,"state","DE"))=0,,IF(GETPIVOTDATA("Total-Old",'Distrib pivot table'!$C$2,"state","DE","group","1c3")/GETPIVOTDATA("Total-Old",'Distrib pivot table'!$C$2,"state","DE")&gt;0.0005,GETPIVOTDATA("Total-Old",'Distrib pivot table'!$C$2,"state","DE","group","1c3")/GETPIVOTDATA("Total-Old",'Distrib pivot table'!$C$2,"state","DE"),"*"))</f>
        <v>0</v>
      </c>
      <c r="H18" s="418">
        <f>IF((GETPIVOTDATA("Total-Old",'Distrib pivot table'!$C$2,"state","FL","group","1c3")/GETPIVOTDATA("Total-Old",'Distrib pivot table'!$C$2,"state","FL"))=0,,IF(GETPIVOTDATA("Total-Old",'Distrib pivot table'!$C$2,"state","FL","group","1c3")/GETPIVOTDATA("Total-Old",'Distrib pivot table'!$C$2,"state","FL")&gt;0.0005,GETPIVOTDATA("Total-Old",'Distrib pivot table'!$C$2,"state","FL","group","1c3")/GETPIVOTDATA("Total-Old",'Distrib pivot table'!$C$2,"state","FL"),"*"))</f>
        <v>0</v>
      </c>
      <c r="I18" s="418">
        <f>IF((GETPIVOTDATA("Total-Old",'Distrib pivot table'!$C$2,"state","GA","group","1c3")/GETPIVOTDATA("Total-Old",'Distrib pivot table'!$C$2,"state","GA"))=0,,IF(GETPIVOTDATA("Total-Old",'Distrib pivot table'!$C$2,"state","GA","group","1c3")/GETPIVOTDATA("Total-Old",'Distrib pivot table'!$C$2,"state","GA")&gt;0.0005,GETPIVOTDATA("Total-Old",'Distrib pivot table'!$C$2,"state","GA","group","1c3")/GETPIVOTDATA("Total-Old",'Distrib pivot table'!$C$2,"state","GA"),"*"))</f>
        <v>0</v>
      </c>
      <c r="J18" s="418">
        <f>IF((GETPIVOTDATA("Total-Old",'Distrib pivot table'!$C$2,"state","KY","group","1c3")/GETPIVOTDATA("Total-Old",'Distrib pivot table'!$C$2,"state","KY"))=0,,IF(GETPIVOTDATA("Total-Old",'Distrib pivot table'!$C$2,"state","KY","group","1c3")/GETPIVOTDATA("Total-Old",'Distrib pivot table'!$C$2,"state","KY")&gt;0.0005,GETPIVOTDATA("Total-Old",'Distrib pivot table'!$C$2,"state","KY","group","1c3")/GETPIVOTDATA("Total-Old",'Distrib pivot table'!$C$2,"state","KY"),"*"))</f>
        <v>0</v>
      </c>
      <c r="K18" s="418">
        <f>IF((GETPIVOTDATA("Total-Old",'Distrib pivot table'!$C$2,"state","LA","group","1c3")/GETPIVOTDATA("Total-Old",'Distrib pivot table'!$C$2,"state","LA"))=0,,IF(GETPIVOTDATA("Total-Old",'Distrib pivot table'!$C$2,"state","LA","group","1c3")/GETPIVOTDATA("Total-Old",'Distrib pivot table'!$C$2,"state","LA")&gt;0.0005,GETPIVOTDATA("Total-Old",'Distrib pivot table'!$C$2,"state","LA","group","1c3")/GETPIVOTDATA("Total-Old",'Distrib pivot table'!$C$2,"state","LA"),"*"))</f>
        <v>0</v>
      </c>
      <c r="L18" s="418">
        <f>IF((GETPIVOTDATA("Total-Old",'Distrib pivot table'!$C$2,"state","MD","group","1c3")/GETPIVOTDATA("Total-Old",'Distrib pivot table'!$C$2,"state","MD"))=0,,IF(GETPIVOTDATA("Total-Old",'Distrib pivot table'!$C$2,"state","MD","group","1c3")/GETPIVOTDATA("Total-Old",'Distrib pivot table'!$C$2,"state","MD")&gt;0.0005,GETPIVOTDATA("Total-Old",'Distrib pivot table'!$C$2,"state","MD","group","1c3")/GETPIVOTDATA("Total-Old",'Distrib pivot table'!$C$2,"state","MD"),"*"))</f>
        <v>0</v>
      </c>
      <c r="M18" s="418">
        <f>IF((GETPIVOTDATA("Total-Old",'Distrib pivot table'!$C$2,"state","MS","group","1c3")/GETPIVOTDATA("Total-Old",'Distrib pivot table'!$C$2,"state","MS"))=0,,IF(GETPIVOTDATA("Total-Old",'Distrib pivot table'!$C$2,"state","MS","group","1c3")/GETPIVOTDATA("Total-Old",'Distrib pivot table'!$C$2,"state","MS")&gt;0.0005,GETPIVOTDATA("Total-Old",'Distrib pivot table'!$C$2,"state","MS","group","1c3")/GETPIVOTDATA("Total-Old",'Distrib pivot table'!$C$2,"state","MS"),"*"))</f>
        <v>0</v>
      </c>
      <c r="N18" s="418">
        <f>IF((GETPIVOTDATA("Total-Old",'Distrib pivot table'!$C$2,"state","NC","group","1c3")/GETPIVOTDATA("Total-Old",'Distrib pivot table'!$C$2,"state","NC"))=0,,IF(GETPIVOTDATA("Total-Old",'Distrib pivot table'!$C$2,"state","NC","group","1c3")/GETPIVOTDATA("Total-Old",'Distrib pivot table'!$C$2,"state","NC")&gt;0.0005,GETPIVOTDATA("Total-Old",'Distrib pivot table'!$C$2,"state","NC","group","1c3")/GETPIVOTDATA("Total-Old",'Distrib pivot table'!$C$2,"state","NC"),"*"))</f>
        <v>0</v>
      </c>
      <c r="O18" s="418">
        <f>IF((GETPIVOTDATA("Total-Old",'Distrib pivot table'!$C$2,"state","OK","group","1c3")/GETPIVOTDATA("Total-Old",'Distrib pivot table'!$C$2,"state","OK"))=0,,IF(GETPIVOTDATA("Total-Old",'Distrib pivot table'!$C$2,"state","OK","group","1c3")/GETPIVOTDATA("Total-Old",'Distrib pivot table'!$C$2,"state","OK")&gt;0.0005,GETPIVOTDATA("Total-Old",'Distrib pivot table'!$C$2,"state","OK","group","1c3")/GETPIVOTDATA("Total-Old",'Distrib pivot table'!$C$2,"state","OK"),"*"))</f>
        <v>0</v>
      </c>
      <c r="P18" s="418">
        <f>IF((GETPIVOTDATA("Total-Old",'Distrib pivot table'!$C$2,"state","SC","group","1c3")/GETPIVOTDATA("Total-Old",'Distrib pivot table'!$C$2,"state","SC"))=0,,IF(GETPIVOTDATA("Total-Old",'Distrib pivot table'!$C$2,"state","SC","group","1c3")/GETPIVOTDATA("Total-Old",'Distrib pivot table'!$C$2,"state","SC")&gt;0.0005,GETPIVOTDATA("Total-Old",'Distrib pivot table'!$C$2,"state","SC","group","1c3")/GETPIVOTDATA("Total-Old",'Distrib pivot table'!$C$2,"state","SC"),"*"))</f>
        <v>0</v>
      </c>
      <c r="Q18" s="418">
        <f>IF((GETPIVOTDATA("Total-Old",'Distrib pivot table'!$C$2,"state","TN","group","1c3")/GETPIVOTDATA("Total-Old",'Distrib pivot table'!$C$2,"state","TN"))=0,,IF(GETPIVOTDATA("Total-Old",'Distrib pivot table'!$C$2,"state","TN","group","1c3")/GETPIVOTDATA("Total-Old",'Distrib pivot table'!$C$2,"state","TN")&gt;0.0005,GETPIVOTDATA("Total-Old",'Distrib pivot table'!$C$2,"state","TN","group","1c3")/GETPIVOTDATA("Total-Old",'Distrib pivot table'!$C$2,"state","TN"),"*"))</f>
        <v>0</v>
      </c>
      <c r="R18" s="418">
        <f>IF((GETPIVOTDATA("Total-Old",'Distrib pivot table'!$C$2,"state","TX","group","1c3")/GETPIVOTDATA("Total-Old",'Distrib pivot table'!$C$2,"state","TX"))=0,,IF(GETPIVOTDATA("Total-Old",'Distrib pivot table'!$C$2,"state","TX","group","1c3")/GETPIVOTDATA("Total-Old",'Distrib pivot table'!$C$2,"state","TX")&gt;0.0005,GETPIVOTDATA("Total-Old",'Distrib pivot table'!$C$2,"state","TX","group","1c3")/GETPIVOTDATA("Total-Old",'Distrib pivot table'!$C$2,"state","TX"),"*"))</f>
        <v>0</v>
      </c>
      <c r="S18" s="418">
        <f>IF((GETPIVOTDATA("Total-Old",'Distrib pivot table'!$C$2,"state","VA","group","1c3")/GETPIVOTDATA("Total-Old",'Distrib pivot table'!$C$2,"state","VA"))=0,,IF(GETPIVOTDATA("Total-Old",'Distrib pivot table'!$C$2,"state","VA","group","1c3")/GETPIVOTDATA("Total-Old",'Distrib pivot table'!$C$2,"state","VA")&gt;0.0005,GETPIVOTDATA("Total-Old",'Distrib pivot table'!$C$2,"state","VA","group","1c3")/GETPIVOTDATA("Total-Old",'Distrib pivot table'!$C$2,"state","VA"),"*"))</f>
        <v>0</v>
      </c>
      <c r="T18" s="418">
        <f>IF((GETPIVOTDATA("Total-Old",'Distrib pivot table'!$C$2,"state","WV","group","1c3")/GETPIVOTDATA("Total-Old",'Distrib pivot table'!$C$2,"state","WV"))=0,,IF(GETPIVOTDATA("Total-Old",'Distrib pivot table'!$C$2,"state","WV","group","1c3")/GETPIVOTDATA("Total-Old",'Distrib pivot table'!$C$2,"state","WV")&gt;0.0005,GETPIVOTDATA("Total-Old",'Distrib pivot table'!$C$2,"state","WV","group","1c3")/GETPIVOTDATA("Total-Old",'Distrib pivot table'!$C$2,"state","WV"),"*"))</f>
        <v>0</v>
      </c>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12.6" customHeight="1">
      <c r="A19" s="1486"/>
      <c r="B19" s="127" t="s">
        <v>308</v>
      </c>
      <c r="C19" s="371" t="s">
        <v>277</v>
      </c>
      <c r="D19" s="418" t="str">
        <f>IF(GETPIVOTDATA("Total-Old",'Distrib pivot table'!$C$2,"group","1c5")/GETPIVOTDATA("Total-Old",'Distrib pivot table'!$C$2)=0,,IF(GETPIVOTDATA("Total-Old",'Distrib pivot table'!$C$2,"group","1c5")/GETPIVOTDATA("Total-Old",'Distrib pivot table'!$C$2)&gt;0.0005,GETPIVOTDATA("Total-Old",'Distrib pivot table'!$C$2,"group","1c5")/GETPIVOTDATA("Total-Old",'Distrib pivot table'!$C$2),"*"))</f>
        <v>*</v>
      </c>
      <c r="E19" s="418">
        <f>IF((GETPIVOTDATA("Total-Old",'Distrib pivot table'!$C$2,"state","AL","group","1c5")/GETPIVOTDATA("Total-Old",'Distrib pivot table'!$C$2,"state","AL"))=0,,IF(GETPIVOTDATA("Total-Old",'Distrib pivot table'!$C$2,"state","AL","group","1c5")/GETPIVOTDATA("Total-Old",'Distrib pivot table'!$C$2,"state","AL")&gt;0.0005,GETPIVOTDATA("Total-Old",'Distrib pivot table'!$C$2,"state","AL","group","1c5")/GETPIVOTDATA("Total-Old",'Distrib pivot table'!$C$2,"state","AL"),"*"))</f>
        <v>0</v>
      </c>
      <c r="F19" s="418">
        <f>IF((GETPIVOTDATA("Total-Old",'Distrib pivot table'!$C$2,"state","AR","group","1c5")/GETPIVOTDATA("Total-Old",'Distrib pivot table'!$C$2,"state","AR"))=0,,IF(GETPIVOTDATA("Total-Old",'Distrib pivot table'!$C$2,"state","AR","group","1c5")/GETPIVOTDATA("Total-Old",'Distrib pivot table'!$C$2,"state","AR")&gt;0.0005,GETPIVOTDATA("Total-Old",'Distrib pivot table'!$C$2,"state","AR","group","1c5")/GETPIVOTDATA("Total-Old",'Distrib pivot table'!$C$2,"state","AR"),"*"))</f>
        <v>0</v>
      </c>
      <c r="G19" s="418">
        <f>IF((GETPIVOTDATA("Total-Old",'Distrib pivot table'!$C$2,"state","DE","group","1c5")/GETPIVOTDATA("Total-Old",'Distrib pivot table'!$C$2,"state","DE"))=0,,IF(GETPIVOTDATA("Total-Old",'Distrib pivot table'!$C$2,"state","DE","group","1c5")/GETPIVOTDATA("Total-Old",'Distrib pivot table'!$C$2,"state","DE")&gt;0.0005,GETPIVOTDATA("Total-Old",'Distrib pivot table'!$C$2,"state","DE","group","1c5")/GETPIVOTDATA("Total-Old",'Distrib pivot table'!$C$2,"state","DE"),"*"))</f>
        <v>0</v>
      </c>
      <c r="H19" s="418">
        <f>IF((GETPIVOTDATA("Total-Old",'Distrib pivot table'!$C$2,"state","FL","group","1c5")/GETPIVOTDATA("Total-Old",'Distrib pivot table'!$C$2,"state","FL"))=0,,IF(GETPIVOTDATA("Total-Old",'Distrib pivot table'!$C$2,"state","FL","group","1c5")/GETPIVOTDATA("Total-Old",'Distrib pivot table'!$C$2,"state","FL")&gt;0.0005,GETPIVOTDATA("Total-Old",'Distrib pivot table'!$C$2,"state","FL","group","1c5")/GETPIVOTDATA("Total-Old",'Distrib pivot table'!$C$2,"state","FL"),"*"))</f>
        <v>0</v>
      </c>
      <c r="I19" s="418">
        <f>IF((GETPIVOTDATA("Total-Old",'Distrib pivot table'!$C$2,"state","GA","group","1c5")/GETPIVOTDATA("Total-Old",'Distrib pivot table'!$C$2,"state","GA"))=0,,IF(GETPIVOTDATA("Total-Old",'Distrib pivot table'!$C$2,"state","GA","group","1c5")/GETPIVOTDATA("Total-Old",'Distrib pivot table'!$C$2,"state","GA")&gt;0.0005,GETPIVOTDATA("Total-Old",'Distrib pivot table'!$C$2,"state","GA","group","1c5")/GETPIVOTDATA("Total-Old",'Distrib pivot table'!$C$2,"state","GA"),"*"))</f>
        <v>0</v>
      </c>
      <c r="J19" s="418">
        <f>IF((GETPIVOTDATA("Total-Old",'Distrib pivot table'!$C$2,"state","KY","group","1c5")/GETPIVOTDATA("Total-Old",'Distrib pivot table'!$C$2,"state","KY"))=0,,IF(GETPIVOTDATA("Total-Old",'Distrib pivot table'!$C$2,"state","KY","group","1c5")/GETPIVOTDATA("Total-Old",'Distrib pivot table'!$C$2,"state","KY")&gt;0.0005,GETPIVOTDATA("Total-Old",'Distrib pivot table'!$C$2,"state","KY","group","1c5")/GETPIVOTDATA("Total-Old",'Distrib pivot table'!$C$2,"state","KY"),"*"))</f>
        <v>0</v>
      </c>
      <c r="K19" s="418">
        <f>IF((GETPIVOTDATA("Total-Old",'Distrib pivot table'!$C$2,"state","LA","group","1c5")/GETPIVOTDATA("Total-Old",'Distrib pivot table'!$C$2,"state","LA"))=0,,IF(GETPIVOTDATA("Total-Old",'Distrib pivot table'!$C$2,"state","LA","group","1c5")/GETPIVOTDATA("Total-Old",'Distrib pivot table'!$C$2,"state","LA")&gt;0.0005,GETPIVOTDATA("Total-Old",'Distrib pivot table'!$C$2,"state","LA","group","1c5")/GETPIVOTDATA("Total-Old",'Distrib pivot table'!$C$2,"state","LA"),"*"))</f>
        <v>0</v>
      </c>
      <c r="L19" s="418">
        <f>IF((GETPIVOTDATA("Total-Old",'Distrib pivot table'!$C$2,"state","MD","group","1c5")/GETPIVOTDATA("Total-Old",'Distrib pivot table'!$C$2,"state","MD"))=0,,IF(GETPIVOTDATA("Total-Old",'Distrib pivot table'!$C$2,"state","MD","group","1c5")/GETPIVOTDATA("Total-Old",'Distrib pivot table'!$C$2,"state","MD")&gt;0.0005,GETPIVOTDATA("Total-Old",'Distrib pivot table'!$C$2,"state","MD","group","1c5")/GETPIVOTDATA("Total-Old",'Distrib pivot table'!$C$2,"state","MD"),"*"))</f>
        <v>0</v>
      </c>
      <c r="M19" s="418">
        <f>IF((GETPIVOTDATA("Total-Old",'Distrib pivot table'!$C$2,"state","MS","group","1c5")/GETPIVOTDATA("Total-Old",'Distrib pivot table'!$C$2,"state","MS"))=0,,IF(GETPIVOTDATA("Total-Old",'Distrib pivot table'!$C$2,"state","MS","group","1c5")/GETPIVOTDATA("Total-Old",'Distrib pivot table'!$C$2,"state","MS")&gt;0.0005,GETPIVOTDATA("Total-Old",'Distrib pivot table'!$C$2,"state","MS","group","1c5")/GETPIVOTDATA("Total-Old",'Distrib pivot table'!$C$2,"state","MS"),"*"))</f>
        <v>0</v>
      </c>
      <c r="N19" s="418">
        <f>IF((GETPIVOTDATA("Total-Old",'Distrib pivot table'!$C$2,"state","NC","group","1c5")/GETPIVOTDATA("Total-Old",'Distrib pivot table'!$C$2,"state","NC"))=0,,IF(GETPIVOTDATA("Total-Old",'Distrib pivot table'!$C$2,"state","NC","group","1c5")/GETPIVOTDATA("Total-Old",'Distrib pivot table'!$C$2,"state","NC")&gt;0.0005,GETPIVOTDATA("Total-Old",'Distrib pivot table'!$C$2,"state","NC","group","1c5")/GETPIVOTDATA("Total-Old",'Distrib pivot table'!$C$2,"state","NC"),"*"))</f>
        <v>0</v>
      </c>
      <c r="O19" s="418">
        <f>IF((GETPIVOTDATA("Total-Old",'Distrib pivot table'!$C$2,"state","OK","group","1c5")/GETPIVOTDATA("Total-Old",'Distrib pivot table'!$C$2,"state","OK"))=0,,IF(GETPIVOTDATA("Total-Old",'Distrib pivot table'!$C$2,"state","OK","group","1c5")/GETPIVOTDATA("Total-Old",'Distrib pivot table'!$C$2,"state","OK")&gt;0.0005,GETPIVOTDATA("Total-Old",'Distrib pivot table'!$C$2,"state","OK","group","1c5")/GETPIVOTDATA("Total-Old",'Distrib pivot table'!$C$2,"state","OK"),"*"))</f>
        <v>0</v>
      </c>
      <c r="P19" s="418">
        <f>IF((GETPIVOTDATA("Total-Old",'Distrib pivot table'!$C$2,"state","SC","group","1c5")/GETPIVOTDATA("Total-Old",'Distrib pivot table'!$C$2,"state","SC"))=0,,IF(GETPIVOTDATA("Total-Old",'Distrib pivot table'!$C$2,"state","SC","group","1c5")/GETPIVOTDATA("Total-Old",'Distrib pivot table'!$C$2,"state","SC")&gt;0.0005,GETPIVOTDATA("Total-Old",'Distrib pivot table'!$C$2,"state","SC","group","1c5")/GETPIVOTDATA("Total-Old",'Distrib pivot table'!$C$2,"state","SC"),"*"))</f>
        <v>0</v>
      </c>
      <c r="Q19" s="418">
        <f>IF((GETPIVOTDATA("Total-Old",'Distrib pivot table'!$C$2,"state","TN","group","1c5")/GETPIVOTDATA("Total-Old",'Distrib pivot table'!$C$2,"state","TN"))=0,,IF(GETPIVOTDATA("Total-Old",'Distrib pivot table'!$C$2,"state","TN","group","1c5")/GETPIVOTDATA("Total-Old",'Distrib pivot table'!$C$2,"state","TN")&gt;0.0005,GETPIVOTDATA("Total-Old",'Distrib pivot table'!$C$2,"state","TN","group","1c5")/GETPIVOTDATA("Total-Old",'Distrib pivot table'!$C$2,"state","TN"),"*"))</f>
        <v>0</v>
      </c>
      <c r="R19" s="418">
        <f>IF((GETPIVOTDATA("Total-Old",'Distrib pivot table'!$C$2,"state","TX","group","1c5")/GETPIVOTDATA("Total-Old",'Distrib pivot table'!$C$2,"state","TX"))=0,,IF(GETPIVOTDATA("Total-Old",'Distrib pivot table'!$C$2,"state","TX","group","1c5")/GETPIVOTDATA("Total-Old",'Distrib pivot table'!$C$2,"state","TX")&gt;0.0005,GETPIVOTDATA("Total-Old",'Distrib pivot table'!$C$2,"state","TX","group","1c5")/GETPIVOTDATA("Total-Old",'Distrib pivot table'!$C$2,"state","TX"),"*"))</f>
        <v>7.5044050943009729E-4</v>
      </c>
      <c r="S19" s="418">
        <f>IF((GETPIVOTDATA("Total-Old",'Distrib pivot table'!$C$2,"state","VA","group","1c5")/GETPIVOTDATA("Total-Old",'Distrib pivot table'!$C$2,"state","VA"))=0,,IF(GETPIVOTDATA("Total-Old",'Distrib pivot table'!$C$2,"state","VA","group","1c5")/GETPIVOTDATA("Total-Old",'Distrib pivot table'!$C$2,"state","VA")&gt;0.0005,GETPIVOTDATA("Total-Old",'Distrib pivot table'!$C$2,"state","VA","group","1c5")/GETPIVOTDATA("Total-Old",'Distrib pivot table'!$C$2,"state","VA"),"*"))</f>
        <v>0</v>
      </c>
      <c r="T19" s="418">
        <f>IF((GETPIVOTDATA("Total-Old",'Distrib pivot table'!$C$2,"state","WV","group","1c5")/GETPIVOTDATA("Total-Old",'Distrib pivot table'!$C$2,"state","WV"))=0,,IF(GETPIVOTDATA("Total-Old",'Distrib pivot table'!$C$2,"state","WV","group","1c5")/GETPIVOTDATA("Total-Old",'Distrib pivot table'!$C$2,"state","WV")&gt;0.0005,GETPIVOTDATA("Total-Old",'Distrib pivot table'!$C$2,"state","WV","group","1c5")/GETPIVOTDATA("Total-Old",'Distrib pivot table'!$C$2,"state","WV"),"*"))</f>
        <v>0</v>
      </c>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12.6" customHeight="1">
      <c r="A20" s="1486"/>
      <c r="B20" s="127" t="s">
        <v>309</v>
      </c>
      <c r="C20" s="371" t="s">
        <v>278</v>
      </c>
      <c r="D20" s="418">
        <f>IF(GETPIVOTDATA("Total-Old",'Distrib pivot table'!$C$2,"group","1c6")/GETPIVOTDATA("Total-Old",'Distrib pivot table'!$C$2)=0,,IF(GETPIVOTDATA("Total-Old",'Distrib pivot table'!$C$2,"group","1c6")/GETPIVOTDATA("Total-Old",'Distrib pivot table'!$C$2)&gt;0.0005,GETPIVOTDATA("Total-Old",'Distrib pivot table'!$C$2,"group","1c6")/GETPIVOTDATA("Total-Old",'Distrib pivot table'!$C$2),"*"))</f>
        <v>1.4281702143569602E-3</v>
      </c>
      <c r="E20" s="418">
        <f>IF((GETPIVOTDATA("Total-Old",'Distrib pivot table'!$C$2,"state","AL","group","1c6")/GETPIVOTDATA("Total-Old",'Distrib pivot table'!$C$2,"state","AL"))=0,,IF(GETPIVOTDATA("Total-Old",'Distrib pivot table'!$C$2,"state","AL","group","1c6")/GETPIVOTDATA("Total-Old",'Distrib pivot table'!$C$2,"state","AL")&gt;0.0005,GETPIVOTDATA("Total-Old",'Distrib pivot table'!$C$2,"state","AL","group","1c6")/GETPIVOTDATA("Total-Old",'Distrib pivot table'!$C$2,"state","AL"),"*"))</f>
        <v>1.4479313253171196E-3</v>
      </c>
      <c r="F20" s="418">
        <f>IF((GETPIVOTDATA("Total-Old",'Distrib pivot table'!$C$2,"state","AR","group","1c6")/GETPIVOTDATA("Total-Old",'Distrib pivot table'!$C$2,"state","AR"))=0,,IF(GETPIVOTDATA("Total-Old",'Distrib pivot table'!$C$2,"state","AR","group","1c6")/GETPIVOTDATA("Total-Old",'Distrib pivot table'!$C$2,"state","AR")&gt;0.0005,GETPIVOTDATA("Total-Old",'Distrib pivot table'!$C$2,"state","AR","group","1c6")/GETPIVOTDATA("Total-Old",'Distrib pivot table'!$C$2,"state","AR"),"*"))</f>
        <v>2.3678750785263792E-3</v>
      </c>
      <c r="G20" s="418">
        <f>IF((GETPIVOTDATA("Total-Old",'Distrib pivot table'!$C$2,"state","DE","group","1c6")/GETPIVOTDATA("Total-Old",'Distrib pivot table'!$C$2,"state","DE"))=0,,IF(GETPIVOTDATA("Total-Old",'Distrib pivot table'!$C$2,"state","DE","group","1c6")/GETPIVOTDATA("Total-Old",'Distrib pivot table'!$C$2,"state","DE")&gt;0.0005,GETPIVOTDATA("Total-Old",'Distrib pivot table'!$C$2,"state","DE","group","1c6")/GETPIVOTDATA("Total-Old",'Distrib pivot table'!$C$2,"state","DE"),"*"))</f>
        <v>0</v>
      </c>
      <c r="H20" s="418">
        <f>IF((GETPIVOTDATA("Total-Old",'Distrib pivot table'!$C$2,"state","FL","group","1c6")/GETPIVOTDATA("Total-Old",'Distrib pivot table'!$C$2,"state","FL"))=0,,IF(GETPIVOTDATA("Total-Old",'Distrib pivot table'!$C$2,"state","FL","group","1c6")/GETPIVOTDATA("Total-Old",'Distrib pivot table'!$C$2,"state","FL")&gt;0.0005,GETPIVOTDATA("Total-Old",'Distrib pivot table'!$C$2,"state","FL","group","1c6")/GETPIVOTDATA("Total-Old",'Distrib pivot table'!$C$2,"state","FL"),"*"))</f>
        <v>2.0046963379588239E-3</v>
      </c>
      <c r="I20" s="418">
        <f>IF((GETPIVOTDATA("Total-Old",'Distrib pivot table'!$C$2,"state","GA","group","1c6")/GETPIVOTDATA("Total-Old",'Distrib pivot table'!$C$2,"state","GA"))=0,,IF(GETPIVOTDATA("Total-Old",'Distrib pivot table'!$C$2,"state","GA","group","1c6")/GETPIVOTDATA("Total-Old",'Distrib pivot table'!$C$2,"state","GA")&gt;0.0005,GETPIVOTDATA("Total-Old",'Distrib pivot table'!$C$2,"state","GA","group","1c6")/GETPIVOTDATA("Total-Old",'Distrib pivot table'!$C$2,"state","GA"),"*"))</f>
        <v>7.359390148414093E-3</v>
      </c>
      <c r="J20" s="418">
        <f>IF((GETPIVOTDATA("Total-Old",'Distrib pivot table'!$C$2,"state","KY","group","1c6")/GETPIVOTDATA("Total-Old",'Distrib pivot table'!$C$2,"state","KY"))=0,,IF(GETPIVOTDATA("Total-Old",'Distrib pivot table'!$C$2,"state","KY","group","1c6")/GETPIVOTDATA("Total-Old",'Distrib pivot table'!$C$2,"state","KY")&gt;0.0005,GETPIVOTDATA("Total-Old",'Distrib pivot table'!$C$2,"state","KY","group","1c6")/GETPIVOTDATA("Total-Old",'Distrib pivot table'!$C$2,"state","KY"),"*"))</f>
        <v>0</v>
      </c>
      <c r="K20" s="418">
        <f>IF((GETPIVOTDATA("Total-Old",'Distrib pivot table'!$C$2,"state","LA","group","1c6")/GETPIVOTDATA("Total-Old",'Distrib pivot table'!$C$2,"state","LA"))=0,,IF(GETPIVOTDATA("Total-Old",'Distrib pivot table'!$C$2,"state","LA","group","1c6")/GETPIVOTDATA("Total-Old",'Distrib pivot table'!$C$2,"state","LA")&gt;0.0005,GETPIVOTDATA("Total-Old",'Distrib pivot table'!$C$2,"state","LA","group","1c6")/GETPIVOTDATA("Total-Old",'Distrib pivot table'!$C$2,"state","LA"),"*"))</f>
        <v>7.2236388627922778E-3</v>
      </c>
      <c r="L20" s="418">
        <f>IF((GETPIVOTDATA("Total-Old",'Distrib pivot table'!$C$2,"state","MD","group","1c6")/GETPIVOTDATA("Total-Old",'Distrib pivot table'!$C$2,"state","MD"))=0,,IF(GETPIVOTDATA("Total-Old",'Distrib pivot table'!$C$2,"state","MD","group","1c6")/GETPIVOTDATA("Total-Old",'Distrib pivot table'!$C$2,"state","MD")&gt;0.0005,GETPIVOTDATA("Total-Old",'Distrib pivot table'!$C$2,"state","MD","group","1c6")/GETPIVOTDATA("Total-Old",'Distrib pivot table'!$C$2,"state","MD"),"*"))</f>
        <v>0</v>
      </c>
      <c r="M20" s="418">
        <f>IF((GETPIVOTDATA("Total-Old",'Distrib pivot table'!$C$2,"state","MS","group","1c6")/GETPIVOTDATA("Total-Old",'Distrib pivot table'!$C$2,"state","MS"))=0,,IF(GETPIVOTDATA("Total-Old",'Distrib pivot table'!$C$2,"state","MS","group","1c6")/GETPIVOTDATA("Total-Old",'Distrib pivot table'!$C$2,"state","MS")&gt;0.0005,GETPIVOTDATA("Total-Old",'Distrib pivot table'!$C$2,"state","MS","group","1c6")/GETPIVOTDATA("Total-Old",'Distrib pivot table'!$C$2,"state","MS"),"*"))</f>
        <v>0</v>
      </c>
      <c r="N20" s="418">
        <f>IF((GETPIVOTDATA("Total-Old",'Distrib pivot table'!$C$2,"state","NC","group","1c6")/GETPIVOTDATA("Total-Old",'Distrib pivot table'!$C$2,"state","NC"))=0,,IF(GETPIVOTDATA("Total-Old",'Distrib pivot table'!$C$2,"state","NC","group","1c6")/GETPIVOTDATA("Total-Old",'Distrib pivot table'!$C$2,"state","NC")&gt;0.0005,GETPIVOTDATA("Total-Old",'Distrib pivot table'!$C$2,"state","NC","group","1c6")/GETPIVOTDATA("Total-Old",'Distrib pivot table'!$C$2,"state","NC"),"*"))</f>
        <v>9.0595649952663715E-4</v>
      </c>
      <c r="O20" s="418">
        <f>IF((GETPIVOTDATA("Total-Old",'Distrib pivot table'!$C$2,"state","OK","group","1c6")/GETPIVOTDATA("Total-Old",'Distrib pivot table'!$C$2,"state","OK"))=0,,IF(GETPIVOTDATA("Total-Old",'Distrib pivot table'!$C$2,"state","OK","group","1c6")/GETPIVOTDATA("Total-Old",'Distrib pivot table'!$C$2,"state","OK")&gt;0.0005,GETPIVOTDATA("Total-Old",'Distrib pivot table'!$C$2,"state","OK","group","1c6")/GETPIVOTDATA("Total-Old",'Distrib pivot table'!$C$2,"state","OK"),"*"))</f>
        <v>0</v>
      </c>
      <c r="P20" s="418">
        <f>IF((GETPIVOTDATA("Total-Old",'Distrib pivot table'!$C$2,"state","SC","group","1c6")/GETPIVOTDATA("Total-Old",'Distrib pivot table'!$C$2,"state","SC"))=0,,IF(GETPIVOTDATA("Total-Old",'Distrib pivot table'!$C$2,"state","SC","group","1c6")/GETPIVOTDATA("Total-Old",'Distrib pivot table'!$C$2,"state","SC")&gt;0.0005,GETPIVOTDATA("Total-Old",'Distrib pivot table'!$C$2,"state","SC","group","1c6")/GETPIVOTDATA("Total-Old",'Distrib pivot table'!$C$2,"state","SC"),"*"))</f>
        <v>0</v>
      </c>
      <c r="Q20" s="418">
        <f>IF((GETPIVOTDATA("Total-Old",'Distrib pivot table'!$C$2,"state","TN","group","1c6")/GETPIVOTDATA("Total-Old",'Distrib pivot table'!$C$2,"state","TN"))=0,,IF(GETPIVOTDATA("Total-Old",'Distrib pivot table'!$C$2,"state","TN","group","1c6")/GETPIVOTDATA("Total-Old",'Distrib pivot table'!$C$2,"state","TN")&gt;0.0005,GETPIVOTDATA("Total-Old",'Distrib pivot table'!$C$2,"state","TN","group","1c6")/GETPIVOTDATA("Total-Old",'Distrib pivot table'!$C$2,"state","TN"),"*"))</f>
        <v>0</v>
      </c>
      <c r="R20" s="418">
        <f>IF((GETPIVOTDATA("Total-Old",'Distrib pivot table'!$C$2,"state","TX","group","1c6")/GETPIVOTDATA("Total-Old",'Distrib pivot table'!$C$2,"state","TX"))=0,,IF(GETPIVOTDATA("Total-Old",'Distrib pivot table'!$C$2,"state","TX","group","1c6")/GETPIVOTDATA("Total-Old",'Distrib pivot table'!$C$2,"state","TX")&gt;0.0005,GETPIVOTDATA("Total-Old",'Distrib pivot table'!$C$2,"state","TX","group","1c6")/GETPIVOTDATA("Total-Old",'Distrib pivot table'!$C$2,"state","TX"),"*"))</f>
        <v>0</v>
      </c>
      <c r="S20" s="418">
        <f>IF((GETPIVOTDATA("Total-Old",'Distrib pivot table'!$C$2,"state","VA","group","1c6")/GETPIVOTDATA("Total-Old",'Distrib pivot table'!$C$2,"state","VA"))=0,,IF(GETPIVOTDATA("Total-Old",'Distrib pivot table'!$C$2,"state","VA","group","1c6")/GETPIVOTDATA("Total-Old",'Distrib pivot table'!$C$2,"state","VA")&gt;0.0005,GETPIVOTDATA("Total-Old",'Distrib pivot table'!$C$2,"state","VA","group","1c6")/GETPIVOTDATA("Total-Old",'Distrib pivot table'!$C$2,"state","VA"),"*"))</f>
        <v>1.4630788805454584E-3</v>
      </c>
      <c r="T20" s="418">
        <f>IF((GETPIVOTDATA("Total-Old",'Distrib pivot table'!$C$2,"state","WV","group","1c6")/GETPIVOTDATA("Total-Old",'Distrib pivot table'!$C$2,"state","WV"))=0,,IF(GETPIVOTDATA("Total-Old",'Distrib pivot table'!$C$2,"state","WV","group","1c6")/GETPIVOTDATA("Total-Old",'Distrib pivot table'!$C$2,"state","WV")&gt;0.0005,GETPIVOTDATA("Total-Old",'Distrib pivot table'!$C$2,"state","WV","group","1c6")/GETPIVOTDATA("Total-Old",'Distrib pivot table'!$C$2,"state","WV"),"*"))</f>
        <v>0</v>
      </c>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12.6" customHeight="1">
      <c r="A21" s="1486"/>
      <c r="B21" s="127" t="s">
        <v>295</v>
      </c>
      <c r="C21" s="371" t="s">
        <v>279</v>
      </c>
      <c r="D21" s="418">
        <f>IF(GETPIVOTDATA("Total-Old",'Distrib pivot table'!$C$2,"group","1c7")/GETPIVOTDATA("Total-Old",'Distrib pivot table'!$C$2)=0,,IF(GETPIVOTDATA("Total-Old",'Distrib pivot table'!$C$2,"group","1c7")/GETPIVOTDATA("Total-Old",'Distrib pivot table'!$C$2)&gt;0.0005,GETPIVOTDATA("Total-Old",'Distrib pivot table'!$C$2,"group","1c7")/GETPIVOTDATA("Total-Old",'Distrib pivot table'!$C$2),"*"))</f>
        <v>1.4565409403801853E-3</v>
      </c>
      <c r="E21" s="420">
        <f>IF((GETPIVOTDATA("Total-Old",'Distrib pivot table'!$C$2,"state","AL","group","1c7")/GETPIVOTDATA("Total-Old",'Distrib pivot table'!$C$2,"state","AL"))=0,,IF(GETPIVOTDATA("Total-Old",'Distrib pivot table'!$C$2,"state","AL","group","1c7")/GETPIVOTDATA("Total-Old",'Distrib pivot table'!$C$2,"state","AL")&gt;0.0005,GETPIVOTDATA("Total-Old",'Distrib pivot table'!$C$2,"state","AL","group","1c7")/GETPIVOTDATA("Total-Old",'Distrib pivot table'!$C$2,"state","AL"),"*"))</f>
        <v>5.0470217630139711E-3</v>
      </c>
      <c r="F21" s="420">
        <f>IF((GETPIVOTDATA("Total-Old",'Distrib pivot table'!$C$2,"state","AR","group","1c7")/GETPIVOTDATA("Total-Old",'Distrib pivot table'!$C$2,"state","AR"))=0,,IF(GETPIVOTDATA("Total-Old",'Distrib pivot table'!$C$2,"state","AR","group","1c7")/GETPIVOTDATA("Total-Old",'Distrib pivot table'!$C$2,"state","AR")&gt;0.0005,GETPIVOTDATA("Total-Old",'Distrib pivot table'!$C$2,"state","AR","group","1c7")/GETPIVOTDATA("Total-Old",'Distrib pivot table'!$C$2,"state","AR"),"*"))</f>
        <v>0</v>
      </c>
      <c r="G21" s="420">
        <f>IF((GETPIVOTDATA("Total-Old",'Distrib pivot table'!$C$2,"state","DE","group","1c7")/GETPIVOTDATA("Total-Old",'Distrib pivot table'!$C$2,"state","DE"))=0,,IF(GETPIVOTDATA("Total-Old",'Distrib pivot table'!$C$2,"state","DE","group","1c7")/GETPIVOTDATA("Total-Old",'Distrib pivot table'!$C$2,"state","DE")&gt;0.0005,GETPIVOTDATA("Total-Old",'Distrib pivot table'!$C$2,"state","DE","group","1c7")/GETPIVOTDATA("Total-Old",'Distrib pivot table'!$C$2,"state","DE"),"*"))</f>
        <v>0</v>
      </c>
      <c r="H21" s="420">
        <f>IF((GETPIVOTDATA("Total-Old",'Distrib pivot table'!$C$2,"state","FL","group","1c7")/GETPIVOTDATA("Total-Old",'Distrib pivot table'!$C$2,"state","FL"))=0,,IF(GETPIVOTDATA("Total-Old",'Distrib pivot table'!$C$2,"state","FL","group","1c7")/GETPIVOTDATA("Total-Old",'Distrib pivot table'!$C$2,"state","FL")&gt;0.0005,GETPIVOTDATA("Total-Old",'Distrib pivot table'!$C$2,"state","FL","group","1c7")/GETPIVOTDATA("Total-Old",'Distrib pivot table'!$C$2,"state","FL"),"*"))</f>
        <v>0</v>
      </c>
      <c r="I21" s="420">
        <f>IF((GETPIVOTDATA("Total-Old",'Distrib pivot table'!$C$2,"state","GA","group","1c7")/GETPIVOTDATA("Total-Old",'Distrib pivot table'!$C$2,"state","GA"))=0,,IF(GETPIVOTDATA("Total-Old",'Distrib pivot table'!$C$2,"state","GA","group","1c7")/GETPIVOTDATA("Total-Old",'Distrib pivot table'!$C$2,"state","GA")&gt;0.0005,GETPIVOTDATA("Total-Old",'Distrib pivot table'!$C$2,"state","GA","group","1c7")/GETPIVOTDATA("Total-Old",'Distrib pivot table'!$C$2,"state","GA"),"*"))</f>
        <v>0</v>
      </c>
      <c r="J21" s="420">
        <f>IF((GETPIVOTDATA("Total-Old",'Distrib pivot table'!$C$2,"state","KY","group","1c7")/GETPIVOTDATA("Total-Old",'Distrib pivot table'!$C$2,"state","KY"))=0,,IF(GETPIVOTDATA("Total-Old",'Distrib pivot table'!$C$2,"state","KY","group","1c7")/GETPIVOTDATA("Total-Old",'Distrib pivot table'!$C$2,"state","KY")&gt;0.0005,GETPIVOTDATA("Total-Old",'Distrib pivot table'!$C$2,"state","KY","group","1c7")/GETPIVOTDATA("Total-Old",'Distrib pivot table'!$C$2,"state","KY"),"*"))</f>
        <v>0</v>
      </c>
      <c r="K21" s="420">
        <f>IF((GETPIVOTDATA("Total-Old",'Distrib pivot table'!$C$2,"state","LA","group","1c7")/GETPIVOTDATA("Total-Old",'Distrib pivot table'!$C$2,"state","LA"))=0,,IF(GETPIVOTDATA("Total-Old",'Distrib pivot table'!$C$2,"state","LA","group","1c7")/GETPIVOTDATA("Total-Old",'Distrib pivot table'!$C$2,"state","LA")&gt;0.0005,GETPIVOTDATA("Total-Old",'Distrib pivot table'!$C$2,"state","LA","group","1c7")/GETPIVOTDATA("Total-Old",'Distrib pivot table'!$C$2,"state","LA"),"*"))</f>
        <v>1.0690153541323265E-2</v>
      </c>
      <c r="L21" s="420">
        <f>IF((GETPIVOTDATA("Total-Old",'Distrib pivot table'!$C$2,"state","MD","group","1c7")/GETPIVOTDATA("Total-Old",'Distrib pivot table'!$C$2,"state","MD"))=0,,IF(GETPIVOTDATA("Total-Old",'Distrib pivot table'!$C$2,"state","MD","group","1c7")/GETPIVOTDATA("Total-Old",'Distrib pivot table'!$C$2,"state","MD")&gt;0.0005,GETPIVOTDATA("Total-Old",'Distrib pivot table'!$C$2,"state","MD","group","1c7")/GETPIVOTDATA("Total-Old",'Distrib pivot table'!$C$2,"state","MD"),"*"))</f>
        <v>0</v>
      </c>
      <c r="M21" s="420">
        <f>IF((GETPIVOTDATA("Total-Old",'Distrib pivot table'!$C$2,"state","MS","group","1c7")/GETPIVOTDATA("Total-Old",'Distrib pivot table'!$C$2,"state","MS"))=0,,IF(GETPIVOTDATA("Total-Old",'Distrib pivot table'!$C$2,"state","MS","group","1c7")/GETPIVOTDATA("Total-Old",'Distrib pivot table'!$C$2,"state","MS")&gt;0.0005,GETPIVOTDATA("Total-Old",'Distrib pivot table'!$C$2,"state","MS","group","1c7")/GETPIVOTDATA("Total-Old",'Distrib pivot table'!$C$2,"state","MS"),"*"))</f>
        <v>0</v>
      </c>
      <c r="N21" s="420">
        <f>IF((GETPIVOTDATA("Total-Old",'Distrib pivot table'!$C$2,"state","NC","group","1c7")/GETPIVOTDATA("Total-Old",'Distrib pivot table'!$C$2,"state","NC"))=0,,IF(GETPIVOTDATA("Total-Old",'Distrib pivot table'!$C$2,"state","NC","group","1c7")/GETPIVOTDATA("Total-Old",'Distrib pivot table'!$C$2,"state","NC")&gt;0.0005,GETPIVOTDATA("Total-Old",'Distrib pivot table'!$C$2,"state","NC","group","1c7")/GETPIVOTDATA("Total-Old",'Distrib pivot table'!$C$2,"state","NC"),"*"))</f>
        <v>3.7377748973161282E-3</v>
      </c>
      <c r="O21" s="420">
        <f>IF((GETPIVOTDATA("Total-Old",'Distrib pivot table'!$C$2,"state","OK","group","1c7")/GETPIVOTDATA("Total-Old",'Distrib pivot table'!$C$2,"state","OK"))=0,,IF(GETPIVOTDATA("Total-Old",'Distrib pivot table'!$C$2,"state","OK","group","1c7")/GETPIVOTDATA("Total-Old",'Distrib pivot table'!$C$2,"state","OK")&gt;0.0005,GETPIVOTDATA("Total-Old",'Distrib pivot table'!$C$2,"state","OK","group","1c7")/GETPIVOTDATA("Total-Old",'Distrib pivot table'!$C$2,"state","OK"),"*"))</f>
        <v>0</v>
      </c>
      <c r="P21" s="420">
        <f>IF((GETPIVOTDATA("Total-Old",'Distrib pivot table'!$C$2,"state","SC","group","1c7")/GETPIVOTDATA("Total-Old",'Distrib pivot table'!$C$2,"state","SC"))=0,,IF(GETPIVOTDATA("Total-Old",'Distrib pivot table'!$C$2,"state","SC","group","1c7")/GETPIVOTDATA("Total-Old",'Distrib pivot table'!$C$2,"state","SC")&gt;0.0005,GETPIVOTDATA("Total-Old",'Distrib pivot table'!$C$2,"state","SC","group","1c7")/GETPIVOTDATA("Total-Old",'Distrib pivot table'!$C$2,"state","SC"),"*"))</f>
        <v>0</v>
      </c>
      <c r="Q21" s="420">
        <f>IF((GETPIVOTDATA("Total-Old",'Distrib pivot table'!$C$2,"state","TN","group","1c7")/GETPIVOTDATA("Total-Old",'Distrib pivot table'!$C$2,"state","TN"))=0,,IF(GETPIVOTDATA("Total-Old",'Distrib pivot table'!$C$2,"state","TN","group","1c7")/GETPIVOTDATA("Total-Old",'Distrib pivot table'!$C$2,"state","TN")&gt;0.0005,GETPIVOTDATA("Total-Old",'Distrib pivot table'!$C$2,"state","TN","group","1c7")/GETPIVOTDATA("Total-Old",'Distrib pivot table'!$C$2,"state","TN"),"*"))</f>
        <v>0</v>
      </c>
      <c r="R21" s="420">
        <f>IF((GETPIVOTDATA("Total-Old",'Distrib pivot table'!$C$2,"state","TX","group","1c7")/GETPIVOTDATA("Total-Old",'Distrib pivot table'!$C$2,"state","TX"))=0,,IF(GETPIVOTDATA("Total-Old",'Distrib pivot table'!$C$2,"state","TX","group","1c7")/GETPIVOTDATA("Total-Old",'Distrib pivot table'!$C$2,"state","TX")&gt;0.0005,GETPIVOTDATA("Total-Old",'Distrib pivot table'!$C$2,"state","TX","group","1c7")/GETPIVOTDATA("Total-Old",'Distrib pivot table'!$C$2,"state","TX"),"*"))</f>
        <v>1.9221223287312151E-3</v>
      </c>
      <c r="S21" s="420" t="str">
        <f>IF((GETPIVOTDATA("Total-Old",'Distrib pivot table'!$C$2,"state","VA","group","1c7")/GETPIVOTDATA("Total-Old",'Distrib pivot table'!$C$2,"state","VA"))=0,,IF(GETPIVOTDATA("Total-Old",'Distrib pivot table'!$C$2,"state","VA","group","1c7")/GETPIVOTDATA("Total-Old",'Distrib pivot table'!$C$2,"state","VA")&gt;0.0005,GETPIVOTDATA("Total-Old",'Distrib pivot table'!$C$2,"state","VA","group","1c7")/GETPIVOTDATA("Total-Old",'Distrib pivot table'!$C$2,"state","VA"),"*"))</f>
        <v>*</v>
      </c>
      <c r="T21" s="421">
        <f>IF((GETPIVOTDATA("Total-Old",'Distrib pivot table'!$C$2,"state","WV","group","1c7")/GETPIVOTDATA("Total-Old",'Distrib pivot table'!$C$2,"state","WV"))=0,,IF(GETPIVOTDATA("Total-Old",'Distrib pivot table'!$C$2,"state","WV","group","1c7")/GETPIVOTDATA("Total-Old",'Distrib pivot table'!$C$2,"state","WV")&gt;0.0005,GETPIVOTDATA("Total-Old",'Distrib pivot table'!$C$2,"state","WV","group","1c7")/GETPIVOTDATA("Total-Old",'Distrib pivot table'!$C$2,"state","WV"),"*"))</f>
        <v>0</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5.5" customHeight="1">
      <c r="A22" s="1487"/>
      <c r="B22" s="129" t="s">
        <v>86</v>
      </c>
      <c r="C22" s="372" t="s">
        <v>303</v>
      </c>
      <c r="D22" s="422">
        <f>IF(GETPIVOTDATA("Total-Old",'Distrib pivot table'!$C$2,"group","1g")/GETPIVOTDATA("Total-Old",'Distrib pivot table'!$C$2)=0,,IF(GETPIVOTDATA("Total-Old",'Distrib pivot table'!$C$2,"group","1g")/GETPIVOTDATA("Total-Old",'Distrib pivot table'!$C$2)&gt;0.0005,GETPIVOTDATA("Total-Old",'Distrib pivot table'!$C$2,"group","1g")/GETPIVOTDATA("Total-Old",'Distrib pivot table'!$C$2),"*"))</f>
        <v>4.434252424583735E-3</v>
      </c>
      <c r="E22" s="422">
        <f>IF((GETPIVOTDATA("Total-Old",'Distrib pivot table'!$C$2,"state","AL","group","1g")/GETPIVOTDATA("Total-Old",'Distrib pivot table'!$C$2,"state","AL"))=0,,IF(GETPIVOTDATA("Total-Old",'Distrib pivot table'!$C$2,"state","AL","group","1g")/GETPIVOTDATA("Total-Old",'Distrib pivot table'!$C$2,"state","AL")&gt;0.0005,GETPIVOTDATA("Total-Old",'Distrib pivot table'!$C$2,"state","AL","group","1g")/GETPIVOTDATA("Total-Old",'Distrib pivot table'!$C$2,"state","AL"),"*"))</f>
        <v>1.2274148094586742E-3</v>
      </c>
      <c r="F22" s="422" t="str">
        <f>IF((GETPIVOTDATA("Total-Old",'Distrib pivot table'!$C$2,"state","AR","group","1g")/GETPIVOTDATA("Total-Old",'Distrib pivot table'!$C$2,"state","AR"))=0,,IF(GETPIVOTDATA("Total-Old",'Distrib pivot table'!$C$2,"state","AR","group","1g")/GETPIVOTDATA("Total-Old",'Distrib pivot table'!$C$2,"state","AR")&gt;0.0005,GETPIVOTDATA("Total-Old",'Distrib pivot table'!$C$2,"state","AR","group","1g")/GETPIVOTDATA("Total-Old",'Distrib pivot table'!$C$2,"state","AR"),"*"))</f>
        <v>*</v>
      </c>
      <c r="G22" s="422">
        <f>IF((GETPIVOTDATA("Total-Old",'Distrib pivot table'!$C$2,"state","DE","group","1g")/GETPIVOTDATA("Total-Old",'Distrib pivot table'!$C$2,"state","DE"))=0,,IF(GETPIVOTDATA("Total-Old",'Distrib pivot table'!$C$2,"state","DE","group","1g")/GETPIVOTDATA("Total-Old",'Distrib pivot table'!$C$2,"state","DE")&gt;0.0005,GETPIVOTDATA("Total-Old",'Distrib pivot table'!$C$2,"state","DE","group","1g")/GETPIVOTDATA("Total-Old",'Distrib pivot table'!$C$2,"state","DE"),"*"))</f>
        <v>2.2556787972101578E-3</v>
      </c>
      <c r="H22" s="422">
        <f>IF((GETPIVOTDATA("Total-Old",'Distrib pivot table'!$C$2,"state","FL","group","1g")/GETPIVOTDATA("Total-Old",'Distrib pivot table'!$C$2,"state","FL"))=0,,IF(GETPIVOTDATA("Total-Old",'Distrib pivot table'!$C$2,"state","FL","group","1g")/GETPIVOTDATA("Total-Old",'Distrib pivot table'!$C$2,"state","FL")&gt;0.0005,GETPIVOTDATA("Total-Old",'Distrib pivot table'!$C$2,"state","FL","group","1g")/GETPIVOTDATA("Total-Old",'Distrib pivot table'!$C$2,"state","FL"),"*"))</f>
        <v>0</v>
      </c>
      <c r="I22" s="422">
        <f>IF((GETPIVOTDATA("Total-Old",'Distrib pivot table'!$C$2,"state","GA","group","1g")/GETPIVOTDATA("Total-Old",'Distrib pivot table'!$C$2,"state","GA"))=0,,IF(GETPIVOTDATA("Total-Old",'Distrib pivot table'!$C$2,"state","GA","group","1g")/GETPIVOTDATA("Total-Old",'Distrib pivot table'!$C$2,"state","GA")&gt;0.0005,GETPIVOTDATA("Total-Old",'Distrib pivot table'!$C$2,"state","GA","group","1g")/GETPIVOTDATA("Total-Old",'Distrib pivot table'!$C$2,"state","GA"),"*"))</f>
        <v>1.2888132758141565E-2</v>
      </c>
      <c r="J22" s="422">
        <f>IF((GETPIVOTDATA("Total-Old",'Distrib pivot table'!$C$2,"state","KY","group","1g")/GETPIVOTDATA("Total-Old",'Distrib pivot table'!$C$2,"state","KY"))=0,,IF(GETPIVOTDATA("Total-Old",'Distrib pivot table'!$C$2,"state","KY","group","1g")/GETPIVOTDATA("Total-Old",'Distrib pivot table'!$C$2,"state","KY")&gt;0.0005,GETPIVOTDATA("Total-Old",'Distrib pivot table'!$C$2,"state","KY","group","1g")/GETPIVOTDATA("Total-Old",'Distrib pivot table'!$C$2,"state","KY"),"*"))</f>
        <v>1.3102384760111958E-2</v>
      </c>
      <c r="K22" s="422">
        <f>IF((GETPIVOTDATA("Total-Old",'Distrib pivot table'!$C$2,"state","LA","group","1g")/GETPIVOTDATA("Total-Old",'Distrib pivot table'!$C$2,"state","LA"))=0,,IF(GETPIVOTDATA("Total-Old",'Distrib pivot table'!$C$2,"state","LA","group","1g")/GETPIVOTDATA("Total-Old",'Distrib pivot table'!$C$2,"state","LA")&gt;0.0005,GETPIVOTDATA("Total-Old",'Distrib pivot table'!$C$2,"state","LA","group","1g")/GETPIVOTDATA("Total-Old",'Distrib pivot table'!$C$2,"state","LA"),"*"))</f>
        <v>4.9963554966927955E-3</v>
      </c>
      <c r="L22" s="422">
        <f>IF((GETPIVOTDATA("Total-Old",'Distrib pivot table'!$C$2,"state","MD","group","1g")/GETPIVOTDATA("Total-Old",'Distrib pivot table'!$C$2,"state","MD"))=0,,IF(GETPIVOTDATA("Total-Old",'Distrib pivot table'!$C$2,"state","MD","group","1g")/GETPIVOTDATA("Total-Old",'Distrib pivot table'!$C$2,"state","MD")&gt;0.0005,GETPIVOTDATA("Total-Old",'Distrib pivot table'!$C$2,"state","MD","group","1g")/GETPIVOTDATA("Total-Old",'Distrib pivot table'!$C$2,"state","MD"),"*"))</f>
        <v>1.5137061333553806E-3</v>
      </c>
      <c r="M22" s="422">
        <f>IF((GETPIVOTDATA("Total-Old",'Distrib pivot table'!$C$2,"state","MS","group","1g")/GETPIVOTDATA("Total-Old",'Distrib pivot table'!$C$2,"state","MS"))=0,,IF(GETPIVOTDATA("Total-Old",'Distrib pivot table'!$C$2,"state","MS","group","1g")/GETPIVOTDATA("Total-Old",'Distrib pivot table'!$C$2,"state","MS")&gt;0.0005,GETPIVOTDATA("Total-Old",'Distrib pivot table'!$C$2,"state","MS","group","1g")/GETPIVOTDATA("Total-Old",'Distrib pivot table'!$C$2,"state","MS"),"*"))</f>
        <v>3.7066381042662618E-3</v>
      </c>
      <c r="N22" s="422">
        <f>IF((GETPIVOTDATA("Total-Old",'Distrib pivot table'!$C$2,"state","NC","group","1g")/GETPIVOTDATA("Total-Old",'Distrib pivot table'!$C$2,"state","NC"))=0,,IF(GETPIVOTDATA("Total-Old",'Distrib pivot table'!$C$2,"state","NC","group","1g")/GETPIVOTDATA("Total-Old",'Distrib pivot table'!$C$2,"state","NC")&gt;0.0005,GETPIVOTDATA("Total-Old",'Distrib pivot table'!$C$2,"state","NC","group","1g")/GETPIVOTDATA("Total-Old",'Distrib pivot table'!$C$2,"state","NC"),"*"))</f>
        <v>2.8457692396895544E-3</v>
      </c>
      <c r="O22" s="422">
        <f>IF((GETPIVOTDATA("Total-Old",'Distrib pivot table'!$C$2,"state","OK","group","1g")/GETPIVOTDATA("Total-Old",'Distrib pivot table'!$C$2,"state","OK"))=0,,IF(GETPIVOTDATA("Total-Old",'Distrib pivot table'!$C$2,"state","OK","group","1g")/GETPIVOTDATA("Total-Old",'Distrib pivot table'!$C$2,"state","OK")&gt;0.0005,GETPIVOTDATA("Total-Old",'Distrib pivot table'!$C$2,"state","OK","group","1g")/GETPIVOTDATA("Total-Old",'Distrib pivot table'!$C$2,"state","OK"),"*"))</f>
        <v>7.7618051219211417E-3</v>
      </c>
      <c r="P22" s="422">
        <f>IF((GETPIVOTDATA("Total-Old",'Distrib pivot table'!$C$2,"state","SC","group","1g")/GETPIVOTDATA("Total-Old",'Distrib pivot table'!$C$2,"state","SC"))=0,,IF(GETPIVOTDATA("Total-Old",'Distrib pivot table'!$C$2,"state","SC","group","1g")/GETPIVOTDATA("Total-Old",'Distrib pivot table'!$C$2,"state","SC")&gt;0.0005,GETPIVOTDATA("Total-Old",'Distrib pivot table'!$C$2,"state","SC","group","1g")/GETPIVOTDATA("Total-Old",'Distrib pivot table'!$C$2,"state","SC"),"*"))</f>
        <v>1.6361065642659729E-3</v>
      </c>
      <c r="Q22" s="422" t="str">
        <f>IF((GETPIVOTDATA("Total-Old",'Distrib pivot table'!$C$2,"state","TN","group","1g")/GETPIVOTDATA("Total-Old",'Distrib pivot table'!$C$2,"state","TN"))=0,,IF(GETPIVOTDATA("Total-Old",'Distrib pivot table'!$C$2,"state","TN","group","1g")/GETPIVOTDATA("Total-Old",'Distrib pivot table'!$C$2,"state","TN")&gt;0.0005,GETPIVOTDATA("Total-Old",'Distrib pivot table'!$C$2,"state","TN","group","1g")/GETPIVOTDATA("Total-Old",'Distrib pivot table'!$C$2,"state","TN"),"*"))</f>
        <v>*</v>
      </c>
      <c r="R22" s="422">
        <f>IF((GETPIVOTDATA("Total-Old",'Distrib pivot table'!$C$2,"state","TX","group","1g")/GETPIVOTDATA("Total-Old",'Distrib pivot table'!$C$2,"state","TX"))=0,,IF(GETPIVOTDATA("Total-Old",'Distrib pivot table'!$C$2,"state","TX","group","1g")/GETPIVOTDATA("Total-Old",'Distrib pivot table'!$C$2,"state","TX")&gt;0.0005,GETPIVOTDATA("Total-Old",'Distrib pivot table'!$C$2,"state","TX","group","1g")/GETPIVOTDATA("Total-Old",'Distrib pivot table'!$C$2,"state","TX"),"*"))</f>
        <v>0</v>
      </c>
      <c r="S22" s="422">
        <f>IF((GETPIVOTDATA("Total-Old",'Distrib pivot table'!$C$2,"state","VA","group","1g")/GETPIVOTDATA("Total-Old",'Distrib pivot table'!$C$2,"state","VA"))=0,,IF(GETPIVOTDATA("Total-Old",'Distrib pivot table'!$C$2,"state","VA","group","1g")/GETPIVOTDATA("Total-Old",'Distrib pivot table'!$C$2,"state","VA")&gt;0.0005,GETPIVOTDATA("Total-Old",'Distrib pivot table'!$C$2,"state","VA","group","1g")/GETPIVOTDATA("Total-Old",'Distrib pivot table'!$C$2,"state","VA"),"*"))</f>
        <v>2.0277607263298861E-2</v>
      </c>
      <c r="T22" s="422">
        <f>IF((GETPIVOTDATA("Total-Old",'Distrib pivot table'!$C$2,"state","WV","group","1g")/GETPIVOTDATA("Total-Old",'Distrib pivot table'!$C$2,"state","WV"))=0,,IF(GETPIVOTDATA("Total-Old",'Distrib pivot table'!$C$2,"state","WV","group","1g")/GETPIVOTDATA("Total-Old",'Distrib pivot table'!$C$2,"state","WV")&gt;0.0005,GETPIVOTDATA("Total-Old",'Distrib pivot table'!$C$2,"state","WV","group","1g")/GETPIVOTDATA("Total-Old",'Distrib pivot table'!$C$2,"state","WV"),"*"))</f>
        <v>7.4082885758771921E-3</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s="10" customFormat="1" ht="39.75" customHeight="1">
      <c r="A23" s="1478" t="s">
        <v>1951</v>
      </c>
      <c r="B23" s="1479"/>
      <c r="C23" s="1479"/>
      <c r="D23" s="1479"/>
      <c r="E23" s="1479"/>
      <c r="F23" s="1479"/>
      <c r="G23" s="1479"/>
      <c r="H23" s="1479"/>
      <c r="I23" s="1479"/>
      <c r="J23" s="1479"/>
      <c r="K23" s="1479"/>
      <c r="L23" s="1479"/>
      <c r="M23" s="1479"/>
      <c r="N23" s="1479"/>
      <c r="O23" s="1479"/>
      <c r="P23" s="1479"/>
      <c r="Q23" s="1479"/>
      <c r="R23" s="1479"/>
      <c r="S23" s="1479"/>
      <c r="T23" s="1479"/>
    </row>
    <row r="24" spans="1:50" s="10" customFormat="1" ht="15.75" customHeight="1">
      <c r="A24" s="55" t="s">
        <v>83</v>
      </c>
      <c r="B24" s="335"/>
      <c r="C24" s="47"/>
      <c r="D24" s="47"/>
      <c r="E24" s="47"/>
      <c r="F24" s="47"/>
      <c r="G24" s="47"/>
      <c r="H24" s="336"/>
      <c r="I24" s="47"/>
      <c r="J24" s="47"/>
      <c r="K24" s="336"/>
      <c r="L24" s="336"/>
      <c r="M24" s="336"/>
      <c r="N24" s="47"/>
      <c r="O24" s="47"/>
      <c r="P24" s="47"/>
      <c r="Q24" s="47"/>
      <c r="R24" s="47"/>
      <c r="S24" s="47"/>
      <c r="T24" s="47"/>
    </row>
    <row r="25" spans="1:50" s="10" customFormat="1" ht="14.25" customHeight="1">
      <c r="A25" s="47" t="s">
        <v>0</v>
      </c>
      <c r="B25" s="335"/>
      <c r="C25" s="47"/>
      <c r="D25" s="47"/>
      <c r="E25" s="47"/>
      <c r="F25" s="47"/>
      <c r="G25" s="47"/>
      <c r="H25" s="336"/>
      <c r="I25" s="47"/>
      <c r="J25" s="47"/>
      <c r="K25" s="336"/>
      <c r="L25" s="336"/>
      <c r="M25" s="336"/>
      <c r="N25" s="47"/>
      <c r="O25" s="47"/>
      <c r="P25" s="47"/>
      <c r="Q25" s="47"/>
      <c r="R25" s="47"/>
      <c r="S25" s="47"/>
      <c r="T25" s="1477" t="s">
        <v>1925</v>
      </c>
    </row>
    <row r="26" spans="1:50" s="45" customFormat="1" ht="12.6" customHeight="1">
      <c r="A26" s="1485" t="s">
        <v>338</v>
      </c>
      <c r="B26" s="216" t="s">
        <v>120</v>
      </c>
      <c r="C26" s="373" t="s">
        <v>281</v>
      </c>
      <c r="D26" s="423">
        <f>SUM(D27:D30)</f>
        <v>7.4878039559843701E-3</v>
      </c>
      <c r="E26" s="423">
        <f>SUM(E27:E30)</f>
        <v>2.6301032369231347E-3</v>
      </c>
      <c r="F26" s="423">
        <f t="shared" ref="F26:T26" si="3">SUM(F27:F30)</f>
        <v>5.2683569364613426E-3</v>
      </c>
      <c r="G26" s="423">
        <f t="shared" si="3"/>
        <v>1.7020731245246844E-2</v>
      </c>
      <c r="H26" s="423">
        <f t="shared" si="3"/>
        <v>9.8612676756943112E-4</v>
      </c>
      <c r="I26" s="423">
        <f t="shared" si="3"/>
        <v>5.2640908702345467E-3</v>
      </c>
      <c r="J26" s="423">
        <f t="shared" si="3"/>
        <v>1.1420169250207019E-2</v>
      </c>
      <c r="K26" s="423">
        <f t="shared" si="3"/>
        <v>3.2865663364130729E-2</v>
      </c>
      <c r="L26" s="423">
        <f t="shared" si="3"/>
        <v>4.1515792454336238E-3</v>
      </c>
      <c r="M26" s="423">
        <f t="shared" si="3"/>
        <v>4.5376678846964849E-3</v>
      </c>
      <c r="N26" s="423">
        <f t="shared" si="3"/>
        <v>8.4014522587849416E-3</v>
      </c>
      <c r="O26" s="423">
        <f t="shared" si="3"/>
        <v>5.028187553371026E-3</v>
      </c>
      <c r="P26" s="423">
        <f t="shared" si="3"/>
        <v>1.1178859366909493E-2</v>
      </c>
      <c r="Q26" s="423">
        <f t="shared" si="3"/>
        <v>6.3035690620819266E-3</v>
      </c>
      <c r="R26" s="423">
        <f t="shared" si="3"/>
        <v>9.4181917441015818E-3</v>
      </c>
      <c r="S26" s="423">
        <f t="shared" si="3"/>
        <v>7.3073962537106955E-3</v>
      </c>
      <c r="T26" s="423">
        <f t="shared" si="3"/>
        <v>5.9074082425051811E-3</v>
      </c>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row>
    <row r="27" spans="1:50" ht="12.6" customHeight="1">
      <c r="A27" s="1488"/>
      <c r="B27" s="127" t="s">
        <v>140</v>
      </c>
      <c r="C27" s="374" t="s">
        <v>282</v>
      </c>
      <c r="D27" s="418">
        <f>IF(GETPIVOTDATA("Total-Old",'Distrib pivot table'!$C$2,"group","2a1")/GETPIVOTDATA("Total-Old",'Distrib pivot table'!$C$2)=0,,IF(GETPIVOTDATA("Total-Old",'Distrib pivot table'!$C$2,"group","2a1")/GETPIVOTDATA("Total-Old",'Distrib pivot table'!$C$2)&gt;0.0005,GETPIVOTDATA("Total-Old",'Distrib pivot table'!$C$2,"group","2a1")/GETPIVOTDATA("Total-Old",'Distrib pivot table'!$C$2),"*"))</f>
        <v>4.5265399881855147E-3</v>
      </c>
      <c r="E27" s="418">
        <f>IF((GETPIVOTDATA("Total-Old",'Distrib pivot table'!$C$2,"state","AL","group","2a1")/GETPIVOTDATA("Total-Old",'Distrib pivot table'!$C$2,"state","AL"))=0,,IF(GETPIVOTDATA("Total-Old",'Distrib pivot table'!$C$2,"state","AL","group","2a1")/GETPIVOTDATA("Total-Old",'Distrib pivot table'!$C$2,"state","AL")&gt;0.0005,GETPIVOTDATA("Total-Old",'Distrib pivot table'!$C$2,"state","AL","group","2a1")/GETPIVOTDATA("Total-Old",'Distrib pivot table'!$C$2,"state","AL"),"*"))</f>
        <v>8.7867297045362116E-4</v>
      </c>
      <c r="F27" s="418">
        <f>IF((GETPIVOTDATA("Total-Old",'Distrib pivot table'!$C$2,"state","AR","group","2a1")/GETPIVOTDATA("Total-Old",'Distrib pivot table'!$C$2,"state","AR"))=0,,IF(GETPIVOTDATA("Total-Old",'Distrib pivot table'!$C$2,"state","AR","group","2a1")/GETPIVOTDATA("Total-Old",'Distrib pivot table'!$C$2,"state","AR")&gt;0.0005,GETPIVOTDATA("Total-Old",'Distrib pivot table'!$C$2,"state","AR","group","2a1")/GETPIVOTDATA("Total-Old",'Distrib pivot table'!$C$2,"state","AR"),"*"))</f>
        <v>5.2683569364613426E-3</v>
      </c>
      <c r="G27" s="418">
        <f>IF((GETPIVOTDATA("Total-Old",'Distrib pivot table'!$C$2,"state","DE","group","2a1")/GETPIVOTDATA("Total-Old",'Distrib pivot table'!$C$2,"state","DE"))=0,,IF(GETPIVOTDATA("Total-Old",'Distrib pivot table'!$C$2,"state","DE","group","2a1")/GETPIVOTDATA("Total-Old",'Distrib pivot table'!$C$2,"state","DE")&gt;0.0005,GETPIVOTDATA("Total-Old",'Distrib pivot table'!$C$2,"state","DE","group","2a1")/GETPIVOTDATA("Total-Old",'Distrib pivot table'!$C$2,"state","DE"),"*"))</f>
        <v>1.0596280481159292E-3</v>
      </c>
      <c r="H27" s="418">
        <f>IF((GETPIVOTDATA("Total-Old",'Distrib pivot table'!$C$2,"state","FL","group","2a1")/GETPIVOTDATA("Total-Old",'Distrib pivot table'!$C$2,"state","FL"))=0,,IF(GETPIVOTDATA("Total-Old",'Distrib pivot table'!$C$2,"state","FL","group","2a1")/GETPIVOTDATA("Total-Old",'Distrib pivot table'!$C$2,"state","FL")&gt;0.0005,GETPIVOTDATA("Total-Old",'Distrib pivot table'!$C$2,"state","FL","group","2a1")/GETPIVOTDATA("Total-Old",'Distrib pivot table'!$C$2,"state","FL"),"*"))</f>
        <v>9.8612676756943112E-4</v>
      </c>
      <c r="I27" s="418">
        <f>IF((GETPIVOTDATA("Total-Old",'Distrib pivot table'!$C$2,"state","GA","group","2a1")/GETPIVOTDATA("Total-Old",'Distrib pivot table'!$C$2,"state","GA"))=0,,IF(GETPIVOTDATA("Total-Old",'Distrib pivot table'!$C$2,"state","GA","group","2a1")/GETPIVOTDATA("Total-Old",'Distrib pivot table'!$C$2,"state","GA")&gt;0.0005,GETPIVOTDATA("Total-Old",'Distrib pivot table'!$C$2,"state","GA","group","2a1")/GETPIVOTDATA("Total-Old",'Distrib pivot table'!$C$2,"state","GA"),"*"))</f>
        <v>1.4843114151793706E-3</v>
      </c>
      <c r="J27" s="418">
        <f>IF((GETPIVOTDATA("Total-Old",'Distrib pivot table'!$C$2,"state","KY","group","2a1")/GETPIVOTDATA("Total-Old",'Distrib pivot table'!$C$2,"state","KY"))=0,,IF(GETPIVOTDATA("Total-Old",'Distrib pivot table'!$C$2,"state","KY","group","2a1")/GETPIVOTDATA("Total-Old",'Distrib pivot table'!$C$2,"state","KY")&gt;0.0005,GETPIVOTDATA("Total-Old",'Distrib pivot table'!$C$2,"state","KY","group","2a1")/GETPIVOTDATA("Total-Old",'Distrib pivot table'!$C$2,"state","KY"),"*"))</f>
        <v>2.4236219969679951E-3</v>
      </c>
      <c r="K27" s="418">
        <f>IF((GETPIVOTDATA("Total-Old",'Distrib pivot table'!$C$2,"state","LA","group","2a1")/GETPIVOTDATA("Total-Old",'Distrib pivot table'!$C$2,"state","LA"))=0,,IF(GETPIVOTDATA("Total-Old",'Distrib pivot table'!$C$2,"state","LA","group","2a1")/GETPIVOTDATA("Total-Old",'Distrib pivot table'!$C$2,"state","LA")&gt;0.0005,GETPIVOTDATA("Total-Old",'Distrib pivot table'!$C$2,"state","LA","group","2a1")/GETPIVOTDATA("Total-Old",'Distrib pivot table'!$C$2,"state","LA"),"*"))</f>
        <v>2.0470406219385111E-2</v>
      </c>
      <c r="L27" s="418">
        <f>IF((GETPIVOTDATA("Total-Old",'Distrib pivot table'!$C$2,"state","MD","group","2a1")/GETPIVOTDATA("Total-Old",'Distrib pivot table'!$C$2,"state","MD"))=0,,IF(GETPIVOTDATA("Total-Old",'Distrib pivot table'!$C$2,"state","MD","group","2a1")/GETPIVOTDATA("Total-Old",'Distrib pivot table'!$C$2,"state","MD")&gt;0.0005,GETPIVOTDATA("Total-Old",'Distrib pivot table'!$C$2,"state","MD","group","2a1")/GETPIVOTDATA("Total-Old",'Distrib pivot table'!$C$2,"state","MD"),"*"))</f>
        <v>4.1515792454336238E-3</v>
      </c>
      <c r="M27" s="418">
        <f>IF((GETPIVOTDATA("Total-Old",'Distrib pivot table'!$C$2,"state","MS","group","2a1")/GETPIVOTDATA("Total-Old",'Distrib pivot table'!$C$2,"state","MS"))=0,,IF(GETPIVOTDATA("Total-Old",'Distrib pivot table'!$C$2,"state","MS","group","2a1")/GETPIVOTDATA("Total-Old",'Distrib pivot table'!$C$2,"state","MS")&gt;0.0005,GETPIVOTDATA("Total-Old",'Distrib pivot table'!$C$2,"state","MS","group","2a1")/GETPIVOTDATA("Total-Old",'Distrib pivot table'!$C$2,"state","MS"),"*"))</f>
        <v>3.95815246818288E-3</v>
      </c>
      <c r="N27" s="418">
        <f>IF((GETPIVOTDATA("Total-Old",'Distrib pivot table'!$C$2,"state","NC","group","2a1")/GETPIVOTDATA("Total-Old",'Distrib pivot table'!$C$2,"state","NC"))=0,,IF(GETPIVOTDATA("Total-Old",'Distrib pivot table'!$C$2,"state","NC","group","2a1")/GETPIVOTDATA("Total-Old",'Distrib pivot table'!$C$2,"state","NC")&gt;0.0005,GETPIVOTDATA("Total-Old",'Distrib pivot table'!$C$2,"state","NC","group","2a1")/GETPIVOTDATA("Total-Old",'Distrib pivot table'!$C$2,"state","NC"),"*"))</f>
        <v>4.0394370950349798E-3</v>
      </c>
      <c r="O27" s="418">
        <f>IF((GETPIVOTDATA("Total-Old",'Distrib pivot table'!$C$2,"state","OK","group","2a1")/GETPIVOTDATA("Total-Old",'Distrib pivot table'!$C$2,"state","OK"))=0,,IF(GETPIVOTDATA("Total-Old",'Distrib pivot table'!$C$2,"state","OK","group","2a1")/GETPIVOTDATA("Total-Old",'Distrib pivot table'!$C$2,"state","OK")&gt;0.0005,GETPIVOTDATA("Total-Old",'Distrib pivot table'!$C$2,"state","OK","group","2a1")/GETPIVOTDATA("Total-Old",'Distrib pivot table'!$C$2,"state","OK"),"*"))</f>
        <v>5.028187553371026E-3</v>
      </c>
      <c r="P27" s="418">
        <f>IF((GETPIVOTDATA("Total-Old",'Distrib pivot table'!$C$2,"state","SC","group","2a1")/GETPIVOTDATA("Total-Old",'Distrib pivot table'!$C$2,"state","SC"))=0,,IF(GETPIVOTDATA("Total-Old",'Distrib pivot table'!$C$2,"state","SC","group","2a1")/GETPIVOTDATA("Total-Old",'Distrib pivot table'!$C$2,"state","SC")&gt;0.0005,GETPIVOTDATA("Total-Old",'Distrib pivot table'!$C$2,"state","SC","group","2a1")/GETPIVOTDATA("Total-Old",'Distrib pivot table'!$C$2,"state","SC"),"*"))</f>
        <v>1.237998856030211E-3</v>
      </c>
      <c r="Q27" s="418">
        <f>IF((GETPIVOTDATA("Total-Old",'Distrib pivot table'!$C$2,"state","TN","group","2a1")/GETPIVOTDATA("Total-Old",'Distrib pivot table'!$C$2,"state","TN"))=0,,IF(GETPIVOTDATA("Total-Old",'Distrib pivot table'!$C$2,"state","TN","group","2a1")/GETPIVOTDATA("Total-Old",'Distrib pivot table'!$C$2,"state","TN")&gt;0.0005,GETPIVOTDATA("Total-Old",'Distrib pivot table'!$C$2,"state","TN","group","2a1")/GETPIVOTDATA("Total-Old",'Distrib pivot table'!$C$2,"state","TN"),"*"))</f>
        <v>6.3035690620819266E-3</v>
      </c>
      <c r="R27" s="418">
        <f>IF((GETPIVOTDATA("Total-Old",'Distrib pivot table'!$C$2,"state","TX","group","2a1")/GETPIVOTDATA("Total-Old",'Distrib pivot table'!$C$2,"state","TX"))=0,,IF(GETPIVOTDATA("Total-Old",'Distrib pivot table'!$C$2,"state","TX","group","2a1")/GETPIVOTDATA("Total-Old",'Distrib pivot table'!$C$2,"state","TX")&gt;0.0005,GETPIVOTDATA("Total-Old",'Distrib pivot table'!$C$2,"state","TX","group","2a1")/GETPIVOTDATA("Total-Old",'Distrib pivot table'!$C$2,"state","TX"),"*"))</f>
        <v>8.3814770622607799E-3</v>
      </c>
      <c r="S27" s="418">
        <f>IF((GETPIVOTDATA("Total-Old",'Distrib pivot table'!$C$2,"state","VA","group","2a1")/GETPIVOTDATA("Total-Old",'Distrib pivot table'!$C$2,"state","VA"))=0,,IF(GETPIVOTDATA("Total-Old",'Distrib pivot table'!$C$2,"state","VA","group","2a1")/GETPIVOTDATA("Total-Old",'Distrib pivot table'!$C$2,"state","VA")&gt;0.0005,GETPIVOTDATA("Total-Old",'Distrib pivot table'!$C$2,"state","VA","group","2a1")/GETPIVOTDATA("Total-Old",'Distrib pivot table'!$C$2,"state","VA"),"*"))</f>
        <v>8.487432963964355E-4</v>
      </c>
      <c r="T27" s="418">
        <f>IF((GETPIVOTDATA("Total-Old",'Distrib pivot table'!$C$2,"state","WV","group","2a1")/GETPIVOTDATA("Total-Old",'Distrib pivot table'!$C$2,"state","WV"))=0,,IF(GETPIVOTDATA("Total-Old",'Distrib pivot table'!$C$2,"state","WV","group","2a1")/GETPIVOTDATA("Total-Old",'Distrib pivot table'!$C$2,"state","WV")&gt;0.0005,GETPIVOTDATA("Total-Old",'Distrib pivot table'!$C$2,"state","WV","group","2a1")/GETPIVOTDATA("Total-Old",'Distrib pivot table'!$C$2,"state","WV"),"*"))</f>
        <v>3.8450822254087543E-3</v>
      </c>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2.6" customHeight="1">
      <c r="A28" s="1488"/>
      <c r="B28" s="127" t="s">
        <v>139</v>
      </c>
      <c r="C28" s="374" t="s">
        <v>283</v>
      </c>
      <c r="D28" s="418">
        <f>IF(GETPIVOTDATA("Total-Old",'Distrib pivot table'!$C$2,"group","2a2")/GETPIVOTDATA("Total-Old",'Distrib pivot table'!$C$2)=0,,IF(GETPIVOTDATA("Total-Old",'Distrib pivot table'!$C$2,"group","2a2")/GETPIVOTDATA("Total-Old",'Distrib pivot table'!$C$2)&gt;0.0005,GETPIVOTDATA("Total-Old",'Distrib pivot table'!$C$2,"group","2a2")/GETPIVOTDATA("Total-Old",'Distrib pivot table'!$C$2),"*"))</f>
        <v>2.9612639677988554E-3</v>
      </c>
      <c r="E28" s="418">
        <f>IF((GETPIVOTDATA("Total-Old",'Distrib pivot table'!$C$2,"state","AL","group","2a2")/GETPIVOTDATA("Total-Old",'Distrib pivot table'!$C$2,"state","AL"))=0,,IF(GETPIVOTDATA("Total-Old",'Distrib pivot table'!$C$2,"state","AL","group","2a2")/GETPIVOTDATA("Total-Old",'Distrib pivot table'!$C$2,"state","AL")&gt;0.0005,GETPIVOTDATA("Total-Old",'Distrib pivot table'!$C$2,"state","AL","group","2a2")/GETPIVOTDATA("Total-Old",'Distrib pivot table'!$C$2,"state","AL"),"*"))</f>
        <v>1.7514302664695133E-3</v>
      </c>
      <c r="F28" s="418">
        <f>IF((GETPIVOTDATA("Total-Old",'Distrib pivot table'!$C$2,"state","AR","group","2a2")/GETPIVOTDATA("Total-Old",'Distrib pivot table'!$C$2,"state","AR"))=0,,IF(GETPIVOTDATA("Total-Old",'Distrib pivot table'!$C$2,"state","AR","group","2a2")/GETPIVOTDATA("Total-Old",'Distrib pivot table'!$C$2,"state","AR")&gt;0.0005,GETPIVOTDATA("Total-Old",'Distrib pivot table'!$C$2,"state","AR","group","2a2")/GETPIVOTDATA("Total-Old",'Distrib pivot table'!$C$2,"state","AR"),"*"))</f>
        <v>0</v>
      </c>
      <c r="G28" s="418">
        <f>IF((GETPIVOTDATA("Total-Old",'Distrib pivot table'!$C$2,"state","DE","group","2a2")/GETPIVOTDATA("Total-Old",'Distrib pivot table'!$C$2,"state","DE"))=0,,IF(GETPIVOTDATA("Total-Old",'Distrib pivot table'!$C$2,"state","DE","group","2a2")/GETPIVOTDATA("Total-Old",'Distrib pivot table'!$C$2,"state","DE")&gt;0.0005,GETPIVOTDATA("Total-Old",'Distrib pivot table'!$C$2,"state","DE","group","2a2")/GETPIVOTDATA("Total-Old",'Distrib pivot table'!$C$2,"state","DE"),"*"))</f>
        <v>1.5961103197130917E-2</v>
      </c>
      <c r="H28" s="418" t="str">
        <f>IF((GETPIVOTDATA("Total-Old",'Distrib pivot table'!$C$2,"state","FL","group","2a2")/GETPIVOTDATA("Total-Old",'Distrib pivot table'!$C$2,"state","FL"))=0,,IF(GETPIVOTDATA("Total-Old",'Distrib pivot table'!$C$2,"state","FL","group","2a2")/GETPIVOTDATA("Total-Old",'Distrib pivot table'!$C$2,"state","FL")&gt;0.0005,GETPIVOTDATA("Total-Old",'Distrib pivot table'!$C$2,"state","FL","group","2a2")/GETPIVOTDATA("Total-Old",'Distrib pivot table'!$C$2,"state","FL"),"*"))</f>
        <v>*</v>
      </c>
      <c r="I28" s="418">
        <f>IF((GETPIVOTDATA("Total-Old",'Distrib pivot table'!$C$2,"state","GA","group","2a2")/GETPIVOTDATA("Total-Old",'Distrib pivot table'!$C$2,"state","GA"))=0,,IF(GETPIVOTDATA("Total-Old",'Distrib pivot table'!$C$2,"state","GA","group","2a2")/GETPIVOTDATA("Total-Old",'Distrib pivot table'!$C$2,"state","GA")&gt;0.0005,GETPIVOTDATA("Total-Old",'Distrib pivot table'!$C$2,"state","GA","group","2a2")/GETPIVOTDATA("Total-Old",'Distrib pivot table'!$C$2,"state","GA"),"*"))</f>
        <v>3.7797794550551763E-3</v>
      </c>
      <c r="J28" s="418">
        <f>IF((GETPIVOTDATA("Total-Old",'Distrib pivot table'!$C$2,"state","KY","group","2a2")/GETPIVOTDATA("Total-Old",'Distrib pivot table'!$C$2,"state","KY"))=0,,IF(GETPIVOTDATA("Total-Old",'Distrib pivot table'!$C$2,"state","KY","group","2a2")/GETPIVOTDATA("Total-Old",'Distrib pivot table'!$C$2,"state","KY")&gt;0.0005,GETPIVOTDATA("Total-Old",'Distrib pivot table'!$C$2,"state","KY","group","2a2")/GETPIVOTDATA("Total-Old",'Distrib pivot table'!$C$2,"state","KY"),"*"))</f>
        <v>8.9965472532390241E-3</v>
      </c>
      <c r="K28" s="418">
        <f>IF((GETPIVOTDATA("Total-Old",'Distrib pivot table'!$C$2,"state","LA","group","2a2")/GETPIVOTDATA("Total-Old",'Distrib pivot table'!$C$2,"state","LA"))=0,,IF(GETPIVOTDATA("Total-Old",'Distrib pivot table'!$C$2,"state","LA","group","2a2")/GETPIVOTDATA("Total-Old",'Distrib pivot table'!$C$2,"state","LA")&gt;0.0005,GETPIVOTDATA("Total-Old",'Distrib pivot table'!$C$2,"state","LA","group","2a2")/GETPIVOTDATA("Total-Old",'Distrib pivot table'!$C$2,"state","LA"),"*"))</f>
        <v>1.239525714474562E-2</v>
      </c>
      <c r="L28" s="418">
        <f>IF((GETPIVOTDATA("Total-Old",'Distrib pivot table'!$C$2,"state","MD","group","2a2")/GETPIVOTDATA("Total-Old",'Distrib pivot table'!$C$2,"state","MD"))=0,,IF(GETPIVOTDATA("Total-Old",'Distrib pivot table'!$C$2,"state","MD","group","2a2")/GETPIVOTDATA("Total-Old",'Distrib pivot table'!$C$2,"state","MD")&gt;0.0005,GETPIVOTDATA("Total-Old",'Distrib pivot table'!$C$2,"state","MD","group","2a2")/GETPIVOTDATA("Total-Old",'Distrib pivot table'!$C$2,"state","MD"),"*"))</f>
        <v>0</v>
      </c>
      <c r="M28" s="418">
        <f>IF((GETPIVOTDATA("Total-Old",'Distrib pivot table'!$C$2,"state","MS","group","2a2")/GETPIVOTDATA("Total-Old",'Distrib pivot table'!$C$2,"state","MS"))=0,,IF(GETPIVOTDATA("Total-Old",'Distrib pivot table'!$C$2,"state","MS","group","2a2")/GETPIVOTDATA("Total-Old",'Distrib pivot table'!$C$2,"state","MS")&gt;0.0005,GETPIVOTDATA("Total-Old",'Distrib pivot table'!$C$2,"state","MS","group","2a2")/GETPIVOTDATA("Total-Old",'Distrib pivot table'!$C$2,"state","MS"),"*"))</f>
        <v>0</v>
      </c>
      <c r="N28" s="418">
        <f>IF((GETPIVOTDATA("Total-Old",'Distrib pivot table'!$C$2,"state","NC","group","2a2")/GETPIVOTDATA("Total-Old",'Distrib pivot table'!$C$2,"state","NC"))=0,,IF(GETPIVOTDATA("Total-Old",'Distrib pivot table'!$C$2,"state","NC","group","2a2")/GETPIVOTDATA("Total-Old",'Distrib pivot table'!$C$2,"state","NC")&gt;0.0005,GETPIVOTDATA("Total-Old",'Distrib pivot table'!$C$2,"state","NC","group","2a2")/GETPIVOTDATA("Total-Old",'Distrib pivot table'!$C$2,"state","NC"),"*"))</f>
        <v>4.3620151637499618E-3</v>
      </c>
      <c r="O28" s="418">
        <f>IF((GETPIVOTDATA("Total-Old",'Distrib pivot table'!$C$2,"state","OK","group","2a2")/GETPIVOTDATA("Total-Old",'Distrib pivot table'!$C$2,"state","OK"))=0,,IF(GETPIVOTDATA("Total-Old",'Distrib pivot table'!$C$2,"state","OK","group","2a2")/GETPIVOTDATA("Total-Old",'Distrib pivot table'!$C$2,"state","OK")&gt;0.0005,GETPIVOTDATA("Total-Old",'Distrib pivot table'!$C$2,"state","OK","group","2a2")/GETPIVOTDATA("Total-Old",'Distrib pivot table'!$C$2,"state","OK"),"*"))</f>
        <v>0</v>
      </c>
      <c r="P28" s="418">
        <f>IF((GETPIVOTDATA("Total-Old",'Distrib pivot table'!$C$2,"state","SC","group","2a2")/GETPIVOTDATA("Total-Old",'Distrib pivot table'!$C$2,"state","SC"))=0,,IF(GETPIVOTDATA("Total-Old",'Distrib pivot table'!$C$2,"state","SC","group","2a2")/GETPIVOTDATA("Total-Old",'Distrib pivot table'!$C$2,"state","SC")&gt;0.0005,GETPIVOTDATA("Total-Old",'Distrib pivot table'!$C$2,"state","SC","group","2a2")/GETPIVOTDATA("Total-Old",'Distrib pivot table'!$C$2,"state","SC"),"*"))</f>
        <v>6.5937082063366372E-3</v>
      </c>
      <c r="Q28" s="418">
        <f>IF((GETPIVOTDATA("Total-Old",'Distrib pivot table'!$C$2,"state","TN","group","2a2")/GETPIVOTDATA("Total-Old",'Distrib pivot table'!$C$2,"state","TN"))=0,,IF(GETPIVOTDATA("Total-Old",'Distrib pivot table'!$C$2,"state","TN","group","2a2")/GETPIVOTDATA("Total-Old",'Distrib pivot table'!$C$2,"state","TN")&gt;0.0005,GETPIVOTDATA("Total-Old",'Distrib pivot table'!$C$2,"state","TN","group","2a2")/GETPIVOTDATA("Total-Old",'Distrib pivot table'!$C$2,"state","TN"),"*"))</f>
        <v>0</v>
      </c>
      <c r="R28" s="418">
        <f>IF((GETPIVOTDATA("Total-Old",'Distrib pivot table'!$C$2,"state","TX","group","2a2")/GETPIVOTDATA("Total-Old",'Distrib pivot table'!$C$2,"state","TX"))=0,,IF(GETPIVOTDATA("Total-Old",'Distrib pivot table'!$C$2,"state","TX","group","2a2")/GETPIVOTDATA("Total-Old",'Distrib pivot table'!$C$2,"state","TX")&gt;0.0005,GETPIVOTDATA("Total-Old",'Distrib pivot table'!$C$2,"state","TX","group","2a2")/GETPIVOTDATA("Total-Old",'Distrib pivot table'!$C$2,"state","TX"),"*"))</f>
        <v>1.036714681840801E-3</v>
      </c>
      <c r="S28" s="418">
        <f>IF((GETPIVOTDATA("Total-Old",'Distrib pivot table'!$C$2,"state","VA","group","2a2")/GETPIVOTDATA("Total-Old",'Distrib pivot table'!$C$2,"state","VA"))=0,,IF(GETPIVOTDATA("Total-Old",'Distrib pivot table'!$C$2,"state","VA","group","2a2")/GETPIVOTDATA("Total-Old",'Distrib pivot table'!$C$2,"state","VA")&gt;0.0005,GETPIVOTDATA("Total-Old",'Distrib pivot table'!$C$2,"state","VA","group","2a2")/GETPIVOTDATA("Total-Old",'Distrib pivot table'!$C$2,"state","VA"),"*"))</f>
        <v>6.4586529573142605E-3</v>
      </c>
      <c r="T28" s="418">
        <f>IF((GETPIVOTDATA("Total-Old",'Distrib pivot table'!$C$2,"state","WV","group","2a2")/GETPIVOTDATA("Total-Old",'Distrib pivot table'!$C$2,"state","WV"))=0,,IF(GETPIVOTDATA("Total-Old",'Distrib pivot table'!$C$2,"state","WV","group","2a2")/GETPIVOTDATA("Total-Old",'Distrib pivot table'!$C$2,"state","WV")&gt;0.0005,GETPIVOTDATA("Total-Old",'Distrib pivot table'!$C$2,"state","WV","group","2a2")/GETPIVOTDATA("Total-Old",'Distrib pivot table'!$C$2,"state","WV"),"*"))</f>
        <v>6.6744541106014839E-4</v>
      </c>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24">
      <c r="A29" s="1488"/>
      <c r="B29" s="130" t="s">
        <v>138</v>
      </c>
      <c r="C29" s="374" t="s">
        <v>284</v>
      </c>
      <c r="D29" s="418" t="str">
        <f>IF(GETPIVOTDATA("Total-Old",'Distrib pivot table'!$C$2,"group","2a3")/GETPIVOTDATA("Total-Old",'Distrib pivot table'!$C$2)=0,,IF(GETPIVOTDATA("Total-Old",'Distrib pivot table'!$C$2,"group","2a3")/GETPIVOTDATA("Total-Old",'Distrib pivot table'!$C$2)&gt;0.0005,GETPIVOTDATA("Total-Old",'Distrib pivot table'!$C$2,"group","2a3")/GETPIVOTDATA("Total-Old",'Distrib pivot table'!$C$2),"*"))</f>
        <v>*</v>
      </c>
      <c r="E29" s="418" t="str">
        <f>IF((GETPIVOTDATA("Total-Old",'Distrib pivot table'!$C$2,"state","AL","group","2a3")/GETPIVOTDATA("Total-Old",'Distrib pivot table'!$C$2,"state","AL"))=0,,IF(GETPIVOTDATA("Total-Old",'Distrib pivot table'!$C$2,"state","AL","group","2a3")/GETPIVOTDATA("Total-Old",'Distrib pivot table'!$C$2,"state","AL")&gt;0.0005,GETPIVOTDATA("Total-Old",'Distrib pivot table'!$C$2,"state","AL","group","2a3")/GETPIVOTDATA("Total-Old",'Distrib pivot table'!$C$2,"state","AL"),"*"))</f>
        <v>*</v>
      </c>
      <c r="F29" s="418">
        <f>IF((GETPIVOTDATA("Total-Old",'Distrib pivot table'!$C$2,"state","AR","group","2a3")/GETPIVOTDATA("Total-Old",'Distrib pivot table'!$C$2,"state","AR"))=0,,IF(GETPIVOTDATA("Total-Old",'Distrib pivot table'!$C$2,"state","AR","group","2a3")/GETPIVOTDATA("Total-Old",'Distrib pivot table'!$C$2,"state","AR")&gt;0.0005,GETPIVOTDATA("Total-Old",'Distrib pivot table'!$C$2,"state","AR","group","2a3")/GETPIVOTDATA("Total-Old",'Distrib pivot table'!$C$2,"state","AR"),"*"))</f>
        <v>0</v>
      </c>
      <c r="G29" s="418" t="str">
        <f>IF((GETPIVOTDATA("Total-Old",'Distrib pivot table'!$C$2,"state","DE","group","2a3")/GETPIVOTDATA("Total-Old",'Distrib pivot table'!$C$2,"state","DE"))=0,,IF(GETPIVOTDATA("Total-Old",'Distrib pivot table'!$C$2,"state","DE","group","2a3")/GETPIVOTDATA("Total-Old",'Distrib pivot table'!$C$2,"state","DE")&gt;0.0005,GETPIVOTDATA("Total-Old",'Distrib pivot table'!$C$2,"state","DE","group","2a3")/GETPIVOTDATA("Total-Old",'Distrib pivot table'!$C$2,"state","DE"),"*"))</f>
        <v>*</v>
      </c>
      <c r="H29" s="418" t="str">
        <f>IF((GETPIVOTDATA("Total-Old",'Distrib pivot table'!$C$2,"state","FL","group","2a3")/GETPIVOTDATA("Total-Old",'Distrib pivot table'!$C$2,"state","FL"))=0,,IF(GETPIVOTDATA("Total-Old",'Distrib pivot table'!$C$2,"state","FL","group","2a3")/GETPIVOTDATA("Total-Old",'Distrib pivot table'!$C$2,"state","FL")&gt;0.0005,GETPIVOTDATA("Total-Old",'Distrib pivot table'!$C$2,"state","FL","group","2a3")/GETPIVOTDATA("Total-Old",'Distrib pivot table'!$C$2,"state","FL"),"*"))</f>
        <v>*</v>
      </c>
      <c r="I29" s="418" t="str">
        <f>IF((GETPIVOTDATA("Total-Old",'Distrib pivot table'!$C$2,"state","GA","group","2a3")/GETPIVOTDATA("Total-Old",'Distrib pivot table'!$C$2,"state","GA"))=0,,IF(GETPIVOTDATA("Total-Old",'Distrib pivot table'!$C$2,"state","GA","group","2a3")/GETPIVOTDATA("Total-Old",'Distrib pivot table'!$C$2,"state","GA")&gt;0.0005,GETPIVOTDATA("Total-Old",'Distrib pivot table'!$C$2,"state","GA","group","2a3")/GETPIVOTDATA("Total-Old",'Distrib pivot table'!$C$2,"state","GA"),"*"))</f>
        <v>*</v>
      </c>
      <c r="J29" s="418" t="str">
        <f>IF((GETPIVOTDATA("Total-Old",'Distrib pivot table'!$C$2,"state","KY","group","2a3")/GETPIVOTDATA("Total-Old",'Distrib pivot table'!$C$2,"state","KY"))=0,,IF(GETPIVOTDATA("Total-Old",'Distrib pivot table'!$C$2,"state","KY","group","2a3")/GETPIVOTDATA("Total-Old",'Distrib pivot table'!$C$2,"state","KY")&gt;0.0005,GETPIVOTDATA("Total-Old",'Distrib pivot table'!$C$2,"state","KY","group","2a3")/GETPIVOTDATA("Total-Old",'Distrib pivot table'!$C$2,"state","KY"),"*"))</f>
        <v>*</v>
      </c>
      <c r="K29" s="418">
        <f>IF((GETPIVOTDATA("Total-Old",'Distrib pivot table'!$C$2,"state","LA","group","2a3")/GETPIVOTDATA("Total-Old",'Distrib pivot table'!$C$2,"state","LA"))=0,,IF(GETPIVOTDATA("Total-Old",'Distrib pivot table'!$C$2,"state","LA","group","2a3")/GETPIVOTDATA("Total-Old",'Distrib pivot table'!$C$2,"state","LA")&gt;0.0005,GETPIVOTDATA("Total-Old",'Distrib pivot table'!$C$2,"state","LA","group","2a3")/GETPIVOTDATA("Total-Old",'Distrib pivot table'!$C$2,"state","LA"),"*"))</f>
        <v>0</v>
      </c>
      <c r="L29" s="418">
        <f>IF((GETPIVOTDATA("Total-Old",'Distrib pivot table'!$C$2,"state","MD","group","2a3")/GETPIVOTDATA("Total-Old",'Distrib pivot table'!$C$2,"state","MD"))=0,,IF(GETPIVOTDATA("Total-Old",'Distrib pivot table'!$C$2,"state","MD","group","2a3")/GETPIVOTDATA("Total-Old",'Distrib pivot table'!$C$2,"state","MD")&gt;0.0005,GETPIVOTDATA("Total-Old",'Distrib pivot table'!$C$2,"state","MD","group","2a3")/GETPIVOTDATA("Total-Old",'Distrib pivot table'!$C$2,"state","MD"),"*"))</f>
        <v>0</v>
      </c>
      <c r="M29" s="418">
        <f>IF((GETPIVOTDATA("Total-Old",'Distrib pivot table'!$C$2,"state","MS","group","2a3")/GETPIVOTDATA("Total-Old",'Distrib pivot table'!$C$2,"state","MS"))=0,,IF(GETPIVOTDATA("Total-Old",'Distrib pivot table'!$C$2,"state","MS","group","2a3")/GETPIVOTDATA("Total-Old",'Distrib pivot table'!$C$2,"state","MS")&gt;0.0005,GETPIVOTDATA("Total-Old",'Distrib pivot table'!$C$2,"state","MS","group","2a3")/GETPIVOTDATA("Total-Old",'Distrib pivot table'!$C$2,"state","MS"),"*"))</f>
        <v>0</v>
      </c>
      <c r="N29" s="418" t="str">
        <f>IF((GETPIVOTDATA("Total-Old",'Distrib pivot table'!$C$2,"state","NC","group","2a3")/GETPIVOTDATA("Total-Old",'Distrib pivot table'!$C$2,"state","NC"))=0,,IF(GETPIVOTDATA("Total-Old",'Distrib pivot table'!$C$2,"state","NC","group","2a3")/GETPIVOTDATA("Total-Old",'Distrib pivot table'!$C$2,"state","NC")&gt;0.0005,GETPIVOTDATA("Total-Old",'Distrib pivot table'!$C$2,"state","NC","group","2a3")/GETPIVOTDATA("Total-Old",'Distrib pivot table'!$C$2,"state","NC"),"*"))</f>
        <v>*</v>
      </c>
      <c r="O29" s="418">
        <f>IF((GETPIVOTDATA("Total-Old",'Distrib pivot table'!$C$2,"state","OK","group","2a3")/GETPIVOTDATA("Total-Old",'Distrib pivot table'!$C$2,"state","OK"))=0,,IF(GETPIVOTDATA("Total-Old",'Distrib pivot table'!$C$2,"state","OK","group","2a3")/GETPIVOTDATA("Total-Old",'Distrib pivot table'!$C$2,"state","OK")&gt;0.0005,GETPIVOTDATA("Total-Old",'Distrib pivot table'!$C$2,"state","OK","group","2a3")/GETPIVOTDATA("Total-Old",'Distrib pivot table'!$C$2,"state","OK"),"*"))</f>
        <v>0</v>
      </c>
      <c r="P29" s="418">
        <f>IF((GETPIVOTDATA("Total-Old",'Distrib pivot table'!$C$2,"state","SC","group","2a3")/GETPIVOTDATA("Total-Old",'Distrib pivot table'!$C$2,"state","SC"))=0,,IF(GETPIVOTDATA("Total-Old",'Distrib pivot table'!$C$2,"state","SC","group","2a3")/GETPIVOTDATA("Total-Old",'Distrib pivot table'!$C$2,"state","SC")&gt;0.0005,GETPIVOTDATA("Total-Old",'Distrib pivot table'!$C$2,"state","SC","group","2a3")/GETPIVOTDATA("Total-Old",'Distrib pivot table'!$C$2,"state","SC"),"*"))</f>
        <v>3.3471523045426454E-3</v>
      </c>
      <c r="Q29" s="418">
        <f>IF((GETPIVOTDATA("Total-Old",'Distrib pivot table'!$C$2,"state","TN","group","2a3")/GETPIVOTDATA("Total-Old",'Distrib pivot table'!$C$2,"state","TN"))=0,,IF(GETPIVOTDATA("Total-Old",'Distrib pivot table'!$C$2,"state","TN","group","2a3")/GETPIVOTDATA("Total-Old",'Distrib pivot table'!$C$2,"state","TN")&gt;0.0005,GETPIVOTDATA("Total-Old",'Distrib pivot table'!$C$2,"state","TN","group","2a3")/GETPIVOTDATA("Total-Old",'Distrib pivot table'!$C$2,"state","TN"),"*"))</f>
        <v>0</v>
      </c>
      <c r="R29" s="418">
        <f>IF((GETPIVOTDATA("Total-Old",'Distrib pivot table'!$C$2,"state","TX","group","2a3")/GETPIVOTDATA("Total-Old",'Distrib pivot table'!$C$2,"state","TX"))=0,,IF(GETPIVOTDATA("Total-Old",'Distrib pivot table'!$C$2,"state","TX","group","2a3")/GETPIVOTDATA("Total-Old",'Distrib pivot table'!$C$2,"state","TX")&gt;0.0005,GETPIVOTDATA("Total-Old",'Distrib pivot table'!$C$2,"state","TX","group","2a3")/GETPIVOTDATA("Total-Old",'Distrib pivot table'!$C$2,"state","TX"),"*"))</f>
        <v>0</v>
      </c>
      <c r="S29" s="418">
        <f>IF((GETPIVOTDATA("Total-Old",'Distrib pivot table'!$C$2,"state","VA","group","2a3")/GETPIVOTDATA("Total-Old",'Distrib pivot table'!$C$2,"state","VA"))=0,,IF(GETPIVOTDATA("Total-Old",'Distrib pivot table'!$C$2,"state","VA","group","2a3")/GETPIVOTDATA("Total-Old",'Distrib pivot table'!$C$2,"state","VA")&gt;0.0005,GETPIVOTDATA("Total-Old",'Distrib pivot table'!$C$2,"state","VA","group","2a3")/GETPIVOTDATA("Total-Old",'Distrib pivot table'!$C$2,"state","VA"),"*"))</f>
        <v>0</v>
      </c>
      <c r="T29" s="418">
        <f>IF((GETPIVOTDATA("Total-Old",'Distrib pivot table'!$C$2,"state","WV","group","2a3")/GETPIVOTDATA("Total-Old",'Distrib pivot table'!$C$2,"state","WV"))=0,,IF(GETPIVOTDATA("Total-Old",'Distrib pivot table'!$C$2,"state","WV","group","2a3")/GETPIVOTDATA("Total-Old",'Distrib pivot table'!$C$2,"state","WV")&gt;0.0005,GETPIVOTDATA("Total-Old",'Distrib pivot table'!$C$2,"state","WV","group","2a3")/GETPIVOTDATA("Total-Old",'Distrib pivot table'!$C$2,"state","WV"),"*"))</f>
        <v>0</v>
      </c>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36">
      <c r="A30" s="1488"/>
      <c r="B30" s="130" t="s">
        <v>141</v>
      </c>
      <c r="C30" s="374" t="s">
        <v>285</v>
      </c>
      <c r="D30" s="418" t="str">
        <f>IF(GETPIVOTDATA("Total-Old",'Distrib pivot table'!$C$2,"group","2a4")/GETPIVOTDATA("Total-Old",'Distrib pivot table'!$C$2)=0,,IF(GETPIVOTDATA("Total-Old",'Distrib pivot table'!$C$2,"group","2a4")/GETPIVOTDATA("Total-Old",'Distrib pivot table'!$C$2)&gt;0.0005,GETPIVOTDATA("Total-Old",'Distrib pivot table'!$C$2,"group","2a4")/GETPIVOTDATA("Total-Old",'Distrib pivot table'!$C$2),"*"))</f>
        <v>*</v>
      </c>
      <c r="E30" s="418" t="str">
        <f>IF((GETPIVOTDATA("Total-Old",'Distrib pivot table'!$C$2,"state","AL","group","2a4")/GETPIVOTDATA("Total-Old",'Distrib pivot table'!$C$2,"state","AL"))=0,,IF(GETPIVOTDATA("Total-Old",'Distrib pivot table'!$C$2,"state","AL","group","2a4")/GETPIVOTDATA("Total-Old",'Distrib pivot table'!$C$2,"state","AL")&gt;0.0005,GETPIVOTDATA("Total-Old",'Distrib pivot table'!$C$2,"state","AL","group","2a4")/GETPIVOTDATA("Total-Old",'Distrib pivot table'!$C$2,"state","AL"),"*"))</f>
        <v>*</v>
      </c>
      <c r="F30" s="418">
        <f>IF((GETPIVOTDATA("Total-Old",'Distrib pivot table'!$C$2,"state","AR","group","2a4")/GETPIVOTDATA("Total-Old",'Distrib pivot table'!$C$2,"state","AR"))=0,,IF(GETPIVOTDATA("Total-Old",'Distrib pivot table'!$C$2,"state","AR","group","2a4")/GETPIVOTDATA("Total-Old",'Distrib pivot table'!$C$2,"state","AR")&gt;0.0005,GETPIVOTDATA("Total-Old",'Distrib pivot table'!$C$2,"state","AR","group","2a4")/GETPIVOTDATA("Total-Old",'Distrib pivot table'!$C$2,"state","AR"),"*"))</f>
        <v>0</v>
      </c>
      <c r="G30" s="418">
        <f>IF((GETPIVOTDATA("Total-Old",'Distrib pivot table'!$C$2,"state","DE","group","2a4")/GETPIVOTDATA("Total-Old",'Distrib pivot table'!$C$2,"state","DE"))=0,,IF(GETPIVOTDATA("Total-Old",'Distrib pivot table'!$C$2,"state","DE","group","2a4")/GETPIVOTDATA("Total-Old",'Distrib pivot table'!$C$2,"state","DE")&gt;0.0005,GETPIVOTDATA("Total-Old",'Distrib pivot table'!$C$2,"state","DE","group","2a4")/GETPIVOTDATA("Total-Old",'Distrib pivot table'!$C$2,"state","DE"),"*"))</f>
        <v>0</v>
      </c>
      <c r="H30" s="418">
        <f>IF((GETPIVOTDATA("Total-Old",'Distrib pivot table'!$C$2,"state","FL","group","2a4")/GETPIVOTDATA("Total-Old",'Distrib pivot table'!$C$2,"state","FL"))=0,,IF(GETPIVOTDATA("Total-Old",'Distrib pivot table'!$C$2,"state","FL","group","2a4")/GETPIVOTDATA("Total-Old",'Distrib pivot table'!$C$2,"state","FL")&gt;0.0005,GETPIVOTDATA("Total-Old",'Distrib pivot table'!$C$2,"state","FL","group","2a4")/GETPIVOTDATA("Total-Old",'Distrib pivot table'!$C$2,"state","FL"),"*"))</f>
        <v>0</v>
      </c>
      <c r="I30" s="418">
        <f>IF((GETPIVOTDATA("Total-Old",'Distrib pivot table'!$C$2,"state","GA","group","2a4")/GETPIVOTDATA("Total-Old",'Distrib pivot table'!$C$2,"state","GA"))=0,,IF(GETPIVOTDATA("Total-Old",'Distrib pivot table'!$C$2,"state","GA","group","2a4")/GETPIVOTDATA("Total-Old",'Distrib pivot table'!$C$2,"state","GA")&gt;0.0005,GETPIVOTDATA("Total-Old",'Distrib pivot table'!$C$2,"state","GA","group","2a4")/GETPIVOTDATA("Total-Old",'Distrib pivot table'!$C$2,"state","GA"),"*"))</f>
        <v>0</v>
      </c>
      <c r="J30" s="418">
        <f>IF((GETPIVOTDATA("Total-Old",'Distrib pivot table'!$C$2,"state","KY","group","2a4")/GETPIVOTDATA("Total-Old",'Distrib pivot table'!$C$2,"state","KY"))=0,,IF(GETPIVOTDATA("Total-Old",'Distrib pivot table'!$C$2,"state","KY","group","2a4")/GETPIVOTDATA("Total-Old",'Distrib pivot table'!$C$2,"state","KY")&gt;0.0005,GETPIVOTDATA("Total-Old",'Distrib pivot table'!$C$2,"state","KY","group","2a4")/GETPIVOTDATA("Total-Old",'Distrib pivot table'!$C$2,"state","KY"),"*"))</f>
        <v>0</v>
      </c>
      <c r="K30" s="418" t="str">
        <f>IF((GETPIVOTDATA("Total-Old",'Distrib pivot table'!$C$2,"state","LA","group","2a4")/GETPIVOTDATA("Total-Old",'Distrib pivot table'!$C$2,"state","LA"))=0,,IF(GETPIVOTDATA("Total-Old",'Distrib pivot table'!$C$2,"state","LA","group","2a4")/GETPIVOTDATA("Total-Old",'Distrib pivot table'!$C$2,"state","LA")&gt;0.0005,GETPIVOTDATA("Total-Old",'Distrib pivot table'!$C$2,"state","LA","group","2a4")/GETPIVOTDATA("Total-Old",'Distrib pivot table'!$C$2,"state","LA"),"*"))</f>
        <v>*</v>
      </c>
      <c r="L30" s="418">
        <f>IF((GETPIVOTDATA("Total-Old",'Distrib pivot table'!$C$2,"state","MD","group","2a4")/GETPIVOTDATA("Total-Old",'Distrib pivot table'!$C$2,"state","MD"))=0,,IF(GETPIVOTDATA("Total-Old",'Distrib pivot table'!$C$2,"state","MD","group","2a4")/GETPIVOTDATA("Total-Old",'Distrib pivot table'!$C$2,"state","MD")&gt;0.0005,GETPIVOTDATA("Total-Old",'Distrib pivot table'!$C$2,"state","MD","group","2a4")/GETPIVOTDATA("Total-Old",'Distrib pivot table'!$C$2,"state","MD"),"*"))</f>
        <v>0</v>
      </c>
      <c r="M30" s="418">
        <f>IF((GETPIVOTDATA("Total-Old",'Distrib pivot table'!$C$2,"state","MS","group","2a4")/GETPIVOTDATA("Total-Old",'Distrib pivot table'!$C$2,"state","MS"))=0,,IF(GETPIVOTDATA("Total-Old",'Distrib pivot table'!$C$2,"state","MS","group","2a4")/GETPIVOTDATA("Total-Old",'Distrib pivot table'!$C$2,"state","MS")&gt;0.0005,GETPIVOTDATA("Total-Old",'Distrib pivot table'!$C$2,"state","MS","group","2a4")/GETPIVOTDATA("Total-Old",'Distrib pivot table'!$C$2,"state","MS"),"*"))</f>
        <v>5.795154165136047E-4</v>
      </c>
      <c r="N30" s="418">
        <f>IF((GETPIVOTDATA("Total-Old",'Distrib pivot table'!$C$2,"state","NC","group","2a4")/GETPIVOTDATA("Total-Old",'Distrib pivot table'!$C$2,"state","NC"))=0,,IF(GETPIVOTDATA("Total-Old",'Distrib pivot table'!$C$2,"state","NC","group","2a4")/GETPIVOTDATA("Total-Old",'Distrib pivot table'!$C$2,"state","NC")&gt;0.0005,GETPIVOTDATA("Total-Old",'Distrib pivot table'!$C$2,"state","NC","group","2a4")/GETPIVOTDATA("Total-Old",'Distrib pivot table'!$C$2,"state","NC"),"*"))</f>
        <v>0</v>
      </c>
      <c r="O30" s="418">
        <f>IF((GETPIVOTDATA("Total-Old",'Distrib pivot table'!$C$2,"state","OK","group","2a4")/GETPIVOTDATA("Total-Old",'Distrib pivot table'!$C$2,"state","OK"))=0,,IF(GETPIVOTDATA("Total-Old",'Distrib pivot table'!$C$2,"state","OK","group","2a4")/GETPIVOTDATA("Total-Old",'Distrib pivot table'!$C$2,"state","OK")&gt;0.0005,GETPIVOTDATA("Total-Old",'Distrib pivot table'!$C$2,"state","OK","group","2a4")/GETPIVOTDATA("Total-Old",'Distrib pivot table'!$C$2,"state","OK"),"*"))</f>
        <v>0</v>
      </c>
      <c r="P30" s="418" t="str">
        <f>IF((GETPIVOTDATA("Total-Old",'Distrib pivot table'!$C$2,"state","SC","group","2a4")/GETPIVOTDATA("Total-Old",'Distrib pivot table'!$C$2,"state","SC"))=0,,IF(GETPIVOTDATA("Total-Old",'Distrib pivot table'!$C$2,"state","SC","group","2a4")/GETPIVOTDATA("Total-Old",'Distrib pivot table'!$C$2,"state","SC")&gt;0.0005,GETPIVOTDATA("Total-Old",'Distrib pivot table'!$C$2,"state","SC","group","2a4")/GETPIVOTDATA("Total-Old",'Distrib pivot table'!$C$2,"state","SC"),"*"))</f>
        <v>*</v>
      </c>
      <c r="Q30" s="418" t="str">
        <f>IF((GETPIVOTDATA("Total-Old",'Distrib pivot table'!$C$2,"state","TN","group","2a4")/GETPIVOTDATA("Total-Old",'Distrib pivot table'!$C$2,"state","TN"))=0,,IF(GETPIVOTDATA("Total-Old",'Distrib pivot table'!$C$2,"state","TN","group","2a4")/GETPIVOTDATA("Total-Old",'Distrib pivot table'!$C$2,"state","TN")&gt;0.0005,GETPIVOTDATA("Total-Old",'Distrib pivot table'!$C$2,"state","TN","group","2a4")/GETPIVOTDATA("Total-Old",'Distrib pivot table'!$C$2,"state","TN"),"*"))</f>
        <v>*</v>
      </c>
      <c r="R30" s="418">
        <f>IF((GETPIVOTDATA("Total-Old",'Distrib pivot table'!$C$2,"state","TX","group","2a4")/GETPIVOTDATA("Total-Old",'Distrib pivot table'!$C$2,"state","TX"))=0,,IF(GETPIVOTDATA("Total-Old",'Distrib pivot table'!$C$2,"state","TX","group","2a4")/GETPIVOTDATA("Total-Old",'Distrib pivot table'!$C$2,"state","TX")&gt;0.0005,GETPIVOTDATA("Total-Old",'Distrib pivot table'!$C$2,"state","TX","group","2a4")/GETPIVOTDATA("Total-Old",'Distrib pivot table'!$C$2,"state","TX"),"*"))</f>
        <v>0</v>
      </c>
      <c r="S30" s="418">
        <f>IF((GETPIVOTDATA("Total-Old",'Distrib pivot table'!$C$2,"state","VA","group","2a4")/GETPIVOTDATA("Total-Old",'Distrib pivot table'!$C$2,"state","VA"))=0,,IF(GETPIVOTDATA("Total-Old",'Distrib pivot table'!$C$2,"state","VA","group","2a4")/GETPIVOTDATA("Total-Old",'Distrib pivot table'!$C$2,"state","VA")&gt;0.0005,GETPIVOTDATA("Total-Old",'Distrib pivot table'!$C$2,"state","VA","group","2a4")/GETPIVOTDATA("Total-Old",'Distrib pivot table'!$C$2,"state","VA"),"*"))</f>
        <v>0</v>
      </c>
      <c r="T30" s="418">
        <f>IF((GETPIVOTDATA("Total-Old",'Distrib pivot table'!$C$2,"state","WV","group","2a4")/GETPIVOTDATA("Total-Old",'Distrib pivot table'!$C$2,"state","WV"))=0,,IF(GETPIVOTDATA("Total-Old",'Distrib pivot table'!$C$2,"state","WV","group","2a4")/GETPIVOTDATA("Total-Old",'Distrib pivot table'!$C$2,"state","WV")&gt;0.0005,GETPIVOTDATA("Total-Old",'Distrib pivot table'!$C$2,"state","WV","group","2a4")/GETPIVOTDATA("Total-Old",'Distrib pivot table'!$C$2,"state","WV"),"*"))</f>
        <v>1.3948806060362785E-3</v>
      </c>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26.25" customHeight="1">
      <c r="A31" s="1488"/>
      <c r="B31" s="131" t="s">
        <v>300</v>
      </c>
      <c r="C31" s="374" t="s">
        <v>286</v>
      </c>
      <c r="D31" s="424">
        <f>IF(GETPIVOTDATA("Total-Old",'Distrib pivot table'!$C$2,"group","2b")/GETPIVOTDATA("Total-Old",'Distrib pivot table'!$C$2)=0,,IF(GETPIVOTDATA("Total-Old",'Distrib pivot table'!$C$2,"group","2b")/GETPIVOTDATA("Total-Old",'Distrib pivot table'!$C$2)&gt;0.0005,GETPIVOTDATA("Total-Old",'Distrib pivot table'!$C$2,"group","2b")/GETPIVOTDATA("Total-Old",'Distrib pivot table'!$C$2),"*"))</f>
        <v>2.5010617288364805E-3</v>
      </c>
      <c r="E31" s="424">
        <f>IF((GETPIVOTDATA("Total-Old",'Distrib pivot table'!$C$2,"state","AL","group","2b")/GETPIVOTDATA("Total-Old",'Distrib pivot table'!$C$2,"state","AL"))=0,,IF(GETPIVOTDATA("Total-Old",'Distrib pivot table'!$C$2,"state","AL","group","2b")/GETPIVOTDATA("Total-Old",'Distrib pivot table'!$C$2,"state","AL")&gt;0.0005,GETPIVOTDATA("Total-Old",'Distrib pivot table'!$C$2,"state","AL","group","2b")/GETPIVOTDATA("Total-Old",'Distrib pivot table'!$C$2,"state","AL"),"*"))</f>
        <v>3.6028637262187418E-3</v>
      </c>
      <c r="F31" s="424">
        <f>IF((GETPIVOTDATA("Total-Old",'Distrib pivot table'!$C$2,"state","AR","group","2b")/GETPIVOTDATA("Total-Old",'Distrib pivot table'!$C$2,"state","AR"))=0,,IF(GETPIVOTDATA("Total-Old",'Distrib pivot table'!$C$2,"state","AR","group","2b")/GETPIVOTDATA("Total-Old",'Distrib pivot table'!$C$2,"state","AR")&gt;0.0005,GETPIVOTDATA("Total-Old",'Distrib pivot table'!$C$2,"state","AR","group","2b")/GETPIVOTDATA("Total-Old",'Distrib pivot table'!$C$2,"state","AR"),"*"))</f>
        <v>0</v>
      </c>
      <c r="G31" s="424">
        <f>IF((GETPIVOTDATA("Total-Old",'Distrib pivot table'!$C$2,"state","DE","group","2b")/GETPIVOTDATA("Total-Old",'Distrib pivot table'!$C$2,"state","DE"))=0,,IF(GETPIVOTDATA("Total-Old",'Distrib pivot table'!$C$2,"state","DE","group","2b")/GETPIVOTDATA("Total-Old",'Distrib pivot table'!$C$2,"state","DE")&gt;0.0005,GETPIVOTDATA("Total-Old",'Distrib pivot table'!$C$2,"state","DE","group","2b")/GETPIVOTDATA("Total-Old",'Distrib pivot table'!$C$2,"state","DE"),"*"))</f>
        <v>0</v>
      </c>
      <c r="H31" s="424">
        <f>IF((GETPIVOTDATA("Total-Old",'Distrib pivot table'!$C$2,"state","FL","group","2b")/GETPIVOTDATA("Total-Old",'Distrib pivot table'!$C$2,"state","FL"))=0,,IF(GETPIVOTDATA("Total-Old",'Distrib pivot table'!$C$2,"state","FL","group","2b")/GETPIVOTDATA("Total-Old",'Distrib pivot table'!$C$2,"state","FL")&gt;0.0005,GETPIVOTDATA("Total-Old",'Distrib pivot table'!$C$2,"state","FL","group","2b")/GETPIVOTDATA("Total-Old",'Distrib pivot table'!$C$2,"state","FL"),"*"))</f>
        <v>1.8618540644421324E-3</v>
      </c>
      <c r="I31" s="424">
        <f>IF((GETPIVOTDATA("Total-Old",'Distrib pivot table'!$C$2,"state","GA","group","2b")/GETPIVOTDATA("Total-Old",'Distrib pivot table'!$C$2,"state","GA"))=0,,IF(GETPIVOTDATA("Total-Old",'Distrib pivot table'!$C$2,"state","GA","group","2b")/GETPIVOTDATA("Total-Old",'Distrib pivot table'!$C$2,"state","GA")&gt;0.0005,GETPIVOTDATA("Total-Old",'Distrib pivot table'!$C$2,"state","GA","group","2b")/GETPIVOTDATA("Total-Old",'Distrib pivot table'!$C$2,"state","GA"),"*"))</f>
        <v>7.0585680572410265E-3</v>
      </c>
      <c r="J31" s="424">
        <f>IF((GETPIVOTDATA("Total-Old",'Distrib pivot table'!$C$2,"state","KY","group","2b")/GETPIVOTDATA("Total-Old",'Distrib pivot table'!$C$2,"state","KY"))=0,,IF(GETPIVOTDATA("Total-Old",'Distrib pivot table'!$C$2,"state","KY","group","2b")/GETPIVOTDATA("Total-Old",'Distrib pivot table'!$C$2,"state","KY")&gt;0.0005,GETPIVOTDATA("Total-Old",'Distrib pivot table'!$C$2,"state","KY","group","2b")/GETPIVOTDATA("Total-Old",'Distrib pivot table'!$C$2,"state","KY"),"*"))</f>
        <v>0</v>
      </c>
      <c r="K31" s="424">
        <f>IF((GETPIVOTDATA("Total-Old",'Distrib pivot table'!$C$2,"state","LA","group","2b")/GETPIVOTDATA("Total-Old",'Distrib pivot table'!$C$2,"state","LA"))=0,,IF(GETPIVOTDATA("Total-Old",'Distrib pivot table'!$C$2,"state","LA","group","2b")/GETPIVOTDATA("Total-Old",'Distrib pivot table'!$C$2,"state","LA")&gt;0.0005,GETPIVOTDATA("Total-Old",'Distrib pivot table'!$C$2,"state","LA","group","2b")/GETPIVOTDATA("Total-Old",'Distrib pivot table'!$C$2,"state","LA"),"*"))</f>
        <v>0</v>
      </c>
      <c r="L31" s="424">
        <f>IF((GETPIVOTDATA("Total-Old",'Distrib pivot table'!$C$2,"state","MD","group","2b")/GETPIVOTDATA("Total-Old",'Distrib pivot table'!$C$2,"state","MD"))=0,,IF(GETPIVOTDATA("Total-Old",'Distrib pivot table'!$C$2,"state","MD","group","2b")/GETPIVOTDATA("Total-Old",'Distrib pivot table'!$C$2,"state","MD")&gt;0.0005,GETPIVOTDATA("Total-Old",'Distrib pivot table'!$C$2,"state","MD","group","2b")/GETPIVOTDATA("Total-Old",'Distrib pivot table'!$C$2,"state","MD"),"*"))</f>
        <v>1.0417319302642841E-2</v>
      </c>
      <c r="M31" s="424">
        <f>IF((GETPIVOTDATA("Total-Old",'Distrib pivot table'!$C$2,"state","MS","group","2b")/GETPIVOTDATA("Total-Old",'Distrib pivot table'!$C$2,"state","MS"))=0,,IF(GETPIVOTDATA("Total-Old",'Distrib pivot table'!$C$2,"state","MS","group","2b")/GETPIVOTDATA("Total-Old",'Distrib pivot table'!$C$2,"state","MS")&gt;0.0005,GETPIVOTDATA("Total-Old",'Distrib pivot table'!$C$2,"state","MS","group","2b")/GETPIVOTDATA("Total-Old",'Distrib pivot table'!$C$2,"state","MS"),"*"))</f>
        <v>0</v>
      </c>
      <c r="N31" s="424">
        <f>IF((GETPIVOTDATA("Total-Old",'Distrib pivot table'!$C$2,"state","NC","group","2b")/GETPIVOTDATA("Total-Old",'Distrib pivot table'!$C$2,"state","NC"))=0,,IF(GETPIVOTDATA("Total-Old",'Distrib pivot table'!$C$2,"state","NC","group","2b")/GETPIVOTDATA("Total-Old",'Distrib pivot table'!$C$2,"state","NC")&gt;0.0005,GETPIVOTDATA("Total-Old",'Distrib pivot table'!$C$2,"state","NC","group","2b")/GETPIVOTDATA("Total-Old",'Distrib pivot table'!$C$2,"state","NC"),"*"))</f>
        <v>0</v>
      </c>
      <c r="O31" s="424">
        <f>IF((GETPIVOTDATA("Total-Old",'Distrib pivot table'!$C$2,"state","OK","group","2b")/GETPIVOTDATA("Total-Old",'Distrib pivot table'!$C$2,"state","OK"))=0,,IF(GETPIVOTDATA("Total-Old",'Distrib pivot table'!$C$2,"state","OK","group","2b")/GETPIVOTDATA("Total-Old",'Distrib pivot table'!$C$2,"state","OK")&gt;0.0005,GETPIVOTDATA("Total-Old",'Distrib pivot table'!$C$2,"state","OK","group","2b")/GETPIVOTDATA("Total-Old",'Distrib pivot table'!$C$2,"state","OK"),"*"))</f>
        <v>0</v>
      </c>
      <c r="P31" s="424">
        <f>IF((GETPIVOTDATA("Total-Old",'Distrib pivot table'!$C$2,"state","SC","group","2b")/GETPIVOTDATA("Total-Old",'Distrib pivot table'!$C$2,"state","SC"))=0,,IF(GETPIVOTDATA("Total-Old",'Distrib pivot table'!$C$2,"state","SC","group","2b")/GETPIVOTDATA("Total-Old",'Distrib pivot table'!$C$2,"state","SC")&gt;0.0005,GETPIVOTDATA("Total-Old",'Distrib pivot table'!$C$2,"state","SC","group","2b")/GETPIVOTDATA("Total-Old",'Distrib pivot table'!$C$2,"state","SC"),"*"))</f>
        <v>1.2667385018551485E-3</v>
      </c>
      <c r="Q31" s="424">
        <f>IF((GETPIVOTDATA("Total-Old",'Distrib pivot table'!$C$2,"state","TN","group","2b")/GETPIVOTDATA("Total-Old",'Distrib pivot table'!$C$2,"state","TN"))=0,,IF(GETPIVOTDATA("Total-Old",'Distrib pivot table'!$C$2,"state","TN","group","2b")/GETPIVOTDATA("Total-Old",'Distrib pivot table'!$C$2,"state","TN")&gt;0.0005,GETPIVOTDATA("Total-Old",'Distrib pivot table'!$C$2,"state","TN","group","2b")/GETPIVOTDATA("Total-Old",'Distrib pivot table'!$C$2,"state","TN"),"*"))</f>
        <v>0</v>
      </c>
      <c r="R31" s="424">
        <f>IF((GETPIVOTDATA("Total-Old",'Distrib pivot table'!$C$2,"state","TX","group","2b")/GETPIVOTDATA("Total-Old",'Distrib pivot table'!$C$2,"state","TX"))=0,,IF(GETPIVOTDATA("Total-Old",'Distrib pivot table'!$C$2,"state","TX","group","2b")/GETPIVOTDATA("Total-Old",'Distrib pivot table'!$C$2,"state","TX")&gt;0.0005,GETPIVOTDATA("Total-Old",'Distrib pivot table'!$C$2,"state","TX","group","2b")/GETPIVOTDATA("Total-Old",'Distrib pivot table'!$C$2,"state","TX"),"*"))</f>
        <v>3.6836081948751027E-3</v>
      </c>
      <c r="S31" s="424">
        <f>IF((GETPIVOTDATA("Total-Old",'Distrib pivot table'!$C$2,"state","VA","group","2b")/GETPIVOTDATA("Total-Old",'Distrib pivot table'!$C$2,"state","VA"))=0,,IF(GETPIVOTDATA("Total-Old",'Distrib pivot table'!$C$2,"state","VA","group","2b")/GETPIVOTDATA("Total-Old",'Distrib pivot table'!$C$2,"state","VA")&gt;0.0005,GETPIVOTDATA("Total-Old",'Distrib pivot table'!$C$2,"state","VA","group","2b")/GETPIVOTDATA("Total-Old",'Distrib pivot table'!$C$2,"state","VA"),"*"))</f>
        <v>0</v>
      </c>
      <c r="T31" s="424">
        <f>IF((GETPIVOTDATA("Total-Old",'Distrib pivot table'!$C$2,"state","WV","group","2b")/GETPIVOTDATA("Total-Old",'Distrib pivot table'!$C$2,"state","WV"))=0,,IF(GETPIVOTDATA("Total-Old",'Distrib pivot table'!$C$2,"state","WV","group","2b")/GETPIVOTDATA("Total-Old",'Distrib pivot table'!$C$2,"state","WV")&gt;0.0005,GETPIVOTDATA("Total-Old",'Distrib pivot table'!$C$2,"state","WV","group","2b")/GETPIVOTDATA("Total-Old",'Distrib pivot table'!$C$2,"state","WV"),"*"))</f>
        <v>0</v>
      </c>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s="45" customFormat="1" ht="12.6" customHeight="1">
      <c r="A32" s="1488"/>
      <c r="B32" s="126" t="s">
        <v>188</v>
      </c>
      <c r="C32" s="375" t="s">
        <v>287</v>
      </c>
      <c r="D32" s="419">
        <f>SUM(D33:D35)</f>
        <v>0</v>
      </c>
      <c r="E32" s="419">
        <f>SUM(E33:E35)</f>
        <v>0</v>
      </c>
      <c r="F32" s="419">
        <f t="shared" ref="F32:T32" si="4">SUM(F33:F35)</f>
        <v>1.6439453479565988E-3</v>
      </c>
      <c r="G32" s="419">
        <f t="shared" si="4"/>
        <v>3.4553753253822547E-3</v>
      </c>
      <c r="H32" s="419">
        <f t="shared" si="4"/>
        <v>0</v>
      </c>
      <c r="I32" s="419">
        <f t="shared" si="4"/>
        <v>0</v>
      </c>
      <c r="J32" s="419">
        <f t="shared" si="4"/>
        <v>1.5926773928672325E-3</v>
      </c>
      <c r="K32" s="419">
        <f t="shared" si="4"/>
        <v>0</v>
      </c>
      <c r="L32" s="419">
        <f t="shared" si="4"/>
        <v>0</v>
      </c>
      <c r="M32" s="419">
        <f t="shared" si="4"/>
        <v>0</v>
      </c>
      <c r="N32" s="419">
        <f t="shared" si="4"/>
        <v>0</v>
      </c>
      <c r="O32" s="419">
        <f t="shared" si="4"/>
        <v>0</v>
      </c>
      <c r="P32" s="419">
        <f t="shared" si="4"/>
        <v>8.8806058760451299E-4</v>
      </c>
      <c r="Q32" s="419">
        <f t="shared" si="4"/>
        <v>6.821845700072382E-4</v>
      </c>
      <c r="R32" s="419">
        <f t="shared" si="4"/>
        <v>0</v>
      </c>
      <c r="S32" s="419">
        <f t="shared" si="4"/>
        <v>0</v>
      </c>
      <c r="T32" s="419">
        <f t="shared" si="4"/>
        <v>7.3747540031561835E-4</v>
      </c>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2.6" customHeight="1">
      <c r="A33" s="1488"/>
      <c r="B33" s="127" t="s">
        <v>84</v>
      </c>
      <c r="C33" s="374" t="s">
        <v>288</v>
      </c>
      <c r="D33" s="418" t="str">
        <f>IF(GETPIVOTDATA("Total-Old",'Distrib pivot table'!$C$2,"group","2c1")/GETPIVOTDATA("Total-Old",'Distrib pivot table'!$C$2)=0,,IF(GETPIVOTDATA("Total-Old",'Distrib pivot table'!$C$2,"group","2c1")/GETPIVOTDATA("Total-Old",'Distrib pivot table'!$C$2)&gt;0.0005,GETPIVOTDATA("Total-Old",'Distrib pivot table'!$C$2,"group","2c1")/GETPIVOTDATA("Total-Old",'Distrib pivot table'!$C$2),"*"))</f>
        <v>*</v>
      </c>
      <c r="E33" s="418">
        <f>IF((GETPIVOTDATA("Total-Old",'Distrib pivot table'!$C$2,"state","AL","group","2c1")/GETPIVOTDATA("Total-Old",'Distrib pivot table'!$C$2,"state","AL"))=0,,IF(GETPIVOTDATA("Total-Old",'Distrib pivot table'!$C$2,"state","AL","group","2c1")/GETPIVOTDATA("Total-Old",'Distrib pivot table'!$C$2,"state","AL")&gt;0.0005,GETPIVOTDATA("Total-Old",'Distrib pivot table'!$C$2,"state","AL","group","2c1")/GETPIVOTDATA("Total-Old",'Distrib pivot table'!$C$2,"state","AL"),"*"))</f>
        <v>0</v>
      </c>
      <c r="F33" s="418" t="str">
        <f>IF((GETPIVOTDATA("Total-Old",'Distrib pivot table'!$C$2,"state","AR","group","2c1")/GETPIVOTDATA("Total-Old",'Distrib pivot table'!$C$2,"state","AR"))=0,,IF(GETPIVOTDATA("Total-Old",'Distrib pivot table'!$C$2,"state","AR","group","2c1")/GETPIVOTDATA("Total-Old",'Distrib pivot table'!$C$2,"state","AR")&gt;0.0005,GETPIVOTDATA("Total-Old",'Distrib pivot table'!$C$2,"state","AR","group","2c1")/GETPIVOTDATA("Total-Old",'Distrib pivot table'!$C$2,"state","AR"),"*"))</f>
        <v>*</v>
      </c>
      <c r="G33" s="418">
        <f>IF((GETPIVOTDATA("Total-Old",'Distrib pivot table'!$C$2,"state","DE","group","2c1")/GETPIVOTDATA("Total-Old",'Distrib pivot table'!$C$2,"state","DE"))=0,,IF(GETPIVOTDATA("Total-Old",'Distrib pivot table'!$C$2,"state","DE","group","2c1")/GETPIVOTDATA("Total-Old",'Distrib pivot table'!$C$2,"state","DE")&gt;0.0005,GETPIVOTDATA("Total-Old",'Distrib pivot table'!$C$2,"state","DE","group","2c1")/GETPIVOTDATA("Total-Old",'Distrib pivot table'!$C$2,"state","DE"),"*"))</f>
        <v>2.5050030438256705E-3</v>
      </c>
      <c r="H33" s="418">
        <f>IF((GETPIVOTDATA("Total-Old",'Distrib pivot table'!$C$2,"state","FL","group","2c1")/GETPIVOTDATA("Total-Old",'Distrib pivot table'!$C$2,"state","FL"))=0,,IF(GETPIVOTDATA("Total-Old",'Distrib pivot table'!$C$2,"state","FL","group","2c1")/GETPIVOTDATA("Total-Old",'Distrib pivot table'!$C$2,"state","FL")&gt;0.0005,GETPIVOTDATA("Total-Old",'Distrib pivot table'!$C$2,"state","FL","group","2c1")/GETPIVOTDATA("Total-Old",'Distrib pivot table'!$C$2,"state","FL"),"*"))</f>
        <v>0</v>
      </c>
      <c r="I33" s="418" t="str">
        <f>IF((GETPIVOTDATA("Total-Old",'Distrib pivot table'!$C$2,"state","GA","group","2c1")/GETPIVOTDATA("Total-Old",'Distrib pivot table'!$C$2,"state","GA"))=0,,IF(GETPIVOTDATA("Total-Old",'Distrib pivot table'!$C$2,"state","GA","group","2c1")/GETPIVOTDATA("Total-Old",'Distrib pivot table'!$C$2,"state","GA")&gt;0.0005,GETPIVOTDATA("Total-Old",'Distrib pivot table'!$C$2,"state","GA","group","2c1")/GETPIVOTDATA("Total-Old",'Distrib pivot table'!$C$2,"state","GA"),"*"))</f>
        <v>*</v>
      </c>
      <c r="J33" s="418" t="str">
        <f>IF((GETPIVOTDATA("Total-Old",'Distrib pivot table'!$C$2,"state","KY","group","2c1")/GETPIVOTDATA("Total-Old",'Distrib pivot table'!$C$2,"state","KY"))=0,,IF(GETPIVOTDATA("Total-Old",'Distrib pivot table'!$C$2,"state","KY","group","2c1")/GETPIVOTDATA("Total-Old",'Distrib pivot table'!$C$2,"state","KY")&gt;0.0005,GETPIVOTDATA("Total-Old",'Distrib pivot table'!$C$2,"state","KY","group","2c1")/GETPIVOTDATA("Total-Old",'Distrib pivot table'!$C$2,"state","KY"),"*"))</f>
        <v>*</v>
      </c>
      <c r="K33" s="418">
        <f>IF((GETPIVOTDATA("Total-Old",'Distrib pivot table'!$C$2,"state","LA","group","2c1")/GETPIVOTDATA("Total-Old",'Distrib pivot table'!$C$2,"state","LA"))=0,,IF(GETPIVOTDATA("Total-Old",'Distrib pivot table'!$C$2,"state","LA","group","2c1")/GETPIVOTDATA("Total-Old",'Distrib pivot table'!$C$2,"state","LA")&gt;0.0005,GETPIVOTDATA("Total-Old",'Distrib pivot table'!$C$2,"state","LA","group","2c1")/GETPIVOTDATA("Total-Old",'Distrib pivot table'!$C$2,"state","LA"),"*"))</f>
        <v>0</v>
      </c>
      <c r="L33" s="418">
        <f>IF((GETPIVOTDATA("Total-Old",'Distrib pivot table'!$C$2,"state","MD","group","2c1")/GETPIVOTDATA("Total-Old",'Distrib pivot table'!$C$2,"state","MD"))=0,,IF(GETPIVOTDATA("Total-Old",'Distrib pivot table'!$C$2,"state","MD","group","2c1")/GETPIVOTDATA("Total-Old",'Distrib pivot table'!$C$2,"state","MD")&gt;0.0005,GETPIVOTDATA("Total-Old",'Distrib pivot table'!$C$2,"state","MD","group","2c1")/GETPIVOTDATA("Total-Old",'Distrib pivot table'!$C$2,"state","MD"),"*"))</f>
        <v>0</v>
      </c>
      <c r="M33" s="418" t="str">
        <f>IF((GETPIVOTDATA("Total-Old",'Distrib pivot table'!$C$2,"state","MS","group","2c1")/GETPIVOTDATA("Total-Old",'Distrib pivot table'!$C$2,"state","MS"))=0,,IF(GETPIVOTDATA("Total-Old",'Distrib pivot table'!$C$2,"state","MS","group","2c1")/GETPIVOTDATA("Total-Old",'Distrib pivot table'!$C$2,"state","MS")&gt;0.0005,GETPIVOTDATA("Total-Old",'Distrib pivot table'!$C$2,"state","MS","group","2c1")/GETPIVOTDATA("Total-Old",'Distrib pivot table'!$C$2,"state","MS"),"*"))</f>
        <v>*</v>
      </c>
      <c r="N33" s="418">
        <f>IF((GETPIVOTDATA("Total-Old",'Distrib pivot table'!$C$2,"state","NC","group","2c1")/GETPIVOTDATA("Total-Old",'Distrib pivot table'!$C$2,"state","NC"))=0,,IF(GETPIVOTDATA("Total-Old",'Distrib pivot table'!$C$2,"state","NC","group","2c1")/GETPIVOTDATA("Total-Old",'Distrib pivot table'!$C$2,"state","NC")&gt;0.0005,GETPIVOTDATA("Total-Old",'Distrib pivot table'!$C$2,"state","NC","group","2c1")/GETPIVOTDATA("Total-Old",'Distrib pivot table'!$C$2,"state","NC"),"*"))</f>
        <v>0</v>
      </c>
      <c r="O33" s="418">
        <f>IF((GETPIVOTDATA("Total-Old",'Distrib pivot table'!$C$2,"state","OK","group","2c1")/GETPIVOTDATA("Total-Old",'Distrib pivot table'!$C$2,"state","OK"))=0,,IF(GETPIVOTDATA("Total-Old",'Distrib pivot table'!$C$2,"state","OK","group","2c1")/GETPIVOTDATA("Total-Old",'Distrib pivot table'!$C$2,"state","OK")&gt;0.0005,GETPIVOTDATA("Total-Old",'Distrib pivot table'!$C$2,"state","OK","group","2c1")/GETPIVOTDATA("Total-Old",'Distrib pivot table'!$C$2,"state","OK"),"*"))</f>
        <v>0</v>
      </c>
      <c r="P33" s="418" t="str">
        <f>IF((GETPIVOTDATA("Total-Old",'Distrib pivot table'!$C$2,"state","SC","group","2c1")/GETPIVOTDATA("Total-Old",'Distrib pivot table'!$C$2,"state","SC"))=0,,IF(GETPIVOTDATA("Total-Old",'Distrib pivot table'!$C$2,"state","SC","group","2c1")/GETPIVOTDATA("Total-Old",'Distrib pivot table'!$C$2,"state","SC")&gt;0.0005,GETPIVOTDATA("Total-Old",'Distrib pivot table'!$C$2,"state","SC","group","2c1")/GETPIVOTDATA("Total-Old",'Distrib pivot table'!$C$2,"state","SC"),"*"))</f>
        <v>*</v>
      </c>
      <c r="Q33" s="418">
        <f>IF((GETPIVOTDATA("Total-Old",'Distrib pivot table'!$C$2,"state","TN","group","2c1")/GETPIVOTDATA("Total-Old",'Distrib pivot table'!$C$2,"state","TN"))=0,,IF(GETPIVOTDATA("Total-Old",'Distrib pivot table'!$C$2,"state","TN","group","2c1")/GETPIVOTDATA("Total-Old",'Distrib pivot table'!$C$2,"state","TN")&gt;0.0005,GETPIVOTDATA("Total-Old",'Distrib pivot table'!$C$2,"state","TN","group","2c1")/GETPIVOTDATA("Total-Old",'Distrib pivot table'!$C$2,"state","TN"),"*"))</f>
        <v>6.821845700072382E-4</v>
      </c>
      <c r="R33" s="418">
        <f>IF((GETPIVOTDATA("Total-Old",'Distrib pivot table'!$C$2,"state","TX","group","2c1")/GETPIVOTDATA("Total-Old",'Distrib pivot table'!$C$2,"state","TX"))=0,,IF(GETPIVOTDATA("Total-Old",'Distrib pivot table'!$C$2,"state","TX","group","2c1")/GETPIVOTDATA("Total-Old",'Distrib pivot table'!$C$2,"state","TX")&gt;0.0005,GETPIVOTDATA("Total-Old",'Distrib pivot table'!$C$2,"state","TX","group","2c1")/GETPIVOTDATA("Total-Old",'Distrib pivot table'!$C$2,"state","TX"),"*"))</f>
        <v>0</v>
      </c>
      <c r="S33" s="418" t="str">
        <f>IF((GETPIVOTDATA("Total-Old",'Distrib pivot table'!$C$2,"state","VA","group","2c1")/GETPIVOTDATA("Total-Old",'Distrib pivot table'!$C$2,"state","VA"))=0,,IF(GETPIVOTDATA("Total-Old",'Distrib pivot table'!$C$2,"state","VA","group","2c1")/GETPIVOTDATA("Total-Old",'Distrib pivot table'!$C$2,"state","VA")&gt;0.0005,GETPIVOTDATA("Total-Old",'Distrib pivot table'!$C$2,"state","VA","group","2c1")/GETPIVOTDATA("Total-Old",'Distrib pivot table'!$C$2,"state","VA"),"*"))</f>
        <v>*</v>
      </c>
      <c r="T33" s="418" t="str">
        <f>IF((GETPIVOTDATA("Total-Old",'Distrib pivot table'!$C$2,"state","WV","group","2c1")/GETPIVOTDATA("Total-Old",'Distrib pivot table'!$C$2,"state","WV"))=0,,IF(GETPIVOTDATA("Total-Old",'Distrib pivot table'!$C$2,"state","WV","group","2c1")/GETPIVOTDATA("Total-Old",'Distrib pivot table'!$C$2,"state","WV")&gt;0.0005,GETPIVOTDATA("Total-Old",'Distrib pivot table'!$C$2,"state","WV","group","2c1")/GETPIVOTDATA("Total-Old",'Distrib pivot table'!$C$2,"state","WV"),"*"))</f>
        <v>*</v>
      </c>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2.6" customHeight="1">
      <c r="A34" s="1488"/>
      <c r="B34" s="127" t="s">
        <v>85</v>
      </c>
      <c r="C34" s="374" t="s">
        <v>289</v>
      </c>
      <c r="D34" s="418" t="str">
        <f>IF(GETPIVOTDATA("Total-Old",'Distrib pivot table'!$C$2,"group","2c2")/GETPIVOTDATA("Total-Old",'Distrib pivot table'!$C$2)=0,,IF(GETPIVOTDATA("Total-Old",'Distrib pivot table'!$C$2,"group","2c2")/GETPIVOTDATA("Total-Old",'Distrib pivot table'!$C$2)&gt;0.0005,GETPIVOTDATA("Total-Old",'Distrib pivot table'!$C$2,"group","2c2")/GETPIVOTDATA("Total-Old",'Distrib pivot table'!$C$2),"*"))</f>
        <v>*</v>
      </c>
      <c r="E34" s="418">
        <f>IF((GETPIVOTDATA("Total-Old",'Distrib pivot table'!$C$2,"state","AL","group","2c2")/GETPIVOTDATA("Total-Old",'Distrib pivot table'!$C$2,"state","AL"))=0,,IF(GETPIVOTDATA("Total-Old",'Distrib pivot table'!$C$2,"state","AL","group","2c2")/GETPIVOTDATA("Total-Old",'Distrib pivot table'!$C$2,"state","AL")&gt;0.0005,GETPIVOTDATA("Total-Old",'Distrib pivot table'!$C$2,"state","AL","group","2c2")/GETPIVOTDATA("Total-Old",'Distrib pivot table'!$C$2,"state","AL"),"*"))</f>
        <v>0</v>
      </c>
      <c r="F34" s="418">
        <f>IF((GETPIVOTDATA("Total-Old",'Distrib pivot table'!$C$2,"state","AR","group","2c2")/GETPIVOTDATA("Total-Old",'Distrib pivot table'!$C$2,"state","AR"))=0,,IF(GETPIVOTDATA("Total-Old",'Distrib pivot table'!$C$2,"state","AR","group","2c2")/GETPIVOTDATA("Total-Old",'Distrib pivot table'!$C$2,"state","AR")&gt;0.0005,GETPIVOTDATA("Total-Old",'Distrib pivot table'!$C$2,"state","AR","group","2c2")/GETPIVOTDATA("Total-Old",'Distrib pivot table'!$C$2,"state","AR"),"*"))</f>
        <v>1.6439453479565988E-3</v>
      </c>
      <c r="G34" s="418">
        <f>IF((GETPIVOTDATA("Total-Old",'Distrib pivot table'!$C$2,"state","DE","group","2c2")/GETPIVOTDATA("Total-Old",'Distrib pivot table'!$C$2,"state","DE"))=0,,IF(GETPIVOTDATA("Total-Old",'Distrib pivot table'!$C$2,"state","DE","group","2c2")/GETPIVOTDATA("Total-Old",'Distrib pivot table'!$C$2,"state","DE")&gt;0.0005,GETPIVOTDATA("Total-Old",'Distrib pivot table'!$C$2,"state","DE","group","2c2")/GETPIVOTDATA("Total-Old",'Distrib pivot table'!$C$2,"state","DE"),"*"))</f>
        <v>9.5037228155658415E-4</v>
      </c>
      <c r="H34" s="418">
        <f>IF((GETPIVOTDATA("Total-Old",'Distrib pivot table'!$C$2,"state","FL","group","2c2")/GETPIVOTDATA("Total-Old",'Distrib pivot table'!$C$2,"state","FL"))=0,,IF(GETPIVOTDATA("Total-Old",'Distrib pivot table'!$C$2,"state","FL","group","2c2")/GETPIVOTDATA("Total-Old",'Distrib pivot table'!$C$2,"state","FL")&gt;0.0005,GETPIVOTDATA("Total-Old",'Distrib pivot table'!$C$2,"state","FL","group","2c2")/GETPIVOTDATA("Total-Old",'Distrib pivot table'!$C$2,"state","FL"),"*"))</f>
        <v>0</v>
      </c>
      <c r="I34" s="418" t="str">
        <f>IF((GETPIVOTDATA("Total-Old",'Distrib pivot table'!$C$2,"state","GA","group","2c2")/GETPIVOTDATA("Total-Old",'Distrib pivot table'!$C$2,"state","GA"))=0,,IF(GETPIVOTDATA("Total-Old",'Distrib pivot table'!$C$2,"state","GA","group","2c2")/GETPIVOTDATA("Total-Old",'Distrib pivot table'!$C$2,"state","GA")&gt;0.0005,GETPIVOTDATA("Total-Old",'Distrib pivot table'!$C$2,"state","GA","group","2c2")/GETPIVOTDATA("Total-Old",'Distrib pivot table'!$C$2,"state","GA"),"*"))</f>
        <v>*</v>
      </c>
      <c r="J34" s="418">
        <f>IF((GETPIVOTDATA("Total-Old",'Distrib pivot table'!$C$2,"state","KY","group","2c2")/GETPIVOTDATA("Total-Old",'Distrib pivot table'!$C$2,"state","KY"))=0,,IF(GETPIVOTDATA("Total-Old",'Distrib pivot table'!$C$2,"state","KY","group","2c2")/GETPIVOTDATA("Total-Old",'Distrib pivot table'!$C$2,"state","KY")&gt;0.0005,GETPIVOTDATA("Total-Old",'Distrib pivot table'!$C$2,"state","KY","group","2c2")/GETPIVOTDATA("Total-Old",'Distrib pivot table'!$C$2,"state","KY"),"*"))</f>
        <v>1.5926773928672325E-3</v>
      </c>
      <c r="K34" s="418" t="str">
        <f>IF((GETPIVOTDATA("Total-Old",'Distrib pivot table'!$C$2,"state","LA","group","2c2")/GETPIVOTDATA("Total-Old",'Distrib pivot table'!$C$2,"state","LA"))=0,,IF(GETPIVOTDATA("Total-Old",'Distrib pivot table'!$C$2,"state","LA","group","2c2")/GETPIVOTDATA("Total-Old",'Distrib pivot table'!$C$2,"state","LA")&gt;0.0005,GETPIVOTDATA("Total-Old",'Distrib pivot table'!$C$2,"state","LA","group","2c2")/GETPIVOTDATA("Total-Old",'Distrib pivot table'!$C$2,"state","LA"),"*"))</f>
        <v>*</v>
      </c>
      <c r="L34" s="418">
        <f>IF((GETPIVOTDATA("Total-Old",'Distrib pivot table'!$C$2,"state","MD","group","2c2")/GETPIVOTDATA("Total-Old",'Distrib pivot table'!$C$2,"state","MD"))=0,,IF(GETPIVOTDATA("Total-Old",'Distrib pivot table'!$C$2,"state","MD","group","2c2")/GETPIVOTDATA("Total-Old",'Distrib pivot table'!$C$2,"state","MD")&gt;0.0005,GETPIVOTDATA("Total-Old",'Distrib pivot table'!$C$2,"state","MD","group","2c2")/GETPIVOTDATA("Total-Old",'Distrib pivot table'!$C$2,"state","MD"),"*"))</f>
        <v>0</v>
      </c>
      <c r="M34" s="418" t="str">
        <f>IF((GETPIVOTDATA("Total-Old",'Distrib pivot table'!$C$2,"state","MS","group","2c2")/GETPIVOTDATA("Total-Old",'Distrib pivot table'!$C$2,"state","MS"))=0,,IF(GETPIVOTDATA("Total-Old",'Distrib pivot table'!$C$2,"state","MS","group","2c2")/GETPIVOTDATA("Total-Old",'Distrib pivot table'!$C$2,"state","MS")&gt;0.0005,GETPIVOTDATA("Total-Old",'Distrib pivot table'!$C$2,"state","MS","group","2c2")/GETPIVOTDATA("Total-Old",'Distrib pivot table'!$C$2,"state","MS"),"*"))</f>
        <v>*</v>
      </c>
      <c r="N34" s="418">
        <f>IF((GETPIVOTDATA("Total-Old",'Distrib pivot table'!$C$2,"state","NC","group","2c2")/GETPIVOTDATA("Total-Old",'Distrib pivot table'!$C$2,"state","NC"))=0,,IF(GETPIVOTDATA("Total-Old",'Distrib pivot table'!$C$2,"state","NC","group","2c2")/GETPIVOTDATA("Total-Old",'Distrib pivot table'!$C$2,"state","NC")&gt;0.0005,GETPIVOTDATA("Total-Old",'Distrib pivot table'!$C$2,"state","NC","group","2c2")/GETPIVOTDATA("Total-Old",'Distrib pivot table'!$C$2,"state","NC"),"*"))</f>
        <v>0</v>
      </c>
      <c r="O34" s="418">
        <f>IF((GETPIVOTDATA("Total-Old",'Distrib pivot table'!$C$2,"state","OK","group","2c2")/GETPIVOTDATA("Total-Old",'Distrib pivot table'!$C$2,"state","OK"))=0,,IF(GETPIVOTDATA("Total-Old",'Distrib pivot table'!$C$2,"state","OK","group","2c2")/GETPIVOTDATA("Total-Old",'Distrib pivot table'!$C$2,"state","OK")&gt;0.0005,GETPIVOTDATA("Total-Old",'Distrib pivot table'!$C$2,"state","OK","group","2c2")/GETPIVOTDATA("Total-Old",'Distrib pivot table'!$C$2,"state","OK"),"*"))</f>
        <v>0</v>
      </c>
      <c r="P34" s="418">
        <f>IF((GETPIVOTDATA("Total-Old",'Distrib pivot table'!$C$2,"state","SC","group","2c2")/GETPIVOTDATA("Total-Old",'Distrib pivot table'!$C$2,"state","SC"))=0,,IF(GETPIVOTDATA("Total-Old",'Distrib pivot table'!$C$2,"state","SC","group","2c2")/GETPIVOTDATA("Total-Old",'Distrib pivot table'!$C$2,"state","SC")&gt;0.0005,GETPIVOTDATA("Total-Old",'Distrib pivot table'!$C$2,"state","SC","group","2c2")/GETPIVOTDATA("Total-Old",'Distrib pivot table'!$C$2,"state","SC"),"*"))</f>
        <v>8.8806058760451299E-4</v>
      </c>
      <c r="Q34" s="418">
        <f>IF((GETPIVOTDATA("Total-Old",'Distrib pivot table'!$C$2,"state","TN","group","2c2")/GETPIVOTDATA("Total-Old",'Distrib pivot table'!$C$2,"state","TN"))=0,,IF(GETPIVOTDATA("Total-Old",'Distrib pivot table'!$C$2,"state","TN","group","2c2")/GETPIVOTDATA("Total-Old",'Distrib pivot table'!$C$2,"state","TN")&gt;0.0005,GETPIVOTDATA("Total-Old",'Distrib pivot table'!$C$2,"state","TN","group","2c2")/GETPIVOTDATA("Total-Old",'Distrib pivot table'!$C$2,"state","TN"),"*"))</f>
        <v>0</v>
      </c>
      <c r="R34" s="418">
        <f>IF((GETPIVOTDATA("Total-Old",'Distrib pivot table'!$C$2,"state","TX","group","2c2")/GETPIVOTDATA("Total-Old",'Distrib pivot table'!$C$2,"state","TX"))=0,,IF(GETPIVOTDATA("Total-Old",'Distrib pivot table'!$C$2,"state","TX","group","2c2")/GETPIVOTDATA("Total-Old",'Distrib pivot table'!$C$2,"state","TX")&gt;0.0005,GETPIVOTDATA("Total-Old",'Distrib pivot table'!$C$2,"state","TX","group","2c2")/GETPIVOTDATA("Total-Old",'Distrib pivot table'!$C$2,"state","TX"),"*"))</f>
        <v>0</v>
      </c>
      <c r="S34" s="418">
        <f>IF((GETPIVOTDATA("Total-Old",'Distrib pivot table'!$C$2,"state","VA","group","2c2")/GETPIVOTDATA("Total-Old",'Distrib pivot table'!$C$2,"state","VA"))=0,,IF(GETPIVOTDATA("Total-Old",'Distrib pivot table'!$C$2,"state","VA","group","2c2")/GETPIVOTDATA("Total-Old",'Distrib pivot table'!$C$2,"state","VA")&gt;0.0005,GETPIVOTDATA("Total-Old",'Distrib pivot table'!$C$2,"state","VA","group","2c2")/GETPIVOTDATA("Total-Old",'Distrib pivot table'!$C$2,"state","VA"),"*"))</f>
        <v>0</v>
      </c>
      <c r="T34" s="418">
        <f>IF((GETPIVOTDATA("Total-Old",'Distrib pivot table'!$C$2,"state","WV","group","2c2")/GETPIVOTDATA("Total-Old",'Distrib pivot table'!$C$2,"state","WV"))=0,,IF(GETPIVOTDATA("Total-Old",'Distrib pivot table'!$C$2,"state","WV","group","2c2")/GETPIVOTDATA("Total-Old",'Distrib pivot table'!$C$2,"state","WV")&gt;0.0005,GETPIVOTDATA("Total-Old",'Distrib pivot table'!$C$2,"state","WV","group","2c2")/GETPIVOTDATA("Total-Old",'Distrib pivot table'!$C$2,"state","WV"),"*"))</f>
        <v>7.3747540031561835E-4</v>
      </c>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2.6" customHeight="1">
      <c r="A35" s="1488"/>
      <c r="B35" s="130" t="s">
        <v>137</v>
      </c>
      <c r="C35" s="374" t="s">
        <v>290</v>
      </c>
      <c r="D35" s="418" t="str">
        <f>IF(GETPIVOTDATA("Total-Old",'Distrib pivot table'!$C$2,"group","2c3")/GETPIVOTDATA("Total-Old",'Distrib pivot table'!$C$2)=0,,IF(GETPIVOTDATA("Total-Old",'Distrib pivot table'!$C$2,"group","2c3")/GETPIVOTDATA("Total-Old",'Distrib pivot table'!$C$2)&gt;0.0005,GETPIVOTDATA("Total-Old",'Distrib pivot table'!$C$2,"group","2c3")/GETPIVOTDATA("Total-Old",'Distrib pivot table'!$C$2),"*"))</f>
        <v>*</v>
      </c>
      <c r="E35" s="418">
        <f>IF((GETPIVOTDATA("Total-Old",'Distrib pivot table'!$C$2,"state","AL","group","2c3")/GETPIVOTDATA("Total-Old",'Distrib pivot table'!$C$2,"state","AL"))=0,,IF(GETPIVOTDATA("Total-Old",'Distrib pivot table'!$C$2,"state","AL","group","2c3")/GETPIVOTDATA("Total-Old",'Distrib pivot table'!$C$2,"state","AL")&gt;0.0005,GETPIVOTDATA("Total-Old",'Distrib pivot table'!$C$2,"state","AL","group","2c3")/GETPIVOTDATA("Total-Old",'Distrib pivot table'!$C$2,"state","AL"),"*"))</f>
        <v>0</v>
      </c>
      <c r="F35" s="418">
        <f>IF((GETPIVOTDATA("Total-Old",'Distrib pivot table'!$C$2,"state","AR","group","2c3")/GETPIVOTDATA("Total-Old",'Distrib pivot table'!$C$2,"state","AR"))=0,,IF(GETPIVOTDATA("Total-Old",'Distrib pivot table'!$C$2,"state","AR","group","2c3")/GETPIVOTDATA("Total-Old",'Distrib pivot table'!$C$2,"state","AR")&gt;0.0005,GETPIVOTDATA("Total-Old",'Distrib pivot table'!$C$2,"state","AR","group","2c3")/GETPIVOTDATA("Total-Old",'Distrib pivot table'!$C$2,"state","AR"),"*"))</f>
        <v>0</v>
      </c>
      <c r="G35" s="418">
        <f>IF((GETPIVOTDATA("Total-Old",'Distrib pivot table'!$C$2,"state","DE","group","2c3")/GETPIVOTDATA("Total-Old",'Distrib pivot table'!$C$2,"state","DE"))=0,,IF(GETPIVOTDATA("Total-Old",'Distrib pivot table'!$C$2,"state","DE","group","2c3")/GETPIVOTDATA("Total-Old",'Distrib pivot table'!$C$2,"state","DE")&gt;0.0005,GETPIVOTDATA("Total-Old",'Distrib pivot table'!$C$2,"state","DE","group","2c3")/GETPIVOTDATA("Total-Old",'Distrib pivot table'!$C$2,"state","DE"),"*"))</f>
        <v>0</v>
      </c>
      <c r="H35" s="418" t="str">
        <f>IF((GETPIVOTDATA("Total-Old",'Distrib pivot table'!$C$2,"state","FL","group","2c3")/GETPIVOTDATA("Total-Old",'Distrib pivot table'!$C$2,"state","FL"))=0,,IF(GETPIVOTDATA("Total-Old",'Distrib pivot table'!$C$2,"state","FL","group","2c3")/GETPIVOTDATA("Total-Old",'Distrib pivot table'!$C$2,"state","FL")&gt;0.0005,GETPIVOTDATA("Total-Old",'Distrib pivot table'!$C$2,"state","FL","group","2c3")/GETPIVOTDATA("Total-Old",'Distrib pivot table'!$C$2,"state","FL"),"*"))</f>
        <v>*</v>
      </c>
      <c r="I35" s="418" t="str">
        <f>IF((GETPIVOTDATA("Total-Old",'Distrib pivot table'!$C$2,"state","GA","group","2c3")/GETPIVOTDATA("Total-Old",'Distrib pivot table'!$C$2,"state","GA"))=0,,IF(GETPIVOTDATA("Total-Old",'Distrib pivot table'!$C$2,"state","GA","group","2c3")/GETPIVOTDATA("Total-Old",'Distrib pivot table'!$C$2,"state","GA")&gt;0.0005,GETPIVOTDATA("Total-Old",'Distrib pivot table'!$C$2,"state","GA","group","2c3")/GETPIVOTDATA("Total-Old",'Distrib pivot table'!$C$2,"state","GA"),"*"))</f>
        <v>*</v>
      </c>
      <c r="J35" s="418" t="str">
        <f>IF((GETPIVOTDATA("Total-Old",'Distrib pivot table'!$C$2,"state","KY","group","2c3")/GETPIVOTDATA("Total-Old",'Distrib pivot table'!$C$2,"state","KY"))=0,,IF(GETPIVOTDATA("Total-Old",'Distrib pivot table'!$C$2,"state","KY","group","2c3")/GETPIVOTDATA("Total-Old",'Distrib pivot table'!$C$2,"state","KY")&gt;0.0005,GETPIVOTDATA("Total-Old",'Distrib pivot table'!$C$2,"state","KY","group","2c3")/GETPIVOTDATA("Total-Old",'Distrib pivot table'!$C$2,"state","KY"),"*"))</f>
        <v>*</v>
      </c>
      <c r="K35" s="418">
        <f>IF((GETPIVOTDATA("Total-Old",'Distrib pivot table'!$C$2,"state","LA","group","2c3")/GETPIVOTDATA("Total-Old",'Distrib pivot table'!$C$2,"state","LA"))=0,,IF(GETPIVOTDATA("Total-Old",'Distrib pivot table'!$C$2,"state","LA","group","2c3")/GETPIVOTDATA("Total-Old",'Distrib pivot table'!$C$2,"state","LA")&gt;0.0005,GETPIVOTDATA("Total-Old",'Distrib pivot table'!$C$2,"state","LA","group","2c3")/GETPIVOTDATA("Total-Old",'Distrib pivot table'!$C$2,"state","LA"),"*"))</f>
        <v>0</v>
      </c>
      <c r="L35" s="418">
        <f>IF((GETPIVOTDATA("Total-Old",'Distrib pivot table'!$C$2,"state","MD","group","2c3")/GETPIVOTDATA("Total-Old",'Distrib pivot table'!$C$2,"state","MD"))=0,,IF(GETPIVOTDATA("Total-Old",'Distrib pivot table'!$C$2,"state","MD","group","2c3")/GETPIVOTDATA("Total-Old",'Distrib pivot table'!$C$2,"state","MD")&gt;0.0005,GETPIVOTDATA("Total-Old",'Distrib pivot table'!$C$2,"state","MD","group","2c3")/GETPIVOTDATA("Total-Old",'Distrib pivot table'!$C$2,"state","MD"),"*"))</f>
        <v>0</v>
      </c>
      <c r="M35" s="418">
        <f>IF((GETPIVOTDATA("Total-Old",'Distrib pivot table'!$C$2,"state","MS","group","2c3")/GETPIVOTDATA("Total-Old",'Distrib pivot table'!$C$2,"state","MS"))=0,,IF(GETPIVOTDATA("Total-Old",'Distrib pivot table'!$C$2,"state","MS","group","2c3")/GETPIVOTDATA("Total-Old",'Distrib pivot table'!$C$2,"state","MS")&gt;0.0005,GETPIVOTDATA("Total-Old",'Distrib pivot table'!$C$2,"state","MS","group","2c3")/GETPIVOTDATA("Total-Old",'Distrib pivot table'!$C$2,"state","MS"),"*"))</f>
        <v>0</v>
      </c>
      <c r="N35" s="418">
        <f>IF((GETPIVOTDATA("Total-Old",'Distrib pivot table'!$C$2,"state","NC","group","2c3")/GETPIVOTDATA("Total-Old",'Distrib pivot table'!$C$2,"state","NC"))=0,,IF(GETPIVOTDATA("Total-Old",'Distrib pivot table'!$C$2,"state","NC","group","2c3")/GETPIVOTDATA("Total-Old",'Distrib pivot table'!$C$2,"state","NC")&gt;0.0005,GETPIVOTDATA("Total-Old",'Distrib pivot table'!$C$2,"state","NC","group","2c3")/GETPIVOTDATA("Total-Old",'Distrib pivot table'!$C$2,"state","NC"),"*"))</f>
        <v>0</v>
      </c>
      <c r="O35" s="418">
        <f>IF((GETPIVOTDATA("Total-Old",'Distrib pivot table'!$C$2,"state","OK","group","2c3")/GETPIVOTDATA("Total-Old",'Distrib pivot table'!$C$2,"state","OK"))=0,,IF(GETPIVOTDATA("Total-Old",'Distrib pivot table'!$C$2,"state","OK","group","2c3")/GETPIVOTDATA("Total-Old",'Distrib pivot table'!$C$2,"state","OK")&gt;0.0005,GETPIVOTDATA("Total-Old",'Distrib pivot table'!$C$2,"state","OK","group","2c3")/GETPIVOTDATA("Total-Old",'Distrib pivot table'!$C$2,"state","OK"),"*"))</f>
        <v>0</v>
      </c>
      <c r="P35" s="418" t="str">
        <f>IF((GETPIVOTDATA("Total-Old",'Distrib pivot table'!$C$2,"state","SC","group","2c3")/GETPIVOTDATA("Total-Old",'Distrib pivot table'!$C$2,"state","SC"))=0,,IF(GETPIVOTDATA("Total-Old",'Distrib pivot table'!$C$2,"state","SC","group","2c3")/GETPIVOTDATA("Total-Old",'Distrib pivot table'!$C$2,"state","SC")&gt;0.0005,GETPIVOTDATA("Total-Old",'Distrib pivot table'!$C$2,"state","SC","group","2c3")/GETPIVOTDATA("Total-Old",'Distrib pivot table'!$C$2,"state","SC"),"*"))</f>
        <v>*</v>
      </c>
      <c r="Q35" s="418">
        <f>IF((GETPIVOTDATA("Total-Old",'Distrib pivot table'!$C$2,"state","TN","group","2c3")/GETPIVOTDATA("Total-Old",'Distrib pivot table'!$C$2,"state","TN"))=0,,IF(GETPIVOTDATA("Total-Old",'Distrib pivot table'!$C$2,"state","TN","group","2c3")/GETPIVOTDATA("Total-Old",'Distrib pivot table'!$C$2,"state","TN")&gt;0.0005,GETPIVOTDATA("Total-Old",'Distrib pivot table'!$C$2,"state","TN","group","2c3")/GETPIVOTDATA("Total-Old",'Distrib pivot table'!$C$2,"state","TN"),"*"))</f>
        <v>0</v>
      </c>
      <c r="R35" s="418">
        <f>IF((GETPIVOTDATA("Total-Old",'Distrib pivot table'!$C$2,"state","TX","group","2c3")/GETPIVOTDATA("Total-Old",'Distrib pivot table'!$C$2,"state","TX"))=0,,IF(GETPIVOTDATA("Total-Old",'Distrib pivot table'!$C$2,"state","TX","group","2c3")/GETPIVOTDATA("Total-Old",'Distrib pivot table'!$C$2,"state","TX")&gt;0.0005,GETPIVOTDATA("Total-Old",'Distrib pivot table'!$C$2,"state","TX","group","2c3")/GETPIVOTDATA("Total-Old",'Distrib pivot table'!$C$2,"state","TX"),"*"))</f>
        <v>0</v>
      </c>
      <c r="S35" s="418" t="str">
        <f>IF((GETPIVOTDATA("Total-Old",'Distrib pivot table'!$C$2,"state","VA","group","2c3")/GETPIVOTDATA("Total-Old",'Distrib pivot table'!$C$2,"state","VA"))=0,,IF(GETPIVOTDATA("Total-Old",'Distrib pivot table'!$C$2,"state","VA","group","2c3")/GETPIVOTDATA("Total-Old",'Distrib pivot table'!$C$2,"state","VA")&gt;0.0005,GETPIVOTDATA("Total-Old",'Distrib pivot table'!$C$2,"state","VA","group","2c3")/GETPIVOTDATA("Total-Old",'Distrib pivot table'!$C$2,"state","VA"),"*"))</f>
        <v>*</v>
      </c>
      <c r="T35" s="418" t="str">
        <f>IF((GETPIVOTDATA("Total-Old",'Distrib pivot table'!$C$2,"state","WV","group","2c3")/GETPIVOTDATA("Total-Old",'Distrib pivot table'!$C$2,"state","WV"))=0,,IF(GETPIVOTDATA("Total-Old",'Distrib pivot table'!$C$2,"state","WV","group","2c3")/GETPIVOTDATA("Total-Old",'Distrib pivot table'!$C$2,"state","WV")&gt;0.0005,GETPIVOTDATA("Total-Old",'Distrib pivot table'!$C$2,"state","WV","group","2c3")/GETPIVOTDATA("Total-Old",'Distrib pivot table'!$C$2,"state","WV"),"*"))</f>
        <v>*</v>
      </c>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s="45" customFormat="1" ht="24">
      <c r="A36" s="1488"/>
      <c r="B36" s="126" t="s">
        <v>94</v>
      </c>
      <c r="C36" s="375" t="s">
        <v>291</v>
      </c>
      <c r="D36" s="419">
        <f>SUM(D37:D51)</f>
        <v>6.0937219876340418E-2</v>
      </c>
      <c r="E36" s="419">
        <f>SUM(E37:E51)</f>
        <v>1.7064723697002165E-2</v>
      </c>
      <c r="F36" s="419">
        <f t="shared" ref="F36:T36" si="5">SUM(F37:F51)</f>
        <v>7.5681312126752748E-2</v>
      </c>
      <c r="G36" s="419">
        <f t="shared" si="5"/>
        <v>5.093242752172376E-3</v>
      </c>
      <c r="H36" s="419">
        <f t="shared" si="5"/>
        <v>8.2099639540354721E-2</v>
      </c>
      <c r="I36" s="419">
        <f t="shared" si="5"/>
        <v>8.7601795745997108E-2</v>
      </c>
      <c r="J36" s="419">
        <f t="shared" si="5"/>
        <v>7.2014055623346104E-2</v>
      </c>
      <c r="K36" s="419">
        <f t="shared" si="5"/>
        <v>0.10991531634776408</v>
      </c>
      <c r="L36" s="419">
        <f t="shared" si="5"/>
        <v>2.5634782903460308E-2</v>
      </c>
      <c r="M36" s="419">
        <f t="shared" si="5"/>
        <v>1.8152348682667508E-2</v>
      </c>
      <c r="N36" s="419">
        <f t="shared" si="5"/>
        <v>4.1802969346751165E-2</v>
      </c>
      <c r="O36" s="419">
        <f t="shared" si="5"/>
        <v>3.9987486286984252E-2</v>
      </c>
      <c r="P36" s="419">
        <f t="shared" si="5"/>
        <v>0.12308647371633473</v>
      </c>
      <c r="Q36" s="419">
        <f t="shared" si="5"/>
        <v>0.12399614970617649</v>
      </c>
      <c r="R36" s="419">
        <f t="shared" si="5"/>
        <v>4.4215740948188351E-2</v>
      </c>
      <c r="S36" s="419">
        <f t="shared" si="5"/>
        <v>5.3921699578527077E-2</v>
      </c>
      <c r="T36" s="419">
        <f t="shared" si="5"/>
        <v>7.6826410049087357E-2</v>
      </c>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row>
    <row r="37" spans="1:50" ht="12.6" customHeight="1">
      <c r="A37" s="1488"/>
      <c r="B37" s="127" t="s">
        <v>52</v>
      </c>
      <c r="C37" s="374" t="s">
        <v>292</v>
      </c>
      <c r="D37" s="418">
        <f>IF(GETPIVOTDATA("Total-Old",'Distrib pivot table'!$C$2,"group","2d1")/GETPIVOTDATA("Total-Old",'Distrib pivot table'!$C$2)=0,,IF(GETPIVOTDATA("Total-Old",'Distrib pivot table'!$C$2,"group","2d1")/GETPIVOTDATA("Total-Old",'Distrib pivot table'!$C$2)&gt;0.0005,GETPIVOTDATA("Total-Old",'Distrib pivot table'!$C$2,"group","2d1")/GETPIVOTDATA("Total-Old",'Distrib pivot table'!$C$2),"*"))</f>
        <v>1.0275261125862375E-2</v>
      </c>
      <c r="E37" s="418">
        <f>IF((GETPIVOTDATA("Total-Old",'Distrib pivot table'!$C$2,"state","AL","group","2d1")/GETPIVOTDATA("Total-Old",'Distrib pivot table'!$C$2,"state","AL"))=0,,IF(GETPIVOTDATA("Total-Old",'Distrib pivot table'!$C$2,"state","AL","group","2d1")/GETPIVOTDATA("Total-Old",'Distrib pivot table'!$C$2,"state","AL")&gt;0.0005,GETPIVOTDATA("Total-Old",'Distrib pivot table'!$C$2,"state","AL","group","2d1")/GETPIVOTDATA("Total-Old",'Distrib pivot table'!$C$2,"state","AL"),"*"))</f>
        <v>0</v>
      </c>
      <c r="F37" s="418">
        <f>IF((GETPIVOTDATA("Total-Old",'Distrib pivot table'!$C$2,"state","AR","group","2d1")/GETPIVOTDATA("Total-Old",'Distrib pivot table'!$C$2,"state","AR"))=0,,IF(GETPIVOTDATA("Total-Old",'Distrib pivot table'!$C$2,"state","AR","group","2d1")/GETPIVOTDATA("Total-Old",'Distrib pivot table'!$C$2,"state","AR")&gt;0.0005,GETPIVOTDATA("Total-Old",'Distrib pivot table'!$C$2,"state","AR","group","2d1")/GETPIVOTDATA("Total-Old",'Distrib pivot table'!$C$2,"state","AR"),"*"))</f>
        <v>0</v>
      </c>
      <c r="G37" s="418">
        <f>IF((GETPIVOTDATA("Total-Old",'Distrib pivot table'!$C$2,"state","DE","group","2d1")/GETPIVOTDATA("Total-Old",'Distrib pivot table'!$C$2,"state","DE"))=0,,IF(GETPIVOTDATA("Total-Old",'Distrib pivot table'!$C$2,"state","DE","group","2d1")/GETPIVOTDATA("Total-Old",'Distrib pivot table'!$C$2,"state","DE")&gt;0.0005,GETPIVOTDATA("Total-Old",'Distrib pivot table'!$C$2,"state","DE","group","2d1")/GETPIVOTDATA("Total-Old",'Distrib pivot table'!$C$2,"state","DE"),"*"))</f>
        <v>1.8228366163346558E-3</v>
      </c>
      <c r="H37" s="418">
        <f>IF((GETPIVOTDATA("Total-Old",'Distrib pivot table'!$C$2,"state","FL","group","2d1")/GETPIVOTDATA("Total-Old",'Distrib pivot table'!$C$2,"state","FL"))=0,,IF(GETPIVOTDATA("Total-Old",'Distrib pivot table'!$C$2,"state","FL","group","2d1")/GETPIVOTDATA("Total-Old",'Distrib pivot table'!$C$2,"state","FL")&gt;0.0005,GETPIVOTDATA("Total-Old",'Distrib pivot table'!$C$2,"state","FL","group","2d1")/GETPIVOTDATA("Total-Old",'Distrib pivot table'!$C$2,"state","FL"),"*"))</f>
        <v>0</v>
      </c>
      <c r="I37" s="418">
        <f>IF((GETPIVOTDATA("Total-Old",'Distrib pivot table'!$C$2,"state","GA","group","2d1")/GETPIVOTDATA("Total-Old",'Distrib pivot table'!$C$2,"state","GA"))=0,,IF(GETPIVOTDATA("Total-Old",'Distrib pivot table'!$C$2,"state","GA","group","2d1")/GETPIVOTDATA("Total-Old",'Distrib pivot table'!$C$2,"state","GA")&gt;0.0005,GETPIVOTDATA("Total-Old",'Distrib pivot table'!$C$2,"state","GA","group","2d1")/GETPIVOTDATA("Total-Old",'Distrib pivot table'!$C$2,"state","GA"),"*"))</f>
        <v>0</v>
      </c>
      <c r="J37" s="418">
        <f>IF((GETPIVOTDATA("Total-Old",'Distrib pivot table'!$C$2,"state","KY","group","2d1")/GETPIVOTDATA("Total-Old",'Distrib pivot table'!$C$2,"state","KY"))=0,,IF(GETPIVOTDATA("Total-Old",'Distrib pivot table'!$C$2,"state","KY","group","2d1")/GETPIVOTDATA("Total-Old",'Distrib pivot table'!$C$2,"state","KY")&gt;0.0005,GETPIVOTDATA("Total-Old",'Distrib pivot table'!$C$2,"state","KY","group","2d1")/GETPIVOTDATA("Total-Old",'Distrib pivot table'!$C$2,"state","KY"),"*"))</f>
        <v>0</v>
      </c>
      <c r="K37" s="418">
        <f>IF((GETPIVOTDATA("Total-Old",'Distrib pivot table'!$C$2,"state","LA","group","2d1")/GETPIVOTDATA("Total-Old",'Distrib pivot table'!$C$2,"state","LA"))=0,,IF(GETPIVOTDATA("Total-Old",'Distrib pivot table'!$C$2,"state","LA","group","2d1")/GETPIVOTDATA("Total-Old",'Distrib pivot table'!$C$2,"state","LA")&gt;0.0005,GETPIVOTDATA("Total-Old",'Distrib pivot table'!$C$2,"state","LA","group","2d1")/GETPIVOTDATA("Total-Old",'Distrib pivot table'!$C$2,"state","LA"),"*"))</f>
        <v>0</v>
      </c>
      <c r="L37" s="418">
        <f>IF((GETPIVOTDATA("Total-Old",'Distrib pivot table'!$C$2,"state","MD","group","2d1")/GETPIVOTDATA("Total-Old",'Distrib pivot table'!$C$2,"state","MD"))=0,,IF(GETPIVOTDATA("Total-Old",'Distrib pivot table'!$C$2,"state","MD","group","2d1")/GETPIVOTDATA("Total-Old",'Distrib pivot table'!$C$2,"state","MD")&gt;0.0005,GETPIVOTDATA("Total-Old",'Distrib pivot table'!$C$2,"state","MD","group","2d1")/GETPIVOTDATA("Total-Old",'Distrib pivot table'!$C$2,"state","MD"),"*"))</f>
        <v>0</v>
      </c>
      <c r="M37" s="418">
        <f>IF((GETPIVOTDATA("Total-Old",'Distrib pivot table'!$C$2,"state","MS","group","2d1")/GETPIVOTDATA("Total-Old",'Distrib pivot table'!$C$2,"state","MS"))=0,,IF(GETPIVOTDATA("Total-Old",'Distrib pivot table'!$C$2,"state","MS","group","2d1")/GETPIVOTDATA("Total-Old",'Distrib pivot table'!$C$2,"state","MS")&gt;0.0005,GETPIVOTDATA("Total-Old",'Distrib pivot table'!$C$2,"state","MS","group","2d1")/GETPIVOTDATA("Total-Old",'Distrib pivot table'!$C$2,"state","MS"),"*"))</f>
        <v>0</v>
      </c>
      <c r="N37" s="418">
        <f>IF((GETPIVOTDATA("Total-Old",'Distrib pivot table'!$C$2,"state","NC","group","2d1")/GETPIVOTDATA("Total-Old",'Distrib pivot table'!$C$2,"state","NC"))=0,,IF(GETPIVOTDATA("Total-Old",'Distrib pivot table'!$C$2,"state","NC","group","2d1")/GETPIVOTDATA("Total-Old",'Distrib pivot table'!$C$2,"state","NC")&gt;0.0005,GETPIVOTDATA("Total-Old",'Distrib pivot table'!$C$2,"state","NC","group","2d1")/GETPIVOTDATA("Total-Old",'Distrib pivot table'!$C$2,"state","NC"),"*"))</f>
        <v>0</v>
      </c>
      <c r="O37" s="418">
        <f>IF((GETPIVOTDATA("Total-Old",'Distrib pivot table'!$C$2,"state","OK","group","2d1")/GETPIVOTDATA("Total-Old",'Distrib pivot table'!$C$2,"state","OK"))=0,,IF(GETPIVOTDATA("Total-Old",'Distrib pivot table'!$C$2,"state","OK","group","2d1")/GETPIVOTDATA("Total-Old",'Distrib pivot table'!$C$2,"state","OK")&gt;0.0005,GETPIVOTDATA("Total-Old",'Distrib pivot table'!$C$2,"state","OK","group","2d1")/GETPIVOTDATA("Total-Old",'Distrib pivot table'!$C$2,"state","OK"),"*"))</f>
        <v>3.8298100814184999E-2</v>
      </c>
      <c r="P37" s="418">
        <f>IF((GETPIVOTDATA("Total-Old",'Distrib pivot table'!$C$2,"state","SC","group","2d1")/GETPIVOTDATA("Total-Old",'Distrib pivot table'!$C$2,"state","SC"))=0,,IF(GETPIVOTDATA("Total-Old",'Distrib pivot table'!$C$2,"state","SC","group","2d1")/GETPIVOTDATA("Total-Old",'Distrib pivot table'!$C$2,"state","SC")&gt;0.0005,GETPIVOTDATA("Total-Old",'Distrib pivot table'!$C$2,"state","SC","group","2d1")/GETPIVOTDATA("Total-Old",'Distrib pivot table'!$C$2,"state","SC"),"*"))</f>
        <v>0</v>
      </c>
      <c r="Q37" s="418">
        <f>IF((GETPIVOTDATA("Total-Old",'Distrib pivot table'!$C$2,"state","TN","group","2d1")/GETPIVOTDATA("Total-Old",'Distrib pivot table'!$C$2,"state","TN"))=0,,IF(GETPIVOTDATA("Total-Old",'Distrib pivot table'!$C$2,"state","TN","group","2d1")/GETPIVOTDATA("Total-Old",'Distrib pivot table'!$C$2,"state","TN")&gt;0.0005,GETPIVOTDATA("Total-Old",'Distrib pivot table'!$C$2,"state","TN","group","2d1")/GETPIVOTDATA("Total-Old",'Distrib pivot table'!$C$2,"state","TN"),"*"))</f>
        <v>0</v>
      </c>
      <c r="R37" s="418">
        <f>IF((GETPIVOTDATA("Total-Old",'Distrib pivot table'!$C$2,"state","TX","group","2d1")/GETPIVOTDATA("Total-Old",'Distrib pivot table'!$C$2,"state","TX"))=0,,IF(GETPIVOTDATA("Total-Old",'Distrib pivot table'!$C$2,"state","TX","group","2d1")/GETPIVOTDATA("Total-Old",'Distrib pivot table'!$C$2,"state","TX")&gt;0.0005,GETPIVOTDATA("Total-Old",'Distrib pivot table'!$C$2,"state","TX","group","2d1")/GETPIVOTDATA("Total-Old",'Distrib pivot table'!$C$2,"state","TX"),"*"))</f>
        <v>4.2566423232101649E-2</v>
      </c>
      <c r="S37" s="418">
        <f>IF((GETPIVOTDATA("Total-Old",'Distrib pivot table'!$C$2,"state","VA","group","2d1")/GETPIVOTDATA("Total-Old",'Distrib pivot table'!$C$2,"state","VA"))=0,,IF(GETPIVOTDATA("Total-Old",'Distrib pivot table'!$C$2,"state","VA","group","2d1")/GETPIVOTDATA("Total-Old",'Distrib pivot table'!$C$2,"state","VA")&gt;0.0005,GETPIVOTDATA("Total-Old",'Distrib pivot table'!$C$2,"state","VA","group","2d1")/GETPIVOTDATA("Total-Old",'Distrib pivot table'!$C$2,"state","VA"),"*"))</f>
        <v>0</v>
      </c>
      <c r="T37" s="418">
        <f>IF((GETPIVOTDATA("Total-Old",'Distrib pivot table'!$C$2,"state","WV","group","2d1")/GETPIVOTDATA("Total-Old",'Distrib pivot table'!$C$2,"state","WV"))=0,,IF(GETPIVOTDATA("Total-Old",'Distrib pivot table'!$C$2,"state","WV","group","2d1")/GETPIVOTDATA("Total-Old",'Distrib pivot table'!$C$2,"state","WV")&gt;0.0005,GETPIVOTDATA("Total-Old",'Distrib pivot table'!$C$2,"state","WV","group","2d1")/GETPIVOTDATA("Total-Old",'Distrib pivot table'!$C$2,"state","WV"),"*"))</f>
        <v>0</v>
      </c>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2.6" customHeight="1">
      <c r="A38" s="1488"/>
      <c r="B38" s="127" t="s">
        <v>311</v>
      </c>
      <c r="C38" s="374" t="s">
        <v>310</v>
      </c>
      <c r="D38" s="418" t="str">
        <f>IF(GETPIVOTDATA("Total-Old",'Distrib pivot table'!$C$2,"group","2d1a")/GETPIVOTDATA("Total-Old",'Distrib pivot table'!$C$2)=0,,IF(GETPIVOTDATA("Total-Old",'Distrib pivot table'!$C$2,"group","2d1a")/GETPIVOTDATA("Total-Old",'Distrib pivot table'!$C$2)&gt;0.0005,GETPIVOTDATA("Total-Old",'Distrib pivot table'!$C$2,"group","2d1a")/GETPIVOTDATA("Total-Old",'Distrib pivot table'!$C$2),"*"))</f>
        <v>*</v>
      </c>
      <c r="E38" s="418" t="str">
        <f>IF((GETPIVOTDATA("Total-Old",'Distrib pivot table'!$C$2,"state","AL","group","2d1a")/GETPIVOTDATA("Total-Old",'Distrib pivot table'!$C$2,"state","AL"))=0,,IF(GETPIVOTDATA("Total-Old",'Distrib pivot table'!$C$2,"state","AL","group","2d1a")/GETPIVOTDATA("Total-Old",'Distrib pivot table'!$C$2,"state","AL")&gt;0.0005,GETPIVOTDATA("Total-Old",'Distrib pivot table'!$C$2,"state","AL","group","2d1a")/GETPIVOTDATA("Total-Old",'Distrib pivot table'!$C$2,"state","AL"),"*"))</f>
        <v>*</v>
      </c>
      <c r="F38" s="418">
        <f>IF((GETPIVOTDATA("Total-Old",'Distrib pivot table'!$C$2,"state","AR","group","2d1a")/GETPIVOTDATA("Total-Old",'Distrib pivot table'!$C$2,"state","AR"))=0,,IF(GETPIVOTDATA("Total-Old",'Distrib pivot table'!$C$2,"state","AR","group","2d1a")/GETPIVOTDATA("Total-Old",'Distrib pivot table'!$C$2,"state","AR")&gt;0.0005,GETPIVOTDATA("Total-Old",'Distrib pivot table'!$C$2,"state","AR","group","2d1a")/GETPIVOTDATA("Total-Old",'Distrib pivot table'!$C$2,"state","AR"),"*"))</f>
        <v>0</v>
      </c>
      <c r="G38" s="418" t="str">
        <f>IF((GETPIVOTDATA("Total-Old",'Distrib pivot table'!$C$2,"state","DE","group","2d1a")/GETPIVOTDATA("Total-Old",'Distrib pivot table'!$C$2,"state","DE"))=0,,IF(GETPIVOTDATA("Total-Old",'Distrib pivot table'!$C$2,"state","DE","group","2d1a")/GETPIVOTDATA("Total-Old",'Distrib pivot table'!$C$2,"state","DE")&gt;0.0005,GETPIVOTDATA("Total-Old",'Distrib pivot table'!$C$2,"state","DE","group","2d1a")/GETPIVOTDATA("Total-Old",'Distrib pivot table'!$C$2,"state","DE"),"*"))</f>
        <v>*</v>
      </c>
      <c r="H38" s="418">
        <f>IF((GETPIVOTDATA("Total-Old",'Distrib pivot table'!$C$2,"state","FL","group","2d1a")/GETPIVOTDATA("Total-Old",'Distrib pivot table'!$C$2,"state","FL"))=0,,IF(GETPIVOTDATA("Total-Old",'Distrib pivot table'!$C$2,"state","FL","group","2d1a")/GETPIVOTDATA("Total-Old",'Distrib pivot table'!$C$2,"state","FL")&gt;0.0005,GETPIVOTDATA("Total-Old",'Distrib pivot table'!$C$2,"state","FL","group","2d1a")/GETPIVOTDATA("Total-Old",'Distrib pivot table'!$C$2,"state","FL"),"*"))</f>
        <v>1.2977003701598454E-3</v>
      </c>
      <c r="I38" s="418">
        <f>IF((GETPIVOTDATA("Total-Old",'Distrib pivot table'!$C$2,"state","GA","group","2d1a")/GETPIVOTDATA("Total-Old",'Distrib pivot table'!$C$2,"state","GA"))=0,,IF(GETPIVOTDATA("Total-Old",'Distrib pivot table'!$C$2,"state","GA","group","2d1a")/GETPIVOTDATA("Total-Old",'Distrib pivot table'!$C$2,"state","GA")&gt;0.0005,GETPIVOTDATA("Total-Old",'Distrib pivot table'!$C$2,"state","GA","group","2d1a")/GETPIVOTDATA("Total-Old",'Distrib pivot table'!$C$2,"state","GA"),"*"))</f>
        <v>0</v>
      </c>
      <c r="J38" s="418">
        <f>IF((GETPIVOTDATA("Total-Old",'Distrib pivot table'!$C$2,"state","KY","group","2d1a")/GETPIVOTDATA("Total-Old",'Distrib pivot table'!$C$2,"state","KY"))=0,,IF(GETPIVOTDATA("Total-Old",'Distrib pivot table'!$C$2,"state","KY","group","2d1a")/GETPIVOTDATA("Total-Old",'Distrib pivot table'!$C$2,"state","KY")&gt;0.0005,GETPIVOTDATA("Total-Old",'Distrib pivot table'!$C$2,"state","KY","group","2d1a")/GETPIVOTDATA("Total-Old",'Distrib pivot table'!$C$2,"state","KY"),"*"))</f>
        <v>0</v>
      </c>
      <c r="K38" s="418">
        <f>IF((GETPIVOTDATA("Total-Old",'Distrib pivot table'!$C$2,"state","LA","group","2d1a")/GETPIVOTDATA("Total-Old",'Distrib pivot table'!$C$2,"state","LA"))=0,,IF(GETPIVOTDATA("Total-Old",'Distrib pivot table'!$C$2,"state","LA","group","2d1a")/GETPIVOTDATA("Total-Old",'Distrib pivot table'!$C$2,"state","LA")&gt;0.0005,GETPIVOTDATA("Total-Old",'Distrib pivot table'!$C$2,"state","LA","group","2d1a")/GETPIVOTDATA("Total-Old",'Distrib pivot table'!$C$2,"state","LA"),"*"))</f>
        <v>0</v>
      </c>
      <c r="L38" s="418">
        <f>IF((GETPIVOTDATA("Total-Old",'Distrib pivot table'!$C$2,"state","MD","group","2d1a")/GETPIVOTDATA("Total-Old",'Distrib pivot table'!$C$2,"state","MD"))=0,,IF(GETPIVOTDATA("Total-Old",'Distrib pivot table'!$C$2,"state","MD","group","2d1a")/GETPIVOTDATA("Total-Old",'Distrib pivot table'!$C$2,"state","MD")&gt;0.0005,GETPIVOTDATA("Total-Old",'Distrib pivot table'!$C$2,"state","MD","group","2d1a")/GETPIVOTDATA("Total-Old",'Distrib pivot table'!$C$2,"state","MD"),"*"))</f>
        <v>0</v>
      </c>
      <c r="M38" s="418">
        <f>IF((GETPIVOTDATA("Total-Old",'Distrib pivot table'!$C$2,"state","MS","group","2d1a")/GETPIVOTDATA("Total-Old",'Distrib pivot table'!$C$2,"state","MS"))=0,,IF(GETPIVOTDATA("Total-Old",'Distrib pivot table'!$C$2,"state","MS","group","2d1a")/GETPIVOTDATA("Total-Old",'Distrib pivot table'!$C$2,"state","MS")&gt;0.0005,GETPIVOTDATA("Total-Old",'Distrib pivot table'!$C$2,"state","MS","group","2d1a")/GETPIVOTDATA("Total-Old",'Distrib pivot table'!$C$2,"state","MS"),"*"))</f>
        <v>0</v>
      </c>
      <c r="N38" s="418">
        <f>IF((GETPIVOTDATA("Total-Old",'Distrib pivot table'!$C$2,"state","NC","group","2d1a")/GETPIVOTDATA("Total-Old",'Distrib pivot table'!$C$2,"state","NC"))=0,,IF(GETPIVOTDATA("Total-Old",'Distrib pivot table'!$C$2,"state","NC","group","2d1a")/GETPIVOTDATA("Total-Old",'Distrib pivot table'!$C$2,"state","NC")&gt;0.0005,GETPIVOTDATA("Total-Old",'Distrib pivot table'!$C$2,"state","NC","group","2d1a")/GETPIVOTDATA("Total-Old",'Distrib pivot table'!$C$2,"state","NC"),"*"))</f>
        <v>0</v>
      </c>
      <c r="O38" s="418">
        <f>IF((GETPIVOTDATA("Total-Old",'Distrib pivot table'!$C$2,"state","OK","group","2d1a")/GETPIVOTDATA("Total-Old",'Distrib pivot table'!$C$2,"state","OK"))=0,,IF(GETPIVOTDATA("Total-Old",'Distrib pivot table'!$C$2,"state","OK","group","2d1a")/GETPIVOTDATA("Total-Old",'Distrib pivot table'!$C$2,"state","OK")&gt;0.0005,GETPIVOTDATA("Total-Old",'Distrib pivot table'!$C$2,"state","OK","group","2d1a")/GETPIVOTDATA("Total-Old",'Distrib pivot table'!$C$2,"state","OK"),"*"))</f>
        <v>0</v>
      </c>
      <c r="P38" s="418">
        <f>IF((GETPIVOTDATA("Total-Old",'Distrib pivot table'!$C$2,"state","SC","group","2d1a")/GETPIVOTDATA("Total-Old",'Distrib pivot table'!$C$2,"state","SC"))=0,,IF(GETPIVOTDATA("Total-Old",'Distrib pivot table'!$C$2,"state","SC","group","2d1a")/GETPIVOTDATA("Total-Old",'Distrib pivot table'!$C$2,"state","SC")&gt;0.0005,GETPIVOTDATA("Total-Old",'Distrib pivot table'!$C$2,"state","SC","group","2d1a")/GETPIVOTDATA("Total-Old",'Distrib pivot table'!$C$2,"state","SC"),"*"))</f>
        <v>0</v>
      </c>
      <c r="Q38" s="418">
        <f>IF((GETPIVOTDATA("Total-Old",'Distrib pivot table'!$C$2,"state","TN","group","2d1a")/GETPIVOTDATA("Total-Old",'Distrib pivot table'!$C$2,"state","TN"))=0,,IF(GETPIVOTDATA("Total-Old",'Distrib pivot table'!$C$2,"state","TN","group","2d1a")/GETPIVOTDATA("Total-Old",'Distrib pivot table'!$C$2,"state","TN")&gt;0.0005,GETPIVOTDATA("Total-Old",'Distrib pivot table'!$C$2,"state","TN","group","2d1a")/GETPIVOTDATA("Total-Old",'Distrib pivot table'!$C$2,"state","TN"),"*"))</f>
        <v>0</v>
      </c>
      <c r="R38" s="418">
        <f>IF((GETPIVOTDATA("Total-Old",'Distrib pivot table'!$C$2,"state","TX","group","2d1a")/GETPIVOTDATA("Total-Old",'Distrib pivot table'!$C$2,"state","TX"))=0,,IF(GETPIVOTDATA("Total-Old",'Distrib pivot table'!$C$2,"state","TX","group","2d1a")/GETPIVOTDATA("Total-Old",'Distrib pivot table'!$C$2,"state","TX")&gt;0.0005,GETPIVOTDATA("Total-Old",'Distrib pivot table'!$C$2,"state","TX","group","2d1a")/GETPIVOTDATA("Total-Old",'Distrib pivot table'!$C$2,"state","TX"),"*"))</f>
        <v>0</v>
      </c>
      <c r="S38" s="418">
        <f>IF((GETPIVOTDATA("Total-Old",'Distrib pivot table'!$C$2,"state","VA","group","2d1a")/GETPIVOTDATA("Total-Old",'Distrib pivot table'!$C$2,"state","VA"))=0,,IF(GETPIVOTDATA("Total-Old",'Distrib pivot table'!$C$2,"state","VA","group","2d1a")/GETPIVOTDATA("Total-Old",'Distrib pivot table'!$C$2,"state","VA")&gt;0.0005,GETPIVOTDATA("Total-Old",'Distrib pivot table'!$C$2,"state","VA","group","2d1a")/GETPIVOTDATA("Total-Old",'Distrib pivot table'!$C$2,"state","VA"),"*"))</f>
        <v>0</v>
      </c>
      <c r="T38" s="418">
        <f>IF((GETPIVOTDATA("Total-Old",'Distrib pivot table'!$C$2,"state","WV","group","2d1a")/GETPIVOTDATA("Total-Old",'Distrib pivot table'!$C$2,"state","WV"))=0,,IF(GETPIVOTDATA("Total-Old",'Distrib pivot table'!$C$2,"state","WV","group","2d1a")/GETPIVOTDATA("Total-Old",'Distrib pivot table'!$C$2,"state","WV")&gt;0.0005,GETPIVOTDATA("Total-Old",'Distrib pivot table'!$C$2,"state","WV","group","2d1a")/GETPIVOTDATA("Total-Old",'Distrib pivot table'!$C$2,"state","WV"),"*"))</f>
        <v>0</v>
      </c>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2.6" customHeight="1">
      <c r="A39" s="1488"/>
      <c r="B39" s="127" t="s">
        <v>249</v>
      </c>
      <c r="C39" s="374" t="s">
        <v>251</v>
      </c>
      <c r="D39" s="418">
        <f>IF(GETPIVOTDATA("Total-Old",'Distrib pivot table'!$C$2,"group","2d1b")/GETPIVOTDATA("Total-Old",'Distrib pivot table'!$C$2)=0,,IF(GETPIVOTDATA("Total-Old",'Distrib pivot table'!$C$2,"group","2d1b")/GETPIVOTDATA("Total-Old",'Distrib pivot table'!$C$2)&gt;0.0005,GETPIVOTDATA("Total-Old",'Distrib pivot table'!$C$2,"group","2d1b")/GETPIVOTDATA("Total-Old",'Distrib pivot table'!$C$2),"*"))</f>
        <v>6.046051131663838E-3</v>
      </c>
      <c r="E39" s="418" t="str">
        <f>IF((GETPIVOTDATA("Total-Old",'Distrib pivot table'!$C$2,"state","AL","group","2d1b")/GETPIVOTDATA("Total-Old",'Distrib pivot table'!$C$2,"state","AL"))=0,,IF(GETPIVOTDATA("Total-Old",'Distrib pivot table'!$C$2,"state","AL","group","2d1b")/GETPIVOTDATA("Total-Old",'Distrib pivot table'!$C$2,"state","AL")&gt;0.0005,GETPIVOTDATA("Total-Old",'Distrib pivot table'!$C$2,"state","AL","group","2d1b")/GETPIVOTDATA("Total-Old",'Distrib pivot table'!$C$2,"state","AL"),"*"))</f>
        <v>*</v>
      </c>
      <c r="F39" s="418" t="str">
        <f>IF((GETPIVOTDATA("Total-Old",'Distrib pivot table'!$C$2,"state","AR","group","2d1b")/GETPIVOTDATA("Total-Old",'Distrib pivot table'!$C$2,"state","AR"))=0,,IF(GETPIVOTDATA("Total-Old",'Distrib pivot table'!$C$2,"state","AR","group","2d1b")/GETPIVOTDATA("Total-Old",'Distrib pivot table'!$C$2,"state","AR")&gt;0.0005,GETPIVOTDATA("Total-Old",'Distrib pivot table'!$C$2,"state","AR","group","2d1b")/GETPIVOTDATA("Total-Old",'Distrib pivot table'!$C$2,"state","AR"),"*"))</f>
        <v>*</v>
      </c>
      <c r="G39" s="418">
        <f>IF((GETPIVOTDATA("Total-Old",'Distrib pivot table'!$C$2,"state","DE","group","2d1b")/GETPIVOTDATA("Total-Old",'Distrib pivot table'!$C$2,"state","DE"))=0,,IF(GETPIVOTDATA("Total-Old",'Distrib pivot table'!$C$2,"state","DE","group","2d1b")/GETPIVOTDATA("Total-Old",'Distrib pivot table'!$C$2,"state","DE")&gt;0.0005,GETPIVOTDATA("Total-Old",'Distrib pivot table'!$C$2,"state","DE","group","2d1b")/GETPIVOTDATA("Total-Old",'Distrib pivot table'!$C$2,"state","DE"),"*"))</f>
        <v>1.6694140003335864E-3</v>
      </c>
      <c r="H39" s="418">
        <f>IF((GETPIVOTDATA("Total-Old",'Distrib pivot table'!$C$2,"state","FL","group","2d1b")/GETPIVOTDATA("Total-Old",'Distrib pivot table'!$C$2,"state","FL"))=0,,IF(GETPIVOTDATA("Total-Old",'Distrib pivot table'!$C$2,"state","FL","group","2d1b")/GETPIVOTDATA("Total-Old",'Distrib pivot table'!$C$2,"state","FL")&gt;0.0005,GETPIVOTDATA("Total-Old",'Distrib pivot table'!$C$2,"state","FL","group","2d1b")/GETPIVOTDATA("Total-Old",'Distrib pivot table'!$C$2,"state","FL"),"*"))</f>
        <v>4.7017183695933967E-2</v>
      </c>
      <c r="I39" s="418">
        <f>IF((GETPIVOTDATA("Total-Old",'Distrib pivot table'!$C$2,"state","GA","group","2d1b")/GETPIVOTDATA("Total-Old",'Distrib pivot table'!$C$2,"state","GA"))=0,,IF(GETPIVOTDATA("Total-Old",'Distrib pivot table'!$C$2,"state","GA","group","2d1b")/GETPIVOTDATA("Total-Old",'Distrib pivot table'!$C$2,"state","GA")&gt;0.0005,GETPIVOTDATA("Total-Old",'Distrib pivot table'!$C$2,"state","GA","group","2d1b")/GETPIVOTDATA("Total-Old",'Distrib pivot table'!$C$2,"state","GA"),"*"))</f>
        <v>0</v>
      </c>
      <c r="J39" s="418">
        <f>IF((GETPIVOTDATA("Total-Old",'Distrib pivot table'!$C$2,"state","KY","group","2d1b")/GETPIVOTDATA("Total-Old",'Distrib pivot table'!$C$2,"state","KY"))=0,,IF(GETPIVOTDATA("Total-Old",'Distrib pivot table'!$C$2,"state","KY","group","2d1b")/GETPIVOTDATA("Total-Old",'Distrib pivot table'!$C$2,"state","KY")&gt;0.0005,GETPIVOTDATA("Total-Old",'Distrib pivot table'!$C$2,"state","KY","group","2d1b")/GETPIVOTDATA("Total-Old",'Distrib pivot table'!$C$2,"state","KY"),"*"))</f>
        <v>0</v>
      </c>
      <c r="K39" s="418">
        <f>IF((GETPIVOTDATA("Total-Old",'Distrib pivot table'!$C$2,"state","LA","group","2d1b")/GETPIVOTDATA("Total-Old",'Distrib pivot table'!$C$2,"state","LA"))=0,,IF(GETPIVOTDATA("Total-Old",'Distrib pivot table'!$C$2,"state","LA","group","2d1b")/GETPIVOTDATA("Total-Old",'Distrib pivot table'!$C$2,"state","LA")&gt;0.0005,GETPIVOTDATA("Total-Old",'Distrib pivot table'!$C$2,"state","LA","group","2d1b")/GETPIVOTDATA("Total-Old",'Distrib pivot table'!$C$2,"state","LA"),"*"))</f>
        <v>0</v>
      </c>
      <c r="L39" s="418">
        <f>IF((GETPIVOTDATA("Total-Old",'Distrib pivot table'!$C$2,"state","MD","group","2d1b")/GETPIVOTDATA("Total-Old",'Distrib pivot table'!$C$2,"state","MD"))=0,,IF(GETPIVOTDATA("Total-Old",'Distrib pivot table'!$C$2,"state","MD","group","2d1b")/GETPIVOTDATA("Total-Old",'Distrib pivot table'!$C$2,"state","MD")&gt;0.0005,GETPIVOTDATA("Total-Old",'Distrib pivot table'!$C$2,"state","MD","group","2d1b")/GETPIVOTDATA("Total-Old",'Distrib pivot table'!$C$2,"state","MD"),"*"))</f>
        <v>0</v>
      </c>
      <c r="M39" s="418" t="str">
        <f>IF((GETPIVOTDATA("Total-Old",'Distrib pivot table'!$C$2,"state","MS","group","2d1b")/GETPIVOTDATA("Total-Old",'Distrib pivot table'!$C$2,"state","MS"))=0,,IF(GETPIVOTDATA("Total-Old",'Distrib pivot table'!$C$2,"state","MS","group","2d1b")/GETPIVOTDATA("Total-Old",'Distrib pivot table'!$C$2,"state","MS")&gt;0.0005,GETPIVOTDATA("Total-Old",'Distrib pivot table'!$C$2,"state","MS","group","2d1b")/GETPIVOTDATA("Total-Old",'Distrib pivot table'!$C$2,"state","MS"),"*"))</f>
        <v>*</v>
      </c>
      <c r="N39" s="418">
        <f>IF((GETPIVOTDATA("Total-Old",'Distrib pivot table'!$C$2,"state","NC","group","2d1b")/GETPIVOTDATA("Total-Old",'Distrib pivot table'!$C$2,"state","NC"))=0,,IF(GETPIVOTDATA("Total-Old",'Distrib pivot table'!$C$2,"state","NC","group","2d1b")/GETPIVOTDATA("Total-Old",'Distrib pivot table'!$C$2,"state","NC")&gt;0.0005,GETPIVOTDATA("Total-Old",'Distrib pivot table'!$C$2,"state","NC","group","2d1b")/GETPIVOTDATA("Total-Old",'Distrib pivot table'!$C$2,"state","NC"),"*"))</f>
        <v>3.9368940105159117E-3</v>
      </c>
      <c r="O39" s="418">
        <f>IF((GETPIVOTDATA("Total-Old",'Distrib pivot table'!$C$2,"state","OK","group","2d1b")/GETPIVOTDATA("Total-Old",'Distrib pivot table'!$C$2,"state","OK"))=0,,IF(GETPIVOTDATA("Total-Old",'Distrib pivot table'!$C$2,"state","OK","group","2d1b")/GETPIVOTDATA("Total-Old",'Distrib pivot table'!$C$2,"state","OK")&gt;0.0005,GETPIVOTDATA("Total-Old",'Distrib pivot table'!$C$2,"state","OK","group","2d1b")/GETPIVOTDATA("Total-Old",'Distrib pivot table'!$C$2,"state","OK"),"*"))</f>
        <v>0</v>
      </c>
      <c r="P39" s="418">
        <f>IF((GETPIVOTDATA("Total-Old",'Distrib pivot table'!$C$2,"state","SC","group","2d1b")/GETPIVOTDATA("Total-Old",'Distrib pivot table'!$C$2,"state","SC"))=0,,IF(GETPIVOTDATA("Total-Old",'Distrib pivot table'!$C$2,"state","SC","group","2d1b")/GETPIVOTDATA("Total-Old",'Distrib pivot table'!$C$2,"state","SC")&gt;0.0005,GETPIVOTDATA("Total-Old",'Distrib pivot table'!$C$2,"state","SC","group","2d1b")/GETPIVOTDATA("Total-Old",'Distrib pivot table'!$C$2,"state","SC"),"*"))</f>
        <v>1.6540253542311287E-3</v>
      </c>
      <c r="Q39" s="418">
        <f>IF((GETPIVOTDATA("Total-Old",'Distrib pivot table'!$C$2,"state","TN","group","2d1b")/GETPIVOTDATA("Total-Old",'Distrib pivot table'!$C$2,"state","TN"))=0,,IF(GETPIVOTDATA("Total-Old",'Distrib pivot table'!$C$2,"state","TN","group","2d1b")/GETPIVOTDATA("Total-Old",'Distrib pivot table'!$C$2,"state","TN")&gt;0.0005,GETPIVOTDATA("Total-Old",'Distrib pivot table'!$C$2,"state","TN","group","2d1b")/GETPIVOTDATA("Total-Old",'Distrib pivot table'!$C$2,"state","TN"),"*"))</f>
        <v>0</v>
      </c>
      <c r="R39" s="418">
        <f>IF((GETPIVOTDATA("Total-Old",'Distrib pivot table'!$C$2,"state","TX","group","2d1b")/GETPIVOTDATA("Total-Old",'Distrib pivot table'!$C$2,"state","TX"))=0,,IF(GETPIVOTDATA("Total-Old",'Distrib pivot table'!$C$2,"state","TX","group","2d1b")/GETPIVOTDATA("Total-Old",'Distrib pivot table'!$C$2,"state","TX")&gt;0.0005,GETPIVOTDATA("Total-Old",'Distrib pivot table'!$C$2,"state","TX","group","2d1b")/GETPIVOTDATA("Total-Old",'Distrib pivot table'!$C$2,"state","TX"),"*"))</f>
        <v>1.6493177160866984E-3</v>
      </c>
      <c r="S39" s="418">
        <f>IF((GETPIVOTDATA("Total-Old",'Distrib pivot table'!$C$2,"state","VA","group","2d1b")/GETPIVOTDATA("Total-Old",'Distrib pivot table'!$C$2,"state","VA"))=0,,IF(GETPIVOTDATA("Total-Old",'Distrib pivot table'!$C$2,"state","VA","group","2d1b")/GETPIVOTDATA("Total-Old",'Distrib pivot table'!$C$2,"state","VA")&gt;0.0005,GETPIVOTDATA("Total-Old",'Distrib pivot table'!$C$2,"state","VA","group","2d1b")/GETPIVOTDATA("Total-Old",'Distrib pivot table'!$C$2,"state","VA"),"*"))</f>
        <v>0</v>
      </c>
      <c r="T39" s="418">
        <f>IF((GETPIVOTDATA("Total-Old",'Distrib pivot table'!$C$2,"state","WV","group","2d1b")/GETPIVOTDATA("Total-Old",'Distrib pivot table'!$C$2,"state","WV"))=0,,IF(GETPIVOTDATA("Total-Old",'Distrib pivot table'!$C$2,"state","WV","group","2d1b")/GETPIVOTDATA("Total-Old",'Distrib pivot table'!$C$2,"state","WV")&gt;0.0005,GETPIVOTDATA("Total-Old",'Distrib pivot table'!$C$2,"state","WV","group","2d1b")/GETPIVOTDATA("Total-Old",'Distrib pivot table'!$C$2,"state","WV"),"*"))</f>
        <v>0</v>
      </c>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2.6" customHeight="1">
      <c r="A40" s="1488"/>
      <c r="B40" s="127" t="s">
        <v>250</v>
      </c>
      <c r="C40" s="374" t="s">
        <v>209</v>
      </c>
      <c r="D40" s="418" t="str">
        <f>IF(GETPIVOTDATA("Total-Old",'Distrib pivot table'!$C$2,"group","2d1c")/GETPIVOTDATA("Total-Old",'Distrib pivot table'!$C$2)=0,,IF(GETPIVOTDATA("Total-Old",'Distrib pivot table'!$C$2,"group","2d1c")/GETPIVOTDATA("Total-Old",'Distrib pivot table'!$C$2)&gt;0.0005,GETPIVOTDATA("Total-Old",'Distrib pivot table'!$C$2,"group","2d1c")/GETPIVOTDATA("Total-Old",'Distrib pivot table'!$C$2),"*"))</f>
        <v>*</v>
      </c>
      <c r="E40" s="418">
        <f>IF((GETPIVOTDATA("Total-Old",'Distrib pivot table'!$C$2,"state","AL","group","2d1c")/GETPIVOTDATA("Total-Old",'Distrib pivot table'!$C$2,"state","AL"))=0,,IF(GETPIVOTDATA("Total-Old",'Distrib pivot table'!$C$2,"state","AL","group","2d1c")/GETPIVOTDATA("Total-Old",'Distrib pivot table'!$C$2,"state","AL")&gt;0.0005,GETPIVOTDATA("Total-Old",'Distrib pivot table'!$C$2,"state","AL","group","2d1c")/GETPIVOTDATA("Total-Old",'Distrib pivot table'!$C$2,"state","AL"),"*"))</f>
        <v>0</v>
      </c>
      <c r="F40" s="418">
        <f>IF((GETPIVOTDATA("Total-Old",'Distrib pivot table'!$C$2,"state","AR","group","2d1c")/GETPIVOTDATA("Total-Old",'Distrib pivot table'!$C$2,"state","AR"))=0,,IF(GETPIVOTDATA("Total-Old",'Distrib pivot table'!$C$2,"state","AR","group","2d1c")/GETPIVOTDATA("Total-Old",'Distrib pivot table'!$C$2,"state","AR")&gt;0.0005,GETPIVOTDATA("Total-Old",'Distrib pivot table'!$C$2,"state","AR","group","2d1c")/GETPIVOTDATA("Total-Old",'Distrib pivot table'!$C$2,"state","AR"),"*"))</f>
        <v>5.9496170662206498E-4</v>
      </c>
      <c r="G40" s="418">
        <f>IF((GETPIVOTDATA("Total-Old",'Distrib pivot table'!$C$2,"state","DE","group","2d1c")/GETPIVOTDATA("Total-Old",'Distrib pivot table'!$C$2,"state","DE"))=0,,IF(GETPIVOTDATA("Total-Old",'Distrib pivot table'!$C$2,"state","DE","group","2d1c")/GETPIVOTDATA("Total-Old",'Distrib pivot table'!$C$2,"state","DE")&gt;0.0005,GETPIVOTDATA("Total-Old",'Distrib pivot table'!$C$2,"state","DE","group","2d1c")/GETPIVOTDATA("Total-Old",'Distrib pivot table'!$C$2,"state","DE"),"*"))</f>
        <v>0</v>
      </c>
      <c r="H40" s="418">
        <f>IF((GETPIVOTDATA("Total-Old",'Distrib pivot table'!$C$2,"state","FL","group","2d1c")/GETPIVOTDATA("Total-Old",'Distrib pivot table'!$C$2,"state","FL"))=0,,IF(GETPIVOTDATA("Total-Old",'Distrib pivot table'!$C$2,"state","FL","group","2d1c")/GETPIVOTDATA("Total-Old",'Distrib pivot table'!$C$2,"state","FL")&gt;0.0005,GETPIVOTDATA("Total-Old",'Distrib pivot table'!$C$2,"state","FL","group","2d1c")/GETPIVOTDATA("Total-Old",'Distrib pivot table'!$C$2,"state","FL"),"*"))</f>
        <v>0</v>
      </c>
      <c r="I40" s="418">
        <f>IF((GETPIVOTDATA("Total-Old",'Distrib pivot table'!$C$2,"state","GA","group","2d1c")/GETPIVOTDATA("Total-Old",'Distrib pivot table'!$C$2,"state","GA"))=0,,IF(GETPIVOTDATA("Total-Old",'Distrib pivot table'!$C$2,"state","GA","group","2d1c")/GETPIVOTDATA("Total-Old",'Distrib pivot table'!$C$2,"state","GA")&gt;0.0005,GETPIVOTDATA("Total-Old",'Distrib pivot table'!$C$2,"state","GA","group","2d1c")/GETPIVOTDATA("Total-Old",'Distrib pivot table'!$C$2,"state","GA"),"*"))</f>
        <v>0</v>
      </c>
      <c r="J40" s="418">
        <f>IF((GETPIVOTDATA("Total-Old",'Distrib pivot table'!$C$2,"state","KY","group","2d1c")/GETPIVOTDATA("Total-Old",'Distrib pivot table'!$C$2,"state","KY"))=0,,IF(GETPIVOTDATA("Total-Old",'Distrib pivot table'!$C$2,"state","KY","group","2d1c")/GETPIVOTDATA("Total-Old",'Distrib pivot table'!$C$2,"state","KY")&gt;0.0005,GETPIVOTDATA("Total-Old",'Distrib pivot table'!$C$2,"state","KY","group","2d1c")/GETPIVOTDATA("Total-Old",'Distrib pivot table'!$C$2,"state","KY"),"*"))</f>
        <v>0</v>
      </c>
      <c r="K40" s="418">
        <f>IF((GETPIVOTDATA("Total-Old",'Distrib pivot table'!$C$2,"state","LA","group","2d1c")/GETPIVOTDATA("Total-Old",'Distrib pivot table'!$C$2,"state","LA"))=0,,IF(GETPIVOTDATA("Total-Old",'Distrib pivot table'!$C$2,"state","LA","group","2d1c")/GETPIVOTDATA("Total-Old",'Distrib pivot table'!$C$2,"state","LA")&gt;0.0005,GETPIVOTDATA("Total-Old",'Distrib pivot table'!$C$2,"state","LA","group","2d1c")/GETPIVOTDATA("Total-Old",'Distrib pivot table'!$C$2,"state","LA"),"*"))</f>
        <v>0</v>
      </c>
      <c r="L40" s="418">
        <f>IF((GETPIVOTDATA("Total-Old",'Distrib pivot table'!$C$2,"state","MD","group","2d1c")/GETPIVOTDATA("Total-Old",'Distrib pivot table'!$C$2,"state","MD"))=0,,IF(GETPIVOTDATA("Total-Old",'Distrib pivot table'!$C$2,"state","MD","group","2d1c")/GETPIVOTDATA("Total-Old",'Distrib pivot table'!$C$2,"state","MD")&gt;0.0005,GETPIVOTDATA("Total-Old",'Distrib pivot table'!$C$2,"state","MD","group","2d1c")/GETPIVOTDATA("Total-Old",'Distrib pivot table'!$C$2,"state","MD"),"*"))</f>
        <v>0</v>
      </c>
      <c r="M40" s="418" t="str">
        <f>IF((GETPIVOTDATA("Total-Old",'Distrib pivot table'!$C$2,"state","MS","group","2d1c")/GETPIVOTDATA("Total-Old",'Distrib pivot table'!$C$2,"state","MS"))=0,,IF(GETPIVOTDATA("Total-Old",'Distrib pivot table'!$C$2,"state","MS","group","2d1c")/GETPIVOTDATA("Total-Old",'Distrib pivot table'!$C$2,"state","MS")&gt;0.0005,GETPIVOTDATA("Total-Old",'Distrib pivot table'!$C$2,"state","MS","group","2d1c")/GETPIVOTDATA("Total-Old",'Distrib pivot table'!$C$2,"state","MS"),"*"))</f>
        <v>*</v>
      </c>
      <c r="N40" s="418">
        <f>IF((GETPIVOTDATA("Total-Old",'Distrib pivot table'!$C$2,"state","NC","group","2d1c")/GETPIVOTDATA("Total-Old",'Distrib pivot table'!$C$2,"state","NC"))=0,,IF(GETPIVOTDATA("Total-Old",'Distrib pivot table'!$C$2,"state","NC","group","2d1c")/GETPIVOTDATA("Total-Old",'Distrib pivot table'!$C$2,"state","NC")&gt;0.0005,GETPIVOTDATA("Total-Old",'Distrib pivot table'!$C$2,"state","NC","group","2d1c")/GETPIVOTDATA("Total-Old",'Distrib pivot table'!$C$2,"state","NC"),"*"))</f>
        <v>0</v>
      </c>
      <c r="O40" s="418">
        <f>IF((GETPIVOTDATA("Total-Old",'Distrib pivot table'!$C$2,"state","OK","group","2d1c")/GETPIVOTDATA("Total-Old",'Distrib pivot table'!$C$2,"state","OK"))=0,,IF(GETPIVOTDATA("Total-Old",'Distrib pivot table'!$C$2,"state","OK","group","2d1c")/GETPIVOTDATA("Total-Old",'Distrib pivot table'!$C$2,"state","OK")&gt;0.0005,GETPIVOTDATA("Total-Old",'Distrib pivot table'!$C$2,"state","OK","group","2d1c")/GETPIVOTDATA("Total-Old",'Distrib pivot table'!$C$2,"state","OK"),"*"))</f>
        <v>0</v>
      </c>
      <c r="P40" s="418">
        <f>IF((GETPIVOTDATA("Total-Old",'Distrib pivot table'!$C$2,"state","SC","group","2d1c")/GETPIVOTDATA("Total-Old",'Distrib pivot table'!$C$2,"state","SC"))=0,,IF(GETPIVOTDATA("Total-Old",'Distrib pivot table'!$C$2,"state","SC","group","2d1c")/GETPIVOTDATA("Total-Old",'Distrib pivot table'!$C$2,"state","SC")&gt;0.0005,GETPIVOTDATA("Total-Old",'Distrib pivot table'!$C$2,"state","SC","group","2d1c")/GETPIVOTDATA("Total-Old",'Distrib pivot table'!$C$2,"state","SC"),"*"))</f>
        <v>0</v>
      </c>
      <c r="Q40" s="418">
        <f>IF((GETPIVOTDATA("Total-Old",'Distrib pivot table'!$C$2,"state","TN","group","2d1c")/GETPIVOTDATA("Total-Old",'Distrib pivot table'!$C$2,"state","TN"))=0,,IF(GETPIVOTDATA("Total-Old",'Distrib pivot table'!$C$2,"state","TN","group","2d1c")/GETPIVOTDATA("Total-Old",'Distrib pivot table'!$C$2,"state","TN")&gt;0.0005,GETPIVOTDATA("Total-Old",'Distrib pivot table'!$C$2,"state","TN","group","2d1c")/GETPIVOTDATA("Total-Old",'Distrib pivot table'!$C$2,"state","TN"),"*"))</f>
        <v>0</v>
      </c>
      <c r="R40" s="418">
        <f>IF((GETPIVOTDATA("Total-Old",'Distrib pivot table'!$C$2,"state","TX","group","2d1c")/GETPIVOTDATA("Total-Old",'Distrib pivot table'!$C$2,"state","TX"))=0,,IF(GETPIVOTDATA("Total-Old",'Distrib pivot table'!$C$2,"state","TX","group","2d1c")/GETPIVOTDATA("Total-Old",'Distrib pivot table'!$C$2,"state","TX")&gt;0.0005,GETPIVOTDATA("Total-Old",'Distrib pivot table'!$C$2,"state","TX","group","2d1c")/GETPIVOTDATA("Total-Old",'Distrib pivot table'!$C$2,"state","TX"),"*"))</f>
        <v>0</v>
      </c>
      <c r="S40" s="418">
        <f>IF((GETPIVOTDATA("Total-Old",'Distrib pivot table'!$C$2,"state","VA","group","2d1c")/GETPIVOTDATA("Total-Old",'Distrib pivot table'!$C$2,"state","VA"))=0,,IF(GETPIVOTDATA("Total-Old",'Distrib pivot table'!$C$2,"state","VA","group","2d1c")/GETPIVOTDATA("Total-Old",'Distrib pivot table'!$C$2,"state","VA")&gt;0.0005,GETPIVOTDATA("Total-Old",'Distrib pivot table'!$C$2,"state","VA","group","2d1c")/GETPIVOTDATA("Total-Old",'Distrib pivot table'!$C$2,"state","VA"),"*"))</f>
        <v>0</v>
      </c>
      <c r="T40" s="418">
        <f>IF((GETPIVOTDATA("Total-Old",'Distrib pivot table'!$C$2,"state","WV","group","2d1c")/GETPIVOTDATA("Total-Old",'Distrib pivot table'!$C$2,"state","WV"))=0,,IF(GETPIVOTDATA("Total-Old",'Distrib pivot table'!$C$2,"state","WV","group","2d1c")/GETPIVOTDATA("Total-Old",'Distrib pivot table'!$C$2,"state","WV")&gt;0.0005,GETPIVOTDATA("Total-Old",'Distrib pivot table'!$C$2,"state","WV","group","2d1c")/GETPIVOTDATA("Total-Old",'Distrib pivot table'!$C$2,"state","WV"),"*"))</f>
        <v>0</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2.6" customHeight="1">
      <c r="A41" s="1488"/>
      <c r="B41" s="127" t="s">
        <v>311</v>
      </c>
      <c r="C41" s="374" t="s">
        <v>210</v>
      </c>
      <c r="D41" s="418">
        <f>IF(GETPIVOTDATA("Total-Old",'Distrib pivot table'!$C$2,"group","2d1c1")/GETPIVOTDATA("Total-Old",'Distrib pivot table'!$C$2)=0,,IF(GETPIVOTDATA("Total-Old",'Distrib pivot table'!$C$2,"group","2d1c1")/GETPIVOTDATA("Total-Old",'Distrib pivot table'!$C$2)&gt;0.0005,GETPIVOTDATA("Total-Old",'Distrib pivot table'!$C$2,"group","2d1c1")/GETPIVOTDATA("Total-Old",'Distrib pivot table'!$C$2),"*"))</f>
        <v>5.6734957416272359E-3</v>
      </c>
      <c r="E41" s="418">
        <f>IF((GETPIVOTDATA("Total-Old",'Distrib pivot table'!$C$2,"state","AL","group","2d1c1")/GETPIVOTDATA("Total-Old",'Distrib pivot table'!$C$2,"state","AL"))=0,,IF(GETPIVOTDATA("Total-Old",'Distrib pivot table'!$C$2,"state","AL","group","2d1c1")/GETPIVOTDATA("Total-Old",'Distrib pivot table'!$C$2,"state","AL")&gt;0.0005,GETPIVOTDATA("Total-Old",'Distrib pivot table'!$C$2,"state","AL","group","2d1c1")/GETPIVOTDATA("Total-Old",'Distrib pivot table'!$C$2,"state","AL"),"*"))</f>
        <v>6.2712557175169143E-4</v>
      </c>
      <c r="F41" s="418">
        <f>IF((GETPIVOTDATA("Total-Old",'Distrib pivot table'!$C$2,"state","AR","group","2d1c1")/GETPIVOTDATA("Total-Old",'Distrib pivot table'!$C$2,"state","AR"))=0,,IF(GETPIVOTDATA("Total-Old",'Distrib pivot table'!$C$2,"state","AR","group","2d1c1")/GETPIVOTDATA("Total-Old",'Distrib pivot table'!$C$2,"state","AR")&gt;0.0005,GETPIVOTDATA("Total-Old",'Distrib pivot table'!$C$2,"state","AR","group","2d1c1")/GETPIVOTDATA("Total-Old",'Distrib pivot table'!$C$2,"state","AR"),"*"))</f>
        <v>4.308616832395063E-3</v>
      </c>
      <c r="G41" s="418" t="str">
        <f>IF((GETPIVOTDATA("Total-Old",'Distrib pivot table'!$C$2,"state","DE","group","2d1c1")/GETPIVOTDATA("Total-Old",'Distrib pivot table'!$C$2,"state","DE"))=0,,IF(GETPIVOTDATA("Total-Old",'Distrib pivot table'!$C$2,"state","DE","group","2d1c1")/GETPIVOTDATA("Total-Old",'Distrib pivot table'!$C$2,"state","DE")&gt;0.0005,GETPIVOTDATA("Total-Old",'Distrib pivot table'!$C$2,"state","DE","group","2d1c1")/GETPIVOTDATA("Total-Old",'Distrib pivot table'!$C$2,"state","DE"),"*"))</f>
        <v>*</v>
      </c>
      <c r="H41" s="418">
        <f>IF((GETPIVOTDATA("Total-Old",'Distrib pivot table'!$C$2,"state","FL","group","2d1c1")/GETPIVOTDATA("Total-Old",'Distrib pivot table'!$C$2,"state","FL"))=0,,IF(GETPIVOTDATA("Total-Old",'Distrib pivot table'!$C$2,"state","FL","group","2d1c1")/GETPIVOTDATA("Total-Old",'Distrib pivot table'!$C$2,"state","FL")&gt;0.0005,GETPIVOTDATA("Total-Old",'Distrib pivot table'!$C$2,"state","FL","group","2d1c1")/GETPIVOTDATA("Total-Old",'Distrib pivot table'!$C$2,"state","FL"),"*"))</f>
        <v>0</v>
      </c>
      <c r="I41" s="418">
        <f>IF((GETPIVOTDATA("Total-Old",'Distrib pivot table'!$C$2,"state","GA","group","2d1c1")/GETPIVOTDATA("Total-Old",'Distrib pivot table'!$C$2,"state","GA"))=0,,IF(GETPIVOTDATA("Total-Old",'Distrib pivot table'!$C$2,"state","GA","group","2d1c1")/GETPIVOTDATA("Total-Old",'Distrib pivot table'!$C$2,"state","GA")&gt;0.0005,GETPIVOTDATA("Total-Old",'Distrib pivot table'!$C$2,"state","GA","group","2d1c1")/GETPIVOTDATA("Total-Old",'Distrib pivot table'!$C$2,"state","GA"),"*"))</f>
        <v>0</v>
      </c>
      <c r="J41" s="418">
        <f>IF((GETPIVOTDATA("Total-Old",'Distrib pivot table'!$C$2,"state","KY","group","2d1c1")/GETPIVOTDATA("Total-Old",'Distrib pivot table'!$C$2,"state","KY"))=0,,IF(GETPIVOTDATA("Total-Old",'Distrib pivot table'!$C$2,"state","KY","group","2d1c1")/GETPIVOTDATA("Total-Old",'Distrib pivot table'!$C$2,"state","KY")&gt;0.0005,GETPIVOTDATA("Total-Old",'Distrib pivot table'!$C$2,"state","KY","group","2d1c1")/GETPIVOTDATA("Total-Old",'Distrib pivot table'!$C$2,"state","KY"),"*"))</f>
        <v>1.7067726310057169E-2</v>
      </c>
      <c r="K41" s="418">
        <f>IF((GETPIVOTDATA("Total-Old",'Distrib pivot table'!$C$2,"state","LA","group","2d1c1")/GETPIVOTDATA("Total-Old",'Distrib pivot table'!$C$2,"state","LA"))=0,,IF(GETPIVOTDATA("Total-Old",'Distrib pivot table'!$C$2,"state","LA","group","2d1c1")/GETPIVOTDATA("Total-Old",'Distrib pivot table'!$C$2,"state","LA")&gt;0.0005,GETPIVOTDATA("Total-Old",'Distrib pivot table'!$C$2,"state","LA","group","2d1c1")/GETPIVOTDATA("Total-Old",'Distrib pivot table'!$C$2,"state","LA"),"*"))</f>
        <v>1.0855507529757879E-2</v>
      </c>
      <c r="L41" s="418">
        <f>IF((GETPIVOTDATA("Total-Old",'Distrib pivot table'!$C$2,"state","MD","group","2d1c1")/GETPIVOTDATA("Total-Old",'Distrib pivot table'!$C$2,"state","MD"))=0,,IF(GETPIVOTDATA("Total-Old",'Distrib pivot table'!$C$2,"state","MD","group","2d1c1")/GETPIVOTDATA("Total-Old",'Distrib pivot table'!$C$2,"state","MD")&gt;0.0005,GETPIVOTDATA("Total-Old",'Distrib pivot table'!$C$2,"state","MD","group","2d1c1")/GETPIVOTDATA("Total-Old",'Distrib pivot table'!$C$2,"state","MD"),"*"))</f>
        <v>1.9212005169436625E-2</v>
      </c>
      <c r="M41" s="418">
        <f>IF((GETPIVOTDATA("Total-Old",'Distrib pivot table'!$C$2,"state","MS","group","2d1c1")/GETPIVOTDATA("Total-Old",'Distrib pivot table'!$C$2,"state","MS"))=0,,IF(GETPIVOTDATA("Total-Old",'Distrib pivot table'!$C$2,"state","MS","group","2d1c1")/GETPIVOTDATA("Total-Old",'Distrib pivot table'!$C$2,"state","MS")&gt;0.0005,GETPIVOTDATA("Total-Old",'Distrib pivot table'!$C$2,"state","MS","group","2d1c1")/GETPIVOTDATA("Total-Old",'Distrib pivot table'!$C$2,"state","MS"),"*"))</f>
        <v>4.8532416481999914E-3</v>
      </c>
      <c r="N41" s="418">
        <f>IF((GETPIVOTDATA("Total-Old",'Distrib pivot table'!$C$2,"state","NC","group","2d1c1")/GETPIVOTDATA("Total-Old",'Distrib pivot table'!$C$2,"state","NC"))=0,,IF(GETPIVOTDATA("Total-Old",'Distrib pivot table'!$C$2,"state","NC","group","2d1c1")/GETPIVOTDATA("Total-Old",'Distrib pivot table'!$C$2,"state","NC")&gt;0.0005,GETPIVOTDATA("Total-Old",'Distrib pivot table'!$C$2,"state","NC","group","2d1c1")/GETPIVOTDATA("Total-Old",'Distrib pivot table'!$C$2,"state","NC"),"*"))</f>
        <v>0</v>
      </c>
      <c r="O41" s="418">
        <f>IF((GETPIVOTDATA("Total-Old",'Distrib pivot table'!$C$2,"state","OK","group","2d1c1")/GETPIVOTDATA("Total-Old",'Distrib pivot table'!$C$2,"state","OK"))=0,,IF(GETPIVOTDATA("Total-Old",'Distrib pivot table'!$C$2,"state","OK","group","2d1c1")/GETPIVOTDATA("Total-Old",'Distrib pivot table'!$C$2,"state","OK")&gt;0.0005,GETPIVOTDATA("Total-Old",'Distrib pivot table'!$C$2,"state","OK","group","2d1c1")/GETPIVOTDATA("Total-Old",'Distrib pivot table'!$C$2,"state","OK"),"*"))</f>
        <v>0</v>
      </c>
      <c r="P41" s="418">
        <f>IF((GETPIVOTDATA("Total-Old",'Distrib pivot table'!$C$2,"state","SC","group","2d1c1")/GETPIVOTDATA("Total-Old",'Distrib pivot table'!$C$2,"state","SC"))=0,,IF(GETPIVOTDATA("Total-Old",'Distrib pivot table'!$C$2,"state","SC","group","2d1c1")/GETPIVOTDATA("Total-Old",'Distrib pivot table'!$C$2,"state","SC")&gt;0.0005,GETPIVOTDATA("Total-Old",'Distrib pivot table'!$C$2,"state","SC","group","2d1c1")/GETPIVOTDATA("Total-Old",'Distrib pivot table'!$C$2,"state","SC"),"*"))</f>
        <v>7.4418482215889261E-3</v>
      </c>
      <c r="Q41" s="418">
        <f>IF((GETPIVOTDATA("Total-Old",'Distrib pivot table'!$C$2,"state","TN","group","2d1c1")/GETPIVOTDATA("Total-Old",'Distrib pivot table'!$C$2,"state","TN"))=0,,IF(GETPIVOTDATA("Total-Old",'Distrib pivot table'!$C$2,"state","TN","group","2d1c1")/GETPIVOTDATA("Total-Old",'Distrib pivot table'!$C$2,"state","TN")&gt;0.0005,GETPIVOTDATA("Total-Old",'Distrib pivot table'!$C$2,"state","TN","group","2d1c1")/GETPIVOTDATA("Total-Old",'Distrib pivot table'!$C$2,"state","TN"),"*"))</f>
        <v>3.8434476196835987E-2</v>
      </c>
      <c r="R41" s="418">
        <f>IF((GETPIVOTDATA("Total-Old",'Distrib pivot table'!$C$2,"state","TX","group","2d1c1")/GETPIVOTDATA("Total-Old",'Distrib pivot table'!$C$2,"state","TX"))=0,,IF(GETPIVOTDATA("Total-Old",'Distrib pivot table'!$C$2,"state","TX","group","2d1c1")/GETPIVOTDATA("Total-Old",'Distrib pivot table'!$C$2,"state","TX")&gt;0.0005,GETPIVOTDATA("Total-Old",'Distrib pivot table'!$C$2,"state","TX","group","2d1c1")/GETPIVOTDATA("Total-Old",'Distrib pivot table'!$C$2,"state","TX"),"*"))</f>
        <v>0</v>
      </c>
      <c r="S41" s="418">
        <f>IF((GETPIVOTDATA("Total-Old",'Distrib pivot table'!$C$2,"state","VA","group","2d1c1")/GETPIVOTDATA("Total-Old",'Distrib pivot table'!$C$2,"state","VA"))=0,,IF(GETPIVOTDATA("Total-Old",'Distrib pivot table'!$C$2,"state","VA","group","2d1c1")/GETPIVOTDATA("Total-Old",'Distrib pivot table'!$C$2,"state","VA")&gt;0.0005,GETPIVOTDATA("Total-Old",'Distrib pivot table'!$C$2,"state","VA","group","2d1c1")/GETPIVOTDATA("Total-Old",'Distrib pivot table'!$C$2,"state","VA"),"*"))</f>
        <v>7.3969058991844741E-4</v>
      </c>
      <c r="T41" s="418">
        <f>IF((GETPIVOTDATA("Total-Old",'Distrib pivot table'!$C$2,"state","WV","group","2d1c1")/GETPIVOTDATA("Total-Old",'Distrib pivot table'!$C$2,"state","WV"))=0,,IF(GETPIVOTDATA("Total-Old",'Distrib pivot table'!$C$2,"state","WV","group","2d1c1")/GETPIVOTDATA("Total-Old",'Distrib pivot table'!$C$2,"state","WV")&gt;0.0005,GETPIVOTDATA("Total-Old",'Distrib pivot table'!$C$2,"state","WV","group","2d1c1")/GETPIVOTDATA("Total-Old",'Distrib pivot table'!$C$2,"state","WV"),"*"))</f>
        <v>3.1516761459176867E-2</v>
      </c>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2.6" customHeight="1">
      <c r="A42" s="1488"/>
      <c r="B42" s="127" t="s">
        <v>249</v>
      </c>
      <c r="C42" s="374" t="s">
        <v>204</v>
      </c>
      <c r="D42" s="418">
        <f>IF(GETPIVOTDATA("Total-Old",'Distrib pivot table'!$C$2,"group","2d1c2")/GETPIVOTDATA("Total-Old",'Distrib pivot table'!$C$2)=0,,IF(GETPIVOTDATA("Total-Old",'Distrib pivot table'!$C$2,"group","2d1c2")/GETPIVOTDATA("Total-Old",'Distrib pivot table'!$C$2)&gt;0.0005,GETPIVOTDATA("Total-Old",'Distrib pivot table'!$C$2,"group","2d1c2")/GETPIVOTDATA("Total-Old",'Distrib pivot table'!$C$2),"*"))</f>
        <v>1.5316357022599626E-2</v>
      </c>
      <c r="E42" s="418">
        <f>IF((GETPIVOTDATA("Total-Old",'Distrib pivot table'!$C$2,"state","AL","group","2d1c2")/GETPIVOTDATA("Total-Old",'Distrib pivot table'!$C$2,"state","AL"))=0,,IF(GETPIVOTDATA("Total-Old",'Distrib pivot table'!$C$2,"state","AL","group","2d1c2")/GETPIVOTDATA("Total-Old",'Distrib pivot table'!$C$2,"state","AL")&gt;0.0005,GETPIVOTDATA("Total-Old",'Distrib pivot table'!$C$2,"state","AL","group","2d1c2")/GETPIVOTDATA("Total-Old",'Distrib pivot table'!$C$2,"state","AL"),"*"))</f>
        <v>1.5874446811055216E-2</v>
      </c>
      <c r="F42" s="418">
        <f>IF((GETPIVOTDATA("Total-Old",'Distrib pivot table'!$C$2,"state","AR","group","2d1c2")/GETPIVOTDATA("Total-Old",'Distrib pivot table'!$C$2,"state","AR"))=0,,IF(GETPIVOTDATA("Total-Old",'Distrib pivot table'!$C$2,"state","AR","group","2d1c2")/GETPIVOTDATA("Total-Old",'Distrib pivot table'!$C$2,"state","AR")&gt;0.0005,GETPIVOTDATA("Total-Old",'Distrib pivot table'!$C$2,"state","AR","group","2d1c2")/GETPIVOTDATA("Total-Old",'Distrib pivot table'!$C$2,"state","AR"),"*"))</f>
        <v>6.2014382566309603E-2</v>
      </c>
      <c r="G42" s="418">
        <f>IF((GETPIVOTDATA("Total-Old",'Distrib pivot table'!$C$2,"state","DE","group","2d1c2")/GETPIVOTDATA("Total-Old",'Distrib pivot table'!$C$2,"state","DE"))=0,,IF(GETPIVOTDATA("Total-Old",'Distrib pivot table'!$C$2,"state","DE","group","2d1c2")/GETPIVOTDATA("Total-Old",'Distrib pivot table'!$C$2,"state","DE")&gt;0.0005,GETPIVOTDATA("Total-Old",'Distrib pivot table'!$C$2,"state","DE","group","2d1c2")/GETPIVOTDATA("Total-Old",'Distrib pivot table'!$C$2,"state","DE"),"*"))</f>
        <v>1.0323999586930878E-3</v>
      </c>
      <c r="H42" s="418">
        <f>IF((GETPIVOTDATA("Total-Old",'Distrib pivot table'!$C$2,"state","FL","group","2d1c2")/GETPIVOTDATA("Total-Old",'Distrib pivot table'!$C$2,"state","FL"))=0,,IF(GETPIVOTDATA("Total-Old",'Distrib pivot table'!$C$2,"state","FL","group","2d1c2")/GETPIVOTDATA("Total-Old",'Distrib pivot table'!$C$2,"state","FL")&gt;0.0005,GETPIVOTDATA("Total-Old",'Distrib pivot table'!$C$2,"state","FL","group","2d1c2")/GETPIVOTDATA("Total-Old",'Distrib pivot table'!$C$2,"state","FL"),"*"))</f>
        <v>0</v>
      </c>
      <c r="I42" s="418" t="str">
        <f>IF((GETPIVOTDATA("Total-Old",'Distrib pivot table'!$C$2,"state","GA","group","2d1c2")/GETPIVOTDATA("Total-Old",'Distrib pivot table'!$C$2,"state","GA"))=0,,IF(GETPIVOTDATA("Total-Old",'Distrib pivot table'!$C$2,"state","GA","group","2d1c2")/GETPIVOTDATA("Total-Old",'Distrib pivot table'!$C$2,"state","GA")&gt;0.0005,GETPIVOTDATA("Total-Old",'Distrib pivot table'!$C$2,"state","GA","group","2d1c2")/GETPIVOTDATA("Total-Old",'Distrib pivot table'!$C$2,"state","GA"),"*"))</f>
        <v>*</v>
      </c>
      <c r="J42" s="418">
        <f>IF((GETPIVOTDATA("Total-Old",'Distrib pivot table'!$C$2,"state","KY","group","2d1c2")/GETPIVOTDATA("Total-Old",'Distrib pivot table'!$C$2,"state","KY"))=0,,IF(GETPIVOTDATA("Total-Old",'Distrib pivot table'!$C$2,"state","KY","group","2d1c2")/GETPIVOTDATA("Total-Old",'Distrib pivot table'!$C$2,"state","KY")&gt;0.0005,GETPIVOTDATA("Total-Old",'Distrib pivot table'!$C$2,"state","KY","group","2d1c2")/GETPIVOTDATA("Total-Old",'Distrib pivot table'!$C$2,"state","KY"),"*"))</f>
        <v>3.1477184259159033E-2</v>
      </c>
      <c r="K42" s="418">
        <f>IF((GETPIVOTDATA("Total-Old",'Distrib pivot table'!$C$2,"state","LA","group","2d1c2")/GETPIVOTDATA("Total-Old",'Distrib pivot table'!$C$2,"state","LA"))=0,,IF(GETPIVOTDATA("Total-Old",'Distrib pivot table'!$C$2,"state","LA","group","2d1c2")/GETPIVOTDATA("Total-Old",'Distrib pivot table'!$C$2,"state","LA")&gt;0.0005,GETPIVOTDATA("Total-Old",'Distrib pivot table'!$C$2,"state","LA","group","2d1c2")/GETPIVOTDATA("Total-Old",'Distrib pivot table'!$C$2,"state","LA"),"*"))</f>
        <v>9.1207902758649151E-2</v>
      </c>
      <c r="L42" s="418">
        <f>IF((GETPIVOTDATA("Total-Old",'Distrib pivot table'!$C$2,"state","MD","group","2d1c2")/GETPIVOTDATA("Total-Old",'Distrib pivot table'!$C$2,"state","MD"))=0,,IF(GETPIVOTDATA("Total-Old",'Distrib pivot table'!$C$2,"state","MD","group","2d1c2")/GETPIVOTDATA("Total-Old",'Distrib pivot table'!$C$2,"state","MD")&gt;0.0005,GETPIVOTDATA("Total-Old",'Distrib pivot table'!$C$2,"state","MD","group","2d1c2")/GETPIVOTDATA("Total-Old",'Distrib pivot table'!$C$2,"state","MD"),"*"))</f>
        <v>2.1803324753952233E-3</v>
      </c>
      <c r="M42" s="418">
        <f>IF((GETPIVOTDATA("Total-Old",'Distrib pivot table'!$C$2,"state","MS","group","2d1c2")/GETPIVOTDATA("Total-Old",'Distrib pivot table'!$C$2,"state","MS"))=0,,IF(GETPIVOTDATA("Total-Old",'Distrib pivot table'!$C$2,"state","MS","group","2d1c2")/GETPIVOTDATA("Total-Old",'Distrib pivot table'!$C$2,"state","MS")&gt;0.0005,GETPIVOTDATA("Total-Old",'Distrib pivot table'!$C$2,"state","MS","group","2d1c2")/GETPIVOTDATA("Total-Old",'Distrib pivot table'!$C$2,"state","MS"),"*"))</f>
        <v>6.7939406013796935E-3</v>
      </c>
      <c r="N42" s="418">
        <f>IF((GETPIVOTDATA("Total-Old",'Distrib pivot table'!$C$2,"state","NC","group","2d1c2")/GETPIVOTDATA("Total-Old",'Distrib pivot table'!$C$2,"state","NC"))=0,,IF(GETPIVOTDATA("Total-Old",'Distrib pivot table'!$C$2,"state","NC","group","2d1c2")/GETPIVOTDATA("Total-Old",'Distrib pivot table'!$C$2,"state","NC")&gt;0.0005,GETPIVOTDATA("Total-Old",'Distrib pivot table'!$C$2,"state","NC","group","2d1c2")/GETPIVOTDATA("Total-Old",'Distrib pivot table'!$C$2,"state","NC"),"*"))</f>
        <v>0</v>
      </c>
      <c r="O42" s="418">
        <f>IF((GETPIVOTDATA("Total-Old",'Distrib pivot table'!$C$2,"state","OK","group","2d1c2")/GETPIVOTDATA("Total-Old",'Distrib pivot table'!$C$2,"state","OK"))=0,,IF(GETPIVOTDATA("Total-Old",'Distrib pivot table'!$C$2,"state","OK","group","2d1c2")/GETPIVOTDATA("Total-Old",'Distrib pivot table'!$C$2,"state","OK")&gt;0.0005,GETPIVOTDATA("Total-Old",'Distrib pivot table'!$C$2,"state","OK","group","2d1c2")/GETPIVOTDATA("Total-Old",'Distrib pivot table'!$C$2,"state","OK"),"*"))</f>
        <v>0</v>
      </c>
      <c r="P42" s="418">
        <f>IF((GETPIVOTDATA("Total-Old",'Distrib pivot table'!$C$2,"state","SC","group","2d1c2")/GETPIVOTDATA("Total-Old",'Distrib pivot table'!$C$2,"state","SC"))=0,,IF(GETPIVOTDATA("Total-Old",'Distrib pivot table'!$C$2,"state","SC","group","2d1c2")/GETPIVOTDATA("Total-Old",'Distrib pivot table'!$C$2,"state","SC")&gt;0.0005,GETPIVOTDATA("Total-Old",'Distrib pivot table'!$C$2,"state","SC","group","2d1c2")/GETPIVOTDATA("Total-Old",'Distrib pivot table'!$C$2,"state","SC"),"*"))</f>
        <v>8.5576889757433841E-2</v>
      </c>
      <c r="Q42" s="418">
        <f>IF((GETPIVOTDATA("Total-Old",'Distrib pivot table'!$C$2,"state","TN","group","2d1c2")/GETPIVOTDATA("Total-Old",'Distrib pivot table'!$C$2,"state","TN"))=0,,IF(GETPIVOTDATA("Total-Old",'Distrib pivot table'!$C$2,"state","TN","group","2d1c2")/GETPIVOTDATA("Total-Old",'Distrib pivot table'!$C$2,"state","TN")&gt;0.0005,GETPIVOTDATA("Total-Old",'Distrib pivot table'!$C$2,"state","TN","group","2d1c2")/GETPIVOTDATA("Total-Old",'Distrib pivot table'!$C$2,"state","TN"),"*"))</f>
        <v>5.6021078242095186E-2</v>
      </c>
      <c r="R42" s="418">
        <f>IF((GETPIVOTDATA("Total-Old",'Distrib pivot table'!$C$2,"state","TX","group","2d1c2")/GETPIVOTDATA("Total-Old",'Distrib pivot table'!$C$2,"state","TX"))=0,,IF(GETPIVOTDATA("Total-Old",'Distrib pivot table'!$C$2,"state","TX","group","2d1c2")/GETPIVOTDATA("Total-Old",'Distrib pivot table'!$C$2,"state","TX")&gt;0.0005,GETPIVOTDATA("Total-Old",'Distrib pivot table'!$C$2,"state","TX","group","2d1c2")/GETPIVOTDATA("Total-Old",'Distrib pivot table'!$C$2,"state","TX"),"*"))</f>
        <v>0</v>
      </c>
      <c r="S42" s="418" t="str">
        <f>IF((GETPIVOTDATA("Total-Old",'Distrib pivot table'!$C$2,"state","VA","group","2d1c2")/GETPIVOTDATA("Total-Old",'Distrib pivot table'!$C$2,"state","VA"))=0,,IF(GETPIVOTDATA("Total-Old",'Distrib pivot table'!$C$2,"state","VA","group","2d1c2")/GETPIVOTDATA("Total-Old",'Distrib pivot table'!$C$2,"state","VA")&gt;0.0005,GETPIVOTDATA("Total-Old",'Distrib pivot table'!$C$2,"state","VA","group","2d1c2")/GETPIVOTDATA("Total-Old",'Distrib pivot table'!$C$2,"state","VA"),"*"))</f>
        <v>*</v>
      </c>
      <c r="T42" s="418">
        <f>IF((GETPIVOTDATA("Total-Old",'Distrib pivot table'!$C$2,"state","WV","group","2d1c2")/GETPIVOTDATA("Total-Old",'Distrib pivot table'!$C$2,"state","WV"))=0,,IF(GETPIVOTDATA("Total-Old",'Distrib pivot table'!$C$2,"state","WV","group","2d1c2")/GETPIVOTDATA("Total-Old",'Distrib pivot table'!$C$2,"state","WV")&gt;0.0005,GETPIVOTDATA("Total-Old",'Distrib pivot table'!$C$2,"state","WV","group","2d1c2")/GETPIVOTDATA("Total-Old",'Distrib pivot table'!$C$2,"state","WV"),"*"))</f>
        <v>3.6195360454104639E-2</v>
      </c>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2.6" customHeight="1">
      <c r="A43" s="1488"/>
      <c r="B43" s="127" t="s">
        <v>222</v>
      </c>
      <c r="C43" s="374" t="s">
        <v>205</v>
      </c>
      <c r="D43" s="418">
        <f>IF(GETPIVOTDATA("Total-Old",'Distrib pivot table'!$C$2,"group","2d1d")/GETPIVOTDATA("Total-Old",'Distrib pivot table'!$C$2)=0,,IF(GETPIVOTDATA("Total-Old",'Distrib pivot table'!$C$2,"group","2d1d")/GETPIVOTDATA("Total-Old",'Distrib pivot table'!$C$2)&gt;0.0005,GETPIVOTDATA("Total-Old",'Distrib pivot table'!$C$2,"group","2d1d")/GETPIVOTDATA("Total-Old",'Distrib pivot table'!$C$2),"*"))</f>
        <v>0</v>
      </c>
      <c r="E43" s="418">
        <f>IF((GETPIVOTDATA("Total-Old",'Distrib pivot table'!$C$2,"state","AL","group","2d1d")/GETPIVOTDATA("Total-Old",'Distrib pivot table'!$C$2,"state","AL"))=0,,IF(GETPIVOTDATA("Total-Old",'Distrib pivot table'!$C$2,"state","AL","group","2d1d")/GETPIVOTDATA("Total-Old",'Distrib pivot table'!$C$2,"state","AL")&gt;0.0005,GETPIVOTDATA("Total-Old",'Distrib pivot table'!$C$2,"state","AL","group","2d1d")/GETPIVOTDATA("Total-Old",'Distrib pivot table'!$C$2,"state","AL"),"*"))</f>
        <v>0</v>
      </c>
      <c r="F43" s="418">
        <f>IF((GETPIVOTDATA("Total-Old",'Distrib pivot table'!$C$2,"state","AR","group","2d1d")/GETPIVOTDATA("Total-Old",'Distrib pivot table'!$C$2,"state","AR"))=0,,IF(GETPIVOTDATA("Total-Old",'Distrib pivot table'!$C$2,"state","AR","group","2d1d")/GETPIVOTDATA("Total-Old",'Distrib pivot table'!$C$2,"state","AR")&gt;0.0005,GETPIVOTDATA("Total-Old",'Distrib pivot table'!$C$2,"state","AR","group","2d1d")/GETPIVOTDATA("Total-Old",'Distrib pivot table'!$C$2,"state","AR"),"*"))</f>
        <v>0</v>
      </c>
      <c r="G43" s="418">
        <f>IF((GETPIVOTDATA("Total-Old",'Distrib pivot table'!$C$2,"state","DE","group","2d1d")/GETPIVOTDATA("Total-Old",'Distrib pivot table'!$C$2,"state","DE"))=0,,IF(GETPIVOTDATA("Total-Old",'Distrib pivot table'!$C$2,"state","DE","group","2d1d")/GETPIVOTDATA("Total-Old",'Distrib pivot table'!$C$2,"state","DE")&gt;0.0005,GETPIVOTDATA("Total-Old",'Distrib pivot table'!$C$2,"state","DE","group","2d1d")/GETPIVOTDATA("Total-Old",'Distrib pivot table'!$C$2,"state","DE"),"*"))</f>
        <v>0</v>
      </c>
      <c r="H43" s="418">
        <f>IF((GETPIVOTDATA("Total-Old",'Distrib pivot table'!$C$2,"state","FL","group","2d1d")/GETPIVOTDATA("Total-Old",'Distrib pivot table'!$C$2,"state","FL"))=0,,IF(GETPIVOTDATA("Total-Old",'Distrib pivot table'!$C$2,"state","FL","group","2d1d")/GETPIVOTDATA("Total-Old",'Distrib pivot table'!$C$2,"state","FL")&gt;0.0005,GETPIVOTDATA("Total-Old",'Distrib pivot table'!$C$2,"state","FL","group","2d1d")/GETPIVOTDATA("Total-Old",'Distrib pivot table'!$C$2,"state","FL"),"*"))</f>
        <v>0</v>
      </c>
      <c r="I43" s="418">
        <f>IF((GETPIVOTDATA("Total-Old",'Distrib pivot table'!$C$2,"state","GA","group","2d1d")/GETPIVOTDATA("Total-Old",'Distrib pivot table'!$C$2,"state","GA"))=0,,IF(GETPIVOTDATA("Total-Old",'Distrib pivot table'!$C$2,"state","GA","group","2d1d")/GETPIVOTDATA("Total-Old",'Distrib pivot table'!$C$2,"state","GA")&gt;0.0005,GETPIVOTDATA("Total-Old",'Distrib pivot table'!$C$2,"state","GA","group","2d1d")/GETPIVOTDATA("Total-Old",'Distrib pivot table'!$C$2,"state","GA"),"*"))</f>
        <v>0</v>
      </c>
      <c r="J43" s="418">
        <f>IF((GETPIVOTDATA("Total-Old",'Distrib pivot table'!$C$2,"state","KY","group","2d1d")/GETPIVOTDATA("Total-Old",'Distrib pivot table'!$C$2,"state","KY"))=0,,IF(GETPIVOTDATA("Total-Old",'Distrib pivot table'!$C$2,"state","KY","group","2d1d")/GETPIVOTDATA("Total-Old",'Distrib pivot table'!$C$2,"state","KY")&gt;0.0005,GETPIVOTDATA("Total-Old",'Distrib pivot table'!$C$2,"state","KY","group","2d1d")/GETPIVOTDATA("Total-Old",'Distrib pivot table'!$C$2,"state","KY"),"*"))</f>
        <v>0</v>
      </c>
      <c r="K43" s="418">
        <f>IF((GETPIVOTDATA("Total-Old",'Distrib pivot table'!$C$2,"state","LA","group","2d1d")/GETPIVOTDATA("Total-Old",'Distrib pivot table'!$C$2,"state","LA"))=0,,IF(GETPIVOTDATA("Total-Old",'Distrib pivot table'!$C$2,"state","LA","group","2d1d")/GETPIVOTDATA("Total-Old",'Distrib pivot table'!$C$2,"state","LA")&gt;0.0005,GETPIVOTDATA("Total-Old",'Distrib pivot table'!$C$2,"state","LA","group","2d1d")/GETPIVOTDATA("Total-Old",'Distrib pivot table'!$C$2,"state","LA"),"*"))</f>
        <v>0</v>
      </c>
      <c r="L43" s="418">
        <f>IF((GETPIVOTDATA("Total-Old",'Distrib pivot table'!$C$2,"state","MD","group","2d1d")/GETPIVOTDATA("Total-Old",'Distrib pivot table'!$C$2,"state","MD"))=0,,IF(GETPIVOTDATA("Total-Old",'Distrib pivot table'!$C$2,"state","MD","group","2d1d")/GETPIVOTDATA("Total-Old",'Distrib pivot table'!$C$2,"state","MD")&gt;0.0005,GETPIVOTDATA("Total-Old",'Distrib pivot table'!$C$2,"state","MD","group","2d1d")/GETPIVOTDATA("Total-Old",'Distrib pivot table'!$C$2,"state","MD"),"*"))</f>
        <v>0</v>
      </c>
      <c r="M43" s="418">
        <f>IF((GETPIVOTDATA("Total-Old",'Distrib pivot table'!$C$2,"state","MS","group","2d1d")/GETPIVOTDATA("Total-Old",'Distrib pivot table'!$C$2,"state","MS"))=0,,IF(GETPIVOTDATA("Total-Old",'Distrib pivot table'!$C$2,"state","MS","group","2d1d")/GETPIVOTDATA("Total-Old",'Distrib pivot table'!$C$2,"state","MS")&gt;0.0005,GETPIVOTDATA("Total-Old",'Distrib pivot table'!$C$2,"state","MS","group","2d1d")/GETPIVOTDATA("Total-Old",'Distrib pivot table'!$C$2,"state","MS"),"*"))</f>
        <v>0</v>
      </c>
      <c r="N43" s="418">
        <f>IF((GETPIVOTDATA("Total-Old",'Distrib pivot table'!$C$2,"state","NC","group","2d1d")/GETPIVOTDATA("Total-Old",'Distrib pivot table'!$C$2,"state","NC"))=0,,IF(GETPIVOTDATA("Total-Old",'Distrib pivot table'!$C$2,"state","NC","group","2d1d")/GETPIVOTDATA("Total-Old",'Distrib pivot table'!$C$2,"state","NC")&gt;0.0005,GETPIVOTDATA("Total-Old",'Distrib pivot table'!$C$2,"state","NC","group","2d1d")/GETPIVOTDATA("Total-Old",'Distrib pivot table'!$C$2,"state","NC"),"*"))</f>
        <v>0</v>
      </c>
      <c r="O43" s="418">
        <f>IF((GETPIVOTDATA("Total-Old",'Distrib pivot table'!$C$2,"state","OK","group","2d1d")/GETPIVOTDATA("Total-Old",'Distrib pivot table'!$C$2,"state","OK"))=0,,IF(GETPIVOTDATA("Total-Old",'Distrib pivot table'!$C$2,"state","OK","group","2d1d")/GETPIVOTDATA("Total-Old",'Distrib pivot table'!$C$2,"state","OK")&gt;0.0005,GETPIVOTDATA("Total-Old",'Distrib pivot table'!$C$2,"state","OK","group","2d1d")/GETPIVOTDATA("Total-Old",'Distrib pivot table'!$C$2,"state","OK"),"*"))</f>
        <v>0</v>
      </c>
      <c r="P43" s="418">
        <f>IF((GETPIVOTDATA("Total-Old",'Distrib pivot table'!$C$2,"state","SC","group","2d1d")/GETPIVOTDATA("Total-Old",'Distrib pivot table'!$C$2,"state","SC"))=0,,IF(GETPIVOTDATA("Total-Old",'Distrib pivot table'!$C$2,"state","SC","group","2d1d")/GETPIVOTDATA("Total-Old",'Distrib pivot table'!$C$2,"state","SC")&gt;0.0005,GETPIVOTDATA("Total-Old",'Distrib pivot table'!$C$2,"state","SC","group","2d1d")/GETPIVOTDATA("Total-Old",'Distrib pivot table'!$C$2,"state","SC"),"*"))</f>
        <v>0</v>
      </c>
      <c r="Q43" s="418">
        <f>IF((GETPIVOTDATA("Total-Old",'Distrib pivot table'!$C$2,"state","TN","group","2d1d")/GETPIVOTDATA("Total-Old",'Distrib pivot table'!$C$2,"state","TN"))=0,,IF(GETPIVOTDATA("Total-Old",'Distrib pivot table'!$C$2,"state","TN","group","2d1d")/GETPIVOTDATA("Total-Old",'Distrib pivot table'!$C$2,"state","TN")&gt;0.0005,GETPIVOTDATA("Total-Old",'Distrib pivot table'!$C$2,"state","TN","group","2d1d")/GETPIVOTDATA("Total-Old",'Distrib pivot table'!$C$2,"state","TN"),"*"))</f>
        <v>0</v>
      </c>
      <c r="R43" s="418">
        <f>IF((GETPIVOTDATA("Total-Old",'Distrib pivot table'!$C$2,"state","TX","group","2d1d")/GETPIVOTDATA("Total-Old",'Distrib pivot table'!$C$2,"state","TX"))=0,,IF(GETPIVOTDATA("Total-Old",'Distrib pivot table'!$C$2,"state","TX","group","2d1d")/GETPIVOTDATA("Total-Old",'Distrib pivot table'!$C$2,"state","TX")&gt;0.0005,GETPIVOTDATA("Total-Old",'Distrib pivot table'!$C$2,"state","TX","group","2d1d")/GETPIVOTDATA("Total-Old",'Distrib pivot table'!$C$2,"state","TX"),"*"))</f>
        <v>0</v>
      </c>
      <c r="S43" s="418">
        <f>IF((GETPIVOTDATA("Total-Old",'Distrib pivot table'!$C$2,"state","VA","group","2d1d")/GETPIVOTDATA("Total-Old",'Distrib pivot table'!$C$2,"state","VA"))=0,,IF(GETPIVOTDATA("Total-Old",'Distrib pivot table'!$C$2,"state","VA","group","2d1d")/GETPIVOTDATA("Total-Old",'Distrib pivot table'!$C$2,"state","VA")&gt;0.0005,GETPIVOTDATA("Total-Old",'Distrib pivot table'!$C$2,"state","VA","group","2d1d")/GETPIVOTDATA("Total-Old",'Distrib pivot table'!$C$2,"state","VA"),"*"))</f>
        <v>0</v>
      </c>
      <c r="T43" s="418">
        <f>IF((GETPIVOTDATA("Total-Old",'Distrib pivot table'!$C$2,"state","WV","group","2d1d")/GETPIVOTDATA("Total-Old",'Distrib pivot table'!$C$2,"state","WV"))=0,,IF(GETPIVOTDATA("Total-Old",'Distrib pivot table'!$C$2,"state","WV","group","2d1d")/GETPIVOTDATA("Total-Old",'Distrib pivot table'!$C$2,"state","WV")&gt;0.0005,GETPIVOTDATA("Total-Old",'Distrib pivot table'!$C$2,"state","WV","group","2d1d")/GETPIVOTDATA("Total-Old",'Distrib pivot table'!$C$2,"state","WV"),"*"))</f>
        <v>0</v>
      </c>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2.6" customHeight="1">
      <c r="A44" s="1488"/>
      <c r="B44" s="127" t="s">
        <v>311</v>
      </c>
      <c r="C44" s="374" t="s">
        <v>218</v>
      </c>
      <c r="D44" s="418">
        <f>IF(GETPIVOTDATA("Total-Old",'Distrib pivot table'!$C$2,"group","2d1d1")/GETPIVOTDATA("Total-Old",'Distrib pivot table'!$C$2)=0,,IF(GETPIVOTDATA("Total-Old",'Distrib pivot table'!$C$2,"group","2d1d1")/GETPIVOTDATA("Total-Old",'Distrib pivot table'!$C$2)&gt;0.0005,GETPIVOTDATA("Total-Old",'Distrib pivot table'!$C$2,"group","2d1d1")/GETPIVOTDATA("Total-Old",'Distrib pivot table'!$C$2),"*"))</f>
        <v>1.5858030429319455E-3</v>
      </c>
      <c r="E44" s="418" t="str">
        <f>IF((GETPIVOTDATA("Total-Old",'Distrib pivot table'!$C$2,"state","AL","group","2d1d1")/GETPIVOTDATA("Total-Old",'Distrib pivot table'!$C$2,"state","AL"))=0,,IF(GETPIVOTDATA("Total-Old",'Distrib pivot table'!$C$2,"state","AL","group","2d1d1")/GETPIVOTDATA("Total-Old",'Distrib pivot table'!$C$2,"state","AL")&gt;0.0005,GETPIVOTDATA("Total-Old",'Distrib pivot table'!$C$2,"state","AL","group","2d1d1")/GETPIVOTDATA("Total-Old",'Distrib pivot table'!$C$2,"state","AL"),"*"))</f>
        <v>*</v>
      </c>
      <c r="F44" s="418" t="str">
        <f>IF((GETPIVOTDATA("Total-Old",'Distrib pivot table'!$C$2,"state","AR","group","2d1d1")/GETPIVOTDATA("Total-Old",'Distrib pivot table'!$C$2,"state","AR"))=0,,IF(GETPIVOTDATA("Total-Old",'Distrib pivot table'!$C$2,"state","AR","group","2d1d1")/GETPIVOTDATA("Total-Old",'Distrib pivot table'!$C$2,"state","AR")&gt;0.0005,GETPIVOTDATA("Total-Old",'Distrib pivot table'!$C$2,"state","AR","group","2d1d1")/GETPIVOTDATA("Total-Old",'Distrib pivot table'!$C$2,"state","AR"),"*"))</f>
        <v>*</v>
      </c>
      <c r="G44" s="418" t="str">
        <f>IF((GETPIVOTDATA("Total-Old",'Distrib pivot table'!$C$2,"state","DE","group","2d1d1")/GETPIVOTDATA("Total-Old",'Distrib pivot table'!$C$2,"state","DE"))=0,,IF(GETPIVOTDATA("Total-Old",'Distrib pivot table'!$C$2,"state","DE","group","2d1d1")/GETPIVOTDATA("Total-Old",'Distrib pivot table'!$C$2,"state","DE")&gt;0.0005,GETPIVOTDATA("Total-Old",'Distrib pivot table'!$C$2,"state","DE","group","2d1d1")/GETPIVOTDATA("Total-Old",'Distrib pivot table'!$C$2,"state","DE"),"*"))</f>
        <v>*</v>
      </c>
      <c r="H44" s="418">
        <f>IF((GETPIVOTDATA("Total-Old",'Distrib pivot table'!$C$2,"state","FL","group","2d1d1")/GETPIVOTDATA("Total-Old",'Distrib pivot table'!$C$2,"state","FL"))=0,,IF(GETPIVOTDATA("Total-Old",'Distrib pivot table'!$C$2,"state","FL","group","2d1d1")/GETPIVOTDATA("Total-Old",'Distrib pivot table'!$C$2,"state","FL")&gt;0.0005,GETPIVOTDATA("Total-Old",'Distrib pivot table'!$C$2,"state","FL","group","2d1d1")/GETPIVOTDATA("Total-Old",'Distrib pivot table'!$C$2,"state","FL"),"*"))</f>
        <v>0</v>
      </c>
      <c r="I44" s="418">
        <f>IF((GETPIVOTDATA("Total-Old",'Distrib pivot table'!$C$2,"state","GA","group","2d1d1")/GETPIVOTDATA("Total-Old",'Distrib pivot table'!$C$2,"state","GA"))=0,,IF(GETPIVOTDATA("Total-Old",'Distrib pivot table'!$C$2,"state","GA","group","2d1d1")/GETPIVOTDATA("Total-Old",'Distrib pivot table'!$C$2,"state","GA")&gt;0.0005,GETPIVOTDATA("Total-Old",'Distrib pivot table'!$C$2,"state","GA","group","2d1d1")/GETPIVOTDATA("Total-Old",'Distrib pivot table'!$C$2,"state","GA"),"*"))</f>
        <v>0</v>
      </c>
      <c r="J44" s="418">
        <f>IF((GETPIVOTDATA("Total-Old",'Distrib pivot table'!$C$2,"state","KY","group","2d1d1")/GETPIVOTDATA("Total-Old",'Distrib pivot table'!$C$2,"state","KY"))=0,,IF(GETPIVOTDATA("Total-Old",'Distrib pivot table'!$C$2,"state","KY","group","2d1d1")/GETPIVOTDATA("Total-Old",'Distrib pivot table'!$C$2,"state","KY")&gt;0.0005,GETPIVOTDATA("Total-Old",'Distrib pivot table'!$C$2,"state","KY","group","2d1d1")/GETPIVOTDATA("Total-Old",'Distrib pivot table'!$C$2,"state","KY"),"*"))</f>
        <v>5.743843145782912E-3</v>
      </c>
      <c r="K44" s="418">
        <f>IF((GETPIVOTDATA("Total-Old",'Distrib pivot table'!$C$2,"state","LA","group","2d1d1")/GETPIVOTDATA("Total-Old",'Distrib pivot table'!$C$2,"state","LA"))=0,,IF(GETPIVOTDATA("Total-Old",'Distrib pivot table'!$C$2,"state","LA","group","2d1d1")/GETPIVOTDATA("Total-Old",'Distrib pivot table'!$C$2,"state","LA")&gt;0.0005,GETPIVOTDATA("Total-Old",'Distrib pivot table'!$C$2,"state","LA","group","2d1d1")/GETPIVOTDATA("Total-Old",'Distrib pivot table'!$C$2,"state","LA"),"*"))</f>
        <v>1.0660722465763079E-3</v>
      </c>
      <c r="L44" s="418">
        <f>IF((GETPIVOTDATA("Total-Old",'Distrib pivot table'!$C$2,"state","MD","group","2d1d1")/GETPIVOTDATA("Total-Old",'Distrib pivot table'!$C$2,"state","MD"))=0,,IF(GETPIVOTDATA("Total-Old",'Distrib pivot table'!$C$2,"state","MD","group","2d1d1")/GETPIVOTDATA("Total-Old",'Distrib pivot table'!$C$2,"state","MD")&gt;0.0005,GETPIVOTDATA("Total-Old",'Distrib pivot table'!$C$2,"state","MD","group","2d1d1")/GETPIVOTDATA("Total-Old",'Distrib pivot table'!$C$2,"state","MD"),"*"))</f>
        <v>4.2424452586284581E-3</v>
      </c>
      <c r="M44" s="418" t="str">
        <f>IF((GETPIVOTDATA("Total-Old",'Distrib pivot table'!$C$2,"state","MS","group","2d1d1")/GETPIVOTDATA("Total-Old",'Distrib pivot table'!$C$2,"state","MS"))=0,,IF(GETPIVOTDATA("Total-Old",'Distrib pivot table'!$C$2,"state","MS","group","2d1d1")/GETPIVOTDATA("Total-Old",'Distrib pivot table'!$C$2,"state","MS")&gt;0.0005,GETPIVOTDATA("Total-Old",'Distrib pivot table'!$C$2,"state","MS","group","2d1d1")/GETPIVOTDATA("Total-Old",'Distrib pivot table'!$C$2,"state","MS"),"*"))</f>
        <v>*</v>
      </c>
      <c r="N44" s="418">
        <f>IF((GETPIVOTDATA("Total-Old",'Distrib pivot table'!$C$2,"state","NC","group","2d1d1")/GETPIVOTDATA("Total-Old",'Distrib pivot table'!$C$2,"state","NC"))=0,,IF(GETPIVOTDATA("Total-Old",'Distrib pivot table'!$C$2,"state","NC","group","2d1d1")/GETPIVOTDATA("Total-Old",'Distrib pivot table'!$C$2,"state","NC")&gt;0.0005,GETPIVOTDATA("Total-Old",'Distrib pivot table'!$C$2,"state","NC","group","2d1d1")/GETPIVOTDATA("Total-Old",'Distrib pivot table'!$C$2,"state","NC"),"*"))</f>
        <v>0</v>
      </c>
      <c r="O44" s="418">
        <f>IF((GETPIVOTDATA("Total-Old",'Distrib pivot table'!$C$2,"state","OK","group","2d1d1")/GETPIVOTDATA("Total-Old",'Distrib pivot table'!$C$2,"state","OK"))=0,,IF(GETPIVOTDATA("Total-Old",'Distrib pivot table'!$C$2,"state","OK","group","2d1d1")/GETPIVOTDATA("Total-Old",'Distrib pivot table'!$C$2,"state","OK")&gt;0.0005,GETPIVOTDATA("Total-Old",'Distrib pivot table'!$C$2,"state","OK","group","2d1d1")/GETPIVOTDATA("Total-Old",'Distrib pivot table'!$C$2,"state","OK"),"*"))</f>
        <v>0</v>
      </c>
      <c r="P44" s="418">
        <f>IF((GETPIVOTDATA("Total-Old",'Distrib pivot table'!$C$2,"state","SC","group","2d1d1")/GETPIVOTDATA("Total-Old",'Distrib pivot table'!$C$2,"state","SC"))=0,,IF(GETPIVOTDATA("Total-Old",'Distrib pivot table'!$C$2,"state","SC","group","2d1d1")/GETPIVOTDATA("Total-Old",'Distrib pivot table'!$C$2,"state","SC")&gt;0.0005,GETPIVOTDATA("Total-Old",'Distrib pivot table'!$C$2,"state","SC","group","2d1d1")/GETPIVOTDATA("Total-Old",'Distrib pivot table'!$C$2,"state","SC"),"*"))</f>
        <v>1.6562010316076012E-3</v>
      </c>
      <c r="Q44" s="418">
        <f>IF((GETPIVOTDATA("Total-Old",'Distrib pivot table'!$C$2,"state","TN","group","2d1d1")/GETPIVOTDATA("Total-Old",'Distrib pivot table'!$C$2,"state","TN"))=0,,IF(GETPIVOTDATA("Total-Old",'Distrib pivot table'!$C$2,"state","TN","group","2d1d1")/GETPIVOTDATA("Total-Old",'Distrib pivot table'!$C$2,"state","TN")&gt;0.0005,GETPIVOTDATA("Total-Old",'Distrib pivot table'!$C$2,"state","TN","group","2d1d1")/GETPIVOTDATA("Total-Old",'Distrib pivot table'!$C$2,"state","TN"),"*"))</f>
        <v>1.584644728322842E-2</v>
      </c>
      <c r="R44" s="418">
        <f>IF((GETPIVOTDATA("Total-Old",'Distrib pivot table'!$C$2,"state","TX","group","2d1d1")/GETPIVOTDATA("Total-Old",'Distrib pivot table'!$C$2,"state","TX"))=0,,IF(GETPIVOTDATA("Total-Old",'Distrib pivot table'!$C$2,"state","TX","group","2d1d1")/GETPIVOTDATA("Total-Old",'Distrib pivot table'!$C$2,"state","TX")&gt;0.0005,GETPIVOTDATA("Total-Old",'Distrib pivot table'!$C$2,"state","TX","group","2d1d1")/GETPIVOTDATA("Total-Old",'Distrib pivot table'!$C$2,"state","TX"),"*"))</f>
        <v>0</v>
      </c>
      <c r="S44" s="418" t="str">
        <f>IF((GETPIVOTDATA("Total-Old",'Distrib pivot table'!$C$2,"state","VA","group","2d1d1")/GETPIVOTDATA("Total-Old",'Distrib pivot table'!$C$2,"state","VA"))=0,,IF(GETPIVOTDATA("Total-Old",'Distrib pivot table'!$C$2,"state","VA","group","2d1d1")/GETPIVOTDATA("Total-Old",'Distrib pivot table'!$C$2,"state","VA")&gt;0.0005,GETPIVOTDATA("Total-Old",'Distrib pivot table'!$C$2,"state","VA","group","2d1d1")/GETPIVOTDATA("Total-Old",'Distrib pivot table'!$C$2,"state","VA"),"*"))</f>
        <v>*</v>
      </c>
      <c r="T44" s="418">
        <f>IF((GETPIVOTDATA("Total-Old",'Distrib pivot table'!$C$2,"state","WV","group","2d1d1")/GETPIVOTDATA("Total-Old",'Distrib pivot table'!$C$2,"state","WV"))=0,,IF(GETPIVOTDATA("Total-Old",'Distrib pivot table'!$C$2,"state","WV","group","2d1d1")/GETPIVOTDATA("Total-Old",'Distrib pivot table'!$C$2,"state","WV")&gt;0.0005,GETPIVOTDATA("Total-Old",'Distrib pivot table'!$C$2,"state","WV","group","2d1d1")/GETPIVOTDATA("Total-Old",'Distrib pivot table'!$C$2,"state","WV"),"*"))</f>
        <v>4.8600930673285822E-3</v>
      </c>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t="12.6" customHeight="1">
      <c r="A45" s="1488"/>
      <c r="B45" s="127" t="s">
        <v>249</v>
      </c>
      <c r="C45" s="374" t="s">
        <v>219</v>
      </c>
      <c r="D45" s="418">
        <f>IF(GETPIVOTDATA("Total-Old",'Distrib pivot table'!$C$2,"group","2d1d2")/GETPIVOTDATA("Total-Old",'Distrib pivot table'!$C$2)=0,,IF(GETPIVOTDATA("Total-Old",'Distrib pivot table'!$C$2,"group","2d1d2")/GETPIVOTDATA("Total-Old",'Distrib pivot table'!$C$2)&gt;0.0005,GETPIVOTDATA("Total-Old",'Distrib pivot table'!$C$2,"group","2d1d2")/GETPIVOTDATA("Total-Old",'Distrib pivot table'!$C$2),"*"))</f>
        <v>2.3862184404946614E-3</v>
      </c>
      <c r="E45" s="418" t="str">
        <f>IF((GETPIVOTDATA("Total-Old",'Distrib pivot table'!$C$2,"state","AL","group","2d1d2")/GETPIVOTDATA("Total-Old",'Distrib pivot table'!$C$2,"state","AL"))=0,,IF(GETPIVOTDATA("Total-Old",'Distrib pivot table'!$C$2,"state","AL","group","2d1d2")/GETPIVOTDATA("Total-Old",'Distrib pivot table'!$C$2,"state","AL")&gt;0.0005,GETPIVOTDATA("Total-Old",'Distrib pivot table'!$C$2,"state","AL","group","2d1d2")/GETPIVOTDATA("Total-Old",'Distrib pivot table'!$C$2,"state","AL"),"*"))</f>
        <v>*</v>
      </c>
      <c r="F45" s="418">
        <f>IF((GETPIVOTDATA("Total-Old",'Distrib pivot table'!$C$2,"state","AR","group","2d1d2")/GETPIVOTDATA("Total-Old",'Distrib pivot table'!$C$2,"state","AR"))=0,,IF(GETPIVOTDATA("Total-Old",'Distrib pivot table'!$C$2,"state","AR","group","2d1d2")/GETPIVOTDATA("Total-Old",'Distrib pivot table'!$C$2,"state","AR")&gt;0.0005,GETPIVOTDATA("Total-Old",'Distrib pivot table'!$C$2,"state","AR","group","2d1d2")/GETPIVOTDATA("Total-Old",'Distrib pivot table'!$C$2,"state","AR"),"*"))</f>
        <v>8.7633510214260094E-3</v>
      </c>
      <c r="G45" s="418">
        <f>IF((GETPIVOTDATA("Total-Old",'Distrib pivot table'!$C$2,"state","DE","group","2d1d2")/GETPIVOTDATA("Total-Old",'Distrib pivot table'!$C$2,"state","DE"))=0,,IF(GETPIVOTDATA("Total-Old",'Distrib pivot table'!$C$2,"state","DE","group","2d1d2")/GETPIVOTDATA("Total-Old",'Distrib pivot table'!$C$2,"state","DE")&gt;0.0005,GETPIVOTDATA("Total-Old",'Distrib pivot table'!$C$2,"state","DE","group","2d1d2")/GETPIVOTDATA("Total-Old",'Distrib pivot table'!$C$2,"state","DE"),"*"))</f>
        <v>5.685921768110462E-4</v>
      </c>
      <c r="H45" s="418">
        <f>IF((GETPIVOTDATA("Total-Old",'Distrib pivot table'!$C$2,"state","FL","group","2d1d2")/GETPIVOTDATA("Total-Old",'Distrib pivot table'!$C$2,"state","FL"))=0,,IF(GETPIVOTDATA("Total-Old",'Distrib pivot table'!$C$2,"state","FL","group","2d1d2")/GETPIVOTDATA("Total-Old",'Distrib pivot table'!$C$2,"state","FL")&gt;0.0005,GETPIVOTDATA("Total-Old",'Distrib pivot table'!$C$2,"state","FL","group","2d1d2")/GETPIVOTDATA("Total-Old",'Distrib pivot table'!$C$2,"state","FL"),"*"))</f>
        <v>0</v>
      </c>
      <c r="I45" s="418" t="str">
        <f>IF((GETPIVOTDATA("Total-Old",'Distrib pivot table'!$C$2,"state","GA","group","2d1d2")/GETPIVOTDATA("Total-Old",'Distrib pivot table'!$C$2,"state","GA"))=0,,IF(GETPIVOTDATA("Total-Old",'Distrib pivot table'!$C$2,"state","GA","group","2d1d2")/GETPIVOTDATA("Total-Old",'Distrib pivot table'!$C$2,"state","GA")&gt;0.0005,GETPIVOTDATA("Total-Old",'Distrib pivot table'!$C$2,"state","GA","group","2d1d2")/GETPIVOTDATA("Total-Old",'Distrib pivot table'!$C$2,"state","GA"),"*"))</f>
        <v>*</v>
      </c>
      <c r="J45" s="418">
        <f>IF((GETPIVOTDATA("Total-Old",'Distrib pivot table'!$C$2,"state","KY","group","2d1d2")/GETPIVOTDATA("Total-Old",'Distrib pivot table'!$C$2,"state","KY"))=0,,IF(GETPIVOTDATA("Total-Old",'Distrib pivot table'!$C$2,"state","KY","group","2d1d2")/GETPIVOTDATA("Total-Old",'Distrib pivot table'!$C$2,"state","KY")&gt;0.0005,GETPIVOTDATA("Total-Old",'Distrib pivot table'!$C$2,"state","KY","group","2d1d2")/GETPIVOTDATA("Total-Old",'Distrib pivot table'!$C$2,"state","KY"),"*"))</f>
        <v>6.7456197215325234E-3</v>
      </c>
      <c r="K45" s="418">
        <f>IF((GETPIVOTDATA("Total-Old",'Distrib pivot table'!$C$2,"state","LA","group","2d1d2")/GETPIVOTDATA("Total-Old",'Distrib pivot table'!$C$2,"state","LA"))=0,,IF(GETPIVOTDATA("Total-Old",'Distrib pivot table'!$C$2,"state","LA","group","2d1d2")/GETPIVOTDATA("Total-Old",'Distrib pivot table'!$C$2,"state","LA")&gt;0.0005,GETPIVOTDATA("Total-Old",'Distrib pivot table'!$C$2,"state","LA","group","2d1d2")/GETPIVOTDATA("Total-Old",'Distrib pivot table'!$C$2,"state","LA"),"*"))</f>
        <v>6.785833812780754E-3</v>
      </c>
      <c r="L45" s="418" t="str">
        <f>IF((GETPIVOTDATA("Total-Old",'Distrib pivot table'!$C$2,"state","MD","group","2d1d2")/GETPIVOTDATA("Total-Old",'Distrib pivot table'!$C$2,"state","MD"))=0,,IF(GETPIVOTDATA("Total-Old",'Distrib pivot table'!$C$2,"state","MD","group","2d1d2")/GETPIVOTDATA("Total-Old",'Distrib pivot table'!$C$2,"state","MD")&gt;0.0005,GETPIVOTDATA("Total-Old",'Distrib pivot table'!$C$2,"state","MD","group","2d1d2")/GETPIVOTDATA("Total-Old",'Distrib pivot table'!$C$2,"state","MD"),"*"))</f>
        <v>*</v>
      </c>
      <c r="M45" s="418">
        <f>IF((GETPIVOTDATA("Total-Old",'Distrib pivot table'!$C$2,"state","MS","group","2d1d2")/GETPIVOTDATA("Total-Old",'Distrib pivot table'!$C$2,"state","MS"))=0,,IF(GETPIVOTDATA("Total-Old",'Distrib pivot table'!$C$2,"state","MS","group","2d1d2")/GETPIVOTDATA("Total-Old",'Distrib pivot table'!$C$2,"state","MS")&gt;0.0005,GETPIVOTDATA("Total-Old",'Distrib pivot table'!$C$2,"state","MS","group","2d1d2")/GETPIVOTDATA("Total-Old",'Distrib pivot table'!$C$2,"state","MS"),"*"))</f>
        <v>1.6820818715758403E-3</v>
      </c>
      <c r="N45" s="418">
        <f>IF((GETPIVOTDATA("Total-Old",'Distrib pivot table'!$C$2,"state","NC","group","2d1d2")/GETPIVOTDATA("Total-Old",'Distrib pivot table'!$C$2,"state","NC"))=0,,IF(GETPIVOTDATA("Total-Old",'Distrib pivot table'!$C$2,"state","NC","group","2d1d2")/GETPIVOTDATA("Total-Old",'Distrib pivot table'!$C$2,"state","NC")&gt;0.0005,GETPIVOTDATA("Total-Old",'Distrib pivot table'!$C$2,"state","NC","group","2d1d2")/GETPIVOTDATA("Total-Old",'Distrib pivot table'!$C$2,"state","NC"),"*"))</f>
        <v>0</v>
      </c>
      <c r="O45" s="418">
        <f>IF((GETPIVOTDATA("Total-Old",'Distrib pivot table'!$C$2,"state","OK","group","2d1d2")/GETPIVOTDATA("Total-Old",'Distrib pivot table'!$C$2,"state","OK"))=0,,IF(GETPIVOTDATA("Total-Old",'Distrib pivot table'!$C$2,"state","OK","group","2d1d2")/GETPIVOTDATA("Total-Old",'Distrib pivot table'!$C$2,"state","OK")&gt;0.0005,GETPIVOTDATA("Total-Old",'Distrib pivot table'!$C$2,"state","OK","group","2d1d2")/GETPIVOTDATA("Total-Old",'Distrib pivot table'!$C$2,"state","OK"),"*"))</f>
        <v>0</v>
      </c>
      <c r="P45" s="418">
        <f>IF((GETPIVOTDATA("Total-Old",'Distrib pivot table'!$C$2,"state","SC","group","2d1d2")/GETPIVOTDATA("Total-Old",'Distrib pivot table'!$C$2,"state","SC"))=0,,IF(GETPIVOTDATA("Total-Old",'Distrib pivot table'!$C$2,"state","SC","group","2d1d2")/GETPIVOTDATA("Total-Old",'Distrib pivot table'!$C$2,"state","SC")&gt;0.0005,GETPIVOTDATA("Total-Old",'Distrib pivot table'!$C$2,"state","SC","group","2d1d2")/GETPIVOTDATA("Total-Old",'Distrib pivot table'!$C$2,"state","SC"),"*"))</f>
        <v>1.5370892390647308E-2</v>
      </c>
      <c r="Q45" s="418">
        <f>IF((GETPIVOTDATA("Total-Old",'Distrib pivot table'!$C$2,"state","TN","group","2d1d2")/GETPIVOTDATA("Total-Old",'Distrib pivot table'!$C$2,"state","TN"))=0,,IF(GETPIVOTDATA("Total-Old",'Distrib pivot table'!$C$2,"state","TN","group","2d1d2")/GETPIVOTDATA("Total-Old",'Distrib pivot table'!$C$2,"state","TN")&gt;0.0005,GETPIVOTDATA("Total-Old",'Distrib pivot table'!$C$2,"state","TN","group","2d1d2")/GETPIVOTDATA("Total-Old",'Distrib pivot table'!$C$2,"state","TN"),"*"))</f>
        <v>1.3694147984016894E-2</v>
      </c>
      <c r="R45" s="418">
        <f>IF((GETPIVOTDATA("Total-Old",'Distrib pivot table'!$C$2,"state","TX","group","2d1d2")/GETPIVOTDATA("Total-Old",'Distrib pivot table'!$C$2,"state","TX"))=0,,IF(GETPIVOTDATA("Total-Old",'Distrib pivot table'!$C$2,"state","TX","group","2d1d2")/GETPIVOTDATA("Total-Old",'Distrib pivot table'!$C$2,"state","TX")&gt;0.0005,GETPIVOTDATA("Total-Old",'Distrib pivot table'!$C$2,"state","TX","group","2d1d2")/GETPIVOTDATA("Total-Old",'Distrib pivot table'!$C$2,"state","TX"),"*"))</f>
        <v>0</v>
      </c>
      <c r="S45" s="418">
        <f>IF((GETPIVOTDATA("Total-Old",'Distrib pivot table'!$C$2,"state","VA","group","2d1d2")/GETPIVOTDATA("Total-Old",'Distrib pivot table'!$C$2,"state","VA"))=0,,IF(GETPIVOTDATA("Total-Old",'Distrib pivot table'!$C$2,"state","VA","group","2d1d2")/GETPIVOTDATA("Total-Old",'Distrib pivot table'!$C$2,"state","VA")&gt;0.0005,GETPIVOTDATA("Total-Old",'Distrib pivot table'!$C$2,"state","VA","group","2d1d2")/GETPIVOTDATA("Total-Old",'Distrib pivot table'!$C$2,"state","VA"),"*"))</f>
        <v>0</v>
      </c>
      <c r="T45" s="418">
        <f>IF((GETPIVOTDATA("Total-Old",'Distrib pivot table'!$C$2,"state","WV","group","2d1d2")/GETPIVOTDATA("Total-Old",'Distrib pivot table'!$C$2,"state","WV"))=0,,IF(GETPIVOTDATA("Total-Old",'Distrib pivot table'!$C$2,"state","WV","group","2d1d2")/GETPIVOTDATA("Total-Old",'Distrib pivot table'!$C$2,"state","WV")&gt;0.0005,GETPIVOTDATA("Total-Old",'Distrib pivot table'!$C$2,"state","WV","group","2d1d2")/GETPIVOTDATA("Total-Old",'Distrib pivot table'!$C$2,"state","WV"),"*"))</f>
        <v>4.2541950684772721E-3</v>
      </c>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2.6" customHeight="1">
      <c r="A46" s="1488"/>
      <c r="B46" s="127" t="s">
        <v>121</v>
      </c>
      <c r="C46" s="374" t="s">
        <v>293</v>
      </c>
      <c r="D46" s="418" t="str">
        <f>IF(GETPIVOTDATA("Total-Old",'Distrib pivot table'!$C$2,"group","2d2")/GETPIVOTDATA("Total-Old",'Distrib pivot table'!$C$2)=0,,IF(GETPIVOTDATA("Total-Old",'Distrib pivot table'!$C$2,"group","2d2")/GETPIVOTDATA("Total-Old",'Distrib pivot table'!$C$2)&gt;0.0005,GETPIVOTDATA("Total-Old",'Distrib pivot table'!$C$2,"group","2d2")/GETPIVOTDATA("Total-Old",'Distrib pivot table'!$C$2),"*"))</f>
        <v>*</v>
      </c>
      <c r="E46" s="418">
        <f>IF((GETPIVOTDATA("Total-Old",'Distrib pivot table'!$C$2,"state","AL","group","2d2")/GETPIVOTDATA("Total-Old",'Distrib pivot table'!$C$2,"state","AL"))=0,,IF(GETPIVOTDATA("Total-Old",'Distrib pivot table'!$C$2,"state","AL","group","2d2")/GETPIVOTDATA("Total-Old",'Distrib pivot table'!$C$2,"state","AL")&gt;0.0005,GETPIVOTDATA("Total-Old",'Distrib pivot table'!$C$2,"state","AL","group","2d2")/GETPIVOTDATA("Total-Old",'Distrib pivot table'!$C$2,"state","AL"),"*"))</f>
        <v>0</v>
      </c>
      <c r="F46" s="418">
        <f>IF((GETPIVOTDATA("Total-Old",'Distrib pivot table'!$C$2,"state","AR","group","2d2")/GETPIVOTDATA("Total-Old",'Distrib pivot table'!$C$2,"state","AR"))=0,,IF(GETPIVOTDATA("Total-Old",'Distrib pivot table'!$C$2,"state","AR","group","2d2")/GETPIVOTDATA("Total-Old",'Distrib pivot table'!$C$2,"state","AR")&gt;0.0005,GETPIVOTDATA("Total-Old",'Distrib pivot table'!$C$2,"state","AR","group","2d2")/GETPIVOTDATA("Total-Old",'Distrib pivot table'!$C$2,"state","AR"),"*"))</f>
        <v>0</v>
      </c>
      <c r="G46" s="418">
        <f>IF((GETPIVOTDATA("Total-Old",'Distrib pivot table'!$C$2,"state","DE","group","2d2")/GETPIVOTDATA("Total-Old",'Distrib pivot table'!$C$2,"state","DE"))=0,,IF(GETPIVOTDATA("Total-Old",'Distrib pivot table'!$C$2,"state","DE","group","2d2")/GETPIVOTDATA("Total-Old",'Distrib pivot table'!$C$2,"state","DE")&gt;0.0005,GETPIVOTDATA("Total-Old",'Distrib pivot table'!$C$2,"state","DE","group","2d2")/GETPIVOTDATA("Total-Old",'Distrib pivot table'!$C$2,"state","DE"),"*"))</f>
        <v>0</v>
      </c>
      <c r="H46" s="418">
        <f>IF((GETPIVOTDATA("Total-Old",'Distrib pivot table'!$C$2,"state","FL","group","2d2")/GETPIVOTDATA("Total-Old",'Distrib pivot table'!$C$2,"state","FL"))=0,,IF(GETPIVOTDATA("Total-Old",'Distrib pivot table'!$C$2,"state","FL","group","2d2")/GETPIVOTDATA("Total-Old",'Distrib pivot table'!$C$2,"state","FL")&gt;0.0005,GETPIVOTDATA("Total-Old",'Distrib pivot table'!$C$2,"state","FL","group","2d2")/GETPIVOTDATA("Total-Old",'Distrib pivot table'!$C$2,"state","FL"),"*"))</f>
        <v>0</v>
      </c>
      <c r="I46" s="418">
        <f>IF((GETPIVOTDATA("Total-Old",'Distrib pivot table'!$C$2,"state","GA","group","2d2")/GETPIVOTDATA("Total-Old",'Distrib pivot table'!$C$2,"state","GA"))=0,,IF(GETPIVOTDATA("Total-Old",'Distrib pivot table'!$C$2,"state","GA","group","2d2")/GETPIVOTDATA("Total-Old",'Distrib pivot table'!$C$2,"state","GA")&gt;0.0005,GETPIVOTDATA("Total-Old",'Distrib pivot table'!$C$2,"state","GA","group","2d2")/GETPIVOTDATA("Total-Old",'Distrib pivot table'!$C$2,"state","GA"),"*"))</f>
        <v>0</v>
      </c>
      <c r="J46" s="418">
        <f>IF((GETPIVOTDATA("Total-Old",'Distrib pivot table'!$C$2,"state","KY","group","2d2")/GETPIVOTDATA("Total-Old",'Distrib pivot table'!$C$2,"state","KY"))=0,,IF(GETPIVOTDATA("Total-Old",'Distrib pivot table'!$C$2,"state","KY","group","2d2")/GETPIVOTDATA("Total-Old",'Distrib pivot table'!$C$2,"state","KY")&gt;0.0005,GETPIVOTDATA("Total-Old",'Distrib pivot table'!$C$2,"state","KY","group","2d2")/GETPIVOTDATA("Total-Old",'Distrib pivot table'!$C$2,"state","KY"),"*"))</f>
        <v>0</v>
      </c>
      <c r="K46" s="418">
        <f>IF((GETPIVOTDATA("Total-Old",'Distrib pivot table'!$C$2,"state","LA","group","2d2")/GETPIVOTDATA("Total-Old",'Distrib pivot table'!$C$2,"state","LA"))=0,,IF(GETPIVOTDATA("Total-Old",'Distrib pivot table'!$C$2,"state","LA","group","2d2")/GETPIVOTDATA("Total-Old",'Distrib pivot table'!$C$2,"state","LA")&gt;0.0005,GETPIVOTDATA("Total-Old",'Distrib pivot table'!$C$2,"state","LA","group","2d2")/GETPIVOTDATA("Total-Old",'Distrib pivot table'!$C$2,"state","LA"),"*"))</f>
        <v>0</v>
      </c>
      <c r="L46" s="418">
        <f>IF((GETPIVOTDATA("Total-Old",'Distrib pivot table'!$C$2,"state","MD","group","2d2")/GETPIVOTDATA("Total-Old",'Distrib pivot table'!$C$2,"state","MD"))=0,,IF(GETPIVOTDATA("Total-Old",'Distrib pivot table'!$C$2,"state","MD","group","2d2")/GETPIVOTDATA("Total-Old",'Distrib pivot table'!$C$2,"state","MD")&gt;0.0005,GETPIVOTDATA("Total-Old",'Distrib pivot table'!$C$2,"state","MD","group","2d2")/GETPIVOTDATA("Total-Old",'Distrib pivot table'!$C$2,"state","MD"),"*"))</f>
        <v>0</v>
      </c>
      <c r="M46" s="418">
        <f>IF((GETPIVOTDATA("Total-Old",'Distrib pivot table'!$C$2,"state","MS","group","2d2")/GETPIVOTDATA("Total-Old",'Distrib pivot table'!$C$2,"state","MS"))=0,,IF(GETPIVOTDATA("Total-Old",'Distrib pivot table'!$C$2,"state","MS","group","2d2")/GETPIVOTDATA("Total-Old",'Distrib pivot table'!$C$2,"state","MS")&gt;0.0005,GETPIVOTDATA("Total-Old",'Distrib pivot table'!$C$2,"state","MS","group","2d2")/GETPIVOTDATA("Total-Old",'Distrib pivot table'!$C$2,"state","MS"),"*"))</f>
        <v>0</v>
      </c>
      <c r="N46" s="418">
        <f>IF((GETPIVOTDATA("Total-Old",'Distrib pivot table'!$C$2,"state","NC","group","2d2")/GETPIVOTDATA("Total-Old",'Distrib pivot table'!$C$2,"state","NC"))=0,,IF(GETPIVOTDATA("Total-Old",'Distrib pivot table'!$C$2,"state","NC","group","2d2")/GETPIVOTDATA("Total-Old",'Distrib pivot table'!$C$2,"state","NC")&gt;0.0005,GETPIVOTDATA("Total-Old",'Distrib pivot table'!$C$2,"state","NC","group","2d2")/GETPIVOTDATA("Total-Old",'Distrib pivot table'!$C$2,"state","NC"),"*"))</f>
        <v>0</v>
      </c>
      <c r="O46" s="418">
        <f>IF((GETPIVOTDATA("Total-Old",'Distrib pivot table'!$C$2,"state","OK","group","2d2")/GETPIVOTDATA("Total-Old",'Distrib pivot table'!$C$2,"state","OK"))=0,,IF(GETPIVOTDATA("Total-Old",'Distrib pivot table'!$C$2,"state","OK","group","2d2")/GETPIVOTDATA("Total-Old",'Distrib pivot table'!$C$2,"state","OK")&gt;0.0005,GETPIVOTDATA("Total-Old",'Distrib pivot table'!$C$2,"state","OK","group","2d2")/GETPIVOTDATA("Total-Old",'Distrib pivot table'!$C$2,"state","OK"),"*"))</f>
        <v>0</v>
      </c>
      <c r="P46" s="418">
        <f>IF((GETPIVOTDATA("Total-Old",'Distrib pivot table'!$C$2,"state","SC","group","2d2")/GETPIVOTDATA("Total-Old",'Distrib pivot table'!$C$2,"state","SC"))=0,,IF(GETPIVOTDATA("Total-Old",'Distrib pivot table'!$C$2,"state","SC","group","2d2")/GETPIVOTDATA("Total-Old",'Distrib pivot table'!$C$2,"state","SC")&gt;0.0005,GETPIVOTDATA("Total-Old",'Distrib pivot table'!$C$2,"state","SC","group","2d2")/GETPIVOTDATA("Total-Old",'Distrib pivot table'!$C$2,"state","SC"),"*"))</f>
        <v>0</v>
      </c>
      <c r="Q46" s="418">
        <f>IF((GETPIVOTDATA("Total-Old",'Distrib pivot table'!$C$2,"state","TN","group","2d2")/GETPIVOTDATA("Total-Old",'Distrib pivot table'!$C$2,"state","TN"))=0,,IF(GETPIVOTDATA("Total-Old",'Distrib pivot table'!$C$2,"state","TN","group","2d2")/GETPIVOTDATA("Total-Old",'Distrib pivot table'!$C$2,"state","TN")&gt;0.0005,GETPIVOTDATA("Total-Old",'Distrib pivot table'!$C$2,"state","TN","group","2d2")/GETPIVOTDATA("Total-Old",'Distrib pivot table'!$C$2,"state","TN"),"*"))</f>
        <v>0</v>
      </c>
      <c r="R46" s="418">
        <f>IF((GETPIVOTDATA("Total-Old",'Distrib pivot table'!$C$2,"state","TX","group","2d2")/GETPIVOTDATA("Total-Old",'Distrib pivot table'!$C$2,"state","TX"))=0,,IF(GETPIVOTDATA("Total-Old",'Distrib pivot table'!$C$2,"state","TX","group","2d2")/GETPIVOTDATA("Total-Old",'Distrib pivot table'!$C$2,"state","TX")&gt;0.0005,GETPIVOTDATA("Total-Old",'Distrib pivot table'!$C$2,"state","TX","group","2d2")/GETPIVOTDATA("Total-Old",'Distrib pivot table'!$C$2,"state","TX"),"*"))</f>
        <v>0</v>
      </c>
      <c r="S46" s="418" t="str">
        <f>IF((GETPIVOTDATA("Total-Old",'Distrib pivot table'!$C$2,"state","VA","group","2d2")/GETPIVOTDATA("Total-Old",'Distrib pivot table'!$C$2,"state","VA"))=0,,IF(GETPIVOTDATA("Total-Old",'Distrib pivot table'!$C$2,"state","VA","group","2d2")/GETPIVOTDATA("Total-Old",'Distrib pivot table'!$C$2,"state","VA")&gt;0.0005,GETPIVOTDATA("Total-Old",'Distrib pivot table'!$C$2,"state","VA","group","2d2")/GETPIVOTDATA("Total-Old",'Distrib pivot table'!$C$2,"state","VA"),"*"))</f>
        <v>*</v>
      </c>
      <c r="T46" s="418">
        <f>IF((GETPIVOTDATA("Total-Old",'Distrib pivot table'!$C$2,"state","WV","group","2d2")/GETPIVOTDATA("Total-Old",'Distrib pivot table'!$C$2,"state","WV"))=0,,IF(GETPIVOTDATA("Total-Old",'Distrib pivot table'!$C$2,"state","WV","group","2d2")/GETPIVOTDATA("Total-Old",'Distrib pivot table'!$C$2,"state","WV")&gt;0.0005,GETPIVOTDATA("Total-Old",'Distrib pivot table'!$C$2,"state","WV","group","2d2")/GETPIVOTDATA("Total-Old",'Distrib pivot table'!$C$2,"state","WV"),"*"))</f>
        <v>0</v>
      </c>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2.6" customHeight="1">
      <c r="A47" s="1488"/>
      <c r="B47" s="127" t="s">
        <v>311</v>
      </c>
      <c r="C47" s="374" t="s">
        <v>252</v>
      </c>
      <c r="D47" s="418">
        <f>IF(GETPIVOTDATA("Total-Old",'Distrib pivot table'!$C$2,"group","2d2a")/GETPIVOTDATA("Total-Old",'Distrib pivot table'!$C$2)=0,,IF(GETPIVOTDATA("Total-Old",'Distrib pivot table'!$C$2,"group","2d2a")/GETPIVOTDATA("Total-Old",'Distrib pivot table'!$C$2)&gt;0.0005,GETPIVOTDATA("Total-Old",'Distrib pivot table'!$C$2,"group","2d2a")/GETPIVOTDATA("Total-Old",'Distrib pivot table'!$C$2),"*"))</f>
        <v>6.516487209660045E-3</v>
      </c>
      <c r="E47" s="418">
        <f>IF((GETPIVOTDATA("Total-Old",'Distrib pivot table'!$C$2,"state","AL","group","2d2a")/GETPIVOTDATA("Total-Old",'Distrib pivot table'!$C$2,"state","AL"))=0,,IF(GETPIVOTDATA("Total-Old",'Distrib pivot table'!$C$2,"state","AL","group","2d2a")/GETPIVOTDATA("Total-Old",'Distrib pivot table'!$C$2,"state","AL")&gt;0.0005,GETPIVOTDATA("Total-Old",'Distrib pivot table'!$C$2,"state","AL","group","2d2a")/GETPIVOTDATA("Total-Old",'Distrib pivot table'!$C$2,"state","AL"),"*"))</f>
        <v>0</v>
      </c>
      <c r="F47" s="418">
        <f>IF((GETPIVOTDATA("Total-Old",'Distrib pivot table'!$C$2,"state","AR","group","2d2a")/GETPIVOTDATA("Total-Old",'Distrib pivot table'!$C$2,"state","AR"))=0,,IF(GETPIVOTDATA("Total-Old",'Distrib pivot table'!$C$2,"state","AR","group","2d2a")/GETPIVOTDATA("Total-Old",'Distrib pivot table'!$C$2,"state","AR")&gt;0.0005,GETPIVOTDATA("Total-Old",'Distrib pivot table'!$C$2,"state","AR","group","2d2a")/GETPIVOTDATA("Total-Old",'Distrib pivot table'!$C$2,"state","AR"),"*"))</f>
        <v>0</v>
      </c>
      <c r="G47" s="418">
        <f>IF((GETPIVOTDATA("Total-Old",'Distrib pivot table'!$C$2,"state","DE","group","2d2a")/GETPIVOTDATA("Total-Old",'Distrib pivot table'!$C$2,"state","DE"))=0,,IF(GETPIVOTDATA("Total-Old",'Distrib pivot table'!$C$2,"state","DE","group","2d2a")/GETPIVOTDATA("Total-Old",'Distrib pivot table'!$C$2,"state","DE")&gt;0.0005,GETPIVOTDATA("Total-Old",'Distrib pivot table'!$C$2,"state","DE","group","2d2a")/GETPIVOTDATA("Total-Old",'Distrib pivot table'!$C$2,"state","DE"),"*"))</f>
        <v>0</v>
      </c>
      <c r="H47" s="418">
        <f>IF((GETPIVOTDATA("Total-Old",'Distrib pivot table'!$C$2,"state","FL","group","2d2a")/GETPIVOTDATA("Total-Old",'Distrib pivot table'!$C$2,"state","FL"))=0,,IF(GETPIVOTDATA("Total-Old",'Distrib pivot table'!$C$2,"state","FL","group","2d2a")/GETPIVOTDATA("Total-Old",'Distrib pivot table'!$C$2,"state","FL")&gt;0.0005,GETPIVOTDATA("Total-Old",'Distrib pivot table'!$C$2,"state","FL","group","2d2a")/GETPIVOTDATA("Total-Old",'Distrib pivot table'!$C$2,"state","FL"),"*"))</f>
        <v>1.5500973519627627E-2</v>
      </c>
      <c r="I47" s="418">
        <f>IF((GETPIVOTDATA("Total-Old",'Distrib pivot table'!$C$2,"state","GA","group","2d2a")/GETPIVOTDATA("Total-Old",'Distrib pivot table'!$C$2,"state","GA"))=0,,IF(GETPIVOTDATA("Total-Old",'Distrib pivot table'!$C$2,"state","GA","group","2d2a")/GETPIVOTDATA("Total-Old",'Distrib pivot table'!$C$2,"state","GA")&gt;0.0005,GETPIVOTDATA("Total-Old",'Distrib pivot table'!$C$2,"state","GA","group","2d2a")/GETPIVOTDATA("Total-Old",'Distrib pivot table'!$C$2,"state","GA"),"*"))</f>
        <v>0</v>
      </c>
      <c r="J47" s="418">
        <f>IF((GETPIVOTDATA("Total-Old",'Distrib pivot table'!$C$2,"state","KY","group","2d2a")/GETPIVOTDATA("Total-Old",'Distrib pivot table'!$C$2,"state","KY"))=0,,IF(GETPIVOTDATA("Total-Old",'Distrib pivot table'!$C$2,"state","KY","group","2d2a")/GETPIVOTDATA("Total-Old",'Distrib pivot table'!$C$2,"state","KY")&gt;0.0005,GETPIVOTDATA("Total-Old",'Distrib pivot table'!$C$2,"state","KY","group","2d2a")/GETPIVOTDATA("Total-Old",'Distrib pivot table'!$C$2,"state","KY"),"*"))</f>
        <v>0</v>
      </c>
      <c r="K47" s="418">
        <f>IF((GETPIVOTDATA("Total-Old",'Distrib pivot table'!$C$2,"state","LA","group","2d2a")/GETPIVOTDATA("Total-Old",'Distrib pivot table'!$C$2,"state","LA"))=0,,IF(GETPIVOTDATA("Total-Old",'Distrib pivot table'!$C$2,"state","LA","group","2d2a")/GETPIVOTDATA("Total-Old",'Distrib pivot table'!$C$2,"state","LA")&gt;0.0005,GETPIVOTDATA("Total-Old",'Distrib pivot table'!$C$2,"state","LA","group","2d2a")/GETPIVOTDATA("Total-Old",'Distrib pivot table'!$C$2,"state","LA"),"*"))</f>
        <v>0</v>
      </c>
      <c r="L47" s="418">
        <f>IF((GETPIVOTDATA("Total-Old",'Distrib pivot table'!$C$2,"state","MD","group","2d2a")/GETPIVOTDATA("Total-Old",'Distrib pivot table'!$C$2,"state","MD"))=0,,IF(GETPIVOTDATA("Total-Old",'Distrib pivot table'!$C$2,"state","MD","group","2d2a")/GETPIVOTDATA("Total-Old",'Distrib pivot table'!$C$2,"state","MD")&gt;0.0005,GETPIVOTDATA("Total-Old",'Distrib pivot table'!$C$2,"state","MD","group","2d2a")/GETPIVOTDATA("Total-Old",'Distrib pivot table'!$C$2,"state","MD"),"*"))</f>
        <v>0</v>
      </c>
      <c r="M47" s="418" t="str">
        <f>IF((GETPIVOTDATA("Total-Old",'Distrib pivot table'!$C$2,"state","MS","group","2d2a")/GETPIVOTDATA("Total-Old",'Distrib pivot table'!$C$2,"state","MS"))=0,,IF(GETPIVOTDATA("Total-Old",'Distrib pivot table'!$C$2,"state","MS","group","2d2a")/GETPIVOTDATA("Total-Old",'Distrib pivot table'!$C$2,"state","MS")&gt;0.0005,GETPIVOTDATA("Total-Old",'Distrib pivot table'!$C$2,"state","MS","group","2d2a")/GETPIVOTDATA("Total-Old",'Distrib pivot table'!$C$2,"state","MS"),"*"))</f>
        <v>*</v>
      </c>
      <c r="N47" s="418">
        <f>IF((GETPIVOTDATA("Total-Old",'Distrib pivot table'!$C$2,"state","NC","group","2d2a")/GETPIVOTDATA("Total-Old",'Distrib pivot table'!$C$2,"state","NC"))=0,,IF(GETPIVOTDATA("Total-Old",'Distrib pivot table'!$C$2,"state","NC","group","2d2a")/GETPIVOTDATA("Total-Old",'Distrib pivot table'!$C$2,"state","NC")&gt;0.0005,GETPIVOTDATA("Total-Old",'Distrib pivot table'!$C$2,"state","NC","group","2d2a")/GETPIVOTDATA("Total-Old",'Distrib pivot table'!$C$2,"state","NC"),"*"))</f>
        <v>2.1756428449979902E-2</v>
      </c>
      <c r="O47" s="418">
        <f>IF((GETPIVOTDATA("Total-Old",'Distrib pivot table'!$C$2,"state","OK","group","2d2a")/GETPIVOTDATA("Total-Old",'Distrib pivot table'!$C$2,"state","OK"))=0,,IF(GETPIVOTDATA("Total-Old",'Distrib pivot table'!$C$2,"state","OK","group","2d2a")/GETPIVOTDATA("Total-Old",'Distrib pivot table'!$C$2,"state","OK")&gt;0.0005,GETPIVOTDATA("Total-Old",'Distrib pivot table'!$C$2,"state","OK","group","2d2a")/GETPIVOTDATA("Total-Old",'Distrib pivot table'!$C$2,"state","OK"),"*"))</f>
        <v>0</v>
      </c>
      <c r="P47" s="418">
        <f>IF((GETPIVOTDATA("Total-Old",'Distrib pivot table'!$C$2,"state","SC","group","2d2a")/GETPIVOTDATA("Total-Old",'Distrib pivot table'!$C$2,"state","SC"))=0,,IF(GETPIVOTDATA("Total-Old",'Distrib pivot table'!$C$2,"state","SC","group","2d2a")/GETPIVOTDATA("Total-Old",'Distrib pivot table'!$C$2,"state","SC")&gt;0.0005,GETPIVOTDATA("Total-Old",'Distrib pivot table'!$C$2,"state","SC","group","2d2a")/GETPIVOTDATA("Total-Old",'Distrib pivot table'!$C$2,"state","SC"),"*"))</f>
        <v>0</v>
      </c>
      <c r="Q47" s="418">
        <f>IF((GETPIVOTDATA("Total-Old",'Distrib pivot table'!$C$2,"state","TN","group","2d2a")/GETPIVOTDATA("Total-Old",'Distrib pivot table'!$C$2,"state","TN"))=0,,IF(GETPIVOTDATA("Total-Old",'Distrib pivot table'!$C$2,"state","TN","group","2d2a")/GETPIVOTDATA("Total-Old",'Distrib pivot table'!$C$2,"state","TN")&gt;0.0005,GETPIVOTDATA("Total-Old",'Distrib pivot table'!$C$2,"state","TN","group","2d2a")/GETPIVOTDATA("Total-Old",'Distrib pivot table'!$C$2,"state","TN"),"*"))</f>
        <v>0</v>
      </c>
      <c r="R47" s="418">
        <f>IF((GETPIVOTDATA("Total-Old",'Distrib pivot table'!$C$2,"state","TX","group","2d2a")/GETPIVOTDATA("Total-Old",'Distrib pivot table'!$C$2,"state","TX"))=0,,IF(GETPIVOTDATA("Total-Old",'Distrib pivot table'!$C$2,"state","TX","group","2d2a")/GETPIVOTDATA("Total-Old",'Distrib pivot table'!$C$2,"state","TX")&gt;0.0005,GETPIVOTDATA("Total-Old",'Distrib pivot table'!$C$2,"state","TX","group","2d2a")/GETPIVOTDATA("Total-Old",'Distrib pivot table'!$C$2,"state","TX"),"*"))</f>
        <v>0</v>
      </c>
      <c r="S47" s="418">
        <f>IF((GETPIVOTDATA("Total-Old",'Distrib pivot table'!$C$2,"state","VA","group","2d2a")/GETPIVOTDATA("Total-Old",'Distrib pivot table'!$C$2,"state","VA"))=0,,IF(GETPIVOTDATA("Total-Old",'Distrib pivot table'!$C$2,"state","VA","group","2d2a")/GETPIVOTDATA("Total-Old",'Distrib pivot table'!$C$2,"state","VA")&gt;0.0005,GETPIVOTDATA("Total-Old",'Distrib pivot table'!$C$2,"state","VA","group","2d2a")/GETPIVOTDATA("Total-Old",'Distrib pivot table'!$C$2,"state","VA"),"*"))</f>
        <v>3.6223083422999236E-2</v>
      </c>
      <c r="T47" s="418">
        <f>IF((GETPIVOTDATA("Total-Old",'Distrib pivot table'!$C$2,"state","WV","group","2d2a")/GETPIVOTDATA("Total-Old",'Distrib pivot table'!$C$2,"state","WV"))=0,,IF(GETPIVOTDATA("Total-Old",'Distrib pivot table'!$C$2,"state","WV","group","2d2a")/GETPIVOTDATA("Total-Old",'Distrib pivot table'!$C$2,"state","WV")&gt;0.0005,GETPIVOTDATA("Total-Old",'Distrib pivot table'!$C$2,"state","WV","group","2d2a")/GETPIVOTDATA("Total-Old",'Distrib pivot table'!$C$2,"state","WV"),"*"))</f>
        <v>0</v>
      </c>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2.6" customHeight="1">
      <c r="A48" s="1488"/>
      <c r="B48" s="127" t="s">
        <v>249</v>
      </c>
      <c r="C48" s="374" t="s">
        <v>253</v>
      </c>
      <c r="D48" s="418">
        <f>IF(GETPIVOTDATA("Total-Old",'Distrib pivot table'!$C$2,"group","2d2b")/GETPIVOTDATA("Total-Old",'Distrib pivot table'!$C$2)=0,,IF(GETPIVOTDATA("Total-Old",'Distrib pivot table'!$C$2,"group","2d2b")/GETPIVOTDATA("Total-Old",'Distrib pivot table'!$C$2)&gt;0.0005,GETPIVOTDATA("Total-Old",'Distrib pivot table'!$C$2,"group","2d2b")/GETPIVOTDATA("Total-Old",'Distrib pivot table'!$C$2),"*"))</f>
        <v>7.5151117724327147E-3</v>
      </c>
      <c r="E48" s="418" t="str">
        <f>IF((GETPIVOTDATA("Total-Old",'Distrib pivot table'!$C$2,"state","AL","group","2d2b")/GETPIVOTDATA("Total-Old",'Distrib pivot table'!$C$2,"state","AL"))=0,,IF(GETPIVOTDATA("Total-Old",'Distrib pivot table'!$C$2,"state","AL","group","2d2b")/GETPIVOTDATA("Total-Old",'Distrib pivot table'!$C$2,"state","AL")&gt;0.0005,GETPIVOTDATA("Total-Old",'Distrib pivot table'!$C$2,"state","AL","group","2d2b")/GETPIVOTDATA("Total-Old",'Distrib pivot table'!$C$2,"state","AL"),"*"))</f>
        <v>*</v>
      </c>
      <c r="F48" s="418" t="str">
        <f>IF((GETPIVOTDATA("Total-Old",'Distrib pivot table'!$C$2,"state","AR","group","2d2b")/GETPIVOTDATA("Total-Old",'Distrib pivot table'!$C$2,"state","AR"))=0,,IF(GETPIVOTDATA("Total-Old",'Distrib pivot table'!$C$2,"state","AR","group","2d2b")/GETPIVOTDATA("Total-Old",'Distrib pivot table'!$C$2,"state","AR")&gt;0.0005,GETPIVOTDATA("Total-Old",'Distrib pivot table'!$C$2,"state","AR","group","2d2b")/GETPIVOTDATA("Total-Old",'Distrib pivot table'!$C$2,"state","AR"),"*"))</f>
        <v>*</v>
      </c>
      <c r="G48" s="418">
        <f>IF((GETPIVOTDATA("Total-Old",'Distrib pivot table'!$C$2,"state","DE","group","2d2b")/GETPIVOTDATA("Total-Old",'Distrib pivot table'!$C$2,"state","DE"))=0,,IF(GETPIVOTDATA("Total-Old",'Distrib pivot table'!$C$2,"state","DE","group","2d2b")/GETPIVOTDATA("Total-Old",'Distrib pivot table'!$C$2,"state","DE")&gt;0.0005,GETPIVOTDATA("Total-Old",'Distrib pivot table'!$C$2,"state","DE","group","2d2b")/GETPIVOTDATA("Total-Old",'Distrib pivot table'!$C$2,"state","DE"),"*"))</f>
        <v>0</v>
      </c>
      <c r="H48" s="418" t="str">
        <f>IF((GETPIVOTDATA("Total-Old",'Distrib pivot table'!$C$2,"state","FL","group","2d2b")/GETPIVOTDATA("Total-Old",'Distrib pivot table'!$C$2,"state","FL"))=0,,IF(GETPIVOTDATA("Total-Old",'Distrib pivot table'!$C$2,"state","FL","group","2d2b")/GETPIVOTDATA("Total-Old",'Distrib pivot table'!$C$2,"state","FL")&gt;0.0005,GETPIVOTDATA("Total-Old",'Distrib pivot table'!$C$2,"state","FL","group","2d2b")/GETPIVOTDATA("Total-Old",'Distrib pivot table'!$C$2,"state","FL"),"*"))</f>
        <v>*</v>
      </c>
      <c r="I48" s="418">
        <f>IF((GETPIVOTDATA("Total-Old",'Distrib pivot table'!$C$2,"state","GA","group","2d2b")/GETPIVOTDATA("Total-Old",'Distrib pivot table'!$C$2,"state","GA"))=0,,IF(GETPIVOTDATA("Total-Old",'Distrib pivot table'!$C$2,"state","GA","group","2d2b")/GETPIVOTDATA("Total-Old",'Distrib pivot table'!$C$2,"state","GA")&gt;0.0005,GETPIVOTDATA("Total-Old",'Distrib pivot table'!$C$2,"state","GA","group","2d2b")/GETPIVOTDATA("Total-Old",'Distrib pivot table'!$C$2,"state","GA"),"*"))</f>
        <v>8.7601795745997108E-2</v>
      </c>
      <c r="J48" s="418">
        <f>IF((GETPIVOTDATA("Total-Old",'Distrib pivot table'!$C$2,"state","KY","group","2d2b")/GETPIVOTDATA("Total-Old",'Distrib pivot table'!$C$2,"state","KY"))=0,,IF(GETPIVOTDATA("Total-Old",'Distrib pivot table'!$C$2,"state","KY","group","2d2b")/GETPIVOTDATA("Total-Old",'Distrib pivot table'!$C$2,"state","KY")&gt;0.0005,GETPIVOTDATA("Total-Old",'Distrib pivot table'!$C$2,"state","KY","group","2d2b")/GETPIVOTDATA("Total-Old",'Distrib pivot table'!$C$2,"state","KY"),"*"))</f>
        <v>0</v>
      </c>
      <c r="K48" s="418" t="str">
        <f>IF((GETPIVOTDATA("Total-Old",'Distrib pivot table'!$C$2,"state","LA","group","2d2b")/GETPIVOTDATA("Total-Old",'Distrib pivot table'!$C$2,"state","LA"))=0,,IF(GETPIVOTDATA("Total-Old",'Distrib pivot table'!$C$2,"state","LA","group","2d2b")/GETPIVOTDATA("Total-Old",'Distrib pivot table'!$C$2,"state","LA")&gt;0.0005,GETPIVOTDATA("Total-Old",'Distrib pivot table'!$C$2,"state","LA","group","2d2b")/GETPIVOTDATA("Total-Old",'Distrib pivot table'!$C$2,"state","LA"),"*"))</f>
        <v>*</v>
      </c>
      <c r="L48" s="418">
        <f>IF((GETPIVOTDATA("Total-Old",'Distrib pivot table'!$C$2,"state","MD","group","2d2b")/GETPIVOTDATA("Total-Old",'Distrib pivot table'!$C$2,"state","MD"))=0,,IF(GETPIVOTDATA("Total-Old",'Distrib pivot table'!$C$2,"state","MD","group","2d2b")/GETPIVOTDATA("Total-Old",'Distrib pivot table'!$C$2,"state","MD")&gt;0.0005,GETPIVOTDATA("Total-Old",'Distrib pivot table'!$C$2,"state","MD","group","2d2b")/GETPIVOTDATA("Total-Old",'Distrib pivot table'!$C$2,"state","MD"),"*"))</f>
        <v>0</v>
      </c>
      <c r="M48" s="418">
        <f>IF((GETPIVOTDATA("Total-Old",'Distrib pivot table'!$C$2,"state","MS","group","2d2b")/GETPIVOTDATA("Total-Old",'Distrib pivot table'!$C$2,"state","MS"))=0,,IF(GETPIVOTDATA("Total-Old",'Distrib pivot table'!$C$2,"state","MS","group","2d2b")/GETPIVOTDATA("Total-Old",'Distrib pivot table'!$C$2,"state","MS")&gt;0.0005,GETPIVOTDATA("Total-Old",'Distrib pivot table'!$C$2,"state","MS","group","2d2b")/GETPIVOTDATA("Total-Old",'Distrib pivot table'!$C$2,"state","MS"),"*"))</f>
        <v>4.8230845615119811E-3</v>
      </c>
      <c r="N48" s="418">
        <f>IF((GETPIVOTDATA("Total-Old",'Distrib pivot table'!$C$2,"state","NC","group","2d2b")/GETPIVOTDATA("Total-Old",'Distrib pivot table'!$C$2,"state","NC"))=0,,IF(GETPIVOTDATA("Total-Old",'Distrib pivot table'!$C$2,"state","NC","group","2d2b")/GETPIVOTDATA("Total-Old",'Distrib pivot table'!$C$2,"state","NC")&gt;0.0005,GETPIVOTDATA("Total-Old",'Distrib pivot table'!$C$2,"state","NC","group","2d2b")/GETPIVOTDATA("Total-Old",'Distrib pivot table'!$C$2,"state","NC"),"*"))</f>
        <v>7.7027778957958822E-4</v>
      </c>
      <c r="O48" s="418">
        <f>IF((GETPIVOTDATA("Total-Old",'Distrib pivot table'!$C$2,"state","OK","group","2d2b")/GETPIVOTDATA("Total-Old",'Distrib pivot table'!$C$2,"state","OK"))=0,,IF(GETPIVOTDATA("Total-Old",'Distrib pivot table'!$C$2,"state","OK","group","2d2b")/GETPIVOTDATA("Total-Old",'Distrib pivot table'!$C$2,"state","OK")&gt;0.0005,GETPIVOTDATA("Total-Old",'Distrib pivot table'!$C$2,"state","OK","group","2d2b")/GETPIVOTDATA("Total-Old",'Distrib pivot table'!$C$2,"state","OK"),"*"))</f>
        <v>0</v>
      </c>
      <c r="P48" s="418">
        <f>IF((GETPIVOTDATA("Total-Old",'Distrib pivot table'!$C$2,"state","SC","group","2d2b")/GETPIVOTDATA("Total-Old",'Distrib pivot table'!$C$2,"state","SC"))=0,,IF(GETPIVOTDATA("Total-Old",'Distrib pivot table'!$C$2,"state","SC","group","2d2b")/GETPIVOTDATA("Total-Old",'Distrib pivot table'!$C$2,"state","SC")&gt;0.0005,GETPIVOTDATA("Total-Old",'Distrib pivot table'!$C$2,"state","SC","group","2d2b")/GETPIVOTDATA("Total-Old",'Distrib pivot table'!$C$2,"state","SC"),"*"))</f>
        <v>0</v>
      </c>
      <c r="Q48" s="418">
        <f>IF((GETPIVOTDATA("Total-Old",'Distrib pivot table'!$C$2,"state","TN","group","2d2b")/GETPIVOTDATA("Total-Old",'Distrib pivot table'!$C$2,"state","TN"))=0,,IF(GETPIVOTDATA("Total-Old",'Distrib pivot table'!$C$2,"state","TN","group","2d2b")/GETPIVOTDATA("Total-Old",'Distrib pivot table'!$C$2,"state","TN")&gt;0.0005,GETPIVOTDATA("Total-Old",'Distrib pivot table'!$C$2,"state","TN","group","2d2b")/GETPIVOTDATA("Total-Old",'Distrib pivot table'!$C$2,"state","TN"),"*"))</f>
        <v>0</v>
      </c>
      <c r="R48" s="418">
        <f>IF((GETPIVOTDATA("Total-Old",'Distrib pivot table'!$C$2,"state","TX","group","2d2b")/GETPIVOTDATA("Total-Old",'Distrib pivot table'!$C$2,"state","TX"))=0,,IF(GETPIVOTDATA("Total-Old",'Distrib pivot table'!$C$2,"state","TX","group","2d2b")/GETPIVOTDATA("Total-Old",'Distrib pivot table'!$C$2,"state","TX")&gt;0.0005,GETPIVOTDATA("Total-Old",'Distrib pivot table'!$C$2,"state","TX","group","2d2b")/GETPIVOTDATA("Total-Old",'Distrib pivot table'!$C$2,"state","TX"),"*"))</f>
        <v>0</v>
      </c>
      <c r="S48" s="418">
        <f>IF((GETPIVOTDATA("Total-Old",'Distrib pivot table'!$C$2,"state","VA","group","2d2b")/GETPIVOTDATA("Total-Old",'Distrib pivot table'!$C$2,"state","VA"))=0,,IF(GETPIVOTDATA("Total-Old",'Distrib pivot table'!$C$2,"state","VA","group","2d2b")/GETPIVOTDATA("Total-Old",'Distrib pivot table'!$C$2,"state","VA")&gt;0.0005,GETPIVOTDATA("Total-Old",'Distrib pivot table'!$C$2,"state","VA","group","2d2b")/GETPIVOTDATA("Total-Old",'Distrib pivot table'!$C$2,"state","VA"),"*"))</f>
        <v>2.7111979094562606E-3</v>
      </c>
      <c r="T48" s="418">
        <f>IF((GETPIVOTDATA("Total-Old",'Distrib pivot table'!$C$2,"state","WV","group","2d2b")/GETPIVOTDATA("Total-Old",'Distrib pivot table'!$C$2,"state","WV"))=0,,IF(GETPIVOTDATA("Total-Old",'Distrib pivot table'!$C$2,"state","WV","group","2d2b")/GETPIVOTDATA("Total-Old",'Distrib pivot table'!$C$2,"state","WV")&gt;0.0005,GETPIVOTDATA("Total-Old",'Distrib pivot table'!$C$2,"state","WV","group","2d2b")/GETPIVOTDATA("Total-Old",'Distrib pivot table'!$C$2,"state","WV"),"*"))</f>
        <v>0</v>
      </c>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2.6" customHeight="1">
      <c r="A49" s="1488"/>
      <c r="B49" s="127" t="s">
        <v>307</v>
      </c>
      <c r="C49" s="374" t="s">
        <v>294</v>
      </c>
      <c r="D49" s="418" t="str">
        <f>IF(GETPIVOTDATA("Total-Old",'Distrib pivot table'!$C$2,"group","2d3")/GETPIVOTDATA("Total-Old",'Distrib pivot table'!$C$2)=0,,IF(GETPIVOTDATA("Total-Old",'Distrib pivot table'!$C$2,"group","2d3")/GETPIVOTDATA("Total-Old",'Distrib pivot table'!$C$2)&gt;0.0005,GETPIVOTDATA("Total-Old",'Distrib pivot table'!$C$2,"group","2d3")/GETPIVOTDATA("Total-Old",'Distrib pivot table'!$C$2),"*"))</f>
        <v>*</v>
      </c>
      <c r="E49" s="418">
        <f>IF((GETPIVOTDATA("Total-Old",'Distrib pivot table'!$C$2,"state","AL","group","2d3")/GETPIVOTDATA("Total-Old",'Distrib pivot table'!$C$2,"state","AL"))=0,,IF(GETPIVOTDATA("Total-Old",'Distrib pivot table'!$C$2,"state","AL","group","2d3")/GETPIVOTDATA("Total-Old",'Distrib pivot table'!$C$2,"state","AL")&gt;0.0005,GETPIVOTDATA("Total-Old",'Distrib pivot table'!$C$2,"state","AL","group","2d3")/GETPIVOTDATA("Total-Old",'Distrib pivot table'!$C$2,"state","AL"),"*"))</f>
        <v>0</v>
      </c>
      <c r="F49" s="418">
        <f>IF((GETPIVOTDATA("Total-Old",'Distrib pivot table'!$C$2,"state","AR","group","2d3")/GETPIVOTDATA("Total-Old",'Distrib pivot table'!$C$2,"state","AR"))=0,,IF(GETPIVOTDATA("Total-Old",'Distrib pivot table'!$C$2,"state","AR","group","2d3")/GETPIVOTDATA("Total-Old",'Distrib pivot table'!$C$2,"state","AR")&gt;0.0005,GETPIVOTDATA("Total-Old",'Distrib pivot table'!$C$2,"state","AR","group","2d3")/GETPIVOTDATA("Total-Old",'Distrib pivot table'!$C$2,"state","AR"),"*"))</f>
        <v>0</v>
      </c>
      <c r="G49" s="418">
        <f>IF((GETPIVOTDATA("Total-Old",'Distrib pivot table'!$C$2,"state","DE","group","2d3")/GETPIVOTDATA("Total-Old",'Distrib pivot table'!$C$2,"state","DE"))=0,,IF(GETPIVOTDATA("Total-Old",'Distrib pivot table'!$C$2,"state","DE","group","2d3")/GETPIVOTDATA("Total-Old",'Distrib pivot table'!$C$2,"state","DE")&gt;0.0005,GETPIVOTDATA("Total-Old",'Distrib pivot table'!$C$2,"state","DE","group","2d3")/GETPIVOTDATA("Total-Old",'Distrib pivot table'!$C$2,"state","DE"),"*"))</f>
        <v>0</v>
      </c>
      <c r="H49" s="418">
        <f>IF((GETPIVOTDATA("Total-Old",'Distrib pivot table'!$C$2,"state","FL","group","2d3")/GETPIVOTDATA("Total-Old",'Distrib pivot table'!$C$2,"state","FL"))=0,,IF(GETPIVOTDATA("Total-Old",'Distrib pivot table'!$C$2,"state","FL","group","2d3")/GETPIVOTDATA("Total-Old",'Distrib pivot table'!$C$2,"state","FL")&gt;0.0005,GETPIVOTDATA("Total-Old",'Distrib pivot table'!$C$2,"state","FL","group","2d3")/GETPIVOTDATA("Total-Old",'Distrib pivot table'!$C$2,"state","FL"),"*"))</f>
        <v>0</v>
      </c>
      <c r="I49" s="418">
        <f>IF((GETPIVOTDATA("Total-Old",'Distrib pivot table'!$C$2,"state","GA","group","2d3")/GETPIVOTDATA("Total-Old",'Distrib pivot table'!$C$2,"state","GA"))=0,,IF(GETPIVOTDATA("Total-Old",'Distrib pivot table'!$C$2,"state","GA","group","2d3")/GETPIVOTDATA("Total-Old",'Distrib pivot table'!$C$2,"state","GA")&gt;0.0005,GETPIVOTDATA("Total-Old",'Distrib pivot table'!$C$2,"state","GA","group","2d3")/GETPIVOTDATA("Total-Old",'Distrib pivot table'!$C$2,"state","GA"),"*"))</f>
        <v>0</v>
      </c>
      <c r="J49" s="418">
        <f>IF((GETPIVOTDATA("Total-Old",'Distrib pivot table'!$C$2,"state","KY","group","2d3")/GETPIVOTDATA("Total-Old",'Distrib pivot table'!$C$2,"state","KY"))=0,,IF(GETPIVOTDATA("Total-Old",'Distrib pivot table'!$C$2,"state","KY","group","2d3")/GETPIVOTDATA("Total-Old",'Distrib pivot table'!$C$2,"state","KY")&gt;0.0005,GETPIVOTDATA("Total-Old",'Distrib pivot table'!$C$2,"state","KY","group","2d3")/GETPIVOTDATA("Total-Old",'Distrib pivot table'!$C$2,"state","KY"),"*"))</f>
        <v>0</v>
      </c>
      <c r="K49" s="418">
        <f>IF((GETPIVOTDATA("Total-Old",'Distrib pivot table'!$C$2,"state","LA","group","2d3")/GETPIVOTDATA("Total-Old",'Distrib pivot table'!$C$2,"state","LA"))=0,,IF(GETPIVOTDATA("Total-Old",'Distrib pivot table'!$C$2,"state","LA","group","2d3")/GETPIVOTDATA("Total-Old",'Distrib pivot table'!$C$2,"state","LA")&gt;0.0005,GETPIVOTDATA("Total-Old",'Distrib pivot table'!$C$2,"state","LA","group","2d3")/GETPIVOTDATA("Total-Old",'Distrib pivot table'!$C$2,"state","LA"),"*"))</f>
        <v>0</v>
      </c>
      <c r="L49" s="418">
        <f>IF((GETPIVOTDATA("Total-Old",'Distrib pivot table'!$C$2,"state","MD","group","2d3")/GETPIVOTDATA("Total-Old",'Distrib pivot table'!$C$2,"state","MD"))=0,,IF(GETPIVOTDATA("Total-Old",'Distrib pivot table'!$C$2,"state","MD","group","2d3")/GETPIVOTDATA("Total-Old",'Distrib pivot table'!$C$2,"state","MD")&gt;0.0005,GETPIVOTDATA("Total-Old",'Distrib pivot table'!$C$2,"state","MD","group","2d3")/GETPIVOTDATA("Total-Old",'Distrib pivot table'!$C$2,"state","MD"),"*"))</f>
        <v>0</v>
      </c>
      <c r="M49" s="418">
        <f>IF((GETPIVOTDATA("Total-Old",'Distrib pivot table'!$C$2,"state","MS","group","2d3")/GETPIVOTDATA("Total-Old",'Distrib pivot table'!$C$2,"state","MS"))=0,,IF(GETPIVOTDATA("Total-Old",'Distrib pivot table'!$C$2,"state","MS","group","2d3")/GETPIVOTDATA("Total-Old",'Distrib pivot table'!$C$2,"state","MS")&gt;0.0005,GETPIVOTDATA("Total-Old",'Distrib pivot table'!$C$2,"state","MS","group","2d3")/GETPIVOTDATA("Total-Old",'Distrib pivot table'!$C$2,"state","MS"),"*"))</f>
        <v>0</v>
      </c>
      <c r="N49" s="418">
        <f>IF((GETPIVOTDATA("Total-Old",'Distrib pivot table'!$C$2,"state","NC","group","2d3")/GETPIVOTDATA("Total-Old",'Distrib pivot table'!$C$2,"state","NC"))=0,,IF(GETPIVOTDATA("Total-Old",'Distrib pivot table'!$C$2,"state","NC","group","2d3")/GETPIVOTDATA("Total-Old",'Distrib pivot table'!$C$2,"state","NC")&gt;0.0005,GETPIVOTDATA("Total-Old",'Distrib pivot table'!$C$2,"state","NC","group","2d3")/GETPIVOTDATA("Total-Old",'Distrib pivot table'!$C$2,"state","NC"),"*"))</f>
        <v>0</v>
      </c>
      <c r="O49" s="418">
        <f>IF((GETPIVOTDATA("Total-Old",'Distrib pivot table'!$C$2,"state","OK","group","2d3")/GETPIVOTDATA("Total-Old",'Distrib pivot table'!$C$2,"state","OK"))=0,,IF(GETPIVOTDATA("Total-Old",'Distrib pivot table'!$C$2,"state","OK","group","2d3")/GETPIVOTDATA("Total-Old",'Distrib pivot table'!$C$2,"state","OK")&gt;0.0005,GETPIVOTDATA("Total-Old",'Distrib pivot table'!$C$2,"state","OK","group","2d3")/GETPIVOTDATA("Total-Old",'Distrib pivot table'!$C$2,"state","OK"),"*"))</f>
        <v>1.6893854727992501E-3</v>
      </c>
      <c r="P49" s="418">
        <f>IF((GETPIVOTDATA("Total-Old",'Distrib pivot table'!$C$2,"state","SC","group","2d3")/GETPIVOTDATA("Total-Old",'Distrib pivot table'!$C$2,"state","SC"))=0,,IF(GETPIVOTDATA("Total-Old",'Distrib pivot table'!$C$2,"state","SC","group","2d3")/GETPIVOTDATA("Total-Old",'Distrib pivot table'!$C$2,"state","SC")&gt;0.0005,GETPIVOTDATA("Total-Old",'Distrib pivot table'!$C$2,"state","SC","group","2d3")/GETPIVOTDATA("Total-Old",'Distrib pivot table'!$C$2,"state","SC"),"*"))</f>
        <v>0</v>
      </c>
      <c r="Q49" s="418">
        <f>IF((GETPIVOTDATA("Total-Old",'Distrib pivot table'!$C$2,"state","TN","group","2d3")/GETPIVOTDATA("Total-Old",'Distrib pivot table'!$C$2,"state","TN"))=0,,IF(GETPIVOTDATA("Total-Old",'Distrib pivot table'!$C$2,"state","TN","group","2d3")/GETPIVOTDATA("Total-Old",'Distrib pivot table'!$C$2,"state","TN")&gt;0.0005,GETPIVOTDATA("Total-Old",'Distrib pivot table'!$C$2,"state","TN","group","2d3")/GETPIVOTDATA("Total-Old",'Distrib pivot table'!$C$2,"state","TN"),"*"))</f>
        <v>0</v>
      </c>
      <c r="R49" s="418">
        <f>IF((GETPIVOTDATA("Total-Old",'Distrib pivot table'!$C$2,"state","TX","group","2d3")/GETPIVOTDATA("Total-Old",'Distrib pivot table'!$C$2,"state","TX"))=0,,IF(GETPIVOTDATA("Total-Old",'Distrib pivot table'!$C$2,"state","TX","group","2d3")/GETPIVOTDATA("Total-Old",'Distrib pivot table'!$C$2,"state","TX")&gt;0.0005,GETPIVOTDATA("Total-Old",'Distrib pivot table'!$C$2,"state","TX","group","2d3")/GETPIVOTDATA("Total-Old",'Distrib pivot table'!$C$2,"state","TX"),"*"))</f>
        <v>0</v>
      </c>
      <c r="S49" s="418">
        <f>IF((GETPIVOTDATA("Total-Old",'Distrib pivot table'!$C$2,"state","VA","group","2d3")/GETPIVOTDATA("Total-Old",'Distrib pivot table'!$C$2,"state","VA"))=0,,IF(GETPIVOTDATA("Total-Old",'Distrib pivot table'!$C$2,"state","VA","group","2d3")/GETPIVOTDATA("Total-Old",'Distrib pivot table'!$C$2,"state","VA")&gt;0.0005,GETPIVOTDATA("Total-Old",'Distrib pivot table'!$C$2,"state","VA","group","2d3")/GETPIVOTDATA("Total-Old",'Distrib pivot table'!$C$2,"state","VA"),"*"))</f>
        <v>0</v>
      </c>
      <c r="T49" s="418">
        <f>IF((GETPIVOTDATA("Total-Old",'Distrib pivot table'!$C$2,"state","WV","group","2d3")/GETPIVOTDATA("Total-Old",'Distrib pivot table'!$C$2,"state","WV"))=0,,IF(GETPIVOTDATA("Total-Old",'Distrib pivot table'!$C$2,"state","WV","group","2d3")/GETPIVOTDATA("Total-Old",'Distrib pivot table'!$C$2,"state","WV")&gt;0.0005,GETPIVOTDATA("Total-Old",'Distrib pivot table'!$C$2,"state","WV","group","2d3")/GETPIVOTDATA("Total-Old",'Distrib pivot table'!$C$2,"state","WV"),"*"))</f>
        <v>0</v>
      </c>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2.6" customHeight="1">
      <c r="A50" s="1488"/>
      <c r="B50" s="127" t="s">
        <v>311</v>
      </c>
      <c r="C50" s="374" t="s">
        <v>254</v>
      </c>
      <c r="D50" s="418">
        <f>IF(GETPIVOTDATA("Total-Old",'Distrib pivot table'!$C$2,"group","2d3a")/GETPIVOTDATA("Total-Old",'Distrib pivot table'!$C$2)=0,,IF(GETPIVOTDATA("Total-Old",'Distrib pivot table'!$C$2,"group","2d3a")/GETPIVOTDATA("Total-Old",'Distrib pivot table'!$C$2)&gt;0.0005,GETPIVOTDATA("Total-Old",'Distrib pivot table'!$C$2,"group","2d3a")/GETPIVOTDATA("Total-Old",'Distrib pivot table'!$C$2),"*"))</f>
        <v>2.9326291680337809E-3</v>
      </c>
      <c r="E50" s="418">
        <f>IF((GETPIVOTDATA("Total-Old",'Distrib pivot table'!$C$2,"state","AL","group","2d3a")/GETPIVOTDATA("Total-Old",'Distrib pivot table'!$C$2,"state","AL"))=0,,IF(GETPIVOTDATA("Total-Old",'Distrib pivot table'!$C$2,"state","AL","group","2d3a")/GETPIVOTDATA("Total-Old",'Distrib pivot table'!$C$2,"state","AL")&gt;0.0005,GETPIVOTDATA("Total-Old",'Distrib pivot table'!$C$2,"state","AL","group","2d3a")/GETPIVOTDATA("Total-Old",'Distrib pivot table'!$C$2,"state","AL"),"*"))</f>
        <v>0</v>
      </c>
      <c r="F50" s="418">
        <f>IF((GETPIVOTDATA("Total-Old",'Distrib pivot table'!$C$2,"state","AR","group","2d3a")/GETPIVOTDATA("Total-Old",'Distrib pivot table'!$C$2,"state","AR"))=0,,IF(GETPIVOTDATA("Total-Old",'Distrib pivot table'!$C$2,"state","AR","group","2d3a")/GETPIVOTDATA("Total-Old",'Distrib pivot table'!$C$2,"state","AR")&gt;0.0005,GETPIVOTDATA("Total-Old",'Distrib pivot table'!$C$2,"state","AR","group","2d3a")/GETPIVOTDATA("Total-Old",'Distrib pivot table'!$C$2,"state","AR"),"*"))</f>
        <v>0</v>
      </c>
      <c r="G50" s="418">
        <f>IF((GETPIVOTDATA("Total-Old",'Distrib pivot table'!$C$2,"state","DE","group","2d3a")/GETPIVOTDATA("Total-Old",'Distrib pivot table'!$C$2,"state","DE"))=0,,IF(GETPIVOTDATA("Total-Old",'Distrib pivot table'!$C$2,"state","DE","group","2d3a")/GETPIVOTDATA("Total-Old",'Distrib pivot table'!$C$2,"state","DE")&gt;0.0005,GETPIVOTDATA("Total-Old",'Distrib pivot table'!$C$2,"state","DE","group","2d3a")/GETPIVOTDATA("Total-Old",'Distrib pivot table'!$C$2,"state","DE"),"*"))</f>
        <v>0</v>
      </c>
      <c r="H50" s="418">
        <f>IF((GETPIVOTDATA("Total-Old",'Distrib pivot table'!$C$2,"state","FL","group","2d3a")/GETPIVOTDATA("Total-Old",'Distrib pivot table'!$C$2,"state","FL"))=0,,IF(GETPIVOTDATA("Total-Old",'Distrib pivot table'!$C$2,"state","FL","group","2d3a")/GETPIVOTDATA("Total-Old",'Distrib pivot table'!$C$2,"state","FL")&gt;0.0005,GETPIVOTDATA("Total-Old",'Distrib pivot table'!$C$2,"state","FL","group","2d3a")/GETPIVOTDATA("Total-Old",'Distrib pivot table'!$C$2,"state","FL"),"*"))</f>
        <v>4.2973166043521758E-3</v>
      </c>
      <c r="I50" s="418">
        <f>IF((GETPIVOTDATA("Total-Old",'Distrib pivot table'!$C$2,"state","GA","group","2d3a")/GETPIVOTDATA("Total-Old",'Distrib pivot table'!$C$2,"state","GA"))=0,,IF(GETPIVOTDATA("Total-Old",'Distrib pivot table'!$C$2,"state","GA","group","2d3a")/GETPIVOTDATA("Total-Old",'Distrib pivot table'!$C$2,"state","GA")&gt;0.0005,GETPIVOTDATA("Total-Old",'Distrib pivot table'!$C$2,"state","GA","group","2d3a")/GETPIVOTDATA("Total-Old",'Distrib pivot table'!$C$2,"state","GA"),"*"))</f>
        <v>0</v>
      </c>
      <c r="J50" s="418">
        <f>IF((GETPIVOTDATA("Total-Old",'Distrib pivot table'!$C$2,"state","KY","group","2d3a")/GETPIVOTDATA("Total-Old",'Distrib pivot table'!$C$2,"state","KY"))=0,,IF(GETPIVOTDATA("Total-Old",'Distrib pivot table'!$C$2,"state","KY","group","2d3a")/GETPIVOTDATA("Total-Old",'Distrib pivot table'!$C$2,"state","KY")&gt;0.0005,GETPIVOTDATA("Total-Old",'Distrib pivot table'!$C$2,"state","KY","group","2d3a")/GETPIVOTDATA("Total-Old",'Distrib pivot table'!$C$2,"state","KY"),"*"))</f>
        <v>1.0979682186814466E-2</v>
      </c>
      <c r="K50" s="418">
        <f>IF((GETPIVOTDATA("Total-Old",'Distrib pivot table'!$C$2,"state","LA","group","2d3a")/GETPIVOTDATA("Total-Old",'Distrib pivot table'!$C$2,"state","LA"))=0,,IF(GETPIVOTDATA("Total-Old",'Distrib pivot table'!$C$2,"state","LA","group","2d3a")/GETPIVOTDATA("Total-Old",'Distrib pivot table'!$C$2,"state","LA")&gt;0.0005,GETPIVOTDATA("Total-Old",'Distrib pivot table'!$C$2,"state","LA","group","2d3a")/GETPIVOTDATA("Total-Old",'Distrib pivot table'!$C$2,"state","LA"),"*"))</f>
        <v>0</v>
      </c>
      <c r="L50" s="418">
        <f>IF((GETPIVOTDATA("Total-Old",'Distrib pivot table'!$C$2,"state","MD","group","2d3a")/GETPIVOTDATA("Total-Old",'Distrib pivot table'!$C$2,"state","MD"))=0,,IF(GETPIVOTDATA("Total-Old",'Distrib pivot table'!$C$2,"state","MD","group","2d3a")/GETPIVOTDATA("Total-Old",'Distrib pivot table'!$C$2,"state","MD")&gt;0.0005,GETPIVOTDATA("Total-Old",'Distrib pivot table'!$C$2,"state","MD","group","2d3a")/GETPIVOTDATA("Total-Old",'Distrib pivot table'!$C$2,"state","MD"),"*"))</f>
        <v>0</v>
      </c>
      <c r="M50" s="418">
        <f>IF((GETPIVOTDATA("Total-Old",'Distrib pivot table'!$C$2,"state","MS","group","2d3a")/GETPIVOTDATA("Total-Old",'Distrib pivot table'!$C$2,"state","MS"))=0,,IF(GETPIVOTDATA("Total-Old",'Distrib pivot table'!$C$2,"state","MS","group","2d3a")/GETPIVOTDATA("Total-Old",'Distrib pivot table'!$C$2,"state","MS")&gt;0.0005,GETPIVOTDATA("Total-Old",'Distrib pivot table'!$C$2,"state","MS","group","2d3a")/GETPIVOTDATA("Total-Old",'Distrib pivot table'!$C$2,"state","MS"),"*"))</f>
        <v>0</v>
      </c>
      <c r="N50" s="418">
        <f>IF((GETPIVOTDATA("Total-Old",'Distrib pivot table'!$C$2,"state","NC","group","2d3a")/GETPIVOTDATA("Total-Old",'Distrib pivot table'!$C$2,"state","NC"))=0,,IF(GETPIVOTDATA("Total-Old",'Distrib pivot table'!$C$2,"state","NC","group","2d3a")/GETPIVOTDATA("Total-Old",'Distrib pivot table'!$C$2,"state","NC")&gt;0.0005,GETPIVOTDATA("Total-Old",'Distrib pivot table'!$C$2,"state","NC","group","2d3a")/GETPIVOTDATA("Total-Old",'Distrib pivot table'!$C$2,"state","NC"),"*"))</f>
        <v>1.533936909667576E-2</v>
      </c>
      <c r="O50" s="418">
        <f>IF((GETPIVOTDATA("Total-Old",'Distrib pivot table'!$C$2,"state","OK","group","2d3a")/GETPIVOTDATA("Total-Old",'Distrib pivot table'!$C$2,"state","OK"))=0,,IF(GETPIVOTDATA("Total-Old",'Distrib pivot table'!$C$2,"state","OK","group","2d3a")/GETPIVOTDATA("Total-Old",'Distrib pivot table'!$C$2,"state","OK")&gt;0.0005,GETPIVOTDATA("Total-Old",'Distrib pivot table'!$C$2,"state","OK","group","2d3a")/GETPIVOTDATA("Total-Old",'Distrib pivot table'!$C$2,"state","OK"),"*"))</f>
        <v>0</v>
      </c>
      <c r="P50" s="418">
        <f>IF((GETPIVOTDATA("Total-Old",'Distrib pivot table'!$C$2,"state","SC","group","2d3a")/GETPIVOTDATA("Total-Old",'Distrib pivot table'!$C$2,"state","SC"))=0,,IF(GETPIVOTDATA("Total-Old",'Distrib pivot table'!$C$2,"state","SC","group","2d3a")/GETPIVOTDATA("Total-Old",'Distrib pivot table'!$C$2,"state","SC")&gt;0.0005,GETPIVOTDATA("Total-Old",'Distrib pivot table'!$C$2,"state","SC","group","2d3a")/GETPIVOTDATA("Total-Old",'Distrib pivot table'!$C$2,"state","SC"),"*"))</f>
        <v>1.1386616960825937E-2</v>
      </c>
      <c r="Q50" s="418">
        <f>IF((GETPIVOTDATA("Total-Old",'Distrib pivot table'!$C$2,"state","TN","group","2d3a")/GETPIVOTDATA("Total-Old",'Distrib pivot table'!$C$2,"state","TN"))=0,,IF(GETPIVOTDATA("Total-Old",'Distrib pivot table'!$C$2,"state","TN","group","2d3a")/GETPIVOTDATA("Total-Old",'Distrib pivot table'!$C$2,"state","TN")&gt;0.0005,GETPIVOTDATA("Total-Old",'Distrib pivot table'!$C$2,"state","TN","group","2d3a")/GETPIVOTDATA("Total-Old",'Distrib pivot table'!$C$2,"state","TN"),"*"))</f>
        <v>0</v>
      </c>
      <c r="R50" s="418">
        <f>IF((GETPIVOTDATA("Total-Old",'Distrib pivot table'!$C$2,"state","TX","group","2d3a")/GETPIVOTDATA("Total-Old",'Distrib pivot table'!$C$2,"state","TX"))=0,,IF(GETPIVOTDATA("Total-Old",'Distrib pivot table'!$C$2,"state","TX","group","2d3a")/GETPIVOTDATA("Total-Old",'Distrib pivot table'!$C$2,"state","TX")&gt;0.0005,GETPIVOTDATA("Total-Old",'Distrib pivot table'!$C$2,"state","TX","group","2d3a")/GETPIVOTDATA("Total-Old",'Distrib pivot table'!$C$2,"state","TX"),"*"))</f>
        <v>0</v>
      </c>
      <c r="S50" s="418">
        <f>IF((GETPIVOTDATA("Total-Old",'Distrib pivot table'!$C$2,"state","VA","group","2d3a")/GETPIVOTDATA("Total-Old",'Distrib pivot table'!$C$2,"state","VA"))=0,,IF(GETPIVOTDATA("Total-Old",'Distrib pivot table'!$C$2,"state","VA","group","2d3a")/GETPIVOTDATA("Total-Old",'Distrib pivot table'!$C$2,"state","VA")&gt;0.0005,GETPIVOTDATA("Total-Old",'Distrib pivot table'!$C$2,"state","VA","group","2d3a")/GETPIVOTDATA("Total-Old",'Distrib pivot table'!$C$2,"state","VA"),"*"))</f>
        <v>0</v>
      </c>
      <c r="T50" s="418">
        <f>IF((GETPIVOTDATA("Total-Old",'Distrib pivot table'!$C$2,"state","WV","group","2d3a")/GETPIVOTDATA("Total-Old",'Distrib pivot table'!$C$2,"state","WV"))=0,,IF(GETPIVOTDATA("Total-Old",'Distrib pivot table'!$C$2,"state","WV","group","2d3a")/GETPIVOTDATA("Total-Old",'Distrib pivot table'!$C$2,"state","WV")&gt;0.0005,GETPIVOTDATA("Total-Old",'Distrib pivot table'!$C$2,"state","WV","group","2d3a")/GETPIVOTDATA("Total-Old",'Distrib pivot table'!$C$2,"state","WV"),"*"))</f>
        <v>0</v>
      </c>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2.6" customHeight="1">
      <c r="A51" s="1488"/>
      <c r="B51" s="368" t="s">
        <v>249</v>
      </c>
      <c r="C51" s="374" t="s">
        <v>255</v>
      </c>
      <c r="D51" s="425">
        <f>IF(GETPIVOTDATA("Total-Old",'Distrib pivot table'!$C$2,"group","2d3b")/GETPIVOTDATA("Total-Old",'Distrib pivot table'!$C$2)=0,,IF(GETPIVOTDATA("Total-Old",'Distrib pivot table'!$C$2,"group","2d3b")/GETPIVOTDATA("Total-Old",'Distrib pivot table'!$C$2)&gt;0.0005,GETPIVOTDATA("Total-Old",'Distrib pivot table'!$C$2,"group","2d3b")/GETPIVOTDATA("Total-Old",'Distrib pivot table'!$C$2),"*"))</f>
        <v>2.6898052210341905E-3</v>
      </c>
      <c r="E51" s="425">
        <f>IF((GETPIVOTDATA("Total-Old",'Distrib pivot table'!$C$2,"state","AL","group","2d3b")/GETPIVOTDATA("Total-Old",'Distrib pivot table'!$C$2,"state","AL"))=0,,IF(GETPIVOTDATA("Total-Old",'Distrib pivot table'!$C$2,"state","AL","group","2d3b")/GETPIVOTDATA("Total-Old",'Distrib pivot table'!$C$2,"state","AL")&gt;0.0005,GETPIVOTDATA("Total-Old",'Distrib pivot table'!$C$2,"state","AL","group","2d3b")/GETPIVOTDATA("Total-Old",'Distrib pivot table'!$C$2,"state","AL"),"*"))</f>
        <v>5.6315131419525685E-4</v>
      </c>
      <c r="F51" s="425">
        <f>IF((GETPIVOTDATA("Total-Old",'Distrib pivot table'!$C$2,"state","AR","group","2d3b")/GETPIVOTDATA("Total-Old",'Distrib pivot table'!$C$2,"state","AR"))=0,,IF(GETPIVOTDATA("Total-Old",'Distrib pivot table'!$C$2,"state","AR","group","2d3b")/GETPIVOTDATA("Total-Old",'Distrib pivot table'!$C$2,"state","AR")&gt;0.0005,GETPIVOTDATA("Total-Old",'Distrib pivot table'!$C$2,"state","AR","group","2d3b")/GETPIVOTDATA("Total-Old",'Distrib pivot table'!$C$2,"state","AR"),"*"))</f>
        <v>0</v>
      </c>
      <c r="G51" s="425">
        <f>IF((GETPIVOTDATA("Total-Old",'Distrib pivot table'!$C$2,"state","DE","group","2d3b")/GETPIVOTDATA("Total-Old",'Distrib pivot table'!$C$2,"state","DE"))=0,,IF(GETPIVOTDATA("Total-Old",'Distrib pivot table'!$C$2,"state","DE","group","2d3b")/GETPIVOTDATA("Total-Old",'Distrib pivot table'!$C$2,"state","DE")&gt;0.0005,GETPIVOTDATA("Total-Old",'Distrib pivot table'!$C$2,"state","DE","group","2d3b")/GETPIVOTDATA("Total-Old",'Distrib pivot table'!$C$2,"state","DE"),"*"))</f>
        <v>0</v>
      </c>
      <c r="H51" s="425">
        <f>IF((GETPIVOTDATA("Total-Old",'Distrib pivot table'!$C$2,"state","FL","group","2d3b")/GETPIVOTDATA("Total-Old",'Distrib pivot table'!$C$2,"state","FL"))=0,,IF(GETPIVOTDATA("Total-Old",'Distrib pivot table'!$C$2,"state","FL","group","2d3b")/GETPIVOTDATA("Total-Old",'Distrib pivot table'!$C$2,"state","FL")&gt;0.0005,GETPIVOTDATA("Total-Old",'Distrib pivot table'!$C$2,"state","FL","group","2d3b")/GETPIVOTDATA("Total-Old",'Distrib pivot table'!$C$2,"state","FL"),"*"))</f>
        <v>1.3986465350281096E-2</v>
      </c>
      <c r="I51" s="425" t="str">
        <f>IF((GETPIVOTDATA("Total-Old",'Distrib pivot table'!$C$2,"state","GA","group","2d3b")/GETPIVOTDATA("Total-Old",'Distrib pivot table'!$C$2,"state","GA"))=0,,IF(GETPIVOTDATA("Total-Old",'Distrib pivot table'!$C$2,"state","GA","group","2d3b")/GETPIVOTDATA("Total-Old",'Distrib pivot table'!$C$2,"state","GA")&gt;0.0005,GETPIVOTDATA("Total-Old",'Distrib pivot table'!$C$2,"state","GA","group","2d3b")/GETPIVOTDATA("Total-Old",'Distrib pivot table'!$C$2,"state","GA"),"*"))</f>
        <v>*</v>
      </c>
      <c r="J51" s="425" t="str">
        <f>IF((GETPIVOTDATA("Total-Old",'Distrib pivot table'!$C$2,"state","KY","group","2d3b")/GETPIVOTDATA("Total-Old",'Distrib pivot table'!$C$2,"state","KY"))=0,,IF(GETPIVOTDATA("Total-Old",'Distrib pivot table'!$C$2,"state","KY","group","2d3b")/GETPIVOTDATA("Total-Old",'Distrib pivot table'!$C$2,"state","KY")&gt;0.0005,GETPIVOTDATA("Total-Old",'Distrib pivot table'!$C$2,"state","KY","group","2d3b")/GETPIVOTDATA("Total-Old",'Distrib pivot table'!$C$2,"state","KY"),"*"))</f>
        <v>*</v>
      </c>
      <c r="K51" s="425">
        <f>IF((GETPIVOTDATA("Total-Old",'Distrib pivot table'!$C$2,"state","LA","group","2d3b")/GETPIVOTDATA("Total-Old",'Distrib pivot table'!$C$2,"state","LA"))=0,,IF(GETPIVOTDATA("Total-Old",'Distrib pivot table'!$C$2,"state","LA","group","2d3b")/GETPIVOTDATA("Total-Old",'Distrib pivot table'!$C$2,"state","LA")&gt;0.0005,GETPIVOTDATA("Total-Old",'Distrib pivot table'!$C$2,"state","LA","group","2d3b")/GETPIVOTDATA("Total-Old",'Distrib pivot table'!$C$2,"state","LA"),"*"))</f>
        <v>0</v>
      </c>
      <c r="L51" s="425">
        <f>IF((GETPIVOTDATA("Total-Old",'Distrib pivot table'!$C$2,"state","MD","group","2d3b")/GETPIVOTDATA("Total-Old",'Distrib pivot table'!$C$2,"state","MD"))=0,,IF(GETPIVOTDATA("Total-Old",'Distrib pivot table'!$C$2,"state","MD","group","2d3b")/GETPIVOTDATA("Total-Old",'Distrib pivot table'!$C$2,"state","MD")&gt;0.0005,GETPIVOTDATA("Total-Old",'Distrib pivot table'!$C$2,"state","MD","group","2d3b")/GETPIVOTDATA("Total-Old",'Distrib pivot table'!$C$2,"state","MD"),"*"))</f>
        <v>0</v>
      </c>
      <c r="M51" s="425">
        <f>IF((GETPIVOTDATA("Total-Old",'Distrib pivot table'!$C$2,"state","MS","group","2d3b")/GETPIVOTDATA("Total-Old",'Distrib pivot table'!$C$2,"state","MS"))=0,,IF(GETPIVOTDATA("Total-Old",'Distrib pivot table'!$C$2,"state","MS","group","2d3b")/GETPIVOTDATA("Total-Old",'Distrib pivot table'!$C$2,"state","MS")&gt;0.0005,GETPIVOTDATA("Total-Old",'Distrib pivot table'!$C$2,"state","MS","group","2d3b")/GETPIVOTDATA("Total-Old",'Distrib pivot table'!$C$2,"state","MS"),"*"))</f>
        <v>0</v>
      </c>
      <c r="N51" s="425">
        <f>IF((GETPIVOTDATA("Total-Old",'Distrib pivot table'!$C$2,"state","NC","group","2d3b")/GETPIVOTDATA("Total-Old",'Distrib pivot table'!$C$2,"state","NC"))=0,,IF(GETPIVOTDATA("Total-Old",'Distrib pivot table'!$C$2,"state","NC","group","2d3b")/GETPIVOTDATA("Total-Old",'Distrib pivot table'!$C$2,"state","NC")&gt;0.0005,GETPIVOTDATA("Total-Old",'Distrib pivot table'!$C$2,"state","NC","group","2d3b")/GETPIVOTDATA("Total-Old",'Distrib pivot table'!$C$2,"state","NC"),"*"))</f>
        <v>0</v>
      </c>
      <c r="O51" s="425">
        <f>IF((GETPIVOTDATA("Total-Old",'Distrib pivot table'!$C$2,"state","OK","group","2d3b")/GETPIVOTDATA("Total-Old",'Distrib pivot table'!$C$2,"state","OK"))=0,,IF(GETPIVOTDATA("Total-Old",'Distrib pivot table'!$C$2,"state","OK","group","2d3b")/GETPIVOTDATA("Total-Old",'Distrib pivot table'!$C$2,"state","OK")&gt;0.0005,GETPIVOTDATA("Total-Old",'Distrib pivot table'!$C$2,"state","OK","group","2d3b")/GETPIVOTDATA("Total-Old",'Distrib pivot table'!$C$2,"state","OK"),"*"))</f>
        <v>0</v>
      </c>
      <c r="P51" s="425">
        <f>IF((GETPIVOTDATA("Total-Old",'Distrib pivot table'!$C$2,"state","SC","group","2d3b")/GETPIVOTDATA("Total-Old",'Distrib pivot table'!$C$2,"state","SC"))=0,,IF(GETPIVOTDATA("Total-Old",'Distrib pivot table'!$C$2,"state","SC","group","2d3b")/GETPIVOTDATA("Total-Old",'Distrib pivot table'!$C$2,"state","SC")&gt;0.0005,GETPIVOTDATA("Total-Old",'Distrib pivot table'!$C$2,"state","SC","group","2d3b")/GETPIVOTDATA("Total-Old",'Distrib pivot table'!$C$2,"state","SC"),"*"))</f>
        <v>0</v>
      </c>
      <c r="Q51" s="425">
        <f>IF((GETPIVOTDATA("Total-Old",'Distrib pivot table'!$C$2,"state","TN","group","2d3b")/GETPIVOTDATA("Total-Old",'Distrib pivot table'!$C$2,"state","TN"))=0,,IF(GETPIVOTDATA("Total-Old",'Distrib pivot table'!$C$2,"state","TN","group","2d3b")/GETPIVOTDATA("Total-Old",'Distrib pivot table'!$C$2,"state","TN")&gt;0.0005,GETPIVOTDATA("Total-Old",'Distrib pivot table'!$C$2,"state","TN","group","2d3b")/GETPIVOTDATA("Total-Old",'Distrib pivot table'!$C$2,"state","TN"),"*"))</f>
        <v>0</v>
      </c>
      <c r="R51" s="425">
        <f>IF((GETPIVOTDATA("Total-Old",'Distrib pivot table'!$C$2,"state","TX","group","2d3b")/GETPIVOTDATA("Total-Old",'Distrib pivot table'!$C$2,"state","TX"))=0,,IF(GETPIVOTDATA("Total-Old",'Distrib pivot table'!$C$2,"state","TX","group","2d3b")/GETPIVOTDATA("Total-Old",'Distrib pivot table'!$C$2,"state","TX")&gt;0.0005,GETPIVOTDATA("Total-Old",'Distrib pivot table'!$C$2,"state","TX","group","2d3b")/GETPIVOTDATA("Total-Old",'Distrib pivot table'!$C$2,"state","TX"),"*"))</f>
        <v>0</v>
      </c>
      <c r="S51" s="425">
        <f>IF((GETPIVOTDATA("Total-Old",'Distrib pivot table'!$C$2,"state","VA","group","2d3b")/GETPIVOTDATA("Total-Old",'Distrib pivot table'!$C$2,"state","VA"))=0,,IF(GETPIVOTDATA("Total-Old",'Distrib pivot table'!$C$2,"state","VA","group","2d3b")/GETPIVOTDATA("Total-Old",'Distrib pivot table'!$C$2,"state","VA")&gt;0.0005,GETPIVOTDATA("Total-Old",'Distrib pivot table'!$C$2,"state","VA","group","2d3b")/GETPIVOTDATA("Total-Old",'Distrib pivot table'!$C$2,"state","VA"),"*"))</f>
        <v>1.424772765615313E-2</v>
      </c>
      <c r="T51" s="425">
        <f>IF((GETPIVOTDATA("Total-Old",'Distrib pivot table'!$C$2,"state","WV","group","2d3b")/GETPIVOTDATA("Total-Old",'Distrib pivot table'!$C$2,"state","WV"))=0,,IF(GETPIVOTDATA("Total-Old",'Distrib pivot table'!$C$2,"state","WV","group","2d3b")/GETPIVOTDATA("Total-Old",'Distrib pivot table'!$C$2,"state","WV")&gt;0.0005,GETPIVOTDATA("Total-Old",'Distrib pivot table'!$C$2,"state","WV","group","2d3b")/GETPIVOTDATA("Total-Old",'Distrib pivot table'!$C$2,"state","WV"),"*"))</f>
        <v>0</v>
      </c>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36" customHeight="1">
      <c r="A52" s="1484"/>
      <c r="B52" s="128" t="s">
        <v>192</v>
      </c>
      <c r="C52" s="374" t="s">
        <v>280</v>
      </c>
      <c r="D52" s="426">
        <f>IF(GETPIVOTDATA("Total-Old",'Distrib pivot table'!$C$2,"group","1d")/GETPIVOTDATA("Total-Old",'Distrib pivot table'!$C$2)=0,,IF(GETPIVOTDATA("Total-Old",'Distrib pivot table'!$C$2,"group","1d")/GETPIVOTDATA("Total-Old",'Distrib pivot table'!$C$2)&gt;0.0005,GETPIVOTDATA("Total-Old",'Distrib pivot table'!$C$2,"group","1d")/GETPIVOTDATA("Total-Old",'Distrib pivot table'!$C$2),"*"))</f>
        <v>6.640914498558069E-2</v>
      </c>
      <c r="E52" s="426">
        <f>IF((GETPIVOTDATA("Total-Old",'Distrib pivot table'!$C$2,"state","AL","group","1d")/GETPIVOTDATA("Total-Old",'Distrib pivot table'!$C$2,"state","AL"))=0,,IF(GETPIVOTDATA("Total-Old",'Distrib pivot table'!$C$2,"state","AL","group","1d")/GETPIVOTDATA("Total-Old",'Distrib pivot table'!$C$2,"state","AL")&gt;0.0005,GETPIVOTDATA("Total-Old",'Distrib pivot table'!$C$2,"state","AL","group","1d")/GETPIVOTDATA("Total-Old",'Distrib pivot table'!$C$2,"state","AL"),"*"))</f>
        <v>0.1468327263986994</v>
      </c>
      <c r="F52" s="426">
        <f>IF((GETPIVOTDATA("Total-Old",'Distrib pivot table'!$C$2,"state","AR","group","1d")/GETPIVOTDATA("Total-Old",'Distrib pivot table'!$C$2,"state","AR"))=0,,IF(GETPIVOTDATA("Total-Old",'Distrib pivot table'!$C$2,"state","AR","group","1d")/GETPIVOTDATA("Total-Old",'Distrib pivot table'!$C$2,"state","AR")&gt;0.0005,GETPIVOTDATA("Total-Old",'Distrib pivot table'!$C$2,"state","AR","group","1d")/GETPIVOTDATA("Total-Old",'Distrib pivot table'!$C$2,"state","AR"),"*"))</f>
        <v>0</v>
      </c>
      <c r="G52" s="426">
        <f>IF((GETPIVOTDATA("Total-Old",'Distrib pivot table'!$C$2,"state","DE","group","1d")/GETPIVOTDATA("Total-Old",'Distrib pivot table'!$C$2,"state","DE"))=0,,IF(GETPIVOTDATA("Total-Old",'Distrib pivot table'!$C$2,"state","DE","group","1d")/GETPIVOTDATA("Total-Old",'Distrib pivot table'!$C$2,"state","DE")&gt;0.0005,GETPIVOTDATA("Total-Old",'Distrib pivot table'!$C$2,"state","DE","group","1d")/GETPIVOTDATA("Total-Old",'Distrib pivot table'!$C$2,"state","DE"),"*"))</f>
        <v>0</v>
      </c>
      <c r="H52" s="426">
        <f>IF((GETPIVOTDATA("Total-Old",'Distrib pivot table'!$C$2,"state","FL","group","1d")/GETPIVOTDATA("Total-Old",'Distrib pivot table'!$C$2,"state","FL"))=0,,IF(GETPIVOTDATA("Total-Old",'Distrib pivot table'!$C$2,"state","FL","group","1d")/GETPIVOTDATA("Total-Old",'Distrib pivot table'!$C$2,"state","FL")&gt;0.0005,GETPIVOTDATA("Total-Old",'Distrib pivot table'!$C$2,"state","FL","group","1d")/GETPIVOTDATA("Total-Old",'Distrib pivot table'!$C$2,"state","FL"),"*"))</f>
        <v>6.3560589182521651E-2</v>
      </c>
      <c r="I52" s="426">
        <f>IF((GETPIVOTDATA("Total-Old",'Distrib pivot table'!$C$2,"state","GA","group","1d")/GETPIVOTDATA("Total-Old",'Distrib pivot table'!$C$2,"state","GA"))=0,,IF(GETPIVOTDATA("Total-Old",'Distrib pivot table'!$C$2,"state","GA","group","1d")/GETPIVOTDATA("Total-Old",'Distrib pivot table'!$C$2,"state","GA")&gt;0.0005,GETPIVOTDATA("Total-Old",'Distrib pivot table'!$C$2,"state","GA","group","1d")/GETPIVOTDATA("Total-Old",'Distrib pivot table'!$C$2,"state","GA"),"*"))</f>
        <v>4.9740275852433596E-2</v>
      </c>
      <c r="J52" s="426">
        <f>IF((GETPIVOTDATA("Total-Old",'Distrib pivot table'!$C$2,"state","KY","group","1d")/GETPIVOTDATA("Total-Old",'Distrib pivot table'!$C$2,"state","KY"))=0,,IF(GETPIVOTDATA("Total-Old",'Distrib pivot table'!$C$2,"state","KY","group","1d")/GETPIVOTDATA("Total-Old",'Distrib pivot table'!$C$2,"state","KY")&gt;0.0005,GETPIVOTDATA("Total-Old",'Distrib pivot table'!$C$2,"state","KY","group","1d")/GETPIVOTDATA("Total-Old",'Distrib pivot table'!$C$2,"state","KY"),"*"))</f>
        <v>5.6057968460152811E-2</v>
      </c>
      <c r="K52" s="426">
        <f>IF((GETPIVOTDATA("Total-Old",'Distrib pivot table'!$C$2,"state","LA","group","1d")/GETPIVOTDATA("Total-Old",'Distrib pivot table'!$C$2,"state","LA"))=0,,IF(GETPIVOTDATA("Total-Old",'Distrib pivot table'!$C$2,"state","LA","group","1d")/GETPIVOTDATA("Total-Old",'Distrib pivot table'!$C$2,"state","LA")&gt;0.0005,GETPIVOTDATA("Total-Old",'Distrib pivot table'!$C$2,"state","LA","group","1d")/GETPIVOTDATA("Total-Old",'Distrib pivot table'!$C$2,"state","LA"),"*"))</f>
        <v>1.4772268825571165E-2</v>
      </c>
      <c r="L52" s="426">
        <f>IF((GETPIVOTDATA("Total-Old",'Distrib pivot table'!$C$2,"state","MD","group","1d")/GETPIVOTDATA("Total-Old",'Distrib pivot table'!$C$2,"state","MD"))=0,,IF(GETPIVOTDATA("Total-Old",'Distrib pivot table'!$C$2,"state","MD","group","1d")/GETPIVOTDATA("Total-Old",'Distrib pivot table'!$C$2,"state","MD")&gt;0.0005,GETPIVOTDATA("Total-Old",'Distrib pivot table'!$C$2,"state","MD","group","1d")/GETPIVOTDATA("Total-Old",'Distrib pivot table'!$C$2,"state","MD"),"*"))</f>
        <v>0</v>
      </c>
      <c r="M52" s="426">
        <f>IF((GETPIVOTDATA("Total-Old",'Distrib pivot table'!$C$2,"state","MS","group","1d")/GETPIVOTDATA("Total-Old",'Distrib pivot table'!$C$2,"state","MS"))=0,,IF(GETPIVOTDATA("Total-Old",'Distrib pivot table'!$C$2,"state","MS","group","1d")/GETPIVOTDATA("Total-Old",'Distrib pivot table'!$C$2,"state","MS")&gt;0.0005,GETPIVOTDATA("Total-Old",'Distrib pivot table'!$C$2,"state","MS","group","1d")/GETPIVOTDATA("Total-Old",'Distrib pivot table'!$C$2,"state","MS"),"*"))</f>
        <v>1.4518838088316263E-2</v>
      </c>
      <c r="N52" s="426">
        <f>IF((GETPIVOTDATA("Total-Old",'Distrib pivot table'!$C$2,"state","NC","group","1d")/GETPIVOTDATA("Total-Old",'Distrib pivot table'!$C$2,"state","NC"))=0,,IF(GETPIVOTDATA("Total-Old",'Distrib pivot table'!$C$2,"state","NC","group","1d")/GETPIVOTDATA("Total-Old",'Distrib pivot table'!$C$2,"state","NC")&gt;0.0005,GETPIVOTDATA("Total-Old",'Distrib pivot table'!$C$2,"state","NC","group","1d")/GETPIVOTDATA("Total-Old",'Distrib pivot table'!$C$2,"state","NC"),"*"))</f>
        <v>6.773462302704715E-2</v>
      </c>
      <c r="O52" s="426">
        <f>IF((GETPIVOTDATA("Total-Old",'Distrib pivot table'!$C$2,"state","OK","group","1d")/GETPIVOTDATA("Total-Old",'Distrib pivot table'!$C$2,"state","OK"))=0,,IF(GETPIVOTDATA("Total-Old",'Distrib pivot table'!$C$2,"state","OK","group","1d")/GETPIVOTDATA("Total-Old",'Distrib pivot table'!$C$2,"state","OK")&gt;0.0005,GETPIVOTDATA("Total-Old",'Distrib pivot table'!$C$2,"state","OK","group","1d")/GETPIVOTDATA("Total-Old",'Distrib pivot table'!$C$2,"state","OK"),"*"))</f>
        <v>5.8755170288839066E-2</v>
      </c>
      <c r="P52" s="426">
        <f>IF((GETPIVOTDATA("Total-Old",'Distrib pivot table'!$C$2,"state","SC","group","1d")/GETPIVOTDATA("Total-Old",'Distrib pivot table'!$C$2,"state","SC"))=0,,IF(GETPIVOTDATA("Total-Old",'Distrib pivot table'!$C$2,"state","SC","group","1d")/GETPIVOTDATA("Total-Old",'Distrib pivot table'!$C$2,"state","SC")&gt;0.0005,GETPIVOTDATA("Total-Old",'Distrib pivot table'!$C$2,"state","SC","group","1d")/GETPIVOTDATA("Total-Old",'Distrib pivot table'!$C$2,"state","SC"),"*"))</f>
        <v>4.9203101938696918E-3</v>
      </c>
      <c r="Q52" s="426">
        <f>IF((GETPIVOTDATA("Total-Old",'Distrib pivot table'!$C$2,"state","TN","group","1d")/GETPIVOTDATA("Total-Old",'Distrib pivot table'!$C$2,"state","TN"))=0,,IF(GETPIVOTDATA("Total-Old",'Distrib pivot table'!$C$2,"state","TN","group","1d")/GETPIVOTDATA("Total-Old",'Distrib pivot table'!$C$2,"state","TN")&gt;0.0005,GETPIVOTDATA("Total-Old",'Distrib pivot table'!$C$2,"state","TN","group","1d")/GETPIVOTDATA("Total-Old",'Distrib pivot table'!$C$2,"state","TN"),"*"))</f>
        <v>1.847674071610381E-2</v>
      </c>
      <c r="R52" s="426">
        <f>IF((GETPIVOTDATA("Total-Old",'Distrib pivot table'!$C$2,"state","TX","group","1d")/GETPIVOTDATA("Total-Old",'Distrib pivot table'!$C$2,"state","TX"))=0,,IF(GETPIVOTDATA("Total-Old",'Distrib pivot table'!$C$2,"state","TX","group","1d")/GETPIVOTDATA("Total-Old",'Distrib pivot table'!$C$2,"state","TX")&gt;0.0005,GETPIVOTDATA("Total-Old",'Distrib pivot table'!$C$2,"state","TX","group","1d")/GETPIVOTDATA("Total-Old",'Distrib pivot table'!$C$2,"state","TX"),"*"))</f>
        <v>0.13626647357758026</v>
      </c>
      <c r="S52" s="426">
        <f>IF((GETPIVOTDATA("Total-Old",'Distrib pivot table'!$C$2,"state","VA","group","1d")/GETPIVOTDATA("Total-Old",'Distrib pivot table'!$C$2,"state","VA"))=0,,IF(GETPIVOTDATA("Total-Old",'Distrib pivot table'!$C$2,"state","VA","group","1d")/GETPIVOTDATA("Total-Old",'Distrib pivot table'!$C$2,"state","VA")&gt;0.0005,GETPIVOTDATA("Total-Old",'Distrib pivot table'!$C$2,"state","VA","group","1d")/GETPIVOTDATA("Total-Old",'Distrib pivot table'!$C$2,"state","VA"),"*"))</f>
        <v>3.7384274842859777E-2</v>
      </c>
      <c r="T52" s="426">
        <f>IF((GETPIVOTDATA("Total-Old",'Distrib pivot table'!$C$2,"state","WV","group","1d")/GETPIVOTDATA("Total-Old",'Distrib pivot table'!$C$2,"state","WV"))=0,,IF(GETPIVOTDATA("Total-Old",'Distrib pivot table'!$C$2,"state","WV","group","1d")/GETPIVOTDATA("Total-Old",'Distrib pivot table'!$C$2,"state","WV")&gt;0.0005,GETPIVOTDATA("Total-Old",'Distrib pivot table'!$C$2,"state","WV","group","1d")/GETPIVOTDATA("Total-Old",'Distrib pivot table'!$C$2,"state","WV"),"*"))</f>
        <v>0.12611438643008271</v>
      </c>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row>
    <row r="53" spans="1:50" ht="36" customHeight="1">
      <c r="A53" s="1484"/>
      <c r="B53" s="128" t="s">
        <v>304</v>
      </c>
      <c r="C53" s="374" t="s">
        <v>301</v>
      </c>
      <c r="D53" s="424">
        <f>IF(GETPIVOTDATA("Total-Old",'Distrib pivot table'!$C$2,"group","1e")/GETPIVOTDATA("Total-Old",'Distrib pivot table'!$C$2)=0,,IF(GETPIVOTDATA("Total-Old",'Distrib pivot table'!$C$2,"group","1e")/GETPIVOTDATA("Total-Old",'Distrib pivot table'!$C$2)&gt;0.0005,GETPIVOTDATA("Total-Old",'Distrib pivot table'!$C$2,"group","1e")/GETPIVOTDATA("Total-Old",'Distrib pivot table'!$C$2),"*"))</f>
        <v>2.0007126535184192E-2</v>
      </c>
      <c r="E53" s="424">
        <f>IF((GETPIVOTDATA("Total-Old",'Distrib pivot table'!$C$2,"state","AL","group","1e")/GETPIVOTDATA("Total-Old",'Distrib pivot table'!$C$2,"state","AL"))=0,,IF(GETPIVOTDATA("Total-Old",'Distrib pivot table'!$C$2,"state","AL","group","1e")/GETPIVOTDATA("Total-Old",'Distrib pivot table'!$C$2,"state","AL")&gt;0.0005,GETPIVOTDATA("Total-Old",'Distrib pivot table'!$C$2,"state","AL","group","1e")/GETPIVOTDATA("Total-Old",'Distrib pivot table'!$C$2,"state","AL"),"*"))</f>
        <v>0</v>
      </c>
      <c r="F53" s="424">
        <f>IF((GETPIVOTDATA("Total-Old",'Distrib pivot table'!$C$2,"state","AR","group","1e")/GETPIVOTDATA("Total-Old",'Distrib pivot table'!$C$2,"state","AR"))=0,,IF(GETPIVOTDATA("Total-Old",'Distrib pivot table'!$C$2,"state","AR","group","1e")/GETPIVOTDATA("Total-Old",'Distrib pivot table'!$C$2,"state","AR")&gt;0.0005,GETPIVOTDATA("Total-Old",'Distrib pivot table'!$C$2,"state","AR","group","1e")/GETPIVOTDATA("Total-Old",'Distrib pivot table'!$C$2,"state","AR"),"*"))</f>
        <v>7.9814391974531149E-2</v>
      </c>
      <c r="G53" s="424">
        <f>IF((GETPIVOTDATA("Total-Old",'Distrib pivot table'!$C$2,"state","DE","group","1e")/GETPIVOTDATA("Total-Old",'Distrib pivot table'!$C$2,"state","DE"))=0,,IF(GETPIVOTDATA("Total-Old",'Distrib pivot table'!$C$2,"state","DE","group","1e")/GETPIVOTDATA("Total-Old",'Distrib pivot table'!$C$2,"state","DE")&gt;0.0005,GETPIVOTDATA("Total-Old",'Distrib pivot table'!$C$2,"state","DE","group","1e")/GETPIVOTDATA("Total-Old",'Distrib pivot table'!$C$2,"state","DE"),"*"))</f>
        <v>0</v>
      </c>
      <c r="H53" s="424">
        <f>IF((GETPIVOTDATA("Total-Old",'Distrib pivot table'!$C$2,"state","FL","group","1e")/GETPIVOTDATA("Total-Old",'Distrib pivot table'!$C$2,"state","FL"))=0,,IF(GETPIVOTDATA("Total-Old",'Distrib pivot table'!$C$2,"state","FL","group","1e")/GETPIVOTDATA("Total-Old",'Distrib pivot table'!$C$2,"state","FL")&gt;0.0005,GETPIVOTDATA("Total-Old",'Distrib pivot table'!$C$2,"state","FL","group","1e")/GETPIVOTDATA("Total-Old",'Distrib pivot table'!$C$2,"state","FL"),"*"))</f>
        <v>0</v>
      </c>
      <c r="I53" s="424">
        <f>IF((GETPIVOTDATA("Total-Old",'Distrib pivot table'!$C$2,"state","GA","group","1e")/GETPIVOTDATA("Total-Old",'Distrib pivot table'!$C$2,"state","GA"))=0,,IF(GETPIVOTDATA("Total-Old",'Distrib pivot table'!$C$2,"state","GA","group","1e")/GETPIVOTDATA("Total-Old",'Distrib pivot table'!$C$2,"state","GA")&gt;0.0005,GETPIVOTDATA("Total-Old",'Distrib pivot table'!$C$2,"state","GA","group","1e")/GETPIVOTDATA("Total-Old",'Distrib pivot table'!$C$2,"state","GA"),"*"))</f>
        <v>0</v>
      </c>
      <c r="J53" s="424">
        <f>IF((GETPIVOTDATA("Total-Old",'Distrib pivot table'!$C$2,"state","KY","group","1e")/GETPIVOTDATA("Total-Old",'Distrib pivot table'!$C$2,"state","KY"))=0,,IF(GETPIVOTDATA("Total-Old",'Distrib pivot table'!$C$2,"state","KY","group","1e")/GETPIVOTDATA("Total-Old",'Distrib pivot table'!$C$2,"state","KY")&gt;0.0005,GETPIVOTDATA("Total-Old",'Distrib pivot table'!$C$2,"state","KY","group","1e")/GETPIVOTDATA("Total-Old",'Distrib pivot table'!$C$2,"state","KY"),"*"))</f>
        <v>0</v>
      </c>
      <c r="K53" s="424">
        <f>IF((GETPIVOTDATA("Total-Old",'Distrib pivot table'!$C$2,"state","LA","group","1e")/GETPIVOTDATA("Total-Old",'Distrib pivot table'!$C$2,"state","LA"))=0,,IF(GETPIVOTDATA("Total-Old",'Distrib pivot table'!$C$2,"state","LA","group","1e")/GETPIVOTDATA("Total-Old",'Distrib pivot table'!$C$2,"state","LA")&gt;0.0005,GETPIVOTDATA("Total-Old",'Distrib pivot table'!$C$2,"state","LA","group","1e")/GETPIVOTDATA("Total-Old",'Distrib pivot table'!$C$2,"state","LA"),"*"))</f>
        <v>8.7613425889775456E-2</v>
      </c>
      <c r="L53" s="424">
        <f>IF((GETPIVOTDATA("Total-Old",'Distrib pivot table'!$C$2,"state","MD","group","1e")/GETPIVOTDATA("Total-Old",'Distrib pivot table'!$C$2,"state","MD"))=0,,IF(GETPIVOTDATA("Total-Old",'Distrib pivot table'!$C$2,"state","MD","group","1e")/GETPIVOTDATA("Total-Old",'Distrib pivot table'!$C$2,"state","MD")&gt;0.0005,GETPIVOTDATA("Total-Old",'Distrib pivot table'!$C$2,"state","MD","group","1e")/GETPIVOTDATA("Total-Old",'Distrib pivot table'!$C$2,"state","MD"),"*"))</f>
        <v>7.906326400997965E-2</v>
      </c>
      <c r="M53" s="424">
        <f>IF((GETPIVOTDATA("Total-Old",'Distrib pivot table'!$C$2,"state","MS","group","1e")/GETPIVOTDATA("Total-Old",'Distrib pivot table'!$C$2,"state","MS"))=0,,IF(GETPIVOTDATA("Total-Old",'Distrib pivot table'!$C$2,"state","MS","group","1e")/GETPIVOTDATA("Total-Old",'Distrib pivot table'!$C$2,"state","MS")&gt;0.0005,GETPIVOTDATA("Total-Old",'Distrib pivot table'!$C$2,"state","MS","group","1e")/GETPIVOTDATA("Total-Old",'Distrib pivot table'!$C$2,"state","MS"),"*"))</f>
        <v>0.11375246744686322</v>
      </c>
      <c r="N53" s="424">
        <f>IF((GETPIVOTDATA("Total-Old",'Distrib pivot table'!$C$2,"state","NC","group","1e")/GETPIVOTDATA("Total-Old",'Distrib pivot table'!$C$2,"state","NC"))=0,,IF(GETPIVOTDATA("Total-Old",'Distrib pivot table'!$C$2,"state","NC","group","1e")/GETPIVOTDATA("Total-Old",'Distrib pivot table'!$C$2,"state","NC")&gt;0.0005,GETPIVOTDATA("Total-Old",'Distrib pivot table'!$C$2,"state","NC","group","1e")/GETPIVOTDATA("Total-Old",'Distrib pivot table'!$C$2,"state","NC"),"*"))</f>
        <v>0</v>
      </c>
      <c r="O53" s="424">
        <f>IF((GETPIVOTDATA("Total-Old",'Distrib pivot table'!$C$2,"state","OK","group","1e")/GETPIVOTDATA("Total-Old",'Distrib pivot table'!$C$2,"state","OK"))=0,,IF(GETPIVOTDATA("Total-Old",'Distrib pivot table'!$C$2,"state","OK","group","1e")/GETPIVOTDATA("Total-Old",'Distrib pivot table'!$C$2,"state","OK")&gt;0.0005,GETPIVOTDATA("Total-Old",'Distrib pivot table'!$C$2,"state","OK","group","1e")/GETPIVOTDATA("Total-Old",'Distrib pivot table'!$C$2,"state","OK"),"*"))</f>
        <v>0</v>
      </c>
      <c r="P53" s="424">
        <f>IF((GETPIVOTDATA("Total-Old",'Distrib pivot table'!$C$2,"state","SC","group","1e")/GETPIVOTDATA("Total-Old",'Distrib pivot table'!$C$2,"state","SC"))=0,,IF(GETPIVOTDATA("Total-Old",'Distrib pivot table'!$C$2,"state","SC","group","1e")/GETPIVOTDATA("Total-Old",'Distrib pivot table'!$C$2,"state","SC")&gt;0.0005,GETPIVOTDATA("Total-Old",'Distrib pivot table'!$C$2,"state","SC","group","1e")/GETPIVOTDATA("Total-Old",'Distrib pivot table'!$C$2,"state","SC"),"*"))</f>
        <v>2.3520892685337118E-2</v>
      </c>
      <c r="Q53" s="424">
        <f>IF((GETPIVOTDATA("Total-Old",'Distrib pivot table'!$C$2,"state","TN","group","1e")/GETPIVOTDATA("Total-Old",'Distrib pivot table'!$C$2,"state","TN"))=0,,IF(GETPIVOTDATA("Total-Old",'Distrib pivot table'!$C$2,"state","TN","group","1e")/GETPIVOTDATA("Total-Old",'Distrib pivot table'!$C$2,"state","TN")&gt;0.0005,GETPIVOTDATA("Total-Old",'Distrib pivot table'!$C$2,"state","TN","group","1e")/GETPIVOTDATA("Total-Old",'Distrib pivot table'!$C$2,"state","TN"),"*"))</f>
        <v>7.9335672624573181E-2</v>
      </c>
      <c r="R53" s="424">
        <f>IF((GETPIVOTDATA("Total-Old",'Distrib pivot table'!$C$2,"state","TX","group","1e")/GETPIVOTDATA("Total-Old",'Distrib pivot table'!$C$2,"state","TX"))=0,,IF(GETPIVOTDATA("Total-Old",'Distrib pivot table'!$C$2,"state","TX","group","1e")/GETPIVOTDATA("Total-Old",'Distrib pivot table'!$C$2,"state","TX")&gt;0.0005,GETPIVOTDATA("Total-Old",'Distrib pivot table'!$C$2,"state","TX","group","1e")/GETPIVOTDATA("Total-Old",'Distrib pivot table'!$C$2,"state","TX"),"*"))</f>
        <v>0</v>
      </c>
      <c r="S53" s="424">
        <f>IF((GETPIVOTDATA("Total-Old",'Distrib pivot table'!$C$2,"state","VA","group","1e")/GETPIVOTDATA("Total-Old",'Distrib pivot table'!$C$2,"state","VA"))=0,,IF(GETPIVOTDATA("Total-Old",'Distrib pivot table'!$C$2,"state","VA","group","1e")/GETPIVOTDATA("Total-Old",'Distrib pivot table'!$C$2,"state","VA")&gt;0.0005,GETPIVOTDATA("Total-Old",'Distrib pivot table'!$C$2,"state","VA","group","1e")/GETPIVOTDATA("Total-Old",'Distrib pivot table'!$C$2,"state","VA"),"*"))</f>
        <v>0</v>
      </c>
      <c r="T53" s="424">
        <f>IF((GETPIVOTDATA("Total-Old",'Distrib pivot table'!$C$2,"state","WV","group","1e")/GETPIVOTDATA("Total-Old",'Distrib pivot table'!$C$2,"state","WV"))=0,,IF(GETPIVOTDATA("Total-Old",'Distrib pivot table'!$C$2,"state","WV","group","1e")/GETPIVOTDATA("Total-Old",'Distrib pivot table'!$C$2,"state","WV")&gt;0.0005,GETPIVOTDATA("Total-Old",'Distrib pivot table'!$C$2,"state","WV","group","1e")/GETPIVOTDATA("Total-Old",'Distrib pivot table'!$C$2,"state","WV"),"*"))</f>
        <v>3.3296556823675744E-2</v>
      </c>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row>
    <row r="54" spans="1:50" s="7" customFormat="1" ht="36" customHeight="1">
      <c r="A54" s="1483"/>
      <c r="B54" s="129" t="s">
        <v>305</v>
      </c>
      <c r="C54" s="376" t="s">
        <v>302</v>
      </c>
      <c r="D54" s="422">
        <f>IF(GETPIVOTDATA("Total-Old",'Distrib pivot table'!$C$2,"group","1f")/GETPIVOTDATA("Total-Old",'Distrib pivot table'!$C$2)=0,,IF(GETPIVOTDATA("Total-Old",'Distrib pivot table'!$C$2,"group","1f")/GETPIVOTDATA("Total-Old",'Distrib pivot table'!$C$2)&gt;0.0005,GETPIVOTDATA("Total-Old",'Distrib pivot table'!$C$2,"group","1f")/GETPIVOTDATA("Total-Old",'Distrib pivot table'!$C$2),"*"))</f>
        <v>9.4733173667815498E-3</v>
      </c>
      <c r="E54" s="422">
        <f>IF((GETPIVOTDATA("Total-Old",'Distrib pivot table'!$C$2,"state","AL","group","1f")/GETPIVOTDATA("Total-Old",'Distrib pivot table'!$C$2,"state","AL"))=0,,IF(GETPIVOTDATA("Total-Old",'Distrib pivot table'!$C$2,"state","AL","group","1f")/GETPIVOTDATA("Total-Old",'Distrib pivot table'!$C$2,"state","AL")&gt;0.0005,GETPIVOTDATA("Total-Old",'Distrib pivot table'!$C$2,"state","AL","group","1f")/GETPIVOTDATA("Total-Old",'Distrib pivot table'!$C$2,"state","AL"),"*"))</f>
        <v>2.9756237443812239E-3</v>
      </c>
      <c r="F54" s="422">
        <f>IF((GETPIVOTDATA("Total-Old",'Distrib pivot table'!$C$2,"state","AR","group","1f")/GETPIVOTDATA("Total-Old",'Distrib pivot table'!$C$2,"state","AR"))=0,,IF(GETPIVOTDATA("Total-Old",'Distrib pivot table'!$C$2,"state","AR","group","1f")/GETPIVOTDATA("Total-Old",'Distrib pivot table'!$C$2,"state","AR")&gt;0.0005,GETPIVOTDATA("Total-Old",'Distrib pivot table'!$C$2,"state","AR","group","1f")/GETPIVOTDATA("Total-Old",'Distrib pivot table'!$C$2,"state","AR"),"*"))</f>
        <v>0</v>
      </c>
      <c r="G54" s="422">
        <f>IF((GETPIVOTDATA("Total-Old",'Distrib pivot table'!$C$2,"state","DE","group","1f")/GETPIVOTDATA("Total-Old",'Distrib pivot table'!$C$2,"state","DE"))=0,,IF(GETPIVOTDATA("Total-Old",'Distrib pivot table'!$C$2,"state","DE","group","1f")/GETPIVOTDATA("Total-Old",'Distrib pivot table'!$C$2,"state","DE")&gt;0.0005,GETPIVOTDATA("Total-Old",'Distrib pivot table'!$C$2,"state","DE","group","1f")/GETPIVOTDATA("Total-Old",'Distrib pivot table'!$C$2,"state","DE"),"*"))</f>
        <v>0</v>
      </c>
      <c r="H54" s="422">
        <f>IF((GETPIVOTDATA("Total-Old",'Distrib pivot table'!$C$2,"state","FL","group","1f")/GETPIVOTDATA("Total-Old",'Distrib pivot table'!$C$2,"state","FL"))=0,,IF(GETPIVOTDATA("Total-Old",'Distrib pivot table'!$C$2,"state","FL","group","1f")/GETPIVOTDATA("Total-Old",'Distrib pivot table'!$C$2,"state","FL")&gt;0.0005,GETPIVOTDATA("Total-Old",'Distrib pivot table'!$C$2,"state","FL","group","1f")/GETPIVOTDATA("Total-Old",'Distrib pivot table'!$C$2,"state","FL"),"*"))</f>
        <v>0</v>
      </c>
      <c r="I54" s="422">
        <f>IF((GETPIVOTDATA("Total-Old",'Distrib pivot table'!$C$2,"state","GA","group","1f")/GETPIVOTDATA("Total-Old",'Distrib pivot table'!$C$2,"state","GA"))=0,,IF(GETPIVOTDATA("Total-Old",'Distrib pivot table'!$C$2,"state","GA","group","1f")/GETPIVOTDATA("Total-Old",'Distrib pivot table'!$C$2,"state","GA")&gt;0.0005,GETPIVOTDATA("Total-Old",'Distrib pivot table'!$C$2,"state","GA","group","1f")/GETPIVOTDATA("Total-Old",'Distrib pivot table'!$C$2,"state","GA"),"*"))</f>
        <v>2.7511127374156071E-2</v>
      </c>
      <c r="J54" s="422">
        <f>IF((GETPIVOTDATA("Total-Old",'Distrib pivot table'!$C$2,"state","KY","group","1f")/GETPIVOTDATA("Total-Old",'Distrib pivot table'!$C$2,"state","KY"))=0,,IF(GETPIVOTDATA("Total-Old",'Distrib pivot table'!$C$2,"state","KY","group","1f")/GETPIVOTDATA("Total-Old",'Distrib pivot table'!$C$2,"state","KY")&gt;0.0005,GETPIVOTDATA("Total-Old",'Distrib pivot table'!$C$2,"state","KY","group","1f")/GETPIVOTDATA("Total-Old",'Distrib pivot table'!$C$2,"state","KY"),"*"))</f>
        <v>0</v>
      </c>
      <c r="K54" s="422">
        <f>IF((GETPIVOTDATA("Total-Old",'Distrib pivot table'!$C$2,"state","LA","group","1f")/GETPIVOTDATA("Total-Old",'Distrib pivot table'!$C$2,"state","LA"))=0,,IF(GETPIVOTDATA("Total-Old",'Distrib pivot table'!$C$2,"state","LA","group","1f")/GETPIVOTDATA("Total-Old",'Distrib pivot table'!$C$2,"state","LA")&gt;0.0005,GETPIVOTDATA("Total-Old",'Distrib pivot table'!$C$2,"state","LA","group","1f")/GETPIVOTDATA("Total-Old",'Distrib pivot table'!$C$2,"state","LA"),"*"))</f>
        <v>0</v>
      </c>
      <c r="L54" s="422">
        <f>IF((GETPIVOTDATA("Total-Old",'Distrib pivot table'!$C$2,"state","MD","group","1f")/GETPIVOTDATA("Total-Old",'Distrib pivot table'!$C$2,"state","MD"))=0,,IF(GETPIVOTDATA("Total-Old",'Distrib pivot table'!$C$2,"state","MD","group","1f")/GETPIVOTDATA("Total-Old",'Distrib pivot table'!$C$2,"state","MD")&gt;0.0005,GETPIVOTDATA("Total-Old",'Distrib pivot table'!$C$2,"state","MD","group","1f")/GETPIVOTDATA("Total-Old",'Distrib pivot table'!$C$2,"state","MD"),"*"))</f>
        <v>8.3571324834083804E-2</v>
      </c>
      <c r="M54" s="422">
        <f>IF((GETPIVOTDATA("Total-Old",'Distrib pivot table'!$C$2,"state","MS","group","1f")/GETPIVOTDATA("Total-Old",'Distrib pivot table'!$C$2,"state","MS"))=0,,IF(GETPIVOTDATA("Total-Old",'Distrib pivot table'!$C$2,"state","MS","group","1f")/GETPIVOTDATA("Total-Old",'Distrib pivot table'!$C$2,"state","MS")&gt;0.0005,GETPIVOTDATA("Total-Old",'Distrib pivot table'!$C$2,"state","MS","group","1f")/GETPIVOTDATA("Total-Old",'Distrib pivot table'!$C$2,"state","MS"),"*"))</f>
        <v>0</v>
      </c>
      <c r="N54" s="422">
        <f>IF((GETPIVOTDATA("Total-Old",'Distrib pivot table'!$C$2,"state","NC","group","1f")/GETPIVOTDATA("Total-Old",'Distrib pivot table'!$C$2,"state","NC"))=0,,IF(GETPIVOTDATA("Total-Old",'Distrib pivot table'!$C$2,"state","NC","group","1f")/GETPIVOTDATA("Total-Old",'Distrib pivot table'!$C$2,"state","NC")&gt;0.0005,GETPIVOTDATA("Total-Old",'Distrib pivot table'!$C$2,"state","NC","group","1f")/GETPIVOTDATA("Total-Old",'Distrib pivot table'!$C$2,"state","NC"),"*"))</f>
        <v>8.0148626789454652E-3</v>
      </c>
      <c r="O54" s="422">
        <f>IF((GETPIVOTDATA("Total-Old",'Distrib pivot table'!$C$2,"state","OK","group","1f")/GETPIVOTDATA("Total-Old",'Distrib pivot table'!$C$2,"state","OK"))=0,,IF(GETPIVOTDATA("Total-Old",'Distrib pivot table'!$C$2,"state","OK","group","1f")/GETPIVOTDATA("Total-Old",'Distrib pivot table'!$C$2,"state","OK")&gt;0.0005,GETPIVOTDATA("Total-Old",'Distrib pivot table'!$C$2,"state","OK","group","1f")/GETPIVOTDATA("Total-Old",'Distrib pivot table'!$C$2,"state","OK"),"*"))</f>
        <v>0</v>
      </c>
      <c r="P54" s="422">
        <f>IF((GETPIVOTDATA("Total-Old",'Distrib pivot table'!$C$2,"state","SC","group","1f")/GETPIVOTDATA("Total-Old",'Distrib pivot table'!$C$2,"state","SC"))=0,,IF(GETPIVOTDATA("Total-Old",'Distrib pivot table'!$C$2,"state","SC","group","1f")/GETPIVOTDATA("Total-Old",'Distrib pivot table'!$C$2,"state","SC")&gt;0.0005,GETPIVOTDATA("Total-Old",'Distrib pivot table'!$C$2,"state","SC","group","1f")/GETPIVOTDATA("Total-Old",'Distrib pivot table'!$C$2,"state","SC"),"*"))</f>
        <v>0</v>
      </c>
      <c r="Q54" s="422">
        <f>IF((GETPIVOTDATA("Total-Old",'Distrib pivot table'!$C$2,"state","TN","group","1f")/GETPIVOTDATA("Total-Old",'Distrib pivot table'!$C$2,"state","TN"))=0,,IF(GETPIVOTDATA("Total-Old",'Distrib pivot table'!$C$2,"state","TN","group","1f")/GETPIVOTDATA("Total-Old",'Distrib pivot table'!$C$2,"state","TN")&gt;0.0005,GETPIVOTDATA("Total-Old",'Distrib pivot table'!$C$2,"state","TN","group","1f")/GETPIVOTDATA("Total-Old",'Distrib pivot table'!$C$2,"state","TN"),"*"))</f>
        <v>3.5015974415301822E-3</v>
      </c>
      <c r="R54" s="422">
        <f>IF((GETPIVOTDATA("Total-Old",'Distrib pivot table'!$C$2,"state","TX","group","1f")/GETPIVOTDATA("Total-Old",'Distrib pivot table'!$C$2,"state","TX"))=0,,IF(GETPIVOTDATA("Total-Old",'Distrib pivot table'!$C$2,"state","TX","group","1f")/GETPIVOTDATA("Total-Old",'Distrib pivot table'!$C$2,"state","TX")&gt;0.0005,GETPIVOTDATA("Total-Old",'Distrib pivot table'!$C$2,"state","TX","group","1f")/GETPIVOTDATA("Total-Old",'Distrib pivot table'!$C$2,"state","TX"),"*"))</f>
        <v>0</v>
      </c>
      <c r="S54" s="422">
        <f>IF((GETPIVOTDATA("Total-Old",'Distrib pivot table'!$C$2,"state","VA","group","1f")/GETPIVOTDATA("Total-Old",'Distrib pivot table'!$C$2,"state","VA"))=0,,IF(GETPIVOTDATA("Total-Old",'Distrib pivot table'!$C$2,"state","VA","group","1f")/GETPIVOTDATA("Total-Old",'Distrib pivot table'!$C$2,"state","VA")&gt;0.0005,GETPIVOTDATA("Total-Old",'Distrib pivot table'!$C$2,"state","VA","group","1f")/GETPIVOTDATA("Total-Old",'Distrib pivot table'!$C$2,"state","VA"),"*"))</f>
        <v>8.5313890027715646E-3</v>
      </c>
      <c r="T54" s="422">
        <f>IF((GETPIVOTDATA("Total-Old",'Distrib pivot table'!$C$2,"state","WV","group","1f")/GETPIVOTDATA("Total-Old",'Distrib pivot table'!$C$2,"state","WV"))=0,,IF(GETPIVOTDATA("Total-Old",'Distrib pivot table'!$C$2,"state","WV","group","1f")/GETPIVOTDATA("Total-Old",'Distrib pivot table'!$C$2,"state","WV")&gt;0.0005,GETPIVOTDATA("Total-Old",'Distrib pivot table'!$C$2,"state","WV","group","1f")/GETPIVOTDATA("Total-Old",'Distrib pivot table'!$C$2,"state","WV"),"*"))</f>
        <v>0</v>
      </c>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spans="1:50" s="61" customFormat="1" ht="12" customHeight="1">
      <c r="A55" s="134"/>
      <c r="B55" s="132" t="s">
        <v>97</v>
      </c>
      <c r="C55" s="311"/>
      <c r="D55" s="334">
        <f t="shared" ref="D55:T55" si="6">SUM(D7,D15,D22,D26,D31,D32,D36,D52,D53,D54)</f>
        <v>0.9988757786819884</v>
      </c>
      <c r="E55" s="334">
        <f t="shared" si="6"/>
        <v>0.99889737674806833</v>
      </c>
      <c r="F55" s="334">
        <f t="shared" si="6"/>
        <v>0.99909151604969493</v>
      </c>
      <c r="G55" s="334">
        <f t="shared" si="6"/>
        <v>0.99893879603447611</v>
      </c>
      <c r="H55" s="334">
        <f t="shared" si="6"/>
        <v>0.99904428049401195</v>
      </c>
      <c r="I55" s="334">
        <f t="shared" si="6"/>
        <v>0.99885961410849577</v>
      </c>
      <c r="J55" s="334">
        <f t="shared" si="6"/>
        <v>0.99942993816469949</v>
      </c>
      <c r="K55" s="334">
        <f t="shared" si="6"/>
        <v>0.99951819622232563</v>
      </c>
      <c r="L55" s="334">
        <f t="shared" si="6"/>
        <v>0.99951726120188378</v>
      </c>
      <c r="M55" s="334">
        <f t="shared" si="6"/>
        <v>0.99780235203191037</v>
      </c>
      <c r="N55" s="334">
        <f t="shared" si="6"/>
        <v>0.99996561806265039</v>
      </c>
      <c r="O55" s="334">
        <f t="shared" si="6"/>
        <v>0.99999999999999989</v>
      </c>
      <c r="P55" s="334">
        <f t="shared" si="6"/>
        <v>0.99966214321313873</v>
      </c>
      <c r="Q55" s="334">
        <f t="shared" si="6"/>
        <v>0.99940065381560317</v>
      </c>
      <c r="R55" s="334">
        <f t="shared" si="6"/>
        <v>1</v>
      </c>
      <c r="S55" s="334">
        <f t="shared" si="6"/>
        <v>0.99877101559170434</v>
      </c>
      <c r="T55" s="334">
        <f t="shared" si="6"/>
        <v>0.9994206441222645</v>
      </c>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row>
    <row r="56" spans="1:50" s="10" customFormat="1" ht="36.75" customHeight="1">
      <c r="A56" s="1478" t="s">
        <v>1951</v>
      </c>
      <c r="B56" s="1479"/>
      <c r="C56" s="1479"/>
      <c r="D56" s="1479"/>
      <c r="E56" s="1479"/>
      <c r="F56" s="1479"/>
      <c r="G56" s="1479"/>
      <c r="H56" s="1479"/>
      <c r="I56" s="1479"/>
      <c r="J56" s="1479"/>
      <c r="K56" s="1479"/>
      <c r="L56" s="1479"/>
      <c r="M56" s="1479"/>
      <c r="N56" s="1479"/>
      <c r="O56" s="1479"/>
      <c r="P56" s="1479"/>
      <c r="Q56" s="1479"/>
      <c r="R56" s="1479"/>
      <c r="S56" s="1479"/>
      <c r="T56" s="1479"/>
    </row>
    <row r="57" spans="1:50" s="10" customFormat="1" ht="15" customHeight="1">
      <c r="A57" s="55" t="s">
        <v>83</v>
      </c>
      <c r="B57" s="133"/>
      <c r="C57" s="2"/>
      <c r="D57" s="2"/>
      <c r="E57" s="2"/>
      <c r="F57" s="2"/>
      <c r="G57" s="2"/>
      <c r="H57" s="1"/>
      <c r="I57" s="2"/>
      <c r="J57" s="2"/>
      <c r="K57" s="1"/>
      <c r="L57" s="1"/>
      <c r="M57" s="1"/>
      <c r="N57" s="2"/>
      <c r="O57" s="2"/>
      <c r="P57" s="2"/>
      <c r="Q57" s="2"/>
      <c r="R57" s="2"/>
      <c r="S57" s="2"/>
      <c r="T57" s="47"/>
    </row>
    <row r="58" spans="1:50" s="10" customFormat="1" ht="15" customHeight="1">
      <c r="A58" s="47" t="s">
        <v>0</v>
      </c>
      <c r="B58" s="133"/>
      <c r="C58" s="2"/>
      <c r="D58" s="2"/>
      <c r="E58" s="2"/>
      <c r="F58" s="2"/>
      <c r="G58" s="2"/>
      <c r="H58" s="1"/>
      <c r="I58" s="2"/>
      <c r="J58" s="2"/>
      <c r="K58" s="1"/>
      <c r="L58" s="1"/>
      <c r="M58" s="1"/>
      <c r="N58" s="2"/>
      <c r="O58" s="2"/>
      <c r="P58" s="2"/>
      <c r="Q58" s="2"/>
      <c r="R58" s="2"/>
      <c r="S58" s="2"/>
      <c r="T58" s="534" t="s">
        <v>1923</v>
      </c>
    </row>
    <row r="62" spans="1:50">
      <c r="F62" s="219"/>
    </row>
  </sheetData>
  <mergeCells count="4">
    <mergeCell ref="A5:A22"/>
    <mergeCell ref="A23:T23"/>
    <mergeCell ref="A26:A54"/>
    <mergeCell ref="A56:T56"/>
  </mergeCells>
  <printOptions horizontalCentered="1"/>
  <pageMargins left="0.25" right="0.27" top="0.7" bottom="0.5" header="0.7" footer="0.25"/>
  <pageSetup scale="74" firstPageNumber="114" orientation="landscape" useFirstPageNumber="1" r:id="rId1"/>
  <headerFooter alignWithMargins="0">
    <oddHeader>&amp;R&amp;"Arial,Regular"&amp;8SREB-State Data Exchange</oddHeader>
    <oddFooter>&amp;C&amp;"Arial,Regular"C-&amp;P</oddFooter>
  </headerFooter>
  <rowBreaks count="1" manualBreakCount="1">
    <brk id="25"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6"/>
  </sheetPr>
  <dimension ref="A1:AJ36"/>
  <sheetViews>
    <sheetView view="pageBreakPreview" topLeftCell="R1" zoomScaleNormal="100" zoomScaleSheetLayoutView="100" workbookViewId="0">
      <selection activeCell="R1" sqref="R1:AG1"/>
    </sheetView>
  </sheetViews>
  <sheetFormatPr defaultColWidth="8.875" defaultRowHeight="12.75"/>
  <cols>
    <col min="1" max="1" width="14" style="7" customWidth="1"/>
    <col min="2" max="2" width="14.75" style="5" customWidth="1"/>
    <col min="3" max="3" width="12" style="4" customWidth="1"/>
    <col min="4" max="4" width="11.375" style="4" customWidth="1"/>
    <col min="5" max="5" width="12.875" style="4" customWidth="1"/>
    <col min="6" max="6" width="12.375" style="4" customWidth="1"/>
    <col min="7" max="7" width="12.875" style="4" customWidth="1"/>
    <col min="8" max="8" width="13.75" style="4" customWidth="1"/>
    <col min="9" max="9" width="13.5" style="4" bestFit="1" customWidth="1"/>
    <col min="10" max="10" width="14.5" style="4" bestFit="1" customWidth="1"/>
    <col min="11" max="11" width="11.75" style="4" customWidth="1"/>
    <col min="12" max="13" width="11.125" style="4" customWidth="1"/>
    <col min="14" max="14" width="12" style="4" customWidth="1"/>
    <col min="15" max="15" width="12.75" style="4" customWidth="1"/>
    <col min="16" max="16" width="13.125" style="24" customWidth="1"/>
    <col min="17" max="17" width="2.375" style="35" customWidth="1"/>
    <col min="18" max="18" width="12.375" style="7" customWidth="1"/>
    <col min="19" max="19" width="14.125" style="5" customWidth="1"/>
    <col min="20" max="20" width="12.625" style="4" customWidth="1"/>
    <col min="21" max="21" width="12" style="4" customWidth="1"/>
    <col min="22" max="22" width="10.875" style="4" customWidth="1"/>
    <col min="23" max="23" width="11.375" style="4" customWidth="1"/>
    <col min="24" max="24" width="9.75" style="4" customWidth="1"/>
    <col min="25" max="25" width="8.375" style="4" customWidth="1"/>
    <col min="26" max="26" width="6.5" style="4" customWidth="1"/>
    <col min="27" max="27" width="8.875" style="4" customWidth="1"/>
    <col min="28" max="28" width="7.5" style="4" customWidth="1"/>
    <col min="29" max="29" width="8.625" style="5" customWidth="1"/>
    <col min="30" max="30" width="7.75" style="4" customWidth="1"/>
    <col min="31" max="31" width="11.75" style="5" customWidth="1"/>
    <col min="32" max="32" width="11.875" style="5" customWidth="1"/>
    <col min="33" max="33" width="11.125" style="5" customWidth="1"/>
    <col min="34" max="35" width="6.875" style="5" customWidth="1"/>
    <col min="36" max="36" width="5.75" style="5" customWidth="1"/>
    <col min="37" max="16384" width="8.875" style="6"/>
  </cols>
  <sheetData>
    <row r="1" spans="1:36" s="142" customFormat="1" ht="18">
      <c r="A1" s="218"/>
      <c r="B1" s="141"/>
      <c r="P1" s="143"/>
      <c r="Q1" s="144"/>
      <c r="R1" s="1489" t="s">
        <v>357</v>
      </c>
      <c r="S1" s="1489"/>
      <c r="T1" s="1489"/>
      <c r="U1" s="1489"/>
      <c r="V1" s="1489"/>
      <c r="W1" s="1489"/>
      <c r="X1" s="1489"/>
      <c r="Y1" s="1489"/>
      <c r="Z1" s="1489"/>
      <c r="AA1" s="1489"/>
      <c r="AB1" s="1489"/>
      <c r="AC1" s="1489"/>
      <c r="AD1" s="1489"/>
      <c r="AE1" s="1489"/>
      <c r="AF1" s="1489"/>
      <c r="AG1" s="1489"/>
      <c r="AH1" s="141"/>
      <c r="AI1" s="141"/>
      <c r="AJ1" s="141"/>
    </row>
    <row r="2" spans="1:36" s="142" customFormat="1" ht="15.75">
      <c r="A2" s="218"/>
      <c r="B2" s="141"/>
      <c r="P2" s="143"/>
      <c r="Q2" s="144"/>
      <c r="R2" s="509"/>
      <c r="S2" s="509"/>
      <c r="T2" s="509"/>
      <c r="U2" s="509"/>
      <c r="V2" s="509"/>
      <c r="W2" s="509"/>
      <c r="X2" s="509"/>
      <c r="Y2" s="509"/>
      <c r="Z2" s="509"/>
      <c r="AA2" s="509"/>
      <c r="AB2" s="509"/>
      <c r="AC2" s="509"/>
      <c r="AD2" s="509"/>
      <c r="AE2" s="509"/>
      <c r="AF2" s="509"/>
      <c r="AG2" s="509"/>
      <c r="AH2" s="141"/>
      <c r="AI2" s="141"/>
      <c r="AJ2" s="141"/>
    </row>
    <row r="3" spans="1:36" s="142" customFormat="1" ht="18.75">
      <c r="A3" s="218" t="s">
        <v>313</v>
      </c>
      <c r="B3" s="141"/>
      <c r="P3" s="143"/>
      <c r="Q3" s="144"/>
      <c r="R3" s="1504" t="s">
        <v>25</v>
      </c>
      <c r="S3" s="1504"/>
      <c r="T3" s="1504"/>
      <c r="U3" s="1504"/>
      <c r="V3" s="1504"/>
      <c r="W3" s="1504"/>
      <c r="X3" s="1504"/>
      <c r="Y3" s="1504"/>
      <c r="Z3" s="1504"/>
      <c r="AA3" s="1504"/>
      <c r="AB3" s="1504"/>
      <c r="AC3" s="1504"/>
      <c r="AD3" s="1504"/>
      <c r="AE3" s="1504"/>
      <c r="AF3" s="1504"/>
      <c r="AG3" s="1504"/>
      <c r="AH3" s="141"/>
      <c r="AI3" s="141"/>
      <c r="AJ3" s="141"/>
    </row>
    <row r="4" spans="1:36" s="142" customFormat="1" ht="15.75">
      <c r="A4" s="218" t="s">
        <v>408</v>
      </c>
      <c r="B4" s="140"/>
      <c r="C4" s="140"/>
      <c r="D4" s="140"/>
      <c r="E4" s="140"/>
      <c r="F4" s="147"/>
      <c r="G4" s="140"/>
      <c r="H4" s="140"/>
      <c r="I4" s="140"/>
      <c r="J4" s="140"/>
      <c r="K4" s="140"/>
      <c r="L4" s="140"/>
      <c r="M4" s="140"/>
      <c r="N4" s="140"/>
      <c r="O4" s="140"/>
      <c r="P4" s="145"/>
      <c r="Q4" s="146"/>
      <c r="R4" s="1504" t="s">
        <v>1928</v>
      </c>
      <c r="S4" s="1504"/>
      <c r="T4" s="1504"/>
      <c r="U4" s="1504"/>
      <c r="V4" s="1504"/>
      <c r="W4" s="1504"/>
      <c r="X4" s="1504"/>
      <c r="Y4" s="1504"/>
      <c r="Z4" s="1504"/>
      <c r="AA4" s="1504"/>
      <c r="AB4" s="1504"/>
      <c r="AC4" s="1504"/>
      <c r="AD4" s="1504"/>
      <c r="AE4" s="1504"/>
      <c r="AF4" s="1504"/>
      <c r="AG4" s="1504"/>
      <c r="AH4" s="140"/>
      <c r="AI4" s="140"/>
      <c r="AJ4" s="140"/>
    </row>
    <row r="5" spans="1:36" s="142" customFormat="1" ht="15.75">
      <c r="A5" s="218"/>
      <c r="B5" s="509"/>
      <c r="C5" s="509"/>
      <c r="D5" s="509"/>
      <c r="E5" s="509"/>
      <c r="F5" s="147"/>
      <c r="G5" s="509"/>
      <c r="H5" s="509"/>
      <c r="I5" s="509"/>
      <c r="J5" s="509"/>
      <c r="K5" s="509"/>
      <c r="L5" s="509"/>
      <c r="M5" s="509"/>
      <c r="N5" s="509"/>
      <c r="O5" s="509"/>
      <c r="P5" s="145"/>
      <c r="Q5" s="146"/>
      <c r="R5" s="509"/>
      <c r="S5" s="509"/>
      <c r="T5" s="509"/>
      <c r="U5" s="509"/>
      <c r="V5" s="509"/>
      <c r="W5" s="509"/>
      <c r="X5" s="509"/>
      <c r="Y5" s="509"/>
      <c r="Z5" s="509"/>
      <c r="AA5" s="509"/>
      <c r="AB5" s="509"/>
      <c r="AC5" s="509"/>
      <c r="AD5" s="509"/>
      <c r="AE5" s="509"/>
      <c r="AF5" s="509"/>
      <c r="AG5" s="509"/>
      <c r="AH5" s="509"/>
      <c r="AI5" s="509"/>
      <c r="AJ5" s="509"/>
    </row>
    <row r="6" spans="1:36" s="61" customFormat="1" ht="15.75">
      <c r="A6" s="151"/>
      <c r="B6" s="152" t="s">
        <v>11</v>
      </c>
      <c r="C6" s="153"/>
      <c r="D6" s="153"/>
      <c r="E6" s="153"/>
      <c r="F6" s="154"/>
      <c r="G6" s="153"/>
      <c r="H6" s="154"/>
      <c r="I6" s="155" t="s">
        <v>91</v>
      </c>
      <c r="J6" s="152" t="s">
        <v>92</v>
      </c>
      <c r="K6" s="152"/>
      <c r="L6" s="152"/>
      <c r="M6" s="152"/>
      <c r="N6" s="152"/>
      <c r="O6" s="156"/>
      <c r="P6" s="157" t="s">
        <v>91</v>
      </c>
      <c r="Q6" s="158"/>
      <c r="R6" s="151" t="s">
        <v>91</v>
      </c>
      <c r="S6" s="535" t="s">
        <v>36</v>
      </c>
      <c r="T6" s="536"/>
      <c r="U6" s="536"/>
      <c r="V6" s="536"/>
      <c r="W6" s="537"/>
      <c r="X6" s="537"/>
      <c r="Y6" s="537"/>
      <c r="Z6" s="538" t="s">
        <v>91</v>
      </c>
      <c r="AA6" s="535" t="s">
        <v>111</v>
      </c>
      <c r="AB6" s="535"/>
      <c r="AC6" s="535"/>
      <c r="AD6" s="535"/>
      <c r="AE6" s="535"/>
      <c r="AF6" s="539"/>
      <c r="AG6" s="540" t="s">
        <v>91</v>
      </c>
    </row>
    <row r="7" spans="1:36" ht="70.5" customHeight="1">
      <c r="A7" s="17"/>
      <c r="B7" s="1507" t="s">
        <v>213</v>
      </c>
      <c r="C7" s="1511" t="s">
        <v>28</v>
      </c>
      <c r="D7" s="40"/>
      <c r="E7" s="40"/>
      <c r="F7" s="40"/>
      <c r="G7" s="23"/>
      <c r="H7" s="22"/>
      <c r="I7" s="36"/>
      <c r="J7" s="38" t="s">
        <v>212</v>
      </c>
      <c r="K7" s="39"/>
      <c r="L7" s="38" t="s">
        <v>208</v>
      </c>
      <c r="M7" s="39"/>
      <c r="N7" s="49"/>
      <c r="O7" s="21" t="s">
        <v>91</v>
      </c>
      <c r="P7" s="37" t="s">
        <v>91</v>
      </c>
      <c r="Q7" s="30"/>
      <c r="R7" s="17"/>
      <c r="S7" s="1502" t="s">
        <v>31</v>
      </c>
      <c r="T7" s="1492" t="s">
        <v>53</v>
      </c>
      <c r="U7" s="1492" t="s">
        <v>29</v>
      </c>
      <c r="V7" s="1492" t="s">
        <v>32</v>
      </c>
      <c r="W7" s="1492" t="s">
        <v>33</v>
      </c>
      <c r="X7" s="1492" t="s">
        <v>394</v>
      </c>
      <c r="Y7" s="1494" t="s">
        <v>50</v>
      </c>
      <c r="Z7" s="1496" t="s">
        <v>103</v>
      </c>
      <c r="AA7" s="1490" t="s">
        <v>180</v>
      </c>
      <c r="AB7" s="1491"/>
      <c r="AC7" s="1490" t="s">
        <v>234</v>
      </c>
      <c r="AD7" s="1491"/>
      <c r="AE7" s="1492" t="s">
        <v>30</v>
      </c>
      <c r="AF7" s="1498" t="s">
        <v>395</v>
      </c>
      <c r="AG7" s="1500" t="s">
        <v>396</v>
      </c>
      <c r="AH7" s="6"/>
      <c r="AI7" s="6"/>
      <c r="AJ7" s="6"/>
    </row>
    <row r="8" spans="1:36" s="4" customFormat="1" ht="70.5" customHeight="1">
      <c r="A8" s="77"/>
      <c r="B8" s="1508"/>
      <c r="C8" s="1512"/>
      <c r="D8" s="19" t="s">
        <v>29</v>
      </c>
      <c r="E8" s="19" t="s">
        <v>208</v>
      </c>
      <c r="F8" s="19" t="s">
        <v>30</v>
      </c>
      <c r="G8" s="19" t="s">
        <v>314</v>
      </c>
      <c r="H8" s="19" t="s">
        <v>316</v>
      </c>
      <c r="I8" s="78" t="s">
        <v>88</v>
      </c>
      <c r="J8" s="19" t="s">
        <v>207</v>
      </c>
      <c r="K8" s="20" t="s">
        <v>16</v>
      </c>
      <c r="L8" s="19" t="s">
        <v>207</v>
      </c>
      <c r="M8" s="20" t="s">
        <v>16</v>
      </c>
      <c r="N8" s="20" t="s">
        <v>315</v>
      </c>
      <c r="O8" s="20" t="s">
        <v>165</v>
      </c>
      <c r="P8" s="19" t="s">
        <v>168</v>
      </c>
      <c r="Q8" s="31"/>
      <c r="R8" s="77"/>
      <c r="S8" s="1503"/>
      <c r="T8" s="1493"/>
      <c r="U8" s="1493"/>
      <c r="V8" s="1513"/>
      <c r="W8" s="1493"/>
      <c r="X8" s="1493"/>
      <c r="Y8" s="1495"/>
      <c r="Z8" s="1497"/>
      <c r="AA8" s="541" t="s">
        <v>207</v>
      </c>
      <c r="AB8" s="542" t="s">
        <v>16</v>
      </c>
      <c r="AC8" s="541" t="s">
        <v>207</v>
      </c>
      <c r="AD8" s="542" t="s">
        <v>16</v>
      </c>
      <c r="AE8" s="1493"/>
      <c r="AF8" s="1499"/>
      <c r="AG8" s="1501"/>
    </row>
    <row r="9" spans="1:36" s="61" customFormat="1" ht="15" customHeight="1">
      <c r="A9" s="73" t="s">
        <v>158</v>
      </c>
      <c r="B9" s="147">
        <f>+GETPIVOTDATA("Sum of State Gen Purp-New",'Amounts Pivot Table'!$A$3,"category2","Four-Year")+GETPIVOTDATA("Sum of State Gen Purp-New",'Amounts Pivot Table'!$A$3,"category2","Two-Year")+GETPIVOTDATA("Sum of State Gen Purp-New",'Amounts Pivot Table'!$A$3,"category2","Technical")</f>
        <v>19877848768.094795</v>
      </c>
      <c r="C9" s="147">
        <f>+GETPIVOTDATA("Sum of State Ed Spec Purp-New",'Amounts Pivot Table'!$A$3,"category2","Four-Year")+GETPIVOTDATA("Sum of State Ed Spec Purp-New",'Amounts Pivot Table'!$A$3,"category2","Two-Year")+GETPIVOTDATA("Sum of State Ed Spec Purp-New",'Amounts Pivot Table'!$A$3,"category2","Technical")</f>
        <v>1663792163.46</v>
      </c>
      <c r="D9" s="147">
        <f>+GETPIVOTDATA("Sum of State Ed Spec Purp-New",'Amounts Pivot Table'!$A$3,"category2","Other")</f>
        <v>419022291.30000001</v>
      </c>
      <c r="E9" s="147">
        <f>+GETPIVOTDATA("Sum of Other Spec Purp State-New",'Amounts Pivot Table'!$A$3,"category2","Specialized")</f>
        <v>119848201.96988812</v>
      </c>
      <c r="F9" s="147">
        <f>+GETPIVOTDATA("Sum of Health State-New",'Amounts Pivot Table'!$A$3)</f>
        <v>4111779519.3197708</v>
      </c>
      <c r="G9" s="147">
        <f>+GETPIVOTDATA("Sum of Other Spec Purp State-New",'Amounts Pivot Table'!$A$3)</f>
        <v>4428490355.8198881</v>
      </c>
      <c r="H9" s="1468">
        <f>SUM(B9:G9)</f>
        <v>30620781299.96434</v>
      </c>
      <c r="I9" s="147">
        <f>+GETPIVOTDATA("Sum of Local-New",'Amounts Pivot Table'!$A$3)</f>
        <v>2221824585</v>
      </c>
      <c r="J9" s="147">
        <f>+GETPIVOTDATA("Sum of Tuition Tot-New",'Amounts Pivot Table'!$A$3,"category2","Four-Year")+GETPIVOTDATA("Sum of Tuition Tot-New",'Amounts Pivot Table'!$A$3,"category2","Two-Year")+GETPIVOTDATA("Sum of Tuition Tot-New",'Amounts Pivot Table'!$A$3,"category2","Technical")</f>
        <v>27182953914.944965</v>
      </c>
      <c r="K9" s="147">
        <f>+GETPIVOTDATA("Sum of Tuition Debt-New",'Amounts Pivot Table'!$A$3,"category2","Four-Year")+GETPIVOTDATA("Sum of Tuition Debt-New",'Amounts Pivot Table'!$A$3,"category2","Two-Year")+GETPIVOTDATA("Sum of Tuition Debt-New",'Amounts Pivot Table'!$A$3,"category2","Technical")</f>
        <v>330981566.39999998</v>
      </c>
      <c r="L9" s="147">
        <f>+GETPIVOTDATA("Sum of Tuition SP Tot-New",'Amounts Pivot Table'!$A$3,"category2","Specialized")</f>
        <v>379046784</v>
      </c>
      <c r="M9" s="147">
        <f>+GETPIVOTDATA("Sum of Tuition SP Debt-New",'Amounts Pivot Table'!$A$3,"category2","Specialized")</f>
        <v>547260</v>
      </c>
      <c r="N9" s="147">
        <f>+GETPIVOTDATA("Sum of Health Tuition-New",'Amounts Pivot Table'!$A$3)</f>
        <v>1396536547.6076341</v>
      </c>
      <c r="O9" s="1468">
        <f>+J9+L9+N9-K9-M9</f>
        <v>28627008420.152599</v>
      </c>
      <c r="P9" s="1468">
        <f>O9+H9+I9</f>
        <v>61469614305.116943</v>
      </c>
      <c r="Q9" s="148"/>
      <c r="R9" s="406" t="s">
        <v>158</v>
      </c>
      <c r="S9" s="543">
        <f t="shared" ref="S9:S29" si="0">IF(B9/$P9=0,,IF(B9/$P9&gt;0.0005,B9/$P9,"*"))</f>
        <v>0.32337682597823125</v>
      </c>
      <c r="T9" s="543">
        <f t="shared" ref="T9:T29" si="1">IF(C9/$P9=0,,IF(C9/$P9&gt;0.0005,C9/$P9,"*"))</f>
        <v>2.7066904230136031E-2</v>
      </c>
      <c r="U9" s="543">
        <f t="shared" ref="U9:U29" si="2">IF(D9/$P9=0,,IF(D9/$P9&gt;0.0005,D9/$P9,"*"))</f>
        <v>6.8167385794890073E-3</v>
      </c>
      <c r="V9" s="543">
        <f t="shared" ref="V9:V29" si="3">IF(E9/$P9=0,,IF(E9/$P9&gt;0.0005,E9/$P9,"*"))</f>
        <v>1.9497145593755831E-3</v>
      </c>
      <c r="W9" s="543">
        <f t="shared" ref="W9:W29" si="4">IF(F9/$P9=0,,IF(F9/$P9&gt;0.0005,F9/$P9,"*"))</f>
        <v>6.6891252951582159E-2</v>
      </c>
      <c r="X9" s="543">
        <f t="shared" ref="X9:X29" si="5">IF(G9/$P9=0,,IF(G9/$P9&gt;0.0005,G9/$P9,"*"))</f>
        <v>7.2043568287872686E-2</v>
      </c>
      <c r="Y9" s="544">
        <f>SUM(S9:X9)</f>
        <v>0.4981450045866867</v>
      </c>
      <c r="Z9" s="543">
        <f t="shared" ref="Z9:AC24" si="6">IF(I9/$P9=0,,IF(I9/$P9&gt;0.0005,I9/$P9,"*"))</f>
        <v>3.6145087456894091E-2</v>
      </c>
      <c r="AA9" s="543">
        <f t="shared" si="6"/>
        <v>0.44221773997176622</v>
      </c>
      <c r="AB9" s="543">
        <f t="shared" si="6"/>
        <v>5.3844744292213323E-3</v>
      </c>
      <c r="AC9" s="543">
        <f t="shared" si="6"/>
        <v>6.1664090182593978E-3</v>
      </c>
      <c r="AD9" s="543" t="str">
        <f>IF(M9/$P9=0,,IF(M9/$P9&gt;0.0005,M9/$P9,"*"))</f>
        <v>*</v>
      </c>
      <c r="AE9" s="543">
        <f>IF(N9/$P9=0,,IF(N9/$P9&gt;0.0005,N9/$P9,"*"))</f>
        <v>2.2719136330929954E-2</v>
      </c>
      <c r="AF9" s="328">
        <f>J9/$P9-K9/$P9+L9/$P9-M9/$P9+N9/$P9</f>
        <v>0.46570990795641914</v>
      </c>
      <c r="AG9" s="545">
        <f>Y9+I9/$P9+AF9</f>
        <v>1</v>
      </c>
    </row>
    <row r="10" spans="1:36" s="66" customFormat="1" ht="9.75" customHeight="1">
      <c r="A10" s="63"/>
      <c r="B10" s="64"/>
      <c r="C10" s="64"/>
      <c r="D10" s="64"/>
      <c r="E10" s="64"/>
      <c r="F10" s="64"/>
      <c r="G10" s="64"/>
      <c r="H10" s="1469"/>
      <c r="I10" s="64"/>
      <c r="J10" s="64"/>
      <c r="K10" s="64"/>
      <c r="L10" s="64"/>
      <c r="M10" s="64"/>
      <c r="N10" s="64"/>
      <c r="O10" s="1469"/>
      <c r="P10" s="1469"/>
      <c r="Q10" s="65"/>
      <c r="R10" s="379"/>
      <c r="S10" s="543"/>
      <c r="T10" s="543"/>
      <c r="U10" s="543"/>
      <c r="V10" s="543"/>
      <c r="W10" s="543"/>
      <c r="X10" s="543"/>
      <c r="Y10" s="544"/>
      <c r="Z10" s="543"/>
      <c r="AA10" s="543"/>
      <c r="AB10" s="543"/>
      <c r="AC10" s="543"/>
      <c r="AD10" s="543"/>
      <c r="AE10" s="543"/>
      <c r="AF10" s="329"/>
      <c r="AG10" s="545"/>
    </row>
    <row r="11" spans="1:36" ht="12" customHeight="1">
      <c r="A11" s="7" t="s">
        <v>320</v>
      </c>
      <c r="B11" s="29">
        <f>+GETPIVOTDATA("Sum of State Gen Purp-New",'Amounts Pivot Table'!$A$3,"state","AL","category2","Four-Year")+GETPIVOTDATA("Sum of State Gen Purp-New",'Amounts Pivot Table'!$A$3,"state","AL","category2","Two-Year")+GETPIVOTDATA("Sum of State Gen Purp-New",'Amounts Pivot Table'!$A$3,"state","AL","category2","Technical")</f>
        <v>913078315</v>
      </c>
      <c r="C11" s="29">
        <f>+GETPIVOTDATA("Sum of State Ed Spec Purp-New",'Amounts Pivot Table'!$A$3,"state","AL","category2","Four-Year")+GETPIVOTDATA("Sum of State Ed Spec Purp-New",'Amounts Pivot Table'!$A$3,"state","AL","category2","Two-Year")+GETPIVOTDATA("Sum of State Ed Spec Purp-New",'Amounts Pivot Table'!$A$3,"state","AL","category2","Technical")</f>
        <v>102981996</v>
      </c>
      <c r="D11" s="29">
        <f>+GETPIVOTDATA("Sum of State Ed Spec Purp-New",'Amounts Pivot Table'!$A$3,"state","AL","category2","Other")</f>
        <v>28527118</v>
      </c>
      <c r="E11" s="29">
        <f>+GETPIVOTDATA("Sum of Other Spec Purp State-New",'Amounts Pivot Table'!$A$3,"state","AL","category2","Specialized")</f>
        <v>6343936</v>
      </c>
      <c r="F11" s="29">
        <f>+GETPIVOTDATA("Sum of Health State-New",'Amounts Pivot Table'!$A$3,"state","AL")</f>
        <v>331846313</v>
      </c>
      <c r="G11" s="29">
        <f>+GETPIVOTDATA("Sum of Other Spec Purp State-New",'Amounts Pivot Table'!$A$3,"state","AL")</f>
        <v>91969752</v>
      </c>
      <c r="H11" s="1470">
        <f>SUM(B11:G11)</f>
        <v>1474747430</v>
      </c>
      <c r="I11" s="29">
        <f>+GETPIVOTDATA("Sum of Local-New",'Amounts Pivot Table'!$A$3,"state","AL")</f>
        <v>2937000</v>
      </c>
      <c r="J11" s="29">
        <f>+GETPIVOTDATA("Sum of Tuition Tot-New",'Amounts Pivot Table'!$A$3,"state","AL","category2","Four-Year")+GETPIVOTDATA("Sum of Tuition Tot-New",'Amounts Pivot Table'!$A$3,"state","AL","category2","Two-Year")+GETPIVOTDATA("Sum of Tuition Tot-New",'Amounts Pivot Table'!$A$3,"state","AL","category2","Technical")</f>
        <v>1873658020</v>
      </c>
      <c r="K11" s="29">
        <f>+GETPIVOTDATA("Sum of Tuition Debt-New",'Amounts Pivot Table'!$A$3,"state","AL","category2","Four-Year")+GETPIVOTDATA("Sum of Tuition Debt-New",'Amounts Pivot Table'!$A$3,"state","AL","category2","Two-Year")+GETPIVOTDATA("Sum of Tuition Debt-New",'Amounts Pivot Table'!$A$3,"state","AL","category2","Technical")</f>
        <v>119338335</v>
      </c>
      <c r="L11" s="29">
        <f>+GETPIVOTDATA("Sum of Tuition SP Tot-New",'Amounts Pivot Table'!$A$3,"state","AL","category2","Specialized")</f>
        <v>4275700</v>
      </c>
      <c r="M11" s="29">
        <f>+GETPIVOTDATA("Sum of Tuition SP Debt-New",'Amounts Pivot Table'!$A$3,"state","AL","category2","Specialized")</f>
        <v>177000</v>
      </c>
      <c r="N11" s="29">
        <f>+GETPIVOTDATA("Sum of Health Tuition-New",'Amounts Pivot Table'!$A$3,"state","AL")</f>
        <v>166755334</v>
      </c>
      <c r="O11" s="1470">
        <f>+J11+L11+N11-K11-M11</f>
        <v>1925173719</v>
      </c>
      <c r="P11" s="1470">
        <f>O11+H11+I11</f>
        <v>3402858149</v>
      </c>
      <c r="Q11" s="33"/>
      <c r="R11" s="379" t="s">
        <v>320</v>
      </c>
      <c r="S11" s="543">
        <f t="shared" si="0"/>
        <v>0.26832688140947836</v>
      </c>
      <c r="T11" s="543">
        <f t="shared" si="1"/>
        <v>3.0263381983837139E-2</v>
      </c>
      <c r="U11" s="543">
        <f t="shared" si="2"/>
        <v>8.3832815682849671E-3</v>
      </c>
      <c r="V11" s="543">
        <f t="shared" si="3"/>
        <v>1.8642963421394148E-3</v>
      </c>
      <c r="W11" s="543">
        <f t="shared" si="4"/>
        <v>9.7519878428526288E-2</v>
      </c>
      <c r="X11" s="543">
        <f t="shared" si="5"/>
        <v>2.7027207122056265E-2</v>
      </c>
      <c r="Y11" s="544">
        <f t="shared" ref="Y11:Y29" si="7">SUM(S11:X11)</f>
        <v>0.43338492685432239</v>
      </c>
      <c r="Z11" s="543">
        <f t="shared" si="6"/>
        <v>8.6309798157854388E-4</v>
      </c>
      <c r="AA11" s="543">
        <f t="shared" si="6"/>
        <v>0.55061302527424283</v>
      </c>
      <c r="AB11" s="543">
        <f t="shared" si="6"/>
        <v>3.507002930318151E-2</v>
      </c>
      <c r="AC11" s="543">
        <f t="shared" si="6"/>
        <v>1.2565025671894383E-3</v>
      </c>
      <c r="AD11" s="543" t="str">
        <f t="shared" ref="AD11:AE29" si="8">IF(M11/$P11=0,,IF(M11/$P11&gt;0.0005,M11/$P11,"*"))</f>
        <v>*</v>
      </c>
      <c r="AE11" s="543">
        <f t="shared" si="8"/>
        <v>4.9004491723818842E-2</v>
      </c>
      <c r="AF11" s="329">
        <f t="shared" ref="AF11:AF29" si="9">J11/$P11-K11/$P11+L11/$P11-M11/$P11+N11/$P11</f>
        <v>0.56575197516409914</v>
      </c>
      <c r="AG11" s="545">
        <f t="shared" ref="AG11:AG29" si="10">Y11+I11/$P11+AF11</f>
        <v>1</v>
      </c>
      <c r="AH11" s="6"/>
      <c r="AI11" s="6"/>
      <c r="AJ11" s="6"/>
    </row>
    <row r="12" spans="1:36" ht="12" customHeight="1">
      <c r="A12" s="7" t="s">
        <v>334</v>
      </c>
      <c r="B12" s="29">
        <f>+GETPIVOTDATA("Sum of State Gen Purp-New",'Amounts Pivot Table'!$A$3,"state","AR","category2","Four-Year")+GETPIVOTDATA("Sum of State Gen Purp-New",'Amounts Pivot Table'!$A$3,"state","AR","category2","Two-Year")+GETPIVOTDATA("Sum of State Gen Purp-New",'Amounts Pivot Table'!$A$3,"state","AR","category2","Technical")</f>
        <v>615457355</v>
      </c>
      <c r="C12" s="29">
        <f>+GETPIVOTDATA("Sum of State Ed Spec Purp-New",'Amounts Pivot Table'!$A$3,"state","AR","category2","Four-Year")+GETPIVOTDATA("Sum of State Ed Spec Purp-New",'Amounts Pivot Table'!$A$3,"state","AR","category2","Two-Year")+GETPIVOTDATA("Sum of State Ed Spec Purp-New",'Amounts Pivot Table'!$A$3,"state","AR","category2","Technical")</f>
        <v>97156667</v>
      </c>
      <c r="D12" s="29">
        <f>+GETPIVOTDATA("Sum of State Ed Spec Purp-New",'Amounts Pivot Table'!$A$3,"state","AR","category2","Other")</f>
        <v>350000</v>
      </c>
      <c r="E12" s="29">
        <f>+GETPIVOTDATA("Sum of Other Spec Purp State-New",'Amounts Pivot Table'!$A$3,"state","AR","category2","Specialized")</f>
        <v>0</v>
      </c>
      <c r="F12" s="29">
        <f>+GETPIVOTDATA("Sum of Health State-New",'Amounts Pivot Table'!$A$3,"state","AR")</f>
        <v>104768445</v>
      </c>
      <c r="G12" s="29">
        <f>+GETPIVOTDATA("Sum of Other Spec Purp State-New",'Amounts Pivot Table'!$A$3,"state","AR")</f>
        <v>141143052</v>
      </c>
      <c r="H12" s="1470">
        <f t="shared" ref="H12:H29" si="11">SUM(B12:G12)</f>
        <v>958875519</v>
      </c>
      <c r="I12" s="29">
        <f>+GETPIVOTDATA("Sum of Local-New",'Amounts Pivot Table'!$A$3,"state","AR")</f>
        <v>22370000</v>
      </c>
      <c r="J12" s="29">
        <f>+GETPIVOTDATA("Sum of Tuition Tot-New",'Amounts Pivot Table'!$A$3,"state","AR","category2","Four-Year")+GETPIVOTDATA("Sum of Tuition Tot-New",'Amounts Pivot Table'!$A$3,"state","AR","category2","Two-Year")+GETPIVOTDATA("Sum of Tuition Tot-New",'Amounts Pivot Table'!$A$3,"state","AR","category2","Technical")</f>
        <v>744218699</v>
      </c>
      <c r="K12" s="29">
        <f>+GETPIVOTDATA("Sum of Tuition Debt-New",'Amounts Pivot Table'!$A$3,"state","AR","category2","Four-Year")+GETPIVOTDATA("Sum of Tuition Debt-New",'Amounts Pivot Table'!$A$3,"state","AR","category2","Two-Year")+GETPIVOTDATA("Sum of Tuition Debt-New",'Amounts Pivot Table'!$A$3,"state","AR","category2","Technical")</f>
        <v>0</v>
      </c>
      <c r="L12" s="29">
        <f>+GETPIVOTDATA("Sum of Tuition SP Tot-New",'Amounts Pivot Table'!$A$3,"state","AR","category2","Specialized")</f>
        <v>0</v>
      </c>
      <c r="M12" s="29">
        <f>+GETPIVOTDATA("Sum of Tuition SP Debt-New",'Amounts Pivot Table'!$A$3,"state","AR","category2","Specialized")</f>
        <v>0</v>
      </c>
      <c r="N12" s="29">
        <f>+GETPIVOTDATA("Sum of Health Tuition-New",'Amounts Pivot Table'!$A$3,"state","AR")</f>
        <v>38152028</v>
      </c>
      <c r="O12" s="1470">
        <f t="shared" ref="O12:O29" si="12">+J12+L12+N12-K12-M12</f>
        <v>782370727</v>
      </c>
      <c r="P12" s="1470">
        <f t="shared" ref="P12:P29" si="13">O12+H12+I12</f>
        <v>1763616246</v>
      </c>
      <c r="Q12" s="32"/>
      <c r="R12" s="379" t="s">
        <v>334</v>
      </c>
      <c r="S12" s="543">
        <f t="shared" si="0"/>
        <v>0.34897464592759259</v>
      </c>
      <c r="T12" s="543">
        <f t="shared" si="1"/>
        <v>5.5089460204484873E-2</v>
      </c>
      <c r="U12" s="543" t="str">
        <f t="shared" si="2"/>
        <v>*</v>
      </c>
      <c r="V12" s="543">
        <f t="shared" si="3"/>
        <v>0</v>
      </c>
      <c r="W12" s="543">
        <f t="shared" si="4"/>
        <v>5.9405466034701065E-2</v>
      </c>
      <c r="X12" s="543">
        <f t="shared" si="5"/>
        <v>8.0030478467252683E-2</v>
      </c>
      <c r="Y12" s="544">
        <f t="shared" si="7"/>
        <v>0.54350005063403117</v>
      </c>
      <c r="Z12" s="543">
        <f t="shared" si="6"/>
        <v>1.2684165305653462E-2</v>
      </c>
      <c r="AA12" s="543">
        <f t="shared" si="6"/>
        <v>0.42198448822862566</v>
      </c>
      <c r="AB12" s="543">
        <f t="shared" si="6"/>
        <v>0</v>
      </c>
      <c r="AC12" s="543">
        <f t="shared" si="6"/>
        <v>0</v>
      </c>
      <c r="AD12" s="543">
        <f t="shared" si="8"/>
        <v>0</v>
      </c>
      <c r="AE12" s="543">
        <f t="shared" si="8"/>
        <v>2.1632839959674539E-2</v>
      </c>
      <c r="AF12" s="329">
        <f t="shared" si="9"/>
        <v>0.44361732818830019</v>
      </c>
      <c r="AG12" s="545">
        <f t="shared" si="10"/>
        <v>0.99980154412798483</v>
      </c>
      <c r="AH12" s="6"/>
      <c r="AI12" s="6"/>
      <c r="AJ12" s="6"/>
    </row>
    <row r="13" spans="1:36" ht="12" customHeight="1">
      <c r="A13" s="7" t="s">
        <v>321</v>
      </c>
      <c r="B13" s="29">
        <f>+GETPIVOTDATA("Sum of State Gen Purp-New",'Amounts Pivot Table'!$A$3,"state","DE","category2","Four-Year")+GETPIVOTDATA("Sum of State Gen Purp-New",'Amounts Pivot Table'!$A$3,"state","DE","category2","Two-Year")+GETPIVOTDATA("Sum of State Gen Purp-New",'Amounts Pivot Table'!$A$3,"state","DE","category2","Technical")</f>
        <v>213584400</v>
      </c>
      <c r="C13" s="29">
        <f>+GETPIVOTDATA("Sum of State Ed Spec Purp-New",'Amounts Pivot Table'!$A$3,"state","DE","category2","Four-Year")+GETPIVOTDATA("Sum of State Ed Spec Purp-New",'Amounts Pivot Table'!$A$3,"state","DE","category2","Two-Year")+GETPIVOTDATA("Sum of State Ed Spec Purp-New",'Amounts Pivot Table'!$A$3,"state","DE","category2","Technical")</f>
        <v>6430356</v>
      </c>
      <c r="D13" s="29">
        <f>+GETPIVOTDATA("Sum of State Ed Spec Purp-New",'Amounts Pivot Table'!$A$3,"state","DE","category2","Other")</f>
        <v>1918000</v>
      </c>
      <c r="E13" s="29">
        <f>+GETPIVOTDATA("Sum of Other Spec Purp State-New",'Amounts Pivot Table'!$A$3,"state","DE","category2","Specialized")</f>
        <v>0</v>
      </c>
      <c r="F13" s="29">
        <f>+GETPIVOTDATA("Sum of Health State-New",'Amounts Pivot Table'!$A$3,"state","DE")</f>
        <v>0</v>
      </c>
      <c r="G13" s="29">
        <f>+GETPIVOTDATA("Sum of Other Spec Purp State-New",'Amounts Pivot Table'!$A$3,"state","DE")</f>
        <v>20787506.649999999</v>
      </c>
      <c r="H13" s="1470">
        <f t="shared" si="11"/>
        <v>242720262.65000001</v>
      </c>
      <c r="I13" s="29">
        <f>+GETPIVOTDATA("Sum of Local-New",'Amounts Pivot Table'!$A$3,"state","DE")</f>
        <v>0</v>
      </c>
      <c r="J13" s="29">
        <f>+GETPIVOTDATA("Sum of Tuition Tot-New",'Amounts Pivot Table'!$A$3,"state","DE","category2","Four-Year")+GETPIVOTDATA("Sum of Tuition Tot-New",'Amounts Pivot Table'!$A$3,"state","DE","category2","Two-Year")+GETPIVOTDATA("Sum of Tuition Tot-New",'Amounts Pivot Table'!$A$3,"state","DE","category2","Technical")</f>
        <v>631716124</v>
      </c>
      <c r="K13" s="29">
        <f>+GETPIVOTDATA("Sum of Tuition Debt-New",'Amounts Pivot Table'!$A$3,"state","DE","category2","Four-Year")+GETPIVOTDATA("Sum of Tuition Debt-New",'Amounts Pivot Table'!$A$3,"state","DE","category2","Two-Year")+GETPIVOTDATA("Sum of Tuition Debt-New",'Amounts Pivot Table'!$A$3,"state","DE","category2","Technical")</f>
        <v>1525250</v>
      </c>
      <c r="L13" s="29">
        <f>+GETPIVOTDATA("Sum of Tuition SP Tot-New",'Amounts Pivot Table'!$A$3,"state","DE","category2","Specialized")</f>
        <v>0</v>
      </c>
      <c r="M13" s="29">
        <f>+GETPIVOTDATA("Sum of Tuition SP Debt-New",'Amounts Pivot Table'!$A$3,"state","DE","category2","Specialized")</f>
        <v>0</v>
      </c>
      <c r="N13" s="29">
        <f>+GETPIVOTDATA("Sum of Health Tuition-New",'Amounts Pivot Table'!$A$3,"state","DE")</f>
        <v>0</v>
      </c>
      <c r="O13" s="1470">
        <f t="shared" si="12"/>
        <v>630190874</v>
      </c>
      <c r="P13" s="1470">
        <f t="shared" si="13"/>
        <v>872911136.64999998</v>
      </c>
      <c r="Q13" s="32"/>
      <c r="R13" s="379" t="s">
        <v>321</v>
      </c>
      <c r="S13" s="543">
        <f t="shared" si="0"/>
        <v>0.24468057632954476</v>
      </c>
      <c r="T13" s="543">
        <f t="shared" si="1"/>
        <v>7.3665642813058735E-3</v>
      </c>
      <c r="U13" s="543">
        <f t="shared" si="2"/>
        <v>2.197245423355202E-3</v>
      </c>
      <c r="V13" s="543">
        <f t="shared" si="3"/>
        <v>0</v>
      </c>
      <c r="W13" s="543">
        <f t="shared" si="4"/>
        <v>0</v>
      </c>
      <c r="X13" s="543">
        <f t="shared" si="5"/>
        <v>2.381400096437869E-2</v>
      </c>
      <c r="Y13" s="544">
        <f t="shared" si="7"/>
        <v>0.27805838699858454</v>
      </c>
      <c r="Z13" s="543">
        <f t="shared" si="6"/>
        <v>0</v>
      </c>
      <c r="AA13" s="543">
        <f t="shared" si="6"/>
        <v>0.72368892717345534</v>
      </c>
      <c r="AB13" s="543">
        <f t="shared" si="6"/>
        <v>1.7473141720398969E-3</v>
      </c>
      <c r="AC13" s="543">
        <f t="shared" si="6"/>
        <v>0</v>
      </c>
      <c r="AD13" s="543">
        <f t="shared" si="8"/>
        <v>0</v>
      </c>
      <c r="AE13" s="543">
        <f t="shared" si="8"/>
        <v>0</v>
      </c>
      <c r="AF13" s="329">
        <f t="shared" si="9"/>
        <v>0.72194161300141546</v>
      </c>
      <c r="AG13" s="545">
        <f t="shared" si="10"/>
        <v>1</v>
      </c>
      <c r="AH13" s="6"/>
      <c r="AI13" s="6"/>
      <c r="AJ13" s="6"/>
    </row>
    <row r="14" spans="1:36" ht="12" customHeight="1">
      <c r="A14" s="7" t="s">
        <v>328</v>
      </c>
      <c r="B14" s="29">
        <f>+GETPIVOTDATA("Sum of State Gen Purp-New",'Amounts Pivot Table'!$A$3,"state","FL","category2","Four-Year")+GETPIVOTDATA("Sum of State Gen Purp-New",'Amounts Pivot Table'!$A$3,"state","FL","category2","Two-Year")+GETPIVOTDATA("Sum of State Gen Purp-New",'Amounts Pivot Table'!$A$3,"state","FL","category2","Technical")</f>
        <v>2894622057</v>
      </c>
      <c r="C14" s="29">
        <f>+GETPIVOTDATA("Sum of State Ed Spec Purp-New",'Amounts Pivot Table'!$A$3,"state","FL","category2","Four-Year")+GETPIVOTDATA("Sum of State Ed Spec Purp-New",'Amounts Pivot Table'!$A$3,"state","FL","category2","Two-Year")+GETPIVOTDATA("Sum of State Ed Spec Purp-New",'Amounts Pivot Table'!$A$3,"state","FL","category2","Technical")</f>
        <v>225276928</v>
      </c>
      <c r="D14" s="29">
        <f>+GETPIVOTDATA("Sum of State Ed Spec Purp-New",'Amounts Pivot Table'!$A$3,"state","FL","category2","Other")</f>
        <v>16066114</v>
      </c>
      <c r="E14" s="29">
        <f>+GETPIVOTDATA("Sum of Other Spec Purp State-New",'Amounts Pivot Table'!$A$3,"state","FL","category2","Specialized")</f>
        <v>0</v>
      </c>
      <c r="F14" s="29">
        <f>+GETPIVOTDATA("Sum of Health State-New",'Amounts Pivot Table'!$A$3,"state","FL")</f>
        <v>297712853</v>
      </c>
      <c r="G14" s="29">
        <f>+GETPIVOTDATA("Sum of Other Spec Purp State-New",'Amounts Pivot Table'!$A$3,"state","FL")</f>
        <v>570790161</v>
      </c>
      <c r="H14" s="1470">
        <f t="shared" si="11"/>
        <v>4004468113</v>
      </c>
      <c r="I14" s="29">
        <f>+GETPIVOTDATA("Sum of Local-New",'Amounts Pivot Table'!$A$3,"state","FL")</f>
        <v>0</v>
      </c>
      <c r="J14" s="29">
        <f>+GETPIVOTDATA("Sum of Tuition Tot-New",'Amounts Pivot Table'!$A$3,"state","FL","category2","Four-Year")+GETPIVOTDATA("Sum of Tuition Tot-New",'Amounts Pivot Table'!$A$3,"state","FL","category2","Two-Year")+GETPIVOTDATA("Sum of Tuition Tot-New",'Amounts Pivot Table'!$A$3,"state","FL","category2","Technical")</f>
        <v>2536517531.25</v>
      </c>
      <c r="K14" s="29">
        <f>+GETPIVOTDATA("Sum of Tuition Debt-New",'Amounts Pivot Table'!$A$3,"state","FL","category2","Four-Year")+GETPIVOTDATA("Sum of Tuition Debt-New",'Amounts Pivot Table'!$A$3,"state","FL","category2","Two-Year")+GETPIVOTDATA("Sum of Tuition Debt-New",'Amounts Pivot Table'!$A$3,"state","FL","category2","Technical")</f>
        <v>21685566.620000001</v>
      </c>
      <c r="L14" s="29">
        <f>+GETPIVOTDATA("Sum of Tuition SP Tot-New",'Amounts Pivot Table'!$A$3,"state","FL","category2","Specialized")</f>
        <v>0</v>
      </c>
      <c r="M14" s="29">
        <f>+GETPIVOTDATA("Sum of Tuition SP Debt-New",'Amounts Pivot Table'!$A$3,"state","FL","category2","Specialized")</f>
        <v>0</v>
      </c>
      <c r="N14" s="29">
        <f>+GETPIVOTDATA("Sum of Health Tuition-New",'Amounts Pivot Table'!$A$3,"state","FL")</f>
        <v>144115450</v>
      </c>
      <c r="O14" s="1470">
        <f t="shared" si="12"/>
        <v>2658947414.6300001</v>
      </c>
      <c r="P14" s="1470">
        <f t="shared" si="13"/>
        <v>6663415527.6300001</v>
      </c>
      <c r="Q14" s="32"/>
      <c r="R14" s="379" t="s">
        <v>328</v>
      </c>
      <c r="S14" s="543">
        <f t="shared" si="0"/>
        <v>0.43440515528371082</v>
      </c>
      <c r="T14" s="543">
        <f t="shared" si="1"/>
        <v>3.3808026389151966E-2</v>
      </c>
      <c r="U14" s="543">
        <f t="shared" si="2"/>
        <v>2.411092919746863E-3</v>
      </c>
      <c r="V14" s="543">
        <f t="shared" si="3"/>
        <v>0</v>
      </c>
      <c r="W14" s="543">
        <f t="shared" si="4"/>
        <v>4.4678716457877653E-2</v>
      </c>
      <c r="X14" s="543">
        <f t="shared" si="5"/>
        <v>8.5660298180896266E-2</v>
      </c>
      <c r="Y14" s="544">
        <f t="shared" si="7"/>
        <v>0.60096328923138354</v>
      </c>
      <c r="Z14" s="543">
        <f t="shared" si="6"/>
        <v>0</v>
      </c>
      <c r="AA14" s="543">
        <f t="shared" si="6"/>
        <v>0.38066326806909667</v>
      </c>
      <c r="AB14" s="543">
        <f t="shared" si="6"/>
        <v>3.2544220797998142E-3</v>
      </c>
      <c r="AC14" s="543">
        <f t="shared" si="6"/>
        <v>0</v>
      </c>
      <c r="AD14" s="543">
        <f t="shared" si="8"/>
        <v>0</v>
      </c>
      <c r="AE14" s="543">
        <f t="shared" si="8"/>
        <v>2.1627864779319567E-2</v>
      </c>
      <c r="AF14" s="329">
        <f t="shared" si="9"/>
        <v>0.39903671076861641</v>
      </c>
      <c r="AG14" s="545">
        <f t="shared" si="10"/>
        <v>1</v>
      </c>
      <c r="AH14" s="6"/>
      <c r="AI14" s="6"/>
      <c r="AJ14" s="6"/>
    </row>
    <row r="15" spans="1:36" s="88" customFormat="1" ht="9" customHeight="1">
      <c r="A15" s="85"/>
      <c r="B15" s="86"/>
      <c r="C15" s="86"/>
      <c r="D15" s="86"/>
      <c r="E15" s="86"/>
      <c r="F15" s="86"/>
      <c r="G15" s="86"/>
      <c r="H15" s="1471"/>
      <c r="I15" s="86"/>
      <c r="J15" s="86"/>
      <c r="K15" s="86"/>
      <c r="L15" s="86"/>
      <c r="M15" s="86"/>
      <c r="N15" s="86"/>
      <c r="O15" s="1470"/>
      <c r="P15" s="1471"/>
      <c r="Q15" s="87"/>
      <c r="R15" s="379"/>
      <c r="S15" s="543"/>
      <c r="T15" s="543"/>
      <c r="U15" s="543"/>
      <c r="V15" s="543"/>
      <c r="W15" s="543"/>
      <c r="X15" s="543"/>
      <c r="Y15" s="544"/>
      <c r="Z15" s="543"/>
      <c r="AA15" s="543"/>
      <c r="AB15" s="543"/>
      <c r="AC15" s="543"/>
      <c r="AD15" s="543"/>
      <c r="AE15" s="543"/>
      <c r="AF15" s="329"/>
      <c r="AG15" s="545"/>
    </row>
    <row r="16" spans="1:36" ht="12" customHeight="1">
      <c r="A16" s="7" t="s">
        <v>329</v>
      </c>
      <c r="B16" s="29">
        <f>+GETPIVOTDATA("Sum of State Gen Purp-New",'Amounts Pivot Table'!$A$3,"state","GA","category2","Four-Year")+GETPIVOTDATA("Sum of State Gen Purp-New",'Amounts Pivot Table'!$A$3,"state","GA","category2","Two-Year")+GETPIVOTDATA("Sum of State Gen Purp-New",'Amounts Pivot Table'!$A$3,"state","GA","category2","Technical")</f>
        <v>1770812204.05</v>
      </c>
      <c r="C16" s="29">
        <f>+GETPIVOTDATA("Sum of State Ed Spec Purp-New",'Amounts Pivot Table'!$A$3,"state","GA","category2","Four-Year")+GETPIVOTDATA("Sum of State Ed Spec Purp-New",'Amounts Pivot Table'!$A$3,"state","GA","category2","Two-Year")+GETPIVOTDATA("Sum of State Ed Spec Purp-New",'Amounts Pivot Table'!$A$3,"state","GA","category2","Technical")</f>
        <v>90798779</v>
      </c>
      <c r="D16" s="29">
        <f>+GETPIVOTDATA("Sum of State Ed Spec Purp-New",'Amounts Pivot Table'!$A$3,"state","GA","category2","Other")</f>
        <v>101560203</v>
      </c>
      <c r="E16" s="29">
        <f>+GETPIVOTDATA("Sum of Other Spec Purp State-New",'Amounts Pivot Table'!$A$3,"state","GA","category2","Specialized")</f>
        <v>23520748</v>
      </c>
      <c r="F16" s="29">
        <f>+GETPIVOTDATA("Sum of Health State-New",'Amounts Pivot Table'!$A$3,"state","GA")</f>
        <v>204207045</v>
      </c>
      <c r="G16" s="29">
        <f>+GETPIVOTDATA("Sum of Other Spec Purp State-New",'Amounts Pivot Table'!$A$3,"state","GA")</f>
        <v>548627441</v>
      </c>
      <c r="H16" s="1470">
        <f t="shared" si="11"/>
        <v>2739526420.0500002</v>
      </c>
      <c r="I16" s="29">
        <f>+GETPIVOTDATA("Sum of Local-New",'Amounts Pivot Table'!$A$3,"state","GA")</f>
        <v>0</v>
      </c>
      <c r="J16" s="29">
        <f>+GETPIVOTDATA("Sum of Tuition Tot-New",'Amounts Pivot Table'!$A$3,"state","GA","category2","Four-Year")+GETPIVOTDATA("Sum of Tuition Tot-New",'Amounts Pivot Table'!$A$3,"state","GA","category2","Two-Year")+GETPIVOTDATA("Sum of Tuition Tot-New",'Amounts Pivot Table'!$A$3,"state","GA","category2","Technical")</f>
        <v>2207528076.6226001</v>
      </c>
      <c r="K16" s="29">
        <f>+GETPIVOTDATA("Sum of Tuition Debt-New",'Amounts Pivot Table'!$A$3,"state","GA","category2","Four-Year")+GETPIVOTDATA("Sum of Tuition Debt-New",'Amounts Pivot Table'!$A$3,"state","GA","category2","Two-Year")+GETPIVOTDATA("Sum of Tuition Debt-New",'Amounts Pivot Table'!$A$3,"state","GA","category2","Technical")</f>
        <v>0</v>
      </c>
      <c r="L16" s="29">
        <f>+GETPIVOTDATA("Sum of Tuition SP Tot-New",'Amounts Pivot Table'!$A$3,"state","GA","category2","Specialized")</f>
        <v>39108709</v>
      </c>
      <c r="M16" s="29">
        <f>+GETPIVOTDATA("Sum of Tuition SP Debt-New",'Amounts Pivot Table'!$A$3,"state","GA","category2","Specialized")</f>
        <v>0</v>
      </c>
      <c r="N16" s="29">
        <f>+GETPIVOTDATA("Sum of Health Tuition-New",'Amounts Pivot Table'!$A$3,"state","GA")</f>
        <v>63368159</v>
      </c>
      <c r="O16" s="1470">
        <f t="shared" si="12"/>
        <v>2310004944.6226001</v>
      </c>
      <c r="P16" s="1470">
        <f t="shared" si="13"/>
        <v>5049531364.6725998</v>
      </c>
      <c r="Q16" s="32"/>
      <c r="R16" s="379" t="s">
        <v>329</v>
      </c>
      <c r="S16" s="543">
        <f t="shared" si="0"/>
        <v>0.35068842555150964</v>
      </c>
      <c r="T16" s="543">
        <f t="shared" si="1"/>
        <v>1.7981624915778139E-2</v>
      </c>
      <c r="U16" s="543">
        <f t="shared" si="2"/>
        <v>2.0112797736148914E-2</v>
      </c>
      <c r="V16" s="543">
        <f t="shared" si="3"/>
        <v>4.6580061200441778E-3</v>
      </c>
      <c r="W16" s="543">
        <f t="shared" si="4"/>
        <v>4.0440791481892363E-2</v>
      </c>
      <c r="X16" s="543">
        <f t="shared" si="5"/>
        <v>0.10864917977107599</v>
      </c>
      <c r="Y16" s="544">
        <f t="shared" si="7"/>
        <v>0.54253082557644927</v>
      </c>
      <c r="Z16" s="543">
        <f t="shared" si="6"/>
        <v>0</v>
      </c>
      <c r="AA16" s="543">
        <f t="shared" si="6"/>
        <v>0.43717484201937051</v>
      </c>
      <c r="AB16" s="543">
        <f t="shared" si="6"/>
        <v>0</v>
      </c>
      <c r="AC16" s="543">
        <f t="shared" si="6"/>
        <v>7.7450175423429066E-3</v>
      </c>
      <c r="AD16" s="543">
        <f t="shared" si="8"/>
        <v>0</v>
      </c>
      <c r="AE16" s="543">
        <f t="shared" si="8"/>
        <v>1.2549314861837411E-2</v>
      </c>
      <c r="AF16" s="329">
        <f t="shared" si="9"/>
        <v>0.45746917442355084</v>
      </c>
      <c r="AG16" s="545">
        <f t="shared" si="10"/>
        <v>1</v>
      </c>
      <c r="AH16" s="6"/>
      <c r="AI16" s="6"/>
      <c r="AJ16" s="6"/>
    </row>
    <row r="17" spans="1:36" ht="12" customHeight="1">
      <c r="A17" s="7" t="s">
        <v>322</v>
      </c>
      <c r="B17" s="29">
        <f>+GETPIVOTDATA("Sum of State Gen Purp-New",'Amounts Pivot Table'!$A$3,"state","KY","category2","Four-Year")+GETPIVOTDATA("Sum of State Gen Purp-New",'Amounts Pivot Table'!$A$3,"state","KY","category2","Two-Year")+GETPIVOTDATA("Sum of State Gen Purp-New",'Amounts Pivot Table'!$A$3,"state","KY","category2","Technical")</f>
        <v>720382131.87</v>
      </c>
      <c r="C17" s="29">
        <f>+GETPIVOTDATA("Sum of State Ed Spec Purp-New",'Amounts Pivot Table'!$A$3,"state","KY","category2","Four-Year")+GETPIVOTDATA("Sum of State Ed Spec Purp-New",'Amounts Pivot Table'!$A$3,"state","KY","category2","Two-Year")+GETPIVOTDATA("Sum of State Ed Spec Purp-New",'Amounts Pivot Table'!$A$3,"state","KY","category2","Technical")</f>
        <v>93685768.129999995</v>
      </c>
      <c r="D17" s="29">
        <f>+GETPIVOTDATA("Sum of State Ed Spec Purp-New",'Amounts Pivot Table'!$A$3,"state","KY","category2","Other")</f>
        <v>46994600</v>
      </c>
      <c r="E17" s="29">
        <f>+GETPIVOTDATA("Sum of Other Spec Purp State-New",'Amounts Pivot Table'!$A$3,"state","KY","category2","Specialized")</f>
        <v>0</v>
      </c>
      <c r="F17" s="29">
        <f>+GETPIVOTDATA("Sum of Health State-New",'Amounts Pivot Table'!$A$3,"state","KY")</f>
        <v>57233200</v>
      </c>
      <c r="G17" s="29">
        <f>+GETPIVOTDATA("Sum of Other Spec Purp State-New",'Amounts Pivot Table'!$A$3,"state","KY")</f>
        <v>238509563</v>
      </c>
      <c r="H17" s="1470">
        <f t="shared" si="11"/>
        <v>1156805263</v>
      </c>
      <c r="I17" s="29">
        <f>+GETPIVOTDATA("Sum of Local-New",'Amounts Pivot Table'!$A$3,"state","KY")</f>
        <v>0</v>
      </c>
      <c r="J17" s="29">
        <f>+GETPIVOTDATA("Sum of Tuition Tot-New",'Amounts Pivot Table'!$A$3,"state","KY","category2","Four-Year")+GETPIVOTDATA("Sum of Tuition Tot-New",'Amounts Pivot Table'!$A$3,"state","KY","category2","Two-Year")+GETPIVOTDATA("Sum of Tuition Tot-New",'Amounts Pivot Table'!$A$3,"state","KY","category2","Technical")</f>
        <v>1541227662.1723659</v>
      </c>
      <c r="K17" s="29">
        <f>+GETPIVOTDATA("Sum of Tuition Debt-New",'Amounts Pivot Table'!$A$3,"state","KY","category2","Four-Year")+GETPIVOTDATA("Sum of Tuition Debt-New",'Amounts Pivot Table'!$A$3,"state","KY","category2","Two-Year")+GETPIVOTDATA("Sum of Tuition Debt-New",'Amounts Pivot Table'!$A$3,"state","KY","category2","Technical")</f>
        <v>14834237.780000001</v>
      </c>
      <c r="L17" s="29">
        <f>+GETPIVOTDATA("Sum of Tuition SP Tot-New",'Amounts Pivot Table'!$A$3,"state","KY","category2","Specialized")</f>
        <v>0</v>
      </c>
      <c r="M17" s="29">
        <f>+GETPIVOTDATA("Sum of Tuition SP Debt-New",'Amounts Pivot Table'!$A$3,"state","KY","category2","Specialized")</f>
        <v>0</v>
      </c>
      <c r="N17" s="29">
        <f>+GETPIVOTDATA("Sum of Health Tuition-New",'Amounts Pivot Table'!$A$3,"state","KY")</f>
        <v>78984562.607634008</v>
      </c>
      <c r="O17" s="1470">
        <f t="shared" si="12"/>
        <v>1605377987</v>
      </c>
      <c r="P17" s="1470">
        <f t="shared" si="13"/>
        <v>2762183250</v>
      </c>
      <c r="Q17" s="32"/>
      <c r="R17" s="379" t="s">
        <v>322</v>
      </c>
      <c r="S17" s="543">
        <f t="shared" si="0"/>
        <v>0.26080171613161435</v>
      </c>
      <c r="T17" s="543">
        <f t="shared" si="1"/>
        <v>3.3917289205920714E-2</v>
      </c>
      <c r="U17" s="543">
        <f t="shared" si="2"/>
        <v>1.7013570696296127E-2</v>
      </c>
      <c r="V17" s="543">
        <f t="shared" si="3"/>
        <v>0</v>
      </c>
      <c r="W17" s="543">
        <f t="shared" si="4"/>
        <v>2.0720276252489764E-2</v>
      </c>
      <c r="X17" s="543">
        <f t="shared" si="5"/>
        <v>8.6348204088197267E-2</v>
      </c>
      <c r="Y17" s="544">
        <f t="shared" si="7"/>
        <v>0.4188010563745182</v>
      </c>
      <c r="Z17" s="543">
        <f t="shared" si="6"/>
        <v>0</v>
      </c>
      <c r="AA17" s="543">
        <f t="shared" si="6"/>
        <v>0.55797444364792448</v>
      </c>
      <c r="AB17" s="543">
        <f t="shared" si="6"/>
        <v>5.370475612000037E-3</v>
      </c>
      <c r="AC17" s="543">
        <f t="shared" si="6"/>
        <v>0</v>
      </c>
      <c r="AD17" s="543">
        <f t="shared" si="8"/>
        <v>0</v>
      </c>
      <c r="AE17" s="543">
        <f t="shared" si="8"/>
        <v>2.8594975589557287E-2</v>
      </c>
      <c r="AF17" s="329">
        <f t="shared" si="9"/>
        <v>0.58119894362548175</v>
      </c>
      <c r="AG17" s="545">
        <f t="shared" si="10"/>
        <v>1</v>
      </c>
      <c r="AH17" s="6"/>
      <c r="AI17" s="6"/>
      <c r="AJ17" s="6"/>
    </row>
    <row r="18" spans="1:36" ht="12" customHeight="1">
      <c r="A18" s="7" t="s">
        <v>330</v>
      </c>
      <c r="B18" s="29">
        <f>+GETPIVOTDATA("Sum of State Gen Purp-New",'Amounts Pivot Table'!$A$3,"state","LA","category2","Four-Year")+GETPIVOTDATA("Sum of State Gen Purp-New",'Amounts Pivot Table'!$A$3,"state","LA","category2","Two-Year")+GETPIVOTDATA("Sum of State Gen Purp-New",'Amounts Pivot Table'!$A$3,"state","LA","category2","Technical")</f>
        <v>521675231</v>
      </c>
      <c r="C18" s="29">
        <f>+GETPIVOTDATA("Sum of State Ed Spec Purp-New",'Amounts Pivot Table'!$A$3,"state","LA","category2","Four-Year")+GETPIVOTDATA("Sum of State Ed Spec Purp-New",'Amounts Pivot Table'!$A$3,"state","LA","category2","Two-Year")+GETPIVOTDATA("Sum of State Ed Spec Purp-New",'Amounts Pivot Table'!$A$3,"state","LA","category2","Technical")</f>
        <v>74462968</v>
      </c>
      <c r="D18" s="29">
        <f>+GETPIVOTDATA("Sum of State Ed Spec Purp-New",'Amounts Pivot Table'!$A$3,"state","LA","category2","Other")</f>
        <v>27648710</v>
      </c>
      <c r="E18" s="29">
        <f>+GETPIVOTDATA("Sum of Other Spec Purp State-New",'Amounts Pivot Table'!$A$3,"state","LA","category2","Specialized")</f>
        <v>0</v>
      </c>
      <c r="F18" s="29">
        <f>+GETPIVOTDATA("Sum of Health State-New",'Amounts Pivot Table'!$A$3,"state","LA")</f>
        <v>155560571</v>
      </c>
      <c r="G18" s="29">
        <f>+GETPIVOTDATA("Sum of Other Spec Purp State-New",'Amounts Pivot Table'!$A$3,"state","LA")</f>
        <v>326784653</v>
      </c>
      <c r="H18" s="1470">
        <f t="shared" si="11"/>
        <v>1106132133</v>
      </c>
      <c r="I18" s="29">
        <f>+GETPIVOTDATA("Sum of Local-New",'Amounts Pivot Table'!$A$3,"state","LA")</f>
        <v>0</v>
      </c>
      <c r="J18" s="29">
        <f>+GETPIVOTDATA("Sum of Tuition Tot-New",'Amounts Pivot Table'!$A$3,"state","LA","category2","Four-Year")+GETPIVOTDATA("Sum of Tuition Tot-New",'Amounts Pivot Table'!$A$3,"state","LA","category2","Two-Year")+GETPIVOTDATA("Sum of Tuition Tot-New",'Amounts Pivot Table'!$A$3,"state","LA","category2","Technical")</f>
        <v>1116893174</v>
      </c>
      <c r="K18" s="29">
        <f>+GETPIVOTDATA("Sum of Tuition Debt-New",'Amounts Pivot Table'!$A$3,"state","LA","category2","Four-Year")+GETPIVOTDATA("Sum of Tuition Debt-New",'Amounts Pivot Table'!$A$3,"state","LA","category2","Two-Year")+GETPIVOTDATA("Sum of Tuition Debt-New",'Amounts Pivot Table'!$A$3,"state","LA","category2","Technical")</f>
        <v>0</v>
      </c>
      <c r="L18" s="29">
        <f>+GETPIVOTDATA("Sum of Tuition SP Tot-New",'Amounts Pivot Table'!$A$3,"state","LA","category2","Specialized")</f>
        <v>0</v>
      </c>
      <c r="M18" s="29">
        <f>+GETPIVOTDATA("Sum of Tuition SP Debt-New",'Amounts Pivot Table'!$A$3,"state","LA","category2","Specialized")</f>
        <v>0</v>
      </c>
      <c r="N18" s="29">
        <f>+GETPIVOTDATA("Sum of Health Tuition-New",'Amounts Pivot Table'!$A$3,"state","LA")</f>
        <v>74264063</v>
      </c>
      <c r="O18" s="1470">
        <f t="shared" si="12"/>
        <v>1191157237</v>
      </c>
      <c r="P18" s="1470">
        <f t="shared" si="13"/>
        <v>2297289370</v>
      </c>
      <c r="Q18" s="32"/>
      <c r="R18" s="379" t="s">
        <v>330</v>
      </c>
      <c r="S18" s="543">
        <f t="shared" si="0"/>
        <v>0.2270829429729177</v>
      </c>
      <c r="T18" s="543">
        <f t="shared" si="1"/>
        <v>3.2413403802064346E-2</v>
      </c>
      <c r="U18" s="543">
        <f t="shared" si="2"/>
        <v>1.2035362354025083E-2</v>
      </c>
      <c r="V18" s="543">
        <f t="shared" si="3"/>
        <v>0</v>
      </c>
      <c r="W18" s="543">
        <f t="shared" si="4"/>
        <v>6.7714835158097647E-2</v>
      </c>
      <c r="X18" s="543">
        <f t="shared" si="5"/>
        <v>0.14224792804399736</v>
      </c>
      <c r="Y18" s="544">
        <f t="shared" si="7"/>
        <v>0.4814944723311021</v>
      </c>
      <c r="Z18" s="543">
        <f t="shared" si="6"/>
        <v>0</v>
      </c>
      <c r="AA18" s="543">
        <f t="shared" si="6"/>
        <v>0.48617870634207477</v>
      </c>
      <c r="AB18" s="543">
        <f t="shared" si="6"/>
        <v>0</v>
      </c>
      <c r="AC18" s="543">
        <f t="shared" si="6"/>
        <v>0</v>
      </c>
      <c r="AD18" s="543">
        <f t="shared" si="8"/>
        <v>0</v>
      </c>
      <c r="AE18" s="543">
        <f t="shared" si="8"/>
        <v>3.2326821326823102E-2</v>
      </c>
      <c r="AF18" s="329">
        <f t="shared" si="9"/>
        <v>0.5185055276688979</v>
      </c>
      <c r="AG18" s="545">
        <f t="shared" si="10"/>
        <v>1</v>
      </c>
      <c r="AH18" s="6"/>
      <c r="AI18" s="6"/>
      <c r="AJ18" s="6"/>
    </row>
    <row r="19" spans="1:36" ht="12" customHeight="1">
      <c r="A19" s="7" t="s">
        <v>333</v>
      </c>
      <c r="B19" s="29">
        <f>+GETPIVOTDATA("Sum of State Gen Purp-New",'Amounts Pivot Table'!$A$3,"state","MD","category2","Four-Year")+GETPIVOTDATA("Sum of State Gen Purp-New",'Amounts Pivot Table'!$A$3,"state","MD","category2","Two-Year")+GETPIVOTDATA("Sum of State Gen Purp-New",'Amounts Pivot Table'!$A$3,"state","MD","category2","Technical")</f>
        <v>1313326838</v>
      </c>
      <c r="C19" s="29">
        <f>+GETPIVOTDATA("Sum of State Ed Spec Purp-New",'Amounts Pivot Table'!$A$3,"state","MD","category2","Four-Year")+GETPIVOTDATA("Sum of State Ed Spec Purp-New",'Amounts Pivot Table'!$A$3,"state","MD","category2","Two-Year")+GETPIVOTDATA("Sum of State Ed Spec Purp-New",'Amounts Pivot Table'!$A$3,"state","MD","category2","Technical")</f>
        <v>63324297</v>
      </c>
      <c r="D19" s="29">
        <f>+GETPIVOTDATA("Sum of State Ed Spec Purp-New",'Amounts Pivot Table'!$A$3,"state","MD","category2","Other")</f>
        <v>6000000</v>
      </c>
      <c r="E19" s="29">
        <f>+GETPIVOTDATA("Sum of Other Spec Purp State-New",'Amounts Pivot Table'!$A$3,"state","MD","category2","Specialized")</f>
        <v>39990223</v>
      </c>
      <c r="F19" s="29">
        <f>+GETPIVOTDATA("Sum of Health State-New",'Amounts Pivot Table'!$A$3,"state","MD")</f>
        <v>215444453</v>
      </c>
      <c r="G19" s="29">
        <f>+GETPIVOTDATA("Sum of Other Spec Purp State-New",'Amounts Pivot Table'!$A$3,"state","MD")</f>
        <v>262630099</v>
      </c>
      <c r="H19" s="1470">
        <f t="shared" si="11"/>
        <v>1900715910</v>
      </c>
      <c r="I19" s="29">
        <f>+GETPIVOTDATA("Sum of Local-New",'Amounts Pivot Table'!$A$3,"state","MD")</f>
        <v>358871697</v>
      </c>
      <c r="J19" s="29">
        <f>+GETPIVOTDATA("Sum of Tuition Tot-New",'Amounts Pivot Table'!$A$3,"state","MD","category2","Four-Year")+GETPIVOTDATA("Sum of Tuition Tot-New",'Amounts Pivot Table'!$A$3,"state","MD","category2","Two-Year")+GETPIVOTDATA("Sum of Tuition Tot-New",'Amounts Pivot Table'!$A$3,"state","MD","category2","Technical")</f>
        <v>1594711028</v>
      </c>
      <c r="K19" s="29">
        <f>+GETPIVOTDATA("Sum of Tuition Debt-New",'Amounts Pivot Table'!$A$3,"state","MD","category2","Four-Year")+GETPIVOTDATA("Sum of Tuition Debt-New",'Amounts Pivot Table'!$A$3,"state","MD","category2","Two-Year")+GETPIVOTDATA("Sum of Tuition Debt-New",'Amounts Pivot Table'!$A$3,"state","MD","category2","Technical")</f>
        <v>0</v>
      </c>
      <c r="L19" s="29">
        <f>+GETPIVOTDATA("Sum of Tuition SP Tot-New",'Amounts Pivot Table'!$A$3,"state","MD","category2","Specialized")</f>
        <v>293418178</v>
      </c>
      <c r="M19" s="29">
        <f>+GETPIVOTDATA("Sum of Tuition SP Debt-New",'Amounts Pivot Table'!$A$3,"state","MD","category2","Specialized")</f>
        <v>0</v>
      </c>
      <c r="N19" s="29">
        <f>+GETPIVOTDATA("Sum of Health Tuition-New",'Amounts Pivot Table'!$A$3,"state","MD")</f>
        <v>119524902</v>
      </c>
      <c r="O19" s="1470">
        <f t="shared" si="12"/>
        <v>2007654108</v>
      </c>
      <c r="P19" s="1470">
        <f t="shared" si="13"/>
        <v>4267241715</v>
      </c>
      <c r="Q19" s="32"/>
      <c r="R19" s="379" t="s">
        <v>333</v>
      </c>
      <c r="S19" s="543">
        <f t="shared" si="0"/>
        <v>0.30776949742112275</v>
      </c>
      <c r="T19" s="543">
        <f t="shared" si="1"/>
        <v>1.4839632068979246E-2</v>
      </c>
      <c r="U19" s="543">
        <f t="shared" si="2"/>
        <v>1.4060604954505137E-3</v>
      </c>
      <c r="V19" s="543">
        <f t="shared" si="3"/>
        <v>9.371445460759421E-3</v>
      </c>
      <c r="W19" s="543">
        <f t="shared" si="4"/>
        <v>5.048798905454082E-2</v>
      </c>
      <c r="X19" s="543">
        <f t="shared" si="5"/>
        <v>6.1545634520026246E-2</v>
      </c>
      <c r="Y19" s="544">
        <f t="shared" si="7"/>
        <v>0.44542025902087901</v>
      </c>
      <c r="Z19" s="543">
        <f t="shared" si="6"/>
        <v>8.4099219347831114E-2</v>
      </c>
      <c r="AA19" s="543">
        <f t="shared" si="6"/>
        <v>0.37371002968834638</v>
      </c>
      <c r="AB19" s="543">
        <f t="shared" si="6"/>
        <v>0</v>
      </c>
      <c r="AC19" s="543">
        <f t="shared" si="6"/>
        <v>6.8760618122144512E-2</v>
      </c>
      <c r="AD19" s="543">
        <f t="shared" si="8"/>
        <v>0</v>
      </c>
      <c r="AE19" s="543">
        <f t="shared" si="8"/>
        <v>2.8009873820799017E-2</v>
      </c>
      <c r="AF19" s="329">
        <f t="shared" si="9"/>
        <v>0.47048052163128989</v>
      </c>
      <c r="AG19" s="545">
        <f t="shared" si="10"/>
        <v>1</v>
      </c>
      <c r="AH19" s="6"/>
      <c r="AI19" s="6"/>
      <c r="AJ19" s="6"/>
    </row>
    <row r="20" spans="1:36" s="88" customFormat="1" ht="9" customHeight="1">
      <c r="A20" s="85"/>
      <c r="B20" s="86"/>
      <c r="C20" s="86"/>
      <c r="D20" s="86"/>
      <c r="E20" s="86"/>
      <c r="F20" s="86"/>
      <c r="G20" s="86"/>
      <c r="H20" s="1471"/>
      <c r="I20" s="86"/>
      <c r="J20" s="86"/>
      <c r="K20" s="86"/>
      <c r="L20" s="86"/>
      <c r="M20" s="86"/>
      <c r="N20" s="86"/>
      <c r="O20" s="1470"/>
      <c r="P20" s="1471"/>
      <c r="Q20" s="87"/>
      <c r="R20" s="379"/>
      <c r="S20" s="543"/>
      <c r="T20" s="543"/>
      <c r="U20" s="543"/>
      <c r="V20" s="543"/>
      <c r="W20" s="543"/>
      <c r="X20" s="543"/>
      <c r="Y20" s="544"/>
      <c r="Z20" s="543"/>
      <c r="AA20" s="543"/>
      <c r="AB20" s="543"/>
      <c r="AC20" s="543"/>
      <c r="AD20" s="543"/>
      <c r="AE20" s="543"/>
      <c r="AF20" s="329"/>
      <c r="AG20" s="545"/>
    </row>
    <row r="21" spans="1:36" ht="12" customHeight="1">
      <c r="A21" s="7" t="s">
        <v>323</v>
      </c>
      <c r="B21" s="29">
        <f>+GETPIVOTDATA("Sum of State Gen Purp-New",'Amounts Pivot Table'!$A$3,"state","MS","category2","Four-Year")+GETPIVOTDATA("Sum of State Gen Purp-New",'Amounts Pivot Table'!$A$3,"state","MS","category2","Two-Year")+GETPIVOTDATA("Sum of State Gen Purp-New",'Amounts Pivot Table'!$A$3,"state","MS","category2","Technical")</f>
        <v>649609596</v>
      </c>
      <c r="C21" s="29">
        <f>+GETPIVOTDATA("Sum of State Ed Spec Purp-New",'Amounts Pivot Table'!$A$3,"state","MS","category2","Four-Year")+GETPIVOTDATA("Sum of State Ed Spec Purp-New",'Amounts Pivot Table'!$A$3,"state","MS","category2","Two-Year")+GETPIVOTDATA("Sum of State Ed Spec Purp-New",'Amounts Pivot Table'!$A$3,"state","MS","category2","Technical")</f>
        <v>113031060</v>
      </c>
      <c r="D21" s="29">
        <f>+GETPIVOTDATA("Sum of State Ed Spec Purp-New",'Amounts Pivot Table'!$A$3,"state","MS","category2","Other")</f>
        <v>9142442.3000000007</v>
      </c>
      <c r="E21" s="29">
        <f>+GETPIVOTDATA("Sum of Other Spec Purp State-New",'Amounts Pivot Table'!$A$3,"state","MS","category2","Specialized")</f>
        <v>0</v>
      </c>
      <c r="F21" s="29">
        <f>+GETPIVOTDATA("Sum of Health State-New",'Amounts Pivot Table'!$A$3,"state","MS")</f>
        <v>206074444</v>
      </c>
      <c r="G21" s="29">
        <f>+GETPIVOTDATA("Sum of Other Spec Purp State-New",'Amounts Pivot Table'!$A$3,"state","MS")</f>
        <v>50215834.32</v>
      </c>
      <c r="H21" s="1470">
        <f t="shared" si="11"/>
        <v>1028073376.62</v>
      </c>
      <c r="I21" s="29">
        <f>+GETPIVOTDATA("Sum of Local-New",'Amounts Pivot Table'!$A$3,"state","MS")</f>
        <v>54318644</v>
      </c>
      <c r="J21" s="29">
        <f>+GETPIVOTDATA("Sum of Tuition Tot-New",'Amounts Pivot Table'!$A$3,"state","MS","category2","Four-Year")+GETPIVOTDATA("Sum of Tuition Tot-New",'Amounts Pivot Table'!$A$3,"state","MS","category2","Two-Year")+GETPIVOTDATA("Sum of Tuition Tot-New",'Amounts Pivot Table'!$A$3,"state","MS","category2","Technical")</f>
        <v>851708481</v>
      </c>
      <c r="K21" s="29">
        <f>+GETPIVOTDATA("Sum of Tuition Debt-New",'Amounts Pivot Table'!$A$3,"state","MS","category2","Four-Year")+GETPIVOTDATA("Sum of Tuition Debt-New",'Amounts Pivot Table'!$A$3,"state","MS","category2","Two-Year")+GETPIVOTDATA("Sum of Tuition Debt-New",'Amounts Pivot Table'!$A$3,"state","MS","category2","Technical")</f>
        <v>0</v>
      </c>
      <c r="L21" s="29">
        <f>+GETPIVOTDATA("Sum of Tuition SP Tot-New",'Amounts Pivot Table'!$A$3,"state","MS","category2","Specialized")</f>
        <v>0</v>
      </c>
      <c r="M21" s="29">
        <f>+GETPIVOTDATA("Sum of Tuition SP Debt-New",'Amounts Pivot Table'!$A$3,"state","MS","category2","Specialized")</f>
        <v>0</v>
      </c>
      <c r="N21" s="29">
        <f>+GETPIVOTDATA("Sum of Health Tuition-New",'Amounts Pivot Table'!$A$3,"state","MS")</f>
        <v>38281171</v>
      </c>
      <c r="O21" s="1470">
        <f t="shared" si="12"/>
        <v>889989652</v>
      </c>
      <c r="P21" s="1470">
        <f t="shared" si="13"/>
        <v>1972381672.6199999</v>
      </c>
      <c r="Q21" s="32"/>
      <c r="R21" s="379" t="s">
        <v>323</v>
      </c>
      <c r="S21" s="543">
        <f t="shared" si="0"/>
        <v>0.32935288591335138</v>
      </c>
      <c r="T21" s="543">
        <f t="shared" si="1"/>
        <v>5.730689022771944E-2</v>
      </c>
      <c r="U21" s="543">
        <f t="shared" si="2"/>
        <v>4.635229797007645E-3</v>
      </c>
      <c r="V21" s="543">
        <f t="shared" si="3"/>
        <v>0</v>
      </c>
      <c r="W21" s="543">
        <f t="shared" si="4"/>
        <v>0.10448000347025249</v>
      </c>
      <c r="X21" s="543">
        <f t="shared" si="5"/>
        <v>2.5459491444825753E-2</v>
      </c>
      <c r="Y21" s="544">
        <f t="shared" si="7"/>
        <v>0.5212345008531567</v>
      </c>
      <c r="Z21" s="543">
        <f t="shared" si="6"/>
        <v>2.7539621136230798E-2</v>
      </c>
      <c r="AA21" s="543">
        <f t="shared" si="6"/>
        <v>0.43181727594773217</v>
      </c>
      <c r="AB21" s="543">
        <f t="shared" si="6"/>
        <v>0</v>
      </c>
      <c r="AC21" s="543">
        <f t="shared" si="6"/>
        <v>0</v>
      </c>
      <c r="AD21" s="543">
        <f t="shared" si="8"/>
        <v>0</v>
      </c>
      <c r="AE21" s="543">
        <f t="shared" si="8"/>
        <v>1.9408602062880389E-2</v>
      </c>
      <c r="AF21" s="329">
        <f t="shared" si="9"/>
        <v>0.45122587801061254</v>
      </c>
      <c r="AG21" s="545">
        <f t="shared" si="10"/>
        <v>1</v>
      </c>
      <c r="AH21" s="6"/>
      <c r="AI21" s="6"/>
      <c r="AJ21" s="6"/>
    </row>
    <row r="22" spans="1:36" ht="12" customHeight="1">
      <c r="A22" s="7" t="s">
        <v>324</v>
      </c>
      <c r="B22" s="29">
        <f>+GETPIVOTDATA("Sum of State Gen Purp-New",'Amounts Pivot Table'!$A$3,"state","NC","category2","Four-Year")+GETPIVOTDATA("Sum of State Gen Purp-New",'Amounts Pivot Table'!$A$3,"state","NC","category2","Two-Year")+GETPIVOTDATA("Sum of State Gen Purp-New",'Amounts Pivot Table'!$A$3,"state","NC","category2","Technical")</f>
        <v>2651405731</v>
      </c>
      <c r="C22" s="29">
        <f>+GETPIVOTDATA("Sum of State Ed Spec Purp-New",'Amounts Pivot Table'!$A$3,"state","NC","category2","Four-Year")+GETPIVOTDATA("Sum of State Ed Spec Purp-New",'Amounts Pivot Table'!$A$3,"state","NC","category2","Two-Year")+GETPIVOTDATA("Sum of State Ed Spec Purp-New",'Amounts Pivot Table'!$A$3,"state","NC","category2","Technical")</f>
        <v>235465371</v>
      </c>
      <c r="D22" s="29">
        <f>+GETPIVOTDATA("Sum of State Ed Spec Purp-New",'Amounts Pivot Table'!$A$3,"state","NC","category2","Other")</f>
        <v>68220695</v>
      </c>
      <c r="E22" s="29">
        <f>+GETPIVOTDATA("Sum of Other Spec Purp State-New",'Amounts Pivot Table'!$A$3,"state","NC","category2","Specialized")</f>
        <v>28861488</v>
      </c>
      <c r="F22" s="29">
        <f>+GETPIVOTDATA("Sum of Health State-New",'Amounts Pivot Table'!$A$3,"state","NC")</f>
        <v>288295152</v>
      </c>
      <c r="G22" s="29">
        <f>+GETPIVOTDATA("Sum of Other Spec Purp State-New",'Amounts Pivot Table'!$A$3,"state","NC")</f>
        <v>354133565</v>
      </c>
      <c r="H22" s="1470">
        <f t="shared" si="11"/>
        <v>3626382002</v>
      </c>
      <c r="I22" s="29">
        <f>+GETPIVOTDATA("Sum of Local-New",'Amounts Pivot Table'!$A$3,"state","NC")</f>
        <v>230872309</v>
      </c>
      <c r="J22" s="29">
        <f>+GETPIVOTDATA("Sum of Tuition Tot-New",'Amounts Pivot Table'!$A$3,"state","NC","category2","Four-Year")+GETPIVOTDATA("Sum of Tuition Tot-New",'Amounts Pivot Table'!$A$3,"state","NC","category2","Two-Year")+GETPIVOTDATA("Sum of Tuition Tot-New",'Amounts Pivot Table'!$A$3,"state","NC","category2","Technical")</f>
        <v>1835646080</v>
      </c>
      <c r="K22" s="29">
        <f>+GETPIVOTDATA("Sum of Tuition Debt-New",'Amounts Pivot Table'!$A$3,"state","NC","category2","Four-Year")+GETPIVOTDATA("Sum of Tuition Debt-New",'Amounts Pivot Table'!$A$3,"state","NC","category2","Two-Year")+GETPIVOTDATA("Sum of Tuition Debt-New",'Amounts Pivot Table'!$A$3,"state","NC","category2","Technical")</f>
        <v>0</v>
      </c>
      <c r="L22" s="29">
        <f>+GETPIVOTDATA("Sum of Tuition SP Tot-New",'Amounts Pivot Table'!$A$3,"state","NC","category2","Specialized")</f>
        <v>14549931</v>
      </c>
      <c r="M22" s="29">
        <f>+GETPIVOTDATA("Sum of Tuition SP Debt-New",'Amounts Pivot Table'!$A$3,"state","NC","category2","Specialized")</f>
        <v>0</v>
      </c>
      <c r="N22" s="29">
        <f>+GETPIVOTDATA("Sum of Health Tuition-New",'Amounts Pivot Table'!$A$3,"state","NC")</f>
        <v>123515097</v>
      </c>
      <c r="O22" s="1470">
        <f t="shared" si="12"/>
        <v>1973711108</v>
      </c>
      <c r="P22" s="1470">
        <f t="shared" si="13"/>
        <v>5830965419</v>
      </c>
      <c r="Q22" s="32"/>
      <c r="R22" s="379" t="s">
        <v>324</v>
      </c>
      <c r="S22" s="543">
        <f t="shared" si="0"/>
        <v>0.4547112768600009</v>
      </c>
      <c r="T22" s="543">
        <f t="shared" si="1"/>
        <v>4.038188431588776E-2</v>
      </c>
      <c r="U22" s="543">
        <f t="shared" si="2"/>
        <v>1.1699725533906481E-2</v>
      </c>
      <c r="V22" s="543">
        <f t="shared" si="3"/>
        <v>4.9496928769215192E-3</v>
      </c>
      <c r="W22" s="543">
        <f t="shared" si="4"/>
        <v>4.9442095996762421E-2</v>
      </c>
      <c r="X22" s="543">
        <f t="shared" si="5"/>
        <v>6.0733264485854775E-2</v>
      </c>
      <c r="Y22" s="544">
        <f t="shared" si="7"/>
        <v>0.62191794006933387</v>
      </c>
      <c r="Z22" s="543">
        <f t="shared" si="6"/>
        <v>3.9594182508390557E-2</v>
      </c>
      <c r="AA22" s="543">
        <f t="shared" si="6"/>
        <v>0.31480997538051081</v>
      </c>
      <c r="AB22" s="543">
        <f t="shared" si="6"/>
        <v>0</v>
      </c>
      <c r="AC22" s="543">
        <f t="shared" si="6"/>
        <v>2.4952867929193255E-3</v>
      </c>
      <c r="AD22" s="543">
        <f t="shared" si="8"/>
        <v>0</v>
      </c>
      <c r="AE22" s="543">
        <f t="shared" si="8"/>
        <v>2.1182615248845467E-2</v>
      </c>
      <c r="AF22" s="329">
        <f t="shared" si="9"/>
        <v>0.3384878774222756</v>
      </c>
      <c r="AG22" s="545">
        <f t="shared" si="10"/>
        <v>1</v>
      </c>
      <c r="AH22" s="6"/>
      <c r="AI22" s="6"/>
      <c r="AJ22" s="6"/>
    </row>
    <row r="23" spans="1:36" ht="12" customHeight="1">
      <c r="A23" s="7" t="s">
        <v>331</v>
      </c>
      <c r="B23" s="29">
        <f>+GETPIVOTDATA("Sum of State Gen Purp-New",'Amounts Pivot Table'!$A$3,"state","OK","category2","Four-Year")+GETPIVOTDATA("Sum of State Gen Purp-New",'Amounts Pivot Table'!$A$3,"state","OK","category2","Two-Year")+GETPIVOTDATA("Sum of State Gen Purp-New",'Amounts Pivot Table'!$A$3,"state","OK","category2","Technical")</f>
        <v>777112054</v>
      </c>
      <c r="C23" s="29">
        <f>+GETPIVOTDATA("Sum of State Ed Spec Purp-New",'Amounts Pivot Table'!$A$3,"state","OK","category2","Four-Year")+GETPIVOTDATA("Sum of State Ed Spec Purp-New",'Amounts Pivot Table'!$A$3,"state","OK","category2","Two-Year")+GETPIVOTDATA("Sum of State Ed Spec Purp-New",'Amounts Pivot Table'!$A$3,"state","OK","category2","Technical")</f>
        <v>0</v>
      </c>
      <c r="D23" s="29">
        <f>+GETPIVOTDATA("Sum of State Ed Spec Purp-New",'Amounts Pivot Table'!$A$3,"state","OK","category2","Other")</f>
        <v>15652609</v>
      </c>
      <c r="E23" s="29">
        <f>+GETPIVOTDATA("Sum of Other Spec Purp State-New",'Amounts Pivot Table'!$A$3,"state","OK","category2","Specialized")</f>
        <v>0</v>
      </c>
      <c r="F23" s="29">
        <f>+GETPIVOTDATA("Sum of Health State-New",'Amounts Pivot Table'!$A$3,"state","OK")</f>
        <v>118486833</v>
      </c>
      <c r="G23" s="29">
        <f>+GETPIVOTDATA("Sum of Other Spec Purp State-New",'Amounts Pivot Table'!$A$3,"state","OK")</f>
        <v>90779494</v>
      </c>
      <c r="H23" s="1470">
        <f t="shared" si="11"/>
        <v>1002030990</v>
      </c>
      <c r="I23" s="29">
        <f>+GETPIVOTDATA("Sum of Local-New",'Amounts Pivot Table'!$A$3,"state","OK")</f>
        <v>43212149</v>
      </c>
      <c r="J23" s="29">
        <f>+GETPIVOTDATA("Sum of Tuition Tot-New",'Amounts Pivot Table'!$A$3,"state","OK","category2","Four-Year")+GETPIVOTDATA("Sum of Tuition Tot-New",'Amounts Pivot Table'!$A$3,"state","OK","category2","Two-Year")+GETPIVOTDATA("Sum of Tuition Tot-New",'Amounts Pivot Table'!$A$3,"state","OK","category2","Technical")</f>
        <v>1023126437</v>
      </c>
      <c r="K23" s="29">
        <f>+GETPIVOTDATA("Sum of Tuition Debt-New",'Amounts Pivot Table'!$A$3,"state","OK","category2","Four-Year")+GETPIVOTDATA("Sum of Tuition Debt-New",'Amounts Pivot Table'!$A$3,"state","OK","category2","Two-Year")+GETPIVOTDATA("Sum of Tuition Debt-New",'Amounts Pivot Table'!$A$3,"state","OK","category2","Technical")</f>
        <v>0</v>
      </c>
      <c r="L23" s="29">
        <f>+GETPIVOTDATA("Sum of Tuition SP Tot-New",'Amounts Pivot Table'!$A$3,"state","OK","category2","Specialized")</f>
        <v>0</v>
      </c>
      <c r="M23" s="29">
        <f>+GETPIVOTDATA("Sum of Tuition SP Debt-New",'Amounts Pivot Table'!$A$3,"state","OK","category2","Specialized")</f>
        <v>0</v>
      </c>
      <c r="N23" s="29">
        <f>+GETPIVOTDATA("Sum of Health Tuition-New",'Amounts Pivot Table'!$A$3,"state","OK")</f>
        <v>0</v>
      </c>
      <c r="O23" s="1470">
        <f t="shared" si="12"/>
        <v>1023126437</v>
      </c>
      <c r="P23" s="1470">
        <f t="shared" si="13"/>
        <v>2068369576</v>
      </c>
      <c r="Q23" s="32"/>
      <c r="R23" s="379" t="s">
        <v>331</v>
      </c>
      <c r="S23" s="543">
        <f t="shared" si="0"/>
        <v>0.37571237897573873</v>
      </c>
      <c r="T23" s="543">
        <f t="shared" si="1"/>
        <v>0</v>
      </c>
      <c r="U23" s="543">
        <f t="shared" si="2"/>
        <v>7.5676074438642774E-3</v>
      </c>
      <c r="V23" s="543">
        <f t="shared" si="3"/>
        <v>0</v>
      </c>
      <c r="W23" s="543">
        <f t="shared" si="4"/>
        <v>5.7285136261354487E-2</v>
      </c>
      <c r="X23" s="543">
        <f t="shared" si="5"/>
        <v>4.3889397259244928E-2</v>
      </c>
      <c r="Y23" s="544">
        <f t="shared" si="7"/>
        <v>0.48445451994020239</v>
      </c>
      <c r="Z23" s="543">
        <f t="shared" si="6"/>
        <v>2.0891889680357587E-2</v>
      </c>
      <c r="AA23" s="543">
        <f t="shared" si="6"/>
        <v>0.49465359037944001</v>
      </c>
      <c r="AB23" s="543">
        <f t="shared" si="6"/>
        <v>0</v>
      </c>
      <c r="AC23" s="543">
        <f t="shared" si="6"/>
        <v>0</v>
      </c>
      <c r="AD23" s="543">
        <f t="shared" si="8"/>
        <v>0</v>
      </c>
      <c r="AE23" s="543">
        <f t="shared" si="8"/>
        <v>0</v>
      </c>
      <c r="AF23" s="329">
        <f t="shared" si="9"/>
        <v>0.49465359037944001</v>
      </c>
      <c r="AG23" s="545">
        <f t="shared" si="10"/>
        <v>1</v>
      </c>
      <c r="AH23" s="6"/>
      <c r="AI23" s="6"/>
      <c r="AJ23" s="6"/>
    </row>
    <row r="24" spans="1:36" ht="12" customHeight="1">
      <c r="A24" s="7" t="s">
        <v>325</v>
      </c>
      <c r="B24" s="29">
        <f>+GETPIVOTDATA("Sum of State Gen Purp-New",'Amounts Pivot Table'!$A$3,"state","SC","category2","Four-Year")+GETPIVOTDATA("Sum of State Gen Purp-New",'Amounts Pivot Table'!$A$3,"state","SC","category2","Two-Year")+GETPIVOTDATA("Sum of State Gen Purp-New",'Amounts Pivot Table'!$A$3,"state","SC","category2","Technical")</f>
        <v>378974741</v>
      </c>
      <c r="C24" s="29">
        <f>+GETPIVOTDATA("Sum of State Ed Spec Purp-New",'Amounts Pivot Table'!$A$3,"state","SC","category2","Four-Year")+GETPIVOTDATA("Sum of State Ed Spec Purp-New",'Amounts Pivot Table'!$A$3,"state","SC","category2","Two-Year")+GETPIVOTDATA("Sum of State Ed Spec Purp-New",'Amounts Pivot Table'!$A$3,"state","SC","category2","Technical")</f>
        <v>95127456.329999998</v>
      </c>
      <c r="D24" s="29">
        <f>+GETPIVOTDATA("Sum of State Ed Spec Purp-New",'Amounts Pivot Table'!$A$3,"state","SC","category2","Other")</f>
        <v>4295762</v>
      </c>
      <c r="E24" s="29">
        <f>+GETPIVOTDATA("Sum of Other Spec Purp State-New",'Amounts Pivot Table'!$A$3,"state","SC","category2","Specialized")</f>
        <v>0</v>
      </c>
      <c r="F24" s="29">
        <f>+GETPIVOTDATA("Sum of Health State-New",'Amounts Pivot Table'!$A$3,"state","SC")</f>
        <v>88698902</v>
      </c>
      <c r="G24" s="29">
        <f>+GETPIVOTDATA("Sum of Other Spec Purp State-New",'Amounts Pivot Table'!$A$3,"state","SC")</f>
        <v>397858634</v>
      </c>
      <c r="H24" s="1470">
        <f t="shared" si="11"/>
        <v>964955495.32999992</v>
      </c>
      <c r="I24" s="29">
        <f>+GETPIVOTDATA("Sum of Local-New",'Amounts Pivot Table'!$A$3,"state","SC")</f>
        <v>65565402</v>
      </c>
      <c r="J24" s="29">
        <f>+GETPIVOTDATA("Sum of Tuition Tot-New",'Amounts Pivot Table'!$A$3,"state","SC","category2","Four-Year")+GETPIVOTDATA("Sum of Tuition Tot-New",'Amounts Pivot Table'!$A$3,"state","SC","category2","Two-Year")+GETPIVOTDATA("Sum of Tuition Tot-New",'Amounts Pivot Table'!$A$3,"state","SC","category2","Technical")</f>
        <v>1926563911</v>
      </c>
      <c r="K24" s="29">
        <f>+GETPIVOTDATA("Sum of Tuition Debt-New",'Amounts Pivot Table'!$A$3,"state","SC","category2","Four-Year")+GETPIVOTDATA("Sum of Tuition Debt-New",'Amounts Pivot Table'!$A$3,"state","SC","category2","Two-Year")+GETPIVOTDATA("Sum of Tuition Debt-New",'Amounts Pivot Table'!$A$3,"state","SC","category2","Technical")</f>
        <v>101097287</v>
      </c>
      <c r="L24" s="29">
        <f>+GETPIVOTDATA("Sum of Tuition SP Tot-New",'Amounts Pivot Table'!$A$3,"state","SC","category2","Specialized")</f>
        <v>0</v>
      </c>
      <c r="M24" s="29">
        <f>+GETPIVOTDATA("Sum of Tuition SP Debt-New",'Amounts Pivot Table'!$A$3,"state","SC","category2","Specialized")</f>
        <v>0</v>
      </c>
      <c r="N24" s="29">
        <f>+GETPIVOTDATA("Sum of Health Tuition-New",'Amounts Pivot Table'!$A$3,"state","SC")</f>
        <v>0</v>
      </c>
      <c r="O24" s="1470">
        <f t="shared" si="12"/>
        <v>1825466624</v>
      </c>
      <c r="P24" s="1470">
        <f t="shared" si="13"/>
        <v>2855987521.3299999</v>
      </c>
      <c r="Q24" s="32"/>
      <c r="R24" s="379" t="s">
        <v>325</v>
      </c>
      <c r="S24" s="543">
        <f t="shared" si="0"/>
        <v>0.13269481682592082</v>
      </c>
      <c r="T24" s="543">
        <f t="shared" si="1"/>
        <v>3.3308078421050054E-2</v>
      </c>
      <c r="U24" s="543">
        <f t="shared" si="2"/>
        <v>1.5041249192851915E-3</v>
      </c>
      <c r="V24" s="543">
        <f t="shared" si="3"/>
        <v>0</v>
      </c>
      <c r="W24" s="543">
        <f t="shared" si="4"/>
        <v>3.1057174212965034E-2</v>
      </c>
      <c r="X24" s="543">
        <f t="shared" si="5"/>
        <v>0.13930685306871435</v>
      </c>
      <c r="Y24" s="544">
        <f t="shared" si="7"/>
        <v>0.33787104744793545</v>
      </c>
      <c r="Z24" s="543">
        <f t="shared" si="6"/>
        <v>2.2957173835783065E-2</v>
      </c>
      <c r="AA24" s="543">
        <f t="shared" si="6"/>
        <v>0.67457014311561903</v>
      </c>
      <c r="AB24" s="543">
        <f t="shared" si="6"/>
        <v>3.5398364399337495E-2</v>
      </c>
      <c r="AC24" s="543">
        <f t="shared" si="6"/>
        <v>0</v>
      </c>
      <c r="AD24" s="543">
        <f t="shared" si="8"/>
        <v>0</v>
      </c>
      <c r="AE24" s="543">
        <f t="shared" si="8"/>
        <v>0</v>
      </c>
      <c r="AF24" s="329">
        <f t="shared" si="9"/>
        <v>0.6391717787162815</v>
      </c>
      <c r="AG24" s="545">
        <f t="shared" si="10"/>
        <v>1</v>
      </c>
      <c r="AH24" s="6"/>
      <c r="AI24" s="6"/>
      <c r="AJ24" s="6"/>
    </row>
    <row r="25" spans="1:36" s="88" customFormat="1" ht="11.25" customHeight="1">
      <c r="A25" s="85"/>
      <c r="B25" s="86"/>
      <c r="C25" s="86"/>
      <c r="D25" s="86"/>
      <c r="E25" s="86"/>
      <c r="F25" s="86"/>
      <c r="G25" s="86"/>
      <c r="H25" s="1471"/>
      <c r="I25" s="86"/>
      <c r="J25" s="86"/>
      <c r="K25" s="86"/>
      <c r="L25" s="86"/>
      <c r="M25" s="86"/>
      <c r="N25" s="86"/>
      <c r="O25" s="1470"/>
      <c r="P25" s="1471"/>
      <c r="Q25" s="87"/>
      <c r="R25" s="379"/>
      <c r="S25" s="543"/>
      <c r="T25" s="543"/>
      <c r="U25" s="543"/>
      <c r="V25" s="543"/>
      <c r="W25" s="543"/>
      <c r="X25" s="543"/>
      <c r="Y25" s="544"/>
      <c r="Z25" s="543"/>
      <c r="AA25" s="543"/>
      <c r="AB25" s="543"/>
      <c r="AC25" s="543"/>
      <c r="AD25" s="543"/>
      <c r="AE25" s="543"/>
      <c r="AF25" s="329"/>
      <c r="AG25" s="545"/>
    </row>
    <row r="26" spans="1:36" ht="12" customHeight="1">
      <c r="A26" s="7" t="s">
        <v>90</v>
      </c>
      <c r="B26" s="29">
        <f>+GETPIVOTDATA("Sum of State Gen Purp-New",'Amounts Pivot Table'!$A$3,"state","TN","category2","Four-Year")+GETPIVOTDATA("Sum of State Gen Purp-New",'Amounts Pivot Table'!$A$3,"state","TN","category2","Two-Year")+GETPIVOTDATA("Sum of State Gen Purp-New",'Amounts Pivot Table'!$A$3,"state","TN","category2","Technical")</f>
        <v>867424326.17479539</v>
      </c>
      <c r="C26" s="29">
        <f>+GETPIVOTDATA("Sum of State Ed Spec Purp-New",'Amounts Pivot Table'!$A$3,"state","TN","category2","Four-Year")+GETPIVOTDATA("Sum of State Ed Spec Purp-New",'Amounts Pivot Table'!$A$3,"state","TN","category2","Two-Year")+GETPIVOTDATA("Sum of State Ed Spec Purp-New",'Amounts Pivot Table'!$A$3,"state","TN","category2","Technical")</f>
        <v>72957777</v>
      </c>
      <c r="D26" s="29">
        <f>+GETPIVOTDATA("Sum of State Ed Spec Purp-New",'Amounts Pivot Table'!$A$3,"state","TN","category2","Other")</f>
        <v>423700</v>
      </c>
      <c r="E26" s="29">
        <f>+GETPIVOTDATA("Sum of Other Spec Purp State-New",'Amounts Pivot Table'!$A$3,"state","TN","category2","Specialized")</f>
        <v>8928675.9698881209</v>
      </c>
      <c r="F26" s="29">
        <f>+GETPIVOTDATA("Sum of Health State-New",'Amounts Pivot Table'!$A$3,"state","TN")</f>
        <v>189113137.31977093</v>
      </c>
      <c r="G26" s="29">
        <f>+GETPIVOTDATA("Sum of Other Spec Purp State-New",'Amounts Pivot Table'!$A$3,"state","TN")</f>
        <v>399717971.84988809</v>
      </c>
      <c r="H26" s="1470">
        <f t="shared" si="11"/>
        <v>1538565588.3143425</v>
      </c>
      <c r="I26" s="29">
        <f>+GETPIVOTDATA("Sum of Local-New",'Amounts Pivot Table'!$A$3,"state","TN")</f>
        <v>0</v>
      </c>
      <c r="J26" s="29">
        <f>+GETPIVOTDATA("Sum of Tuition Tot-New",'Amounts Pivot Table'!$A$3,"state","TN","category2","Four-Year")+GETPIVOTDATA("Sum of Tuition Tot-New",'Amounts Pivot Table'!$A$3,"state","TN","category2","Two-Year")+GETPIVOTDATA("Sum of Tuition Tot-New",'Amounts Pivot Table'!$A$3,"state","TN","category2","Technical")</f>
        <v>1406404719</v>
      </c>
      <c r="K26" s="29">
        <f>+GETPIVOTDATA("Sum of Tuition Debt-New",'Amounts Pivot Table'!$A$3,"state","TN","category2","Four-Year")+GETPIVOTDATA("Sum of Tuition Debt-New",'Amounts Pivot Table'!$A$3,"state","TN","category2","Two-Year")+GETPIVOTDATA("Sum of Tuition Debt-New",'Amounts Pivot Table'!$A$3,"state","TN","category2","Technical")</f>
        <v>31617400</v>
      </c>
      <c r="L26" s="29">
        <f>+GETPIVOTDATA("Sum of Tuition SP Tot-New",'Amounts Pivot Table'!$A$3,"state","TN","category2","Specialized")</f>
        <v>1123020</v>
      </c>
      <c r="M26" s="29">
        <f>+GETPIVOTDATA("Sum of Tuition SP Debt-New",'Amounts Pivot Table'!$A$3,"state","TN","category2","Specialized")</f>
        <v>0</v>
      </c>
      <c r="N26" s="29">
        <f>+GETPIVOTDATA("Sum of Health Tuition-New",'Amounts Pivot Table'!$A$3,"state","TN")</f>
        <v>106045077</v>
      </c>
      <c r="O26" s="1470">
        <f t="shared" si="12"/>
        <v>1481955416</v>
      </c>
      <c r="P26" s="1470">
        <f t="shared" si="13"/>
        <v>3020521004.3143425</v>
      </c>
      <c r="Q26" s="32"/>
      <c r="R26" s="379" t="s">
        <v>90</v>
      </c>
      <c r="S26" s="543">
        <f t="shared" si="0"/>
        <v>0.28717705486431488</v>
      </c>
      <c r="T26" s="543">
        <f t="shared" si="1"/>
        <v>2.4154037298794218E-2</v>
      </c>
      <c r="U26" s="543" t="str">
        <f t="shared" si="2"/>
        <v>*</v>
      </c>
      <c r="V26" s="543">
        <f t="shared" si="3"/>
        <v>2.9560052577468927E-3</v>
      </c>
      <c r="W26" s="543">
        <f t="shared" si="4"/>
        <v>6.2609442890697448E-2</v>
      </c>
      <c r="X26" s="543">
        <f t="shared" si="5"/>
        <v>0.13233411430642375</v>
      </c>
      <c r="Y26" s="544">
        <f t="shared" si="7"/>
        <v>0.50923065461797723</v>
      </c>
      <c r="Z26" s="543">
        <f t="shared" ref="Z26:AC29" si="14">IF(I26/$P26=0,,IF(I26/$P26&gt;0.0005,I26/$P26,"*"))</f>
        <v>0</v>
      </c>
      <c r="AA26" s="543">
        <f t="shared" si="14"/>
        <v>0.46561659958370444</v>
      </c>
      <c r="AB26" s="543">
        <f t="shared" si="14"/>
        <v>1.0467531910832431E-2</v>
      </c>
      <c r="AC26" s="543" t="str">
        <f t="shared" si="14"/>
        <v>*</v>
      </c>
      <c r="AD26" s="543">
        <f t="shared" si="8"/>
        <v>0</v>
      </c>
      <c r="AE26" s="543">
        <f t="shared" si="8"/>
        <v>3.5108207110141322E-2</v>
      </c>
      <c r="AF26" s="329">
        <f t="shared" si="9"/>
        <v>0.49062907156853341</v>
      </c>
      <c r="AG26" s="545">
        <f t="shared" si="10"/>
        <v>0.99985972618651064</v>
      </c>
      <c r="AH26" s="6"/>
      <c r="AI26" s="6"/>
      <c r="AJ26" s="6"/>
    </row>
    <row r="27" spans="1:36" ht="12" customHeight="1">
      <c r="A27" s="7" t="s">
        <v>326</v>
      </c>
      <c r="B27" s="29">
        <f>+GETPIVOTDATA("Sum of State Gen Purp-New",'Amounts Pivot Table'!$A$3,"state","TX","category2","Four-Year")+GETPIVOTDATA("Sum of State Gen Purp-New",'Amounts Pivot Table'!$A$3,"state","TX","category2","Two-Year")+GETPIVOTDATA("Sum of State Gen Purp-New",'Amounts Pivot Table'!$A$3,"state","TX","category2","Technical")</f>
        <v>4101802695</v>
      </c>
      <c r="C27" s="29">
        <f>+GETPIVOTDATA("Sum of State Ed Spec Purp-New",'Amounts Pivot Table'!$A$3,"state","TX","category2","Four-Year")+GETPIVOTDATA("Sum of State Ed Spec Purp-New",'Amounts Pivot Table'!$A$3,"state","TX","category2","Two-Year")+GETPIVOTDATA("Sum of State Ed Spec Purp-New",'Amounts Pivot Table'!$A$3,"state","TX","category2","Technical")</f>
        <v>231950554</v>
      </c>
      <c r="D27" s="29">
        <f>+GETPIVOTDATA("Sum of State Ed Spec Purp-New",'Amounts Pivot Table'!$A$3,"state","TX","category2","Other")</f>
        <v>0</v>
      </c>
      <c r="E27" s="29">
        <f>+GETPIVOTDATA("Sum of Other Spec Purp State-New",'Amounts Pivot Table'!$A$3,"state","TX","category2","Specialized")</f>
        <v>0</v>
      </c>
      <c r="F27" s="29">
        <f>+GETPIVOTDATA("Sum of Health State-New",'Amounts Pivot Table'!$A$3,"state","TX")</f>
        <v>1669691772</v>
      </c>
      <c r="G27" s="29">
        <f>+GETPIVOTDATA("Sum of Other Spec Purp State-New",'Amounts Pivot Table'!$A$3,"state","TX")</f>
        <v>539728634</v>
      </c>
      <c r="H27" s="1470">
        <f t="shared" si="11"/>
        <v>6543173655</v>
      </c>
      <c r="I27" s="29">
        <f>+GETPIVOTDATA("Sum of Local-New",'Amounts Pivot Table'!$A$3,"state","TX")</f>
        <v>1432408741</v>
      </c>
      <c r="J27" s="29">
        <f>+GETPIVOTDATA("Sum of Tuition Tot-New",'Amounts Pivot Table'!$A$3,"state","TX","category2","Four-Year")+GETPIVOTDATA("Sum of Tuition Tot-New",'Amounts Pivot Table'!$A$3,"state","TX","category2","Two-Year")+GETPIVOTDATA("Sum of Tuition Tot-New",'Amounts Pivot Table'!$A$3,"state","TX","category2","Technical")</f>
        <v>4393228268</v>
      </c>
      <c r="K27" s="29">
        <f>+GETPIVOTDATA("Sum of Tuition Debt-New",'Amounts Pivot Table'!$A$3,"state","TX","category2","Four-Year")+GETPIVOTDATA("Sum of Tuition Debt-New",'Amounts Pivot Table'!$A$3,"state","TX","category2","Two-Year")+GETPIVOTDATA("Sum of Tuition Debt-New",'Amounts Pivot Table'!$A$3,"state","TX","category2","Technical")</f>
        <v>0</v>
      </c>
      <c r="L27" s="29">
        <f>+GETPIVOTDATA("Sum of Tuition SP Tot-New",'Amounts Pivot Table'!$A$3,"state","TX","category2","Specialized")</f>
        <v>0</v>
      </c>
      <c r="M27" s="29">
        <f>+GETPIVOTDATA("Sum of Tuition SP Debt-New",'Amounts Pivot Table'!$A$3,"state","TX","category2","Specialized")</f>
        <v>0</v>
      </c>
      <c r="N27" s="29">
        <f>+GETPIVOTDATA("Sum of Health Tuition-New",'Amounts Pivot Table'!$A$3,"state","TX")</f>
        <v>245486679</v>
      </c>
      <c r="O27" s="1470">
        <f t="shared" si="12"/>
        <v>4638714947</v>
      </c>
      <c r="P27" s="1470">
        <f t="shared" si="13"/>
        <v>12614297343</v>
      </c>
      <c r="Q27" s="32"/>
      <c r="R27" s="379" t="s">
        <v>326</v>
      </c>
      <c r="S27" s="543">
        <f t="shared" si="0"/>
        <v>0.32517092180930685</v>
      </c>
      <c r="T27" s="543">
        <f t="shared" si="1"/>
        <v>1.8387909186928699E-2</v>
      </c>
      <c r="U27" s="543">
        <f t="shared" si="2"/>
        <v>0</v>
      </c>
      <c r="V27" s="543">
        <f t="shared" si="3"/>
        <v>0</v>
      </c>
      <c r="W27" s="543">
        <f t="shared" si="4"/>
        <v>0.13236502411500195</v>
      </c>
      <c r="X27" s="543">
        <f t="shared" si="5"/>
        <v>4.2787054984042325E-2</v>
      </c>
      <c r="Y27" s="544">
        <f t="shared" si="7"/>
        <v>0.51871091009527981</v>
      </c>
      <c r="Z27" s="543">
        <f t="shared" si="14"/>
        <v>0.11355438214676941</v>
      </c>
      <c r="AA27" s="543">
        <f t="shared" si="14"/>
        <v>0.34827372056818656</v>
      </c>
      <c r="AB27" s="543">
        <f t="shared" si="14"/>
        <v>0</v>
      </c>
      <c r="AC27" s="543">
        <f t="shared" si="14"/>
        <v>0</v>
      </c>
      <c r="AD27" s="543">
        <f t="shared" si="8"/>
        <v>0</v>
      </c>
      <c r="AE27" s="543">
        <f t="shared" si="8"/>
        <v>1.9460987189764235E-2</v>
      </c>
      <c r="AF27" s="329">
        <f t="shared" si="9"/>
        <v>0.36773470775795081</v>
      </c>
      <c r="AG27" s="545">
        <f t="shared" si="10"/>
        <v>1</v>
      </c>
      <c r="AH27" s="6"/>
      <c r="AI27" s="6"/>
      <c r="AJ27" s="6"/>
    </row>
    <row r="28" spans="1:36" ht="12" customHeight="1">
      <c r="A28" s="7" t="s">
        <v>327</v>
      </c>
      <c r="B28" s="29">
        <f>+GETPIVOTDATA("Sum of State Gen Purp-New",'Amounts Pivot Table'!$A$3,"state","VA","category2","Four-Year")+GETPIVOTDATA("Sum of State Gen Purp-New",'Amounts Pivot Table'!$A$3,"state","VA","category2","Two-Year")+GETPIVOTDATA("Sum of State Gen Purp-New",'Amounts Pivot Table'!$A$3,"state","VA","category2","Technical")</f>
        <v>1235692434</v>
      </c>
      <c r="C28" s="29">
        <f>+GETPIVOTDATA("Sum of State Ed Spec Purp-New",'Amounts Pivot Table'!$A$3,"state","VA","category2","Four-Year")+GETPIVOTDATA("Sum of State Ed Spec Purp-New",'Amounts Pivot Table'!$A$3,"state","VA","category2","Two-Year")+GETPIVOTDATA("Sum of State Ed Spec Purp-New",'Amounts Pivot Table'!$A$3,"state","VA","category2","Technical")</f>
        <v>113680432</v>
      </c>
      <c r="D28" s="29">
        <f>+GETPIVOTDATA("Sum of State Ed Spec Purp-New",'Amounts Pivot Table'!$A$3,"state","VA","category2","Other")</f>
        <v>91925418</v>
      </c>
      <c r="E28" s="29">
        <f>+GETPIVOTDATA("Sum of Other Spec Purp State-New",'Amounts Pivot Table'!$A$3,"state","VA","category2","Specialized")</f>
        <v>12203131</v>
      </c>
      <c r="F28" s="29">
        <f>+GETPIVOTDATA("Sum of Health State-New",'Amounts Pivot Table'!$A$3,"state","VA")</f>
        <v>86043845</v>
      </c>
      <c r="G28" s="29">
        <f>+GETPIVOTDATA("Sum of Other Spec Purp State-New",'Amounts Pivot Table'!$A$3,"state","VA")</f>
        <v>282448877</v>
      </c>
      <c r="H28" s="1470">
        <f t="shared" si="11"/>
        <v>1821994137</v>
      </c>
      <c r="I28" s="29">
        <f>+GETPIVOTDATA("Sum of Local-New",'Amounts Pivot Table'!$A$3,"state","VA")</f>
        <v>11268643</v>
      </c>
      <c r="J28" s="29">
        <f>+GETPIVOTDATA("Sum of Tuition Tot-New",'Amounts Pivot Table'!$A$3,"state","VA","category2","Four-Year")+GETPIVOTDATA("Sum of Tuition Tot-New",'Amounts Pivot Table'!$A$3,"state","VA","category2","Two-Year")+GETPIVOTDATA("Sum of Tuition Tot-New",'Amounts Pivot Table'!$A$3,"state","VA","category2","Technical")</f>
        <v>2861732789</v>
      </c>
      <c r="K28" s="29">
        <f>+GETPIVOTDATA("Sum of Tuition Debt-New",'Amounts Pivot Table'!$A$3,"state","VA","category2","Four-Year")+GETPIVOTDATA("Sum of Tuition Debt-New",'Amounts Pivot Table'!$A$3,"state","VA","category2","Two-Year")+GETPIVOTDATA("Sum of Tuition Debt-New",'Amounts Pivot Table'!$A$3,"state","VA","category2","Technical")</f>
        <v>24561405</v>
      </c>
      <c r="L28" s="29">
        <f>+GETPIVOTDATA("Sum of Tuition SP Tot-New",'Amounts Pivot Table'!$A$3,"state","VA","category2","Specialized")</f>
        <v>26571246</v>
      </c>
      <c r="M28" s="29">
        <f>+GETPIVOTDATA("Sum of Tuition SP Debt-New",'Amounts Pivot Table'!$A$3,"state","VA","category2","Specialized")</f>
        <v>370260</v>
      </c>
      <c r="N28" s="29">
        <f>+GETPIVOTDATA("Sum of Health Tuition-New",'Amounts Pivot Table'!$A$3,"state","VA")</f>
        <v>108876465</v>
      </c>
      <c r="O28" s="1470">
        <f t="shared" si="12"/>
        <v>2972248835</v>
      </c>
      <c r="P28" s="1470">
        <f t="shared" si="13"/>
        <v>4805511615</v>
      </c>
      <c r="Q28" s="32"/>
      <c r="R28" s="379" t="s">
        <v>327</v>
      </c>
      <c r="S28" s="543">
        <f t="shared" si="0"/>
        <v>0.25714066118223294</v>
      </c>
      <c r="T28" s="543">
        <f t="shared" si="1"/>
        <v>2.3656259958909704E-2</v>
      </c>
      <c r="U28" s="543">
        <f t="shared" si="2"/>
        <v>1.9129163628085415E-2</v>
      </c>
      <c r="V28" s="543">
        <f t="shared" si="3"/>
        <v>2.5394030808101585E-3</v>
      </c>
      <c r="W28" s="543">
        <f t="shared" si="4"/>
        <v>1.7905241292398792E-2</v>
      </c>
      <c r="X28" s="543">
        <f t="shared" si="5"/>
        <v>5.8776026285808906E-2</v>
      </c>
      <c r="Y28" s="544">
        <f t="shared" si="7"/>
        <v>0.37914675542824589</v>
      </c>
      <c r="Z28" s="543">
        <f t="shared" si="14"/>
        <v>2.3449413720749066E-3</v>
      </c>
      <c r="AA28" s="543">
        <f t="shared" si="14"/>
        <v>0.59551053420978983</v>
      </c>
      <c r="AB28" s="543">
        <f t="shared" si="14"/>
        <v>5.1110905493046031E-3</v>
      </c>
      <c r="AC28" s="543">
        <f t="shared" si="14"/>
        <v>5.5293271827832214E-3</v>
      </c>
      <c r="AD28" s="543" t="str">
        <f t="shared" si="8"/>
        <v>*</v>
      </c>
      <c r="AE28" s="543">
        <f t="shared" si="8"/>
        <v>2.265658138462329E-2</v>
      </c>
      <c r="AF28" s="329">
        <f t="shared" si="9"/>
        <v>0.6185083031996792</v>
      </c>
      <c r="AG28" s="545">
        <f t="shared" si="10"/>
        <v>1</v>
      </c>
      <c r="AH28" s="6"/>
      <c r="AI28" s="6"/>
      <c r="AJ28" s="6"/>
    </row>
    <row r="29" spans="1:36" ht="12" customHeight="1">
      <c r="A29" s="8" t="s">
        <v>332</v>
      </c>
      <c r="B29" s="29">
        <f>+GETPIVOTDATA("Sum of State Gen Purp-New",'Amounts Pivot Table'!$A$3,"state","WV","category2","Four-Year")+GETPIVOTDATA("Sum of State Gen Purp-New",'Amounts Pivot Table'!$A$3,"state","WV","category2","Two-Year")+GETPIVOTDATA("Sum of State Gen Purp-New",'Amounts Pivot Table'!$A$3,"state","WV","category2","Technical")</f>
        <v>252888659</v>
      </c>
      <c r="C29" s="29">
        <f>+GETPIVOTDATA("Sum of State Ed Spec Purp-New",'Amounts Pivot Table'!$A$3,"state","WV","category2","Four-Year")+GETPIVOTDATA("Sum of State Ed Spec Purp-New",'Amounts Pivot Table'!$A$3,"state","WV","category2","Two-Year")+GETPIVOTDATA("Sum of State Ed Spec Purp-New",'Amounts Pivot Table'!$A$3,"state","WV","category2","Technical")</f>
        <v>47461754</v>
      </c>
      <c r="D29" s="29">
        <f>+GETPIVOTDATA("Sum of State Ed Spec Purp-New",'Amounts Pivot Table'!$A$3,"state","WV","category2","Other")</f>
        <v>296920</v>
      </c>
      <c r="E29" s="29">
        <f>+GETPIVOTDATA("Sum of Other Spec Purp State-New",'Amounts Pivot Table'!$A$3,"state","WV","category2","Specialized")</f>
        <v>0</v>
      </c>
      <c r="F29" s="29">
        <f>+GETPIVOTDATA("Sum of Health State-New",'Amounts Pivot Table'!$A$3,"state","WV")</f>
        <v>98602554</v>
      </c>
      <c r="G29" s="29">
        <f>+GETPIVOTDATA("Sum of Other Spec Purp State-New",'Amounts Pivot Table'!$A$3,"state","WV")</f>
        <v>112365118</v>
      </c>
      <c r="H29" s="1470">
        <f t="shared" si="11"/>
        <v>511615005</v>
      </c>
      <c r="I29" s="29">
        <f>+GETPIVOTDATA("Sum of Local-New",'Amounts Pivot Table'!$A$3,"state","WV")</f>
        <v>0</v>
      </c>
      <c r="J29" s="29">
        <f>+GETPIVOTDATA("Sum of Tuition Tot-New",'Amounts Pivot Table'!$A$3,"state","WV","category2","Four-Year")+GETPIVOTDATA("Sum of Tuition Tot-New",'Amounts Pivot Table'!$A$3,"state","WV","category2","Two-Year")+GETPIVOTDATA("Sum of Tuition Tot-New",'Amounts Pivot Table'!$A$3,"state","WV","category2","Technical")</f>
        <v>638072914.89999998</v>
      </c>
      <c r="K29" s="29">
        <f>+GETPIVOTDATA("Sum of Tuition Debt-New",'Amounts Pivot Table'!$A$3,"state","WV","category2","Four-Year")+GETPIVOTDATA("Sum of Tuition Debt-New",'Amounts Pivot Table'!$A$3,"state","WV","category2","Two-Year")+GETPIVOTDATA("Sum of Tuition Debt-New",'Amounts Pivot Table'!$A$3,"state","WV","category2","Technical")</f>
        <v>16322085</v>
      </c>
      <c r="L29" s="29">
        <f>+GETPIVOTDATA("Sum of Tuition SP Tot-New",'Amounts Pivot Table'!$A$3,"state","WV","category2","Specialized")</f>
        <v>0</v>
      </c>
      <c r="M29" s="29">
        <f>+GETPIVOTDATA("Sum of Tuition SP Debt-New",'Amounts Pivot Table'!$A$3,"state","WV","category2","Specialized")</f>
        <v>0</v>
      </c>
      <c r="N29" s="29">
        <f>+GETPIVOTDATA("Sum of Health Tuition-New",'Amounts Pivot Table'!$A$3,"state","WV")</f>
        <v>89167560</v>
      </c>
      <c r="O29" s="1470">
        <f t="shared" si="12"/>
        <v>710918389.89999998</v>
      </c>
      <c r="P29" s="1470">
        <f t="shared" si="13"/>
        <v>1222533394.9000001</v>
      </c>
      <c r="Q29" s="34"/>
      <c r="R29" s="513" t="s">
        <v>332</v>
      </c>
      <c r="S29" s="546">
        <f t="shared" si="0"/>
        <v>0.20685623808312051</v>
      </c>
      <c r="T29" s="546">
        <f t="shared" si="1"/>
        <v>3.8822460145460681E-2</v>
      </c>
      <c r="U29" s="546" t="str">
        <f t="shared" si="2"/>
        <v>*</v>
      </c>
      <c r="V29" s="546">
        <f t="shared" si="3"/>
        <v>0</v>
      </c>
      <c r="W29" s="546">
        <f t="shared" si="4"/>
        <v>8.065428266527265E-2</v>
      </c>
      <c r="X29" s="546">
        <f t="shared" si="5"/>
        <v>9.1911696211121621E-2</v>
      </c>
      <c r="Y29" s="331">
        <f t="shared" si="7"/>
        <v>0.41824467710497543</v>
      </c>
      <c r="Z29" s="547">
        <f t="shared" si="14"/>
        <v>0</v>
      </c>
      <c r="AA29" s="547">
        <f t="shared" si="14"/>
        <v>0.52192677726582071</v>
      </c>
      <c r="AB29" s="547">
        <f t="shared" si="14"/>
        <v>1.3351034064255645E-2</v>
      </c>
      <c r="AC29" s="547">
        <f t="shared" si="14"/>
        <v>0</v>
      </c>
      <c r="AD29" s="547">
        <f t="shared" si="8"/>
        <v>0</v>
      </c>
      <c r="AE29" s="547">
        <f t="shared" si="8"/>
        <v>7.2936706982383623E-2</v>
      </c>
      <c r="AF29" s="331">
        <f t="shared" si="9"/>
        <v>0.5815124501839487</v>
      </c>
      <c r="AG29" s="548">
        <f t="shared" si="10"/>
        <v>0.99975712728892407</v>
      </c>
      <c r="AH29" s="6"/>
      <c r="AI29" s="6"/>
      <c r="AJ29" s="6"/>
    </row>
    <row r="30" spans="1:36" s="73" customFormat="1" ht="24" customHeight="1">
      <c r="A30" s="1509" t="s">
        <v>96</v>
      </c>
      <c r="B30" s="1510"/>
      <c r="C30" s="1510"/>
      <c r="D30" s="1510"/>
      <c r="E30" s="1510"/>
      <c r="F30" s="1510"/>
      <c r="G30" s="1510"/>
      <c r="H30" s="1510"/>
      <c r="I30" s="1510"/>
      <c r="J30" s="1510"/>
      <c r="K30" s="1510"/>
      <c r="L30" s="1510"/>
      <c r="M30" s="1510"/>
      <c r="N30" s="1510"/>
      <c r="O30" s="1510"/>
      <c r="P30" s="1510"/>
      <c r="Q30" s="161"/>
      <c r="R30" s="1505" t="s">
        <v>93</v>
      </c>
      <c r="S30" s="1506"/>
      <c r="T30" s="1506"/>
      <c r="U30" s="1506"/>
      <c r="V30" s="1506"/>
      <c r="W30" s="1506"/>
      <c r="X30" s="1506"/>
      <c r="Y30" s="1506"/>
      <c r="Z30" s="1506"/>
      <c r="AA30" s="1506"/>
      <c r="AB30" s="1506"/>
      <c r="AC30" s="1506"/>
      <c r="AD30" s="1506"/>
      <c r="AE30" s="1506"/>
      <c r="AF30" s="1506"/>
      <c r="AG30" s="1506"/>
      <c r="AH30" s="162"/>
      <c r="AI30" s="162"/>
      <c r="AJ30" s="162"/>
    </row>
    <row r="31" spans="1:36" s="73" customFormat="1" ht="12.75" customHeight="1">
      <c r="A31" s="1505" t="s">
        <v>312</v>
      </c>
      <c r="B31" s="1506"/>
      <c r="C31" s="1506"/>
      <c r="D31" s="1506"/>
      <c r="E31" s="1506"/>
      <c r="F31" s="1506"/>
      <c r="G31" s="1506"/>
      <c r="H31" s="1506"/>
      <c r="I31" s="1506"/>
      <c r="J31" s="1506"/>
      <c r="K31" s="1506"/>
      <c r="L31" s="1506"/>
      <c r="M31" s="1506"/>
      <c r="N31" s="1506"/>
      <c r="O31" s="1506"/>
      <c r="P31" s="1506"/>
      <c r="Q31" s="161"/>
      <c r="R31" s="1505" t="s">
        <v>312</v>
      </c>
      <c r="S31" s="1506"/>
      <c r="T31" s="1506"/>
      <c r="U31" s="1506"/>
      <c r="V31" s="1506"/>
      <c r="W31" s="1506"/>
      <c r="X31" s="1506"/>
      <c r="Y31" s="1506"/>
      <c r="Z31" s="1506"/>
      <c r="AA31" s="1506"/>
      <c r="AB31" s="1506"/>
      <c r="AC31" s="1506"/>
      <c r="AD31" s="1506"/>
      <c r="AE31" s="1506"/>
      <c r="AF31" s="1506"/>
      <c r="AG31" s="1506"/>
      <c r="AH31" s="162"/>
      <c r="AI31" s="162"/>
      <c r="AJ31" s="162"/>
    </row>
    <row r="32" spans="1:36" s="73" customFormat="1" ht="13.5" customHeight="1">
      <c r="A32" s="1505" t="s">
        <v>231</v>
      </c>
      <c r="B32" s="1506"/>
      <c r="C32" s="1506"/>
      <c r="D32" s="1506"/>
      <c r="E32" s="1506"/>
      <c r="F32" s="1506"/>
      <c r="G32" s="1506"/>
      <c r="H32" s="1506"/>
      <c r="I32" s="1506"/>
      <c r="J32" s="1506"/>
      <c r="K32" s="1506"/>
      <c r="L32" s="1506"/>
      <c r="M32" s="1506"/>
      <c r="N32" s="1506"/>
      <c r="O32" s="1506"/>
      <c r="P32" s="1506"/>
      <c r="Q32" s="161"/>
      <c r="R32" s="1505" t="s">
        <v>26</v>
      </c>
      <c r="S32" s="1506"/>
      <c r="T32" s="1506"/>
      <c r="U32" s="1506"/>
      <c r="V32" s="1506"/>
      <c r="W32" s="1506"/>
      <c r="X32" s="1506"/>
      <c r="Y32" s="1506"/>
      <c r="Z32" s="1506"/>
      <c r="AA32" s="1506"/>
      <c r="AB32" s="1506"/>
      <c r="AC32" s="1506"/>
      <c r="AD32" s="1506"/>
      <c r="AE32" s="1506"/>
      <c r="AF32" s="1506"/>
      <c r="AG32" s="1506"/>
      <c r="AH32" s="113"/>
      <c r="AI32" s="113"/>
      <c r="AJ32" s="113"/>
    </row>
    <row r="33" spans="1:36" s="73" customFormat="1">
      <c r="A33" s="1505" t="s">
        <v>246</v>
      </c>
      <c r="B33" s="1506"/>
      <c r="C33" s="1506"/>
      <c r="D33" s="1506"/>
      <c r="E33" s="1506"/>
      <c r="F33" s="1506"/>
      <c r="G33" s="1506"/>
      <c r="H33" s="1506"/>
      <c r="I33" s="1506"/>
      <c r="J33" s="1506"/>
      <c r="K33" s="1506"/>
      <c r="L33" s="1506"/>
      <c r="M33" s="1506"/>
      <c r="N33" s="1506"/>
      <c r="O33" s="1506"/>
      <c r="P33" s="1506"/>
      <c r="Q33" s="161"/>
      <c r="R33" s="1505" t="s">
        <v>246</v>
      </c>
      <c r="S33" s="1506"/>
      <c r="T33" s="1506"/>
      <c r="U33" s="1506"/>
      <c r="V33" s="1506"/>
      <c r="W33" s="1506"/>
      <c r="X33" s="1506"/>
      <c r="Y33" s="1506"/>
      <c r="Z33" s="1506"/>
      <c r="AA33" s="1506"/>
      <c r="AB33" s="1506"/>
      <c r="AC33" s="1506"/>
      <c r="AD33" s="1506"/>
      <c r="AE33" s="1506"/>
      <c r="AF33" s="1506"/>
      <c r="AG33" s="1506"/>
      <c r="AH33" s="162"/>
      <c r="AI33" s="162"/>
      <c r="AJ33" s="162"/>
    </row>
    <row r="34" spans="1:36" s="73" customFormat="1">
      <c r="A34" s="1505" t="s">
        <v>189</v>
      </c>
      <c r="B34" s="1506"/>
      <c r="C34" s="1506"/>
      <c r="D34" s="1506"/>
      <c r="E34" s="1506"/>
      <c r="F34" s="1506"/>
      <c r="G34" s="1506"/>
      <c r="H34" s="1506"/>
      <c r="I34" s="1506"/>
      <c r="J34" s="1506"/>
      <c r="K34" s="1506"/>
      <c r="L34" s="1506"/>
      <c r="M34" s="1506"/>
      <c r="N34" s="1506"/>
      <c r="O34" s="1506"/>
      <c r="P34" s="1506"/>
      <c r="Q34" s="161"/>
      <c r="R34" s="1505" t="s">
        <v>189</v>
      </c>
      <c r="S34" s="1506"/>
      <c r="T34" s="1506"/>
      <c r="U34" s="1506"/>
      <c r="V34" s="1506"/>
      <c r="W34" s="1506"/>
      <c r="X34" s="1506"/>
      <c r="Y34" s="1506"/>
      <c r="Z34" s="1506"/>
      <c r="AA34" s="1506"/>
      <c r="AB34" s="1506"/>
      <c r="AC34" s="1506"/>
      <c r="AD34" s="1506"/>
      <c r="AE34" s="1506"/>
      <c r="AF34" s="1506"/>
      <c r="AG34" s="1506"/>
      <c r="AH34" s="162"/>
      <c r="AI34" s="162"/>
      <c r="AJ34" s="162"/>
    </row>
    <row r="35" spans="1:36" s="73" customFormat="1">
      <c r="A35" s="187"/>
      <c r="B35" s="162"/>
      <c r="C35" s="162"/>
      <c r="D35" s="162"/>
      <c r="E35" s="162"/>
      <c r="F35" s="162"/>
      <c r="G35" s="162"/>
      <c r="H35" s="162"/>
      <c r="I35" s="162"/>
      <c r="J35" s="162"/>
      <c r="K35" s="162"/>
      <c r="L35" s="162"/>
      <c r="M35" s="162"/>
      <c r="N35" s="162"/>
      <c r="O35" s="162"/>
      <c r="P35" s="162"/>
      <c r="Q35" s="161"/>
      <c r="R35" s="72" t="s">
        <v>0</v>
      </c>
      <c r="S35" s="162"/>
      <c r="T35" s="162"/>
      <c r="U35" s="162"/>
      <c r="V35" s="162"/>
      <c r="W35" s="162"/>
      <c r="X35" s="162"/>
      <c r="Y35" s="162"/>
      <c r="Z35" s="162"/>
      <c r="AA35" s="162"/>
      <c r="AB35" s="162"/>
      <c r="AC35" s="162"/>
      <c r="AD35" s="162"/>
      <c r="AE35" s="162"/>
      <c r="AF35" s="162"/>
      <c r="AG35" s="162"/>
      <c r="AH35" s="162"/>
      <c r="AI35" s="162"/>
      <c r="AJ35" s="162"/>
    </row>
    <row r="36" spans="1:36">
      <c r="AG36" s="534" t="s">
        <v>1927</v>
      </c>
    </row>
  </sheetData>
  <mergeCells count="28">
    <mergeCell ref="R34:AG34"/>
    <mergeCell ref="R33:AG33"/>
    <mergeCell ref="V7:V8"/>
    <mergeCell ref="R30:AG30"/>
    <mergeCell ref="R31:AG31"/>
    <mergeCell ref="R32:AG32"/>
    <mergeCell ref="U7:U8"/>
    <mergeCell ref="W7:W8"/>
    <mergeCell ref="T7:T8"/>
    <mergeCell ref="A34:P34"/>
    <mergeCell ref="B7:B8"/>
    <mergeCell ref="A30:P30"/>
    <mergeCell ref="A31:P31"/>
    <mergeCell ref="A32:P32"/>
    <mergeCell ref="A33:P33"/>
    <mergeCell ref="C7:C8"/>
    <mergeCell ref="R1:AG1"/>
    <mergeCell ref="AA7:AB7"/>
    <mergeCell ref="AC7:AD7"/>
    <mergeCell ref="AE7:AE8"/>
    <mergeCell ref="X7:X8"/>
    <mergeCell ref="Y7:Y8"/>
    <mergeCell ref="Z7:Z8"/>
    <mergeCell ref="AF7:AF8"/>
    <mergeCell ref="AG7:AG8"/>
    <mergeCell ref="S7:S8"/>
    <mergeCell ref="R3:AG3"/>
    <mergeCell ref="R4:AG4"/>
  </mergeCells>
  <phoneticPr fontId="17" type="noConversion"/>
  <pageMargins left="0.5" right="0.25" top="0.75" bottom="0.5" header="0.5" footer="0.25"/>
  <pageSetup scale="74" firstPageNumber="127" orientation="landscape" useFirstPageNumber="1" r:id="rId1"/>
  <headerFooter alignWithMargins="0">
    <oddHeader>&amp;R&amp;"Arial,Regular"&amp;8SREB-State Data Exchange</oddHeader>
    <oddFooter xml:space="preserve">&amp;C&amp;"Arial,Regular"&amp;P&amp;R&amp;"Arial,Regular"&amp;8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J34"/>
  <sheetViews>
    <sheetView view="pageBreakPreview" topLeftCell="R1" zoomScaleNormal="100" zoomScaleSheetLayoutView="100" workbookViewId="0">
      <selection activeCell="R1" sqref="R1:AG1"/>
    </sheetView>
  </sheetViews>
  <sheetFormatPr defaultColWidth="8.875" defaultRowHeight="12.75"/>
  <cols>
    <col min="1" max="1" width="14" style="7" customWidth="1"/>
    <col min="2" max="2" width="14.75" style="5" customWidth="1"/>
    <col min="3" max="3" width="12" style="4" customWidth="1"/>
    <col min="4" max="4" width="11.375" style="4" customWidth="1"/>
    <col min="5" max="5" width="12.875" style="4" customWidth="1"/>
    <col min="6" max="6" width="12.375" style="4" customWidth="1"/>
    <col min="7" max="7" width="12.875" style="4" customWidth="1"/>
    <col min="8" max="8" width="13.75" style="4" customWidth="1"/>
    <col min="9" max="9" width="12.125" style="4" bestFit="1" customWidth="1"/>
    <col min="10" max="10" width="13.125" style="4" bestFit="1" customWidth="1"/>
    <col min="11" max="11" width="11.75" style="4" customWidth="1"/>
    <col min="12" max="13" width="11.125" style="4" customWidth="1"/>
    <col min="14" max="14" width="12.125" style="4" bestFit="1" customWidth="1"/>
    <col min="15" max="15" width="12.75" style="4" customWidth="1"/>
    <col min="16" max="16" width="13.125" style="24" customWidth="1"/>
    <col min="17" max="17" width="2.375" style="35" customWidth="1"/>
    <col min="18" max="18" width="13.125" style="7" customWidth="1"/>
    <col min="19" max="19" width="13.125" style="5" customWidth="1"/>
    <col min="20" max="20" width="10.5" style="4" customWidth="1"/>
    <col min="21" max="21" width="10.375" style="4" customWidth="1"/>
    <col min="22" max="22" width="10.125" style="4" customWidth="1"/>
    <col min="23" max="23" width="10.875" style="4" customWidth="1"/>
    <col min="24" max="24" width="8" style="4" customWidth="1"/>
    <col min="25" max="25" width="8.25" style="4" customWidth="1"/>
    <col min="26" max="26" width="6.5" style="4" customWidth="1"/>
    <col min="27" max="27" width="8" style="4" customWidth="1"/>
    <col min="28" max="28" width="7.625" style="4" customWidth="1"/>
    <col min="29" max="29" width="8" style="5" customWidth="1"/>
    <col min="30" max="30" width="7.75" style="4" customWidth="1"/>
    <col min="31" max="31" width="9.25" style="5" customWidth="1"/>
    <col min="32" max="32" width="11.375" style="5" customWidth="1"/>
    <col min="33" max="33" width="10.375" style="5" customWidth="1"/>
    <col min="34" max="35" width="6.875" style="5" customWidth="1"/>
    <col min="36" max="36" width="5.75" style="5" customWidth="1"/>
    <col min="37" max="16384" width="8.875" style="6"/>
  </cols>
  <sheetData>
    <row r="1" spans="1:36" s="142" customFormat="1" ht="18">
      <c r="A1" s="218"/>
      <c r="B1" s="141"/>
      <c r="P1" s="143"/>
      <c r="Q1" s="144"/>
      <c r="R1" s="1489" t="s">
        <v>357</v>
      </c>
      <c r="S1" s="1489"/>
      <c r="T1" s="1489"/>
      <c r="U1" s="1489"/>
      <c r="V1" s="1489"/>
      <c r="W1" s="1489"/>
      <c r="X1" s="1489"/>
      <c r="Y1" s="1489"/>
      <c r="Z1" s="1489"/>
      <c r="AA1" s="1489"/>
      <c r="AB1" s="1489"/>
      <c r="AC1" s="1489"/>
      <c r="AD1" s="1489"/>
      <c r="AE1" s="1489"/>
      <c r="AF1" s="1489"/>
      <c r="AG1" s="1489"/>
      <c r="AH1" s="141"/>
      <c r="AI1" s="141"/>
      <c r="AJ1" s="141"/>
    </row>
    <row r="2" spans="1:36" s="142" customFormat="1" ht="18.75">
      <c r="A2" s="218" t="s">
        <v>313</v>
      </c>
      <c r="B2" s="141"/>
      <c r="P2" s="143"/>
      <c r="Q2" s="144"/>
      <c r="R2" s="1504" t="s">
        <v>25</v>
      </c>
      <c r="S2" s="1504"/>
      <c r="T2" s="1504"/>
      <c r="U2" s="1504"/>
      <c r="V2" s="1504"/>
      <c r="W2" s="1504"/>
      <c r="X2" s="1504"/>
      <c r="Y2" s="1504"/>
      <c r="Z2" s="1504"/>
      <c r="AA2" s="1504"/>
      <c r="AB2" s="1504"/>
      <c r="AC2" s="1504"/>
      <c r="AD2" s="1504"/>
      <c r="AE2" s="1504"/>
      <c r="AF2" s="1504"/>
      <c r="AG2" s="1504"/>
      <c r="AH2" s="141"/>
      <c r="AI2" s="141"/>
      <c r="AJ2" s="141"/>
    </row>
    <row r="3" spans="1:36" s="142" customFormat="1" ht="15.75">
      <c r="A3" s="218" t="s">
        <v>390</v>
      </c>
      <c r="B3" s="496"/>
      <c r="C3" s="496"/>
      <c r="D3" s="496"/>
      <c r="E3" s="496"/>
      <c r="F3" s="147"/>
      <c r="G3" s="496"/>
      <c r="H3" s="496"/>
      <c r="I3" s="496"/>
      <c r="J3" s="496"/>
      <c r="K3" s="496"/>
      <c r="L3" s="496"/>
      <c r="M3" s="496"/>
      <c r="N3" s="496"/>
      <c r="O3" s="496"/>
      <c r="P3" s="145"/>
      <c r="Q3" s="146"/>
      <c r="R3" s="1504" t="s">
        <v>436</v>
      </c>
      <c r="S3" s="1504"/>
      <c r="T3" s="1504"/>
      <c r="U3" s="1504"/>
      <c r="V3" s="1504"/>
      <c r="W3" s="1504"/>
      <c r="X3" s="1504"/>
      <c r="Y3" s="1504"/>
      <c r="Z3" s="1504"/>
      <c r="AA3" s="1504"/>
      <c r="AB3" s="1504"/>
      <c r="AC3" s="1504"/>
      <c r="AD3" s="1504"/>
      <c r="AE3" s="1504"/>
      <c r="AF3" s="1504"/>
      <c r="AG3" s="1504"/>
      <c r="AH3" s="496"/>
      <c r="AI3" s="496"/>
      <c r="AJ3" s="496"/>
    </row>
    <row r="4" spans="1:36" s="61" customFormat="1" ht="15.75">
      <c r="A4" s="151"/>
      <c r="B4" s="152" t="s">
        <v>11</v>
      </c>
      <c r="C4" s="153"/>
      <c r="D4" s="153"/>
      <c r="E4" s="153"/>
      <c r="F4" s="154"/>
      <c r="G4" s="153"/>
      <c r="H4" s="154"/>
      <c r="I4" s="155" t="s">
        <v>91</v>
      </c>
      <c r="J4" s="152" t="s">
        <v>92</v>
      </c>
      <c r="K4" s="152"/>
      <c r="L4" s="152"/>
      <c r="M4" s="152"/>
      <c r="N4" s="152"/>
      <c r="O4" s="156"/>
      <c r="P4" s="157" t="s">
        <v>91</v>
      </c>
      <c r="Q4" s="158"/>
      <c r="R4" s="151" t="s">
        <v>91</v>
      </c>
      <c r="S4" s="152" t="s">
        <v>36</v>
      </c>
      <c r="T4" s="153"/>
      <c r="U4" s="153"/>
      <c r="V4" s="153"/>
      <c r="W4" s="154"/>
      <c r="X4" s="154"/>
      <c r="Y4" s="154"/>
      <c r="Z4" s="155" t="s">
        <v>91</v>
      </c>
      <c r="AA4" s="152" t="s">
        <v>111</v>
      </c>
      <c r="AB4" s="152"/>
      <c r="AC4" s="152"/>
      <c r="AD4" s="152"/>
      <c r="AE4" s="152"/>
      <c r="AF4" s="159"/>
      <c r="AG4" s="160" t="s">
        <v>91</v>
      </c>
    </row>
    <row r="5" spans="1:36" ht="68.25" customHeight="1">
      <c r="A5" s="17"/>
      <c r="B5" s="1507" t="s">
        <v>213</v>
      </c>
      <c r="C5" s="1511" t="s">
        <v>28</v>
      </c>
      <c r="D5" s="40"/>
      <c r="E5" s="40"/>
      <c r="F5" s="40"/>
      <c r="G5" s="23"/>
      <c r="H5" s="22"/>
      <c r="I5" s="36"/>
      <c r="J5" s="38" t="s">
        <v>212</v>
      </c>
      <c r="K5" s="39"/>
      <c r="L5" s="38" t="s">
        <v>208</v>
      </c>
      <c r="M5" s="39"/>
      <c r="N5" s="49"/>
      <c r="O5" s="21" t="s">
        <v>91</v>
      </c>
      <c r="P5" s="37" t="s">
        <v>91</v>
      </c>
      <c r="Q5" s="30"/>
      <c r="R5" s="17"/>
      <c r="S5" s="1507" t="s">
        <v>31</v>
      </c>
      <c r="T5" s="1511" t="s">
        <v>53</v>
      </c>
      <c r="U5" s="1511" t="s">
        <v>29</v>
      </c>
      <c r="V5" s="1511" t="s">
        <v>32</v>
      </c>
      <c r="W5" s="1511" t="s">
        <v>33</v>
      </c>
      <c r="X5" s="1511" t="s">
        <v>261</v>
      </c>
      <c r="Y5" s="1521" t="s">
        <v>50</v>
      </c>
      <c r="Z5" s="1523" t="s">
        <v>103</v>
      </c>
      <c r="AA5" s="1525" t="s">
        <v>180</v>
      </c>
      <c r="AB5" s="1526"/>
      <c r="AC5" s="1525" t="s">
        <v>234</v>
      </c>
      <c r="AD5" s="1526"/>
      <c r="AE5" s="1511" t="s">
        <v>30</v>
      </c>
      <c r="AF5" s="1517" t="s">
        <v>1</v>
      </c>
      <c r="AG5" s="1519" t="s">
        <v>2</v>
      </c>
      <c r="AH5" s="6"/>
      <c r="AI5" s="6"/>
      <c r="AJ5" s="6"/>
    </row>
    <row r="6" spans="1:36" s="4" customFormat="1" ht="63" customHeight="1">
      <c r="A6" s="77"/>
      <c r="B6" s="1508"/>
      <c r="C6" s="1512"/>
      <c r="D6" s="495" t="s">
        <v>29</v>
      </c>
      <c r="E6" s="495" t="s">
        <v>208</v>
      </c>
      <c r="F6" s="495" t="s">
        <v>30</v>
      </c>
      <c r="G6" s="495" t="s">
        <v>314</v>
      </c>
      <c r="H6" s="495" t="s">
        <v>316</v>
      </c>
      <c r="I6" s="497" t="s">
        <v>88</v>
      </c>
      <c r="J6" s="495" t="s">
        <v>207</v>
      </c>
      <c r="K6" s="20" t="s">
        <v>16</v>
      </c>
      <c r="L6" s="495" t="s">
        <v>207</v>
      </c>
      <c r="M6" s="20" t="s">
        <v>16</v>
      </c>
      <c r="N6" s="20" t="s">
        <v>315</v>
      </c>
      <c r="O6" s="20" t="s">
        <v>165</v>
      </c>
      <c r="P6" s="495" t="s">
        <v>168</v>
      </c>
      <c r="Q6" s="31"/>
      <c r="R6" s="77"/>
      <c r="S6" s="1514"/>
      <c r="T6" s="1515"/>
      <c r="U6" s="1515"/>
      <c r="V6" s="1516"/>
      <c r="W6" s="1515"/>
      <c r="X6" s="1515"/>
      <c r="Y6" s="1522"/>
      <c r="Z6" s="1524"/>
      <c r="AA6" s="495" t="s">
        <v>207</v>
      </c>
      <c r="AB6" s="20" t="s">
        <v>16</v>
      </c>
      <c r="AC6" s="495" t="s">
        <v>207</v>
      </c>
      <c r="AD6" s="20" t="s">
        <v>16</v>
      </c>
      <c r="AE6" s="1515"/>
      <c r="AF6" s="1518"/>
      <c r="AG6" s="1520"/>
    </row>
    <row r="7" spans="1:36" s="61" customFormat="1" ht="15" customHeight="1">
      <c r="A7" s="73" t="s">
        <v>158</v>
      </c>
      <c r="B7" s="147">
        <f>+GETPIVOTDATA("Sum of State Gen Purp-Old",'Amounts Pivot Table'!$A$3,"category2","Four-Year")+GETPIVOTDATA("Sum of State Gen Purp-Old",'Amounts Pivot Table'!$A$3,"category2","Two-Year")+GETPIVOTDATA("Sum of State Gen Purp-Old",'Amounts Pivot Table'!$A$3,"category2","Technical")</f>
        <v>19550465914.036629</v>
      </c>
      <c r="C7" s="147">
        <f>+GETPIVOTDATA("Sum of State Ed Spec Purp-Old",'Amounts Pivot Table'!$A$3,"category2","Four-Year")+GETPIVOTDATA("Sum of State Ed Spec Purp-Old",'Amounts Pivot Table'!$A$3,"category2","Two-Year")+GETPIVOTDATA("Sum of State Ed Spec Purp-Old",'Amounts Pivot Table'!$A$3,"category2","Technical")</f>
        <v>1633777196.79</v>
      </c>
      <c r="D7" s="147">
        <f>+GETPIVOTDATA("Sum of State Ed Spec Purp-Old",'Amounts Pivot Table'!$A$3,"category2","Other")</f>
        <v>390787466.83000004</v>
      </c>
      <c r="E7" s="147">
        <f>+GETPIVOTDATA("Sum of Other Spec Purp State-Old",'Amounts Pivot Table'!$A$3,"category2","Specialized")</f>
        <v>115898135.93529946</v>
      </c>
      <c r="F7" s="147">
        <f>+GETPIVOTDATA("Sum of Health State-Old",'Amounts Pivot Table'!$A$3)</f>
        <v>4078400391.3825264</v>
      </c>
      <c r="G7" s="147">
        <f>+GETPIVOTDATA("Sum of Other Spec Purp State-Old",'Amounts Pivot Table'!$A$3)</f>
        <v>4427048327.8952999</v>
      </c>
      <c r="H7" s="1468">
        <f>SUM(B7:G7)</f>
        <v>30196377432.869759</v>
      </c>
      <c r="I7" s="147">
        <f>+GETPIVOTDATA("Sum of Local-Old",'Amounts Pivot Table'!$A$3)</f>
        <v>2300363392</v>
      </c>
      <c r="J7" s="147">
        <f>+GETPIVOTDATA("Sum of Tuition Tot-Old",'Amounts Pivot Table'!$A$3,"category2","Four-Year")+GETPIVOTDATA("Sum of Tuition Tot-Old",'Amounts Pivot Table'!$A$3,"category2","Two-Year")+GETPIVOTDATA("Sum of Tuition Tot-Old",'Amounts Pivot Table'!$A$3,"category2","Technical")</f>
        <v>26270950288.844982</v>
      </c>
      <c r="K7" s="147">
        <f>+GETPIVOTDATA("Sum of Tuition Debt-Old",'Amounts Pivot Table'!$A$3,"category2","Four-Year")+GETPIVOTDATA("Sum of Tuition Debt-Old",'Amounts Pivot Table'!$A$3,"category2","Two-Year")+GETPIVOTDATA("Sum of Tuition Debt-Old",'Amounts Pivot Table'!$A$3,"category2","Technical")</f>
        <v>309504965.20000005</v>
      </c>
      <c r="L7" s="147">
        <f>+GETPIVOTDATA("Sum of Tuition SP Tot-Old",'Amounts Pivot Table'!$A$3,"category2","Specialized")</f>
        <v>378198125</v>
      </c>
      <c r="M7" s="147">
        <f>+GETPIVOTDATA("Sum of Tuition SP Debt-Old",'Amounts Pivot Table'!$A$3,"category2","Specialized")</f>
        <v>481576</v>
      </c>
      <c r="N7" s="147">
        <f>+GETPIVOTDATA("Sum of Health Tuition-Old",'Amounts Pivot Table'!$A$3)</f>
        <v>1295611126.9545975</v>
      </c>
      <c r="O7" s="1468">
        <f>+J7+L7+N7-K7-M7</f>
        <v>27634772999.599579</v>
      </c>
      <c r="P7" s="1468">
        <f>O7+H7+I7</f>
        <v>60131513824.469337</v>
      </c>
      <c r="Q7" s="148"/>
      <c r="R7" s="149" t="s">
        <v>181</v>
      </c>
      <c r="S7" s="150">
        <f t="shared" ref="S7:X27" si="0">IF(B7/$P7=0,,IF(B7/$P7&gt;0.0005,B7/$P7,"*"))</f>
        <v>0.32512845046786348</v>
      </c>
      <c r="T7" s="150">
        <f t="shared" si="0"/>
        <v>2.7170065958412083E-2</v>
      </c>
      <c r="U7" s="150">
        <f t="shared" si="0"/>
        <v>6.4988795720452453E-3</v>
      </c>
      <c r="V7" s="150">
        <f t="shared" si="0"/>
        <v>1.9274109125810332E-3</v>
      </c>
      <c r="W7" s="150">
        <f t="shared" si="0"/>
        <v>6.7824675149337446E-2</v>
      </c>
      <c r="X7" s="150">
        <f t="shared" si="0"/>
        <v>7.3622765274434177E-2</v>
      </c>
      <c r="Y7" s="326">
        <f>SUM(S7:X7)</f>
        <v>0.50217224733467347</v>
      </c>
      <c r="Z7" s="150">
        <f t="shared" ref="Z7:AE22" si="1">IF(I7/$P7=0,,IF(I7/$P7&gt;0.0005,I7/$P7,"*"))</f>
        <v>3.8255537665574491E-2</v>
      </c>
      <c r="AA7" s="150">
        <f t="shared" si="1"/>
        <v>0.43689155017006298</v>
      </c>
      <c r="AB7" s="150">
        <f t="shared" si="1"/>
        <v>5.1471340984941757E-3</v>
      </c>
      <c r="AC7" s="150">
        <f t="shared" si="1"/>
        <v>6.2895161113688727E-3</v>
      </c>
      <c r="AD7" s="150" t="str">
        <f>IF(M7/$P7=0,,IF(M7/$P7&gt;0.0005,M7/$P7,"*"))</f>
        <v>*</v>
      </c>
      <c r="AE7" s="150">
        <f>IF(N7/$P7=0,,IF(N7/$P7&gt;0.0005,N7/$P7,"*"))</f>
        <v>2.1546291529207669E-2</v>
      </c>
      <c r="AF7" s="328">
        <f>J7/$P7-K7/$P7+L7/$P7-M7/$P7+N7/$P7</f>
        <v>0.45957221499975193</v>
      </c>
      <c r="AG7" s="321">
        <f>Y7+I7/$P7+AF7</f>
        <v>0.99999999999999978</v>
      </c>
    </row>
    <row r="8" spans="1:36" s="66" customFormat="1" ht="4.5" customHeight="1">
      <c r="A8" s="63"/>
      <c r="B8" s="64"/>
      <c r="C8" s="64"/>
      <c r="D8" s="64"/>
      <c r="E8" s="64"/>
      <c r="F8" s="64"/>
      <c r="G8" s="64"/>
      <c r="H8" s="1469"/>
      <c r="I8" s="64"/>
      <c r="J8" s="64"/>
      <c r="K8" s="64"/>
      <c r="L8" s="64"/>
      <c r="M8" s="64"/>
      <c r="N8" s="64"/>
      <c r="O8" s="1469"/>
      <c r="P8" s="1469"/>
      <c r="Q8" s="65"/>
      <c r="R8" s="67"/>
      <c r="S8" s="150"/>
      <c r="T8" s="150"/>
      <c r="U8" s="150"/>
      <c r="V8" s="150"/>
      <c r="W8" s="150"/>
      <c r="X8" s="150"/>
      <c r="Y8" s="326"/>
      <c r="Z8" s="150"/>
      <c r="AA8" s="150"/>
      <c r="AB8" s="150"/>
      <c r="AC8" s="150"/>
      <c r="AD8" s="150"/>
      <c r="AE8" s="150"/>
      <c r="AF8" s="329"/>
      <c r="AG8" s="321"/>
    </row>
    <row r="9" spans="1:36" ht="12" customHeight="1">
      <c r="A9" s="7" t="s">
        <v>320</v>
      </c>
      <c r="B9" s="29">
        <f>+GETPIVOTDATA("Sum of State Gen Purp-Old",'Amounts Pivot Table'!$A$3,"state","AL","category2","Four-Year")+GETPIVOTDATA("Sum of State Gen Purp-Old",'Amounts Pivot Table'!$A$3,"state","AL","category2","Two-Year")+GETPIVOTDATA("Sum of State Gen Purp-Old",'Amounts Pivot Table'!$A$3,"state","AL","category2","Technical")</f>
        <v>892322068</v>
      </c>
      <c r="C9" s="29">
        <f>+GETPIVOTDATA("Sum of State Ed Spec Purp-Old",'Amounts Pivot Table'!$A$3,"state","AL","category2","Four-Year")+GETPIVOTDATA("Sum of State Ed Spec Purp-Old",'Amounts Pivot Table'!$A$3,"state","AL","category2","Two-Year")+GETPIVOTDATA("Sum of State Ed Spec Purp-Old",'Amounts Pivot Table'!$A$3,"state","AL","category2","Technical")</f>
        <v>95211444.010000005</v>
      </c>
      <c r="D9" s="29">
        <f>+GETPIVOTDATA("Sum of State Ed Spec Purp-Old",'Amounts Pivot Table'!$A$3,"state","AL","category2","Other")</f>
        <v>26391430.670000002</v>
      </c>
      <c r="E9" s="29">
        <f>+GETPIVOTDATA("Sum of Other Spec Purp State-Old",'Amounts Pivot Table'!$A$3,"state","AL","category2","Specialized")</f>
        <v>6125936</v>
      </c>
      <c r="F9" s="29">
        <f>+GETPIVOTDATA("Sum of Health State-Old",'Amounts Pivot Table'!$A$3,"state","AL")</f>
        <v>342824647</v>
      </c>
      <c r="G9" s="29">
        <f>+GETPIVOTDATA("Sum of Other Spec Purp State-Old",'Amounts Pivot Table'!$A$3,"state","AL")</f>
        <v>88014762</v>
      </c>
      <c r="H9" s="1470">
        <f>SUM(B9:G9)</f>
        <v>1450890287.6799998</v>
      </c>
      <c r="I9" s="29">
        <f>+GETPIVOTDATA("Sum of Local-Old",'Amounts Pivot Table'!$A$3,"state","AL")</f>
        <v>2396117</v>
      </c>
      <c r="J9" s="29">
        <f>+GETPIVOTDATA("Sum of Tuition Tot-Old",'Amounts Pivot Table'!$A$3,"state","AL","category2","Four-Year")+GETPIVOTDATA("Sum of Tuition Tot-Old",'Amounts Pivot Table'!$A$3,"state","AL","category2","Two-Year")+GETPIVOTDATA("Sum of Tuition Tot-Old",'Amounts Pivot Table'!$A$3,"state","AL","category2","Technical")</f>
        <v>1923996263</v>
      </c>
      <c r="K9" s="29">
        <f>+GETPIVOTDATA("Sum of Tuition Debt-Old",'Amounts Pivot Table'!$A$3,"state","AL","category2","Four-Year")+GETPIVOTDATA("Sum of Tuition Debt-Old",'Amounts Pivot Table'!$A$3,"state","AL","category2","Two-Year")+GETPIVOTDATA("Sum of Tuition Debt-Old",'Amounts Pivot Table'!$A$3,"state","AL","category2","Technical")</f>
        <v>116649941</v>
      </c>
      <c r="L9" s="29">
        <f>+GETPIVOTDATA("Sum of Tuition SP Tot-Old",'Amounts Pivot Table'!$A$3,"state","AL","category2","Specialized")</f>
        <v>4228718</v>
      </c>
      <c r="M9" s="29">
        <f>+GETPIVOTDATA("Sum of Tuition SP Debt-Old",'Amounts Pivot Table'!$A$3,"state","AL","category2","Specialized")</f>
        <v>185368</v>
      </c>
      <c r="N9" s="29">
        <f>+GETPIVOTDATA("Sum of Health Tuition-Old",'Amounts Pivot Table'!$A$3,"state","AL")</f>
        <v>158980728</v>
      </c>
      <c r="O9" s="1470">
        <f>+J9+L9+N9-K9-M9</f>
        <v>1970370400</v>
      </c>
      <c r="P9" s="1470">
        <f>O9+H9+I9</f>
        <v>3423656804.6799998</v>
      </c>
      <c r="Q9" s="33"/>
      <c r="R9" s="67" t="s">
        <v>320</v>
      </c>
      <c r="S9" s="150">
        <f t="shared" si="0"/>
        <v>0.26063420456753489</v>
      </c>
      <c r="T9" s="150">
        <f t="shared" si="0"/>
        <v>2.7809868056824453E-2</v>
      </c>
      <c r="U9" s="150">
        <f t="shared" si="0"/>
        <v>7.7085502945049827E-3</v>
      </c>
      <c r="V9" s="150">
        <f t="shared" si="0"/>
        <v>1.7892961676608749E-3</v>
      </c>
      <c r="W9" s="150">
        <f t="shared" si="0"/>
        <v>0.10013405740066371</v>
      </c>
      <c r="X9" s="150">
        <f t="shared" si="0"/>
        <v>2.5707822664844032E-2</v>
      </c>
      <c r="Y9" s="326">
        <f t="shared" ref="Y9:Y27" si="2">SUM(S9:X9)</f>
        <v>0.4237837991520329</v>
      </c>
      <c r="Z9" s="150">
        <f t="shared" si="1"/>
        <v>6.9987067533305478E-4</v>
      </c>
      <c r="AA9" s="150">
        <f t="shared" si="1"/>
        <v>0.56197112408287397</v>
      </c>
      <c r="AB9" s="150">
        <f t="shared" si="1"/>
        <v>3.4071738978201399E-2</v>
      </c>
      <c r="AC9" s="150">
        <f t="shared" si="1"/>
        <v>1.2351465819294488E-3</v>
      </c>
      <c r="AD9" s="150" t="str">
        <f t="shared" si="1"/>
        <v>*</v>
      </c>
      <c r="AE9" s="150">
        <f t="shared" si="1"/>
        <v>4.6435941763403328E-2</v>
      </c>
      <c r="AF9" s="329">
        <f t="shared" ref="AF9:AF27" si="3">J9/$P9-K9/$P9+L9/$P9-M9/$P9+N9/$P9</f>
        <v>0.57551633017263415</v>
      </c>
      <c r="AG9" s="321">
        <f t="shared" ref="AG9:AG27" si="4">Y9+I9/$P9+AF9</f>
        <v>1</v>
      </c>
      <c r="AH9" s="6"/>
      <c r="AI9" s="6"/>
      <c r="AJ9" s="6"/>
    </row>
    <row r="10" spans="1:36" ht="12" customHeight="1">
      <c r="A10" s="7" t="s">
        <v>334</v>
      </c>
      <c r="B10" s="29">
        <f>+GETPIVOTDATA("Sum of State Gen Purp-Old",'Amounts Pivot Table'!$A$3,"state","AR","category2","Four-Year")+GETPIVOTDATA("Sum of State Gen Purp-Old",'Amounts Pivot Table'!$A$3,"state","AR","category2","Two-Year")+GETPIVOTDATA("Sum of State Gen Purp-Old",'Amounts Pivot Table'!$A$3,"state","AR","category2","Technical")</f>
        <v>611642099</v>
      </c>
      <c r="C10" s="29">
        <f>+GETPIVOTDATA("Sum of State Ed Spec Purp-Old",'Amounts Pivot Table'!$A$3,"state","AR","category2","Four-Year")+GETPIVOTDATA("Sum of State Ed Spec Purp-Old",'Amounts Pivot Table'!$A$3,"state","AR","category2","Two-Year")+GETPIVOTDATA("Sum of State Ed Spec Purp-Old",'Amounts Pivot Table'!$A$3,"state","AR","category2","Technical")</f>
        <v>96373329</v>
      </c>
      <c r="D10" s="29">
        <f>+GETPIVOTDATA("Sum of State Ed Spec Purp-Old",'Amounts Pivot Table'!$A$3,"state","AR","category2","Other")</f>
        <v>350000</v>
      </c>
      <c r="E10" s="29">
        <f>+GETPIVOTDATA("Sum of Other Spec Purp State-Old",'Amounts Pivot Table'!$A$3,"state","AR","category2","Specialized")</f>
        <v>0</v>
      </c>
      <c r="F10" s="29">
        <f>+GETPIVOTDATA("Sum of Health State-Old",'Amounts Pivot Table'!$A$3,"state","AR")</f>
        <v>112144733</v>
      </c>
      <c r="G10" s="29">
        <f>+GETPIVOTDATA("Sum of Other Spec Purp State-Old",'Amounts Pivot Table'!$A$3,"state","AR")</f>
        <v>150685124</v>
      </c>
      <c r="H10" s="1470">
        <f t="shared" ref="H10:H27" si="5">SUM(B10:G10)</f>
        <v>971195285</v>
      </c>
      <c r="I10" s="29">
        <f>+GETPIVOTDATA("Sum of Local-Old",'Amounts Pivot Table'!$A$3,"state","AR")</f>
        <v>22807349</v>
      </c>
      <c r="J10" s="29">
        <f>+GETPIVOTDATA("Sum of Tuition Tot-Old",'Amounts Pivot Table'!$A$3,"state","AR","category2","Four-Year")+GETPIVOTDATA("Sum of Tuition Tot-Old",'Amounts Pivot Table'!$A$3,"state","AR","category2","Two-Year")+GETPIVOTDATA("Sum of Tuition Tot-Old",'Amounts Pivot Table'!$A$3,"state","AR","category2","Technical")</f>
        <v>786396556.23000002</v>
      </c>
      <c r="K10" s="29">
        <f>+GETPIVOTDATA("Sum of Tuition Debt-Old",'Amounts Pivot Table'!$A$3,"state","AR","category2","Four-Year")+GETPIVOTDATA("Sum of Tuition Debt-Old",'Amounts Pivot Table'!$A$3,"state","AR","category2","Two-Year")+GETPIVOTDATA("Sum of Tuition Debt-Old",'Amounts Pivot Table'!$A$3,"state","AR","category2","Technical")</f>
        <v>3860985.23</v>
      </c>
      <c r="L10" s="29">
        <f>+GETPIVOTDATA("Sum of Tuition SP Tot-Old",'Amounts Pivot Table'!$A$3,"state","AR","category2","Specialized")</f>
        <v>0</v>
      </c>
      <c r="M10" s="29">
        <f>+GETPIVOTDATA("Sum of Tuition SP Debt-Old",'Amounts Pivot Table'!$A$3,"state","AR","category2","Specialized")</f>
        <v>0</v>
      </c>
      <c r="N10" s="29">
        <f>+GETPIVOTDATA("Sum of Health Tuition-Old",'Amounts Pivot Table'!$A$3,"state","AR")</f>
        <v>32220221</v>
      </c>
      <c r="O10" s="1470">
        <f t="shared" ref="O10:O27" si="6">+J10+L10+N10-K10-M10</f>
        <v>814755792</v>
      </c>
      <c r="P10" s="1470">
        <f t="shared" ref="P10:P27" si="7">O10+H10+I10</f>
        <v>1808758426</v>
      </c>
      <c r="Q10" s="32"/>
      <c r="R10" s="67" t="s">
        <v>334</v>
      </c>
      <c r="S10" s="150">
        <f t="shared" si="0"/>
        <v>0.33815577039363021</v>
      </c>
      <c r="T10" s="150">
        <f t="shared" si="0"/>
        <v>5.3281481714020779E-2</v>
      </c>
      <c r="U10" s="150" t="str">
        <f t="shared" si="0"/>
        <v>*</v>
      </c>
      <c r="V10" s="150">
        <f t="shared" si="0"/>
        <v>0</v>
      </c>
      <c r="W10" s="150">
        <f t="shared" si="0"/>
        <v>6.2000945724965485E-2</v>
      </c>
      <c r="X10" s="150">
        <f t="shared" si="0"/>
        <v>8.3308595461934837E-2</v>
      </c>
      <c r="Y10" s="326">
        <f t="shared" si="2"/>
        <v>0.53674679329455133</v>
      </c>
      <c r="Z10" s="150">
        <f t="shared" si="1"/>
        <v>1.2609394749545177E-2</v>
      </c>
      <c r="AA10" s="150">
        <f t="shared" si="1"/>
        <v>0.43477146805562417</v>
      </c>
      <c r="AB10" s="150">
        <f t="shared" si="1"/>
        <v>2.1346052488271862E-3</v>
      </c>
      <c r="AC10" s="150">
        <f t="shared" si="1"/>
        <v>0</v>
      </c>
      <c r="AD10" s="150">
        <f t="shared" si="1"/>
        <v>0</v>
      </c>
      <c r="AE10" s="150">
        <f t="shared" si="1"/>
        <v>1.7813446249565667E-2</v>
      </c>
      <c r="AF10" s="329">
        <f t="shared" si="3"/>
        <v>0.45045030905636263</v>
      </c>
      <c r="AG10" s="321">
        <f t="shared" si="4"/>
        <v>0.9998064971004591</v>
      </c>
      <c r="AH10" s="6"/>
      <c r="AI10" s="6"/>
      <c r="AJ10" s="6"/>
    </row>
    <row r="11" spans="1:36" ht="12" customHeight="1">
      <c r="A11" s="7" t="s">
        <v>321</v>
      </c>
      <c r="B11" s="29">
        <f>+GETPIVOTDATA("Sum of State Gen Purp-Old",'Amounts Pivot Table'!$A$3,"state","DE","category2","Four-Year")+GETPIVOTDATA("Sum of State Gen Purp-Old",'Amounts Pivot Table'!$A$3,"state","DE","category2","Two-Year")+GETPIVOTDATA("Sum of State Gen Purp-Old",'Amounts Pivot Table'!$A$3,"state","DE","category2","Technical")</f>
        <v>211903500</v>
      </c>
      <c r="C11" s="29">
        <f>+GETPIVOTDATA("Sum of State Ed Spec Purp-Old",'Amounts Pivot Table'!$A$3,"state","DE","category2","Four-Year")+GETPIVOTDATA("Sum of State Ed Spec Purp-Old",'Amounts Pivot Table'!$A$3,"state","DE","category2","Two-Year")+GETPIVOTDATA("Sum of State Ed Spec Purp-Old",'Amounts Pivot Table'!$A$3,"state","DE","category2","Technical")</f>
        <v>6344461</v>
      </c>
      <c r="D11" s="29">
        <f>+GETPIVOTDATA("Sum of State Ed Spec Purp-Old",'Amounts Pivot Table'!$A$3,"state","DE","category2","Other")</f>
        <v>1918000</v>
      </c>
      <c r="E11" s="29">
        <f>+GETPIVOTDATA("Sum of Other Spec Purp State-Old",'Amounts Pivot Table'!$A$3,"state","DE","category2","Specialized")</f>
        <v>0</v>
      </c>
      <c r="F11" s="29">
        <f>+GETPIVOTDATA("Sum of Health State-Old",'Amounts Pivot Table'!$A$3,"state","DE")</f>
        <v>0</v>
      </c>
      <c r="G11" s="29">
        <f>+GETPIVOTDATA("Sum of Other Spec Purp State-Old",'Amounts Pivot Table'!$A$3,"state","DE")</f>
        <v>22547716</v>
      </c>
      <c r="H11" s="1470">
        <f t="shared" si="5"/>
        <v>242713677</v>
      </c>
      <c r="I11" s="29">
        <f>+GETPIVOTDATA("Sum of Local-Old",'Amounts Pivot Table'!$A$3,"state","DE")</f>
        <v>0</v>
      </c>
      <c r="J11" s="29">
        <f>+GETPIVOTDATA("Sum of Tuition Tot-Old",'Amounts Pivot Table'!$A$3,"state","DE","category2","Four-Year")+GETPIVOTDATA("Sum of Tuition Tot-Old",'Amounts Pivot Table'!$A$3,"state","DE","category2","Two-Year")+GETPIVOTDATA("Sum of Tuition Tot-Old",'Amounts Pivot Table'!$A$3,"state","DE","category2","Technical")</f>
        <v>609159713</v>
      </c>
      <c r="K11" s="29">
        <f>+GETPIVOTDATA("Sum of Tuition Debt-Old",'Amounts Pivot Table'!$A$3,"state","DE","category2","Four-Year")+GETPIVOTDATA("Sum of Tuition Debt-Old",'Amounts Pivot Table'!$A$3,"state","DE","category2","Two-Year")+GETPIVOTDATA("Sum of Tuition Debt-Old",'Amounts Pivot Table'!$A$3,"state","DE","category2","Technical")</f>
        <v>1575022</v>
      </c>
      <c r="L11" s="29">
        <f>+GETPIVOTDATA("Sum of Tuition SP Tot-Old",'Amounts Pivot Table'!$A$3,"state","DE","category2","Specialized")</f>
        <v>0</v>
      </c>
      <c r="M11" s="29">
        <f>+GETPIVOTDATA("Sum of Tuition SP Debt-Old",'Amounts Pivot Table'!$A$3,"state","DE","category2","Specialized")</f>
        <v>0</v>
      </c>
      <c r="N11" s="29">
        <f>+GETPIVOTDATA("Sum of Health Tuition-Old",'Amounts Pivot Table'!$A$3,"state","DE")</f>
        <v>0</v>
      </c>
      <c r="O11" s="1470">
        <f t="shared" si="6"/>
        <v>607584691</v>
      </c>
      <c r="P11" s="1470">
        <f t="shared" si="7"/>
        <v>850298368</v>
      </c>
      <c r="Q11" s="32"/>
      <c r="R11" s="67" t="s">
        <v>321</v>
      </c>
      <c r="S11" s="150">
        <f t="shared" si="0"/>
        <v>0.24921075704099199</v>
      </c>
      <c r="T11" s="150">
        <f t="shared" si="0"/>
        <v>7.461452636823125E-3</v>
      </c>
      <c r="U11" s="150">
        <f t="shared" si="0"/>
        <v>2.2556787972101578E-3</v>
      </c>
      <c r="V11" s="150">
        <f t="shared" si="0"/>
        <v>0</v>
      </c>
      <c r="W11" s="150">
        <f t="shared" si="0"/>
        <v>0</v>
      </c>
      <c r="X11" s="150">
        <f t="shared" si="0"/>
        <v>2.6517416531134635E-2</v>
      </c>
      <c r="Y11" s="326">
        <f t="shared" si="2"/>
        <v>0.28544530500615994</v>
      </c>
      <c r="Z11" s="150">
        <f t="shared" si="1"/>
        <v>0</v>
      </c>
      <c r="AA11" s="150">
        <f t="shared" si="1"/>
        <v>0.71640701185022149</v>
      </c>
      <c r="AB11" s="150">
        <f t="shared" si="1"/>
        <v>1.852316856381406E-3</v>
      </c>
      <c r="AC11" s="150">
        <f t="shared" si="1"/>
        <v>0</v>
      </c>
      <c r="AD11" s="150">
        <f t="shared" si="1"/>
        <v>0</v>
      </c>
      <c r="AE11" s="150">
        <f t="shared" si="1"/>
        <v>0</v>
      </c>
      <c r="AF11" s="329">
        <f t="shared" si="3"/>
        <v>0.71455469499384006</v>
      </c>
      <c r="AG11" s="321">
        <f t="shared" si="4"/>
        <v>1</v>
      </c>
      <c r="AH11" s="6"/>
      <c r="AI11" s="6"/>
      <c r="AJ11" s="6"/>
    </row>
    <row r="12" spans="1:36" ht="12" customHeight="1">
      <c r="A12" s="7" t="s">
        <v>328</v>
      </c>
      <c r="B12" s="29">
        <f>+GETPIVOTDATA("Sum of State Gen Purp-Old",'Amounts Pivot Table'!$A$3,"state","FL","category2","Four-Year")+GETPIVOTDATA("Sum of State Gen Purp-Old",'Amounts Pivot Table'!$A$3,"state","FL","category2","Two-Year")+GETPIVOTDATA("Sum of State Gen Purp-Old",'Amounts Pivot Table'!$A$3,"state","FL","category2","Technical")</f>
        <v>2883723502</v>
      </c>
      <c r="C12" s="29">
        <f>+GETPIVOTDATA("Sum of State Ed Spec Purp-Old",'Amounts Pivot Table'!$A$3,"state","FL","category2","Four-Year")+GETPIVOTDATA("Sum of State Ed Spec Purp-Old",'Amounts Pivot Table'!$A$3,"state","FL","category2","Two-Year")+GETPIVOTDATA("Sum of State Ed Spec Purp-Old",'Amounts Pivot Table'!$A$3,"state","FL","category2","Technical")</f>
        <v>214680390</v>
      </c>
      <c r="D12" s="29">
        <f>+GETPIVOTDATA("Sum of State Ed Spec Purp-Old",'Amounts Pivot Table'!$A$3,"state","FL","category2","Other")</f>
        <v>13316114</v>
      </c>
      <c r="E12" s="29">
        <f>+GETPIVOTDATA("Sum of Other Spec Purp State-Old",'Amounts Pivot Table'!$A$3,"state","FL","category2","Specialized")</f>
        <v>0</v>
      </c>
      <c r="F12" s="29">
        <f>+GETPIVOTDATA("Sum of Health State-Old",'Amounts Pivot Table'!$A$3,"state","FL")</f>
        <v>291229660</v>
      </c>
      <c r="G12" s="29">
        <f>+GETPIVOTDATA("Sum of Other Spec Purp State-Old",'Amounts Pivot Table'!$A$3,"state","FL")</f>
        <v>570609446</v>
      </c>
      <c r="H12" s="1470">
        <f t="shared" si="5"/>
        <v>3973559112</v>
      </c>
      <c r="I12" s="29">
        <f>+GETPIVOTDATA("Sum of Local-Old",'Amounts Pivot Table'!$A$3,"state","FL")</f>
        <v>0</v>
      </c>
      <c r="J12" s="29">
        <f>+GETPIVOTDATA("Sum of Tuition Tot-Old",'Amounts Pivot Table'!$A$3,"state","FL","category2","Four-Year")+GETPIVOTDATA("Sum of Tuition Tot-Old",'Amounts Pivot Table'!$A$3,"state","FL","category2","Two-Year")+GETPIVOTDATA("Sum of Tuition Tot-Old",'Amounts Pivot Table'!$A$3,"state","FL","category2","Technical")</f>
        <v>2522447838.9000001</v>
      </c>
      <c r="K12" s="29">
        <f>+GETPIVOTDATA("Sum of Tuition Debt-Old",'Amounts Pivot Table'!$A$3,"state","FL","category2","Four-Year")+GETPIVOTDATA("Sum of Tuition Debt-Old",'Amounts Pivot Table'!$A$3,"state","FL","category2","Two-Year")+GETPIVOTDATA("Sum of Tuition Debt-Old",'Amounts Pivot Table'!$A$3,"state","FL","category2","Technical")</f>
        <v>21648961.970000006</v>
      </c>
      <c r="L12" s="29">
        <f>+GETPIVOTDATA("Sum of Tuition SP Tot-Old",'Amounts Pivot Table'!$A$3,"state","FL","category2","Specialized")</f>
        <v>0</v>
      </c>
      <c r="M12" s="29">
        <f>+GETPIVOTDATA("Sum of Tuition SP Debt-Old",'Amounts Pivot Table'!$A$3,"state","FL","category2","Specialized")</f>
        <v>0</v>
      </c>
      <c r="N12" s="29">
        <f>+GETPIVOTDATA("Sum of Health Tuition-Old",'Amounts Pivot Table'!$A$3,"state","FL")</f>
        <v>134298935</v>
      </c>
      <c r="O12" s="1470">
        <f t="shared" si="6"/>
        <v>2635097811.9300003</v>
      </c>
      <c r="P12" s="1470">
        <f t="shared" si="7"/>
        <v>6608656923.9300003</v>
      </c>
      <c r="Q12" s="32"/>
      <c r="R12" s="67" t="s">
        <v>328</v>
      </c>
      <c r="S12" s="150">
        <f t="shared" si="0"/>
        <v>0.43635545545691951</v>
      </c>
      <c r="T12" s="150">
        <f t="shared" si="0"/>
        <v>3.2484723064173687E-2</v>
      </c>
      <c r="U12" s="150">
        <f t="shared" si="0"/>
        <v>2.0149501106317448E-3</v>
      </c>
      <c r="V12" s="150">
        <f t="shared" si="0"/>
        <v>0</v>
      </c>
      <c r="W12" s="150">
        <f t="shared" si="0"/>
        <v>4.4067904167555592E-2</v>
      </c>
      <c r="X12" s="150">
        <f t="shared" si="0"/>
        <v>8.6342724787818625E-2</v>
      </c>
      <c r="Y12" s="326">
        <f t="shared" si="2"/>
        <v>0.60126575758709921</v>
      </c>
      <c r="Z12" s="150">
        <f t="shared" si="1"/>
        <v>0</v>
      </c>
      <c r="AA12" s="150">
        <f t="shared" si="1"/>
        <v>0.38168842291785432</v>
      </c>
      <c r="AB12" s="150">
        <f t="shared" si="1"/>
        <v>3.2758489688894184E-3</v>
      </c>
      <c r="AC12" s="150">
        <f t="shared" si="1"/>
        <v>0</v>
      </c>
      <c r="AD12" s="150">
        <f t="shared" si="1"/>
        <v>0</v>
      </c>
      <c r="AE12" s="150">
        <f t="shared" si="1"/>
        <v>2.0321668463935912E-2</v>
      </c>
      <c r="AF12" s="329">
        <f t="shared" si="3"/>
        <v>0.39873424241290079</v>
      </c>
      <c r="AG12" s="321">
        <f t="shared" si="4"/>
        <v>1</v>
      </c>
      <c r="AH12" s="6"/>
      <c r="AI12" s="6"/>
      <c r="AJ12" s="6"/>
    </row>
    <row r="13" spans="1:36" s="88" customFormat="1" ht="4.5" customHeight="1">
      <c r="A13" s="85"/>
      <c r="B13" s="86"/>
      <c r="C13" s="86"/>
      <c r="D13" s="86"/>
      <c r="E13" s="86"/>
      <c r="F13" s="86"/>
      <c r="G13" s="86"/>
      <c r="H13" s="1471"/>
      <c r="I13" s="86"/>
      <c r="J13" s="86"/>
      <c r="K13" s="86"/>
      <c r="L13" s="86"/>
      <c r="M13" s="86"/>
      <c r="N13" s="86"/>
      <c r="O13" s="1470"/>
      <c r="P13" s="1471"/>
      <c r="Q13" s="87"/>
      <c r="R13" s="85"/>
      <c r="S13" s="150"/>
      <c r="T13" s="150"/>
      <c r="U13" s="150"/>
      <c r="V13" s="150"/>
      <c r="W13" s="150"/>
      <c r="X13" s="150"/>
      <c r="Y13" s="326"/>
      <c r="Z13" s="150"/>
      <c r="AA13" s="150"/>
      <c r="AB13" s="150"/>
      <c r="AC13" s="150"/>
      <c r="AD13" s="150"/>
      <c r="AE13" s="150"/>
      <c r="AF13" s="329"/>
      <c r="AG13" s="321"/>
    </row>
    <row r="14" spans="1:36" ht="12" customHeight="1">
      <c r="A14" s="7" t="s">
        <v>329</v>
      </c>
      <c r="B14" s="29">
        <f>+GETPIVOTDATA("Sum of State Gen Purp-Old",'Amounts Pivot Table'!$A$3,"state","GA","category2","Four-Year")+GETPIVOTDATA("Sum of State Gen Purp-Old",'Amounts Pivot Table'!$A$3,"state","GA","category2","Two-Year")+GETPIVOTDATA("Sum of State Gen Purp-Old",'Amounts Pivot Table'!$A$3,"state","GA","category2","Technical")</f>
        <v>1724174876</v>
      </c>
      <c r="C14" s="29">
        <f>+GETPIVOTDATA("Sum of State Ed Spec Purp-Old",'Amounts Pivot Table'!$A$3,"state","GA","category2","Four-Year")+GETPIVOTDATA("Sum of State Ed Spec Purp-Old",'Amounts Pivot Table'!$A$3,"state","GA","category2","Two-Year")+GETPIVOTDATA("Sum of State Ed Spec Purp-Old",'Amounts Pivot Table'!$A$3,"state","GA","category2","Technical")</f>
        <v>104350220</v>
      </c>
      <c r="D14" s="29">
        <f>+GETPIVOTDATA("Sum of State Ed Spec Purp-Old",'Amounts Pivot Table'!$A$3,"state","GA","category2","Other")</f>
        <v>98079458</v>
      </c>
      <c r="E14" s="29">
        <f>+GETPIVOTDATA("Sum of Other Spec Purp State-Old",'Amounts Pivot Table'!$A$3,"state","GA","category2","Specialized")</f>
        <v>21375236</v>
      </c>
      <c r="F14" s="29">
        <f>+GETPIVOTDATA("Sum of Health State-Old",'Amounts Pivot Table'!$A$3,"state","GA")</f>
        <v>190664471</v>
      </c>
      <c r="G14" s="29">
        <f>+GETPIVOTDATA("Sum of Other Spec Purp State-Old",'Amounts Pivot Table'!$A$3,"state","GA")</f>
        <v>510935605</v>
      </c>
      <c r="H14" s="1470">
        <f t="shared" si="5"/>
        <v>2649579866</v>
      </c>
      <c r="I14" s="29">
        <f>+GETPIVOTDATA("Sum of Local-Old",'Amounts Pivot Table'!$A$3,"state","GA")</f>
        <v>0</v>
      </c>
      <c r="J14" s="29">
        <f>+GETPIVOTDATA("Sum of Tuition Tot-Old",'Amounts Pivot Table'!$A$3,"state","GA","category2","Four-Year")+GETPIVOTDATA("Sum of Tuition Tot-Old",'Amounts Pivot Table'!$A$3,"state","GA","category2","Two-Year")+GETPIVOTDATA("Sum of Tuition Tot-Old",'Amounts Pivot Table'!$A$3,"state","GA","category2","Technical")</f>
        <v>2129112676.66958</v>
      </c>
      <c r="K14" s="29">
        <f>+GETPIVOTDATA("Sum of Tuition Debt-Old",'Amounts Pivot Table'!$A$3,"state","GA","category2","Four-Year")+GETPIVOTDATA("Sum of Tuition Debt-Old",'Amounts Pivot Table'!$A$3,"state","GA","category2","Two-Year")+GETPIVOTDATA("Sum of Tuition Debt-Old",'Amounts Pivot Table'!$A$3,"state","GA","category2","Technical")</f>
        <v>0</v>
      </c>
      <c r="L14" s="29">
        <f>+GETPIVOTDATA("Sum of Tuition SP Tot-Old",'Amounts Pivot Table'!$A$3,"state","GA","category2","Specialized")</f>
        <v>36426718</v>
      </c>
      <c r="M14" s="29">
        <f>+GETPIVOTDATA("Sum of Tuition SP Debt-Old",'Amounts Pivot Table'!$A$3,"state","GA","category2","Specialized")</f>
        <v>0</v>
      </c>
      <c r="N14" s="29">
        <f>+GETPIVOTDATA("Sum of Health Tuition-Old",'Amounts Pivot Table'!$A$3,"state","GA")</f>
        <v>50278548</v>
      </c>
      <c r="O14" s="1470">
        <f t="shared" si="6"/>
        <v>2215817942.66958</v>
      </c>
      <c r="P14" s="1470">
        <f t="shared" si="7"/>
        <v>4865397808.6695805</v>
      </c>
      <c r="Q14" s="32"/>
      <c r="R14" s="67" t="s">
        <v>329</v>
      </c>
      <c r="S14" s="150">
        <f t="shared" si="0"/>
        <v>0.354374902896474</v>
      </c>
      <c r="T14" s="150">
        <f t="shared" si="0"/>
        <v>2.1447417889254583E-2</v>
      </c>
      <c r="U14" s="150">
        <f t="shared" si="0"/>
        <v>2.0158569115403813E-2</v>
      </c>
      <c r="V14" s="150">
        <f t="shared" si="0"/>
        <v>4.3933172251427793E-3</v>
      </c>
      <c r="W14" s="150">
        <f t="shared" si="0"/>
        <v>3.918784824958358E-2</v>
      </c>
      <c r="X14" s="150">
        <f t="shared" si="0"/>
        <v>0.10501414788520919</v>
      </c>
      <c r="Y14" s="326">
        <f t="shared" si="2"/>
        <v>0.54457620326106793</v>
      </c>
      <c r="Z14" s="150">
        <f t="shared" si="1"/>
        <v>0</v>
      </c>
      <c r="AA14" s="150">
        <f t="shared" si="1"/>
        <v>0.43760299987716228</v>
      </c>
      <c r="AB14" s="150">
        <f t="shared" si="1"/>
        <v>0</v>
      </c>
      <c r="AC14" s="150">
        <f t="shared" si="1"/>
        <v>7.4868940696055254E-3</v>
      </c>
      <c r="AD14" s="150">
        <f t="shared" si="1"/>
        <v>0</v>
      </c>
      <c r="AE14" s="150">
        <f t="shared" si="1"/>
        <v>1.0333902792164168E-2</v>
      </c>
      <c r="AF14" s="329">
        <f t="shared" si="3"/>
        <v>0.45542379673893196</v>
      </c>
      <c r="AG14" s="321">
        <f t="shared" si="4"/>
        <v>0.99999999999999989</v>
      </c>
      <c r="AH14" s="6"/>
      <c r="AI14" s="6"/>
      <c r="AJ14" s="6"/>
    </row>
    <row r="15" spans="1:36" ht="12" customHeight="1">
      <c r="A15" s="7" t="s">
        <v>322</v>
      </c>
      <c r="B15" s="29">
        <f>+GETPIVOTDATA("Sum of State Gen Purp-Old",'Amounts Pivot Table'!$A$3,"state","KY","category2","Four-Year")+GETPIVOTDATA("Sum of State Gen Purp-Old",'Amounts Pivot Table'!$A$3,"state","KY","category2","Two-Year")+GETPIVOTDATA("Sum of State Gen Purp-Old",'Amounts Pivot Table'!$A$3,"state","KY","category2","Technical")</f>
        <v>733619175.78000009</v>
      </c>
      <c r="C15" s="29">
        <f>+GETPIVOTDATA("Sum of State Ed Spec Purp-Old",'Amounts Pivot Table'!$A$3,"state","KY","category2","Four-Year")+GETPIVOTDATA("Sum of State Ed Spec Purp-Old",'Amounts Pivot Table'!$A$3,"state","KY","category2","Two-Year")+GETPIVOTDATA("Sum of State Ed Spec Purp-Old",'Amounts Pivot Table'!$A$3,"state","KY","category2","Technical")</f>
        <v>90511524.219999999</v>
      </c>
      <c r="D15" s="29">
        <f>+GETPIVOTDATA("Sum of State Ed Spec Purp-Old",'Amounts Pivot Table'!$A$3,"state","KY","category2","Other")</f>
        <v>48314106</v>
      </c>
      <c r="E15" s="29">
        <f>+GETPIVOTDATA("Sum of Other Spec Purp State-Old",'Amounts Pivot Table'!$A$3,"state","KY","category2","Specialized")</f>
        <v>0</v>
      </c>
      <c r="F15" s="29">
        <f>+GETPIVOTDATA("Sum of Health State-Old",'Amounts Pivot Table'!$A$3,"state","KY")</f>
        <v>78517400</v>
      </c>
      <c r="G15" s="29">
        <f>+GETPIVOTDATA("Sum of Other Spec Purp State-Old",'Amounts Pivot Table'!$A$3,"state","KY")</f>
        <v>233743706</v>
      </c>
      <c r="H15" s="1470">
        <f t="shared" si="5"/>
        <v>1184705912</v>
      </c>
      <c r="I15" s="29">
        <f>+GETPIVOTDATA("Sum of Local-Old",'Amounts Pivot Table'!$A$3,"state","KY")</f>
        <v>0</v>
      </c>
      <c r="J15" s="29">
        <f>+GETPIVOTDATA("Sum of Tuition Tot-Old",'Amounts Pivot Table'!$A$3,"state","KY","category2","Four-Year")+GETPIVOTDATA("Sum of Tuition Tot-Old",'Amounts Pivot Table'!$A$3,"state","KY","category2","Two-Year")+GETPIVOTDATA("Sum of Tuition Tot-Old",'Amounts Pivot Table'!$A$3,"state","KY","category2","Technical")</f>
        <v>1477319287.0454025</v>
      </c>
      <c r="K15" s="29">
        <f>+GETPIVOTDATA("Sum of Tuition Debt-Old",'Amounts Pivot Table'!$A$3,"state","KY","category2","Four-Year")+GETPIVOTDATA("Sum of Tuition Debt-Old",'Amounts Pivot Table'!$A$3,"state","KY","category2","Two-Year")+GETPIVOTDATA("Sum of Tuition Debt-Old",'Amounts Pivot Table'!$A$3,"state","KY","category2","Technical")</f>
        <v>5840343</v>
      </c>
      <c r="L15" s="29">
        <f>+GETPIVOTDATA("Sum of Tuition SP Tot-Old",'Amounts Pivot Table'!$A$3,"state","KY","category2","Specialized")</f>
        <v>0</v>
      </c>
      <c r="M15" s="29">
        <f>+GETPIVOTDATA("Sum of Tuition SP Debt-Old",'Amounts Pivot Table'!$A$3,"state","KY","category2","Specialized")</f>
        <v>0</v>
      </c>
      <c r="N15" s="29">
        <f>+GETPIVOTDATA("Sum of Health Tuition-Old",'Amounts Pivot Table'!$A$3,"state","KY")</f>
        <v>74562763.954597384</v>
      </c>
      <c r="O15" s="1470">
        <f t="shared" si="6"/>
        <v>1546041708</v>
      </c>
      <c r="P15" s="1470">
        <f t="shared" si="7"/>
        <v>2730747620</v>
      </c>
      <c r="Q15" s="32"/>
      <c r="R15" s="67" t="s">
        <v>322</v>
      </c>
      <c r="S15" s="150">
        <f t="shared" si="0"/>
        <v>0.268651401691966</v>
      </c>
      <c r="T15" s="150">
        <f t="shared" si="0"/>
        <v>3.3145327512910182E-2</v>
      </c>
      <c r="U15" s="150">
        <f t="shared" si="0"/>
        <v>1.7692629537108231E-2</v>
      </c>
      <c r="V15" s="150">
        <f t="shared" si="0"/>
        <v>0</v>
      </c>
      <c r="W15" s="150">
        <f t="shared" si="0"/>
        <v>2.8753078250417004E-2</v>
      </c>
      <c r="X15" s="150">
        <f t="shared" si="0"/>
        <v>8.5596964101720976E-2</v>
      </c>
      <c r="Y15" s="326">
        <f t="shared" si="2"/>
        <v>0.43383940109412233</v>
      </c>
      <c r="Z15" s="150">
        <f t="shared" si="1"/>
        <v>0</v>
      </c>
      <c r="AA15" s="150">
        <f t="shared" si="1"/>
        <v>0.54099444277659114</v>
      </c>
      <c r="AB15" s="150">
        <f t="shared" si="1"/>
        <v>2.1387340804493679E-3</v>
      </c>
      <c r="AC15" s="150">
        <f t="shared" si="1"/>
        <v>0</v>
      </c>
      <c r="AD15" s="150">
        <f t="shared" si="1"/>
        <v>0</v>
      </c>
      <c r="AE15" s="150">
        <f t="shared" si="1"/>
        <v>2.7304890209735817E-2</v>
      </c>
      <c r="AF15" s="329">
        <f t="shared" si="3"/>
        <v>0.56616059890587755</v>
      </c>
      <c r="AG15" s="321">
        <f t="shared" si="4"/>
        <v>0.99999999999999989</v>
      </c>
      <c r="AH15" s="6"/>
      <c r="AI15" s="6"/>
      <c r="AJ15" s="6"/>
    </row>
    <row r="16" spans="1:36" ht="12" customHeight="1">
      <c r="A16" s="7" t="s">
        <v>330</v>
      </c>
      <c r="B16" s="29">
        <f>+GETPIVOTDATA("Sum of State Gen Purp-Old",'Amounts Pivot Table'!$A$3,"state","LA","category2","Four-Year")+GETPIVOTDATA("Sum of State Gen Purp-Old",'Amounts Pivot Table'!$A$3,"state","LA","category2","Two-Year")+GETPIVOTDATA("Sum of State Gen Purp-Old",'Amounts Pivot Table'!$A$3,"state","LA","category2","Technical")</f>
        <v>513640699</v>
      </c>
      <c r="C16" s="29">
        <f>+GETPIVOTDATA("Sum of State Ed Spec Purp-Old",'Amounts Pivot Table'!$A$3,"state","LA","category2","Four-Year")+GETPIVOTDATA("Sum of State Ed Spec Purp-Old",'Amounts Pivot Table'!$A$3,"state","LA","category2","Two-Year")+GETPIVOTDATA("Sum of State Ed Spec Purp-Old",'Amounts Pivot Table'!$A$3,"state","LA","category2","Technical")</f>
        <v>75719925</v>
      </c>
      <c r="D16" s="29">
        <f>+GETPIVOTDATA("Sum of State Ed Spec Purp-Old",'Amounts Pivot Table'!$A$3,"state","LA","category2","Other")</f>
        <v>27059776</v>
      </c>
      <c r="E16" s="29">
        <f>+GETPIVOTDATA("Sum of Other Spec Purp State-Old",'Amounts Pivot Table'!$A$3,"state","LA","category2","Specialized")</f>
        <v>0</v>
      </c>
      <c r="F16" s="29">
        <f>+GETPIVOTDATA("Sum of Health State-Old",'Amounts Pivot Table'!$A$3,"state","LA")</f>
        <v>159615366</v>
      </c>
      <c r="G16" s="29">
        <f>+GETPIVOTDATA("Sum of Other Spec Purp State-Old",'Amounts Pivot Table'!$A$3,"state","LA")</f>
        <v>313584571</v>
      </c>
      <c r="H16" s="1470">
        <f t="shared" si="5"/>
        <v>1089620337</v>
      </c>
      <c r="I16" s="29">
        <f>+GETPIVOTDATA("Sum of Local-Old",'Amounts Pivot Table'!$A$3,"state","LA")</f>
        <v>0</v>
      </c>
      <c r="J16" s="29">
        <f>+GETPIVOTDATA("Sum of Tuition Tot-Old",'Amounts Pivot Table'!$A$3,"state","LA","category2","Four-Year")+GETPIVOTDATA("Sum of Tuition Tot-Old",'Amounts Pivot Table'!$A$3,"state","LA","category2","Two-Year")+GETPIVOTDATA("Sum of Tuition Tot-Old",'Amounts Pivot Table'!$A$3,"state","LA","category2","Technical")</f>
        <v>1036561636</v>
      </c>
      <c r="K16" s="29">
        <f>+GETPIVOTDATA("Sum of Tuition Debt-Old",'Amounts Pivot Table'!$A$3,"state","LA","category2","Four-Year")+GETPIVOTDATA("Sum of Tuition Debt-Old",'Amounts Pivot Table'!$A$3,"state","LA","category2","Two-Year")+GETPIVOTDATA("Sum of Tuition Debt-Old",'Amounts Pivot Table'!$A$3,"state","LA","category2","Technical")</f>
        <v>0</v>
      </c>
      <c r="L16" s="29">
        <f>+GETPIVOTDATA("Sum of Tuition SP Tot-Old",'Amounts Pivot Table'!$A$3,"state","LA","category2","Specialized")</f>
        <v>0</v>
      </c>
      <c r="M16" s="29">
        <f>+GETPIVOTDATA("Sum of Tuition SP Debt-Old",'Amounts Pivot Table'!$A$3,"state","LA","category2","Specialized")</f>
        <v>0</v>
      </c>
      <c r="N16" s="29">
        <f>+GETPIVOTDATA("Sum of Health Tuition-Old",'Amounts Pivot Table'!$A$3,"state","LA")</f>
        <v>64699562</v>
      </c>
      <c r="O16" s="1470">
        <f t="shared" si="6"/>
        <v>1101261198</v>
      </c>
      <c r="P16" s="1470">
        <f t="shared" si="7"/>
        <v>2190881535</v>
      </c>
      <c r="Q16" s="32"/>
      <c r="R16" s="67" t="s">
        <v>330</v>
      </c>
      <c r="S16" s="150">
        <f t="shared" si="0"/>
        <v>0.23444476152381283</v>
      </c>
      <c r="T16" s="150">
        <f t="shared" si="0"/>
        <v>3.4561396310275626E-2</v>
      </c>
      <c r="U16" s="150">
        <f t="shared" si="0"/>
        <v>1.2351090448165195E-2</v>
      </c>
      <c r="V16" s="150">
        <f t="shared" si="0"/>
        <v>0</v>
      </c>
      <c r="W16" s="150">
        <f t="shared" si="0"/>
        <v>7.2854402873955476E-2</v>
      </c>
      <c r="X16" s="150">
        <f t="shared" si="0"/>
        <v>0.14313168740088908</v>
      </c>
      <c r="Y16" s="326">
        <f t="shared" si="2"/>
        <v>0.49734333855709822</v>
      </c>
      <c r="Z16" s="150">
        <f t="shared" si="1"/>
        <v>0</v>
      </c>
      <c r="AA16" s="150">
        <f t="shared" si="1"/>
        <v>0.47312536960151064</v>
      </c>
      <c r="AB16" s="150">
        <f t="shared" si="1"/>
        <v>0</v>
      </c>
      <c r="AC16" s="150">
        <f t="shared" si="1"/>
        <v>0</v>
      </c>
      <c r="AD16" s="150">
        <f t="shared" si="1"/>
        <v>0</v>
      </c>
      <c r="AE16" s="150">
        <f t="shared" si="1"/>
        <v>2.9531291841391142E-2</v>
      </c>
      <c r="AF16" s="329">
        <f t="shared" si="3"/>
        <v>0.50265666144290178</v>
      </c>
      <c r="AG16" s="321">
        <f t="shared" si="4"/>
        <v>1</v>
      </c>
      <c r="AH16" s="6"/>
      <c r="AI16" s="6"/>
      <c r="AJ16" s="6"/>
    </row>
    <row r="17" spans="1:36" ht="12" customHeight="1">
      <c r="A17" s="7" t="s">
        <v>333</v>
      </c>
      <c r="B17" s="29">
        <f>+GETPIVOTDATA("Sum of State Gen Purp-Old",'Amounts Pivot Table'!$A$3,"state","MD","category2","Four-Year")+GETPIVOTDATA("Sum of State Gen Purp-Old",'Amounts Pivot Table'!$A$3,"state","MD","category2","Two-Year")+GETPIVOTDATA("Sum of State Gen Purp-Old",'Amounts Pivot Table'!$A$3,"state","MD","category2","Technical")</f>
        <v>1214054290</v>
      </c>
      <c r="C17" s="29">
        <f>+GETPIVOTDATA("Sum of State Ed Spec Purp-Old",'Amounts Pivot Table'!$A$3,"state","MD","category2","Four-Year")+GETPIVOTDATA("Sum of State Ed Spec Purp-Old",'Amounts Pivot Table'!$A$3,"state","MD","category2","Two-Year")+GETPIVOTDATA("Sum of State Ed Spec Purp-Old",'Amounts Pivot Table'!$A$3,"state","MD","category2","Technical")</f>
        <v>57112297</v>
      </c>
      <c r="D17" s="29">
        <f>+GETPIVOTDATA("Sum of State Ed Spec Purp-Old",'Amounts Pivot Table'!$A$3,"state","MD","category2","Other")</f>
        <v>6000000</v>
      </c>
      <c r="E17" s="29">
        <f>+GETPIVOTDATA("Sum of Other Spec Purp State-Old",'Amounts Pivot Table'!$A$3,"state","MD","category2","Specialized")</f>
        <v>35703567</v>
      </c>
      <c r="F17" s="29">
        <f>+GETPIVOTDATA("Sum of Health State-Old",'Amounts Pivot Table'!$A$3,"state","MD")</f>
        <v>196668425</v>
      </c>
      <c r="G17" s="29">
        <f>+GETPIVOTDATA("Sum of Other Spec Purp State-Old",'Amounts Pivot Table'!$A$3,"state","MD")</f>
        <v>196975637</v>
      </c>
      <c r="H17" s="1470">
        <f t="shared" si="5"/>
        <v>1706514216</v>
      </c>
      <c r="I17" s="29">
        <f>+GETPIVOTDATA("Sum of Local-Old",'Amounts Pivot Table'!$A$3,"state","MD")</f>
        <v>329154223</v>
      </c>
      <c r="J17" s="29">
        <f>+GETPIVOTDATA("Sum of Tuition Tot-Old",'Amounts Pivot Table'!$A$3,"state","MD","category2","Four-Year")+GETPIVOTDATA("Sum of Tuition Tot-Old",'Amounts Pivot Table'!$A$3,"state","MD","category2","Two-Year")+GETPIVOTDATA("Sum of Tuition Tot-Old",'Amounts Pivot Table'!$A$3,"state","MD","category2","Technical")</f>
        <v>1551540442</v>
      </c>
      <c r="K17" s="29">
        <f>+GETPIVOTDATA("Sum of Tuition Debt-Old",'Amounts Pivot Table'!$A$3,"state","MD","category2","Four-Year")+GETPIVOTDATA("Sum of Tuition Debt-Old",'Amounts Pivot Table'!$A$3,"state","MD","category2","Two-Year")+GETPIVOTDATA("Sum of Tuition Debt-Old",'Amounts Pivot Table'!$A$3,"state","MD","category2","Technical")</f>
        <v>0</v>
      </c>
      <c r="L17" s="29">
        <f>+GETPIVOTDATA("Sum of Tuition SP Tot-Old",'Amounts Pivot Table'!$A$3,"state","MD","category2","Specialized")</f>
        <v>295554884</v>
      </c>
      <c r="M17" s="29">
        <f>+GETPIVOTDATA("Sum of Tuition SP Debt-Old",'Amounts Pivot Table'!$A$3,"state","MD","category2","Specialized")</f>
        <v>0</v>
      </c>
      <c r="N17" s="29">
        <f>+GETPIVOTDATA("Sum of Health Tuition-Old",'Amounts Pivot Table'!$A$3,"state","MD")</f>
        <v>116721059</v>
      </c>
      <c r="O17" s="1470">
        <f t="shared" si="6"/>
        <v>1963816385</v>
      </c>
      <c r="P17" s="1470">
        <f t="shared" si="7"/>
        <v>3999484824</v>
      </c>
      <c r="Q17" s="32"/>
      <c r="R17" s="67" t="s">
        <v>333</v>
      </c>
      <c r="S17" s="150">
        <f t="shared" si="0"/>
        <v>0.30355266826235616</v>
      </c>
      <c r="T17" s="150">
        <f t="shared" si="0"/>
        <v>1.427991341716865E-2</v>
      </c>
      <c r="U17" s="150">
        <f t="shared" si="0"/>
        <v>1.5001932158850467E-3</v>
      </c>
      <c r="V17" s="150">
        <f t="shared" si="0"/>
        <v>8.927041499382872E-3</v>
      </c>
      <c r="W17" s="150">
        <f t="shared" si="0"/>
        <v>4.9173439493966187E-2</v>
      </c>
      <c r="X17" s="150">
        <f t="shared" si="0"/>
        <v>4.9250252387005929E-2</v>
      </c>
      <c r="Y17" s="326">
        <f t="shared" si="2"/>
        <v>0.4266835082757649</v>
      </c>
      <c r="Z17" s="150">
        <f t="shared" si="1"/>
        <v>8.2299155387418971E-2</v>
      </c>
      <c r="AA17" s="150">
        <f t="shared" si="1"/>
        <v>0.38793507420994777</v>
      </c>
      <c r="AB17" s="150">
        <f t="shared" si="1"/>
        <v>0</v>
      </c>
      <c r="AC17" s="150">
        <f t="shared" si="1"/>
        <v>7.3898238649748663E-2</v>
      </c>
      <c r="AD17" s="150">
        <f t="shared" si="1"/>
        <v>0</v>
      </c>
      <c r="AE17" s="150">
        <f t="shared" si="1"/>
        <v>2.9184023477119712E-2</v>
      </c>
      <c r="AF17" s="329">
        <f t="shared" si="3"/>
        <v>0.49101733633681616</v>
      </c>
      <c r="AG17" s="321">
        <f t="shared" si="4"/>
        <v>1</v>
      </c>
      <c r="AH17" s="6"/>
      <c r="AI17" s="6"/>
      <c r="AJ17" s="6"/>
    </row>
    <row r="18" spans="1:36" s="88" customFormat="1" ht="4.5" customHeight="1">
      <c r="A18" s="85"/>
      <c r="B18" s="86"/>
      <c r="C18" s="86"/>
      <c r="D18" s="86"/>
      <c r="E18" s="86"/>
      <c r="F18" s="86"/>
      <c r="G18" s="86"/>
      <c r="H18" s="1471"/>
      <c r="I18" s="86"/>
      <c r="J18" s="86"/>
      <c r="K18" s="86"/>
      <c r="L18" s="86"/>
      <c r="M18" s="86"/>
      <c r="N18" s="86"/>
      <c r="O18" s="1470"/>
      <c r="P18" s="1471"/>
      <c r="Q18" s="87"/>
      <c r="R18" s="85"/>
      <c r="S18" s="150"/>
      <c r="T18" s="150"/>
      <c r="U18" s="150"/>
      <c r="V18" s="150"/>
      <c r="W18" s="150"/>
      <c r="X18" s="150"/>
      <c r="Y18" s="326"/>
      <c r="Z18" s="150"/>
      <c r="AA18" s="150"/>
      <c r="AB18" s="150"/>
      <c r="AC18" s="150"/>
      <c r="AD18" s="150"/>
      <c r="AE18" s="150"/>
      <c r="AF18" s="329"/>
      <c r="AG18" s="321"/>
    </row>
    <row r="19" spans="1:36" ht="12" customHeight="1">
      <c r="A19" s="7" t="s">
        <v>323</v>
      </c>
      <c r="B19" s="29">
        <f>+GETPIVOTDATA("Sum of State Gen Purp-Old",'Amounts Pivot Table'!$A$3,"state","MS","category2","Four-Year")+GETPIVOTDATA("Sum of State Gen Purp-Old",'Amounts Pivot Table'!$A$3,"state","MS","category2","Two-Year")+GETPIVOTDATA("Sum of State Gen Purp-Old",'Amounts Pivot Table'!$A$3,"state","MS","category2","Technical")</f>
        <v>615129238</v>
      </c>
      <c r="C19" s="29">
        <f>+GETPIVOTDATA("Sum of State Ed Spec Purp-Old",'Amounts Pivot Table'!$A$3,"state","MS","category2","Four-Year")+GETPIVOTDATA("Sum of State Ed Spec Purp-Old",'Amounts Pivot Table'!$A$3,"state","MS","category2","Two-Year")+GETPIVOTDATA("Sum of State Ed Spec Purp-Old",'Amounts Pivot Table'!$A$3,"state","MS","category2","Technical")</f>
        <v>108863304.56</v>
      </c>
      <c r="D19" s="29">
        <f>+GETPIVOTDATA("Sum of State Ed Spec Purp-Old",'Amounts Pivot Table'!$A$3,"state","MS","category2","Other")</f>
        <v>6941891.1600000001</v>
      </c>
      <c r="E19" s="29">
        <f>+GETPIVOTDATA("Sum of Other Spec Purp State-Old",'Amounts Pivot Table'!$A$3,"state","MS","category2","Specialized")</f>
        <v>0</v>
      </c>
      <c r="F19" s="29">
        <f>+GETPIVOTDATA("Sum of Health State-Old",'Amounts Pivot Table'!$A$3,"state","MS")</f>
        <v>203009881</v>
      </c>
      <c r="G19" s="29">
        <f>+GETPIVOTDATA("Sum of Other Spec Purp State-Old",'Amounts Pivot Table'!$A$3,"state","MS")</f>
        <v>46319956</v>
      </c>
      <c r="H19" s="1470">
        <f t="shared" si="5"/>
        <v>980264270.71999991</v>
      </c>
      <c r="I19" s="29">
        <f>+GETPIVOTDATA("Sum of Local-Old",'Amounts Pivot Table'!$A$3,"state","MS")</f>
        <v>53200334</v>
      </c>
      <c r="J19" s="29">
        <f>+GETPIVOTDATA("Sum of Tuition Tot-Old",'Amounts Pivot Table'!$A$3,"state","MS","category2","Four-Year")+GETPIVOTDATA("Sum of Tuition Tot-Old",'Amounts Pivot Table'!$A$3,"state","MS","category2","Two-Year")+GETPIVOTDATA("Sum of Tuition Tot-Old",'Amounts Pivot Table'!$A$3,"state","MS","category2","Technical")</f>
        <v>802142133</v>
      </c>
      <c r="K19" s="29">
        <f>+GETPIVOTDATA("Sum of Tuition Debt-Old",'Amounts Pivot Table'!$A$3,"state","MS","category2","Four-Year")+GETPIVOTDATA("Sum of Tuition Debt-Old",'Amounts Pivot Table'!$A$3,"state","MS","category2","Two-Year")+GETPIVOTDATA("Sum of Tuition Debt-Old",'Amounts Pivot Table'!$A$3,"state","MS","category2","Technical")</f>
        <v>0</v>
      </c>
      <c r="L19" s="29">
        <f>+GETPIVOTDATA("Sum of Tuition SP Tot-Old",'Amounts Pivot Table'!$A$3,"state","MS","category2","Specialized")</f>
        <v>0</v>
      </c>
      <c r="M19" s="29">
        <f>+GETPIVOTDATA("Sum of Tuition SP Debt-Old",'Amounts Pivot Table'!$A$3,"state","MS","category2","Specialized")</f>
        <v>0</v>
      </c>
      <c r="N19" s="29">
        <f>+GETPIVOTDATA("Sum of Health Tuition-Old",'Amounts Pivot Table'!$A$3,"state","MS")</f>
        <v>37220057</v>
      </c>
      <c r="O19" s="1470">
        <f t="shared" si="6"/>
        <v>839362190</v>
      </c>
      <c r="P19" s="1470">
        <f t="shared" si="7"/>
        <v>1872826794.7199998</v>
      </c>
      <c r="Q19" s="32"/>
      <c r="R19" s="67" t="s">
        <v>323</v>
      </c>
      <c r="S19" s="150">
        <f t="shared" si="0"/>
        <v>0.32844961409897278</v>
      </c>
      <c r="T19" s="150">
        <f t="shared" si="0"/>
        <v>5.8127801709648118E-2</v>
      </c>
      <c r="U19" s="150">
        <f t="shared" si="0"/>
        <v>3.7066381042662622E-3</v>
      </c>
      <c r="V19" s="150">
        <f t="shared" si="0"/>
        <v>0</v>
      </c>
      <c r="W19" s="150">
        <f t="shared" si="0"/>
        <v>0.10839757396270665</v>
      </c>
      <c r="X19" s="150">
        <f t="shared" si="0"/>
        <v>2.473264272520468E-2</v>
      </c>
      <c r="Y19" s="326">
        <f t="shared" si="2"/>
        <v>0.52341427060079848</v>
      </c>
      <c r="Z19" s="150">
        <f t="shared" si="1"/>
        <v>2.8406435741941533E-2</v>
      </c>
      <c r="AA19" s="150">
        <f t="shared" si="1"/>
        <v>0.42830556208478726</v>
      </c>
      <c r="AB19" s="150">
        <f t="shared" si="1"/>
        <v>0</v>
      </c>
      <c r="AC19" s="150">
        <f t="shared" si="1"/>
        <v>0</v>
      </c>
      <c r="AD19" s="150">
        <f t="shared" si="1"/>
        <v>0</v>
      </c>
      <c r="AE19" s="150">
        <f t="shared" si="1"/>
        <v>1.9873731572472856E-2</v>
      </c>
      <c r="AF19" s="329">
        <f t="shared" si="3"/>
        <v>0.44817929365726011</v>
      </c>
      <c r="AG19" s="321">
        <f t="shared" si="4"/>
        <v>1.0000000000000002</v>
      </c>
      <c r="AH19" s="6"/>
      <c r="AI19" s="6"/>
      <c r="AJ19" s="6"/>
    </row>
    <row r="20" spans="1:36" ht="12" customHeight="1">
      <c r="A20" s="7" t="s">
        <v>324</v>
      </c>
      <c r="B20" s="29">
        <f>+GETPIVOTDATA("Sum of State Gen Purp-Old",'Amounts Pivot Table'!$A$3,"state","NC","category2","Four-Year")+GETPIVOTDATA("Sum of State Gen Purp-Old",'Amounts Pivot Table'!$A$3,"state","NC","category2","Two-Year")+GETPIVOTDATA("Sum of State Gen Purp-Old",'Amounts Pivot Table'!$A$3,"state","NC","category2","Technical")</f>
        <v>2611497051</v>
      </c>
      <c r="C20" s="29">
        <f>+GETPIVOTDATA("Sum of State Ed Spec Purp-Old",'Amounts Pivot Table'!$A$3,"state","NC","category2","Four-Year")+GETPIVOTDATA("Sum of State Ed Spec Purp-Old",'Amounts Pivot Table'!$A$3,"state","NC","category2","Two-Year")+GETPIVOTDATA("Sum of State Ed Spec Purp-Old",'Amounts Pivot Table'!$A$3,"state","NC","category2","Technical")</f>
        <v>235776076</v>
      </c>
      <c r="D20" s="29">
        <f>+GETPIVOTDATA("Sum of State Ed Spec Purp-Old",'Amounts Pivot Table'!$A$3,"state","NC","category2","Other")</f>
        <v>52000016</v>
      </c>
      <c r="E20" s="29">
        <f>+GETPIVOTDATA("Sum of Other Spec Purp State-Old",'Amounts Pivot Table'!$A$3,"state","NC","category2","Specialized")</f>
        <v>31868375</v>
      </c>
      <c r="F20" s="29">
        <f>+GETPIVOTDATA("Sum of Health State-Old",'Amounts Pivot Table'!$A$3,"state","NC")</f>
        <v>277641717</v>
      </c>
      <c r="G20" s="29">
        <f>+GETPIVOTDATA("Sum of Other Spec Purp State-Old",'Amounts Pivot Table'!$A$3,"state","NC")</f>
        <v>355734537</v>
      </c>
      <c r="H20" s="1470">
        <f t="shared" si="5"/>
        <v>3564517772</v>
      </c>
      <c r="I20" s="29">
        <f>+GETPIVOTDATA("Sum of Local-Old",'Amounts Pivot Table'!$A$3,"state","NC")</f>
        <v>219909058</v>
      </c>
      <c r="J20" s="29">
        <f>+GETPIVOTDATA("Sum of Tuition Tot-Old",'Amounts Pivot Table'!$A$3,"state","NC","category2","Four-Year")+GETPIVOTDATA("Sum of Tuition Tot-Old",'Amounts Pivot Table'!$A$3,"state","NC","category2","Two-Year")+GETPIVOTDATA("Sum of Tuition Tot-Old",'Amounts Pivot Table'!$A$3,"state","NC","category2","Technical")</f>
        <v>1759936135</v>
      </c>
      <c r="K20" s="29">
        <f>+GETPIVOTDATA("Sum of Tuition Debt-Old",'Amounts Pivot Table'!$A$3,"state","NC","category2","Four-Year")+GETPIVOTDATA("Sum of Tuition Debt-Old",'Amounts Pivot Table'!$A$3,"state","NC","category2","Two-Year")+GETPIVOTDATA("Sum of Tuition Debt-Old",'Amounts Pivot Table'!$A$3,"state","NC","category2","Technical")</f>
        <v>0</v>
      </c>
      <c r="L20" s="29">
        <f>+GETPIVOTDATA("Sum of Tuition SP Tot-Old",'Amounts Pivot Table'!$A$3,"state","NC","category2","Specialized")</f>
        <v>13250568</v>
      </c>
      <c r="M20" s="29">
        <f>+GETPIVOTDATA("Sum of Tuition SP Debt-Old",'Amounts Pivot Table'!$A$3,"state","NC","category2","Specialized")</f>
        <v>0</v>
      </c>
      <c r="N20" s="29">
        <f>+GETPIVOTDATA("Sum of Health Tuition-Old",'Amounts Pivot Table'!$A$3,"state","NC")</f>
        <v>103664204</v>
      </c>
      <c r="O20" s="1470">
        <f t="shared" si="6"/>
        <v>1876850907</v>
      </c>
      <c r="P20" s="1470">
        <f t="shared" si="7"/>
        <v>5661277737</v>
      </c>
      <c r="Q20" s="32"/>
      <c r="R20" s="67" t="s">
        <v>324</v>
      </c>
      <c r="S20" s="150">
        <f t="shared" si="0"/>
        <v>0.46129110287810632</v>
      </c>
      <c r="T20" s="150">
        <f t="shared" si="0"/>
        <v>4.1647148745071361E-2</v>
      </c>
      <c r="U20" s="150">
        <f t="shared" si="0"/>
        <v>9.1852084309779203E-3</v>
      </c>
      <c r="V20" s="150">
        <f t="shared" si="0"/>
        <v>5.6291841666272942E-3</v>
      </c>
      <c r="W20" s="150">
        <f t="shared" si="0"/>
        <v>4.9042235675073362E-2</v>
      </c>
      <c r="X20" s="150">
        <f t="shared" si="0"/>
        <v>6.2836439674219077E-2</v>
      </c>
      <c r="Y20" s="326">
        <f t="shared" si="2"/>
        <v>0.62963131957007534</v>
      </c>
      <c r="Z20" s="150">
        <f t="shared" si="1"/>
        <v>3.8844421386139812E-2</v>
      </c>
      <c r="AA20" s="150">
        <f t="shared" si="1"/>
        <v>0.3108726009850592</v>
      </c>
      <c r="AB20" s="150">
        <f t="shared" si="1"/>
        <v>0</v>
      </c>
      <c r="AC20" s="150">
        <f t="shared" si="1"/>
        <v>2.3405613742281586E-3</v>
      </c>
      <c r="AD20" s="150">
        <f t="shared" si="1"/>
        <v>0</v>
      </c>
      <c r="AE20" s="150">
        <f t="shared" si="1"/>
        <v>1.8311096684497465E-2</v>
      </c>
      <c r="AF20" s="329">
        <f t="shared" si="3"/>
        <v>0.33152425904378485</v>
      </c>
      <c r="AG20" s="321">
        <f t="shared" si="4"/>
        <v>1</v>
      </c>
      <c r="AH20" s="6"/>
      <c r="AI20" s="6"/>
      <c r="AJ20" s="6"/>
    </row>
    <row r="21" spans="1:36" ht="12" customHeight="1">
      <c r="A21" s="7" t="s">
        <v>331</v>
      </c>
      <c r="B21" s="29">
        <f>+GETPIVOTDATA("Sum of State Gen Purp-Old",'Amounts Pivot Table'!$A$3,"state","OK","category2","Four-Year")+GETPIVOTDATA("Sum of State Gen Purp-Old",'Amounts Pivot Table'!$A$3,"state","OK","category2","Two-Year")+GETPIVOTDATA("Sum of State Gen Purp-Old",'Amounts Pivot Table'!$A$3,"state","OK","category2","Technical")</f>
        <v>776741764</v>
      </c>
      <c r="C21" s="29">
        <f>+GETPIVOTDATA("Sum of State Ed Spec Purp-Old",'Amounts Pivot Table'!$A$3,"state","OK","category2","Four-Year")+GETPIVOTDATA("Sum of State Ed Spec Purp-Old",'Amounts Pivot Table'!$A$3,"state","OK","category2","Two-Year")+GETPIVOTDATA("Sum of State Ed Spec Purp-Old",'Amounts Pivot Table'!$A$3,"state","OK","category2","Technical")</f>
        <v>0</v>
      </c>
      <c r="D21" s="29">
        <f>+GETPIVOTDATA("Sum of State Ed Spec Purp-Old",'Amounts Pivot Table'!$A$3,"state","OK","category2","Other")</f>
        <v>15652609</v>
      </c>
      <c r="E21" s="29">
        <f>+GETPIVOTDATA("Sum of Other Spec Purp State-Old",'Amounts Pivot Table'!$A$3,"state","OK","category2","Specialized")</f>
        <v>0</v>
      </c>
      <c r="F21" s="29">
        <f>+GETPIVOTDATA("Sum of Health State-Old",'Amounts Pivot Table'!$A$3,"state","OK")</f>
        <v>118486833</v>
      </c>
      <c r="G21" s="29">
        <f>+GETPIVOTDATA("Sum of Other Spec Purp State-Old",'Amounts Pivot Table'!$A$3,"state","OK")</f>
        <v>90779494</v>
      </c>
      <c r="H21" s="1470">
        <f t="shared" si="5"/>
        <v>1001660700</v>
      </c>
      <c r="I21" s="29">
        <f>+GETPIVOTDATA("Sum of Local-Old",'Amounts Pivot Table'!$A$3,"state","OK")</f>
        <v>46625073</v>
      </c>
      <c r="J21" s="29">
        <f>+GETPIVOTDATA("Sum of Tuition Tot-Old",'Amounts Pivot Table'!$A$3,"state","OK","category2","Four-Year")+GETPIVOTDATA("Sum of Tuition Tot-Old",'Amounts Pivot Table'!$A$3,"state","OK","category2","Two-Year")+GETPIVOTDATA("Sum of Tuition Tot-Old",'Amounts Pivot Table'!$A$3,"state","OK","category2","Technical")</f>
        <v>968333912</v>
      </c>
      <c r="K21" s="29">
        <f>+GETPIVOTDATA("Sum of Tuition Debt-Old",'Amounts Pivot Table'!$A$3,"state","OK","category2","Four-Year")+GETPIVOTDATA("Sum of Tuition Debt-Old",'Amounts Pivot Table'!$A$3,"state","OK","category2","Two-Year")+GETPIVOTDATA("Sum of Tuition Debt-Old",'Amounts Pivot Table'!$A$3,"state","OK","category2","Technical")</f>
        <v>0</v>
      </c>
      <c r="L21" s="29">
        <f>+GETPIVOTDATA("Sum of Tuition SP Tot-Old",'Amounts Pivot Table'!$A$3,"state","OK","category2","Specialized")</f>
        <v>0</v>
      </c>
      <c r="M21" s="29">
        <f>+GETPIVOTDATA("Sum of Tuition SP Debt-Old",'Amounts Pivot Table'!$A$3,"state","OK","category2","Specialized")</f>
        <v>0</v>
      </c>
      <c r="N21" s="29">
        <f>+GETPIVOTDATA("Sum of Health Tuition-Old",'Amounts Pivot Table'!$A$3,"state","OK")</f>
        <v>0</v>
      </c>
      <c r="O21" s="1470">
        <f t="shared" si="6"/>
        <v>968333912</v>
      </c>
      <c r="P21" s="1470">
        <f t="shared" si="7"/>
        <v>2016619685</v>
      </c>
      <c r="Q21" s="32"/>
      <c r="R21" s="67" t="s">
        <v>331</v>
      </c>
      <c r="S21" s="150">
        <f t="shared" si="0"/>
        <v>0.38517017848112495</v>
      </c>
      <c r="T21" s="150">
        <f t="shared" si="0"/>
        <v>0</v>
      </c>
      <c r="U21" s="150">
        <f t="shared" si="0"/>
        <v>7.7618051219211417E-3</v>
      </c>
      <c r="V21" s="150">
        <f t="shared" si="0"/>
        <v>0</v>
      </c>
      <c r="W21" s="150">
        <f t="shared" si="0"/>
        <v>5.8755170288839066E-2</v>
      </c>
      <c r="X21" s="150">
        <f t="shared" si="0"/>
        <v>4.5015673840355278E-2</v>
      </c>
      <c r="Y21" s="326">
        <f t="shared" si="2"/>
        <v>0.49670282773224045</v>
      </c>
      <c r="Z21" s="150">
        <f t="shared" si="1"/>
        <v>2.3120409538202043E-2</v>
      </c>
      <c r="AA21" s="150">
        <f t="shared" si="1"/>
        <v>0.4801767627295575</v>
      </c>
      <c r="AB21" s="150">
        <f t="shared" si="1"/>
        <v>0</v>
      </c>
      <c r="AC21" s="150">
        <f t="shared" si="1"/>
        <v>0</v>
      </c>
      <c r="AD21" s="150">
        <f t="shared" si="1"/>
        <v>0</v>
      </c>
      <c r="AE21" s="150">
        <f t="shared" si="1"/>
        <v>0</v>
      </c>
      <c r="AF21" s="329">
        <f t="shared" si="3"/>
        <v>0.4801767627295575</v>
      </c>
      <c r="AG21" s="321">
        <f t="shared" si="4"/>
        <v>1</v>
      </c>
      <c r="AH21" s="6"/>
      <c r="AI21" s="6"/>
      <c r="AJ21" s="6"/>
    </row>
    <row r="22" spans="1:36" ht="12" customHeight="1">
      <c r="A22" s="7" t="s">
        <v>325</v>
      </c>
      <c r="B22" s="29">
        <f>+GETPIVOTDATA("Sum of State Gen Purp-Old",'Amounts Pivot Table'!$A$3,"state","SC","category2","Four-Year")+GETPIVOTDATA("Sum of State Gen Purp-Old",'Amounts Pivot Table'!$A$3,"state","SC","category2","Two-Year")+GETPIVOTDATA("Sum of State Gen Purp-Old",'Amounts Pivot Table'!$A$3,"state","SC","category2","Technical")</f>
        <v>354089851</v>
      </c>
      <c r="C22" s="29">
        <f>+GETPIVOTDATA("Sum of State Ed Spec Purp-Old",'Amounts Pivot Table'!$A$3,"state","SC","category2","Four-Year")+GETPIVOTDATA("Sum of State Ed Spec Purp-Old",'Amounts Pivot Table'!$A$3,"state","SC","category2","Two-Year")+GETPIVOTDATA("Sum of State Ed Spec Purp-Old",'Amounts Pivot Table'!$A$3,"state","SC","category2","Technical")</f>
        <v>89662085</v>
      </c>
      <c r="D22" s="29">
        <f>+GETPIVOTDATA("Sum of State Ed Spec Purp-Old",'Amounts Pivot Table'!$A$3,"state","SC","category2","Other")</f>
        <v>4495762</v>
      </c>
      <c r="E22" s="29">
        <f>+GETPIVOTDATA("Sum of Other Spec Purp State-Old",'Amounts Pivot Table'!$A$3,"state","SC","category2","Specialized")</f>
        <v>0</v>
      </c>
      <c r="F22" s="29">
        <f>+GETPIVOTDATA("Sum of Health State-Old",'Amounts Pivot Table'!$A$3,"state","SC")</f>
        <v>80503862</v>
      </c>
      <c r="G22" s="29">
        <f>+GETPIVOTDATA("Sum of Other Spec Purp State-Old",'Amounts Pivot Table'!$A$3,"state","SC")</f>
        <v>375789318.00000006</v>
      </c>
      <c r="H22" s="1470">
        <f t="shared" si="5"/>
        <v>904540878</v>
      </c>
      <c r="I22" s="29">
        <f>+GETPIVOTDATA("Sum of Local-Old",'Amounts Pivot Table'!$A$3,"state","SC")</f>
        <v>61677498</v>
      </c>
      <c r="J22" s="29">
        <f>+GETPIVOTDATA("Sum of Tuition Tot-Old",'Amounts Pivot Table'!$A$3,"state","SC","category2","Four-Year")+GETPIVOTDATA("Sum of Tuition Tot-Old",'Amounts Pivot Table'!$A$3,"state","SC","category2","Two-Year")+GETPIVOTDATA("Sum of Tuition Tot-Old",'Amounts Pivot Table'!$A$3,"state","SC","category2","Technical")</f>
        <v>1874248736</v>
      </c>
      <c r="K22" s="29">
        <f>+GETPIVOTDATA("Sum of Tuition Debt-Old",'Amounts Pivot Table'!$A$3,"state","SC","category2","Four-Year")+GETPIVOTDATA("Sum of Tuition Debt-Old",'Amounts Pivot Table'!$A$3,"state","SC","category2","Two-Year")+GETPIVOTDATA("Sum of Tuition Debt-Old",'Amounts Pivot Table'!$A$3,"state","SC","category2","Technical")</f>
        <v>92625316</v>
      </c>
      <c r="L22" s="29">
        <f>+GETPIVOTDATA("Sum of Tuition SP Tot-Old",'Amounts Pivot Table'!$A$3,"state","SC","category2","Specialized")</f>
        <v>0</v>
      </c>
      <c r="M22" s="29">
        <f>+GETPIVOTDATA("Sum of Tuition SP Debt-Old",'Amounts Pivot Table'!$A$3,"state","SC","category2","Specialized")</f>
        <v>0</v>
      </c>
      <c r="N22" s="29">
        <f>+GETPIVOTDATA("Sum of Health Tuition-Old",'Amounts Pivot Table'!$A$3,"state","SC")</f>
        <v>0</v>
      </c>
      <c r="O22" s="1470">
        <f t="shared" si="6"/>
        <v>1781623420</v>
      </c>
      <c r="P22" s="1470">
        <f t="shared" si="7"/>
        <v>2747841796</v>
      </c>
      <c r="Q22" s="32"/>
      <c r="R22" s="67" t="s">
        <v>325</v>
      </c>
      <c r="S22" s="150">
        <f t="shared" si="0"/>
        <v>0.12886107617820075</v>
      </c>
      <c r="T22" s="150">
        <f t="shared" si="0"/>
        <v>3.2630002618971733E-2</v>
      </c>
      <c r="U22" s="150">
        <f t="shared" si="0"/>
        <v>1.6361065642659727E-3</v>
      </c>
      <c r="V22" s="150">
        <f t="shared" si="0"/>
        <v>0</v>
      </c>
      <c r="W22" s="150">
        <f t="shared" si="0"/>
        <v>2.9297124061941446E-2</v>
      </c>
      <c r="X22" s="150">
        <f t="shared" si="0"/>
        <v>0.13675798895956529</v>
      </c>
      <c r="Y22" s="326">
        <f t="shared" si="2"/>
        <v>0.32918229838294522</v>
      </c>
      <c r="Z22" s="150">
        <f t="shared" si="1"/>
        <v>2.2445796584717209E-2</v>
      </c>
      <c r="AA22" s="150">
        <f t="shared" si="1"/>
        <v>0.68208029251477331</v>
      </c>
      <c r="AB22" s="150">
        <f t="shared" si="1"/>
        <v>3.3708387482435688E-2</v>
      </c>
      <c r="AC22" s="150">
        <f t="shared" si="1"/>
        <v>0</v>
      </c>
      <c r="AD22" s="150">
        <f t="shared" si="1"/>
        <v>0</v>
      </c>
      <c r="AE22" s="150">
        <f t="shared" si="1"/>
        <v>0</v>
      </c>
      <c r="AF22" s="329">
        <f t="shared" si="3"/>
        <v>0.64837190503233766</v>
      </c>
      <c r="AG22" s="321">
        <f t="shared" si="4"/>
        <v>1</v>
      </c>
      <c r="AH22" s="6"/>
      <c r="AI22" s="6"/>
      <c r="AJ22" s="6"/>
    </row>
    <row r="23" spans="1:36" s="88" customFormat="1" ht="4.5" customHeight="1">
      <c r="A23" s="85"/>
      <c r="B23" s="86"/>
      <c r="C23" s="86"/>
      <c r="D23" s="86"/>
      <c r="E23" s="86"/>
      <c r="F23" s="86"/>
      <c r="G23" s="86"/>
      <c r="H23" s="1471"/>
      <c r="I23" s="86"/>
      <c r="J23" s="86"/>
      <c r="K23" s="86"/>
      <c r="L23" s="86"/>
      <c r="M23" s="86"/>
      <c r="N23" s="86"/>
      <c r="O23" s="1470"/>
      <c r="P23" s="1471"/>
      <c r="Q23" s="87"/>
      <c r="R23" s="85"/>
      <c r="S23" s="150"/>
      <c r="T23" s="150"/>
      <c r="U23" s="150"/>
      <c r="V23" s="150"/>
      <c r="W23" s="150"/>
      <c r="X23" s="150"/>
      <c r="Y23" s="326"/>
      <c r="Z23" s="150"/>
      <c r="AA23" s="150"/>
      <c r="AB23" s="150"/>
      <c r="AC23" s="150"/>
      <c r="AD23" s="150"/>
      <c r="AE23" s="150"/>
      <c r="AF23" s="329"/>
      <c r="AG23" s="321"/>
    </row>
    <row r="24" spans="1:36" ht="12" customHeight="1">
      <c r="A24" s="7" t="s">
        <v>90</v>
      </c>
      <c r="B24" s="29">
        <f>+GETPIVOTDATA("Sum of State Gen Purp-Old",'Amounts Pivot Table'!$A$3,"state","TN","category2","Four-Year")+GETPIVOTDATA("Sum of State Gen Purp-Old",'Amounts Pivot Table'!$A$3,"state","TN","category2","Two-Year")+GETPIVOTDATA("Sum of State Gen Purp-Old",'Amounts Pivot Table'!$A$3,"state","TN","category2","Technical")</f>
        <v>869353927.25662875</v>
      </c>
      <c r="C24" s="29">
        <f>+GETPIVOTDATA("Sum of State Ed Spec Purp-Old",'Amounts Pivot Table'!$A$3,"state","TN","category2","Four-Year")+GETPIVOTDATA("Sum of State Ed Spec Purp-Old",'Amounts Pivot Table'!$A$3,"state","TN","category2","Two-Year")+GETPIVOTDATA("Sum of State Ed Spec Purp-Old",'Amounts Pivot Table'!$A$3,"state","TN","category2","Technical")</f>
        <v>72598177</v>
      </c>
      <c r="D24" s="29">
        <f>+GETPIVOTDATA("Sum of State Ed Spec Purp-Old",'Amounts Pivot Table'!$A$3,"state","TN","category2","Other")</f>
        <v>422000</v>
      </c>
      <c r="E24" s="29">
        <f>+GETPIVOTDATA("Sum of Other Spec Purp State-Old",'Amounts Pivot Table'!$A$3,"state","TN","category2","Specialized")</f>
        <v>8923113.9352994487</v>
      </c>
      <c r="F24" s="29">
        <f>+GETPIVOTDATA("Sum of Health State-Old",'Amounts Pivot Table'!$A$3,"state","TN")</f>
        <v>188428062.3825264</v>
      </c>
      <c r="G24" s="29">
        <f>+GETPIVOTDATA("Sum of Other Spec Purp State-Old",'Amounts Pivot Table'!$A$3,"state","TN")</f>
        <v>398296718.89529943</v>
      </c>
      <c r="H24" s="1470">
        <f t="shared" si="5"/>
        <v>1538021999.469754</v>
      </c>
      <c r="I24" s="29">
        <f>+GETPIVOTDATA("Sum of Local-Old",'Amounts Pivot Table'!$A$3,"state","TN")</f>
        <v>0</v>
      </c>
      <c r="J24" s="29">
        <f>+GETPIVOTDATA("Sum of Tuition Tot-Old",'Amounts Pivot Table'!$A$3,"state","TN","category2","Four-Year")+GETPIVOTDATA("Sum of Tuition Tot-Old",'Amounts Pivot Table'!$A$3,"state","TN","category2","Two-Year")+GETPIVOTDATA("Sum of Tuition Tot-Old",'Amounts Pivot Table'!$A$3,"state","TN","category2","Technical")</f>
        <v>1356939262</v>
      </c>
      <c r="K24" s="29">
        <f>+GETPIVOTDATA("Sum of Tuition Debt-Old",'Amounts Pivot Table'!$A$3,"state","TN","category2","Four-Year")+GETPIVOTDATA("Sum of Tuition Debt-Old",'Amounts Pivot Table'!$A$3,"state","TN","category2","Two-Year")+GETPIVOTDATA("Sum of Tuition Debt-Old",'Amounts Pivot Table'!$A$3,"state","TN","category2","Technical")</f>
        <v>26424300</v>
      </c>
      <c r="L24" s="29">
        <f>+GETPIVOTDATA("Sum of Tuition SP Tot-Old",'Amounts Pivot Table'!$A$3,"state","TN","category2","Specialized")</f>
        <v>1450000</v>
      </c>
      <c r="M24" s="29">
        <f>+GETPIVOTDATA("Sum of Tuition SP Debt-Old",'Amounts Pivot Table'!$A$3,"state","TN","category2","Specialized")</f>
        <v>0</v>
      </c>
      <c r="N24" s="29">
        <f>+GETPIVOTDATA("Sum of Health Tuition-Old",'Amounts Pivot Table'!$A$3,"state","TN")</f>
        <v>101330919</v>
      </c>
      <c r="O24" s="1470">
        <f t="shared" si="6"/>
        <v>1433295881</v>
      </c>
      <c r="P24" s="1470">
        <f t="shared" si="7"/>
        <v>2971317880.4697542</v>
      </c>
      <c r="Q24" s="32"/>
      <c r="R24" s="67" t="s">
        <v>90</v>
      </c>
      <c r="S24" s="150">
        <f t="shared" si="0"/>
        <v>0.29258193240475072</v>
      </c>
      <c r="T24" s="150">
        <f t="shared" si="0"/>
        <v>2.4432988970039954E-2</v>
      </c>
      <c r="U24" s="150" t="str">
        <f t="shared" si="0"/>
        <v>*</v>
      </c>
      <c r="V24" s="150">
        <f t="shared" si="0"/>
        <v>3.0030829060567351E-3</v>
      </c>
      <c r="W24" s="150">
        <f t="shared" si="0"/>
        <v>6.3415652569874692E-2</v>
      </c>
      <c r="X24" s="150">
        <f t="shared" si="0"/>
        <v>0.13404715850608695</v>
      </c>
      <c r="Y24" s="326">
        <f t="shared" si="2"/>
        <v>0.51748081535680912</v>
      </c>
      <c r="Z24" s="150">
        <f t="shared" ref="Z24:AE27" si="8">IF(I24/$P24=0,,IF(I24/$P24&gt;0.0005,I24/$P24,"*"))</f>
        <v>0</v>
      </c>
      <c r="AA24" s="150">
        <f t="shared" si="8"/>
        <v>0.4566792637432226</v>
      </c>
      <c r="AB24" s="150">
        <f t="shared" si="8"/>
        <v>8.8931245538166441E-3</v>
      </c>
      <c r="AC24" s="150" t="str">
        <f t="shared" si="8"/>
        <v>*</v>
      </c>
      <c r="AD24" s="150">
        <f t="shared" si="8"/>
        <v>0</v>
      </c>
      <c r="AE24" s="150">
        <f t="shared" si="8"/>
        <v>3.4103021984298751E-2</v>
      </c>
      <c r="AF24" s="329">
        <f t="shared" si="3"/>
        <v>0.48237716012175763</v>
      </c>
      <c r="AG24" s="321">
        <f t="shared" si="4"/>
        <v>0.99985797547856681</v>
      </c>
      <c r="AH24" s="6"/>
      <c r="AI24" s="6"/>
      <c r="AJ24" s="6"/>
    </row>
    <row r="25" spans="1:36" ht="12" customHeight="1">
      <c r="A25" s="7" t="s">
        <v>326</v>
      </c>
      <c r="B25" s="29">
        <f>+GETPIVOTDATA("Sum of State Gen Purp-Old",'Amounts Pivot Table'!$A$3,"state","TX","category2","Four-Year")+GETPIVOTDATA("Sum of State Gen Purp-Old",'Amounts Pivot Table'!$A$3,"state","TX","category2","Two-Year")+GETPIVOTDATA("Sum of State Gen Purp-Old",'Amounts Pivot Table'!$A$3,"state","TX","category2","Technical")</f>
        <v>4074715646</v>
      </c>
      <c r="C25" s="29">
        <f>+GETPIVOTDATA("Sum of State Ed Spec Purp-Old",'Amounts Pivot Table'!$A$3,"state","TX","category2","Four-Year")+GETPIVOTDATA("Sum of State Ed Spec Purp-Old",'Amounts Pivot Table'!$A$3,"state","TX","category2","Two-Year")+GETPIVOTDATA("Sum of State Ed Spec Purp-Old",'Amounts Pivot Table'!$A$3,"state","TX","category2","Technical")</f>
        <v>228822908</v>
      </c>
      <c r="D25" s="29">
        <f>+GETPIVOTDATA("Sum of State Ed Spec Purp-Old",'Amounts Pivot Table'!$A$3,"state","TX","category2","Other")</f>
        <v>0</v>
      </c>
      <c r="E25" s="29">
        <f>+GETPIVOTDATA("Sum of Other Spec Purp State-Old",'Amounts Pivot Table'!$A$3,"state","TX","category2","Specialized")</f>
        <v>0</v>
      </c>
      <c r="F25" s="29">
        <f>+GETPIVOTDATA("Sum of Health State-Old",'Amounts Pivot Table'!$A$3,"state","TX")</f>
        <v>1649180754</v>
      </c>
      <c r="G25" s="29">
        <f>+GETPIVOTDATA("Sum of Other Spec Purp State-Old",'Amounts Pivot Table'!$A$3,"state","TX")</f>
        <v>679993858</v>
      </c>
      <c r="H25" s="1470">
        <f t="shared" si="5"/>
        <v>6632713166</v>
      </c>
      <c r="I25" s="29">
        <f>+GETPIVOTDATA("Sum of Local-Old",'Amounts Pivot Table'!$A$3,"state","TX")</f>
        <v>1553672570</v>
      </c>
      <c r="J25" s="29">
        <f>+GETPIVOTDATA("Sum of Tuition Tot-Old",'Amounts Pivot Table'!$A$3,"state","TX","category2","Four-Year")+GETPIVOTDATA("Sum of Tuition Tot-Old",'Amounts Pivot Table'!$A$3,"state","TX","category2","Two-Year")+GETPIVOTDATA("Sum of Tuition Tot-Old",'Amounts Pivot Table'!$A$3,"state","TX","category2","Technical")</f>
        <v>4214222835</v>
      </c>
      <c r="K25" s="29">
        <f>+GETPIVOTDATA("Sum of Tuition Debt-Old",'Amounts Pivot Table'!$A$3,"state","TX","category2","Four-Year")+GETPIVOTDATA("Sum of Tuition Debt-Old",'Amounts Pivot Table'!$A$3,"state","TX","category2","Two-Year")+GETPIVOTDATA("Sum of Tuition Debt-Old",'Amounts Pivot Table'!$A$3,"state","TX","category2","Technical")</f>
        <v>0</v>
      </c>
      <c r="L25" s="29">
        <f>+GETPIVOTDATA("Sum of Tuition SP Tot-Old",'Amounts Pivot Table'!$A$3,"state","TX","category2","Specialized")</f>
        <v>0</v>
      </c>
      <c r="M25" s="29">
        <f>+GETPIVOTDATA("Sum of Tuition SP Debt-Old",'Amounts Pivot Table'!$A$3,"state","TX","category2","Specialized")</f>
        <v>0</v>
      </c>
      <c r="N25" s="29">
        <f>+GETPIVOTDATA("Sum of Health Tuition-Old",'Amounts Pivot Table'!$A$3,"state","TX")</f>
        <v>228385594</v>
      </c>
      <c r="O25" s="1470">
        <f t="shared" si="6"/>
        <v>4442608429</v>
      </c>
      <c r="P25" s="1470">
        <f t="shared" si="7"/>
        <v>12628994165</v>
      </c>
      <c r="Q25" s="32"/>
      <c r="R25" s="67" t="s">
        <v>326</v>
      </c>
      <c r="S25" s="150">
        <f t="shared" si="0"/>
        <v>0.32264767825237173</v>
      </c>
      <c r="T25" s="150">
        <f t="shared" si="0"/>
        <v>1.8118854519242705E-2</v>
      </c>
      <c r="U25" s="150">
        <f t="shared" si="0"/>
        <v>0</v>
      </c>
      <c r="V25" s="150">
        <f t="shared" si="0"/>
        <v>0</v>
      </c>
      <c r="W25" s="150">
        <f t="shared" si="0"/>
        <v>0.13058686483287324</v>
      </c>
      <c r="X25" s="150">
        <f t="shared" si="0"/>
        <v>5.3843865086622283E-2</v>
      </c>
      <c r="Y25" s="326">
        <f t="shared" si="2"/>
        <v>0.52519726269111</v>
      </c>
      <c r="Z25" s="150">
        <f t="shared" si="8"/>
        <v>0.12302425273945006</v>
      </c>
      <c r="AA25" s="150">
        <f t="shared" si="8"/>
        <v>0.33369425782769774</v>
      </c>
      <c r="AB25" s="150">
        <f t="shared" si="8"/>
        <v>0</v>
      </c>
      <c r="AC25" s="150">
        <f t="shared" si="8"/>
        <v>0</v>
      </c>
      <c r="AD25" s="150">
        <f t="shared" si="8"/>
        <v>0</v>
      </c>
      <c r="AE25" s="150">
        <f t="shared" si="8"/>
        <v>1.8084226741742263E-2</v>
      </c>
      <c r="AF25" s="329">
        <f t="shared" si="3"/>
        <v>0.35177848456944</v>
      </c>
      <c r="AG25" s="321">
        <f t="shared" si="4"/>
        <v>1</v>
      </c>
      <c r="AH25" s="6"/>
      <c r="AI25" s="6"/>
      <c r="AJ25" s="6"/>
    </row>
    <row r="26" spans="1:36" ht="12" customHeight="1">
      <c r="A26" s="7" t="s">
        <v>327</v>
      </c>
      <c r="B26" s="29">
        <f>+GETPIVOTDATA("Sum of State Gen Purp-Old",'Amounts Pivot Table'!$A$3,"state","VA","category2","Four-Year")+GETPIVOTDATA("Sum of State Gen Purp-Old",'Amounts Pivot Table'!$A$3,"state","VA","category2","Two-Year")+GETPIVOTDATA("Sum of State Gen Purp-Old",'Amounts Pivot Table'!$A$3,"state","VA","category2","Technical")</f>
        <v>1204025246</v>
      </c>
      <c r="C26" s="29">
        <f>+GETPIVOTDATA("Sum of State Ed Spec Purp-Old",'Amounts Pivot Table'!$A$3,"state","VA","category2","Four-Year")+GETPIVOTDATA("Sum of State Ed Spec Purp-Old",'Amounts Pivot Table'!$A$3,"state","VA","category2","Two-Year")+GETPIVOTDATA("Sum of State Ed Spec Purp-Old",'Amounts Pivot Table'!$A$3,"state","VA","category2","Technical")</f>
        <v>111875100</v>
      </c>
      <c r="D26" s="29">
        <f>+GETPIVOTDATA("Sum of State Ed Spec Purp-Old",'Amounts Pivot Table'!$A$3,"state","VA","category2","Other")</f>
        <v>89540826</v>
      </c>
      <c r="E26" s="29">
        <f>+GETPIVOTDATA("Sum of Other Spec Purp State-Old",'Amounts Pivot Table'!$A$3,"state","VA","category2","Specialized")</f>
        <v>11901908</v>
      </c>
      <c r="F26" s="29">
        <f>+GETPIVOTDATA("Sum of Health State-Old",'Amounts Pivot Table'!$A$3,"state","VA")</f>
        <v>90492295</v>
      </c>
      <c r="G26" s="29">
        <f>+GETPIVOTDATA("Sum of Other Spec Purp State-Old",'Amounts Pivot Table'!$A$3,"state","VA")</f>
        <v>282061161</v>
      </c>
      <c r="H26" s="1470">
        <f t="shared" si="5"/>
        <v>1789896536</v>
      </c>
      <c r="I26" s="29">
        <f>+GETPIVOTDATA("Sum of Local-Old",'Amounts Pivot Table'!$A$3,"state","VA")</f>
        <v>10921170</v>
      </c>
      <c r="J26" s="29">
        <f>+GETPIVOTDATA("Sum of Tuition Tot-Old",'Amounts Pivot Table'!$A$3,"state","VA","category2","Four-Year")+GETPIVOTDATA("Sum of Tuition Tot-Old",'Amounts Pivot Table'!$A$3,"state","VA","category2","Two-Year")+GETPIVOTDATA("Sum of Tuition Tot-Old",'Amounts Pivot Table'!$A$3,"state","VA","category2","Technical")</f>
        <v>2663378386</v>
      </c>
      <c r="K26" s="29">
        <f>+GETPIVOTDATA("Sum of Tuition Debt-Old",'Amounts Pivot Table'!$A$3,"state","VA","category2","Four-Year")+GETPIVOTDATA("Sum of Tuition Debt-Old",'Amounts Pivot Table'!$A$3,"state","VA","category2","Two-Year")+GETPIVOTDATA("Sum of Tuition Debt-Old",'Amounts Pivot Table'!$A$3,"state","VA","category2","Technical")</f>
        <v>24561405</v>
      </c>
      <c r="L26" s="29">
        <f>+GETPIVOTDATA("Sum of Tuition SP Tot-Old",'Amounts Pivot Table'!$A$3,"state","VA","category2","Specialized")</f>
        <v>27287237</v>
      </c>
      <c r="M26" s="29">
        <f>+GETPIVOTDATA("Sum of Tuition SP Debt-Old",'Amounts Pivot Table'!$A$3,"state","VA","category2","Specialized")</f>
        <v>296208</v>
      </c>
      <c r="N26" s="29">
        <f>+GETPIVOTDATA("Sum of Health Tuition-Old",'Amounts Pivot Table'!$A$3,"state","VA")</f>
        <v>104080976</v>
      </c>
      <c r="O26" s="1470">
        <f t="shared" si="6"/>
        <v>2769888986</v>
      </c>
      <c r="P26" s="1470">
        <f t="shared" si="7"/>
        <v>4570706692</v>
      </c>
      <c r="Q26" s="32"/>
      <c r="R26" s="67" t="s">
        <v>327</v>
      </c>
      <c r="S26" s="150">
        <f t="shared" si="0"/>
        <v>0.26342211984579472</v>
      </c>
      <c r="T26" s="150">
        <f t="shared" si="0"/>
        <v>2.4476543243479688E-2</v>
      </c>
      <c r="U26" s="150">
        <f t="shared" si="0"/>
        <v>1.9590149189997512E-2</v>
      </c>
      <c r="V26" s="150">
        <f t="shared" si="0"/>
        <v>2.6039535682374081E-3</v>
      </c>
      <c r="W26" s="150">
        <f t="shared" si="0"/>
        <v>1.9798315905587758E-2</v>
      </c>
      <c r="X26" s="150">
        <f t="shared" si="0"/>
        <v>6.171062376277283E-2</v>
      </c>
      <c r="Y26" s="326">
        <f t="shared" si="2"/>
        <v>0.39160170551586992</v>
      </c>
      <c r="Z26" s="150">
        <f t="shared" si="8"/>
        <v>2.3893832476967001E-3</v>
      </c>
      <c r="AA26" s="150">
        <f t="shared" si="8"/>
        <v>0.58270603770345808</v>
      </c>
      <c r="AB26" s="150">
        <f t="shared" si="8"/>
        <v>5.3736559037991316E-3</v>
      </c>
      <c r="AC26" s="150">
        <f t="shared" si="8"/>
        <v>5.9700258272446594E-3</v>
      </c>
      <c r="AD26" s="150" t="str">
        <f t="shared" si="8"/>
        <v>*</v>
      </c>
      <c r="AE26" s="150">
        <f t="shared" si="8"/>
        <v>2.2771309343076088E-2</v>
      </c>
      <c r="AF26" s="329">
        <f t="shared" si="3"/>
        <v>0.60600891123643352</v>
      </c>
      <c r="AG26" s="321">
        <f t="shared" si="4"/>
        <v>1.0000000000000002</v>
      </c>
      <c r="AH26" s="6"/>
      <c r="AI26" s="6"/>
      <c r="AJ26" s="6"/>
    </row>
    <row r="27" spans="1:36" ht="12" customHeight="1">
      <c r="A27" s="8" t="s">
        <v>332</v>
      </c>
      <c r="B27" s="29">
        <f>+GETPIVOTDATA("Sum of State Gen Purp-Old",'Amounts Pivot Table'!$A$3,"state","WV","category2","Four-Year")+GETPIVOTDATA("Sum of State Gen Purp-Old",'Amounts Pivot Table'!$A$3,"state","WV","category2","Two-Year")+GETPIVOTDATA("Sum of State Gen Purp-Old",'Amounts Pivot Table'!$A$3,"state","WV","category2","Technical")</f>
        <v>259832981</v>
      </c>
      <c r="C27" s="29">
        <f>+GETPIVOTDATA("Sum of State Ed Spec Purp-Old",'Amounts Pivot Table'!$A$3,"state","WV","category2","Four-Year")+GETPIVOTDATA("Sum of State Ed Spec Purp-Old",'Amounts Pivot Table'!$A$3,"state","WV","category2","Two-Year")+GETPIVOTDATA("Sum of State Ed Spec Purp-Old",'Amounts Pivot Table'!$A$3,"state","WV","category2","Technical")</f>
        <v>45875956</v>
      </c>
      <c r="D27" s="29">
        <f>+GETPIVOTDATA("Sum of State Ed Spec Purp-Old",'Amounts Pivot Table'!$A$3,"state","WV","category2","Other")</f>
        <v>305478</v>
      </c>
      <c r="E27" s="29">
        <f>+GETPIVOTDATA("Sum of Other Spec Purp State-Old",'Amounts Pivot Table'!$A$3,"state","WV","category2","Specialized")</f>
        <v>0</v>
      </c>
      <c r="F27" s="29">
        <f>+GETPIVOTDATA("Sum of Health State-Old",'Amounts Pivot Table'!$A$3,"state","WV")</f>
        <v>98992285</v>
      </c>
      <c r="G27" s="29">
        <f>+GETPIVOTDATA("Sum of Other Spec Purp State-Old",'Amounts Pivot Table'!$A$3,"state","WV")</f>
        <v>110976718</v>
      </c>
      <c r="H27" s="1470">
        <f t="shared" si="5"/>
        <v>515983418</v>
      </c>
      <c r="I27" s="29">
        <f>+GETPIVOTDATA("Sum of Local-Old",'Amounts Pivot Table'!$A$3,"state","WV")</f>
        <v>0</v>
      </c>
      <c r="J27" s="29">
        <f>+GETPIVOTDATA("Sum of Tuition Tot-Old",'Amounts Pivot Table'!$A$3,"state","WV","category2","Four-Year")+GETPIVOTDATA("Sum of Tuition Tot-Old",'Amounts Pivot Table'!$A$3,"state","WV","category2","Two-Year")+GETPIVOTDATA("Sum of Tuition Tot-Old",'Amounts Pivot Table'!$A$3,"state","WV","category2","Technical")</f>
        <v>595214477</v>
      </c>
      <c r="K27" s="29">
        <f>+GETPIVOTDATA("Sum of Tuition Debt-Old",'Amounts Pivot Table'!$A$3,"state","WV","category2","Four-Year")+GETPIVOTDATA("Sum of Tuition Debt-Old",'Amounts Pivot Table'!$A$3,"state","WV","category2","Two-Year")+GETPIVOTDATA("Sum of Tuition Debt-Old",'Amounts Pivot Table'!$A$3,"state","WV","category2","Technical")</f>
        <v>16318691</v>
      </c>
      <c r="L27" s="29">
        <f>+GETPIVOTDATA("Sum of Tuition SP Tot-Old",'Amounts Pivot Table'!$A$3,"state","WV","category2","Specialized")</f>
        <v>0</v>
      </c>
      <c r="M27" s="29">
        <f>+GETPIVOTDATA("Sum of Tuition SP Debt-Old",'Amounts Pivot Table'!$A$3,"state","WV","category2","Specialized")</f>
        <v>0</v>
      </c>
      <c r="N27" s="29">
        <f>+GETPIVOTDATA("Sum of Health Tuition-Old",'Amounts Pivot Table'!$A$3,"state","WV")</f>
        <v>89167560</v>
      </c>
      <c r="O27" s="1470">
        <f t="shared" si="6"/>
        <v>668063346</v>
      </c>
      <c r="P27" s="1470">
        <f t="shared" si="7"/>
        <v>1184046764</v>
      </c>
      <c r="Q27" s="34"/>
      <c r="R27" s="68" t="s">
        <v>332</v>
      </c>
      <c r="S27" s="325">
        <f t="shared" si="0"/>
        <v>0.21944486391924298</v>
      </c>
      <c r="T27" s="325">
        <f t="shared" si="0"/>
        <v>3.8745054160715567E-2</v>
      </c>
      <c r="U27" s="325" t="str">
        <f t="shared" si="0"/>
        <v>*</v>
      </c>
      <c r="V27" s="325">
        <f t="shared" si="0"/>
        <v>0</v>
      </c>
      <c r="W27" s="325">
        <f t="shared" si="0"/>
        <v>8.360504670067237E-2</v>
      </c>
      <c r="X27" s="325">
        <f t="shared" si="0"/>
        <v>9.3726634263239281E-2</v>
      </c>
      <c r="Y27" s="330">
        <f t="shared" si="2"/>
        <v>0.43552159904387022</v>
      </c>
      <c r="Z27" s="332">
        <f t="shared" si="8"/>
        <v>0</v>
      </c>
      <c r="AA27" s="332">
        <f t="shared" si="8"/>
        <v>0.50269507514147471</v>
      </c>
      <c r="AB27" s="332">
        <f t="shared" si="8"/>
        <v>1.3782133861733183E-2</v>
      </c>
      <c r="AC27" s="332">
        <f t="shared" si="8"/>
        <v>0</v>
      </c>
      <c r="AD27" s="332">
        <f t="shared" si="8"/>
        <v>0</v>
      </c>
      <c r="AE27" s="332">
        <f t="shared" si="8"/>
        <v>7.5307464798746754E-2</v>
      </c>
      <c r="AF27" s="331">
        <f t="shared" si="3"/>
        <v>0.56422040607848833</v>
      </c>
      <c r="AG27" s="327">
        <f t="shared" si="4"/>
        <v>0.99974200512235856</v>
      </c>
      <c r="AH27" s="6"/>
      <c r="AI27" s="6"/>
      <c r="AJ27" s="6"/>
    </row>
    <row r="28" spans="1:36" s="73" customFormat="1" ht="24" customHeight="1">
      <c r="A28" s="1509" t="s">
        <v>96</v>
      </c>
      <c r="B28" s="1510"/>
      <c r="C28" s="1510"/>
      <c r="D28" s="1510"/>
      <c r="E28" s="1510"/>
      <c r="F28" s="1510"/>
      <c r="G28" s="1510"/>
      <c r="H28" s="1510"/>
      <c r="I28" s="1510"/>
      <c r="J28" s="1510"/>
      <c r="K28" s="1510"/>
      <c r="L28" s="1510"/>
      <c r="M28" s="1510"/>
      <c r="N28" s="1510"/>
      <c r="O28" s="1510"/>
      <c r="P28" s="1510"/>
      <c r="Q28" s="161"/>
      <c r="R28" s="1505" t="s">
        <v>93</v>
      </c>
      <c r="S28" s="1506"/>
      <c r="T28" s="1506"/>
      <c r="U28" s="1506"/>
      <c r="V28" s="1506"/>
      <c r="W28" s="1506"/>
      <c r="X28" s="1506"/>
      <c r="Y28" s="1506"/>
      <c r="Z28" s="1506"/>
      <c r="AA28" s="1506"/>
      <c r="AB28" s="1506"/>
      <c r="AC28" s="1506"/>
      <c r="AD28" s="1506"/>
      <c r="AE28" s="1506"/>
      <c r="AF28" s="1506"/>
      <c r="AG28" s="1506"/>
      <c r="AH28" s="494"/>
      <c r="AI28" s="494"/>
      <c r="AJ28" s="494"/>
    </row>
    <row r="29" spans="1:36" s="73" customFormat="1" ht="12.75" customHeight="1">
      <c r="A29" s="1505" t="s">
        <v>312</v>
      </c>
      <c r="B29" s="1506"/>
      <c r="C29" s="1506"/>
      <c r="D29" s="1506"/>
      <c r="E29" s="1506"/>
      <c r="F29" s="1506"/>
      <c r="G29" s="1506"/>
      <c r="H29" s="1506"/>
      <c r="I29" s="1506"/>
      <c r="J29" s="1506"/>
      <c r="K29" s="1506"/>
      <c r="L29" s="1506"/>
      <c r="M29" s="1506"/>
      <c r="N29" s="1506"/>
      <c r="O29" s="1506"/>
      <c r="P29" s="1506"/>
      <c r="Q29" s="161"/>
      <c r="R29" s="1505" t="s">
        <v>312</v>
      </c>
      <c r="S29" s="1506"/>
      <c r="T29" s="1506"/>
      <c r="U29" s="1506"/>
      <c r="V29" s="1506"/>
      <c r="W29" s="1506"/>
      <c r="X29" s="1506"/>
      <c r="Y29" s="1506"/>
      <c r="Z29" s="1506"/>
      <c r="AA29" s="1506"/>
      <c r="AB29" s="1506"/>
      <c r="AC29" s="1506"/>
      <c r="AD29" s="1506"/>
      <c r="AE29" s="1506"/>
      <c r="AF29" s="1506"/>
      <c r="AG29" s="1506"/>
      <c r="AH29" s="494"/>
      <c r="AI29" s="494"/>
      <c r="AJ29" s="494"/>
    </row>
    <row r="30" spans="1:36" s="73" customFormat="1" ht="13.5" customHeight="1">
      <c r="A30" s="1505" t="s">
        <v>231</v>
      </c>
      <c r="B30" s="1506"/>
      <c r="C30" s="1506"/>
      <c r="D30" s="1506"/>
      <c r="E30" s="1506"/>
      <c r="F30" s="1506"/>
      <c r="G30" s="1506"/>
      <c r="H30" s="1506"/>
      <c r="I30" s="1506"/>
      <c r="J30" s="1506"/>
      <c r="K30" s="1506"/>
      <c r="L30" s="1506"/>
      <c r="M30" s="1506"/>
      <c r="N30" s="1506"/>
      <c r="O30" s="1506"/>
      <c r="P30" s="1506"/>
      <c r="Q30" s="161"/>
      <c r="R30" s="1505" t="s">
        <v>26</v>
      </c>
      <c r="S30" s="1506"/>
      <c r="T30" s="1506"/>
      <c r="U30" s="1506"/>
      <c r="V30" s="1506"/>
      <c r="W30" s="1506"/>
      <c r="X30" s="1506"/>
      <c r="Y30" s="1506"/>
      <c r="Z30" s="1506"/>
      <c r="AA30" s="1506"/>
      <c r="AB30" s="1506"/>
      <c r="AC30" s="1506"/>
      <c r="AD30" s="1506"/>
      <c r="AE30" s="1506"/>
      <c r="AF30" s="1506"/>
      <c r="AG30" s="1506"/>
      <c r="AH30" s="498"/>
      <c r="AI30" s="498"/>
      <c r="AJ30" s="498"/>
    </row>
    <row r="31" spans="1:36" s="73" customFormat="1">
      <c r="A31" s="1505" t="s">
        <v>246</v>
      </c>
      <c r="B31" s="1506"/>
      <c r="C31" s="1506"/>
      <c r="D31" s="1506"/>
      <c r="E31" s="1506"/>
      <c r="F31" s="1506"/>
      <c r="G31" s="1506"/>
      <c r="H31" s="1506"/>
      <c r="I31" s="1506"/>
      <c r="J31" s="1506"/>
      <c r="K31" s="1506"/>
      <c r="L31" s="1506"/>
      <c r="M31" s="1506"/>
      <c r="N31" s="1506"/>
      <c r="O31" s="1506"/>
      <c r="P31" s="1506"/>
      <c r="Q31" s="161"/>
      <c r="R31" s="1505" t="s">
        <v>246</v>
      </c>
      <c r="S31" s="1506"/>
      <c r="T31" s="1506"/>
      <c r="U31" s="1506"/>
      <c r="V31" s="1506"/>
      <c r="W31" s="1506"/>
      <c r="X31" s="1506"/>
      <c r="Y31" s="1506"/>
      <c r="Z31" s="1506"/>
      <c r="AA31" s="1506"/>
      <c r="AB31" s="1506"/>
      <c r="AC31" s="1506"/>
      <c r="AD31" s="1506"/>
      <c r="AE31" s="1506"/>
      <c r="AF31" s="1506"/>
      <c r="AG31" s="1506"/>
      <c r="AH31" s="494"/>
      <c r="AI31" s="494"/>
      <c r="AJ31" s="494"/>
    </row>
    <row r="32" spans="1:36" s="73" customFormat="1">
      <c r="A32" s="1505" t="s">
        <v>189</v>
      </c>
      <c r="B32" s="1506"/>
      <c r="C32" s="1506"/>
      <c r="D32" s="1506"/>
      <c r="E32" s="1506"/>
      <c r="F32" s="1506"/>
      <c r="G32" s="1506"/>
      <c r="H32" s="1506"/>
      <c r="I32" s="1506"/>
      <c r="J32" s="1506"/>
      <c r="K32" s="1506"/>
      <c r="L32" s="1506"/>
      <c r="M32" s="1506"/>
      <c r="N32" s="1506"/>
      <c r="O32" s="1506"/>
      <c r="P32" s="1506"/>
      <c r="Q32" s="161"/>
      <c r="R32" s="1505" t="s">
        <v>189</v>
      </c>
      <c r="S32" s="1506"/>
      <c r="T32" s="1506"/>
      <c r="U32" s="1506"/>
      <c r="V32" s="1506"/>
      <c r="W32" s="1506"/>
      <c r="X32" s="1506"/>
      <c r="Y32" s="1506"/>
      <c r="Z32" s="1506"/>
      <c r="AA32" s="1506"/>
      <c r="AB32" s="1506"/>
      <c r="AC32" s="1506"/>
      <c r="AD32" s="1506"/>
      <c r="AE32" s="1506"/>
      <c r="AF32" s="1506"/>
      <c r="AG32" s="1506"/>
      <c r="AH32" s="494"/>
      <c r="AI32" s="494"/>
      <c r="AJ32" s="494"/>
    </row>
    <row r="33" spans="1:36" s="73" customFormat="1">
      <c r="A33" s="493"/>
      <c r="B33" s="494"/>
      <c r="C33" s="494"/>
      <c r="D33" s="494"/>
      <c r="E33" s="494"/>
      <c r="F33" s="494"/>
      <c r="G33" s="494"/>
      <c r="H33" s="494"/>
      <c r="I33" s="494"/>
      <c r="J33" s="494"/>
      <c r="K33" s="494"/>
      <c r="L33" s="494"/>
      <c r="M33" s="494"/>
      <c r="N33" s="494"/>
      <c r="O33" s="494"/>
      <c r="P33" s="494"/>
      <c r="Q33" s="161"/>
      <c r="R33" s="72" t="s">
        <v>0</v>
      </c>
      <c r="S33" s="494"/>
      <c r="T33" s="494"/>
      <c r="U33" s="494"/>
      <c r="V33" s="494"/>
      <c r="W33" s="494"/>
      <c r="X33" s="494"/>
      <c r="Y33" s="494"/>
      <c r="Z33" s="494"/>
      <c r="AA33" s="494"/>
      <c r="AB33" s="494"/>
      <c r="AC33" s="494"/>
      <c r="AD33" s="494"/>
      <c r="AE33" s="494"/>
      <c r="AF33" s="494"/>
      <c r="AG33" s="494"/>
      <c r="AH33" s="494"/>
      <c r="AI33" s="494"/>
      <c r="AJ33" s="494"/>
    </row>
    <row r="34" spans="1:36">
      <c r="AG34" s="534" t="s">
        <v>1927</v>
      </c>
    </row>
  </sheetData>
  <mergeCells count="28">
    <mergeCell ref="A30:P30"/>
    <mergeCell ref="R30:AG30"/>
    <mergeCell ref="A31:P31"/>
    <mergeCell ref="R31:AG31"/>
    <mergeCell ref="A32:P32"/>
    <mergeCell ref="R32:AG32"/>
    <mergeCell ref="A28:P28"/>
    <mergeCell ref="R28:AG28"/>
    <mergeCell ref="A29:P29"/>
    <mergeCell ref="R29:AG29"/>
    <mergeCell ref="X5:X6"/>
    <mergeCell ref="Y5:Y6"/>
    <mergeCell ref="Z5:Z6"/>
    <mergeCell ref="AA5:AB5"/>
    <mergeCell ref="AC5:AD5"/>
    <mergeCell ref="AE5:AE6"/>
    <mergeCell ref="R1:AG1"/>
    <mergeCell ref="R2:AG2"/>
    <mergeCell ref="R3:AG3"/>
    <mergeCell ref="B5:B6"/>
    <mergeCell ref="C5:C6"/>
    <mergeCell ref="S5:S6"/>
    <mergeCell ref="T5:T6"/>
    <mergeCell ref="U5:U6"/>
    <mergeCell ref="V5:V6"/>
    <mergeCell ref="W5:W6"/>
    <mergeCell ref="AF5:AF6"/>
    <mergeCell ref="AG5:AG6"/>
  </mergeCells>
  <printOptions horizontalCentered="1"/>
  <pageMargins left="0.25" right="0.25" top="0.7" bottom="0.25" header="0.75" footer="0.25"/>
  <pageSetup scale="86" firstPageNumber="116" orientation="landscape" useFirstPageNumber="1" r:id="rId1"/>
  <headerFooter alignWithMargins="0">
    <oddHeader>&amp;R&amp;"Arial,Regular"&amp;8SREB-State Data Exchange</oddHeader>
    <oddFooter xml:space="preserve">&amp;C&amp;"Arial,Regular"C-&amp;P&amp;R&amp;"Arial,Regular"&amp;8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6"/>
  </sheetPr>
  <dimension ref="A1:AD549"/>
  <sheetViews>
    <sheetView showZeros="0" view="pageBreakPreview" zoomScaleNormal="100" zoomScaleSheetLayoutView="100" workbookViewId="0"/>
  </sheetViews>
  <sheetFormatPr defaultColWidth="8.875" defaultRowHeight="12.75"/>
  <cols>
    <col min="1" max="1" width="12.125" style="73" customWidth="1"/>
    <col min="2" max="2" width="8.5" style="73" customWidth="1"/>
    <col min="3" max="3" width="11.375" style="73" customWidth="1"/>
    <col min="4" max="4" width="9.125" style="73" customWidth="1"/>
    <col min="5" max="5" width="10" style="73" customWidth="1"/>
    <col min="6" max="6" width="9.25" style="73" customWidth="1"/>
    <col min="7" max="7" width="10.25" style="73" customWidth="1"/>
    <col min="8" max="8" width="10.375" style="73" customWidth="1"/>
    <col min="9" max="9" width="10.875" style="73" customWidth="1"/>
    <col min="10" max="10" width="9.25" style="73" customWidth="1"/>
    <col min="11" max="11" width="8.625" style="73" customWidth="1"/>
    <col min="12" max="12" width="2.5" style="73" customWidth="1"/>
    <col min="13" max="13" width="11.125" style="304" customWidth="1"/>
    <col min="14" max="16" width="10.875" style="73" customWidth="1"/>
    <col min="17" max="17" width="10.75" style="73" customWidth="1"/>
    <col min="18" max="18" width="13.75" style="73" customWidth="1"/>
    <col min="19" max="20" width="13.625" style="73" customWidth="1"/>
    <col min="21" max="21" width="9.25" style="73" customWidth="1"/>
    <col min="22" max="22" width="8.25" style="73" customWidth="1"/>
    <col min="23" max="23" width="8.875" style="73" customWidth="1"/>
    <col min="24" max="24" width="9" style="73" customWidth="1"/>
    <col min="25" max="26" width="13.375" style="73" bestFit="1" customWidth="1"/>
    <col min="27" max="29" width="14.125" style="73" customWidth="1"/>
    <col min="30" max="30" width="13.75" style="73" customWidth="1"/>
    <col min="31" max="16384" width="8.875" style="73"/>
  </cols>
  <sheetData>
    <row r="1" spans="1:29" s="94" customFormat="1" ht="18">
      <c r="A1" s="135" t="s">
        <v>358</v>
      </c>
      <c r="B1" s="92"/>
      <c r="C1" s="92"/>
      <c r="D1" s="92"/>
      <c r="E1" s="92"/>
      <c r="F1" s="92"/>
      <c r="G1" s="92"/>
      <c r="H1" s="92"/>
      <c r="I1" s="92"/>
      <c r="J1" s="92" t="s">
        <v>91</v>
      </c>
      <c r="K1" s="92"/>
      <c r="L1" s="163"/>
      <c r="M1" s="296"/>
      <c r="N1" s="93"/>
      <c r="O1" s="93"/>
      <c r="P1" s="93"/>
      <c r="Q1" s="93"/>
    </row>
    <row r="2" spans="1:29" s="94" customFormat="1" ht="10.5" customHeight="1">
      <c r="A2" s="135"/>
      <c r="B2" s="92"/>
      <c r="C2" s="92"/>
      <c r="D2" s="92"/>
      <c r="E2" s="92"/>
      <c r="F2" s="92"/>
      <c r="G2" s="92"/>
      <c r="H2" s="92"/>
      <c r="I2" s="92"/>
      <c r="J2" s="92"/>
      <c r="K2" s="92"/>
      <c r="L2" s="163"/>
      <c r="M2" s="296"/>
      <c r="N2" s="93"/>
      <c r="O2" s="93"/>
      <c r="P2" s="93"/>
      <c r="Q2" s="93"/>
    </row>
    <row r="3" spans="1:29" s="94" customFormat="1" ht="18.75">
      <c r="A3" s="1504" t="s">
        <v>18</v>
      </c>
      <c r="B3" s="1504"/>
      <c r="C3" s="1504"/>
      <c r="D3" s="1504"/>
      <c r="E3" s="1504"/>
      <c r="F3" s="1504"/>
      <c r="G3" s="1504"/>
      <c r="H3" s="1504"/>
      <c r="I3" s="1504"/>
      <c r="J3" s="92"/>
      <c r="K3" s="92"/>
      <c r="L3" s="163"/>
      <c r="M3" s="296"/>
      <c r="N3" s="93"/>
      <c r="O3" s="93"/>
      <c r="P3" s="93"/>
      <c r="Q3" s="93"/>
    </row>
    <row r="4" spans="1:29" s="94" customFormat="1" ht="15.75">
      <c r="A4" s="91" t="s">
        <v>1929</v>
      </c>
      <c r="B4" s="91"/>
      <c r="C4" s="91"/>
      <c r="D4" s="91"/>
      <c r="E4" s="91"/>
      <c r="F4" s="91"/>
      <c r="G4" s="91"/>
      <c r="H4" s="91"/>
      <c r="I4" s="91"/>
      <c r="J4" s="92" t="s">
        <v>91</v>
      </c>
      <c r="K4" s="91"/>
      <c r="L4" s="164"/>
      <c r="M4" s="297"/>
      <c r="N4" s="93"/>
      <c r="O4" s="491" t="s">
        <v>388</v>
      </c>
      <c r="P4" s="93"/>
      <c r="Q4" s="93"/>
      <c r="Y4" s="483" t="s">
        <v>382</v>
      </c>
    </row>
    <row r="5" spans="1:29" s="100" customFormat="1" ht="7.5" customHeight="1">
      <c r="A5" s="96"/>
      <c r="B5" s="96"/>
      <c r="C5" s="96"/>
      <c r="D5" s="96"/>
      <c r="E5" s="96"/>
      <c r="F5" s="96"/>
      <c r="G5" s="97"/>
      <c r="H5" s="96"/>
      <c r="I5" s="96"/>
      <c r="J5" s="98"/>
      <c r="K5" s="96"/>
      <c r="L5" s="165"/>
      <c r="M5" s="297"/>
      <c r="N5" s="99"/>
      <c r="O5" s="491"/>
      <c r="P5" s="99"/>
    </row>
    <row r="6" spans="1:29" s="61" customFormat="1" ht="15.75">
      <c r="A6" s="60"/>
      <c r="B6" s="1537" t="s">
        <v>55</v>
      </c>
      <c r="C6" s="1537"/>
      <c r="D6" s="1537"/>
      <c r="E6" s="1538"/>
      <c r="F6" s="1539" t="s">
        <v>119</v>
      </c>
      <c r="G6" s="1540"/>
      <c r="H6" s="1540"/>
      <c r="I6" s="1540"/>
      <c r="J6" s="73" t="s">
        <v>91</v>
      </c>
      <c r="K6" s="73"/>
      <c r="L6" s="166"/>
      <c r="M6" s="296"/>
      <c r="N6" s="73"/>
      <c r="O6" s="473" t="s">
        <v>384</v>
      </c>
      <c r="P6" s="473"/>
      <c r="Q6" s="474"/>
      <c r="R6" s="473" t="s">
        <v>385</v>
      </c>
      <c r="S6" s="473"/>
      <c r="T6" s="474"/>
      <c r="U6" s="473" t="s">
        <v>418</v>
      </c>
      <c r="V6" s="473"/>
      <c r="W6" s="473"/>
      <c r="X6" s="406"/>
      <c r="Y6" s="74"/>
    </row>
    <row r="7" spans="1:29" s="6" customFormat="1" ht="50.25" customHeight="1">
      <c r="A7" s="50"/>
      <c r="B7" s="549" t="s">
        <v>87</v>
      </c>
      <c r="C7" s="550" t="s">
        <v>89</v>
      </c>
      <c r="D7" s="550" t="s">
        <v>397</v>
      </c>
      <c r="E7" s="550" t="s">
        <v>97</v>
      </c>
      <c r="F7" s="551" t="s">
        <v>87</v>
      </c>
      <c r="G7" s="550" t="s">
        <v>89</v>
      </c>
      <c r="H7" s="550" t="s">
        <v>397</v>
      </c>
      <c r="I7" s="550" t="s">
        <v>97</v>
      </c>
      <c r="J7" s="16"/>
      <c r="K7" s="7"/>
      <c r="L7" s="167"/>
      <c r="M7" s="472" t="s">
        <v>380</v>
      </c>
      <c r="N7" s="707" t="s">
        <v>381</v>
      </c>
      <c r="O7" s="475" t="s">
        <v>11</v>
      </c>
      <c r="P7" s="476" t="s">
        <v>383</v>
      </c>
      <c r="Q7" s="476" t="s">
        <v>97</v>
      </c>
      <c r="R7" s="475" t="s">
        <v>11</v>
      </c>
      <c r="S7" s="476" t="s">
        <v>383</v>
      </c>
      <c r="T7" s="476" t="s">
        <v>97</v>
      </c>
      <c r="U7" s="475" t="s">
        <v>11</v>
      </c>
      <c r="V7" s="476" t="s">
        <v>383</v>
      </c>
      <c r="W7" s="476" t="s">
        <v>97</v>
      </c>
      <c r="X7" s="476"/>
      <c r="Y7" s="8"/>
      <c r="Z7" s="51" t="s">
        <v>87</v>
      </c>
      <c r="AA7" s="52" t="s">
        <v>89</v>
      </c>
      <c r="AB7" s="52" t="s">
        <v>306</v>
      </c>
      <c r="AC7" s="52" t="s">
        <v>97</v>
      </c>
    </row>
    <row r="8" spans="1:29" s="61" customFormat="1" ht="16.5" customHeight="1">
      <c r="A8" s="406" t="s">
        <v>56</v>
      </c>
      <c r="B8" s="552">
        <f>IF($M8&gt;0,('Amounts Pivot Table'!I$631/$M8),0)</f>
        <v>5822.5103605782933</v>
      </c>
      <c r="C8" s="552">
        <f>IF($M8&gt;0,('Amounts Pivot Table'!I$634/$M8),0)</f>
        <v>600.16759007982489</v>
      </c>
      <c r="D8" s="552">
        <f>IF($M8&gt;0,('Amounts Pivot Table'!I$640/$M8),0)</f>
        <v>8926.2890230242683</v>
      </c>
      <c r="E8" s="552">
        <f>SUM(B8:D8)</f>
        <v>15348.966973682385</v>
      </c>
      <c r="F8" s="553"/>
      <c r="G8" s="554"/>
      <c r="H8" s="554"/>
      <c r="I8" s="554"/>
      <c r="J8" s="101"/>
      <c r="K8" s="73"/>
      <c r="L8" s="168"/>
      <c r="M8" s="804">
        <f>+'[1]NEW-Tables 80-86'!H70</f>
        <v>2396690.9641666664</v>
      </c>
      <c r="N8" s="805">
        <f>+'[1]NEW-Tables 80-86'!W70</f>
        <v>2394517.4750000001</v>
      </c>
      <c r="O8" s="477">
        <f>+B8+C8</f>
        <v>6422.6779506581179</v>
      </c>
      <c r="P8" s="478">
        <f>+D8</f>
        <v>8926.2890230242683</v>
      </c>
      <c r="Q8" s="479">
        <f>+E8</f>
        <v>15348.966973682385</v>
      </c>
      <c r="R8" s="480">
        <f>IF($N8&gt;0,(('Amounts Pivot Table'!I$630+'Amounts Pivot Table'!I$633)/$N8),0)</f>
        <v>6326.0828427475253</v>
      </c>
      <c r="S8" s="481">
        <f>IF($N8&gt;0,('Amounts Pivot Table'!I$639/$N8),0)</f>
        <v>8556.5981375748379</v>
      </c>
      <c r="T8" s="481">
        <f>+S8+R8</f>
        <v>14882.680980322362</v>
      </c>
      <c r="U8" s="485">
        <f>(O8-R8)/R8</f>
        <v>1.5269339702266634E-2</v>
      </c>
      <c r="V8" s="486">
        <f>(P8-S8)/S8</f>
        <v>4.320535795949048E-2</v>
      </c>
      <c r="W8" s="486">
        <f>(Q8-T8)/T8</f>
        <v>3.1330779311640064E-2</v>
      </c>
      <c r="X8" s="249"/>
      <c r="Y8" s="73" t="s">
        <v>56</v>
      </c>
      <c r="Z8" s="61">
        <f>B8*$M8</f>
        <v>13954757969.964794</v>
      </c>
      <c r="AA8" s="61">
        <f>C8*$M8</f>
        <v>1438416240.1300001</v>
      </c>
      <c r="AB8" s="61">
        <f>D8*$M8</f>
        <v>21393556245.022366</v>
      </c>
      <c r="AC8" s="61">
        <f>E8*$M8</f>
        <v>36786730455.117157</v>
      </c>
    </row>
    <row r="9" spans="1:29" s="61" customFormat="1" ht="9" customHeight="1">
      <c r="A9" s="406"/>
      <c r="B9" s="552"/>
      <c r="C9" s="552"/>
      <c r="D9" s="552"/>
      <c r="E9" s="552"/>
      <c r="F9" s="553"/>
      <c r="G9" s="554"/>
      <c r="H9" s="554"/>
      <c r="I9" s="554"/>
      <c r="J9" s="101"/>
      <c r="K9" s="73"/>
      <c r="L9" s="168"/>
      <c r="M9" s="804"/>
      <c r="N9" s="805"/>
      <c r="O9" s="477"/>
      <c r="P9" s="478"/>
      <c r="Q9" s="479"/>
      <c r="R9" s="477"/>
      <c r="S9" s="479"/>
      <c r="T9" s="481"/>
      <c r="U9" s="488"/>
      <c r="V9" s="487"/>
      <c r="W9" s="487"/>
      <c r="X9" s="249"/>
      <c r="Y9" s="73"/>
    </row>
    <row r="10" spans="1:29" s="61" customFormat="1">
      <c r="A10" s="406" t="s">
        <v>320</v>
      </c>
      <c r="B10" s="555">
        <f>IF($M10&gt;0,('Amounts Pivot Table'!I$7/$M10),0)</f>
        <v>4879.1496249512666</v>
      </c>
      <c r="C10" s="555">
        <f>IF($M10&gt;0,('Amounts Pivot Table'!I$10/$M10),0)</f>
        <v>628.61687598684239</v>
      </c>
      <c r="D10" s="555">
        <f>IF($M10&gt;0,('Amounts Pivot Table'!I$16/$M10),0)</f>
        <v>11667.540592342766</v>
      </c>
      <c r="E10" s="555">
        <f>SUM(B10:D10)</f>
        <v>17175.307093280877</v>
      </c>
      <c r="F10" s="556">
        <f t="shared" ref="F10:I13" si="0">IF(B10&gt;0,RANK(B10,B$10:B$28),)</f>
        <v>12</v>
      </c>
      <c r="G10" s="557">
        <f t="shared" si="0"/>
        <v>8</v>
      </c>
      <c r="H10" s="557">
        <f t="shared" si="0"/>
        <v>5</v>
      </c>
      <c r="I10" s="557">
        <f t="shared" si="0"/>
        <v>6</v>
      </c>
      <c r="J10" s="75"/>
      <c r="K10" s="73"/>
      <c r="L10" s="168"/>
      <c r="M10" s="804">
        <f>+'[1]NEW-Tables 80-86'!H72</f>
        <v>128503.29999999999</v>
      </c>
      <c r="N10" s="805">
        <f>+'[1]NEW-Tables 80-86'!W72</f>
        <v>128550.20833333333</v>
      </c>
      <c r="O10" s="477">
        <f t="shared" ref="O10:O28" si="1">+B10+C10</f>
        <v>5507.7665009381089</v>
      </c>
      <c r="P10" s="478">
        <f t="shared" ref="P10:P28" si="2">+D10</f>
        <v>11667.540592342766</v>
      </c>
      <c r="Q10" s="479">
        <f t="shared" ref="Q10:Q28" si="3">+E10</f>
        <v>17175.307093280877</v>
      </c>
      <c r="R10" s="482">
        <f>IF($N10&gt;0,(('Amounts Pivot Table'!I$6+'Amounts Pivot Table'!I$9)/$N10),0)</f>
        <v>5341.9207709050133</v>
      </c>
      <c r="S10" s="481">
        <f>IF($N10&gt;0,('Amounts Pivot Table'!I$15/$N10),0)</f>
        <v>12078.933431003776</v>
      </c>
      <c r="T10" s="481">
        <f t="shared" ref="T10:T28" si="4">+S10+R10</f>
        <v>17420.854201908791</v>
      </c>
      <c r="U10" s="484">
        <f t="shared" ref="U10:U28" si="5">(O10-R10)/R10</f>
        <v>3.1046085695688536E-2</v>
      </c>
      <c r="V10" s="486">
        <f t="shared" ref="V10:V28" si="6">(P10-S10)/S10</f>
        <v>-3.4058705680508276E-2</v>
      </c>
      <c r="W10" s="486">
        <f t="shared" ref="W10:W28" si="7">(Q10-T10)/T10</f>
        <v>-1.4095009681041333E-2</v>
      </c>
      <c r="X10" s="249"/>
      <c r="Y10" s="73" t="s">
        <v>320</v>
      </c>
      <c r="Z10" s="73">
        <f t="shared" ref="Z10:Z28" si="8">B10*$M10</f>
        <v>626986828</v>
      </c>
      <c r="AA10" s="73">
        <f t="shared" ref="AA10:AA28" si="9">C10*$M10</f>
        <v>80779343</v>
      </c>
      <c r="AB10" s="73">
        <f t="shared" ref="AB10:AB28" si="10">D10*$M10</f>
        <v>1499317469</v>
      </c>
      <c r="AC10" s="73">
        <f t="shared" ref="AC10:AC28" si="11">E10*$M10</f>
        <v>2207083640.0000005</v>
      </c>
    </row>
    <row r="11" spans="1:29" s="61" customFormat="1">
      <c r="A11" s="406" t="s">
        <v>334</v>
      </c>
      <c r="B11" s="555">
        <f>IF($M11&gt;0,('Amounts Pivot Table'!I$46/$M11),0)</f>
        <v>5482.196890308629</v>
      </c>
      <c r="C11" s="555">
        <f>IF($M11&gt;0,('Amounts Pivot Table'!I$49/$M11),0)</f>
        <v>1173.4646956352058</v>
      </c>
      <c r="D11" s="555">
        <f>IF($M11&gt;0,('Amounts Pivot Table'!I$55/$M11),0)</f>
        <v>7381.4648858303972</v>
      </c>
      <c r="E11" s="555">
        <f t="shared" ref="E11:E28" si="12">SUM(B11:D11)</f>
        <v>14037.126471774232</v>
      </c>
      <c r="F11" s="556">
        <f t="shared" si="0"/>
        <v>10</v>
      </c>
      <c r="G11" s="557">
        <f t="shared" si="0"/>
        <v>2</v>
      </c>
      <c r="H11" s="557">
        <f t="shared" si="0"/>
        <v>14</v>
      </c>
      <c r="I11" s="557">
        <f t="shared" si="0"/>
        <v>11</v>
      </c>
      <c r="J11" s="75"/>
      <c r="K11" s="73"/>
      <c r="L11" s="168"/>
      <c r="M11" s="804">
        <f>+'[1]NEW-Tables 80-86'!H73</f>
        <v>80969.45</v>
      </c>
      <c r="N11" s="805">
        <f>+'[1]NEW-Tables 80-86'!W73</f>
        <v>80978.508333333331</v>
      </c>
      <c r="O11" s="477">
        <f t="shared" si="1"/>
        <v>6655.6615859438352</v>
      </c>
      <c r="P11" s="478">
        <f t="shared" si="2"/>
        <v>7381.4648858303972</v>
      </c>
      <c r="Q11" s="479">
        <f t="shared" si="3"/>
        <v>14037.126471774232</v>
      </c>
      <c r="R11" s="482">
        <f>IF($N11&gt;0,(('Amounts Pivot Table'!I$45+'Amounts Pivot Table'!I$48)/$N11),0)</f>
        <v>6597.5179093300576</v>
      </c>
      <c r="S11" s="481">
        <f>IF($N11&gt;0,('Amounts Pivot Table'!I$54/$N11),0)</f>
        <v>7801.4983111259662</v>
      </c>
      <c r="T11" s="481">
        <f t="shared" si="4"/>
        <v>14399.016220456024</v>
      </c>
      <c r="U11" s="484">
        <f t="shared" si="5"/>
        <v>8.8129623007998509E-3</v>
      </c>
      <c r="V11" s="486">
        <f t="shared" si="6"/>
        <v>-5.3840096933244978E-2</v>
      </c>
      <c r="W11" s="486">
        <f t="shared" si="7"/>
        <v>-2.513294958079644E-2</v>
      </c>
      <c r="X11" s="249"/>
      <c r="Y11" s="73" t="s">
        <v>334</v>
      </c>
      <c r="Z11" s="73">
        <f t="shared" si="8"/>
        <v>443890467</v>
      </c>
      <c r="AA11" s="73">
        <f t="shared" si="9"/>
        <v>95014791.000000015</v>
      </c>
      <c r="AB11" s="73">
        <f t="shared" si="10"/>
        <v>597673152</v>
      </c>
      <c r="AC11" s="73">
        <f t="shared" si="11"/>
        <v>1136578410</v>
      </c>
    </row>
    <row r="12" spans="1:29" s="61" customFormat="1">
      <c r="A12" s="406" t="s">
        <v>321</v>
      </c>
      <c r="B12" s="558">
        <f>IF($M12&gt;0,('Amounts Pivot Table'!I$85/$M12),0)</f>
        <v>6038.7628614172745</v>
      </c>
      <c r="C12" s="558">
        <f>IF($M12&gt;0,('Amounts Pivot Table'!I$88/$M12),0)</f>
        <v>261.77168503648522</v>
      </c>
      <c r="D12" s="558">
        <f>IF($M12&gt;0,('Amounts Pivot Table'!I$94/$M12),0)</f>
        <v>23742.801127632076</v>
      </c>
      <c r="E12" s="558">
        <f>SUM(B12:D12)</f>
        <v>30043.335674085836</v>
      </c>
      <c r="F12" s="559">
        <f t="shared" si="0"/>
        <v>3</v>
      </c>
      <c r="G12" s="560">
        <f t="shared" si="0"/>
        <v>15</v>
      </c>
      <c r="H12" s="560">
        <f t="shared" si="0"/>
        <v>1</v>
      </c>
      <c r="I12" s="560">
        <f t="shared" si="0"/>
        <v>1</v>
      </c>
      <c r="J12" s="75"/>
      <c r="K12" s="73"/>
      <c r="L12" s="168"/>
      <c r="M12" s="804">
        <f>+'[1]NEW-Tables 80-86'!H74</f>
        <v>24564.75</v>
      </c>
      <c r="N12" s="805">
        <f>+'[1]NEW-Tables 80-86'!W74</f>
        <v>24173.499999999996</v>
      </c>
      <c r="O12" s="477">
        <f t="shared" si="1"/>
        <v>6300.5345464537595</v>
      </c>
      <c r="P12" s="478">
        <f t="shared" si="2"/>
        <v>23742.801127632076</v>
      </c>
      <c r="Q12" s="479">
        <f t="shared" si="3"/>
        <v>30043.335674085836</v>
      </c>
      <c r="R12" s="482">
        <f>IF($N12&gt;0,(('Amounts Pivot Table'!I$84+'Amounts Pivot Table'!I$87)/$N12),0)</f>
        <v>6478.9360663536527</v>
      </c>
      <c r="S12" s="481">
        <f>IF($N12&gt;0,('Amounts Pivot Table'!I$93/$N12),0)</f>
        <v>23139.731151881195</v>
      </c>
      <c r="T12" s="481">
        <f t="shared" ref="T12" si="13">+S12+R12</f>
        <v>29618.667218234848</v>
      </c>
      <c r="U12" s="484">
        <f t="shared" si="5"/>
        <v>-2.7535619748798913E-2</v>
      </c>
      <c r="V12" s="486">
        <f t="shared" si="6"/>
        <v>2.6062099502908578E-2</v>
      </c>
      <c r="W12" s="486">
        <f t="shared" si="7"/>
        <v>1.4337865128162789E-2</v>
      </c>
      <c r="X12" s="249"/>
      <c r="Y12" s="73" t="s">
        <v>321</v>
      </c>
      <c r="Z12" s="73">
        <f t="shared" si="8"/>
        <v>148340700</v>
      </c>
      <c r="AA12" s="73">
        <f t="shared" si="9"/>
        <v>6430356</v>
      </c>
      <c r="AB12" s="73">
        <f t="shared" si="10"/>
        <v>583235974</v>
      </c>
      <c r="AC12" s="73">
        <f t="shared" si="11"/>
        <v>738007030</v>
      </c>
    </row>
    <row r="13" spans="1:29" s="61" customFormat="1">
      <c r="A13" s="406" t="s">
        <v>328</v>
      </c>
      <c r="B13" s="555">
        <f>IF($M13&gt;0,('Amounts Pivot Table'!I$124/$M13),0)</f>
        <v>5907.8408236789137</v>
      </c>
      <c r="C13" s="555">
        <f>IF($M13&gt;0,('Amounts Pivot Table'!I$127/$M13),0)</f>
        <v>755.24997287585381</v>
      </c>
      <c r="D13" s="555">
        <f>IF($M13&gt;0,('Amounts Pivot Table'!I$133/$M13),0)</f>
        <v>5676.271887931508</v>
      </c>
      <c r="E13" s="555">
        <f t="shared" si="12"/>
        <v>12339.362684486276</v>
      </c>
      <c r="F13" s="556">
        <f t="shared" si="0"/>
        <v>4</v>
      </c>
      <c r="G13" s="557">
        <f t="shared" si="0"/>
        <v>5</v>
      </c>
      <c r="H13" s="557">
        <f t="shared" si="0"/>
        <v>16</v>
      </c>
      <c r="I13" s="557">
        <f t="shared" si="0"/>
        <v>15</v>
      </c>
      <c r="J13" s="75"/>
      <c r="K13" s="73"/>
      <c r="L13" s="168"/>
      <c r="M13" s="804">
        <f>+'[1]NEW-Tables 80-86'!H75</f>
        <v>298281.27916666667</v>
      </c>
      <c r="N13" s="805">
        <f>+'[1]NEW-Tables 80-86'!W75</f>
        <v>292548.64166666666</v>
      </c>
      <c r="O13" s="477">
        <f t="shared" si="1"/>
        <v>6663.0907965547676</v>
      </c>
      <c r="P13" s="478">
        <f t="shared" si="2"/>
        <v>5676.271887931508</v>
      </c>
      <c r="Q13" s="479">
        <f t="shared" si="3"/>
        <v>12339.362684486276</v>
      </c>
      <c r="R13" s="482">
        <f>IF($N13&gt;0,(('Amounts Pivot Table'!I$123+'Amounts Pivot Table'!I$126)/$N13),0)</f>
        <v>6829.6853836585642</v>
      </c>
      <c r="S13" s="481">
        <f>IF($N13&gt;0,('Amounts Pivot Table'!I$132/$N13),0)</f>
        <v>5628.7946187296438</v>
      </c>
      <c r="T13" s="481">
        <f t="shared" si="4"/>
        <v>12458.480002388209</v>
      </c>
      <c r="U13" s="484">
        <f t="shared" si="5"/>
        <v>-2.4392717635633498E-2</v>
      </c>
      <c r="V13" s="486">
        <f t="shared" si="6"/>
        <v>8.4347133654308452E-3</v>
      </c>
      <c r="W13" s="486">
        <f t="shared" si="7"/>
        <v>-9.5611437253259896E-3</v>
      </c>
      <c r="X13" s="249"/>
      <c r="Y13" s="73" t="s">
        <v>328</v>
      </c>
      <c r="Z13" s="73">
        <f t="shared" si="8"/>
        <v>1762198318</v>
      </c>
      <c r="AA13" s="73">
        <f t="shared" si="9"/>
        <v>225276928</v>
      </c>
      <c r="AB13" s="73">
        <f t="shared" si="10"/>
        <v>1693125639.6300001</v>
      </c>
      <c r="AC13" s="73">
        <f t="shared" si="11"/>
        <v>3680600885.6300001</v>
      </c>
    </row>
    <row r="14" spans="1:29" s="61" customFormat="1">
      <c r="A14" s="406"/>
      <c r="B14" s="555"/>
      <c r="C14" s="555"/>
      <c r="D14" s="555"/>
      <c r="E14" s="555"/>
      <c r="F14" s="556"/>
      <c r="G14" s="557"/>
      <c r="H14" s="557"/>
      <c r="I14" s="557"/>
      <c r="J14" s="75"/>
      <c r="K14" s="73"/>
      <c r="L14" s="168"/>
      <c r="M14" s="804"/>
      <c r="N14" s="805"/>
      <c r="O14" s="477"/>
      <c r="P14" s="478"/>
      <c r="Q14" s="479"/>
      <c r="R14" s="482"/>
      <c r="S14" s="481"/>
      <c r="T14" s="481"/>
      <c r="U14" s="484"/>
      <c r="V14" s="486"/>
      <c r="W14" s="486"/>
      <c r="X14" s="249"/>
      <c r="Y14" s="73"/>
      <c r="Z14" s="73"/>
      <c r="AA14" s="73"/>
      <c r="AB14" s="73"/>
      <c r="AC14" s="73"/>
    </row>
    <row r="15" spans="1:29" s="61" customFormat="1">
      <c r="A15" s="406" t="s">
        <v>329</v>
      </c>
      <c r="B15" s="555">
        <f>IF($M15&gt;0,('Amounts Pivot Table'!I$163/$M15),0)</f>
        <v>5812.1113937393475</v>
      </c>
      <c r="C15" s="555">
        <f>IF($M15&gt;0,('Amounts Pivot Table'!I$166/$M15),0)</f>
        <v>394.62471177811244</v>
      </c>
      <c r="D15" s="555">
        <f>IF($M15&gt;0,('Amounts Pivot Table'!I$172/$M15),0)</f>
        <v>7750.9453025989369</v>
      </c>
      <c r="E15" s="555">
        <f t="shared" si="12"/>
        <v>13957.681408116398</v>
      </c>
      <c r="F15" s="556">
        <f t="shared" ref="F15:I18" si="14">IF(B15&gt;0,RANK(B15,B$10:B$28),)</f>
        <v>7</v>
      </c>
      <c r="G15" s="557">
        <f t="shared" si="14"/>
        <v>14</v>
      </c>
      <c r="H15" s="557">
        <f t="shared" si="14"/>
        <v>12</v>
      </c>
      <c r="I15" s="557">
        <f t="shared" si="14"/>
        <v>12</v>
      </c>
      <c r="J15" s="75"/>
      <c r="K15" s="73"/>
      <c r="L15" s="168"/>
      <c r="M15" s="804">
        <f>+'[1]NEW-Tables 80-86'!H77</f>
        <v>230088.93333333335</v>
      </c>
      <c r="N15" s="805">
        <f>+'[1]NEW-Tables 80-86'!W77</f>
        <v>228769.05000000002</v>
      </c>
      <c r="O15" s="477">
        <f t="shared" si="1"/>
        <v>6206.7361055174597</v>
      </c>
      <c r="P15" s="478">
        <f t="shared" si="2"/>
        <v>7750.9453025989369</v>
      </c>
      <c r="Q15" s="479">
        <f t="shared" si="3"/>
        <v>13957.681408116398</v>
      </c>
      <c r="R15" s="482">
        <f>IF($N15&gt;0,(('Amounts Pivot Table'!I$162+'Amounts Pivot Table'!I$165)/$N15),0)</f>
        <v>6066.9317768290766</v>
      </c>
      <c r="S15" s="481">
        <f>IF($N15&gt;0,('Amounts Pivot Table'!I$171/$N15),0)</f>
        <v>7540.7470372412699</v>
      </c>
      <c r="T15" s="481">
        <f t="shared" si="4"/>
        <v>13607.678814070347</v>
      </c>
      <c r="U15" s="484">
        <f t="shared" si="5"/>
        <v>2.304366256800942E-2</v>
      </c>
      <c r="V15" s="486">
        <f t="shared" si="6"/>
        <v>2.7874992267949959E-2</v>
      </c>
      <c r="W15" s="486">
        <f t="shared" si="7"/>
        <v>2.5720962320491286E-2</v>
      </c>
      <c r="X15" s="249"/>
      <c r="Y15" s="73" t="s">
        <v>329</v>
      </c>
      <c r="Z15" s="73">
        <f t="shared" si="8"/>
        <v>1337302511</v>
      </c>
      <c r="AA15" s="73">
        <f t="shared" si="9"/>
        <v>90798779</v>
      </c>
      <c r="AB15" s="73">
        <f t="shared" si="10"/>
        <v>1783406737</v>
      </c>
      <c r="AC15" s="73">
        <f t="shared" si="11"/>
        <v>3211508027</v>
      </c>
    </row>
    <row r="16" spans="1:29" s="61" customFormat="1">
      <c r="A16" s="406" t="s">
        <v>322</v>
      </c>
      <c r="B16" s="555">
        <f>IF($M16&gt;0,('Amounts Pivot Table'!I$202/$M16),0)</f>
        <v>5650.8982096691943</v>
      </c>
      <c r="C16" s="555">
        <f>IF($M16&gt;0,('Amounts Pivot Table'!I$205/$M16),0)</f>
        <v>929.39833030100408</v>
      </c>
      <c r="D16" s="555">
        <f>IF($M16&gt;0,('Amounts Pivot Table'!I$211/$M16),0)</f>
        <v>12977.783553126266</v>
      </c>
      <c r="E16" s="555">
        <f t="shared" si="12"/>
        <v>19558.080093096465</v>
      </c>
      <c r="F16" s="556">
        <f t="shared" si="14"/>
        <v>8</v>
      </c>
      <c r="G16" s="557">
        <f t="shared" si="14"/>
        <v>3</v>
      </c>
      <c r="H16" s="557">
        <f t="shared" si="14"/>
        <v>3</v>
      </c>
      <c r="I16" s="557">
        <f t="shared" si="14"/>
        <v>3</v>
      </c>
      <c r="J16" s="75"/>
      <c r="K16" s="73"/>
      <c r="L16" s="168"/>
      <c r="M16" s="804">
        <f>+'[1]NEW-Tables 80-86'!H78</f>
        <v>100802.6</v>
      </c>
      <c r="N16" s="805">
        <f>+'[1]NEW-Tables 80-86'!W78</f>
        <v>101137.72500000001</v>
      </c>
      <c r="O16" s="477">
        <f t="shared" si="1"/>
        <v>6580.2965399701989</v>
      </c>
      <c r="P16" s="478">
        <f t="shared" si="2"/>
        <v>12977.783553126266</v>
      </c>
      <c r="Q16" s="479">
        <f t="shared" si="3"/>
        <v>19558.080093096465</v>
      </c>
      <c r="R16" s="482">
        <f>IF($N16&gt;0,(('Amounts Pivot Table'!I$201+'Amounts Pivot Table'!I$204)/$N16),0)</f>
        <v>6597.6459328109268</v>
      </c>
      <c r="S16" s="481">
        <f>IF($N16&gt;0,('Amounts Pivot Table'!I$210/$N16),0)</f>
        <v>12346.287639408563</v>
      </c>
      <c r="T16" s="481">
        <f t="shared" si="4"/>
        <v>18943.933572219488</v>
      </c>
      <c r="U16" s="484">
        <f t="shared" si="5"/>
        <v>-2.6296338144560266E-3</v>
      </c>
      <c r="V16" s="486">
        <f t="shared" si="6"/>
        <v>5.1148647444597697E-2</v>
      </c>
      <c r="W16" s="486">
        <f t="shared" si="7"/>
        <v>3.2419165667768063E-2</v>
      </c>
      <c r="X16" s="249"/>
      <c r="Y16" s="73" t="s">
        <v>322</v>
      </c>
      <c r="Z16" s="73">
        <f t="shared" si="8"/>
        <v>569625231.87</v>
      </c>
      <c r="AA16" s="73">
        <f t="shared" si="9"/>
        <v>93685768.129999995</v>
      </c>
      <c r="AB16" s="73">
        <f t="shared" si="10"/>
        <v>1308194324.3923659</v>
      </c>
      <c r="AC16" s="73">
        <f t="shared" si="11"/>
        <v>1971505324.3923659</v>
      </c>
    </row>
    <row r="17" spans="1:29" s="61" customFormat="1">
      <c r="A17" s="406" t="s">
        <v>330</v>
      </c>
      <c r="B17" s="555">
        <f>IF($M17&gt;0,('Amounts Pivot Table'!I$241/$M17),0)</f>
        <v>3337.7762938315541</v>
      </c>
      <c r="C17" s="555">
        <f>IF($M17&gt;0,('Amounts Pivot Table'!I$244/$M17),0)</f>
        <v>633.03078399684443</v>
      </c>
      <c r="D17" s="555">
        <f>IF($M17&gt;0,('Amounts Pivot Table'!I$250/$M17),0)</f>
        <v>7894.680415508722</v>
      </c>
      <c r="E17" s="555">
        <f t="shared" si="12"/>
        <v>11865.487493337121</v>
      </c>
      <c r="F17" s="556">
        <f t="shared" si="14"/>
        <v>14</v>
      </c>
      <c r="G17" s="557">
        <f t="shared" si="14"/>
        <v>7</v>
      </c>
      <c r="H17" s="557">
        <f t="shared" si="14"/>
        <v>11</v>
      </c>
      <c r="I17" s="557">
        <f t="shared" si="14"/>
        <v>16</v>
      </c>
      <c r="J17" s="75"/>
      <c r="K17" s="73"/>
      <c r="L17" s="168"/>
      <c r="M17" s="804">
        <f>+'[1]NEW-Tables 80-86'!H79</f>
        <v>117629.29999999999</v>
      </c>
      <c r="N17" s="805">
        <f>+'[1]NEW-Tables 80-86'!W79</f>
        <v>119054.94166666668</v>
      </c>
      <c r="O17" s="477">
        <f t="shared" si="1"/>
        <v>3970.8070778283986</v>
      </c>
      <c r="P17" s="478">
        <f t="shared" si="2"/>
        <v>7894.680415508722</v>
      </c>
      <c r="Q17" s="479">
        <f t="shared" si="3"/>
        <v>11865.487493337121</v>
      </c>
      <c r="R17" s="482">
        <f>IF($N17&gt;0,(('Amounts Pivot Table'!I$240+'Amounts Pivot Table'!I$243)/$N17),0)</f>
        <v>3932.1883782928508</v>
      </c>
      <c r="S17" s="481">
        <f>IF($N17&gt;0,('Amounts Pivot Table'!I$249/$N17),0)</f>
        <v>7278.7369752886489</v>
      </c>
      <c r="T17" s="481">
        <f t="shared" si="4"/>
        <v>11210.925353581501</v>
      </c>
      <c r="U17" s="484">
        <f t="shared" si="5"/>
        <v>9.8211722888805458E-3</v>
      </c>
      <c r="V17" s="486">
        <f t="shared" si="6"/>
        <v>8.4622296740657674E-2</v>
      </c>
      <c r="W17" s="486">
        <f t="shared" si="7"/>
        <v>5.8386093842513254E-2</v>
      </c>
      <c r="X17" s="249"/>
      <c r="Y17" s="73" t="s">
        <v>330</v>
      </c>
      <c r="Z17" s="73">
        <f t="shared" si="8"/>
        <v>392620289</v>
      </c>
      <c r="AA17" s="73">
        <f t="shared" si="9"/>
        <v>74462968</v>
      </c>
      <c r="AB17" s="73">
        <f t="shared" si="10"/>
        <v>928645731</v>
      </c>
      <c r="AC17" s="73">
        <f t="shared" si="11"/>
        <v>1395728988</v>
      </c>
    </row>
    <row r="18" spans="1:29" s="61" customFormat="1">
      <c r="A18" s="406" t="s">
        <v>333</v>
      </c>
      <c r="B18" s="555">
        <f>IF($M18&gt;0,('Amounts Pivot Table'!I$280/$M18),0)</f>
        <v>10124.374746227981</v>
      </c>
      <c r="C18" s="555">
        <f>IF($M18&gt;0,('Amounts Pivot Table'!I$283/$M18),0)</f>
        <v>609.16633070892146</v>
      </c>
      <c r="D18" s="555">
        <f>IF($M18&gt;0,('Amounts Pivot Table'!I$289/$M18),0)</f>
        <v>10896.933575442028</v>
      </c>
      <c r="E18" s="555">
        <f t="shared" si="12"/>
        <v>21630.474652378929</v>
      </c>
      <c r="F18" s="556">
        <f t="shared" si="14"/>
        <v>1</v>
      </c>
      <c r="G18" s="557">
        <f t="shared" si="14"/>
        <v>10</v>
      </c>
      <c r="H18" s="557">
        <f t="shared" si="14"/>
        <v>6</v>
      </c>
      <c r="I18" s="557">
        <f t="shared" si="14"/>
        <v>2</v>
      </c>
      <c r="J18" s="75"/>
      <c r="K18" s="73"/>
      <c r="L18" s="168"/>
      <c r="M18" s="804">
        <f>+'[1]NEW-Tables 80-86'!H80</f>
        <v>103952.39166666666</v>
      </c>
      <c r="N18" s="805">
        <f>+'[1]NEW-Tables 80-86'!W80</f>
        <v>103486.15000000001</v>
      </c>
      <c r="O18" s="477">
        <f t="shared" si="1"/>
        <v>10733.541076936903</v>
      </c>
      <c r="P18" s="478">
        <f t="shared" si="2"/>
        <v>10896.933575442028</v>
      </c>
      <c r="Q18" s="479">
        <f t="shared" si="3"/>
        <v>21630.474652378929</v>
      </c>
      <c r="R18" s="482">
        <f>IF($N18&gt;0,(('Amounts Pivot Table'!I$279+'Amounts Pivot Table'!I$282)/$N18),0)</f>
        <v>9818.020730310287</v>
      </c>
      <c r="S18" s="481">
        <f>IF($N18&gt;0,('Amounts Pivot Table'!I$288/$N18),0)</f>
        <v>10711.972094816552</v>
      </c>
      <c r="T18" s="481">
        <f t="shared" si="4"/>
        <v>20529.992825126839</v>
      </c>
      <c r="U18" s="484">
        <f t="shared" si="5"/>
        <v>9.3248972657005352E-2</v>
      </c>
      <c r="V18" s="486">
        <f t="shared" si="6"/>
        <v>1.7266800080162396E-2</v>
      </c>
      <c r="W18" s="486">
        <f t="shared" si="7"/>
        <v>5.3603614800352015E-2</v>
      </c>
      <c r="X18" s="249"/>
      <c r="Y18" s="73" t="s">
        <v>333</v>
      </c>
      <c r="Z18" s="73">
        <f t="shared" si="8"/>
        <v>1052452969</v>
      </c>
      <c r="AA18" s="73">
        <f t="shared" si="9"/>
        <v>63324296.999999993</v>
      </c>
      <c r="AB18" s="73">
        <f t="shared" si="10"/>
        <v>1132762307</v>
      </c>
      <c r="AC18" s="73">
        <f t="shared" si="11"/>
        <v>2248539573</v>
      </c>
    </row>
    <row r="19" spans="1:29" s="61" customFormat="1">
      <c r="A19" s="406"/>
      <c r="B19" s="555"/>
      <c r="C19" s="555"/>
      <c r="D19" s="555"/>
      <c r="E19" s="555"/>
      <c r="F19" s="556"/>
      <c r="G19" s="557"/>
      <c r="H19" s="557"/>
      <c r="I19" s="557"/>
      <c r="J19" s="75"/>
      <c r="K19" s="73"/>
      <c r="L19" s="168"/>
      <c r="M19" s="804"/>
      <c r="N19" s="805"/>
      <c r="O19" s="477"/>
      <c r="P19" s="478"/>
      <c r="Q19" s="479"/>
      <c r="R19" s="482"/>
      <c r="S19" s="481"/>
      <c r="T19" s="481"/>
      <c r="U19" s="484"/>
      <c r="V19" s="486"/>
      <c r="W19" s="486"/>
      <c r="X19" s="249"/>
      <c r="Y19" s="73"/>
      <c r="Z19" s="73"/>
      <c r="AA19" s="73"/>
      <c r="AB19" s="73"/>
      <c r="AC19" s="73"/>
    </row>
    <row r="20" spans="1:29" s="61" customFormat="1">
      <c r="A20" s="406" t="s">
        <v>323</v>
      </c>
      <c r="B20" s="555">
        <f>IF($M20&gt;0,('Amounts Pivot Table'!I$319/$M20),0)</f>
        <v>5841.37869527354</v>
      </c>
      <c r="C20" s="555">
        <f>IF($M20&gt;0,('Amounts Pivot Table'!I$322/$M20),0)</f>
        <v>1249.2836868291645</v>
      </c>
      <c r="D20" s="555">
        <f>IF($M20&gt;0,('Amounts Pivot Table'!I$328/$M20),0)</f>
        <v>9536.95555138907</v>
      </c>
      <c r="E20" s="555">
        <f t="shared" si="12"/>
        <v>16627.617933491776</v>
      </c>
      <c r="F20" s="556">
        <f t="shared" ref="F20:I23" si="15">IF(B20&gt;0,RANK(B20,B$10:B$28),)</f>
        <v>6</v>
      </c>
      <c r="G20" s="557">
        <f t="shared" si="15"/>
        <v>1</v>
      </c>
      <c r="H20" s="557">
        <f t="shared" si="15"/>
        <v>8</v>
      </c>
      <c r="I20" s="557">
        <f t="shared" si="15"/>
        <v>8</v>
      </c>
      <c r="J20" s="75"/>
      <c r="K20" s="73"/>
      <c r="L20" s="168"/>
      <c r="M20" s="804">
        <f>+'[1]NEW-Tables 80-86'!H82</f>
        <v>69069.649999999994</v>
      </c>
      <c r="N20" s="805">
        <f>+'[1]NEW-Tables 80-86'!W82</f>
        <v>68469.350000000006</v>
      </c>
      <c r="O20" s="477">
        <f t="shared" si="1"/>
        <v>7090.6623821027042</v>
      </c>
      <c r="P20" s="478">
        <f t="shared" si="2"/>
        <v>9536.95555138907</v>
      </c>
      <c r="Q20" s="479">
        <f t="shared" si="3"/>
        <v>16627.617933491776</v>
      </c>
      <c r="R20" s="482">
        <f>IF($N20&gt;0,(('Amounts Pivot Table'!I$318+'Amounts Pivot Table'!I$321)/$N20),0)</f>
        <v>6750.2212595854926</v>
      </c>
      <c r="S20" s="481">
        <f>IF($N20&gt;0,('Amounts Pivot Table'!I$327/$N20),0)</f>
        <v>8951.5633345431197</v>
      </c>
      <c r="T20" s="481">
        <f t="shared" si="4"/>
        <v>15701.784594128612</v>
      </c>
      <c r="U20" s="484">
        <f t="shared" si="5"/>
        <v>5.0434068666086497E-2</v>
      </c>
      <c r="V20" s="486">
        <f t="shared" si="6"/>
        <v>6.5395528687931498E-2</v>
      </c>
      <c r="W20" s="486">
        <f t="shared" si="7"/>
        <v>5.8963574096498675E-2</v>
      </c>
      <c r="X20" s="249"/>
      <c r="Y20" s="73" t="s">
        <v>323</v>
      </c>
      <c r="Z20" s="73">
        <f t="shared" si="8"/>
        <v>403461982</v>
      </c>
      <c r="AA20" s="73">
        <f t="shared" si="9"/>
        <v>86287587</v>
      </c>
      <c r="AB20" s="73">
        <f t="shared" si="10"/>
        <v>658714182</v>
      </c>
      <c r="AC20" s="73">
        <f t="shared" si="11"/>
        <v>1148463751.0000002</v>
      </c>
    </row>
    <row r="21" spans="1:29" s="61" customFormat="1">
      <c r="A21" s="406" t="s">
        <v>324</v>
      </c>
      <c r="B21" s="555">
        <f>IF($M21&gt;0,('Amounts Pivot Table'!I$358/$M21),0)</f>
        <v>9557.462888872049</v>
      </c>
      <c r="C21" s="555">
        <f>IF($M21&gt;0,('Amounts Pivot Table'!I$361/$M21),0)</f>
        <v>467.99764390512956</v>
      </c>
      <c r="D21" s="555">
        <f>IF($M21&gt;0,('Amounts Pivot Table'!I$367/$M21),0)</f>
        <v>7532.7418327651822</v>
      </c>
      <c r="E21" s="555">
        <f t="shared" si="12"/>
        <v>17558.202365542362</v>
      </c>
      <c r="F21" s="556">
        <f t="shared" si="15"/>
        <v>2</v>
      </c>
      <c r="G21" s="557">
        <f t="shared" si="15"/>
        <v>13</v>
      </c>
      <c r="H21" s="557">
        <f t="shared" si="15"/>
        <v>13</v>
      </c>
      <c r="I21" s="557">
        <f t="shared" si="15"/>
        <v>5</v>
      </c>
      <c r="J21" s="75"/>
      <c r="K21" s="73"/>
      <c r="L21" s="168"/>
      <c r="M21" s="804">
        <f>+'[1]NEW-Tables 80-86'!H83</f>
        <v>196172.06666666665</v>
      </c>
      <c r="N21" s="805">
        <f>+'[1]NEW-Tables 80-86'!W83</f>
        <v>196767.62500000003</v>
      </c>
      <c r="O21" s="477">
        <f t="shared" si="1"/>
        <v>10025.460532777179</v>
      </c>
      <c r="P21" s="478">
        <f t="shared" si="2"/>
        <v>7532.7418327651822</v>
      </c>
      <c r="Q21" s="479">
        <f t="shared" si="3"/>
        <v>17558.202365542362</v>
      </c>
      <c r="R21" s="482">
        <f>IF($N21&gt;0,(('Amounts Pivot Table'!I$357+'Amounts Pivot Table'!I$360)/$N21),0)</f>
        <v>9953.2721859096473</v>
      </c>
      <c r="S21" s="481">
        <f>IF($N21&gt;0,('Amounts Pivot Table'!I$366/$N21),0)</f>
        <v>7078.6032610801694</v>
      </c>
      <c r="T21" s="481">
        <f t="shared" si="4"/>
        <v>17031.875446989816</v>
      </c>
      <c r="U21" s="484">
        <f t="shared" si="5"/>
        <v>7.2527250856984386E-3</v>
      </c>
      <c r="V21" s="486">
        <f t="shared" si="6"/>
        <v>6.4156522824491899E-2</v>
      </c>
      <c r="W21" s="486">
        <f t="shared" si="7"/>
        <v>3.0902464041067661E-2</v>
      </c>
      <c r="X21" s="249"/>
      <c r="Y21" s="73" t="s">
        <v>324</v>
      </c>
      <c r="Z21" s="73">
        <f t="shared" si="8"/>
        <v>1874907247</v>
      </c>
      <c r="AA21" s="73">
        <f t="shared" si="9"/>
        <v>91808065</v>
      </c>
      <c r="AB21" s="73">
        <f t="shared" si="10"/>
        <v>1477713533</v>
      </c>
      <c r="AC21" s="73">
        <f t="shared" si="11"/>
        <v>3444428845.0000005</v>
      </c>
    </row>
    <row r="22" spans="1:29" s="61" customFormat="1">
      <c r="A22" s="406" t="s">
        <v>331</v>
      </c>
      <c r="B22" s="555">
        <f>IF($M22&gt;0,('Amounts Pivot Table'!I$397/$M22),0)</f>
        <v>5645.4665640781732</v>
      </c>
      <c r="C22" s="555">
        <f>IF($M22&gt;0,('Amounts Pivot Table'!I$400/$M22),0)</f>
        <v>0</v>
      </c>
      <c r="D22" s="555">
        <f>IF($M22&gt;0,('Amounts Pivot Table'!I$406/$M22),0)</f>
        <v>9263.1953891134963</v>
      </c>
      <c r="E22" s="555">
        <f t="shared" si="12"/>
        <v>14908.661953191669</v>
      </c>
      <c r="F22" s="556">
        <f t="shared" si="15"/>
        <v>9</v>
      </c>
      <c r="G22" s="557">
        <f t="shared" si="15"/>
        <v>0</v>
      </c>
      <c r="H22" s="557">
        <f t="shared" si="15"/>
        <v>9</v>
      </c>
      <c r="I22" s="557">
        <f t="shared" si="15"/>
        <v>10</v>
      </c>
      <c r="J22" s="75"/>
      <c r="K22" s="73"/>
      <c r="L22" s="168"/>
      <c r="M22" s="804">
        <f>+'[1]NEW-Tables 80-86'!H84</f>
        <v>89353.749999999985</v>
      </c>
      <c r="N22" s="805">
        <f>+'[1]NEW-Tables 80-86'!W84</f>
        <v>104034.96666666666</v>
      </c>
      <c r="O22" s="477">
        <f t="shared" si="1"/>
        <v>5645.4665640781732</v>
      </c>
      <c r="P22" s="478">
        <f t="shared" si="2"/>
        <v>9263.1953891134963</v>
      </c>
      <c r="Q22" s="479">
        <f t="shared" si="3"/>
        <v>14908.661953191669</v>
      </c>
      <c r="R22" s="482">
        <f>IF($N22&gt;0,(('Amounts Pivot Table'!I$396+'Amounts Pivot Table'!I$399)/$N22),0)</f>
        <v>4848.7888655384777</v>
      </c>
      <c r="S22" s="481">
        <f>IF($N22&gt;0,('Amounts Pivot Table'!I$405/$N22),0)</f>
        <v>7474.3721357787081</v>
      </c>
      <c r="T22" s="481">
        <f t="shared" si="4"/>
        <v>12323.161001317185</v>
      </c>
      <c r="U22" s="484">
        <f t="shared" si="5"/>
        <v>0.16430447285545421</v>
      </c>
      <c r="V22" s="486">
        <f t="shared" si="6"/>
        <v>0.23932756100970104</v>
      </c>
      <c r="W22" s="486">
        <f t="shared" si="7"/>
        <v>0.20980825874125383</v>
      </c>
      <c r="X22" s="249"/>
      <c r="Y22" s="73" t="s">
        <v>331</v>
      </c>
      <c r="Z22" s="73">
        <f t="shared" si="8"/>
        <v>504443608</v>
      </c>
      <c r="AA22" s="73">
        <f t="shared" si="9"/>
        <v>0</v>
      </c>
      <c r="AB22" s="73">
        <f t="shared" si="10"/>
        <v>827701244.99999988</v>
      </c>
      <c r="AC22" s="73">
        <f t="shared" si="11"/>
        <v>1332144853</v>
      </c>
    </row>
    <row r="23" spans="1:29" s="61" customFormat="1">
      <c r="A23" s="406" t="s">
        <v>325</v>
      </c>
      <c r="B23" s="555">
        <f>IF($M23&gt;0,('Amounts Pivot Table'!I$436/$M23),0)</f>
        <v>2741.4963020535743</v>
      </c>
      <c r="C23" s="555">
        <f>IF($M23&gt;0,('Amounts Pivot Table'!I$439/$M23),0)</f>
        <v>661.83395907066131</v>
      </c>
      <c r="D23" s="555">
        <f>IF($M23&gt;0,('Amounts Pivot Table'!I$445/$M23),0)</f>
        <v>15023.796372187258</v>
      </c>
      <c r="E23" s="555">
        <f t="shared" si="12"/>
        <v>18427.126633311495</v>
      </c>
      <c r="F23" s="556">
        <f t="shared" si="15"/>
        <v>16</v>
      </c>
      <c r="G23" s="557">
        <f t="shared" si="15"/>
        <v>6</v>
      </c>
      <c r="H23" s="557">
        <f t="shared" si="15"/>
        <v>2</v>
      </c>
      <c r="I23" s="557">
        <f t="shared" si="15"/>
        <v>4</v>
      </c>
      <c r="J23" s="75"/>
      <c r="K23" s="73"/>
      <c r="L23" s="168"/>
      <c r="M23" s="804">
        <f>+'[1]NEW-Tables 80-86'!H85</f>
        <v>98490.475000000006</v>
      </c>
      <c r="N23" s="805">
        <f>+'[1]NEW-Tables 80-86'!W85</f>
        <v>96891.400000000009</v>
      </c>
      <c r="O23" s="477">
        <f t="shared" si="1"/>
        <v>3403.3302611242357</v>
      </c>
      <c r="P23" s="478">
        <f t="shared" si="2"/>
        <v>15023.796372187258</v>
      </c>
      <c r="Q23" s="479">
        <f t="shared" si="3"/>
        <v>18427.126633311495</v>
      </c>
      <c r="R23" s="482">
        <f>IF($N23&gt;0,(('Amounts Pivot Table'!I$435+'Amounts Pivot Table'!I$438)/$N23),0)</f>
        <v>3332.1244300319736</v>
      </c>
      <c r="S23" s="481">
        <f>IF($N23&gt;0,('Amounts Pivot Table'!I$444/$N23),0)</f>
        <v>14421.251896453141</v>
      </c>
      <c r="T23" s="481">
        <f t="shared" si="4"/>
        <v>17753.376326485115</v>
      </c>
      <c r="U23" s="484">
        <f t="shared" si="5"/>
        <v>2.1369499425199685E-2</v>
      </c>
      <c r="V23" s="486">
        <f t="shared" si="6"/>
        <v>4.178170383961681E-2</v>
      </c>
      <c r="W23" s="486">
        <f t="shared" si="7"/>
        <v>3.7950544980069792E-2</v>
      </c>
      <c r="X23" s="249"/>
      <c r="Y23" s="73" t="s">
        <v>325</v>
      </c>
      <c r="Z23" s="73">
        <f t="shared" si="8"/>
        <v>270011273</v>
      </c>
      <c r="AA23" s="73">
        <f t="shared" si="9"/>
        <v>65184340.999999993</v>
      </c>
      <c r="AB23" s="73">
        <f t="shared" si="10"/>
        <v>1479700841</v>
      </c>
      <c r="AC23" s="73">
        <f t="shared" si="11"/>
        <v>1814896455</v>
      </c>
    </row>
    <row r="24" spans="1:29" s="61" customFormat="1">
      <c r="A24" s="406"/>
      <c r="B24" s="555"/>
      <c r="C24" s="555"/>
      <c r="D24" s="555"/>
      <c r="E24" s="555"/>
      <c r="F24" s="556"/>
      <c r="G24" s="557"/>
      <c r="H24" s="557"/>
      <c r="I24" s="557"/>
      <c r="J24" s="75"/>
      <c r="K24" s="73"/>
      <c r="L24" s="168"/>
      <c r="M24" s="804"/>
      <c r="N24" s="805"/>
      <c r="O24" s="477"/>
      <c r="P24" s="478"/>
      <c r="Q24" s="479"/>
      <c r="R24" s="482"/>
      <c r="S24" s="481"/>
      <c r="T24" s="481"/>
      <c r="U24" s="484"/>
      <c r="V24" s="486"/>
      <c r="W24" s="486"/>
      <c r="X24" s="249"/>
      <c r="Y24" s="73"/>
      <c r="Z24" s="73"/>
      <c r="AA24" s="73"/>
      <c r="AB24" s="73"/>
      <c r="AC24" s="73"/>
    </row>
    <row r="25" spans="1:29" s="61" customFormat="1">
      <c r="A25" s="406" t="s">
        <v>90</v>
      </c>
      <c r="B25" s="555">
        <f>IF($M25&gt;0,('Amounts Pivot Table'!I$475/$M25),0)</f>
        <v>5126.3382391788891</v>
      </c>
      <c r="C25" s="555">
        <f>IF($M25&gt;0,('Amounts Pivot Table'!I$478/$M25),0)</f>
        <v>622.2850866447078</v>
      </c>
      <c r="D25" s="555">
        <f>IF($M25&gt;0,('Amounts Pivot Table'!I$484/$M25),0)</f>
        <v>9211.897974036121</v>
      </c>
      <c r="E25" s="555">
        <f t="shared" si="12"/>
        <v>14960.521299859718</v>
      </c>
      <c r="F25" s="556">
        <f t="shared" ref="F25:I28" si="16">IF(B25&gt;0,RANK(B25,B$10:B$28),)</f>
        <v>11</v>
      </c>
      <c r="G25" s="557">
        <f t="shared" si="16"/>
        <v>9</v>
      </c>
      <c r="H25" s="557">
        <f t="shared" si="16"/>
        <v>10</v>
      </c>
      <c r="I25" s="557">
        <f t="shared" si="16"/>
        <v>9</v>
      </c>
      <c r="J25" s="75"/>
      <c r="K25" s="73"/>
      <c r="L25" s="168"/>
      <c r="M25" s="804">
        <f>+'[1]NEW-Tables 80-86'!H87</f>
        <v>117241.72499999999</v>
      </c>
      <c r="N25" s="805">
        <f>+'[1]NEW-Tables 80-86'!W87</f>
        <v>119124.94166666668</v>
      </c>
      <c r="O25" s="477">
        <f t="shared" si="1"/>
        <v>5748.623325823597</v>
      </c>
      <c r="P25" s="478">
        <f t="shared" si="2"/>
        <v>9211.897974036121</v>
      </c>
      <c r="Q25" s="479">
        <f t="shared" si="3"/>
        <v>14960.521299859718</v>
      </c>
      <c r="R25" s="482">
        <f>IF($N25&gt;0,(('Amounts Pivot Table'!I$474+'Amounts Pivot Table'!I$477)/$N25),0)</f>
        <v>5620.5263053151157</v>
      </c>
      <c r="S25" s="481">
        <f>IF($N25&gt;0,('Amounts Pivot Table'!I$483/$N25),0)</f>
        <v>8693.617957000748</v>
      </c>
      <c r="T25" s="481">
        <f t="shared" si="4"/>
        <v>14314.144262315864</v>
      </c>
      <c r="U25" s="484">
        <f t="shared" si="5"/>
        <v>2.27909298080048E-2</v>
      </c>
      <c r="V25" s="486">
        <f t="shared" si="6"/>
        <v>5.9616148259426953E-2</v>
      </c>
      <c r="W25" s="486">
        <f t="shared" si="7"/>
        <v>4.5156526698249023E-2</v>
      </c>
      <c r="X25" s="249"/>
      <c r="Y25" s="73" t="s">
        <v>90</v>
      </c>
      <c r="Z25" s="73">
        <f t="shared" si="8"/>
        <v>601020738.09479547</v>
      </c>
      <c r="AA25" s="73">
        <f t="shared" si="9"/>
        <v>72957777</v>
      </c>
      <c r="AB25" s="73">
        <f t="shared" si="10"/>
        <v>1080018809</v>
      </c>
      <c r="AC25" s="73">
        <f t="shared" si="11"/>
        <v>1753997324.0947955</v>
      </c>
    </row>
    <row r="26" spans="1:29" s="61" customFormat="1">
      <c r="A26" s="406" t="s">
        <v>326</v>
      </c>
      <c r="B26" s="555">
        <f>IF($M26&gt;0,('Amounts Pivot Table'!I$514/$M26),0)</f>
        <v>5896.8105795537413</v>
      </c>
      <c r="C26" s="555">
        <f>IF($M26&gt;0,('Amounts Pivot Table'!I$517/$M26),0)</f>
        <v>473.59333773474287</v>
      </c>
      <c r="D26" s="555">
        <f>IF($M26&gt;0,('Amounts Pivot Table'!I$523/$M26),0)</f>
        <v>7171.9635863844333</v>
      </c>
      <c r="E26" s="555">
        <f t="shared" si="12"/>
        <v>13542.367503672918</v>
      </c>
      <c r="F26" s="556">
        <f t="shared" si="16"/>
        <v>5</v>
      </c>
      <c r="G26" s="557">
        <f t="shared" si="16"/>
        <v>12</v>
      </c>
      <c r="H26" s="557">
        <f t="shared" si="16"/>
        <v>15</v>
      </c>
      <c r="I26" s="557">
        <f t="shared" si="16"/>
        <v>14</v>
      </c>
      <c r="J26" s="75"/>
      <c r="K26" s="73"/>
      <c r="L26" s="168"/>
      <c r="M26" s="804">
        <f>+'[1]NEW-Tables 80-86'!H88</f>
        <v>489767.35</v>
      </c>
      <c r="N26" s="805">
        <f>+'[1]NEW-Tables 80-86'!W88</f>
        <v>478504.8583333334</v>
      </c>
      <c r="O26" s="477">
        <f t="shared" si="1"/>
        <v>6370.4039172884841</v>
      </c>
      <c r="P26" s="478">
        <f t="shared" si="2"/>
        <v>7171.9635863844333</v>
      </c>
      <c r="Q26" s="479">
        <f t="shared" si="3"/>
        <v>13542.367503672918</v>
      </c>
      <c r="R26" s="482">
        <f>IF($N26&gt;0,(('Amounts Pivot Table'!I$513+'Amounts Pivot Table'!I$516)/$N26),0)</f>
        <v>6470.4054829955303</v>
      </c>
      <c r="S26" s="481">
        <f>IF($N26&gt;0,('Amounts Pivot Table'!I$522/$N26),0)</f>
        <v>6931.5644997892123</v>
      </c>
      <c r="T26" s="481">
        <f t="shared" si="4"/>
        <v>13401.969982784743</v>
      </c>
      <c r="U26" s="484">
        <f t="shared" si="5"/>
        <v>-1.5455223937642563E-2</v>
      </c>
      <c r="V26" s="486">
        <f t="shared" si="6"/>
        <v>3.468179320881043E-2</v>
      </c>
      <c r="W26" s="486">
        <f t="shared" si="7"/>
        <v>1.0475886833690856E-2</v>
      </c>
      <c r="X26" s="249"/>
      <c r="Y26" s="73" t="s">
        <v>326</v>
      </c>
      <c r="Z26" s="73">
        <f t="shared" si="8"/>
        <v>2888065291</v>
      </c>
      <c r="AA26" s="73">
        <f t="shared" si="9"/>
        <v>231950554</v>
      </c>
      <c r="AB26" s="73">
        <f t="shared" si="10"/>
        <v>3512593600</v>
      </c>
      <c r="AC26" s="73">
        <f t="shared" si="11"/>
        <v>6632609445</v>
      </c>
    </row>
    <row r="27" spans="1:29" s="76" customFormat="1" ht="12.75" customHeight="1">
      <c r="A27" s="406" t="s">
        <v>327</v>
      </c>
      <c r="B27" s="555">
        <f>IF($M27&gt;0,('Amounts Pivot Table'!I$553/$M27),0)</f>
        <v>4586.4781798643471</v>
      </c>
      <c r="C27" s="555">
        <f>IF($M27&gt;0,('Amounts Pivot Table'!I$556/$M27),0)</f>
        <v>581.52543975285732</v>
      </c>
      <c r="D27" s="555">
        <f>IF($M27&gt;0,('Amounts Pivot Table'!I$562/$M27),0)</f>
        <v>11693.172035890848</v>
      </c>
      <c r="E27" s="555">
        <f t="shared" si="12"/>
        <v>16861.17565550805</v>
      </c>
      <c r="F27" s="556">
        <f t="shared" si="16"/>
        <v>13</v>
      </c>
      <c r="G27" s="557">
        <f t="shared" si="16"/>
        <v>11</v>
      </c>
      <c r="H27" s="557">
        <f t="shared" si="16"/>
        <v>4</v>
      </c>
      <c r="I27" s="557">
        <f t="shared" si="16"/>
        <v>7</v>
      </c>
      <c r="J27" s="75"/>
      <c r="L27" s="169"/>
      <c r="M27" s="804">
        <f>+'[1]NEW-Tables 80-86'!H89</f>
        <v>195486.60166666668</v>
      </c>
      <c r="N27" s="805">
        <f>+'[1]NEW-Tables 80-86'!W89</f>
        <v>194983.49666666664</v>
      </c>
      <c r="O27" s="477">
        <f t="shared" si="1"/>
        <v>5168.0036196172041</v>
      </c>
      <c r="P27" s="478">
        <f t="shared" si="2"/>
        <v>11693.172035890848</v>
      </c>
      <c r="Q27" s="479">
        <f t="shared" si="3"/>
        <v>16861.17565550805</v>
      </c>
      <c r="R27" s="482">
        <f>IF($N27&gt;0,(('Amounts Pivot Table'!I$552+'Amounts Pivot Table'!I$555)/$N27),0)</f>
        <v>5054.3328119957641</v>
      </c>
      <c r="S27" s="481">
        <f>IF($N27&gt;0,('Amounts Pivot Table'!I$561/$N27),0)</f>
        <v>10821.777576423607</v>
      </c>
      <c r="T27" s="481">
        <f t="shared" si="4"/>
        <v>15876.110388419371</v>
      </c>
      <c r="U27" s="484">
        <f t="shared" si="5"/>
        <v>2.2489774981112823E-2</v>
      </c>
      <c r="V27" s="486">
        <f t="shared" si="6"/>
        <v>8.0522303596930939E-2</v>
      </c>
      <c r="W27" s="486">
        <f t="shared" si="7"/>
        <v>6.2047015483542037E-2</v>
      </c>
      <c r="X27" s="249"/>
      <c r="Y27" s="73" t="s">
        <v>327</v>
      </c>
      <c r="Z27" s="73">
        <f t="shared" si="8"/>
        <v>896595033</v>
      </c>
      <c r="AA27" s="73">
        <f t="shared" si="9"/>
        <v>113680432</v>
      </c>
      <c r="AB27" s="73">
        <f t="shared" si="10"/>
        <v>2285858464</v>
      </c>
      <c r="AC27" s="73">
        <f t="shared" si="11"/>
        <v>3296133928.9999995</v>
      </c>
    </row>
    <row r="28" spans="1:29" s="61" customFormat="1">
      <c r="A28" s="407" t="s">
        <v>332</v>
      </c>
      <c r="B28" s="561">
        <f>IF($M28&gt;0,('Amounts Pivot Table'!I$592/$M28),0)</f>
        <v>3246.5219165026288</v>
      </c>
      <c r="C28" s="561">
        <f>IF($M28&gt;0,('Amounts Pivot Table'!I$595/$M28),0)</f>
        <v>830.54797360374948</v>
      </c>
      <c r="D28" s="561">
        <f>IF($M28&gt;0,('Amounts Pivot Table'!I$601/$M28),0)</f>
        <v>9675.4253818502639</v>
      </c>
      <c r="E28" s="562">
        <f t="shared" si="12"/>
        <v>13752.495271956643</v>
      </c>
      <c r="F28" s="563">
        <f t="shared" si="16"/>
        <v>15</v>
      </c>
      <c r="G28" s="564">
        <f t="shared" si="16"/>
        <v>4</v>
      </c>
      <c r="H28" s="564">
        <f t="shared" si="16"/>
        <v>7</v>
      </c>
      <c r="I28" s="564">
        <f t="shared" si="16"/>
        <v>13</v>
      </c>
      <c r="J28" s="75"/>
      <c r="K28" s="73"/>
      <c r="L28" s="170"/>
      <c r="M28" s="804">
        <f>+'[1]NEW-Tables 80-86'!H90</f>
        <v>56317.34166666666</v>
      </c>
      <c r="N28" s="805">
        <f>+'[1]NEW-Tables 80-86'!W90</f>
        <v>57042.111666666671</v>
      </c>
      <c r="O28" s="477">
        <f t="shared" si="1"/>
        <v>4077.0698901063784</v>
      </c>
      <c r="P28" s="478">
        <f t="shared" si="2"/>
        <v>9675.4253818502639</v>
      </c>
      <c r="Q28" s="479">
        <f t="shared" si="3"/>
        <v>13752.495271956643</v>
      </c>
      <c r="R28" s="482">
        <f>IF($N28&gt;0,(('Amounts Pivot Table'!I$591+'Amounts Pivot Table'!I$594)/$N28),0)</f>
        <v>4098.8603536679493</v>
      </c>
      <c r="S28" s="481">
        <f>IF($N28&gt;0,('Amounts Pivot Table'!I$600/$N28),0)</f>
        <v>8876.945982627396</v>
      </c>
      <c r="T28" s="481">
        <f t="shared" si="4"/>
        <v>12975.806336295345</v>
      </c>
      <c r="U28" s="484">
        <f t="shared" si="5"/>
        <v>-5.3162249214153672E-3</v>
      </c>
      <c r="V28" s="486">
        <f t="shared" si="6"/>
        <v>8.9949786873270363E-2</v>
      </c>
      <c r="W28" s="486">
        <f t="shared" si="7"/>
        <v>5.9856699116168047E-2</v>
      </c>
      <c r="X28" s="249"/>
      <c r="Y28" s="74" t="s">
        <v>332</v>
      </c>
      <c r="Z28" s="74">
        <f t="shared" si="8"/>
        <v>182835484</v>
      </c>
      <c r="AA28" s="74">
        <f t="shared" si="9"/>
        <v>46774254</v>
      </c>
      <c r="AB28" s="74">
        <f t="shared" si="10"/>
        <v>544894237</v>
      </c>
      <c r="AC28" s="74">
        <f t="shared" si="11"/>
        <v>774503975.00000012</v>
      </c>
    </row>
    <row r="29" spans="1:29" s="61" customFormat="1" ht="40.5" customHeight="1">
      <c r="A29" s="1505" t="s">
        <v>17</v>
      </c>
      <c r="B29" s="1505"/>
      <c r="C29" s="1505"/>
      <c r="D29" s="1505"/>
      <c r="E29" s="1505"/>
      <c r="F29" s="1505"/>
      <c r="G29" s="1505"/>
      <c r="H29" s="1505"/>
      <c r="I29" s="1505"/>
      <c r="J29" s="106"/>
      <c r="K29" s="106"/>
      <c r="L29" s="171"/>
      <c r="M29" s="296"/>
      <c r="N29" s="220"/>
      <c r="O29" s="220"/>
      <c r="P29" s="220"/>
      <c r="Q29" s="73"/>
      <c r="R29" s="222"/>
    </row>
    <row r="30" spans="1:29" s="76" customFormat="1" ht="17.25" customHeight="1">
      <c r="A30" s="1505" t="s">
        <v>54</v>
      </c>
      <c r="B30" s="1505"/>
      <c r="C30" s="1505"/>
      <c r="D30" s="1505"/>
      <c r="E30" s="1505"/>
      <c r="F30" s="1505"/>
      <c r="G30" s="1505"/>
      <c r="H30" s="1505"/>
      <c r="I30" s="1505"/>
      <c r="J30" s="106"/>
      <c r="L30" s="169"/>
      <c r="M30" s="296"/>
      <c r="N30" s="90"/>
      <c r="O30" s="90"/>
      <c r="P30" s="90"/>
      <c r="Q30" s="90"/>
      <c r="R30" s="489"/>
      <c r="S30" s="490"/>
    </row>
    <row r="31" spans="1:29" s="61" customFormat="1" ht="15.75" customHeight="1">
      <c r="A31" s="1505" t="s">
        <v>60</v>
      </c>
      <c r="B31" s="1530"/>
      <c r="C31" s="1530"/>
      <c r="D31" s="1530"/>
      <c r="E31" s="1530"/>
      <c r="F31" s="1530"/>
      <c r="G31" s="1531"/>
      <c r="H31" s="1531"/>
      <c r="I31" s="1531"/>
      <c r="J31" s="188"/>
      <c r="K31" s="188"/>
      <c r="L31" s="171"/>
      <c r="M31" s="296"/>
      <c r="N31" s="73"/>
      <c r="O31" s="73"/>
      <c r="P31" s="73"/>
      <c r="Q31" s="73"/>
      <c r="R31" s="490"/>
      <c r="S31" s="490"/>
      <c r="T31" s="490"/>
    </row>
    <row r="32" spans="1:29" s="61" customFormat="1">
      <c r="A32" s="187"/>
      <c r="B32" s="106"/>
      <c r="C32" s="106"/>
      <c r="D32" s="106"/>
      <c r="E32" s="106"/>
      <c r="F32" s="106"/>
      <c r="G32" s="188"/>
      <c r="H32" s="188"/>
      <c r="I32" s="534" t="s">
        <v>1927</v>
      </c>
      <c r="J32" s="188"/>
      <c r="K32" s="188"/>
      <c r="L32" s="171"/>
      <c r="M32" s="296"/>
      <c r="N32" s="221"/>
      <c r="O32" s="73"/>
      <c r="P32" s="73"/>
      <c r="Q32" s="73"/>
    </row>
    <row r="33" spans="1:17" s="61" customFormat="1" ht="18">
      <c r="A33" s="135" t="s">
        <v>359</v>
      </c>
      <c r="B33" s="135"/>
      <c r="C33" s="135"/>
      <c r="D33" s="135"/>
      <c r="E33" s="135"/>
      <c r="F33" s="135"/>
      <c r="G33" s="135"/>
      <c r="H33" s="135"/>
      <c r="I33" s="135"/>
      <c r="J33" s="95" t="s">
        <v>91</v>
      </c>
      <c r="K33" s="95"/>
      <c r="L33" s="170"/>
      <c r="M33" s="299"/>
      <c r="N33" s="73"/>
      <c r="O33" s="73"/>
      <c r="P33" s="73"/>
      <c r="Q33" s="73"/>
    </row>
    <row r="34" spans="1:17" s="61" customFormat="1" ht="12" customHeight="1">
      <c r="A34" s="135"/>
      <c r="B34" s="135"/>
      <c r="C34" s="135"/>
      <c r="D34" s="135"/>
      <c r="E34" s="135"/>
      <c r="F34" s="135"/>
      <c r="G34" s="135"/>
      <c r="H34" s="135"/>
      <c r="I34" s="135"/>
      <c r="J34" s="95"/>
      <c r="K34" s="95"/>
      <c r="L34" s="170"/>
      <c r="M34" s="299"/>
      <c r="N34" s="73"/>
      <c r="O34" s="73"/>
      <c r="P34" s="73"/>
      <c r="Q34" s="73"/>
    </row>
    <row r="35" spans="1:17" s="61" customFormat="1" ht="18.75">
      <c r="A35" s="1504" t="s">
        <v>18</v>
      </c>
      <c r="B35" s="1504"/>
      <c r="C35" s="1504"/>
      <c r="D35" s="1504"/>
      <c r="E35" s="1504"/>
      <c r="F35" s="1504"/>
      <c r="G35" s="1504"/>
      <c r="H35" s="1504"/>
      <c r="I35" s="1504"/>
      <c r="J35" s="95"/>
      <c r="K35" s="95"/>
      <c r="L35" s="170"/>
      <c r="M35" s="298"/>
      <c r="N35" s="73"/>
      <c r="O35" s="73"/>
      <c r="P35" s="73"/>
      <c r="Q35" s="73"/>
    </row>
    <row r="36" spans="1:17" s="61" customFormat="1" ht="15.75">
      <c r="A36" s="1504" t="s">
        <v>1930</v>
      </c>
      <c r="B36" s="1504"/>
      <c r="C36" s="1504"/>
      <c r="D36" s="1504"/>
      <c r="E36" s="1504"/>
      <c r="F36" s="1504"/>
      <c r="G36" s="1504"/>
      <c r="H36" s="1504"/>
      <c r="I36" s="1504"/>
      <c r="J36" s="95"/>
      <c r="K36" s="95"/>
      <c r="L36" s="165"/>
      <c r="M36" s="298"/>
      <c r="N36" s="73"/>
      <c r="O36" s="73"/>
      <c r="P36" s="73"/>
      <c r="Q36" s="73"/>
    </row>
    <row r="37" spans="1:17" s="61" customFormat="1" ht="9.75" customHeight="1">
      <c r="A37" s="91"/>
      <c r="B37" s="91"/>
      <c r="C37" s="91"/>
      <c r="D37" s="91"/>
      <c r="E37" s="91"/>
      <c r="F37" s="91"/>
      <c r="G37" s="108"/>
      <c r="H37" s="91"/>
      <c r="I37" s="91"/>
      <c r="J37" s="91"/>
      <c r="K37" s="91"/>
      <c r="L37" s="165"/>
      <c r="M37" s="298"/>
      <c r="N37" s="73"/>
      <c r="O37" s="73"/>
      <c r="P37" s="73"/>
      <c r="Q37" s="73"/>
    </row>
    <row r="38" spans="1:17" s="61" customFormat="1" ht="17.25" customHeight="1">
      <c r="A38" s="60"/>
      <c r="B38" s="566" t="s">
        <v>55</v>
      </c>
      <c r="C38" s="567"/>
      <c r="D38" s="567"/>
      <c r="E38" s="567"/>
      <c r="F38" s="568" t="s">
        <v>119</v>
      </c>
      <c r="G38" s="569"/>
      <c r="H38" s="569"/>
      <c r="I38" s="569"/>
      <c r="L38" s="165"/>
      <c r="M38" s="296"/>
      <c r="N38" s="73"/>
      <c r="O38" s="73"/>
      <c r="P38" s="73"/>
      <c r="Q38" s="73"/>
    </row>
    <row r="39" spans="1:17" s="6" customFormat="1" ht="48">
      <c r="A39" s="50"/>
      <c r="B39" s="549" t="s">
        <v>87</v>
      </c>
      <c r="C39" s="550" t="s">
        <v>89</v>
      </c>
      <c r="D39" s="550" t="s">
        <v>397</v>
      </c>
      <c r="E39" s="550" t="s">
        <v>97</v>
      </c>
      <c r="F39" s="551" t="s">
        <v>87</v>
      </c>
      <c r="G39" s="550" t="s">
        <v>89</v>
      </c>
      <c r="H39" s="550" t="s">
        <v>397</v>
      </c>
      <c r="I39" s="550" t="s">
        <v>97</v>
      </c>
      <c r="L39" s="172"/>
      <c r="M39" s="298" t="s">
        <v>260</v>
      </c>
      <c r="N39" s="7"/>
      <c r="O39" s="7"/>
      <c r="P39" s="7"/>
      <c r="Q39" s="7"/>
    </row>
    <row r="40" spans="1:17" s="61" customFormat="1" ht="16.5" customHeight="1">
      <c r="A40" s="73" t="s">
        <v>56</v>
      </c>
      <c r="B40" s="102">
        <f>IF($M40&gt;0,('Amounts Pivot Table'!C$631/$M40),0)</f>
        <v>6387.9728215201967</v>
      </c>
      <c r="C40" s="102">
        <f>IF($M40&gt;0,('Amounts Pivot Table'!C$634/$M40),0)</f>
        <v>1127.6702834770097</v>
      </c>
      <c r="D40" s="102">
        <f>IF($M40&gt;0,('Amounts Pivot Table'!C$640/$M40),0)</f>
        <v>10310.847555559465</v>
      </c>
      <c r="E40" s="102">
        <f>SUM(B40:D40)</f>
        <v>17826.490660556672</v>
      </c>
      <c r="F40" s="114"/>
      <c r="G40" s="115"/>
      <c r="H40" s="115"/>
      <c r="I40" s="115"/>
      <c r="J40" s="75"/>
      <c r="L40" s="168"/>
      <c r="M40" s="824">
        <f>+'[1]NEW-Tables 80-86'!B70</f>
        <v>1145792.6541666666</v>
      </c>
      <c r="N40" s="73"/>
      <c r="O40" s="73"/>
      <c r="P40" s="73"/>
      <c r="Q40" s="73"/>
    </row>
    <row r="41" spans="1:17" s="112" customFormat="1">
      <c r="A41" s="110"/>
      <c r="B41" s="190"/>
      <c r="C41" s="190"/>
      <c r="D41" s="190"/>
      <c r="E41" s="190"/>
      <c r="F41" s="191"/>
      <c r="G41" s="192"/>
      <c r="H41" s="192"/>
      <c r="I41" s="192"/>
      <c r="J41" s="111"/>
      <c r="L41" s="175"/>
      <c r="M41" s="824"/>
      <c r="N41" s="110"/>
      <c r="O41" s="110"/>
      <c r="P41" s="110"/>
      <c r="Q41" s="110"/>
    </row>
    <row r="42" spans="1:17" s="61" customFormat="1" ht="12.75" customHeight="1">
      <c r="A42" s="73" t="s">
        <v>320</v>
      </c>
      <c r="B42" s="75">
        <f>IF($M42&gt;0,('Amounts Pivot Table'!C$7/$M42),0)</f>
        <v>4840.8353565517509</v>
      </c>
      <c r="C42" s="75">
        <f>IF($M42&gt;0,('Amounts Pivot Table'!C$10/$M42),0)</f>
        <v>1201.618677532023</v>
      </c>
      <c r="D42" s="75">
        <f>IF($M42&gt;0,('Amounts Pivot Table'!C$16/$M42),0)</f>
        <v>15515.387278477045</v>
      </c>
      <c r="E42" s="75">
        <f>SUM(B42:D42)</f>
        <v>21557.84131256082</v>
      </c>
      <c r="F42" s="116">
        <f>IF(B42&gt;0,RANK(B42,$B$42:$B$60),)</f>
        <v>12</v>
      </c>
      <c r="G42" s="107">
        <f>IF(C42&gt;0,RANK(C42,C$42:C$60),)</f>
        <v>8</v>
      </c>
      <c r="H42" s="107">
        <f>IF(D42&gt;0,RANK(D42,D$42:D$60),)</f>
        <v>3</v>
      </c>
      <c r="I42" s="107">
        <f>IF(E42&gt;0,RANK(E42,E$42:E$60),)</f>
        <v>5</v>
      </c>
      <c r="J42" s="75"/>
      <c r="L42" s="168"/>
      <c r="M42" s="824">
        <f>+'[1]NEW-Tables 80-86'!B72</f>
        <v>56205.141666666663</v>
      </c>
      <c r="N42" s="73"/>
      <c r="O42" s="73"/>
      <c r="P42" s="73"/>
      <c r="Q42" s="73"/>
    </row>
    <row r="43" spans="1:17" s="61" customFormat="1" ht="12.75" customHeight="1">
      <c r="A43" s="73" t="s">
        <v>334</v>
      </c>
      <c r="B43" s="75">
        <f>IF($M43&gt;0,('Amounts Pivot Table'!C$46/$M43),0)</f>
        <v>5280.9800019284276</v>
      </c>
      <c r="C43" s="75">
        <f>IF($M43&gt;0,('Amounts Pivot Table'!C$49/$M43),0)</f>
        <v>3467.3075890562427</v>
      </c>
      <c r="D43" s="75">
        <f>IF($M43&gt;0,('Amounts Pivot Table'!C$55/$M43),0)</f>
        <v>7734.33995403683</v>
      </c>
      <c r="E43" s="75">
        <f>SUM(B43:D43)</f>
        <v>16482.6275450215</v>
      </c>
      <c r="F43" s="116">
        <f t="shared" ref="F43:F60" si="17">IF(B43&gt;0,RANK(B43,$B$42:$B$60),)</f>
        <v>11</v>
      </c>
      <c r="G43" s="107">
        <f t="shared" ref="G43:G60" si="18">IF(C43&gt;0,RANK(C43,C$42:C$60),)</f>
        <v>1</v>
      </c>
      <c r="H43" s="107">
        <f t="shared" ref="H43:H60" si="19">IF(D43&gt;0,RANK(D43,D$42:D$60),)</f>
        <v>15</v>
      </c>
      <c r="I43" s="107">
        <f t="shared" ref="I43:I60" si="20">IF(E43&gt;0,RANK(E43,E$42:E$60),)</f>
        <v>14</v>
      </c>
      <c r="J43" s="75"/>
      <c r="L43" s="168"/>
      <c r="M43" s="824">
        <f>+'[1]NEW-Tables 80-86'!B73</f>
        <v>24026.483333333334</v>
      </c>
      <c r="N43" s="73"/>
      <c r="O43" s="73"/>
      <c r="P43" s="73"/>
      <c r="Q43" s="73"/>
    </row>
    <row r="44" spans="1:17" s="61" customFormat="1" ht="12.75" customHeight="1">
      <c r="A44" s="73" t="s">
        <v>321</v>
      </c>
      <c r="B44" s="75">
        <f>IF($M44&gt;0,('Amounts Pivot Table'!C$85/$M44),0)</f>
        <v>5560.297274414389</v>
      </c>
      <c r="C44" s="75">
        <f>IF($M44&gt;0,('Amounts Pivot Table'!C$88/$M44),0)</f>
        <v>314.24959957385624</v>
      </c>
      <c r="D44" s="75">
        <f>IF($M44&gt;0,('Amounts Pivot Table'!C$94/$M44),0)</f>
        <v>26103.144545591163</v>
      </c>
      <c r="E44" s="75">
        <f>SUM(B44:D44)</f>
        <v>31977.691419579409</v>
      </c>
      <c r="F44" s="116">
        <f t="shared" si="17"/>
        <v>10</v>
      </c>
      <c r="G44" s="107">
        <f t="shared" si="18"/>
        <v>15</v>
      </c>
      <c r="H44" s="107">
        <f t="shared" si="19"/>
        <v>1</v>
      </c>
      <c r="I44" s="107">
        <f t="shared" si="20"/>
        <v>1</v>
      </c>
      <c r="J44" s="75"/>
      <c r="L44" s="168"/>
      <c r="M44" s="824">
        <f>+'[1]NEW-Tables 80-86'!B74</f>
        <v>20462.574999999997</v>
      </c>
      <c r="N44" s="220"/>
      <c r="O44" s="220"/>
      <c r="P44" s="220"/>
      <c r="Q44" s="73"/>
    </row>
    <row r="45" spans="1:17" s="61" customFormat="1" ht="12.75" customHeight="1">
      <c r="A45" s="73" t="s">
        <v>328</v>
      </c>
      <c r="B45" s="75">
        <f>IF($M45&gt;0,('Amounts Pivot Table'!C$124/$M45),0)</f>
        <v>5693.040585594541</v>
      </c>
      <c r="C45" s="75">
        <f>IF($M45&gt;0,('Amounts Pivot Table'!C$127/$M45),0)</f>
        <v>861.97404436822524</v>
      </c>
      <c r="D45" s="75">
        <f>IF($M45&gt;0,('Amounts Pivot Table'!C$133/$M45),0)</f>
        <v>5669.4112586159472</v>
      </c>
      <c r="E45" s="75">
        <f>SUM(B45:D45)</f>
        <v>12224.425888578713</v>
      </c>
      <c r="F45" s="116">
        <f t="shared" si="17"/>
        <v>9</v>
      </c>
      <c r="G45" s="107">
        <f t="shared" si="18"/>
        <v>13</v>
      </c>
      <c r="H45" s="107">
        <f t="shared" si="19"/>
        <v>16</v>
      </c>
      <c r="I45" s="107">
        <f t="shared" si="20"/>
        <v>16</v>
      </c>
      <c r="J45" s="75"/>
      <c r="L45" s="168"/>
      <c r="M45" s="824">
        <f>+'[1]NEW-Tables 80-86'!B75</f>
        <v>251243.80416666664</v>
      </c>
      <c r="N45" s="73"/>
      <c r="O45" s="73"/>
      <c r="P45" s="73"/>
      <c r="Q45" s="73"/>
    </row>
    <row r="46" spans="1:17" s="112" customFormat="1" ht="9.75" customHeight="1">
      <c r="A46" s="110"/>
      <c r="B46" s="190"/>
      <c r="C46" s="190"/>
      <c r="D46" s="190"/>
      <c r="E46" s="190"/>
      <c r="F46" s="116"/>
      <c r="G46" s="107"/>
      <c r="H46" s="107"/>
      <c r="I46" s="107"/>
      <c r="J46" s="111"/>
      <c r="L46" s="175"/>
      <c r="M46" s="824"/>
      <c r="N46" s="110"/>
      <c r="O46" s="110"/>
      <c r="P46" s="110"/>
      <c r="Q46" s="110"/>
    </row>
    <row r="47" spans="1:17" s="61" customFormat="1" ht="12.75" customHeight="1">
      <c r="A47" s="73" t="s">
        <v>329</v>
      </c>
      <c r="B47" s="75">
        <f>IF($M47&gt;0,('Amounts Pivot Table'!C$163/$M47),0)</f>
        <v>7366.327317001379</v>
      </c>
      <c r="C47" s="75">
        <f>IF($M47&gt;0,('Amounts Pivot Table'!C$166/$M47),0)</f>
        <v>1157.9860079771777</v>
      </c>
      <c r="D47" s="75">
        <f>IF($M47&gt;0,('Amounts Pivot Table'!C$172/$M47),0)</f>
        <v>9105.070205405631</v>
      </c>
      <c r="E47" s="75">
        <f>SUM(B47:D47)</f>
        <v>17629.383530384188</v>
      </c>
      <c r="F47" s="116">
        <f t="shared" si="17"/>
        <v>3</v>
      </c>
      <c r="G47" s="107">
        <f t="shared" si="18"/>
        <v>9</v>
      </c>
      <c r="H47" s="107">
        <f t="shared" si="19"/>
        <v>13</v>
      </c>
      <c r="I47" s="107">
        <f t="shared" si="20"/>
        <v>10</v>
      </c>
      <c r="J47" s="75"/>
      <c r="L47" s="168"/>
      <c r="M47" s="824">
        <f>+'[1]NEW-Tables 80-86'!B77</f>
        <v>67266.899999999994</v>
      </c>
      <c r="N47" s="73"/>
      <c r="O47" s="73"/>
      <c r="P47" s="73"/>
      <c r="Q47" s="73"/>
    </row>
    <row r="48" spans="1:17" s="61" customFormat="1" ht="12.75" customHeight="1">
      <c r="A48" s="73" t="s">
        <v>322</v>
      </c>
      <c r="B48" s="75">
        <f>IF($M48&gt;0,('Amounts Pivot Table'!C$202/$M48),0)</f>
        <v>6918.534630468188</v>
      </c>
      <c r="C48" s="75">
        <f>IF($M48&gt;0,('Amounts Pivot Table'!C$205/$M48),0)</f>
        <v>2029.0966440967677</v>
      </c>
      <c r="D48" s="75">
        <f>IF($M48&gt;0,('Amounts Pivot Table'!C$211/$M48),0)</f>
        <v>15289.451171904801</v>
      </c>
      <c r="E48" s="75">
        <f>SUM(B48:D48)</f>
        <v>24237.082446469758</v>
      </c>
      <c r="F48" s="116">
        <f t="shared" si="17"/>
        <v>5</v>
      </c>
      <c r="G48" s="107">
        <f t="shared" si="18"/>
        <v>4</v>
      </c>
      <c r="H48" s="107">
        <f t="shared" si="19"/>
        <v>4</v>
      </c>
      <c r="I48" s="107">
        <f t="shared" si="20"/>
        <v>3</v>
      </c>
      <c r="J48" s="75"/>
      <c r="L48" s="168"/>
      <c r="M48" s="824">
        <f>+'[1]NEW-Tables 80-86'!B78</f>
        <v>40396.724999999999</v>
      </c>
      <c r="N48" s="73"/>
      <c r="O48" s="73"/>
      <c r="P48" s="73"/>
      <c r="Q48" s="73"/>
    </row>
    <row r="49" spans="1:17" s="61" customFormat="1" ht="12.75" customHeight="1">
      <c r="A49" s="73" t="s">
        <v>330</v>
      </c>
      <c r="B49" s="75">
        <f>IF($M49&gt;0,('Amounts Pivot Table'!C$241/$M49),0)</f>
        <v>3488.2109659318817</v>
      </c>
      <c r="C49" s="75">
        <f>IF($M49&gt;0,('Amounts Pivot Table'!C$244/$M49),0)</f>
        <v>2367.7548479737893</v>
      </c>
      <c r="D49" s="75">
        <f>IF($M49&gt;0,('Amounts Pivot Table'!C$250/$M49),0)</f>
        <v>11168.057125136656</v>
      </c>
      <c r="E49" s="75">
        <f>SUM(B49:D49)</f>
        <v>17024.022939042326</v>
      </c>
      <c r="F49" s="116">
        <f t="shared" si="17"/>
        <v>14</v>
      </c>
      <c r="G49" s="107">
        <f t="shared" si="18"/>
        <v>2</v>
      </c>
      <c r="H49" s="107">
        <f t="shared" si="19"/>
        <v>9</v>
      </c>
      <c r="I49" s="107">
        <f t="shared" si="20"/>
        <v>12</v>
      </c>
      <c r="J49" s="75"/>
      <c r="L49" s="168"/>
      <c r="M49" s="824">
        <f>+'[1]NEW-Tables 80-86'!B79</f>
        <v>29667.033333333333</v>
      </c>
      <c r="N49" s="73"/>
      <c r="O49" s="73"/>
      <c r="P49" s="73"/>
      <c r="Q49" s="73"/>
    </row>
    <row r="50" spans="1:17" s="61" customFormat="1" ht="12.75" customHeight="1">
      <c r="A50" s="73" t="s">
        <v>333</v>
      </c>
      <c r="B50" s="75">
        <f>IF($M50&gt;0,('Amounts Pivot Table'!C$280/$M50),0)</f>
        <v>14523.390732986898</v>
      </c>
      <c r="C50" s="75">
        <f>IF($M50&gt;0,('Amounts Pivot Table'!C$283/$M50),0)</f>
        <v>1908.1946154112723</v>
      </c>
      <c r="D50" s="75">
        <f>IF($M50&gt;0,('Amounts Pivot Table'!C$289/$M50),0)</f>
        <v>15098.02726797437</v>
      </c>
      <c r="E50" s="75">
        <f>SUM(B50:D50)</f>
        <v>31529.612616372542</v>
      </c>
      <c r="F50" s="116">
        <f t="shared" si="17"/>
        <v>1</v>
      </c>
      <c r="G50" s="107">
        <f t="shared" si="18"/>
        <v>5</v>
      </c>
      <c r="H50" s="107">
        <f t="shared" si="19"/>
        <v>5</v>
      </c>
      <c r="I50" s="107">
        <f t="shared" si="20"/>
        <v>2</v>
      </c>
      <c r="J50" s="75"/>
      <c r="L50" s="168"/>
      <c r="M50" s="824">
        <f>+'[1]NEW-Tables 80-86'!B80</f>
        <v>33185.449999999997</v>
      </c>
      <c r="N50" s="73"/>
      <c r="O50" s="73"/>
      <c r="P50" s="73"/>
      <c r="Q50" s="73"/>
    </row>
    <row r="51" spans="1:17" s="112" customFormat="1" ht="11.25" customHeight="1">
      <c r="A51" s="110"/>
      <c r="B51" s="190"/>
      <c r="C51" s="190"/>
      <c r="D51" s="190"/>
      <c r="E51" s="190"/>
      <c r="F51" s="116"/>
      <c r="G51" s="107"/>
      <c r="H51" s="107"/>
      <c r="I51" s="107"/>
      <c r="J51" s="111"/>
      <c r="L51" s="175"/>
      <c r="M51" s="824"/>
      <c r="N51" s="110"/>
      <c r="O51" s="110"/>
      <c r="P51" s="110"/>
      <c r="Q51" s="110"/>
    </row>
    <row r="52" spans="1:17" s="61" customFormat="1" ht="12.75" customHeight="1">
      <c r="A52" s="73" t="s">
        <v>323</v>
      </c>
      <c r="B52" s="75">
        <f>IF($M52&gt;0,('Amounts Pivot Table'!C$319/$M52),0)</f>
        <v>5759.5104207252034</v>
      </c>
      <c r="C52" s="75">
        <f>IF($M52&gt;0,('Amounts Pivot Table'!C$322/$M52),0)</f>
        <v>2310.0553131966049</v>
      </c>
      <c r="D52" s="75">
        <f>IF($M52&gt;0,('Amounts Pivot Table'!C$328/$M52),0)</f>
        <v>9416.4188856881901</v>
      </c>
      <c r="E52" s="75">
        <f>SUM(B52:D52)</f>
        <v>17485.984619609997</v>
      </c>
      <c r="F52" s="116">
        <f t="shared" si="17"/>
        <v>8</v>
      </c>
      <c r="G52" s="107">
        <f t="shared" si="18"/>
        <v>3</v>
      </c>
      <c r="H52" s="107">
        <f t="shared" si="19"/>
        <v>12</v>
      </c>
      <c r="I52" s="107">
        <f t="shared" si="20"/>
        <v>11</v>
      </c>
      <c r="J52" s="75"/>
      <c r="L52" s="168"/>
      <c r="M52" s="824">
        <f>+'[1]NEW-Tables 80-86'!B82</f>
        <v>31312.6</v>
      </c>
      <c r="N52" s="73"/>
      <c r="O52" s="73"/>
      <c r="P52" s="73"/>
      <c r="Q52" s="73"/>
    </row>
    <row r="53" spans="1:17" s="61" customFormat="1" ht="12.75" customHeight="1">
      <c r="A53" s="73" t="s">
        <v>324</v>
      </c>
      <c r="B53" s="75">
        <f>IF($M53&gt;0,('Amounts Pivot Table'!C$358/$M53),0)</f>
        <v>10121.560320827877</v>
      </c>
      <c r="C53" s="75">
        <f>IF($M53&gt;0,('Amounts Pivot Table'!C$361/$M53),0)</f>
        <v>983.51338575718114</v>
      </c>
      <c r="D53" s="75">
        <f>IF($M53&gt;0,('Amounts Pivot Table'!C$367/$M53),0)</f>
        <v>9456.5551863141518</v>
      </c>
      <c r="E53" s="75">
        <f>SUM(B53:D53)</f>
        <v>20561.628892899211</v>
      </c>
      <c r="F53" s="116">
        <f t="shared" si="17"/>
        <v>2</v>
      </c>
      <c r="G53" s="107">
        <f t="shared" si="18"/>
        <v>10</v>
      </c>
      <c r="H53" s="107">
        <f t="shared" si="19"/>
        <v>11</v>
      </c>
      <c r="I53" s="107">
        <f t="shared" si="20"/>
        <v>6</v>
      </c>
      <c r="J53" s="75"/>
      <c r="L53" s="168"/>
      <c r="M53" s="824">
        <f>+'[1]NEW-Tables 80-86'!B83</f>
        <v>93347.041666666672</v>
      </c>
      <c r="N53" s="73"/>
      <c r="O53" s="73"/>
      <c r="P53" s="73"/>
      <c r="Q53" s="73"/>
    </row>
    <row r="54" spans="1:17" s="61" customFormat="1" ht="12.75" customHeight="1">
      <c r="A54" s="73" t="s">
        <v>331</v>
      </c>
      <c r="B54" s="75">
        <f>IF($M54&gt;0,('Amounts Pivot Table'!C$397/$M54),0)</f>
        <v>6176.3282113860705</v>
      </c>
      <c r="C54" s="75">
        <f>IF($M54&gt;0,('Amounts Pivot Table'!C$400/$M54),0)</f>
        <v>0</v>
      </c>
      <c r="D54" s="75">
        <f>IF($M54&gt;0,('Amounts Pivot Table'!C$406/$M54),0)</f>
        <v>11616.326579350256</v>
      </c>
      <c r="E54" s="75">
        <f>SUM(B54:D54)</f>
        <v>17792.654790736327</v>
      </c>
      <c r="F54" s="116">
        <f t="shared" si="17"/>
        <v>7</v>
      </c>
      <c r="G54" s="107">
        <f t="shared" si="18"/>
        <v>0</v>
      </c>
      <c r="H54" s="107">
        <f t="shared" si="19"/>
        <v>8</v>
      </c>
      <c r="I54" s="107">
        <f t="shared" si="20"/>
        <v>9</v>
      </c>
      <c r="J54" s="75"/>
      <c r="L54" s="168"/>
      <c r="M54" s="824">
        <f>+'[1]NEW-Tables 80-86'!B84</f>
        <v>44525.166666666664</v>
      </c>
      <c r="N54" s="73"/>
      <c r="O54" s="73"/>
      <c r="P54" s="73"/>
      <c r="Q54" s="73"/>
    </row>
    <row r="55" spans="1:17" s="61" customFormat="1" ht="12.75" customHeight="1">
      <c r="A55" s="73" t="s">
        <v>325</v>
      </c>
      <c r="B55" s="75">
        <f>IF($M55&gt;0,('Amounts Pivot Table'!C$436/$M55),0)</f>
        <v>3288.6814721330043</v>
      </c>
      <c r="C55" s="75">
        <f>IF($M55&gt;0,('Amounts Pivot Table'!C$439/$M55),0)</f>
        <v>887.12577347497154</v>
      </c>
      <c r="D55" s="75">
        <f>IF($M55&gt;0,('Amounts Pivot Table'!C$445/$M55),0)</f>
        <v>18042.489113871638</v>
      </c>
      <c r="E55" s="75">
        <f>SUM(B55:D55)</f>
        <v>22218.296359479613</v>
      </c>
      <c r="F55" s="116">
        <f t="shared" si="17"/>
        <v>15</v>
      </c>
      <c r="G55" s="107">
        <f t="shared" si="18"/>
        <v>12</v>
      </c>
      <c r="H55" s="107">
        <f t="shared" si="19"/>
        <v>2</v>
      </c>
      <c r="I55" s="107">
        <f t="shared" si="20"/>
        <v>4</v>
      </c>
      <c r="J55" s="75"/>
      <c r="L55" s="168"/>
      <c r="M55" s="824">
        <f>+'[1]NEW-Tables 80-86'!B85</f>
        <v>50235.950000000004</v>
      </c>
      <c r="N55" s="73"/>
      <c r="O55" s="73"/>
      <c r="P55" s="73"/>
      <c r="Q55" s="73"/>
    </row>
    <row r="56" spans="1:17" s="112" customFormat="1" ht="8.25" customHeight="1">
      <c r="A56" s="110"/>
      <c r="B56" s="190"/>
      <c r="C56" s="190"/>
      <c r="D56" s="190"/>
      <c r="E56" s="190"/>
      <c r="F56" s="116"/>
      <c r="G56" s="107"/>
      <c r="H56" s="107"/>
      <c r="I56" s="107"/>
      <c r="J56" s="111"/>
      <c r="L56" s="175"/>
      <c r="M56" s="824"/>
      <c r="N56" s="110"/>
      <c r="O56" s="110"/>
      <c r="P56" s="110"/>
      <c r="Q56" s="110"/>
    </row>
    <row r="57" spans="1:17" s="61" customFormat="1" ht="12.75" customHeight="1">
      <c r="A57" s="73" t="s">
        <v>90</v>
      </c>
      <c r="B57" s="75">
        <f>IF($M57&gt;0,('Amounts Pivot Table'!C$475/$M57),0)</f>
        <v>6860.7514586729303</v>
      </c>
      <c r="C57" s="75">
        <f>IF($M57&gt;0,('Amounts Pivot Table'!C$478/$M57),0)</f>
        <v>1606.0331210415582</v>
      </c>
      <c r="D57" s="75">
        <f>IF($M57&gt;0,('Amounts Pivot Table'!C$484/$M57),0)</f>
        <v>10725.162555207411</v>
      </c>
      <c r="E57" s="75">
        <f>SUM(B57:D57)</f>
        <v>19191.947134921902</v>
      </c>
      <c r="F57" s="116">
        <f t="shared" si="17"/>
        <v>6</v>
      </c>
      <c r="G57" s="107">
        <f t="shared" si="18"/>
        <v>7</v>
      </c>
      <c r="H57" s="107">
        <f t="shared" si="19"/>
        <v>10</v>
      </c>
      <c r="I57" s="107">
        <f t="shared" si="20"/>
        <v>7</v>
      </c>
      <c r="J57" s="75"/>
      <c r="K57" s="101"/>
      <c r="L57" s="168"/>
      <c r="M57" s="824">
        <f>+'[1]NEW-Tables 80-86'!B87</f>
        <v>41612.016666666663</v>
      </c>
      <c r="N57" s="73"/>
      <c r="O57" s="73"/>
      <c r="P57" s="73"/>
      <c r="Q57" s="73"/>
    </row>
    <row r="58" spans="1:17" s="61" customFormat="1" ht="12.75" customHeight="1">
      <c r="A58" s="73" t="s">
        <v>326</v>
      </c>
      <c r="B58" s="75">
        <f>IF($M58&gt;0,('Amounts Pivot Table'!C$514/$M58),0)</f>
        <v>7069.6568610751974</v>
      </c>
      <c r="C58" s="75">
        <f>IF($M58&gt;0,('Amounts Pivot Table'!C$517/$M58),0)</f>
        <v>975.74890389773839</v>
      </c>
      <c r="D58" s="75">
        <f>IF($M58&gt;0,('Amounts Pivot Table'!C$523/$M58),0)</f>
        <v>8666.0603152574822</v>
      </c>
      <c r="E58" s="75">
        <f>SUM(B58:D58)</f>
        <v>16711.466080230417</v>
      </c>
      <c r="F58" s="116">
        <f t="shared" si="17"/>
        <v>4</v>
      </c>
      <c r="G58" s="107">
        <f t="shared" si="18"/>
        <v>11</v>
      </c>
      <c r="H58" s="107">
        <f t="shared" si="19"/>
        <v>14</v>
      </c>
      <c r="I58" s="107">
        <f t="shared" si="20"/>
        <v>13</v>
      </c>
      <c r="J58" s="75"/>
      <c r="K58" s="101"/>
      <c r="L58" s="168"/>
      <c r="M58" s="824">
        <f>+'[1]NEW-Tables 80-86'!B88</f>
        <v>232636.82500000001</v>
      </c>
      <c r="N58" s="73"/>
      <c r="O58" s="73"/>
      <c r="P58" s="73"/>
      <c r="Q58" s="73"/>
    </row>
    <row r="59" spans="1:17" s="76" customFormat="1" ht="12.75" customHeight="1">
      <c r="A59" s="73" t="s">
        <v>327</v>
      </c>
      <c r="B59" s="75">
        <f>IF($M59&gt;0,('Amounts Pivot Table'!C$553/$M59),0)</f>
        <v>4439.2278014499943</v>
      </c>
      <c r="C59" s="75">
        <f>IF($M59&gt;0,('Amounts Pivot Table'!C$556/$M59),0)</f>
        <v>764.46481749615714</v>
      </c>
      <c r="D59" s="75">
        <f>IF($M59&gt;0,('Amounts Pivot Table'!C$562/$M59),0)</f>
        <v>13152.897576294128</v>
      </c>
      <c r="E59" s="75">
        <f>SUM(B59:D59)</f>
        <v>18356.590195240278</v>
      </c>
      <c r="F59" s="116">
        <f t="shared" si="17"/>
        <v>13</v>
      </c>
      <c r="G59" s="107">
        <f t="shared" si="18"/>
        <v>14</v>
      </c>
      <c r="H59" s="107">
        <f t="shared" si="19"/>
        <v>6</v>
      </c>
      <c r="I59" s="107">
        <f t="shared" si="20"/>
        <v>8</v>
      </c>
      <c r="J59" s="75"/>
      <c r="K59" s="101"/>
      <c r="L59" s="169"/>
      <c r="M59" s="824">
        <f>+'[1]NEW-Tables 80-86'!B89</f>
        <v>103090.06666666667</v>
      </c>
      <c r="N59" s="90"/>
      <c r="O59" s="90"/>
      <c r="P59" s="90"/>
      <c r="Q59" s="90"/>
    </row>
    <row r="60" spans="1:17" s="61" customFormat="1" ht="12.75" customHeight="1">
      <c r="A60" s="74" t="s">
        <v>332</v>
      </c>
      <c r="B60" s="104">
        <f>IF($M60&gt;0,('Amounts Pivot Table'!C$592/$M60),0)</f>
        <v>2355.1076936100567</v>
      </c>
      <c r="C60" s="104">
        <f>IF($M60&gt;0,('Amounts Pivot Table'!C$595/$M60),0)</f>
        <v>1635.2380603016493</v>
      </c>
      <c r="D60" s="104">
        <f>IF($M60&gt;0,('Amounts Pivot Table'!C$601/$M60),0)</f>
        <v>11879.296772342697</v>
      </c>
      <c r="E60" s="105">
        <f>SUM(B60:D60)</f>
        <v>15869.642526254403</v>
      </c>
      <c r="F60" s="117">
        <f t="shared" si="17"/>
        <v>16</v>
      </c>
      <c r="G60" s="118">
        <f t="shared" si="18"/>
        <v>6</v>
      </c>
      <c r="H60" s="118">
        <f t="shared" si="19"/>
        <v>7</v>
      </c>
      <c r="I60" s="118">
        <f t="shared" si="20"/>
        <v>15</v>
      </c>
      <c r="J60" s="75"/>
      <c r="K60" s="101"/>
      <c r="L60" s="170"/>
      <c r="M60" s="824">
        <f>+'[1]NEW-Tables 80-86'!B90</f>
        <v>26578.875</v>
      </c>
      <c r="N60" s="73"/>
      <c r="O60" s="73"/>
      <c r="P60" s="73"/>
      <c r="Q60" s="73"/>
    </row>
    <row r="61" spans="1:17" s="61" customFormat="1" ht="39.75" customHeight="1">
      <c r="A61" s="1505" t="s">
        <v>17</v>
      </c>
      <c r="B61" s="1530"/>
      <c r="C61" s="1530"/>
      <c r="D61" s="1530"/>
      <c r="E61" s="1530"/>
      <c r="F61" s="1530"/>
      <c r="G61" s="1531"/>
      <c r="H61" s="1531"/>
      <c r="I61" s="1531"/>
      <c r="J61" s="101"/>
      <c r="K61" s="101"/>
      <c r="L61" s="171"/>
      <c r="M61" s="300"/>
      <c r="N61" s="73"/>
      <c r="O61" s="73"/>
      <c r="P61" s="73"/>
      <c r="Q61" s="73"/>
    </row>
    <row r="62" spans="1:17" s="76" customFormat="1" ht="19.5" customHeight="1">
      <c r="A62" s="1505" t="s">
        <v>54</v>
      </c>
      <c r="B62" s="1533"/>
      <c r="C62" s="1533"/>
      <c r="D62" s="1533"/>
      <c r="E62" s="1533"/>
      <c r="F62" s="1533"/>
      <c r="G62" s="1533"/>
      <c r="H62" s="1533"/>
      <c r="I62" s="1533"/>
      <c r="J62" s="106"/>
      <c r="L62" s="169"/>
      <c r="M62" s="296"/>
      <c r="N62" s="90"/>
      <c r="O62" s="90"/>
      <c r="P62" s="90"/>
      <c r="Q62" s="90"/>
    </row>
    <row r="63" spans="1:17" s="61" customFormat="1">
      <c r="A63" s="1505" t="s">
        <v>233</v>
      </c>
      <c r="B63" s="1530"/>
      <c r="C63" s="1530"/>
      <c r="D63" s="1530"/>
      <c r="E63" s="1530"/>
      <c r="F63" s="1530"/>
      <c r="G63" s="1531"/>
      <c r="H63" s="1531"/>
      <c r="I63" s="1531"/>
      <c r="J63" s="1531"/>
      <c r="K63" s="1531"/>
      <c r="L63" s="171"/>
      <c r="M63" s="296"/>
      <c r="N63" s="73"/>
      <c r="O63" s="73"/>
      <c r="P63" s="73"/>
      <c r="Q63" s="73"/>
    </row>
    <row r="64" spans="1:17" s="61" customFormat="1">
      <c r="A64" s="187"/>
      <c r="B64" s="106"/>
      <c r="C64" s="106"/>
      <c r="D64" s="106"/>
      <c r="E64" s="106"/>
      <c r="F64" s="106"/>
      <c r="G64" s="188"/>
      <c r="H64" s="188"/>
      <c r="I64" s="534" t="s">
        <v>1927</v>
      </c>
      <c r="J64" s="188"/>
      <c r="K64" s="188"/>
      <c r="L64" s="171"/>
      <c r="M64" s="296"/>
      <c r="N64" s="73"/>
      <c r="O64" s="73"/>
      <c r="P64" s="73"/>
      <c r="Q64" s="73"/>
    </row>
    <row r="65" spans="1:17" s="61" customFormat="1" ht="18">
      <c r="A65" s="135" t="s">
        <v>360</v>
      </c>
      <c r="B65" s="135"/>
      <c r="C65" s="135"/>
      <c r="D65" s="135"/>
      <c r="E65" s="135"/>
      <c r="F65" s="135"/>
      <c r="G65" s="135"/>
      <c r="H65" s="135"/>
      <c r="I65" s="135"/>
      <c r="J65" s="95" t="s">
        <v>91</v>
      </c>
      <c r="L65" s="170"/>
      <c r="M65" s="296"/>
      <c r="N65" s="73"/>
      <c r="O65" s="73"/>
      <c r="P65" s="73"/>
      <c r="Q65" s="73"/>
    </row>
    <row r="66" spans="1:17" s="61" customFormat="1" ht="18">
      <c r="A66" s="135"/>
      <c r="B66" s="135"/>
      <c r="C66" s="135"/>
      <c r="D66" s="135"/>
      <c r="E66" s="135"/>
      <c r="F66" s="135"/>
      <c r="G66" s="135"/>
      <c r="H66" s="135"/>
      <c r="I66" s="135"/>
      <c r="J66" s="95"/>
      <c r="L66" s="170"/>
      <c r="M66" s="296"/>
      <c r="N66" s="73"/>
      <c r="O66" s="73"/>
      <c r="P66" s="73"/>
      <c r="Q66" s="73"/>
    </row>
    <row r="67" spans="1:17" s="61" customFormat="1" ht="18.75">
      <c r="A67" s="1504" t="s">
        <v>18</v>
      </c>
      <c r="B67" s="1504"/>
      <c r="C67" s="1504"/>
      <c r="D67" s="1504"/>
      <c r="E67" s="1504"/>
      <c r="F67" s="1504"/>
      <c r="G67" s="1504"/>
      <c r="H67" s="1504"/>
      <c r="I67" s="1504"/>
      <c r="J67" s="95"/>
      <c r="K67" s="95"/>
      <c r="L67" s="170"/>
      <c r="M67" s="296"/>
      <c r="N67" s="73"/>
      <c r="O67" s="73"/>
      <c r="P67" s="73"/>
      <c r="Q67" s="73"/>
    </row>
    <row r="68" spans="1:17" s="61" customFormat="1" ht="15.75">
      <c r="A68" s="1504" t="s">
        <v>1931</v>
      </c>
      <c r="B68" s="1504"/>
      <c r="C68" s="1504"/>
      <c r="D68" s="1504"/>
      <c r="E68" s="1504"/>
      <c r="F68" s="1504"/>
      <c r="G68" s="1504"/>
      <c r="H68" s="1504"/>
      <c r="I68" s="1504"/>
      <c r="J68" s="95"/>
      <c r="K68" s="95"/>
      <c r="L68" s="165"/>
      <c r="M68" s="296"/>
      <c r="N68" s="73"/>
      <c r="O68" s="73"/>
      <c r="P68" s="73"/>
      <c r="Q68" s="73"/>
    </row>
    <row r="69" spans="1:17" s="61" customFormat="1" ht="6.75" customHeight="1">
      <c r="A69" s="91"/>
      <c r="B69" s="91"/>
      <c r="C69" s="91"/>
      <c r="D69" s="91"/>
      <c r="E69" s="91"/>
      <c r="F69" s="91"/>
      <c r="G69" s="108" t="s">
        <v>91</v>
      </c>
      <c r="H69" s="91"/>
      <c r="I69" s="91"/>
      <c r="J69" s="91"/>
      <c r="K69" s="91"/>
      <c r="L69" s="165"/>
      <c r="M69" s="296"/>
      <c r="N69" s="73"/>
      <c r="O69" s="73"/>
      <c r="P69" s="73"/>
      <c r="Q69" s="73"/>
    </row>
    <row r="70" spans="1:17" s="61" customFormat="1" ht="15.75" customHeight="1">
      <c r="A70" s="60"/>
      <c r="B70" s="566" t="s">
        <v>55</v>
      </c>
      <c r="C70" s="567"/>
      <c r="D70" s="567"/>
      <c r="E70" s="567"/>
      <c r="F70" s="568" t="s">
        <v>119</v>
      </c>
      <c r="G70" s="569"/>
      <c r="H70" s="569"/>
      <c r="I70" s="569"/>
      <c r="L70" s="165"/>
      <c r="M70" s="296"/>
      <c r="N70" s="73"/>
      <c r="O70" s="73"/>
      <c r="P70" s="73"/>
      <c r="Q70" s="73"/>
    </row>
    <row r="71" spans="1:17" s="6" customFormat="1" ht="48">
      <c r="A71" s="50"/>
      <c r="B71" s="549" t="s">
        <v>87</v>
      </c>
      <c r="C71" s="550" t="s">
        <v>89</v>
      </c>
      <c r="D71" s="550" t="s">
        <v>397</v>
      </c>
      <c r="E71" s="550" t="s">
        <v>97</v>
      </c>
      <c r="F71" s="551" t="s">
        <v>87</v>
      </c>
      <c r="G71" s="550" t="s">
        <v>89</v>
      </c>
      <c r="H71" s="550" t="s">
        <v>397</v>
      </c>
      <c r="I71" s="550" t="s">
        <v>97</v>
      </c>
      <c r="L71" s="172"/>
      <c r="M71" s="296" t="s">
        <v>260</v>
      </c>
      <c r="N71" s="7"/>
      <c r="O71" s="7"/>
      <c r="P71" s="7"/>
      <c r="Q71" s="7"/>
    </row>
    <row r="72" spans="1:17" s="61" customFormat="1" ht="16.5" customHeight="1">
      <c r="A72" s="73" t="s">
        <v>56</v>
      </c>
      <c r="B72" s="102">
        <f>IF($M72&gt;0,('Amounts Pivot Table'!D$631/$M72),0)</f>
        <v>6053.4769504442893</v>
      </c>
      <c r="C72" s="102">
        <f>IF($M72&gt;0,('Amounts Pivot Table'!D$634/$M72),0)</f>
        <v>265.51992608270973</v>
      </c>
      <c r="D72" s="102">
        <f>IF($M72&gt;0,('Amounts Pivot Table'!D$640/$M72),0)</f>
        <v>9567.1674407800292</v>
      </c>
      <c r="E72" s="102">
        <f>SUM(B72:D72)</f>
        <v>15886.164317307028</v>
      </c>
      <c r="F72" s="114"/>
      <c r="G72" s="115"/>
      <c r="H72" s="115"/>
      <c r="I72" s="115"/>
      <c r="J72" s="102"/>
      <c r="L72" s="168"/>
      <c r="M72" s="824">
        <f>+'[1]NEW-Tables 80-86'!C70</f>
        <v>246282.47666666663</v>
      </c>
      <c r="N72" s="73"/>
      <c r="O72" s="73"/>
      <c r="P72" s="73"/>
      <c r="Q72" s="73"/>
    </row>
    <row r="73" spans="1:17" s="61" customFormat="1" ht="10.5" customHeight="1">
      <c r="A73" s="73"/>
      <c r="B73" s="102"/>
      <c r="C73" s="102"/>
      <c r="D73" s="102"/>
      <c r="E73" s="102"/>
      <c r="F73" s="114"/>
      <c r="G73" s="115"/>
      <c r="H73" s="115"/>
      <c r="I73" s="115"/>
      <c r="J73" s="102"/>
      <c r="L73" s="168"/>
      <c r="M73" s="824"/>
      <c r="N73" s="73"/>
      <c r="O73" s="73"/>
      <c r="P73" s="73"/>
      <c r="Q73" s="73"/>
    </row>
    <row r="74" spans="1:17" s="61" customFormat="1">
      <c r="A74" s="73" t="s">
        <v>320</v>
      </c>
      <c r="B74" s="75">
        <f>IF($M74&gt;0,('Amounts Pivot Table'!D$7/$M74),0)</f>
        <v>5261.14878876071</v>
      </c>
      <c r="C74" s="75">
        <f>IF($M74&gt;0,('Amounts Pivot Table'!D$10/$M74),0)</f>
        <v>90.795303720245698</v>
      </c>
      <c r="D74" s="75">
        <f>IF($M74&gt;0,('Amounts Pivot Table'!D$16/$M74),0)</f>
        <v>12258.957091219907</v>
      </c>
      <c r="E74" s="75">
        <f>SUM(B74:D74)</f>
        <v>17610.901183700862</v>
      </c>
      <c r="F74" s="116">
        <f>IF(B74&gt;0,RANK(B74,$B$74:$B$92),)</f>
        <v>6</v>
      </c>
      <c r="G74" s="107">
        <f>IF(C74&gt;0,RANK(C74,$C$74:$C$92),)</f>
        <v>6</v>
      </c>
      <c r="H74" s="107">
        <f>IF(D74&gt;0,RANK(D74,$D$74:$D$92),)</f>
        <v>3</v>
      </c>
      <c r="I74" s="107">
        <f>IF(E74&gt;0,RANK(E74,$E$74:$E$92),)</f>
        <v>4</v>
      </c>
      <c r="J74" s="75"/>
      <c r="L74" s="168"/>
      <c r="M74" s="824">
        <f>+'[1]NEW-Tables 80-86'!C72</f>
        <v>16613.150000000001</v>
      </c>
      <c r="N74" s="73"/>
      <c r="O74" s="73"/>
      <c r="P74" s="73"/>
      <c r="Q74" s="73"/>
    </row>
    <row r="75" spans="1:17" s="61" customFormat="1">
      <c r="A75" s="73" t="s">
        <v>334</v>
      </c>
      <c r="B75" s="75">
        <f>IF($M75&gt;0,('Amounts Pivot Table'!D$46/$M75),0)</f>
        <v>6915.5617559834591</v>
      </c>
      <c r="C75" s="75">
        <f>IF($M75&gt;0,('Amounts Pivot Table'!D$49/$M75),0)</f>
        <v>455.32333653565013</v>
      </c>
      <c r="D75" s="75">
        <f>IF($M75&gt;0,('Amounts Pivot Table'!D$55/$M75),0)</f>
        <v>8556.4713253414648</v>
      </c>
      <c r="E75" s="75">
        <f>SUM(B75:D75)</f>
        <v>15927.356417860574</v>
      </c>
      <c r="F75" s="116">
        <f t="shared" ref="F75:F92" si="21">IF(B75&gt;0,RANK(B75,$B$74:$B$92),)</f>
        <v>4</v>
      </c>
      <c r="G75" s="107">
        <f t="shared" ref="G75:G92" si="22">IF(C75&gt;0,RANK(C75,$C$74:$C$92),)</f>
        <v>4</v>
      </c>
      <c r="H75" s="107">
        <f t="shared" ref="H75:H92" si="23">IF(D75&gt;0,RANK(D75,$D$74:$D$92),)</f>
        <v>7</v>
      </c>
      <c r="I75" s="107">
        <f t="shared" ref="I75:I92" si="24">IF(E75&gt;0,RANK(E75,$E$74:$E$92),)</f>
        <v>7</v>
      </c>
      <c r="J75" s="75"/>
      <c r="L75" s="168"/>
      <c r="M75" s="824">
        <f>+'[1]NEW-Tables 80-86'!C73</f>
        <v>8977.875</v>
      </c>
      <c r="N75" s="73"/>
      <c r="O75" s="73"/>
      <c r="P75" s="73"/>
      <c r="Q75" s="73"/>
    </row>
    <row r="76" spans="1:17" s="61" customFormat="1">
      <c r="A76" s="73" t="s">
        <v>321</v>
      </c>
      <c r="B76" s="75">
        <f>IF($M76&gt;0,('Amounts Pivot Table'!D$85/$M76),0)</f>
        <v>0</v>
      </c>
      <c r="C76" s="75">
        <f>IF($M76&gt;0,('Amounts Pivot Table'!D$88/$M76),0)</f>
        <v>0</v>
      </c>
      <c r="D76" s="75">
        <f>IF($M76&gt;0,('Amounts Pivot Table'!D$94/$M76),0)</f>
        <v>0</v>
      </c>
      <c r="E76" s="75">
        <f>SUM(B76:D76)</f>
        <v>0</v>
      </c>
      <c r="F76" s="116">
        <f t="shared" si="21"/>
        <v>0</v>
      </c>
      <c r="G76" s="107">
        <f t="shared" si="22"/>
        <v>0</v>
      </c>
      <c r="H76" s="107">
        <f t="shared" si="23"/>
        <v>0</v>
      </c>
      <c r="I76" s="107">
        <f t="shared" si="24"/>
        <v>0</v>
      </c>
      <c r="J76" s="75"/>
      <c r="L76" s="168"/>
      <c r="M76" s="824">
        <f>+'[1]NEW-Tables 80-86'!C74</f>
        <v>0</v>
      </c>
      <c r="N76" s="73"/>
      <c r="O76" s="73"/>
      <c r="P76" s="73"/>
      <c r="Q76" s="73"/>
    </row>
    <row r="77" spans="1:17" s="61" customFormat="1">
      <c r="A77" s="73" t="s">
        <v>328</v>
      </c>
      <c r="B77" s="75">
        <f>IF($M77&gt;0,('Amounts Pivot Table'!D$124/$M77),0)</f>
        <v>0</v>
      </c>
      <c r="C77" s="75">
        <f>IF($M77&gt;0,('Amounts Pivot Table'!D$127/$M77),0)</f>
        <v>0</v>
      </c>
      <c r="D77" s="75">
        <f>IF($M77&gt;0,('Amounts Pivot Table'!D$133/$M77),0)</f>
        <v>0</v>
      </c>
      <c r="E77" s="75">
        <f>SUM(B77:D77)</f>
        <v>0</v>
      </c>
      <c r="F77" s="116">
        <f t="shared" si="21"/>
        <v>0</v>
      </c>
      <c r="G77" s="107">
        <f t="shared" si="22"/>
        <v>0</v>
      </c>
      <c r="H77" s="107">
        <f t="shared" si="23"/>
        <v>0</v>
      </c>
      <c r="I77" s="107">
        <f t="shared" si="24"/>
        <v>0</v>
      </c>
      <c r="J77" s="75"/>
      <c r="L77" s="168"/>
      <c r="M77" s="824">
        <f>+'[1]NEW-Tables 80-86'!C75</f>
        <v>0</v>
      </c>
      <c r="N77" s="73"/>
      <c r="O77" s="73"/>
      <c r="P77" s="73"/>
      <c r="Q77" s="73"/>
    </row>
    <row r="78" spans="1:17" s="61" customFormat="1" ht="7.5" customHeight="1">
      <c r="A78" s="73"/>
      <c r="B78" s="75"/>
      <c r="C78" s="75"/>
      <c r="D78" s="75"/>
      <c r="E78" s="75"/>
      <c r="F78" s="116"/>
      <c r="G78" s="107"/>
      <c r="H78" s="107"/>
      <c r="I78" s="107"/>
      <c r="J78" s="75"/>
      <c r="L78" s="168"/>
      <c r="M78" s="824"/>
      <c r="N78" s="73"/>
      <c r="O78" s="73"/>
      <c r="P78" s="73"/>
      <c r="Q78" s="73"/>
    </row>
    <row r="79" spans="1:17" s="61" customFormat="1">
      <c r="A79" s="73" t="s">
        <v>329</v>
      </c>
      <c r="B79" s="75">
        <f>IF($M79&gt;0,('Amounts Pivot Table'!D$163/$M79),0)</f>
        <v>8781.4771737994924</v>
      </c>
      <c r="C79" s="75">
        <f>IF($M79&gt;0,('Amounts Pivot Table'!D$166/$M79),0)</f>
        <v>528.67434538672524</v>
      </c>
      <c r="D79" s="75">
        <f>IF($M79&gt;0,('Amounts Pivot Table'!D$172/$M79),0)</f>
        <v>14833.983436742739</v>
      </c>
      <c r="E79" s="75">
        <f>SUM(B79:D79)</f>
        <v>24144.134955928959</v>
      </c>
      <c r="F79" s="116">
        <f t="shared" si="21"/>
        <v>3</v>
      </c>
      <c r="G79" s="107">
        <f t="shared" si="22"/>
        <v>3</v>
      </c>
      <c r="H79" s="107">
        <f t="shared" si="23"/>
        <v>1</v>
      </c>
      <c r="I79" s="107">
        <f t="shared" si="24"/>
        <v>1</v>
      </c>
      <c r="J79" s="75"/>
      <c r="L79" s="168"/>
      <c r="M79" s="824">
        <f>+'[1]NEW-Tables 80-86'!C77</f>
        <v>24409.449999999997</v>
      </c>
      <c r="N79" s="73"/>
      <c r="O79" s="73"/>
      <c r="P79" s="73"/>
      <c r="Q79" s="73"/>
    </row>
    <row r="80" spans="1:17" s="61" customFormat="1">
      <c r="A80" s="73" t="s">
        <v>322</v>
      </c>
      <c r="B80" s="75">
        <f>IF($M80&gt;0,('Amounts Pivot Table'!D$202/$M80),0)</f>
        <v>0</v>
      </c>
      <c r="C80" s="75">
        <f>IF($M80&gt;0,('Amounts Pivot Table'!D$205/$M80),0)</f>
        <v>0</v>
      </c>
      <c r="D80" s="75">
        <f>IF($M80&gt;0,('Amounts Pivot Table'!D$211/$M80),0)</f>
        <v>0</v>
      </c>
      <c r="E80" s="75">
        <f>SUM(B80:D80)</f>
        <v>0</v>
      </c>
      <c r="F80" s="116">
        <f t="shared" si="21"/>
        <v>0</v>
      </c>
      <c r="G80" s="107">
        <f t="shared" si="22"/>
        <v>0</v>
      </c>
      <c r="H80" s="107">
        <f t="shared" si="23"/>
        <v>0</v>
      </c>
      <c r="I80" s="107">
        <f t="shared" si="24"/>
        <v>0</v>
      </c>
      <c r="J80" s="75"/>
      <c r="L80" s="168"/>
      <c r="M80" s="824">
        <f>+'[1]NEW-Tables 80-86'!C78</f>
        <v>0</v>
      </c>
      <c r="N80" s="73"/>
      <c r="O80" s="73"/>
      <c r="P80" s="73"/>
      <c r="Q80" s="73"/>
    </row>
    <row r="81" spans="1:17" s="61" customFormat="1">
      <c r="A81" s="73" t="s">
        <v>330</v>
      </c>
      <c r="B81" s="75">
        <f>IF($M81&gt;0,('Amounts Pivot Table'!D$241/$M81),0)</f>
        <v>3555.1084773990287</v>
      </c>
      <c r="C81" s="75">
        <f>IF($M81&gt;0,('Amounts Pivot Table'!D$244/$M81),0)</f>
        <v>0</v>
      </c>
      <c r="D81" s="75">
        <f>IF($M81&gt;0,('Amounts Pivot Table'!D$250/$M81),0)</f>
        <v>7146.8281475960957</v>
      </c>
      <c r="E81" s="75">
        <f>SUM(B81:D81)</f>
        <v>10701.936624995124</v>
      </c>
      <c r="F81" s="116">
        <f t="shared" si="21"/>
        <v>10</v>
      </c>
      <c r="G81" s="107">
        <f t="shared" si="22"/>
        <v>0</v>
      </c>
      <c r="H81" s="107">
        <f t="shared" si="23"/>
        <v>8</v>
      </c>
      <c r="I81" s="107">
        <f t="shared" si="24"/>
        <v>10</v>
      </c>
      <c r="J81" s="75"/>
      <c r="L81" s="168"/>
      <c r="M81" s="824">
        <f>+'[1]NEW-Tables 80-86'!C79</f>
        <v>30973.041666666664</v>
      </c>
      <c r="N81" s="73"/>
      <c r="O81" s="73"/>
      <c r="P81" s="73"/>
      <c r="Q81" s="73"/>
    </row>
    <row r="82" spans="1:17" s="61" customFormat="1">
      <c r="A82" s="73" t="s">
        <v>333</v>
      </c>
      <c r="B82" s="75">
        <f>IF($M82&gt;0,('Amounts Pivot Table'!D$280/$M82),0)</f>
        <v>10488.993525779799</v>
      </c>
      <c r="C82" s="75">
        <f>IF($M82&gt;0,('Amounts Pivot Table'!D$283/$M82),0)</f>
        <v>0</v>
      </c>
      <c r="D82" s="75">
        <f>IF($M82&gt;0,('Amounts Pivot Table'!D$289/$M82),0)</f>
        <v>9038.7803364689426</v>
      </c>
      <c r="E82" s="75">
        <f>SUM(B82:D82)</f>
        <v>19527.773862248741</v>
      </c>
      <c r="F82" s="116">
        <f t="shared" si="21"/>
        <v>1</v>
      </c>
      <c r="G82" s="107">
        <f t="shared" si="22"/>
        <v>0</v>
      </c>
      <c r="H82" s="107">
        <f t="shared" si="23"/>
        <v>6</v>
      </c>
      <c r="I82" s="107">
        <f t="shared" si="24"/>
        <v>2</v>
      </c>
      <c r="J82" s="75"/>
      <c r="L82" s="168"/>
      <c r="M82" s="824">
        <f>+'[1]NEW-Tables 80-86'!C80</f>
        <v>18896.741666666665</v>
      </c>
      <c r="N82" s="73"/>
      <c r="O82" s="73"/>
      <c r="P82" s="73"/>
      <c r="Q82" s="73"/>
    </row>
    <row r="83" spans="1:17" s="61" customFormat="1" ht="6.75" customHeight="1">
      <c r="A83" s="73"/>
      <c r="B83" s="75"/>
      <c r="C83" s="75"/>
      <c r="D83" s="75"/>
      <c r="E83" s="75"/>
      <c r="F83" s="116"/>
      <c r="G83" s="107"/>
      <c r="H83" s="107"/>
      <c r="I83" s="107"/>
      <c r="J83" s="75"/>
      <c r="L83" s="168"/>
      <c r="M83" s="824"/>
      <c r="N83" s="73"/>
      <c r="O83" s="73"/>
      <c r="P83" s="73"/>
      <c r="Q83" s="73"/>
    </row>
    <row r="84" spans="1:17" s="61" customFormat="1">
      <c r="A84" s="73" t="s">
        <v>323</v>
      </c>
      <c r="B84" s="75">
        <f>IF($M84&gt;0,('Amounts Pivot Table'!D$319/$M84),0)</f>
        <v>5306.161754671487</v>
      </c>
      <c r="C84" s="75">
        <f>IF($M84&gt;0,('Amounts Pivot Table'!D$322/$M84),0)</f>
        <v>294.4731677511819</v>
      </c>
      <c r="D84" s="75">
        <f>IF($M84&gt;0,('Amounts Pivot Table'!D$328/$M84),0)</f>
        <v>10732.147509087683</v>
      </c>
      <c r="E84" s="75">
        <f>SUM(B84:D84)</f>
        <v>16332.782431510352</v>
      </c>
      <c r="F84" s="116">
        <f t="shared" si="21"/>
        <v>5</v>
      </c>
      <c r="G84" s="107">
        <f t="shared" si="22"/>
        <v>5</v>
      </c>
      <c r="H84" s="107">
        <f t="shared" si="23"/>
        <v>4</v>
      </c>
      <c r="I84" s="107">
        <f t="shared" si="24"/>
        <v>5</v>
      </c>
      <c r="J84" s="75"/>
      <c r="L84" s="168"/>
      <c r="M84" s="824">
        <f>+'[1]NEW-Tables 80-86'!C82</f>
        <v>26636.325000000001</v>
      </c>
      <c r="N84" s="73"/>
      <c r="O84" s="73"/>
      <c r="P84" s="73"/>
      <c r="Q84" s="73"/>
    </row>
    <row r="85" spans="1:17" s="61" customFormat="1">
      <c r="A85" s="73" t="s">
        <v>324</v>
      </c>
      <c r="B85" s="75">
        <f>IF($M85&gt;0,('Amounts Pivot Table'!D$358/$M85),0)</f>
        <v>8932.167439382858</v>
      </c>
      <c r="C85" s="75">
        <f>IF($M85&gt;0,('Amounts Pivot Table'!D$361/$M85),0)</f>
        <v>0</v>
      </c>
      <c r="D85" s="75">
        <f>IF($M85&gt;0,('Amounts Pivot Table'!D$367/$M85),0)</f>
        <v>7095.5178594633835</v>
      </c>
      <c r="E85" s="75">
        <f>SUM(B85:D85)</f>
        <v>16027.685298846241</v>
      </c>
      <c r="F85" s="116">
        <f t="shared" si="21"/>
        <v>2</v>
      </c>
      <c r="G85" s="107">
        <f t="shared" si="22"/>
        <v>0</v>
      </c>
      <c r="H85" s="107">
        <f t="shared" si="23"/>
        <v>9</v>
      </c>
      <c r="I85" s="107">
        <f t="shared" si="24"/>
        <v>6</v>
      </c>
      <c r="J85" s="75"/>
      <c r="L85" s="168"/>
      <c r="M85" s="824">
        <f>+'[1]NEW-Tables 80-86'!C83</f>
        <v>23278.275000000001</v>
      </c>
      <c r="N85" s="73"/>
      <c r="O85" s="73"/>
      <c r="P85" s="73"/>
      <c r="Q85" s="73"/>
    </row>
    <row r="86" spans="1:17" s="61" customFormat="1">
      <c r="A86" s="73" t="s">
        <v>331</v>
      </c>
      <c r="B86" s="75">
        <f>IF($M86&gt;0,('Amounts Pivot Table'!D$397/$M86),0)</f>
        <v>0</v>
      </c>
      <c r="C86" s="75">
        <f>IF($M86&gt;0,('Amounts Pivot Table'!D$400/$M86),0)</f>
        <v>0</v>
      </c>
      <c r="D86" s="75">
        <f>IF($M86&gt;0,('Amounts Pivot Table'!D$406/$M86),0)</f>
        <v>0</v>
      </c>
      <c r="E86" s="75">
        <f>SUM(B86:D86)</f>
        <v>0</v>
      </c>
      <c r="F86" s="116">
        <f t="shared" si="21"/>
        <v>0</v>
      </c>
      <c r="G86" s="107">
        <f t="shared" si="22"/>
        <v>0</v>
      </c>
      <c r="H86" s="107">
        <f t="shared" si="23"/>
        <v>0</v>
      </c>
      <c r="I86" s="107">
        <f t="shared" si="24"/>
        <v>0</v>
      </c>
      <c r="J86" s="75"/>
      <c r="L86" s="168"/>
      <c r="M86" s="824">
        <f>+'[1]NEW-Tables 80-86'!C84</f>
        <v>0</v>
      </c>
      <c r="N86" s="73"/>
      <c r="O86" s="73"/>
      <c r="P86" s="73"/>
      <c r="Q86" s="73"/>
    </row>
    <row r="87" spans="1:17" s="61" customFormat="1">
      <c r="A87" s="73" t="s">
        <v>325</v>
      </c>
      <c r="B87" s="75">
        <f>IF($M87&gt;0,('Amounts Pivot Table'!D$436/$M87),0)</f>
        <v>0</v>
      </c>
      <c r="C87" s="75">
        <f>IF($M87&gt;0,('Amounts Pivot Table'!D$439/$M87),0)</f>
        <v>0</v>
      </c>
      <c r="D87" s="75">
        <f>IF($M87&gt;0,('Amounts Pivot Table'!D$445/$M87),0)</f>
        <v>0</v>
      </c>
      <c r="E87" s="75">
        <f>SUM(B87:D87)</f>
        <v>0</v>
      </c>
      <c r="F87" s="116">
        <f t="shared" si="21"/>
        <v>0</v>
      </c>
      <c r="G87" s="107">
        <f t="shared" si="22"/>
        <v>0</v>
      </c>
      <c r="H87" s="107">
        <f t="shared" si="23"/>
        <v>0</v>
      </c>
      <c r="I87" s="107">
        <f t="shared" si="24"/>
        <v>0</v>
      </c>
      <c r="J87" s="75"/>
      <c r="L87" s="168"/>
      <c r="M87" s="824">
        <f>+'[1]NEW-Tables 80-86'!C85</f>
        <v>0</v>
      </c>
      <c r="N87" s="73"/>
      <c r="O87" s="73"/>
      <c r="P87" s="73"/>
      <c r="Q87" s="73"/>
    </row>
    <row r="88" spans="1:17" s="61" customFormat="1" ht="7.5" customHeight="1">
      <c r="A88" s="73"/>
      <c r="B88" s="75"/>
      <c r="C88" s="75"/>
      <c r="D88" s="75"/>
      <c r="E88" s="75"/>
      <c r="F88" s="116"/>
      <c r="G88" s="107"/>
      <c r="H88" s="107"/>
      <c r="I88" s="107"/>
      <c r="J88" s="101"/>
      <c r="K88" s="101"/>
      <c r="L88" s="168"/>
      <c r="M88" s="824"/>
      <c r="N88" s="73"/>
      <c r="O88" s="73"/>
      <c r="P88" s="73"/>
      <c r="Q88" s="73"/>
    </row>
    <row r="89" spans="1:17" s="61" customFormat="1">
      <c r="A89" s="73" t="s">
        <v>90</v>
      </c>
      <c r="B89" s="75">
        <f>IF($M89&gt;0,('Amounts Pivot Table'!D$475/$M89),0)</f>
        <v>4593.7585304966815</v>
      </c>
      <c r="C89" s="75">
        <f>IF($M89&gt;0,('Amounts Pivot Table'!D$478/$M89),0)</f>
        <v>797.03601891727544</v>
      </c>
      <c r="D89" s="75">
        <f>IF($M89&gt;0,('Amounts Pivot Table'!D$484/$M89),0)</f>
        <v>10045.944741871112</v>
      </c>
      <c r="E89" s="75">
        <f>SUM(B89:D89)</f>
        <v>15436.739291285068</v>
      </c>
      <c r="F89" s="116">
        <f t="shared" si="21"/>
        <v>9</v>
      </c>
      <c r="G89" s="107">
        <f t="shared" si="22"/>
        <v>1</v>
      </c>
      <c r="H89" s="107">
        <f t="shared" si="23"/>
        <v>5</v>
      </c>
      <c r="I89" s="107">
        <f t="shared" si="24"/>
        <v>8</v>
      </c>
      <c r="J89" s="101"/>
      <c r="K89" s="101"/>
      <c r="L89" s="168"/>
      <c r="M89" s="824">
        <f>+'[1]NEW-Tables 80-86'!C87</f>
        <v>7687.8583333333327</v>
      </c>
      <c r="N89" s="73"/>
      <c r="O89" s="73"/>
      <c r="P89" s="73"/>
      <c r="Q89" s="73"/>
    </row>
    <row r="90" spans="1:17" s="61" customFormat="1">
      <c r="A90" s="73" t="s">
        <v>326</v>
      </c>
      <c r="B90" s="75">
        <f>IF($M90&gt;0,('Amounts Pivot Table'!D$514/$M90),0)</f>
        <v>5064.9139609118247</v>
      </c>
      <c r="C90" s="75">
        <f>IF($M90&gt;0,('Amounts Pivot Table'!D$517/$M90),0)</f>
        <v>89.253422078884029</v>
      </c>
      <c r="D90" s="75">
        <f>IF($M90&gt;0,('Amounts Pivot Table'!D$523/$M90),0)</f>
        <v>6155.3120798181562</v>
      </c>
      <c r="E90" s="75">
        <f>SUM(B90:D90)</f>
        <v>11309.479462808864</v>
      </c>
      <c r="F90" s="116">
        <f t="shared" si="21"/>
        <v>7</v>
      </c>
      <c r="G90" s="107">
        <f t="shared" si="22"/>
        <v>7</v>
      </c>
      <c r="H90" s="107">
        <f t="shared" si="23"/>
        <v>10</v>
      </c>
      <c r="I90" s="107">
        <f t="shared" si="24"/>
        <v>9</v>
      </c>
      <c r="J90" s="101"/>
      <c r="K90" s="101"/>
      <c r="L90" s="168"/>
      <c r="M90" s="824">
        <f>+'[1]NEW-Tables 80-86'!C88</f>
        <v>52990.45</v>
      </c>
      <c r="N90" s="73"/>
      <c r="O90" s="73"/>
      <c r="P90" s="73"/>
      <c r="Q90" s="73"/>
    </row>
    <row r="91" spans="1:17" s="76" customFormat="1" ht="14.25" customHeight="1">
      <c r="A91" s="73" t="s">
        <v>327</v>
      </c>
      <c r="B91" s="75">
        <f>IF($M91&gt;0,('Amounts Pivot Table'!D$553/$M91),0)</f>
        <v>4626.8983685057028</v>
      </c>
      <c r="C91" s="75">
        <f>IF($M91&gt;0,('Amounts Pivot Table'!D$556/$M91),0)</f>
        <v>787.04087264662553</v>
      </c>
      <c r="D91" s="75">
        <f>IF($M91&gt;0,('Amounts Pivot Table'!D$562/$M91),0)</f>
        <v>13039.169291647439</v>
      </c>
      <c r="E91" s="75">
        <f>SUM(B91:D91)</f>
        <v>18453.108532799768</v>
      </c>
      <c r="F91" s="116">
        <f t="shared" si="21"/>
        <v>8</v>
      </c>
      <c r="G91" s="107">
        <f t="shared" si="22"/>
        <v>2</v>
      </c>
      <c r="H91" s="107">
        <f t="shared" si="23"/>
        <v>2</v>
      </c>
      <c r="I91" s="107">
        <f t="shared" si="24"/>
        <v>3</v>
      </c>
      <c r="J91" s="101"/>
      <c r="K91" s="101"/>
      <c r="L91" s="169"/>
      <c r="M91" s="824">
        <f>+'[1]NEW-Tables 80-86'!C89</f>
        <v>35819.31</v>
      </c>
      <c r="N91" s="90"/>
      <c r="O91" s="90"/>
      <c r="P91" s="90"/>
      <c r="Q91" s="90"/>
    </row>
    <row r="92" spans="1:17" s="61" customFormat="1">
      <c r="A92" s="74" t="s">
        <v>332</v>
      </c>
      <c r="B92" s="104">
        <f>IF($M92&gt;0,('Amounts Pivot Table'!D$592/$M92),0)</f>
        <v>0</v>
      </c>
      <c r="C92" s="104">
        <f>IF($M92&gt;0,('Amounts Pivot Table'!D$595/$M92),0)</f>
        <v>0</v>
      </c>
      <c r="D92" s="104">
        <f>IF($M92&gt;0,('Amounts Pivot Table'!D$601/$M92),0)</f>
        <v>0</v>
      </c>
      <c r="E92" s="105">
        <f>SUM(B92:D92)</f>
        <v>0</v>
      </c>
      <c r="F92" s="117">
        <f t="shared" si="21"/>
        <v>0</v>
      </c>
      <c r="G92" s="118">
        <f t="shared" si="22"/>
        <v>0</v>
      </c>
      <c r="H92" s="118">
        <f t="shared" si="23"/>
        <v>0</v>
      </c>
      <c r="I92" s="118">
        <f t="shared" si="24"/>
        <v>0</v>
      </c>
      <c r="J92" s="101"/>
      <c r="K92" s="101"/>
      <c r="L92" s="170"/>
      <c r="M92" s="824">
        <f>+'[1]NEW-Tables 80-86'!C90</f>
        <v>0</v>
      </c>
      <c r="N92" s="73"/>
      <c r="O92" s="73"/>
      <c r="P92" s="73"/>
      <c r="Q92" s="73"/>
    </row>
    <row r="93" spans="1:17" s="61" customFormat="1" ht="39" customHeight="1">
      <c r="A93" s="1505" t="s">
        <v>17</v>
      </c>
      <c r="B93" s="1530"/>
      <c r="C93" s="1530"/>
      <c r="D93" s="1530"/>
      <c r="E93" s="1530"/>
      <c r="F93" s="1530"/>
      <c r="G93" s="1531"/>
      <c r="H93" s="1531"/>
      <c r="I93" s="1531"/>
      <c r="J93" s="101"/>
      <c r="K93" s="101"/>
      <c r="L93" s="171"/>
      <c r="M93" s="300"/>
      <c r="N93" s="73"/>
      <c r="O93" s="73"/>
      <c r="P93" s="73"/>
      <c r="Q93" s="73"/>
    </row>
    <row r="94" spans="1:17" s="76" customFormat="1" ht="22.5" customHeight="1">
      <c r="A94" s="1505" t="s">
        <v>54</v>
      </c>
      <c r="B94" s="1533"/>
      <c r="C94" s="1533"/>
      <c r="D94" s="1533"/>
      <c r="E94" s="1533"/>
      <c r="F94" s="1533"/>
      <c r="G94" s="1533"/>
      <c r="H94" s="1533"/>
      <c r="I94" s="1533"/>
      <c r="J94" s="106"/>
      <c r="L94" s="169"/>
      <c r="M94" s="296"/>
      <c r="N94" s="90"/>
      <c r="O94" s="90"/>
      <c r="P94" s="90"/>
      <c r="Q94" s="90"/>
    </row>
    <row r="95" spans="1:17" s="61" customFormat="1">
      <c r="A95" s="189" t="s">
        <v>233</v>
      </c>
      <c r="B95" s="73"/>
      <c r="C95" s="73"/>
      <c r="D95" s="73"/>
      <c r="E95" s="73"/>
      <c r="F95" s="73"/>
      <c r="L95" s="171"/>
      <c r="M95" s="296"/>
      <c r="N95" s="73"/>
      <c r="O95" s="73"/>
      <c r="P95" s="73"/>
      <c r="Q95" s="73"/>
    </row>
    <row r="96" spans="1:17" s="61" customFormat="1">
      <c r="A96" s="189"/>
      <c r="B96" s="73"/>
      <c r="C96" s="73"/>
      <c r="D96" s="73"/>
      <c r="E96" s="73"/>
      <c r="F96" s="73"/>
      <c r="I96" s="534" t="s">
        <v>1927</v>
      </c>
      <c r="L96" s="171"/>
      <c r="M96" s="296"/>
      <c r="N96" s="73"/>
      <c r="O96" s="73"/>
      <c r="P96" s="73"/>
      <c r="Q96" s="73"/>
    </row>
    <row r="97" spans="1:17" s="61" customFormat="1" ht="18">
      <c r="A97" s="135" t="s">
        <v>361</v>
      </c>
      <c r="B97" s="135"/>
      <c r="C97" s="135"/>
      <c r="D97" s="135"/>
      <c r="E97" s="135"/>
      <c r="F97" s="135"/>
      <c r="G97" s="135"/>
      <c r="H97" s="135"/>
      <c r="I97" s="135"/>
      <c r="J97" s="565" t="s">
        <v>91</v>
      </c>
      <c r="K97" s="101"/>
      <c r="L97" s="170"/>
      <c r="M97" s="296"/>
      <c r="N97" s="73"/>
      <c r="O97" s="73"/>
      <c r="P97" s="73"/>
      <c r="Q97" s="73"/>
    </row>
    <row r="98" spans="1:17" s="61" customFormat="1" ht="14.25" customHeight="1">
      <c r="A98" s="135"/>
      <c r="B98" s="135"/>
      <c r="C98" s="135"/>
      <c r="D98" s="135"/>
      <c r="E98" s="135"/>
      <c r="F98" s="135"/>
      <c r="G98" s="135"/>
      <c r="H98" s="135"/>
      <c r="I98" s="135"/>
      <c r="J98" s="565"/>
      <c r="K98" s="101"/>
      <c r="L98" s="170"/>
      <c r="M98" s="296"/>
      <c r="N98" s="73"/>
      <c r="O98" s="73"/>
      <c r="P98" s="73"/>
      <c r="Q98" s="73"/>
    </row>
    <row r="99" spans="1:17" s="61" customFormat="1" ht="18.75">
      <c r="A99" s="1504" t="s">
        <v>18</v>
      </c>
      <c r="B99" s="1504"/>
      <c r="C99" s="1504"/>
      <c r="D99" s="1504"/>
      <c r="E99" s="1504"/>
      <c r="F99" s="1504"/>
      <c r="G99" s="1504"/>
      <c r="H99" s="1504"/>
      <c r="I99" s="1504"/>
      <c r="J99" s="101"/>
      <c r="K99" s="101"/>
      <c r="L99" s="170"/>
      <c r="M99" s="296"/>
      <c r="N99" s="73"/>
      <c r="O99" s="73"/>
      <c r="P99" s="73"/>
      <c r="Q99" s="73"/>
    </row>
    <row r="100" spans="1:17" s="61" customFormat="1" ht="15.75">
      <c r="A100" s="1504" t="s">
        <v>1932</v>
      </c>
      <c r="B100" s="1504"/>
      <c r="C100" s="1504"/>
      <c r="D100" s="1504"/>
      <c r="E100" s="1504"/>
      <c r="F100" s="1504"/>
      <c r="G100" s="1504"/>
      <c r="H100" s="1504"/>
      <c r="I100" s="1504"/>
      <c r="J100" s="91"/>
      <c r="K100" s="91"/>
      <c r="L100" s="165"/>
      <c r="M100" s="296"/>
      <c r="N100" s="73"/>
      <c r="O100" s="73"/>
      <c r="P100" s="73"/>
      <c r="Q100" s="73"/>
    </row>
    <row r="101" spans="1:17" s="61" customFormat="1" ht="9" customHeight="1">
      <c r="A101" s="91"/>
      <c r="B101" s="91"/>
      <c r="C101" s="91"/>
      <c r="D101" s="91"/>
      <c r="E101" s="91"/>
      <c r="F101" s="91"/>
      <c r="G101" s="108"/>
      <c r="H101" s="91"/>
      <c r="I101" s="91"/>
      <c r="J101" s="91"/>
      <c r="K101" s="91"/>
      <c r="L101" s="165"/>
      <c r="M101" s="296"/>
      <c r="N101" s="73"/>
      <c r="O101" s="73"/>
      <c r="P101" s="73"/>
      <c r="Q101" s="73"/>
    </row>
    <row r="102" spans="1:17" s="61" customFormat="1" ht="15.75" customHeight="1">
      <c r="A102" s="60"/>
      <c r="B102" s="566" t="s">
        <v>55</v>
      </c>
      <c r="C102" s="567"/>
      <c r="D102" s="567"/>
      <c r="E102" s="567"/>
      <c r="F102" s="568" t="s">
        <v>119</v>
      </c>
      <c r="G102" s="569"/>
      <c r="H102" s="569"/>
      <c r="I102" s="569"/>
      <c r="L102" s="165"/>
      <c r="M102" s="296"/>
      <c r="N102" s="73"/>
      <c r="O102" s="73"/>
      <c r="P102" s="73"/>
      <c r="Q102" s="73"/>
    </row>
    <row r="103" spans="1:17" s="6" customFormat="1" ht="48">
      <c r="A103" s="54"/>
      <c r="B103" s="549" t="s">
        <v>87</v>
      </c>
      <c r="C103" s="550" t="s">
        <v>89</v>
      </c>
      <c r="D103" s="550" t="s">
        <v>397</v>
      </c>
      <c r="E103" s="550" t="s">
        <v>97</v>
      </c>
      <c r="F103" s="551" t="s">
        <v>87</v>
      </c>
      <c r="G103" s="550" t="s">
        <v>89</v>
      </c>
      <c r="H103" s="550" t="s">
        <v>397</v>
      </c>
      <c r="I103" s="550" t="s">
        <v>97</v>
      </c>
      <c r="L103" s="172"/>
      <c r="M103" s="296" t="s">
        <v>260</v>
      </c>
      <c r="N103" s="7"/>
      <c r="O103" s="7"/>
      <c r="P103" s="7"/>
      <c r="Q103" s="7"/>
    </row>
    <row r="104" spans="1:17" s="61" customFormat="1" ht="16.5" customHeight="1">
      <c r="A104" s="73" t="s">
        <v>56</v>
      </c>
      <c r="B104" s="102">
        <f>IF($M104&gt;0,('Amounts Pivot Table'!E$631/$M104),0)</f>
        <v>4959.9660641882801</v>
      </c>
      <c r="C104" s="102">
        <f>IF($M104&gt;0,('Amounts Pivot Table'!E$634/$M104),0)</f>
        <v>69.158346981851807</v>
      </c>
      <c r="D104" s="102">
        <f>IF($M104&gt;0,('Amounts Pivot Table'!E$640/$M104),0)</f>
        <v>7307.3362282596136</v>
      </c>
      <c r="E104" s="102">
        <f>SUM(B104:D104)</f>
        <v>12336.460639429744</v>
      </c>
      <c r="F104" s="114"/>
      <c r="G104" s="115"/>
      <c r="H104" s="115"/>
      <c r="I104" s="115"/>
      <c r="J104" s="102"/>
      <c r="L104" s="168"/>
      <c r="M104" s="824">
        <f>+'[1]NEW-Tables 80-86'!D70</f>
        <v>670837.46250000002</v>
      </c>
      <c r="N104" s="73"/>
      <c r="O104" s="73"/>
      <c r="P104" s="73"/>
      <c r="Q104" s="73"/>
    </row>
    <row r="105" spans="1:17" s="112" customFormat="1">
      <c r="A105" s="110"/>
      <c r="B105" s="111"/>
      <c r="C105" s="111"/>
      <c r="D105" s="111"/>
      <c r="E105" s="111"/>
      <c r="F105" s="119"/>
      <c r="G105" s="120"/>
      <c r="H105" s="120"/>
      <c r="I105" s="120"/>
      <c r="J105" s="111"/>
      <c r="L105" s="175"/>
      <c r="M105" s="824"/>
      <c r="N105" s="110"/>
      <c r="O105" s="110"/>
      <c r="P105" s="110"/>
      <c r="Q105" s="110"/>
    </row>
    <row r="106" spans="1:17" s="61" customFormat="1" ht="12.75" customHeight="1">
      <c r="A106" s="73" t="s">
        <v>320</v>
      </c>
      <c r="B106" s="75">
        <f>IF($M106&gt;0,('Amounts Pivot Table'!E$7/$M106),0)</f>
        <v>4202.6630256894641</v>
      </c>
      <c r="C106" s="75">
        <f>IF($M106&gt;0,('Amounts Pivot Table'!E$10/$M106),0)</f>
        <v>287.36100850080896</v>
      </c>
      <c r="D106" s="75">
        <f>IF($M106&gt;0,('Amounts Pivot Table'!E$16/$M106),0)</f>
        <v>7608.3707873924941</v>
      </c>
      <c r="E106" s="75">
        <f>SUM(B106:D106)</f>
        <v>12098.394821582766</v>
      </c>
      <c r="F106" s="116">
        <f>IF(B106&gt;0,RANK(B106,$B$106:$B$124),)</f>
        <v>11</v>
      </c>
      <c r="G106" s="107">
        <f>IF(C106&gt;0,RANK(C106,$C$106:$C$124),)</f>
        <v>1</v>
      </c>
      <c r="H106" s="107">
        <f>IF(D106&gt;0,RANK(D106,$D$106:$D$124),)</f>
        <v>8</v>
      </c>
      <c r="I106" s="107">
        <f>IF(E106&gt;0,RANK(E106,$E$106:$E$124),)</f>
        <v>11</v>
      </c>
      <c r="J106" s="75"/>
      <c r="L106" s="168"/>
      <c r="M106" s="824">
        <f>+'[1]NEW-Tables 80-86'!D72</f>
        <v>32079.299999999996</v>
      </c>
      <c r="N106" s="73"/>
      <c r="O106" s="73"/>
      <c r="P106" s="73"/>
      <c r="Q106" s="73"/>
    </row>
    <row r="107" spans="1:17" s="61" customFormat="1" ht="12.75" customHeight="1">
      <c r="A107" s="73" t="s">
        <v>334</v>
      </c>
      <c r="B107" s="75">
        <f>IF($M107&gt;0,('Amounts Pivot Table'!E$46/$M107),0)</f>
        <v>4926.1815585646009</v>
      </c>
      <c r="C107" s="75">
        <f>IF($M107&gt;0,('Amounts Pivot Table'!E$49/$M107),0)</f>
        <v>103.0433483455721</v>
      </c>
      <c r="D107" s="75">
        <f>IF($M107&gt;0,('Amounts Pivot Table'!E$55/$M107),0)</f>
        <v>7115.2437880507614</v>
      </c>
      <c r="E107" s="75">
        <f>SUM(B107:D107)</f>
        <v>12144.468694960935</v>
      </c>
      <c r="F107" s="116">
        <f t="shared" ref="F107:F124" si="25">IF(B107&gt;0,RANK(B107,$B$106:$B$124),)</f>
        <v>5</v>
      </c>
      <c r="G107" s="107">
        <f t="shared" ref="G107:G124" si="26">IF(C107&gt;0,RANK(C107,$C$106:$C$124),)</f>
        <v>8</v>
      </c>
      <c r="H107" s="107">
        <f t="shared" ref="H107:H124" si="27">IF(D107&gt;0,RANK(D107,$D$106:$D$124),)</f>
        <v>9</v>
      </c>
      <c r="I107" s="107">
        <f t="shared" ref="I107:I124" si="28">IF(E107&gt;0,RANK(E107,$E$106:$E$124),)</f>
        <v>10</v>
      </c>
      <c r="J107" s="75"/>
      <c r="L107" s="168"/>
      <c r="M107" s="824">
        <f>+'[1]NEW-Tables 80-86'!D73</f>
        <v>30872.958333333336</v>
      </c>
      <c r="N107" s="73"/>
      <c r="O107" s="73"/>
      <c r="P107" s="73"/>
      <c r="Q107" s="73"/>
    </row>
    <row r="108" spans="1:17" s="61" customFormat="1" ht="12.75" customHeight="1">
      <c r="A108" s="73" t="s">
        <v>321</v>
      </c>
      <c r="B108" s="75">
        <f>IF($M108&gt;0,('Amounts Pivot Table'!E$85/$M108),0)</f>
        <v>8425.4572269588698</v>
      </c>
      <c r="C108" s="75">
        <f>IF($M108&gt;0,('Amounts Pivot Table'!E$88/$M108),0)</f>
        <v>0</v>
      </c>
      <c r="D108" s="75">
        <f>IF($M108&gt;0,('Amounts Pivot Table'!E$94/$M108),0)</f>
        <v>11968.875291765953</v>
      </c>
      <c r="E108" s="75">
        <f>SUM(B108:D108)</f>
        <v>20394.332518724823</v>
      </c>
      <c r="F108" s="116">
        <f t="shared" si="25"/>
        <v>1</v>
      </c>
      <c r="G108" s="107">
        <f t="shared" si="26"/>
        <v>0</v>
      </c>
      <c r="H108" s="107">
        <f t="shared" si="27"/>
        <v>2</v>
      </c>
      <c r="I108" s="107">
        <f t="shared" si="28"/>
        <v>1</v>
      </c>
      <c r="J108" s="75"/>
      <c r="L108" s="168"/>
      <c r="M108" s="824">
        <f>+'[1]NEW-Tables 80-86'!D74</f>
        <v>4102.1750000000002</v>
      </c>
      <c r="N108" s="73"/>
      <c r="O108" s="73"/>
      <c r="P108" s="73"/>
      <c r="Q108" s="73"/>
    </row>
    <row r="109" spans="1:17" s="61" customFormat="1" ht="12.75" customHeight="1">
      <c r="A109" s="73" t="s">
        <v>328</v>
      </c>
      <c r="B109" s="75">
        <f>IF($M109&gt;0,('Amounts Pivot Table'!E$124/$M109),0)</f>
        <v>7653.5023859148405</v>
      </c>
      <c r="C109" s="75">
        <f>IF($M109&gt;0,('Amounts Pivot Table'!E$127/$M109),0)</f>
        <v>224.31847771412345</v>
      </c>
      <c r="D109" s="75">
        <f>IF($M109&gt;0,('Amounts Pivot Table'!E$133/$M109),0)</f>
        <v>5892.4982039856213</v>
      </c>
      <c r="E109" s="75">
        <f>SUM(B109:D109)</f>
        <v>13770.319067614586</v>
      </c>
      <c r="F109" s="116">
        <f t="shared" si="25"/>
        <v>3</v>
      </c>
      <c r="G109" s="107">
        <f t="shared" si="26"/>
        <v>3</v>
      </c>
      <c r="H109" s="107">
        <f t="shared" si="27"/>
        <v>13</v>
      </c>
      <c r="I109" s="107">
        <f t="shared" si="28"/>
        <v>6</v>
      </c>
      <c r="J109" s="75"/>
      <c r="L109" s="168"/>
      <c r="M109" s="824">
        <f>+'[1]NEW-Tables 80-86'!D75</f>
        <v>34045.291666666672</v>
      </c>
      <c r="N109" s="73"/>
      <c r="O109" s="73"/>
      <c r="P109" s="73"/>
      <c r="Q109" s="73"/>
    </row>
    <row r="110" spans="1:17" s="112" customFormat="1">
      <c r="A110" s="110"/>
      <c r="B110" s="111"/>
      <c r="C110" s="111"/>
      <c r="D110" s="111"/>
      <c r="E110" s="111"/>
      <c r="F110" s="116"/>
      <c r="G110" s="107"/>
      <c r="H110" s="107"/>
      <c r="I110" s="107"/>
      <c r="J110" s="111"/>
      <c r="L110" s="175"/>
      <c r="M110" s="824"/>
      <c r="N110" s="110"/>
      <c r="O110" s="110"/>
      <c r="P110" s="110"/>
      <c r="Q110" s="110"/>
    </row>
    <row r="111" spans="1:17" s="61" customFormat="1" ht="12.75" customHeight="1">
      <c r="A111" s="73" t="s">
        <v>329</v>
      </c>
      <c r="B111" s="75">
        <f>IF($M111&gt;0,('Amounts Pivot Table'!E$163/$M111),0)</f>
        <v>4346.0705726156157</v>
      </c>
      <c r="C111" s="75">
        <f>IF($M111&gt;0,('Amounts Pivot Table'!E$166/$M111),0)</f>
        <v>0</v>
      </c>
      <c r="D111" s="75">
        <f>IF($M111&gt;0,('Amounts Pivot Table'!E$172/$M111),0)</f>
        <v>6459.7287244638565</v>
      </c>
      <c r="E111" s="75">
        <f>SUM(B111:D111)</f>
        <v>10805.799297079473</v>
      </c>
      <c r="F111" s="116">
        <f t="shared" si="25"/>
        <v>10</v>
      </c>
      <c r="G111" s="107">
        <f t="shared" si="26"/>
        <v>0</v>
      </c>
      <c r="H111" s="107">
        <f t="shared" si="27"/>
        <v>12</v>
      </c>
      <c r="I111" s="107">
        <f t="shared" si="28"/>
        <v>13</v>
      </c>
      <c r="J111" s="75"/>
      <c r="L111" s="168"/>
      <c r="M111" s="824">
        <f>+'[1]NEW-Tables 80-86'!D77</f>
        <v>61661.783333333333</v>
      </c>
      <c r="N111" s="73"/>
      <c r="O111" s="73"/>
      <c r="P111" s="73"/>
      <c r="Q111" s="73"/>
    </row>
    <row r="112" spans="1:17" s="61" customFormat="1" ht="12.75" customHeight="1">
      <c r="A112" s="73" t="s">
        <v>322</v>
      </c>
      <c r="B112" s="75">
        <f>IF($M112&gt;0,('Amounts Pivot Table'!E$202/$M112),0)</f>
        <v>4600.577319692914</v>
      </c>
      <c r="C112" s="75">
        <f>IF($M112&gt;0,('Amounts Pivot Table'!E$205/$M112),0)</f>
        <v>138.57662409284046</v>
      </c>
      <c r="D112" s="75">
        <f>IF($M112&gt;0,('Amounts Pivot Table'!E$211/$M112),0)</f>
        <v>11389.98657593984</v>
      </c>
      <c r="E112" s="75">
        <f>SUM(B112:D112)</f>
        <v>16129.140519725595</v>
      </c>
      <c r="F112" s="116">
        <f t="shared" si="25"/>
        <v>8</v>
      </c>
      <c r="G112" s="107">
        <f t="shared" si="26"/>
        <v>6</v>
      </c>
      <c r="H112" s="107">
        <f t="shared" si="27"/>
        <v>3</v>
      </c>
      <c r="I112" s="107">
        <f t="shared" si="28"/>
        <v>2</v>
      </c>
      <c r="J112" s="75"/>
      <c r="L112" s="168"/>
      <c r="M112" s="824">
        <f>+'[1]NEW-Tables 80-86'!D78</f>
        <v>58750.233333333337</v>
      </c>
      <c r="N112" s="73"/>
      <c r="O112" s="73"/>
      <c r="P112" s="73"/>
      <c r="Q112" s="73"/>
    </row>
    <row r="113" spans="1:17" s="61" customFormat="1" ht="12.75" customHeight="1">
      <c r="A113" s="73" t="s">
        <v>330</v>
      </c>
      <c r="B113" s="75">
        <f>IF($M113&gt;0,('Amounts Pivot Table'!E$241/$M113),0)</f>
        <v>3388.8821900577045</v>
      </c>
      <c r="C113" s="75">
        <f>IF($M113&gt;0,('Amounts Pivot Table'!E$244/$M113),0)</f>
        <v>164.80146465675688</v>
      </c>
      <c r="D113" s="75">
        <f>IF($M113&gt;0,('Amounts Pivot Table'!E$250/$M113),0)</f>
        <v>6575.0659375502546</v>
      </c>
      <c r="E113" s="75">
        <f>SUM(B113:D113)</f>
        <v>10128.749592264716</v>
      </c>
      <c r="F113" s="116">
        <f t="shared" si="25"/>
        <v>14</v>
      </c>
      <c r="G113" s="107">
        <f t="shared" si="26"/>
        <v>5</v>
      </c>
      <c r="H113" s="107">
        <f t="shared" si="27"/>
        <v>11</v>
      </c>
      <c r="I113" s="107">
        <f t="shared" si="28"/>
        <v>15</v>
      </c>
      <c r="J113" s="75"/>
      <c r="L113" s="168"/>
      <c r="M113" s="824">
        <f>+'[1]NEW-Tables 80-86'!D79</f>
        <v>25598.716666666667</v>
      </c>
      <c r="N113" s="73"/>
      <c r="O113" s="73"/>
      <c r="P113" s="73"/>
      <c r="Q113" s="73"/>
    </row>
    <row r="114" spans="1:17" s="61" customFormat="1" ht="12.75" customHeight="1">
      <c r="A114" s="73" t="s">
        <v>333</v>
      </c>
      <c r="B114" s="75">
        <f>IF($M114&gt;0,('Amounts Pivot Table'!E$280/$M114),0)</f>
        <v>5299.5244319906296</v>
      </c>
      <c r="C114" s="75">
        <f>IF($M114&gt;0,('Amounts Pivot Table'!E$283/$M114),0)</f>
        <v>0</v>
      </c>
      <c r="D114" s="75">
        <f>IF($M114&gt;0,('Amounts Pivot Table'!E$289/$M114),0)</f>
        <v>8818.2384868656482</v>
      </c>
      <c r="E114" s="75">
        <f>SUM(B114:D114)</f>
        <v>14117.762918856279</v>
      </c>
      <c r="F114" s="116">
        <f t="shared" si="25"/>
        <v>4</v>
      </c>
      <c r="G114" s="107">
        <f t="shared" si="26"/>
        <v>0</v>
      </c>
      <c r="H114" s="107">
        <f t="shared" si="27"/>
        <v>4</v>
      </c>
      <c r="I114" s="107">
        <f t="shared" si="28"/>
        <v>4</v>
      </c>
      <c r="J114" s="75"/>
      <c r="L114" s="168"/>
      <c r="M114" s="824">
        <f>+'[1]NEW-Tables 80-86'!D80</f>
        <v>20084.579166666666</v>
      </c>
      <c r="N114" s="73"/>
      <c r="O114" s="73"/>
      <c r="P114" s="73"/>
      <c r="Q114" s="73"/>
    </row>
    <row r="115" spans="1:17" s="112" customFormat="1">
      <c r="A115" s="110"/>
      <c r="B115" s="111"/>
      <c r="C115" s="111"/>
      <c r="D115" s="111"/>
      <c r="E115" s="111"/>
      <c r="F115" s="116"/>
      <c r="G115" s="107"/>
      <c r="H115" s="107"/>
      <c r="I115" s="107"/>
      <c r="J115" s="111"/>
      <c r="L115" s="175"/>
      <c r="M115" s="824"/>
      <c r="N115" s="110"/>
      <c r="O115" s="110"/>
      <c r="P115" s="110"/>
      <c r="Q115" s="110"/>
    </row>
    <row r="116" spans="1:17" s="61" customFormat="1" ht="12.75" customHeight="1">
      <c r="A116" s="73" t="s">
        <v>323</v>
      </c>
      <c r="B116" s="75">
        <f>IF($M116&gt;0,('Amounts Pivot Table'!E$319/$M116),0)</f>
        <v>0</v>
      </c>
      <c r="C116" s="75">
        <f>IF($M116&gt;0,('Amounts Pivot Table'!E$322/$M116),0)</f>
        <v>0</v>
      </c>
      <c r="D116" s="75">
        <f>IF($M116&gt;0,('Amounts Pivot Table'!E$328/$M116),0)</f>
        <v>0</v>
      </c>
      <c r="E116" s="75">
        <f>SUM(B116:D116)</f>
        <v>0</v>
      </c>
      <c r="F116" s="116">
        <f t="shared" si="25"/>
        <v>0</v>
      </c>
      <c r="G116" s="107">
        <f t="shared" si="26"/>
        <v>0</v>
      </c>
      <c r="H116" s="107">
        <f t="shared" si="27"/>
        <v>0</v>
      </c>
      <c r="I116" s="107">
        <f t="shared" si="28"/>
        <v>0</v>
      </c>
      <c r="J116" s="75"/>
      <c r="L116" s="168"/>
      <c r="M116" s="824">
        <f>+'[1]NEW-Tables 80-86'!D82</f>
        <v>0</v>
      </c>
      <c r="N116" s="73"/>
      <c r="O116" s="73"/>
      <c r="P116" s="73"/>
      <c r="Q116" s="73"/>
    </row>
    <row r="117" spans="1:17" s="61" customFormat="1" ht="12.75" customHeight="1">
      <c r="A117" s="73" t="s">
        <v>324</v>
      </c>
      <c r="B117" s="75">
        <f>IF($M117&gt;0,('Amounts Pivot Table'!E$358/$M117),0)</f>
        <v>8379.8918038024694</v>
      </c>
      <c r="C117" s="75">
        <f>IF($M117&gt;0,('Amounts Pivot Table'!E$361/$M117),0)</f>
        <v>0</v>
      </c>
      <c r="D117" s="75">
        <f>IF($M117&gt;0,('Amounts Pivot Table'!E$367/$M117),0)</f>
        <v>5705.1689124366258</v>
      </c>
      <c r="E117" s="75">
        <f>SUM(B117:D117)</f>
        <v>14085.060716239095</v>
      </c>
      <c r="F117" s="116">
        <f t="shared" si="25"/>
        <v>2</v>
      </c>
      <c r="G117" s="107">
        <f t="shared" si="26"/>
        <v>0</v>
      </c>
      <c r="H117" s="107">
        <f t="shared" si="27"/>
        <v>15</v>
      </c>
      <c r="I117" s="107">
        <f t="shared" si="28"/>
        <v>5</v>
      </c>
      <c r="J117" s="75"/>
      <c r="L117" s="168"/>
      <c r="M117" s="824">
        <f>+'[1]NEW-Tables 80-86'!D83</f>
        <v>58110.483333333337</v>
      </c>
      <c r="N117" s="73"/>
      <c r="O117" s="73"/>
      <c r="P117" s="73"/>
      <c r="Q117" s="73"/>
    </row>
    <row r="118" spans="1:17" s="61" customFormat="1" ht="12.75" customHeight="1">
      <c r="A118" s="73" t="s">
        <v>331</v>
      </c>
      <c r="B118" s="75">
        <f>IF($M118&gt;0,('Amounts Pivot Table'!E$397/$M118),0)</f>
        <v>4483.1400635159798</v>
      </c>
      <c r="C118" s="75">
        <f>IF($M118&gt;0,('Amounts Pivot Table'!E$400/$M118),0)</f>
        <v>0</v>
      </c>
      <c r="D118" s="75">
        <f>IF($M118&gt;0,('Amounts Pivot Table'!E$406/$M118),0)</f>
        <v>7099.986394743265</v>
      </c>
      <c r="E118" s="75">
        <f>SUM(B118:D118)</f>
        <v>11583.126458259245</v>
      </c>
      <c r="F118" s="116">
        <f t="shared" si="25"/>
        <v>9</v>
      </c>
      <c r="G118" s="107">
        <f t="shared" si="26"/>
        <v>0</v>
      </c>
      <c r="H118" s="107">
        <f t="shared" si="27"/>
        <v>10</v>
      </c>
      <c r="I118" s="107">
        <f t="shared" si="28"/>
        <v>12</v>
      </c>
      <c r="J118" s="75"/>
      <c r="L118" s="168"/>
      <c r="M118" s="824">
        <f>+'[1]NEW-Tables 80-86'!D84</f>
        <v>20176.025000000001</v>
      </c>
      <c r="N118" s="73"/>
      <c r="O118" s="73"/>
      <c r="P118" s="73"/>
      <c r="Q118" s="73"/>
    </row>
    <row r="119" spans="1:17" s="61" customFormat="1" ht="12.75" customHeight="1">
      <c r="A119" s="73" t="s">
        <v>325</v>
      </c>
      <c r="B119" s="75">
        <f>IF($M119&gt;0,('Amounts Pivot Table'!E$436/$M119),0)</f>
        <v>2209.886019747833</v>
      </c>
      <c r="C119" s="75">
        <f>IF($M119&gt;0,('Amounts Pivot Table'!E$439/$M119),0)</f>
        <v>228.09621309629404</v>
      </c>
      <c r="D119" s="75">
        <f>IF($M119&gt;0,('Amounts Pivot Table'!E$445/$M119),0)</f>
        <v>12217.54713966057</v>
      </c>
      <c r="E119" s="75">
        <f>SUM(B119:D119)</f>
        <v>14655.529372504698</v>
      </c>
      <c r="F119" s="116">
        <f t="shared" si="25"/>
        <v>15</v>
      </c>
      <c r="G119" s="107">
        <f t="shared" si="26"/>
        <v>2</v>
      </c>
      <c r="H119" s="107">
        <f t="shared" si="27"/>
        <v>1</v>
      </c>
      <c r="I119" s="107">
        <f t="shared" si="28"/>
        <v>3</v>
      </c>
      <c r="J119" s="75"/>
      <c r="L119" s="168"/>
      <c r="M119" s="824">
        <f>+'[1]NEW-Tables 80-86'!D85</f>
        <v>20077.308333333334</v>
      </c>
      <c r="N119" s="73"/>
      <c r="O119" s="73"/>
      <c r="P119" s="73"/>
      <c r="Q119" s="73"/>
    </row>
    <row r="120" spans="1:17" s="112" customFormat="1" ht="12" customHeight="1">
      <c r="A120" s="110"/>
      <c r="B120" s="111"/>
      <c r="C120" s="111"/>
      <c r="D120" s="111"/>
      <c r="E120" s="111"/>
      <c r="F120" s="116"/>
      <c r="G120" s="107"/>
      <c r="H120" s="107"/>
      <c r="I120" s="107"/>
      <c r="J120" s="111"/>
      <c r="L120" s="175"/>
      <c r="M120" s="824"/>
      <c r="N120" s="110"/>
      <c r="O120" s="110"/>
      <c r="P120" s="110"/>
      <c r="Q120" s="110"/>
    </row>
    <row r="121" spans="1:17" s="61" customFormat="1" ht="12.75" customHeight="1">
      <c r="A121" s="73" t="s">
        <v>90</v>
      </c>
      <c r="B121" s="75">
        <f>IF($M121&gt;0,('Amounts Pivot Table'!E$475/$M121),0)</f>
        <v>4118.9512937616382</v>
      </c>
      <c r="C121" s="75">
        <f>IF($M121&gt;0,('Amounts Pivot Table'!E$478/$M121),0)</f>
        <v>0</v>
      </c>
      <c r="D121" s="75">
        <f>IF($M121&gt;0,('Amounts Pivot Table'!E$484/$M121),0)</f>
        <v>8179.4417938127863</v>
      </c>
      <c r="E121" s="75">
        <f>SUM(B121:D121)</f>
        <v>12298.393087574424</v>
      </c>
      <c r="F121" s="116">
        <f t="shared" si="25"/>
        <v>12</v>
      </c>
      <c r="G121" s="107">
        <f t="shared" si="26"/>
        <v>0</v>
      </c>
      <c r="H121" s="107">
        <f t="shared" si="27"/>
        <v>7</v>
      </c>
      <c r="I121" s="107">
        <f t="shared" si="28"/>
        <v>9</v>
      </c>
      <c r="J121" s="75"/>
      <c r="L121" s="168"/>
      <c r="M121" s="824">
        <f>+'[1]NEW-Tables 80-86'!D87</f>
        <v>61362.033333333333</v>
      </c>
      <c r="N121" s="73"/>
      <c r="O121" s="73"/>
      <c r="P121" s="73"/>
      <c r="Q121" s="73"/>
    </row>
    <row r="122" spans="1:17" s="61" customFormat="1" ht="12.75" customHeight="1">
      <c r="A122" s="73" t="s">
        <v>326</v>
      </c>
      <c r="B122" s="75">
        <f>IF($M122&gt;0,('Amounts Pivot Table'!E$514/$M122),0)</f>
        <v>4703.5481809290177</v>
      </c>
      <c r="C122" s="75">
        <f>IF($M122&gt;0,('Amounts Pivot Table'!E$517/$M122),0)</f>
        <v>1.2357336181202776</v>
      </c>
      <c r="D122" s="75">
        <f>IF($M122&gt;0,('Amounts Pivot Table'!E$523/$M122),0)</f>
        <v>5708.965265236644</v>
      </c>
      <c r="E122" s="75">
        <f>SUM(B122:D122)</f>
        <v>10413.749179783783</v>
      </c>
      <c r="F122" s="116">
        <f t="shared" si="25"/>
        <v>7</v>
      </c>
      <c r="G122" s="107">
        <f t="shared" si="26"/>
        <v>9</v>
      </c>
      <c r="H122" s="107">
        <f t="shared" si="27"/>
        <v>14</v>
      </c>
      <c r="I122" s="107">
        <f t="shared" si="28"/>
        <v>14</v>
      </c>
      <c r="J122" s="75"/>
      <c r="K122" s="75"/>
      <c r="L122" s="168"/>
      <c r="M122" s="824">
        <f>+'[1]NEW-Tables 80-86'!D88</f>
        <v>182764.30833333332</v>
      </c>
      <c r="N122" s="73"/>
      <c r="O122" s="73"/>
      <c r="P122" s="73"/>
      <c r="Q122" s="73"/>
    </row>
    <row r="123" spans="1:17" s="76" customFormat="1" ht="12.75" customHeight="1">
      <c r="A123" s="73" t="s">
        <v>327</v>
      </c>
      <c r="B123" s="75">
        <f>IF($M123&gt;0,('Amounts Pivot Table'!E$553/$M123),0)</f>
        <v>4711.8122297193031</v>
      </c>
      <c r="C123" s="75">
        <f>IF($M123&gt;0,('Amounts Pivot Table'!E$556/$M123),0)</f>
        <v>134.32296805968934</v>
      </c>
      <c r="D123" s="75">
        <f>IF($M123&gt;0,('Amounts Pivot Table'!E$562/$M123),0)</f>
        <v>8363.0496534827416</v>
      </c>
      <c r="E123" s="75">
        <f>SUM(B123:D123)</f>
        <v>13209.184851261734</v>
      </c>
      <c r="F123" s="116">
        <f t="shared" si="25"/>
        <v>6</v>
      </c>
      <c r="G123" s="107">
        <f t="shared" si="26"/>
        <v>7</v>
      </c>
      <c r="H123" s="107">
        <f t="shared" si="27"/>
        <v>5</v>
      </c>
      <c r="I123" s="107">
        <f t="shared" si="28"/>
        <v>7</v>
      </c>
      <c r="J123" s="75"/>
      <c r="K123" s="75"/>
      <c r="L123" s="169"/>
      <c r="M123" s="824">
        <f>+'[1]NEW-Tables 80-86'!D89</f>
        <v>49734.174999999996</v>
      </c>
      <c r="N123" s="90"/>
      <c r="O123" s="90"/>
      <c r="P123" s="90"/>
      <c r="Q123" s="90"/>
    </row>
    <row r="124" spans="1:17" s="61" customFormat="1" ht="12.75" customHeight="1">
      <c r="A124" s="74" t="s">
        <v>332</v>
      </c>
      <c r="B124" s="104">
        <f>IF($M124&gt;0,('Amounts Pivot Table'!E$592/$M124),0)</f>
        <v>3970.1041402861401</v>
      </c>
      <c r="C124" s="104">
        <f>IF($M124&gt;0,('Amounts Pivot Table'!E$595/$M124),0)</f>
        <v>219.95496912429181</v>
      </c>
      <c r="D124" s="104">
        <f>IF($M124&gt;0,('Amounts Pivot Table'!E$601/$M124),0)</f>
        <v>8265.0822707530679</v>
      </c>
      <c r="E124" s="105">
        <f>SUM(B124:D124)</f>
        <v>12455.141380163499</v>
      </c>
      <c r="F124" s="117">
        <f t="shared" si="25"/>
        <v>13</v>
      </c>
      <c r="G124" s="118">
        <f t="shared" si="26"/>
        <v>4</v>
      </c>
      <c r="H124" s="118">
        <f t="shared" si="27"/>
        <v>6</v>
      </c>
      <c r="I124" s="118">
        <f t="shared" si="28"/>
        <v>8</v>
      </c>
      <c r="J124" s="75"/>
      <c r="K124" s="75"/>
      <c r="L124" s="170"/>
      <c r="M124" s="824">
        <f>+'[1]NEW-Tables 80-86'!D90</f>
        <v>11418.091666666665</v>
      </c>
      <c r="N124" s="73"/>
      <c r="O124" s="73"/>
      <c r="P124" s="73"/>
      <c r="Q124" s="73"/>
    </row>
    <row r="125" spans="1:17" s="61" customFormat="1" ht="41.25" customHeight="1">
      <c r="A125" s="1505" t="s">
        <v>17</v>
      </c>
      <c r="B125" s="1530"/>
      <c r="C125" s="1530"/>
      <c r="D125" s="1530"/>
      <c r="E125" s="1530"/>
      <c r="F125" s="1530"/>
      <c r="G125" s="1531"/>
      <c r="H125" s="1531"/>
      <c r="I125" s="1531"/>
      <c r="J125" s="75"/>
      <c r="K125" s="75"/>
      <c r="L125" s="171"/>
      <c r="M125" s="300"/>
      <c r="N125" s="73"/>
      <c r="O125" s="73"/>
      <c r="P125" s="73"/>
      <c r="Q125" s="73"/>
    </row>
    <row r="126" spans="1:17" s="76" customFormat="1" ht="20.25" customHeight="1">
      <c r="A126" s="1505" t="s">
        <v>54</v>
      </c>
      <c r="B126" s="1533"/>
      <c r="C126" s="1533"/>
      <c r="D126" s="1533"/>
      <c r="E126" s="1533"/>
      <c r="F126" s="1533"/>
      <c r="G126" s="1533"/>
      <c r="H126" s="1533"/>
      <c r="I126" s="1533"/>
      <c r="J126" s="106"/>
      <c r="L126" s="169"/>
      <c r="M126" s="296"/>
      <c r="N126" s="90"/>
      <c r="O126" s="90"/>
      <c r="P126" s="90"/>
      <c r="Q126" s="90"/>
    </row>
    <row r="127" spans="1:17" s="61" customFormat="1">
      <c r="A127" s="189" t="s">
        <v>233</v>
      </c>
      <c r="B127" s="73"/>
      <c r="C127" s="73"/>
      <c r="D127" s="73"/>
      <c r="E127" s="73"/>
      <c r="F127" s="73"/>
      <c r="L127" s="171"/>
      <c r="M127" s="296"/>
      <c r="N127" s="73"/>
      <c r="O127" s="73"/>
      <c r="P127" s="73"/>
      <c r="Q127" s="73"/>
    </row>
    <row r="128" spans="1:17" s="61" customFormat="1" ht="14.25" customHeight="1">
      <c r="A128" s="187"/>
      <c r="B128" s="106"/>
      <c r="C128" s="106"/>
      <c r="D128" s="106"/>
      <c r="E128" s="106"/>
      <c r="F128" s="106"/>
      <c r="G128" s="188"/>
      <c r="H128" s="188"/>
      <c r="I128" s="534" t="s">
        <v>1927</v>
      </c>
      <c r="J128" s="188"/>
      <c r="K128" s="188"/>
      <c r="L128" s="171"/>
      <c r="M128" s="296"/>
      <c r="N128" s="73"/>
      <c r="O128" s="73"/>
      <c r="P128" s="73"/>
      <c r="Q128" s="73"/>
    </row>
    <row r="129" spans="1:17" s="61" customFormat="1" ht="18">
      <c r="A129" s="135" t="s">
        <v>362</v>
      </c>
      <c r="B129" s="135"/>
      <c r="C129" s="135"/>
      <c r="D129" s="135"/>
      <c r="E129" s="135"/>
      <c r="F129" s="135"/>
      <c r="G129" s="135"/>
      <c r="H129" s="135"/>
      <c r="I129" s="135"/>
      <c r="J129" s="565" t="s">
        <v>91</v>
      </c>
      <c r="K129" s="101"/>
      <c r="L129" s="170"/>
      <c r="M129" s="296"/>
      <c r="N129" s="73"/>
      <c r="O129" s="73"/>
      <c r="P129" s="73"/>
      <c r="Q129" s="73"/>
    </row>
    <row r="130" spans="1:17" s="61" customFormat="1" ht="12" customHeight="1">
      <c r="A130" s="135"/>
      <c r="B130" s="135"/>
      <c r="C130" s="135"/>
      <c r="D130" s="135"/>
      <c r="E130" s="135"/>
      <c r="F130" s="135"/>
      <c r="G130" s="135"/>
      <c r="H130" s="135"/>
      <c r="I130" s="135"/>
      <c r="J130" s="565"/>
      <c r="K130" s="101"/>
      <c r="L130" s="170"/>
      <c r="M130" s="296"/>
      <c r="N130" s="73"/>
      <c r="O130" s="73"/>
      <c r="P130" s="73"/>
      <c r="Q130" s="73"/>
    </row>
    <row r="131" spans="1:17" s="61" customFormat="1" ht="18.75">
      <c r="A131" s="1504" t="s">
        <v>18</v>
      </c>
      <c r="B131" s="1504"/>
      <c r="C131" s="1504"/>
      <c r="D131" s="1504"/>
      <c r="E131" s="1504"/>
      <c r="F131" s="1504"/>
      <c r="G131" s="1504"/>
      <c r="H131" s="1504"/>
      <c r="I131" s="1504"/>
      <c r="J131" s="101"/>
      <c r="K131" s="101"/>
      <c r="L131" s="165"/>
      <c r="M131" s="296"/>
      <c r="N131" s="73"/>
      <c r="O131" s="73"/>
      <c r="P131" s="73"/>
      <c r="Q131" s="73"/>
    </row>
    <row r="132" spans="1:17" s="61" customFormat="1" ht="15.75">
      <c r="A132" s="1504" t="s">
        <v>1933</v>
      </c>
      <c r="B132" s="1504"/>
      <c r="C132" s="1504"/>
      <c r="D132" s="1504"/>
      <c r="E132" s="1504"/>
      <c r="F132" s="1504"/>
      <c r="G132" s="1504"/>
      <c r="H132" s="1504"/>
      <c r="I132" s="1504"/>
      <c r="J132" s="91"/>
      <c r="K132" s="91"/>
      <c r="L132" s="165"/>
      <c r="M132" s="296"/>
      <c r="N132" s="73"/>
      <c r="O132" s="73"/>
      <c r="P132" s="73"/>
      <c r="Q132" s="73"/>
    </row>
    <row r="133" spans="1:17" s="61" customFormat="1" ht="12" customHeight="1">
      <c r="A133" s="91"/>
      <c r="B133" s="91"/>
      <c r="C133" s="91"/>
      <c r="D133" s="91"/>
      <c r="E133" s="91"/>
      <c r="F133" s="91"/>
      <c r="G133" s="108"/>
      <c r="H133" s="91"/>
      <c r="I133" s="91"/>
      <c r="J133" s="91"/>
      <c r="K133" s="91"/>
      <c r="L133" s="165"/>
      <c r="M133" s="299"/>
      <c r="N133" s="73"/>
      <c r="O133" s="73"/>
      <c r="P133" s="73"/>
      <c r="Q133" s="73"/>
    </row>
    <row r="134" spans="1:17" s="61" customFormat="1" ht="15.75">
      <c r="A134" s="60"/>
      <c r="B134" s="566" t="s">
        <v>55</v>
      </c>
      <c r="C134" s="567"/>
      <c r="D134" s="567"/>
      <c r="E134" s="567"/>
      <c r="F134" s="568" t="s">
        <v>119</v>
      </c>
      <c r="G134" s="569"/>
      <c r="H134" s="569"/>
      <c r="I134" s="569"/>
      <c r="L134" s="173"/>
      <c r="M134" s="296"/>
      <c r="N134" s="73"/>
      <c r="O134" s="73"/>
      <c r="P134" s="73"/>
      <c r="Q134" s="73"/>
    </row>
    <row r="135" spans="1:17" s="6" customFormat="1" ht="48">
      <c r="A135" s="50"/>
      <c r="B135" s="549" t="s">
        <v>87</v>
      </c>
      <c r="C135" s="550" t="s">
        <v>89</v>
      </c>
      <c r="D135" s="550" t="s">
        <v>397</v>
      </c>
      <c r="E135" s="550" t="s">
        <v>97</v>
      </c>
      <c r="F135" s="551" t="s">
        <v>87</v>
      </c>
      <c r="G135" s="550" t="s">
        <v>89</v>
      </c>
      <c r="H135" s="550" t="s">
        <v>397</v>
      </c>
      <c r="I135" s="550" t="s">
        <v>97</v>
      </c>
      <c r="L135" s="167"/>
      <c r="M135" s="298" t="s">
        <v>260</v>
      </c>
      <c r="N135" s="7"/>
      <c r="O135" s="7"/>
      <c r="P135" s="7"/>
      <c r="Q135" s="7"/>
    </row>
    <row r="136" spans="1:17" s="61" customFormat="1" ht="14.25">
      <c r="A136" s="73" t="s">
        <v>56</v>
      </c>
      <c r="B136" s="102">
        <f>IF($M136&gt;0,('Amounts Pivot Table'!F$631/$M136),0)</f>
        <v>5392.2484590802887</v>
      </c>
      <c r="C136" s="102">
        <f>IF($M136&gt;0,('Amounts Pivot Table'!F$634/$M136),0)</f>
        <v>69.910207516102943</v>
      </c>
      <c r="D136" s="102">
        <f>IF($M136&gt;0,('Amounts Pivot Table'!F$640/$M136),0)</f>
        <v>6787.0246368894559</v>
      </c>
      <c r="E136" s="102">
        <f>SUM(B136:D136)</f>
        <v>12249.183303485846</v>
      </c>
      <c r="F136" s="114"/>
      <c r="G136" s="115"/>
      <c r="H136" s="115"/>
      <c r="I136" s="115"/>
      <c r="J136" s="102"/>
      <c r="L136" s="168"/>
      <c r="M136" s="824">
        <f>+'[1]NEW-Tables 80-86'!E70</f>
        <v>161983.21249999999</v>
      </c>
      <c r="N136" s="73"/>
      <c r="O136" s="73"/>
      <c r="P136" s="73"/>
      <c r="Q136" s="73"/>
    </row>
    <row r="137" spans="1:17" s="61" customFormat="1" ht="9.75" customHeight="1">
      <c r="A137" s="73"/>
      <c r="B137" s="102"/>
      <c r="C137" s="102"/>
      <c r="D137" s="102"/>
      <c r="E137" s="102"/>
      <c r="F137" s="114"/>
      <c r="G137" s="115"/>
      <c r="H137" s="115"/>
      <c r="I137" s="115"/>
      <c r="J137" s="102"/>
      <c r="L137" s="168"/>
      <c r="M137" s="824"/>
      <c r="N137" s="73"/>
      <c r="O137" s="73"/>
      <c r="P137" s="73"/>
      <c r="Q137" s="73"/>
    </row>
    <row r="138" spans="1:17" s="61" customFormat="1" ht="12.75" customHeight="1">
      <c r="A138" s="73" t="s">
        <v>320</v>
      </c>
      <c r="B138" s="75">
        <f>IF($M138&gt;0,('Amounts Pivot Table'!F$7/$M138),0)</f>
        <v>5914.7259330884408</v>
      </c>
      <c r="C138" s="75">
        <f>IF($M138&gt;0,('Amounts Pivot Table'!F$10/$M138),0)</f>
        <v>51.309533337362247</v>
      </c>
      <c r="D138" s="75">
        <f>IF($M138&gt;0,('Amounts Pivot Table'!F$16/$M138),0)</f>
        <v>7593.8550342103845</v>
      </c>
      <c r="E138" s="75">
        <f>SUM(B138:D138)</f>
        <v>13559.890500636187</v>
      </c>
      <c r="F138" s="116">
        <f>IF(B138&gt;0,RANK(B138,$B$138:$B$156),)</f>
        <v>6</v>
      </c>
      <c r="G138" s="107">
        <f>IF(C138&gt;0,RANK(C138,$C$138:$C$156),)</f>
        <v>4</v>
      </c>
      <c r="H138" s="107">
        <f>IF(D138&gt;0,RANK(D138,$D$138:$D$156),)</f>
        <v>4</v>
      </c>
      <c r="I138" s="107">
        <f>IF(E138&gt;0,RANK(E138,$E$138:$E$156),)</f>
        <v>5</v>
      </c>
      <c r="J138" s="75"/>
      <c r="L138" s="168"/>
      <c r="M138" s="824">
        <f>+'[1]NEW-Tables 80-86'!E72</f>
        <v>15306.025</v>
      </c>
      <c r="N138" s="73"/>
      <c r="O138" s="73"/>
      <c r="P138" s="73"/>
      <c r="Q138" s="73"/>
    </row>
    <row r="139" spans="1:17" s="61" customFormat="1" ht="12.75" customHeight="1">
      <c r="A139" s="73" t="s">
        <v>334</v>
      </c>
      <c r="B139" s="75">
        <f>IF($M139&gt;0,('Amounts Pivot Table'!F$46/$M139),0)</f>
        <v>5748.7298765520081</v>
      </c>
      <c r="C139" s="75">
        <f>IF($M139&gt;0,('Amounts Pivot Table'!F$49/$M139),0)</f>
        <v>32.157050380676907</v>
      </c>
      <c r="D139" s="75">
        <f>IF($M139&gt;0,('Amounts Pivot Table'!F$55/$M139),0)</f>
        <v>7301.8626509059768</v>
      </c>
      <c r="E139" s="75">
        <f>SUM(B139:D139)</f>
        <v>13082.749577838662</v>
      </c>
      <c r="F139" s="116">
        <f t="shared" ref="F139:F156" si="29">IF(B139&gt;0,RANK(B139,$B$138:$B$156),)</f>
        <v>8</v>
      </c>
      <c r="G139" s="107">
        <f t="shared" ref="G139:G156" si="30">IF(C139&gt;0,RANK(C139,$C$138:$C$156),)</f>
        <v>5</v>
      </c>
      <c r="H139" s="107">
        <f t="shared" ref="H139:H156" si="31">IF(D139&gt;0,RANK(D139,$D$138:$D$156),)</f>
        <v>5</v>
      </c>
      <c r="I139" s="107">
        <f t="shared" ref="I139:I156" si="32">IF(E139&gt;0,RANK(E139,$E$138:$E$156),)</f>
        <v>7</v>
      </c>
      <c r="J139" s="75"/>
      <c r="L139" s="168"/>
      <c r="M139" s="824">
        <f>+'[1]NEW-Tables 80-86'!E73</f>
        <v>6548.6416666666664</v>
      </c>
      <c r="N139" s="73"/>
      <c r="O139" s="73"/>
      <c r="P139" s="73"/>
      <c r="Q139" s="73"/>
    </row>
    <row r="140" spans="1:17" s="61" customFormat="1" ht="12.75" customHeight="1">
      <c r="A140" s="73" t="s">
        <v>321</v>
      </c>
      <c r="B140" s="75">
        <f>IF($M140&gt;0,('Amounts Pivot Table'!F$85/$M140),0)</f>
        <v>0</v>
      </c>
      <c r="C140" s="75">
        <f>IF($M140&gt;0,('Amounts Pivot Table'!F$88/$M140),0)</f>
        <v>0</v>
      </c>
      <c r="D140" s="75">
        <f>IF($M140&gt;0,('Amounts Pivot Table'!F$94/$M140),0)</f>
        <v>0</v>
      </c>
      <c r="E140" s="75">
        <f>SUM(B140:D140)</f>
        <v>0</v>
      </c>
      <c r="F140" s="116">
        <f>IF(B140&gt;0,RANK(B140,$B$138:$B$156),)</f>
        <v>0</v>
      </c>
      <c r="G140" s="107">
        <f>IF(C140&gt;0,RANK(C140,$C$138:$C$156),)</f>
        <v>0</v>
      </c>
      <c r="H140" s="107">
        <f>IF(D140&gt;0,RANK(D140,$D$138:$D$156),)</f>
        <v>0</v>
      </c>
      <c r="I140" s="107">
        <f>IF(E140&gt;0,RANK(E140,$E$138:$E$156),)</f>
        <v>0</v>
      </c>
      <c r="J140" s="75"/>
      <c r="L140" s="168"/>
      <c r="M140" s="824">
        <f>+'[1]NEW-Tables 80-86'!E74</f>
        <v>0</v>
      </c>
      <c r="N140" s="220"/>
      <c r="O140" s="220"/>
      <c r="P140" s="220"/>
      <c r="Q140" s="73"/>
    </row>
    <row r="141" spans="1:17" s="61" customFormat="1" ht="12.75" customHeight="1">
      <c r="A141" s="73" t="s">
        <v>328</v>
      </c>
      <c r="B141" s="75">
        <f>IF($M141&gt;0,('Amounts Pivot Table'!F$124/$M141),0)</f>
        <v>4593.0103513837048</v>
      </c>
      <c r="C141" s="75">
        <f>IF($M141&gt;0,('Amounts Pivot Table'!F$127/$M141),0)</f>
        <v>53.250930961779822</v>
      </c>
      <c r="D141" s="75">
        <f>IF($M141&gt;0,('Amounts Pivot Table'!F$133/$M141),0)</f>
        <v>5140.2942626244212</v>
      </c>
      <c r="E141" s="75">
        <f>SUM(B141:D141)</f>
        <v>9786.5555449699059</v>
      </c>
      <c r="F141" s="116">
        <f t="shared" si="29"/>
        <v>9</v>
      </c>
      <c r="G141" s="107">
        <f t="shared" si="30"/>
        <v>3</v>
      </c>
      <c r="H141" s="107">
        <f t="shared" si="31"/>
        <v>10</v>
      </c>
      <c r="I141" s="107">
        <f t="shared" si="32"/>
        <v>10</v>
      </c>
      <c r="J141" s="75"/>
      <c r="L141" s="168"/>
      <c r="M141" s="824">
        <f>+'[1]NEW-Tables 80-86'!E75</f>
        <v>12070.85</v>
      </c>
      <c r="N141" s="73"/>
      <c r="O141" s="73"/>
      <c r="P141" s="73"/>
      <c r="Q141" s="73"/>
    </row>
    <row r="142" spans="1:17" s="61" customFormat="1" ht="9.75" customHeight="1">
      <c r="A142" s="73"/>
      <c r="B142" s="75"/>
      <c r="C142" s="75"/>
      <c r="D142" s="75"/>
      <c r="E142" s="75"/>
      <c r="F142" s="116"/>
      <c r="G142" s="107"/>
      <c r="H142" s="107"/>
      <c r="I142" s="107"/>
      <c r="J142" s="75"/>
      <c r="L142" s="168"/>
      <c r="M142" s="824"/>
      <c r="N142" s="73"/>
      <c r="O142" s="73"/>
      <c r="P142" s="73"/>
      <c r="Q142" s="73"/>
    </row>
    <row r="143" spans="1:17" s="61" customFormat="1" ht="12.75" customHeight="1">
      <c r="A143" s="73" t="s">
        <v>329</v>
      </c>
      <c r="B143" s="75">
        <f>IF($M143&gt;0,('Amounts Pivot Table'!F$163/$M143),0)</f>
        <v>4386.286255262652</v>
      </c>
      <c r="C143" s="75">
        <f>IF($M143&gt;0,('Amounts Pivot Table'!F$166/$M143),0)</f>
        <v>0</v>
      </c>
      <c r="D143" s="75">
        <f>IF($M143&gt;0,('Amounts Pivot Table'!F$172/$M143),0)</f>
        <v>5839.1640460945382</v>
      </c>
      <c r="E143" s="75">
        <f>SUM(B143:D143)</f>
        <v>10225.45030135719</v>
      </c>
      <c r="F143" s="116">
        <f t="shared" si="29"/>
        <v>10</v>
      </c>
      <c r="G143" s="107">
        <f t="shared" si="30"/>
        <v>0</v>
      </c>
      <c r="H143" s="107">
        <f t="shared" si="31"/>
        <v>8</v>
      </c>
      <c r="I143" s="107">
        <f t="shared" si="32"/>
        <v>9</v>
      </c>
      <c r="J143" s="75"/>
      <c r="L143" s="168"/>
      <c r="M143" s="824">
        <f>+'[1]NEW-Tables 80-86'!E77</f>
        <v>48430.9</v>
      </c>
      <c r="N143" s="73"/>
      <c r="O143" s="73"/>
      <c r="P143" s="73"/>
      <c r="Q143" s="73"/>
    </row>
    <row r="144" spans="1:17" s="61" customFormat="1" ht="12.75" customHeight="1">
      <c r="A144" s="73" t="s">
        <v>322</v>
      </c>
      <c r="B144" s="75">
        <f>IF($M144&gt;0,('Amounts Pivot Table'!F$202/$M144),0)</f>
        <v>11991.785662155156</v>
      </c>
      <c r="C144" s="75">
        <f>IF($M144&gt;0,('Amounts Pivot Table'!F$205/$M144),0)</f>
        <v>2159.5856591351794</v>
      </c>
      <c r="D144" s="75">
        <f>IF($M144&gt;0,('Amounts Pivot Table'!F$211/$M144),0)</f>
        <v>12917.167664098008</v>
      </c>
      <c r="E144" s="75">
        <f>SUM(B144:D144)</f>
        <v>27068.538985388343</v>
      </c>
      <c r="F144" s="116">
        <f t="shared" si="29"/>
        <v>1</v>
      </c>
      <c r="G144" s="107">
        <f t="shared" si="30"/>
        <v>1</v>
      </c>
      <c r="H144" s="107">
        <f t="shared" si="31"/>
        <v>1</v>
      </c>
      <c r="I144" s="107">
        <f t="shared" si="32"/>
        <v>1</v>
      </c>
      <c r="J144" s="75"/>
      <c r="L144" s="168"/>
      <c r="M144" s="824">
        <f>+'[1]NEW-Tables 80-86'!E78</f>
        <v>1655.6416666666667</v>
      </c>
      <c r="N144" s="73"/>
      <c r="O144" s="73"/>
      <c r="P144" s="73"/>
      <c r="Q144" s="73"/>
    </row>
    <row r="145" spans="1:17" s="61" customFormat="1" ht="12.75" customHeight="1">
      <c r="A145" s="73" t="s">
        <v>330</v>
      </c>
      <c r="B145" s="75">
        <f>IF($M145&gt;0,('Amounts Pivot Table'!F$241/$M145),0)</f>
        <v>2918.408700535264</v>
      </c>
      <c r="C145" s="75">
        <f>IF($M145&gt;0,('Amounts Pivot Table'!F$244/$M145),0)</f>
        <v>0</v>
      </c>
      <c r="D145" s="75">
        <f>IF($M145&gt;0,('Amounts Pivot Table'!F$250/$M145),0)</f>
        <v>6804.0489148606966</v>
      </c>
      <c r="E145" s="75">
        <f>SUM(B145:D145)</f>
        <v>9722.4576153959606</v>
      </c>
      <c r="F145" s="116">
        <f t="shared" si="29"/>
        <v>11</v>
      </c>
      <c r="G145" s="107">
        <f t="shared" si="30"/>
        <v>0</v>
      </c>
      <c r="H145" s="107">
        <f t="shared" si="31"/>
        <v>7</v>
      </c>
      <c r="I145" s="107">
        <f t="shared" si="32"/>
        <v>11</v>
      </c>
      <c r="J145" s="75"/>
      <c r="L145" s="168"/>
      <c r="M145" s="824">
        <f>+'[1]NEW-Tables 80-86'!E79</f>
        <v>27290.275000000001</v>
      </c>
      <c r="N145" s="73"/>
      <c r="O145" s="73"/>
      <c r="P145" s="73"/>
      <c r="Q145" s="73"/>
    </row>
    <row r="146" spans="1:17" s="61" customFormat="1" ht="12.75" customHeight="1">
      <c r="A146" s="73" t="s">
        <v>333</v>
      </c>
      <c r="B146" s="75">
        <f>IF($M146&gt;0,('Amounts Pivot Table'!F$280/$M146),0)</f>
        <v>7309.4122278759905</v>
      </c>
      <c r="C146" s="75">
        <f>IF($M146&gt;0,('Amounts Pivot Table'!F$283/$M146),0)</f>
        <v>0</v>
      </c>
      <c r="D146" s="75">
        <f>IF($M146&gt;0,('Amounts Pivot Table'!F$289/$M146),0)</f>
        <v>8875.4910740407067</v>
      </c>
      <c r="E146" s="75">
        <f>SUM(B146:D146)</f>
        <v>16184.903301916696</v>
      </c>
      <c r="F146" s="116">
        <f t="shared" si="29"/>
        <v>5</v>
      </c>
      <c r="G146" s="107">
        <f t="shared" si="30"/>
        <v>0</v>
      </c>
      <c r="H146" s="107">
        <f t="shared" si="31"/>
        <v>2</v>
      </c>
      <c r="I146" s="107">
        <f t="shared" si="32"/>
        <v>2</v>
      </c>
      <c r="J146" s="75"/>
      <c r="L146" s="168"/>
      <c r="M146" s="824">
        <f>+'[1]NEW-Tables 80-86'!E80</f>
        <v>27273.679166666669</v>
      </c>
      <c r="N146" s="73"/>
      <c r="O146" s="73"/>
      <c r="P146" s="73"/>
      <c r="Q146" s="73"/>
    </row>
    <row r="147" spans="1:17" s="61" customFormat="1" ht="9.75" customHeight="1">
      <c r="A147" s="73"/>
      <c r="B147" s="75"/>
      <c r="C147" s="75"/>
      <c r="D147" s="75"/>
      <c r="E147" s="75"/>
      <c r="F147" s="116"/>
      <c r="G147" s="107"/>
      <c r="H147" s="107"/>
      <c r="I147" s="107"/>
      <c r="J147" s="75"/>
      <c r="L147" s="168"/>
      <c r="M147" s="824"/>
      <c r="N147" s="73"/>
      <c r="O147" s="73"/>
      <c r="P147" s="73"/>
      <c r="Q147" s="73"/>
    </row>
    <row r="148" spans="1:17" s="61" customFormat="1" ht="12.75" customHeight="1">
      <c r="A148" s="73" t="s">
        <v>323</v>
      </c>
      <c r="B148" s="75">
        <f>IF($M148&gt;0,('Amounts Pivot Table'!F$319/$M148),0)</f>
        <v>7480.21441855799</v>
      </c>
      <c r="C148" s="75">
        <f>IF($M148&gt;0,('Amounts Pivot Table'!F$322/$M148),0)</f>
        <v>707.27634026068233</v>
      </c>
      <c r="D148" s="75">
        <f>IF($M148&gt;0,('Amounts Pivot Table'!F$328/$M148),0)</f>
        <v>6942.7431067346797</v>
      </c>
      <c r="E148" s="75">
        <f>SUM(B148:D148)</f>
        <v>15130.233865553353</v>
      </c>
      <c r="F148" s="116">
        <f t="shared" si="29"/>
        <v>4</v>
      </c>
      <c r="G148" s="107">
        <f t="shared" si="30"/>
        <v>2</v>
      </c>
      <c r="H148" s="107">
        <f t="shared" si="31"/>
        <v>6</v>
      </c>
      <c r="I148" s="107">
        <f t="shared" si="32"/>
        <v>3</v>
      </c>
      <c r="J148" s="75"/>
      <c r="L148" s="168"/>
      <c r="M148" s="824">
        <f>+'[1]NEW-Tables 80-86'!E82</f>
        <v>8638.8666666666668</v>
      </c>
      <c r="N148" s="73"/>
      <c r="O148" s="73"/>
      <c r="P148" s="73"/>
      <c r="Q148" s="73"/>
    </row>
    <row r="149" spans="1:17" s="61" customFormat="1" ht="12.75" customHeight="1">
      <c r="A149" s="73" t="s">
        <v>324</v>
      </c>
      <c r="B149" s="75">
        <f>IF($M149&gt;0,('Amounts Pivot Table'!F$358/$M149),0)</f>
        <v>8945.0618231980679</v>
      </c>
      <c r="C149" s="75">
        <f>IF($M149&gt;0,('Amounts Pivot Table'!F$361/$M149),0)</f>
        <v>0</v>
      </c>
      <c r="D149" s="75">
        <f>IF($M149&gt;0,('Amounts Pivot Table'!F$367/$M149),0)</f>
        <v>3652.008184848833</v>
      </c>
      <c r="E149" s="75">
        <f>SUM(B149:D149)</f>
        <v>12597.070008046901</v>
      </c>
      <c r="F149" s="116">
        <f t="shared" si="29"/>
        <v>2</v>
      </c>
      <c r="G149" s="107">
        <f t="shared" si="30"/>
        <v>0</v>
      </c>
      <c r="H149" s="107">
        <f t="shared" si="31"/>
        <v>11</v>
      </c>
      <c r="I149" s="107">
        <f t="shared" si="32"/>
        <v>8</v>
      </c>
      <c r="J149" s="75"/>
      <c r="L149" s="168"/>
      <c r="M149" s="824">
        <f>+'[1]NEW-Tables 80-86'!E83</f>
        <v>5436.875</v>
      </c>
      <c r="N149" s="73"/>
      <c r="O149" s="73"/>
      <c r="P149" s="73"/>
      <c r="Q149" s="103"/>
    </row>
    <row r="150" spans="1:17" s="61" customFormat="1" ht="12.75" customHeight="1">
      <c r="A150" s="73" t="s">
        <v>331</v>
      </c>
      <c r="B150" s="75">
        <f>IF($M150&gt;0,('Amounts Pivot Table'!F$397/$M150),0)</f>
        <v>5857.3713575258371</v>
      </c>
      <c r="C150" s="75">
        <f>IF($M150&gt;0,('Amounts Pivot Table'!F$400/$M150),0)</f>
        <v>0</v>
      </c>
      <c r="D150" s="75">
        <f>IF($M150&gt;0,('Amounts Pivot Table'!F$406/$M150),0)</f>
        <v>8548.1094102105835</v>
      </c>
      <c r="E150" s="75">
        <f>SUM(B150:D150)</f>
        <v>14405.480767736421</v>
      </c>
      <c r="F150" s="116">
        <f t="shared" si="29"/>
        <v>7</v>
      </c>
      <c r="G150" s="107">
        <f t="shared" si="30"/>
        <v>0</v>
      </c>
      <c r="H150" s="107">
        <f t="shared" si="31"/>
        <v>3</v>
      </c>
      <c r="I150" s="107">
        <f t="shared" si="32"/>
        <v>4</v>
      </c>
      <c r="J150" s="75"/>
      <c r="L150" s="168"/>
      <c r="M150" s="824">
        <f>+'[1]NEW-Tables 80-86'!E84</f>
        <v>3217.25</v>
      </c>
      <c r="N150" s="73"/>
      <c r="O150" s="73"/>
      <c r="P150" s="73"/>
      <c r="Q150" s="103"/>
    </row>
    <row r="151" spans="1:17" s="61" customFormat="1" ht="12.75" customHeight="1">
      <c r="A151" s="73" t="s">
        <v>325</v>
      </c>
      <c r="B151" s="75">
        <f>IF($M151&gt;0,('Amounts Pivot Table'!F$436/$M151),0)</f>
        <v>0</v>
      </c>
      <c r="C151" s="75">
        <f>IF($M151&gt;0,('Amounts Pivot Table'!F$439/$M151),0)</f>
        <v>0</v>
      </c>
      <c r="D151" s="75">
        <f>IF($M151&gt;0,('Amounts Pivot Table'!F$445/$M151),0)</f>
        <v>0</v>
      </c>
      <c r="E151" s="75">
        <f>SUM(B151:D151)</f>
        <v>0</v>
      </c>
      <c r="F151" s="116">
        <f>IF(B151&gt;0,RANK(B151,$B$138:$B$156),)</f>
        <v>0</v>
      </c>
      <c r="G151" s="107">
        <f t="shared" si="30"/>
        <v>0</v>
      </c>
      <c r="H151" s="107">
        <f t="shared" si="31"/>
        <v>0</v>
      </c>
      <c r="I151" s="107">
        <f t="shared" si="32"/>
        <v>0</v>
      </c>
      <c r="J151" s="75"/>
      <c r="L151" s="168"/>
      <c r="M151" s="824">
        <f>+'[1]NEW-Tables 80-86'!E85</f>
        <v>0</v>
      </c>
      <c r="N151" s="73"/>
      <c r="O151" s="73"/>
      <c r="P151" s="73"/>
      <c r="Q151" s="103"/>
    </row>
    <row r="152" spans="1:17" s="61" customFormat="1" ht="9.75" customHeight="1">
      <c r="A152" s="73"/>
      <c r="B152" s="75"/>
      <c r="C152" s="75"/>
      <c r="D152" s="75"/>
      <c r="E152" s="75"/>
      <c r="F152" s="116"/>
      <c r="G152" s="107"/>
      <c r="H152" s="107"/>
      <c r="I152" s="107"/>
      <c r="J152" s="75"/>
      <c r="L152" s="168"/>
      <c r="M152" s="824"/>
      <c r="N152" s="73"/>
      <c r="O152" s="73"/>
      <c r="P152" s="73"/>
      <c r="Q152" s="73"/>
    </row>
    <row r="153" spans="1:17" s="61" customFormat="1" ht="12.75" customHeight="1">
      <c r="A153" s="73" t="s">
        <v>90</v>
      </c>
      <c r="B153" s="75">
        <f>IF($M153&gt;0,('Amounts Pivot Table'!F$475/$M153),0)</f>
        <v>0</v>
      </c>
      <c r="C153" s="75">
        <f>IF($M153&gt;0,('Amounts Pivot Table'!F$478/$M153),0)</f>
        <v>0</v>
      </c>
      <c r="D153" s="75">
        <f>IF($M153&gt;0,('Amounts Pivot Table'!F$484/$M153),0)</f>
        <v>0</v>
      </c>
      <c r="E153" s="75">
        <f>SUM(B153:D153)</f>
        <v>0</v>
      </c>
      <c r="F153" s="116">
        <f t="shared" si="29"/>
        <v>0</v>
      </c>
      <c r="G153" s="107">
        <f t="shared" si="30"/>
        <v>0</v>
      </c>
      <c r="H153" s="107">
        <f t="shared" si="31"/>
        <v>0</v>
      </c>
      <c r="I153" s="107">
        <f t="shared" si="32"/>
        <v>0</v>
      </c>
      <c r="J153" s="75"/>
      <c r="L153" s="174"/>
      <c r="M153" s="824">
        <f>+'[1]NEW-Tables 80-86'!E87</f>
        <v>0</v>
      </c>
      <c r="N153" s="73"/>
      <c r="O153" s="73"/>
      <c r="P153" s="73"/>
      <c r="Q153" s="73"/>
    </row>
    <row r="154" spans="1:17" s="76" customFormat="1" ht="12.75" customHeight="1">
      <c r="A154" s="73" t="s">
        <v>326</v>
      </c>
      <c r="B154" s="75">
        <f>IF($M154&gt;0,('Amounts Pivot Table'!F$514/$M154),0)</f>
        <v>7597.3624821965232</v>
      </c>
      <c r="C154" s="75">
        <f>IF($M154&gt;0,('Amounts Pivot Table'!F$517/$M154),0)</f>
        <v>0</v>
      </c>
      <c r="D154" s="75">
        <f>IF($M154&gt;0,('Amounts Pivot Table'!F$523/$M154),0)</f>
        <v>5563.947472076652</v>
      </c>
      <c r="E154" s="75">
        <f>SUM(B154:D154)</f>
        <v>13161.309954273176</v>
      </c>
      <c r="F154" s="116">
        <f t="shared" si="29"/>
        <v>3</v>
      </c>
      <c r="G154" s="107">
        <f t="shared" si="30"/>
        <v>0</v>
      </c>
      <c r="H154" s="107">
        <f t="shared" si="31"/>
        <v>9</v>
      </c>
      <c r="I154" s="107">
        <f t="shared" si="32"/>
        <v>6</v>
      </c>
      <c r="J154" s="75"/>
      <c r="K154" s="75"/>
      <c r="L154" s="174"/>
      <c r="M154" s="824">
        <f>+'[1]NEW-Tables 80-86'!E88</f>
        <v>6114.208333333333</v>
      </c>
      <c r="N154" s="90"/>
      <c r="O154" s="90"/>
      <c r="P154" s="90"/>
      <c r="Q154" s="90"/>
    </row>
    <row r="155" spans="1:17" s="61" customFormat="1" ht="12.75" customHeight="1">
      <c r="A155" s="73" t="s">
        <v>327</v>
      </c>
      <c r="B155" s="75">
        <f>IF($M155&gt;0,('Amounts Pivot Table'!F$553/$M155),0)</f>
        <v>0</v>
      </c>
      <c r="C155" s="75">
        <f>IF($M155&gt;0,('Amounts Pivot Table'!F$556/$M155),0)</f>
        <v>0</v>
      </c>
      <c r="D155" s="75">
        <f>IF($M155&gt;0,('Amounts Pivot Table'!F$562/$M155),0)</f>
        <v>0</v>
      </c>
      <c r="E155" s="75">
        <f>SUM(B155:D155)</f>
        <v>0</v>
      </c>
      <c r="F155" s="116">
        <f t="shared" si="29"/>
        <v>0</v>
      </c>
      <c r="G155" s="107">
        <f t="shared" si="30"/>
        <v>0</v>
      </c>
      <c r="H155" s="107">
        <f t="shared" si="31"/>
        <v>0</v>
      </c>
      <c r="I155" s="107">
        <f t="shared" si="32"/>
        <v>0</v>
      </c>
      <c r="J155" s="75"/>
      <c r="K155" s="75"/>
      <c r="L155" s="174"/>
      <c r="M155" s="824">
        <f>+'[1]NEW-Tables 80-86'!E89</f>
        <v>0</v>
      </c>
      <c r="N155" s="73"/>
      <c r="O155" s="73"/>
      <c r="P155" s="73"/>
      <c r="Q155" s="73"/>
    </row>
    <row r="156" spans="1:17" s="61" customFormat="1" ht="13.5" customHeight="1">
      <c r="A156" s="74" t="s">
        <v>332</v>
      </c>
      <c r="B156" s="104">
        <f>IF($M156&gt;0,('Amounts Pivot Table'!F$592/$M156),0)</f>
        <v>0</v>
      </c>
      <c r="C156" s="104">
        <f>IF($M156&gt;0,('Amounts Pivot Table'!F$595/$M156),0)</f>
        <v>0</v>
      </c>
      <c r="D156" s="104">
        <f>IF($M156&gt;0,('Amounts Pivot Table'!F$601/$M156),0)</f>
        <v>0</v>
      </c>
      <c r="E156" s="105">
        <f>SUM(B156:D156)</f>
        <v>0</v>
      </c>
      <c r="F156" s="117">
        <f t="shared" si="29"/>
        <v>0</v>
      </c>
      <c r="G156" s="118">
        <f t="shared" si="30"/>
        <v>0</v>
      </c>
      <c r="H156" s="118">
        <f t="shared" si="31"/>
        <v>0</v>
      </c>
      <c r="I156" s="118">
        <f t="shared" si="32"/>
        <v>0</v>
      </c>
      <c r="J156" s="75"/>
      <c r="K156" s="75"/>
      <c r="L156" s="174"/>
      <c r="M156" s="824">
        <f>+'[1]NEW-Tables 80-86'!E90</f>
        <v>0</v>
      </c>
      <c r="N156" s="73"/>
      <c r="O156" s="73"/>
      <c r="P156" s="73"/>
      <c r="Q156" s="73"/>
    </row>
    <row r="157" spans="1:17" s="76" customFormat="1" ht="40.5" customHeight="1">
      <c r="A157" s="1505" t="s">
        <v>17</v>
      </c>
      <c r="B157" s="1530"/>
      <c r="C157" s="1530"/>
      <c r="D157" s="1530"/>
      <c r="E157" s="1530"/>
      <c r="F157" s="1530"/>
      <c r="G157" s="1531"/>
      <c r="H157" s="1531"/>
      <c r="I157" s="1531"/>
      <c r="J157" s="75"/>
      <c r="K157" s="75"/>
      <c r="L157" s="169"/>
      <c r="M157" s="300"/>
      <c r="N157" s="90"/>
      <c r="O157" s="90"/>
      <c r="P157" s="90"/>
      <c r="Q157" s="90"/>
    </row>
    <row r="158" spans="1:17" s="76" customFormat="1" ht="17.25" customHeight="1">
      <c r="A158" s="1505" t="s">
        <v>54</v>
      </c>
      <c r="B158" s="1533"/>
      <c r="C158" s="1533"/>
      <c r="D158" s="1533"/>
      <c r="E158" s="1533"/>
      <c r="F158" s="1533"/>
      <c r="G158" s="1533"/>
      <c r="H158" s="1533"/>
      <c r="I158" s="1533"/>
      <c r="J158" s="106"/>
      <c r="L158" s="169"/>
      <c r="M158" s="296"/>
      <c r="N158" s="90"/>
      <c r="O158" s="90"/>
      <c r="P158" s="90"/>
      <c r="Q158" s="90"/>
    </row>
    <row r="159" spans="1:17" s="61" customFormat="1" ht="15" customHeight="1">
      <c r="A159" s="1505" t="s">
        <v>233</v>
      </c>
      <c r="B159" s="1530"/>
      <c r="C159" s="1530"/>
      <c r="D159" s="1530"/>
      <c r="E159" s="1530"/>
      <c r="F159" s="1530"/>
      <c r="G159" s="1531"/>
      <c r="H159" s="1531"/>
      <c r="I159" s="1531"/>
      <c r="L159" s="171"/>
      <c r="M159" s="296"/>
      <c r="N159" s="73"/>
      <c r="O159" s="73"/>
      <c r="P159" s="73"/>
      <c r="Q159" s="73"/>
    </row>
    <row r="160" spans="1:17" s="61" customFormat="1">
      <c r="A160" s="187"/>
      <c r="B160" s="106"/>
      <c r="C160" s="106"/>
      <c r="D160" s="106"/>
      <c r="E160" s="106"/>
      <c r="F160" s="106"/>
      <c r="G160" s="188"/>
      <c r="H160" s="188"/>
      <c r="I160" s="534" t="s">
        <v>1927</v>
      </c>
      <c r="J160" s="188"/>
      <c r="K160" s="188"/>
      <c r="L160" s="171"/>
      <c r="M160" s="296"/>
      <c r="N160" s="73"/>
      <c r="O160" s="73"/>
      <c r="P160" s="73"/>
      <c r="Q160" s="73"/>
    </row>
    <row r="161" spans="1:17" s="61" customFormat="1" ht="18">
      <c r="A161" s="135" t="s">
        <v>363</v>
      </c>
      <c r="B161" s="135"/>
      <c r="C161" s="135"/>
      <c r="D161" s="135"/>
      <c r="E161" s="135"/>
      <c r="F161" s="135"/>
      <c r="G161" s="135"/>
      <c r="H161" s="135"/>
      <c r="I161" s="135"/>
      <c r="J161" s="565" t="s">
        <v>91</v>
      </c>
      <c r="K161" s="101"/>
      <c r="L161" s="170"/>
      <c r="M161" s="296"/>
      <c r="N161" s="73"/>
      <c r="O161" s="73"/>
      <c r="P161" s="73"/>
      <c r="Q161" s="73"/>
    </row>
    <row r="162" spans="1:17" s="61" customFormat="1" ht="15.75" customHeight="1">
      <c r="A162" s="135"/>
      <c r="B162" s="135"/>
      <c r="C162" s="135"/>
      <c r="D162" s="135"/>
      <c r="E162" s="135"/>
      <c r="F162" s="135"/>
      <c r="G162" s="135"/>
      <c r="H162" s="135"/>
      <c r="I162" s="135"/>
      <c r="J162" s="565"/>
      <c r="K162" s="101"/>
      <c r="L162" s="170"/>
      <c r="M162" s="296"/>
      <c r="N162" s="73"/>
      <c r="O162" s="73"/>
      <c r="P162" s="73"/>
      <c r="Q162" s="73"/>
    </row>
    <row r="163" spans="1:17" s="61" customFormat="1" ht="18.75">
      <c r="A163" s="1504" t="s">
        <v>18</v>
      </c>
      <c r="B163" s="1504"/>
      <c r="C163" s="1504"/>
      <c r="D163" s="1504"/>
      <c r="E163" s="1504"/>
      <c r="F163" s="1504"/>
      <c r="G163" s="1504"/>
      <c r="H163" s="1504"/>
      <c r="I163" s="1504"/>
      <c r="J163" s="101"/>
      <c r="K163" s="101"/>
      <c r="L163" s="165"/>
      <c r="M163" s="296"/>
      <c r="N163" s="73"/>
      <c r="O163" s="73"/>
      <c r="P163" s="73"/>
      <c r="Q163" s="73"/>
    </row>
    <row r="164" spans="1:17" s="61" customFormat="1" ht="16.5" customHeight="1">
      <c r="A164" s="1504" t="s">
        <v>1934</v>
      </c>
      <c r="B164" s="1504"/>
      <c r="C164" s="1504"/>
      <c r="D164" s="1504"/>
      <c r="E164" s="1504"/>
      <c r="F164" s="1504"/>
      <c r="G164" s="1504"/>
      <c r="H164" s="1504"/>
      <c r="I164" s="1504"/>
      <c r="J164" s="91"/>
      <c r="K164" s="91"/>
      <c r="L164" s="165"/>
      <c r="M164" s="296"/>
      <c r="N164" s="73"/>
      <c r="O164" s="73"/>
      <c r="P164" s="73"/>
      <c r="Q164" s="73"/>
    </row>
    <row r="165" spans="1:17" s="112" customFormat="1" ht="8.25">
      <c r="A165" s="194"/>
      <c r="B165" s="194"/>
      <c r="C165" s="194"/>
      <c r="D165" s="194"/>
      <c r="E165" s="194"/>
      <c r="F165" s="194"/>
      <c r="G165" s="195"/>
      <c r="H165" s="194"/>
      <c r="I165" s="194"/>
      <c r="J165" s="194"/>
      <c r="K165" s="194"/>
      <c r="L165" s="196"/>
      <c r="M165" s="301"/>
      <c r="N165" s="110"/>
      <c r="O165" s="110"/>
      <c r="P165" s="110"/>
      <c r="Q165" s="110"/>
    </row>
    <row r="166" spans="1:17" s="61" customFormat="1" ht="15.75">
      <c r="A166" s="60"/>
      <c r="B166" s="566" t="s">
        <v>55</v>
      </c>
      <c r="C166" s="567"/>
      <c r="D166" s="567"/>
      <c r="E166" s="567"/>
      <c r="F166" s="568" t="s">
        <v>119</v>
      </c>
      <c r="G166" s="569"/>
      <c r="H166" s="569"/>
      <c r="I166" s="569"/>
      <c r="L166" s="173"/>
      <c r="M166" s="299"/>
      <c r="N166" s="73"/>
      <c r="O166" s="73"/>
      <c r="P166" s="73"/>
      <c r="Q166" s="73"/>
    </row>
    <row r="167" spans="1:17" s="6" customFormat="1" ht="48">
      <c r="A167" s="50"/>
      <c r="B167" s="549" t="s">
        <v>87</v>
      </c>
      <c r="C167" s="550" t="s">
        <v>89</v>
      </c>
      <c r="D167" s="550" t="s">
        <v>397</v>
      </c>
      <c r="E167" s="550" t="s">
        <v>97</v>
      </c>
      <c r="F167" s="551" t="s">
        <v>87</v>
      </c>
      <c r="G167" s="550" t="s">
        <v>89</v>
      </c>
      <c r="H167" s="550" t="s">
        <v>397</v>
      </c>
      <c r="I167" s="550" t="s">
        <v>97</v>
      </c>
      <c r="L167" s="167"/>
      <c r="M167" s="298" t="s">
        <v>260</v>
      </c>
      <c r="N167" s="7"/>
      <c r="O167" s="7"/>
      <c r="P167" s="7"/>
      <c r="Q167" s="7"/>
    </row>
    <row r="168" spans="1:17" s="61" customFormat="1" ht="14.25">
      <c r="A168" s="73" t="s">
        <v>56</v>
      </c>
      <c r="B168" s="102">
        <f>IF($M168&gt;0,('Amounts Pivot Table'!G$631/$M168),0)</f>
        <v>5431.5897860581927</v>
      </c>
      <c r="C168" s="102">
        <f>IF($M168&gt;0,('Amounts Pivot Table'!G$634/$M168),0)</f>
        <v>177.54537829804303</v>
      </c>
      <c r="D168" s="102">
        <f>IF($M168&gt;0,('Amounts Pivot Table'!G$640/$M168),0)</f>
        <v>7389.2275852629455</v>
      </c>
      <c r="E168" s="102">
        <f>SUM(B168:D168)</f>
        <v>12998.36274961918</v>
      </c>
      <c r="F168" s="114"/>
      <c r="G168" s="115"/>
      <c r="H168" s="115"/>
      <c r="I168" s="115"/>
      <c r="L168" s="168"/>
      <c r="M168" s="824">
        <f>+'[1]NEW-Tables 80-86'!F70</f>
        <v>100092.81666666667</v>
      </c>
      <c r="N168" s="73"/>
      <c r="O168" s="73"/>
      <c r="P168" s="73"/>
      <c r="Q168" s="73"/>
    </row>
    <row r="169" spans="1:17" s="61" customFormat="1" ht="9.75" customHeight="1">
      <c r="A169" s="73"/>
      <c r="B169" s="102"/>
      <c r="C169" s="102"/>
      <c r="D169" s="102"/>
      <c r="E169" s="102"/>
      <c r="F169" s="114"/>
      <c r="G169" s="115"/>
      <c r="H169" s="115"/>
      <c r="I169" s="115"/>
      <c r="L169" s="168"/>
      <c r="M169" s="824"/>
      <c r="N169" s="73"/>
      <c r="O169" s="73"/>
      <c r="P169" s="73"/>
      <c r="Q169" s="73"/>
    </row>
    <row r="170" spans="1:17" s="61" customFormat="1" ht="12.75" customHeight="1">
      <c r="A170" s="73" t="s">
        <v>320</v>
      </c>
      <c r="B170" s="75">
        <f>IF($M170&gt;0,('Amounts Pivot Table'!G$7/$M170),0)</f>
        <v>5263.0329206039187</v>
      </c>
      <c r="C170" s="75">
        <f>IF($M170&gt;0,('Amounts Pivot Table'!G$10/$M170),0)</f>
        <v>258.90661344554559</v>
      </c>
      <c r="D170" s="75">
        <f>IF($M170&gt;0,('Amounts Pivot Table'!G$16/$M170),0)</f>
        <v>8094.3084907997118</v>
      </c>
      <c r="E170" s="75">
        <f>SUM(B170:D170)</f>
        <v>13616.248024849176</v>
      </c>
      <c r="F170" s="116">
        <f>IF(B170&gt;0,RANK(B170,$B$170:$B$188),)</f>
        <v>7</v>
      </c>
      <c r="G170" s="107">
        <f>IF(C170&gt;0,RANK(C170,$C$170:$C$188),)</f>
        <v>3</v>
      </c>
      <c r="H170" s="107">
        <f>IF(D170&gt;0,RANK(D170,$D$170:$D$188),)</f>
        <v>3</v>
      </c>
      <c r="I170" s="107">
        <f>IF(E170&gt;0,RANK(E170,$E$170:$E$188),)</f>
        <v>6</v>
      </c>
      <c r="L170" s="168"/>
      <c r="M170" s="824">
        <f>+'[1]NEW-Tables 80-86'!F72</f>
        <v>5853.9833333333336</v>
      </c>
      <c r="N170" s="73"/>
      <c r="O170" s="73"/>
      <c r="P170" s="73"/>
      <c r="Q170" s="73"/>
    </row>
    <row r="171" spans="1:17" s="61" customFormat="1" ht="12.75" customHeight="1">
      <c r="A171" s="73" t="s">
        <v>334</v>
      </c>
      <c r="B171" s="75">
        <f>IF($M171&gt;0,('Amounts Pivot Table'!G$46/$M171),0)</f>
        <v>5761.44353741958</v>
      </c>
      <c r="C171" s="75">
        <f>IF($M171&gt;0,('Amounts Pivot Table'!G$49/$M171),0)</f>
        <v>1720.6498021088046</v>
      </c>
      <c r="D171" s="75">
        <f>IF($M171&gt;0,('Amounts Pivot Table'!G$55/$M171),0)</f>
        <v>6818.9549581325309</v>
      </c>
      <c r="E171" s="75">
        <f>SUM(B171:D171)</f>
        <v>14301.048297660916</v>
      </c>
      <c r="F171" s="116">
        <f t="shared" ref="F171:F188" si="33">IF(B171&gt;0,RANK(B171,$B$170:$B$188),)</f>
        <v>5</v>
      </c>
      <c r="G171" s="107">
        <f t="shared" ref="G171:G188" si="34">IF(C171&gt;0,RANK(C171,$C$170:$C$188),)</f>
        <v>1</v>
      </c>
      <c r="H171" s="107">
        <f t="shared" ref="H171:H188" si="35">IF(D171&gt;0,RANK(D171,$D$170:$D$188),)</f>
        <v>7</v>
      </c>
      <c r="I171" s="107">
        <f t="shared" ref="I171:I188" si="36">IF(E171&gt;0,RANK(E171,$E$170:$E$188),)</f>
        <v>4</v>
      </c>
      <c r="L171" s="168"/>
      <c r="M171" s="824">
        <f>+'[1]NEW-Tables 80-86'!F73</f>
        <v>2457.1583333333333</v>
      </c>
      <c r="N171" s="73"/>
      <c r="O171" s="73"/>
      <c r="P171" s="73"/>
      <c r="Q171" s="73"/>
    </row>
    <row r="172" spans="1:17" s="61" customFormat="1" ht="12.75" customHeight="1">
      <c r="A172" s="73" t="s">
        <v>321</v>
      </c>
      <c r="B172" s="75">
        <f>IF($M172&gt;0,('Amounts Pivot Table'!G$85/$M172),0)</f>
        <v>0</v>
      </c>
      <c r="C172" s="75">
        <f>IF($M172&gt;0,('Amounts Pivot Table'!G$88/$M172),0)</f>
        <v>0</v>
      </c>
      <c r="D172" s="75">
        <f>IF($M172&gt;0,('Amounts Pivot Table'!G$94/$M172),0)</f>
        <v>0</v>
      </c>
      <c r="E172" s="75">
        <f>SUM(B172:D172)</f>
        <v>0</v>
      </c>
      <c r="F172" s="116">
        <f t="shared" si="33"/>
        <v>0</v>
      </c>
      <c r="G172" s="107">
        <f t="shared" si="34"/>
        <v>0</v>
      </c>
      <c r="H172" s="107">
        <f t="shared" si="35"/>
        <v>0</v>
      </c>
      <c r="I172" s="107">
        <f t="shared" si="36"/>
        <v>0</v>
      </c>
      <c r="L172" s="168"/>
      <c r="M172" s="824">
        <f>+'[1]NEW-Tables 80-86'!F74</f>
        <v>0</v>
      </c>
      <c r="N172" s="73"/>
      <c r="O172" s="73"/>
      <c r="P172" s="73"/>
      <c r="Q172" s="73"/>
    </row>
    <row r="173" spans="1:17" s="61" customFormat="1" ht="12.75" customHeight="1">
      <c r="A173" s="73" t="s">
        <v>328</v>
      </c>
      <c r="B173" s="75">
        <f>IF($M173&gt;0,('Amounts Pivot Table'!G$124/$M173),0)</f>
        <v>0</v>
      </c>
      <c r="C173" s="75">
        <f>IF($M173&gt;0,('Amounts Pivot Table'!G$127/$M173),0)</f>
        <v>0</v>
      </c>
      <c r="D173" s="75">
        <f>IF($M173&gt;0,('Amounts Pivot Table'!G$133/$M173),0)</f>
        <v>0</v>
      </c>
      <c r="E173" s="75">
        <f>SUM(B173:D173)</f>
        <v>0</v>
      </c>
      <c r="F173" s="116">
        <f t="shared" si="33"/>
        <v>0</v>
      </c>
      <c r="G173" s="107">
        <f t="shared" si="34"/>
        <v>0</v>
      </c>
      <c r="H173" s="107">
        <f t="shared" si="35"/>
        <v>0</v>
      </c>
      <c r="I173" s="107">
        <f t="shared" si="36"/>
        <v>0</v>
      </c>
      <c r="L173" s="168"/>
      <c r="M173" s="824">
        <f>+'[1]NEW-Tables 80-86'!F75</f>
        <v>0</v>
      </c>
      <c r="N173" s="73"/>
      <c r="O173" s="73"/>
      <c r="P173" s="73"/>
      <c r="Q173" s="73"/>
    </row>
    <row r="174" spans="1:17" s="61" customFormat="1" ht="12.75" customHeight="1">
      <c r="A174" s="73"/>
      <c r="B174" s="75"/>
      <c r="C174" s="75"/>
      <c r="D174" s="75"/>
      <c r="E174" s="75"/>
      <c r="F174" s="116"/>
      <c r="G174" s="107"/>
      <c r="H174" s="107"/>
      <c r="I174" s="107"/>
      <c r="L174" s="168"/>
      <c r="M174" s="824"/>
      <c r="N174" s="73"/>
      <c r="O174" s="73"/>
      <c r="P174" s="73"/>
      <c r="Q174" s="73"/>
    </row>
    <row r="175" spans="1:17" s="61" customFormat="1" ht="12.75" customHeight="1">
      <c r="A175" s="73" t="s">
        <v>329</v>
      </c>
      <c r="B175" s="75">
        <f>IF($M175&gt;0,('Amounts Pivot Table'!G$163/$M175),0)</f>
        <v>5840.1986171150611</v>
      </c>
      <c r="C175" s="75">
        <f>IF($M175&gt;0,('Amounts Pivot Table'!G$166/$M175),0)</f>
        <v>0</v>
      </c>
      <c r="D175" s="75">
        <f>IF($M175&gt;0,('Amounts Pivot Table'!G$172/$M175),0)</f>
        <v>5365.8771547832748</v>
      </c>
      <c r="E175" s="75">
        <f>SUM(B175:D175)</f>
        <v>11206.075771898337</v>
      </c>
      <c r="F175" s="116">
        <f t="shared" si="33"/>
        <v>4</v>
      </c>
      <c r="G175" s="107">
        <f t="shared" si="34"/>
        <v>0</v>
      </c>
      <c r="H175" s="107">
        <f t="shared" si="35"/>
        <v>11</v>
      </c>
      <c r="I175" s="107">
        <f t="shared" si="36"/>
        <v>10</v>
      </c>
      <c r="L175" s="168"/>
      <c r="M175" s="824">
        <f>+'[1]NEW-Tables 80-86'!F77</f>
        <v>9415.0999999999985</v>
      </c>
      <c r="N175" s="73"/>
      <c r="O175" s="73"/>
      <c r="P175" s="73"/>
      <c r="Q175" s="73"/>
    </row>
    <row r="176" spans="1:17" s="61" customFormat="1" ht="12.75" customHeight="1">
      <c r="A176" s="73" t="s">
        <v>322</v>
      </c>
      <c r="B176" s="75">
        <f>IF($M176&gt;0,('Amounts Pivot Table'!G$202/$M176),0)</f>
        <v>0</v>
      </c>
      <c r="C176" s="75">
        <f>IF($M176&gt;0,('Amounts Pivot Table'!G$205/$M176),0)</f>
        <v>0</v>
      </c>
      <c r="D176" s="75">
        <f>IF($M176&gt;0,('Amounts Pivot Table'!G$211/$M176),0)</f>
        <v>0</v>
      </c>
      <c r="E176" s="75">
        <f>SUM(B176:D176)</f>
        <v>0</v>
      </c>
      <c r="F176" s="116">
        <f t="shared" si="33"/>
        <v>0</v>
      </c>
      <c r="G176" s="107">
        <f t="shared" si="34"/>
        <v>0</v>
      </c>
      <c r="H176" s="107">
        <f t="shared" si="35"/>
        <v>0</v>
      </c>
      <c r="I176" s="107">
        <f t="shared" si="36"/>
        <v>0</v>
      </c>
      <c r="L176" s="168"/>
      <c r="M176" s="824">
        <f>+'[1]NEW-Tables 80-86'!F78</f>
        <v>0</v>
      </c>
      <c r="N176" s="73"/>
      <c r="O176" s="73"/>
      <c r="P176" s="73"/>
      <c r="Q176" s="73"/>
    </row>
    <row r="177" spans="1:17" s="61" customFormat="1" ht="12.75" customHeight="1">
      <c r="A177" s="73" t="s">
        <v>330</v>
      </c>
      <c r="B177" s="75">
        <f>IF($M177&gt;0,('Amounts Pivot Table'!G$241/$M177),0)</f>
        <v>3130.5489193104877</v>
      </c>
      <c r="C177" s="75">
        <f>IF($M177&gt;0,('Amounts Pivot Table'!G$244/$M177),0)</f>
        <v>0</v>
      </c>
      <c r="D177" s="75">
        <f>IF($M177&gt;0,('Amounts Pivot Table'!G$250/$M177),0)</f>
        <v>5018.3916797256152</v>
      </c>
      <c r="E177" s="75">
        <f>SUM(B177:D177)</f>
        <v>8148.9405990361029</v>
      </c>
      <c r="F177" s="116">
        <f t="shared" si="33"/>
        <v>12</v>
      </c>
      <c r="G177" s="107">
        <f t="shared" si="34"/>
        <v>0</v>
      </c>
      <c r="H177" s="107">
        <f t="shared" si="35"/>
        <v>12</v>
      </c>
      <c r="I177" s="107">
        <f t="shared" si="36"/>
        <v>13</v>
      </c>
      <c r="L177" s="168"/>
      <c r="M177" s="824">
        <f>+'[1]NEW-Tables 80-86'!F79</f>
        <v>2254.7333333333331</v>
      </c>
      <c r="N177" s="73"/>
      <c r="O177" s="73"/>
      <c r="P177" s="73"/>
      <c r="Q177" s="73"/>
    </row>
    <row r="178" spans="1:17" s="61" customFormat="1" ht="12.75" customHeight="1">
      <c r="A178" s="73" t="s">
        <v>333</v>
      </c>
      <c r="B178" s="75">
        <f>IF($M178&gt;0,('Amounts Pivot Table'!G$280/$M178),0)</f>
        <v>16507.145593327481</v>
      </c>
      <c r="C178" s="75">
        <f>IF($M178&gt;0,('Amounts Pivot Table'!G$283/$M178),0)</f>
        <v>0</v>
      </c>
      <c r="D178" s="75">
        <f>IF($M178&gt;0,('Amounts Pivot Table'!G$289/$M178),0)</f>
        <v>6289.3634124939845</v>
      </c>
      <c r="E178" s="75">
        <f>SUM(B178:D178)</f>
        <v>22796.509005821466</v>
      </c>
      <c r="F178" s="116">
        <f t="shared" si="33"/>
        <v>1</v>
      </c>
      <c r="G178" s="107">
        <f t="shared" si="34"/>
        <v>0</v>
      </c>
      <c r="H178" s="107">
        <f t="shared" si="35"/>
        <v>9</v>
      </c>
      <c r="I178" s="107">
        <f t="shared" si="36"/>
        <v>1</v>
      </c>
      <c r="L178" s="168"/>
      <c r="M178" s="824">
        <f>+'[1]NEW-Tables 80-86'!F80</f>
        <v>2649.6750000000002</v>
      </c>
      <c r="N178" s="73"/>
      <c r="O178" s="73"/>
      <c r="P178" s="73"/>
      <c r="Q178" s="73"/>
    </row>
    <row r="179" spans="1:17" s="61" customFormat="1" ht="9.75" customHeight="1">
      <c r="A179" s="73"/>
      <c r="B179" s="75"/>
      <c r="C179" s="75"/>
      <c r="D179" s="75"/>
      <c r="E179" s="75"/>
      <c r="F179" s="116"/>
      <c r="G179" s="107"/>
      <c r="H179" s="107"/>
      <c r="I179" s="107"/>
      <c r="L179" s="168"/>
      <c r="M179" s="824"/>
      <c r="N179" s="73"/>
      <c r="O179" s="73"/>
      <c r="P179" s="73"/>
      <c r="Q179" s="73"/>
    </row>
    <row r="180" spans="1:17" s="61" customFormat="1" ht="12.75" customHeight="1">
      <c r="A180" s="73" t="s">
        <v>323</v>
      </c>
      <c r="B180" s="75">
        <f>IF($M180&gt;0,('Amounts Pivot Table'!G$319/$M180),0)</f>
        <v>6913.9772280851384</v>
      </c>
      <c r="C180" s="75">
        <f>IF($M180&gt;0,('Amounts Pivot Table'!G$322/$M180),0)</f>
        <v>0</v>
      </c>
      <c r="D180" s="75">
        <f>IF($M180&gt;0,('Amounts Pivot Table'!G$328/$M180),0)</f>
        <v>7260.3753235982449</v>
      </c>
      <c r="E180" s="75">
        <f>SUM(B180:D180)</f>
        <v>14174.352551683383</v>
      </c>
      <c r="F180" s="116">
        <f t="shared" si="33"/>
        <v>3</v>
      </c>
      <c r="G180" s="107">
        <f t="shared" si="34"/>
        <v>0</v>
      </c>
      <c r="H180" s="107">
        <f t="shared" si="35"/>
        <v>6</v>
      </c>
      <c r="I180" s="107">
        <f t="shared" si="36"/>
        <v>5</v>
      </c>
      <c r="L180" s="168"/>
      <c r="M180" s="824">
        <f>+'[1]NEW-Tables 80-86'!F82</f>
        <v>2481.8583333333331</v>
      </c>
      <c r="N180" s="73"/>
      <c r="O180" s="73"/>
      <c r="P180" s="73"/>
      <c r="Q180" s="73"/>
    </row>
    <row r="181" spans="1:17" s="61" customFormat="1" ht="12.75" customHeight="1">
      <c r="A181" s="73" t="s">
        <v>324</v>
      </c>
      <c r="B181" s="75">
        <f>IF($M181&gt;0,('Amounts Pivot Table'!G$358/$M181),0)</f>
        <v>11206.795122278798</v>
      </c>
      <c r="C181" s="75">
        <f>IF($M181&gt;0,('Amounts Pivot Table'!G$361/$M181),0)</f>
        <v>0</v>
      </c>
      <c r="D181" s="75">
        <f>IF($M181&gt;0,('Amounts Pivot Table'!G$367/$M181),0)</f>
        <v>4599.8258114722039</v>
      </c>
      <c r="E181" s="75">
        <f>SUM(B181:D181)</f>
        <v>15806.620933751001</v>
      </c>
      <c r="F181" s="116">
        <f t="shared" si="33"/>
        <v>2</v>
      </c>
      <c r="G181" s="107">
        <f t="shared" si="34"/>
        <v>0</v>
      </c>
      <c r="H181" s="107">
        <f t="shared" si="35"/>
        <v>13</v>
      </c>
      <c r="I181" s="107">
        <f t="shared" si="36"/>
        <v>2</v>
      </c>
      <c r="L181" s="168"/>
      <c r="M181" s="824">
        <f>+'[1]NEW-Tables 80-86'!F83</f>
        <v>10547.958333333334</v>
      </c>
      <c r="N181" s="73"/>
      <c r="O181" s="73"/>
      <c r="P181" s="73"/>
      <c r="Q181" s="73"/>
    </row>
    <row r="182" spans="1:17" s="61" customFormat="1" ht="12.75" customHeight="1">
      <c r="A182" s="73" t="s">
        <v>331</v>
      </c>
      <c r="B182" s="75">
        <f>IF($M182&gt;0,('Amounts Pivot Table'!G$397/$M182),0)</f>
        <v>5561.9459579131026</v>
      </c>
      <c r="C182" s="75">
        <f>IF($M182&gt;0,('Amounts Pivot Table'!G$400/$M182),0)</f>
        <v>0</v>
      </c>
      <c r="D182" s="75">
        <f>IF($M182&gt;0,('Amounts Pivot Table'!G$406/$M182),0)</f>
        <v>6604.8321632372854</v>
      </c>
      <c r="E182" s="75">
        <f>SUM(B182:D182)</f>
        <v>12166.778121150388</v>
      </c>
      <c r="F182" s="116">
        <f t="shared" si="33"/>
        <v>6</v>
      </c>
      <c r="G182" s="107">
        <f t="shared" si="34"/>
        <v>0</v>
      </c>
      <c r="H182" s="107">
        <f t="shared" si="35"/>
        <v>8</v>
      </c>
      <c r="I182" s="107">
        <f t="shared" si="36"/>
        <v>9</v>
      </c>
      <c r="L182" s="168"/>
      <c r="M182" s="824">
        <f>+'[1]NEW-Tables 80-86'!F84</f>
        <v>16411.283333333333</v>
      </c>
      <c r="N182" s="73"/>
      <c r="O182" s="73"/>
      <c r="P182" s="73"/>
      <c r="Q182" s="73"/>
    </row>
    <row r="183" spans="1:17" s="61" customFormat="1" ht="12.75" customHeight="1">
      <c r="A183" s="73" t="s">
        <v>325</v>
      </c>
      <c r="B183" s="75">
        <f>IF($M183&gt;0,('Amounts Pivot Table'!G$436/$M183),0)</f>
        <v>2194.3512452086234</v>
      </c>
      <c r="C183" s="75">
        <f>IF($M183&gt;0,('Amounts Pivot Table'!G$439/$M183),0)</f>
        <v>748.88149406198886</v>
      </c>
      <c r="D183" s="75">
        <f>IF($M183&gt;0,('Amounts Pivot Table'!G$445/$M183),0)</f>
        <v>12637.161997984562</v>
      </c>
      <c r="E183" s="75">
        <f>SUM(B183:D183)</f>
        <v>15580.394737255174</v>
      </c>
      <c r="F183" s="116">
        <f t="shared" si="33"/>
        <v>13</v>
      </c>
      <c r="G183" s="107">
        <f t="shared" si="34"/>
        <v>2</v>
      </c>
      <c r="H183" s="107">
        <f t="shared" si="35"/>
        <v>1</v>
      </c>
      <c r="I183" s="107">
        <f t="shared" si="36"/>
        <v>3</v>
      </c>
      <c r="L183" s="168"/>
      <c r="M183" s="824">
        <f>+'[1]NEW-Tables 80-86'!F85</f>
        <v>15927.05</v>
      </c>
      <c r="N183" s="73"/>
      <c r="O183" s="73"/>
      <c r="P183" s="73"/>
      <c r="Q183" s="73"/>
    </row>
    <row r="184" spans="1:17" s="61" customFormat="1" ht="9.75" customHeight="1">
      <c r="A184" s="73"/>
      <c r="B184" s="75"/>
      <c r="C184" s="75"/>
      <c r="D184" s="75"/>
      <c r="E184" s="75"/>
      <c r="F184" s="116"/>
      <c r="G184" s="107"/>
      <c r="H184" s="107"/>
      <c r="I184" s="107"/>
      <c r="L184" s="168"/>
      <c r="M184" s="824"/>
      <c r="N184" s="73"/>
      <c r="O184" s="73"/>
      <c r="P184" s="73"/>
      <c r="Q184" s="73"/>
    </row>
    <row r="185" spans="1:17" s="61" customFormat="1" ht="12.75" customHeight="1">
      <c r="A185" s="73" t="s">
        <v>90</v>
      </c>
      <c r="B185" s="75">
        <f>IF($M185&gt;0,('Amounts Pivot Table'!G$475/$M185),0)</f>
        <v>4174.5300904222431</v>
      </c>
      <c r="C185" s="75">
        <f>IF($M185&gt;0,('Amounts Pivot Table'!G$478/$M185),0)</f>
        <v>0</v>
      </c>
      <c r="D185" s="75">
        <f>IF($M185&gt;0,('Amounts Pivot Table'!G$484/$M185),0)</f>
        <v>8295.7001334890283</v>
      </c>
      <c r="E185" s="75">
        <f>SUM(B185:D185)</f>
        <v>12470.230223911272</v>
      </c>
      <c r="F185" s="116">
        <f t="shared" si="33"/>
        <v>9</v>
      </c>
      <c r="G185" s="107">
        <f t="shared" si="34"/>
        <v>0</v>
      </c>
      <c r="H185" s="107">
        <f t="shared" si="35"/>
        <v>2</v>
      </c>
      <c r="I185" s="107">
        <f t="shared" si="36"/>
        <v>8</v>
      </c>
      <c r="L185" s="168"/>
      <c r="M185" s="824">
        <f>+'[1]NEW-Tables 80-86'!F87</f>
        <v>6579.8166666666666</v>
      </c>
      <c r="N185" s="73"/>
      <c r="O185" s="73"/>
      <c r="P185" s="73"/>
      <c r="Q185" s="73"/>
    </row>
    <row r="186" spans="1:17" s="76" customFormat="1" ht="12.75" customHeight="1">
      <c r="A186" s="73" t="s">
        <v>326</v>
      </c>
      <c r="B186" s="75">
        <f>IF($M186&gt;0,('Amounts Pivot Table'!G$514/$M186),0)</f>
        <v>4010.9457544824581</v>
      </c>
      <c r="C186" s="75">
        <f>IF($M186&gt;0,('Amounts Pivot Table'!G$517/$M186),0)</f>
        <v>0</v>
      </c>
      <c r="D186" s="75">
        <f>IF($M186&gt;0,('Amounts Pivot Table'!G$523/$M186),0)</f>
        <v>5705.586058952028</v>
      </c>
      <c r="E186" s="75">
        <f>SUM(B186:D186)</f>
        <v>9716.5318134344852</v>
      </c>
      <c r="F186" s="116">
        <f t="shared" si="33"/>
        <v>10</v>
      </c>
      <c r="G186" s="107">
        <f t="shared" si="34"/>
        <v>0</v>
      </c>
      <c r="H186" s="107">
        <f t="shared" si="35"/>
        <v>10</v>
      </c>
      <c r="I186" s="107">
        <f t="shared" si="36"/>
        <v>12</v>
      </c>
      <c r="J186" s="61"/>
      <c r="K186" s="61"/>
      <c r="L186" s="169"/>
      <c r="M186" s="824">
        <f>+'[1]NEW-Tables 80-86'!F88</f>
        <v>13157.308333333332</v>
      </c>
      <c r="N186" s="90"/>
      <c r="O186" s="90"/>
      <c r="P186" s="90"/>
      <c r="Q186" s="90"/>
    </row>
    <row r="187" spans="1:17" s="61" customFormat="1" ht="12.75" customHeight="1">
      <c r="A187" s="73" t="s">
        <v>327</v>
      </c>
      <c r="B187" s="75">
        <f>IF($M187&gt;0,('Amounts Pivot Table'!G$553/$M187),0)</f>
        <v>4991.7669299800473</v>
      </c>
      <c r="C187" s="75">
        <f>IF($M187&gt;0,('Amounts Pivot Table'!G$556/$M187),0)</f>
        <v>0</v>
      </c>
      <c r="D187" s="75">
        <f>IF($M187&gt;0,('Amounts Pivot Table'!G$562/$M187),0)</f>
        <v>7518.673123359752</v>
      </c>
      <c r="E187" s="75">
        <f>SUM(B187:D187)</f>
        <v>12510.4400533398</v>
      </c>
      <c r="F187" s="116">
        <f t="shared" si="33"/>
        <v>8</v>
      </c>
      <c r="G187" s="107">
        <f t="shared" si="34"/>
        <v>0</v>
      </c>
      <c r="H187" s="107">
        <f t="shared" si="35"/>
        <v>4</v>
      </c>
      <c r="I187" s="107">
        <f t="shared" si="36"/>
        <v>7</v>
      </c>
      <c r="J187" s="76"/>
      <c r="K187" s="76"/>
      <c r="L187" s="170"/>
      <c r="M187" s="824">
        <f>+'[1]NEW-Tables 80-86'!F89</f>
        <v>5086.8833333333332</v>
      </c>
      <c r="N187" s="73"/>
      <c r="O187" s="73"/>
      <c r="P187" s="73"/>
      <c r="Q187" s="73"/>
    </row>
    <row r="188" spans="1:17" s="61" customFormat="1" ht="15.75" customHeight="1">
      <c r="A188" s="74" t="s">
        <v>332</v>
      </c>
      <c r="B188" s="104">
        <f>IF($M188&gt;0,('Amounts Pivot Table'!G$592/$M188),0)</f>
        <v>3532.8013149916155</v>
      </c>
      <c r="C188" s="104">
        <f>IF($M188&gt;0,('Amounts Pivot Table'!G$595/$M188),0)</f>
        <v>13.755142417305805</v>
      </c>
      <c r="D188" s="104">
        <f>IF($M188&gt;0,('Amounts Pivot Table'!G$601/$M188),0)</f>
        <v>7271.4907020968576</v>
      </c>
      <c r="E188" s="105">
        <f>SUM(B188:D188)</f>
        <v>10818.047159505779</v>
      </c>
      <c r="F188" s="117">
        <f t="shared" si="33"/>
        <v>11</v>
      </c>
      <c r="G188" s="118">
        <f t="shared" si="34"/>
        <v>4</v>
      </c>
      <c r="H188" s="118">
        <f t="shared" si="35"/>
        <v>5</v>
      </c>
      <c r="I188" s="118">
        <f t="shared" si="36"/>
        <v>11</v>
      </c>
      <c r="J188" s="76"/>
      <c r="K188" s="76"/>
      <c r="L188" s="171"/>
      <c r="M188" s="824">
        <f>+'[1]NEW-Tables 80-86'!F90</f>
        <v>7270.0083333333323</v>
      </c>
      <c r="N188" s="73"/>
      <c r="O188" s="73"/>
      <c r="P188" s="73"/>
      <c r="Q188" s="73"/>
    </row>
    <row r="189" spans="1:17" s="76" customFormat="1" ht="36.75" customHeight="1">
      <c r="A189" s="1505" t="s">
        <v>17</v>
      </c>
      <c r="B189" s="1530"/>
      <c r="C189" s="1530"/>
      <c r="D189" s="1530"/>
      <c r="E189" s="1530"/>
      <c r="F189" s="1530"/>
      <c r="G189" s="1531"/>
      <c r="H189" s="1531"/>
      <c r="I189" s="1531"/>
      <c r="L189" s="169"/>
      <c r="M189" s="300"/>
      <c r="N189" s="90"/>
      <c r="O189" s="90"/>
      <c r="P189" s="90"/>
      <c r="Q189" s="90"/>
    </row>
    <row r="190" spans="1:17" s="76" customFormat="1" ht="18">
      <c r="A190" s="1505" t="s">
        <v>54</v>
      </c>
      <c r="B190" s="1533"/>
      <c r="C190" s="1533"/>
      <c r="D190" s="1533"/>
      <c r="E190" s="1533"/>
      <c r="F190" s="1533"/>
      <c r="G190" s="1533"/>
      <c r="H190" s="1533"/>
      <c r="I190" s="1533"/>
      <c r="J190" s="106"/>
      <c r="L190" s="169"/>
      <c r="M190" s="296"/>
      <c r="N190" s="90"/>
      <c r="O190" s="90"/>
      <c r="P190" s="90"/>
      <c r="Q190" s="90"/>
    </row>
    <row r="191" spans="1:17" s="61" customFormat="1">
      <c r="A191" s="1505" t="s">
        <v>233</v>
      </c>
      <c r="B191" s="1530"/>
      <c r="C191" s="1530"/>
      <c r="D191" s="1530"/>
      <c r="E191" s="1530"/>
      <c r="F191" s="1530"/>
      <c r="G191" s="1531"/>
      <c r="H191" s="1531"/>
      <c r="I191" s="1531"/>
      <c r="J191" s="1531"/>
      <c r="K191" s="1531"/>
      <c r="L191" s="171"/>
      <c r="M191" s="296"/>
      <c r="N191" s="73"/>
      <c r="O191" s="73"/>
      <c r="P191" s="73"/>
      <c r="Q191" s="73"/>
    </row>
    <row r="192" spans="1:17" s="61" customFormat="1">
      <c r="A192" s="187"/>
      <c r="B192" s="106"/>
      <c r="C192" s="106"/>
      <c r="D192" s="106"/>
      <c r="E192" s="106"/>
      <c r="F192" s="106"/>
      <c r="G192" s="188"/>
      <c r="H192" s="188"/>
      <c r="I192" s="534" t="s">
        <v>1927</v>
      </c>
      <c r="J192" s="188"/>
      <c r="K192" s="188"/>
      <c r="L192" s="171"/>
      <c r="M192" s="296"/>
      <c r="N192" s="73"/>
      <c r="O192" s="73"/>
      <c r="P192" s="73"/>
      <c r="Q192" s="73"/>
    </row>
    <row r="193" spans="1:17" s="61" customFormat="1" ht="18">
      <c r="A193" s="135" t="s">
        <v>364</v>
      </c>
      <c r="B193" s="135"/>
      <c r="C193" s="135"/>
      <c r="D193" s="135"/>
      <c r="E193" s="135"/>
      <c r="F193" s="135"/>
      <c r="G193" s="135"/>
      <c r="H193" s="135"/>
      <c r="I193" s="135"/>
      <c r="J193" s="565" t="s">
        <v>91</v>
      </c>
      <c r="K193" s="101"/>
      <c r="L193" s="170"/>
      <c r="M193" s="296"/>
      <c r="N193" s="73"/>
      <c r="O193" s="73"/>
      <c r="P193" s="73"/>
      <c r="Q193" s="73"/>
    </row>
    <row r="194" spans="1:17" s="61" customFormat="1" ht="12" customHeight="1">
      <c r="A194" s="135"/>
      <c r="B194" s="135"/>
      <c r="C194" s="135"/>
      <c r="D194" s="135"/>
      <c r="E194" s="135"/>
      <c r="F194" s="135"/>
      <c r="G194" s="135"/>
      <c r="H194" s="135"/>
      <c r="I194" s="135"/>
      <c r="J194" s="565"/>
      <c r="K194" s="101"/>
      <c r="L194" s="170"/>
      <c r="M194" s="296"/>
      <c r="N194" s="73"/>
      <c r="O194" s="73"/>
      <c r="P194" s="73"/>
      <c r="Q194" s="73"/>
    </row>
    <row r="195" spans="1:17" s="61" customFormat="1" ht="18.75">
      <c r="A195" s="1504" t="s">
        <v>18</v>
      </c>
      <c r="B195" s="1504"/>
      <c r="C195" s="1504"/>
      <c r="D195" s="1504"/>
      <c r="E195" s="1504"/>
      <c r="F195" s="1504"/>
      <c r="G195" s="1504"/>
      <c r="H195" s="1504"/>
      <c r="I195" s="1504"/>
      <c r="J195" s="101"/>
      <c r="K195" s="101"/>
      <c r="L195" s="165"/>
      <c r="M195" s="296"/>
      <c r="N195" s="73"/>
      <c r="O195" s="73"/>
      <c r="P195" s="73"/>
      <c r="Q195" s="73"/>
    </row>
    <row r="196" spans="1:17" s="61" customFormat="1" ht="15.75">
      <c r="A196" s="1504" t="s">
        <v>1935</v>
      </c>
      <c r="B196" s="1504"/>
      <c r="C196" s="1504"/>
      <c r="D196" s="1504"/>
      <c r="E196" s="1504"/>
      <c r="F196" s="1504"/>
      <c r="G196" s="1504"/>
      <c r="H196" s="1504"/>
      <c r="I196" s="1504"/>
      <c r="J196" s="91"/>
      <c r="K196" s="91"/>
      <c r="L196" s="165"/>
      <c r="M196" s="296"/>
      <c r="N196" s="73"/>
      <c r="O196" s="73"/>
      <c r="P196" s="73"/>
      <c r="Q196" s="73"/>
    </row>
    <row r="197" spans="1:17" s="61" customFormat="1" ht="15.75" customHeight="1">
      <c r="A197" s="91"/>
      <c r="B197" s="91"/>
      <c r="C197" s="91"/>
      <c r="D197" s="91"/>
      <c r="E197" s="91"/>
      <c r="F197" s="91"/>
      <c r="G197" s="108"/>
      <c r="H197" s="91"/>
      <c r="I197" s="91"/>
      <c r="J197" s="91"/>
      <c r="K197" s="91"/>
      <c r="L197" s="165"/>
      <c r="M197" s="299"/>
      <c r="N197" s="73"/>
      <c r="O197" s="73"/>
      <c r="P197" s="73"/>
      <c r="Q197" s="73"/>
    </row>
    <row r="198" spans="1:17" s="61" customFormat="1" ht="15.75">
      <c r="A198" s="60"/>
      <c r="B198" s="566" t="s">
        <v>55</v>
      </c>
      <c r="C198" s="567"/>
      <c r="D198" s="567"/>
      <c r="E198" s="567"/>
      <c r="F198" s="568" t="s">
        <v>119</v>
      </c>
      <c r="G198" s="569"/>
      <c r="H198" s="569"/>
      <c r="I198" s="569"/>
      <c r="L198" s="173"/>
      <c r="M198" s="298"/>
      <c r="N198" s="73"/>
      <c r="O198" s="73"/>
      <c r="P198" s="73"/>
      <c r="Q198" s="73"/>
    </row>
    <row r="199" spans="1:17" s="6" customFormat="1" ht="48">
      <c r="A199" s="50"/>
      <c r="B199" s="549" t="s">
        <v>87</v>
      </c>
      <c r="C199" s="550" t="s">
        <v>89</v>
      </c>
      <c r="D199" s="550" t="s">
        <v>397</v>
      </c>
      <c r="E199" s="550" t="s">
        <v>97</v>
      </c>
      <c r="F199" s="551" t="s">
        <v>87</v>
      </c>
      <c r="G199" s="550" t="s">
        <v>89</v>
      </c>
      <c r="H199" s="550" t="s">
        <v>397</v>
      </c>
      <c r="I199" s="550" t="s">
        <v>97</v>
      </c>
      <c r="L199" s="167"/>
      <c r="M199" s="297" t="s">
        <v>260</v>
      </c>
      <c r="N199" s="7"/>
      <c r="O199" s="7"/>
      <c r="P199" s="7"/>
      <c r="Q199" s="7"/>
    </row>
    <row r="200" spans="1:17" s="61" customFormat="1" ht="14.25">
      <c r="A200" s="73" t="s">
        <v>56</v>
      </c>
      <c r="B200" s="102">
        <f>IF($M200&gt;0,('Amounts Pivot Table'!H$631/$M200),0)</f>
        <v>5580.7444178078322</v>
      </c>
      <c r="C200" s="102">
        <f>IF($M200&gt;0,('Amounts Pivot Table'!H$634/$M200),0)</f>
        <v>76.116077566504387</v>
      </c>
      <c r="D200" s="102">
        <f>IF($M200&gt;0,('Amounts Pivot Table'!H$640/$M200),0)</f>
        <v>6725.158557187985</v>
      </c>
      <c r="E200" s="102">
        <f>SUM(B200:D200)</f>
        <v>12382.019052562322</v>
      </c>
      <c r="F200" s="114"/>
      <c r="G200" s="115"/>
      <c r="H200" s="115"/>
      <c r="I200" s="115"/>
      <c r="L200" s="168"/>
      <c r="M200" s="824">
        <f>+'[1]NEW-Tables 80-86'!G70</f>
        <v>71702.341666666674</v>
      </c>
      <c r="N200" s="73"/>
      <c r="O200" s="73"/>
      <c r="P200" s="73"/>
      <c r="Q200" s="73"/>
    </row>
    <row r="201" spans="1:17" s="112" customFormat="1">
      <c r="A201" s="110"/>
      <c r="B201" s="111"/>
      <c r="C201" s="111"/>
      <c r="D201" s="111"/>
      <c r="E201" s="111"/>
      <c r="F201" s="119"/>
      <c r="G201" s="120"/>
      <c r="H201" s="120"/>
      <c r="I201" s="120"/>
      <c r="L201" s="175"/>
      <c r="M201" s="824"/>
      <c r="N201" s="110"/>
      <c r="O201" s="110"/>
      <c r="P201" s="110"/>
      <c r="Q201" s="110"/>
    </row>
    <row r="202" spans="1:17" s="61" customFormat="1" ht="12.75" customHeight="1">
      <c r="A202" s="73" t="s">
        <v>320</v>
      </c>
      <c r="B202" s="75">
        <f>IF($M202&gt;0,('Amounts Pivot Table'!H$7/$M202),0)</f>
        <v>4638.1808889070617</v>
      </c>
      <c r="C202" s="75">
        <f>IF($M202&gt;0,('Amounts Pivot Table'!H$10/$M202),0)</f>
        <v>87.696365048861267</v>
      </c>
      <c r="D202" s="75">
        <f>IF($M202&gt;0,('Amounts Pivot Table'!H$16/$M202),0)</f>
        <v>6511.8963895817151</v>
      </c>
      <c r="E202" s="75">
        <f>SUM(B202:D202)</f>
        <v>11237.773643537639</v>
      </c>
      <c r="F202" s="116">
        <f>IF(B202&gt;0,RANK(B202,$B$202:$B$220),)</f>
        <v>9</v>
      </c>
      <c r="G202" s="107">
        <f>IF(C202&gt;0,RANK(C202,$C$202:$C$220),)</f>
        <v>3</v>
      </c>
      <c r="H202" s="107">
        <f>IF(D202&gt;0,RANK(D202,$D$202:$D$220),)</f>
        <v>6</v>
      </c>
      <c r="I202" s="107">
        <f>IF(E202&gt;0,RANK(E202,$E$202:$E$220),)</f>
        <v>10</v>
      </c>
      <c r="L202" s="168"/>
      <c r="M202" s="824">
        <f>+'[1]NEW-Tables 80-86'!G72</f>
        <v>2445.6999999999998</v>
      </c>
      <c r="N202" s="73"/>
      <c r="O202" s="73"/>
      <c r="P202" s="73"/>
      <c r="Q202" s="73"/>
    </row>
    <row r="203" spans="1:17" s="61" customFormat="1" ht="12.75" customHeight="1">
      <c r="A203" s="73" t="s">
        <v>334</v>
      </c>
      <c r="B203" s="75">
        <f>IF($M203&gt;0,('Amounts Pivot Table'!H$46/$M203),0)</f>
        <v>6310.7825137062528</v>
      </c>
      <c r="C203" s="75">
        <f>IF($M203&gt;0,('Amounts Pivot Table'!H$49/$M203),0)</f>
        <v>0</v>
      </c>
      <c r="D203" s="75">
        <f>IF($M203&gt;0,('Amounts Pivot Table'!H$55/$M203),0)</f>
        <v>6280.2349231213157</v>
      </c>
      <c r="E203" s="75">
        <f>SUM(B203:D203)</f>
        <v>12591.017436827569</v>
      </c>
      <c r="F203" s="116">
        <f>IF(B203&gt;0,RANK(B203,$B$202:$B$220),)</f>
        <v>6</v>
      </c>
      <c r="G203" s="107">
        <f t="shared" ref="G203:G220" si="37">IF(C203&gt;0,RANK(C203,$C$202:$C$220),)</f>
        <v>0</v>
      </c>
      <c r="H203" s="107">
        <f t="shared" ref="H203:H220" si="38">IF(D203&gt;0,RANK(D203,$D$202:$D$220),)</f>
        <v>7</v>
      </c>
      <c r="I203" s="107">
        <f t="shared" ref="I203:I220" si="39">IF(E203&gt;0,RANK(E203,$E$202:$E$220),)</f>
        <v>7</v>
      </c>
      <c r="L203" s="168"/>
      <c r="M203" s="824">
        <f>+'[1]NEW-Tables 80-86'!G73</f>
        <v>8086.3333333333339</v>
      </c>
      <c r="N203" s="73"/>
      <c r="O203" s="73"/>
      <c r="P203" s="73"/>
      <c r="Q203" s="73"/>
    </row>
    <row r="204" spans="1:17" s="61" customFormat="1" ht="12.75" customHeight="1">
      <c r="A204" s="73" t="s">
        <v>321</v>
      </c>
      <c r="B204" s="75">
        <f>IF($M204&gt;0,('Amounts Pivot Table'!H$85/$M204),0)</f>
        <v>0</v>
      </c>
      <c r="C204" s="75">
        <f>IF($M204&gt;0,('Amounts Pivot Table'!H$88/$M204),0)</f>
        <v>0</v>
      </c>
      <c r="D204" s="75">
        <f>IF($M204&gt;0,('Amounts Pivot Table'!H$94/$M204),0)</f>
        <v>0</v>
      </c>
      <c r="E204" s="75">
        <f>SUM(B204:D204)</f>
        <v>0</v>
      </c>
      <c r="F204" s="116">
        <f>IF(B204&gt;0,RANK(B204,$B$202:$B$220),)</f>
        <v>0</v>
      </c>
      <c r="G204" s="107">
        <f t="shared" si="37"/>
        <v>0</v>
      </c>
      <c r="H204" s="107">
        <f t="shared" si="38"/>
        <v>0</v>
      </c>
      <c r="I204" s="107">
        <f t="shared" si="39"/>
        <v>0</v>
      </c>
      <c r="L204" s="168"/>
      <c r="M204" s="824">
        <f>+'[1]NEW-Tables 80-86'!G74</f>
        <v>0</v>
      </c>
      <c r="N204" s="73"/>
      <c r="O204" s="73"/>
      <c r="P204" s="73"/>
      <c r="Q204" s="73"/>
    </row>
    <row r="205" spans="1:17" s="61" customFormat="1" ht="12.75" customHeight="1">
      <c r="A205" s="73" t="s">
        <v>328</v>
      </c>
      <c r="B205" s="75">
        <f>IF($M205&gt;0,('Amounts Pivot Table'!H$124/$M205),0)</f>
        <v>17203.202604920403</v>
      </c>
      <c r="C205" s="75">
        <f>IF($M205&gt;0,('Amounts Pivot Table'!H$127/$M205),0)</f>
        <v>468.36251808972503</v>
      </c>
      <c r="D205" s="75">
        <f>IF($M205&gt;0,('Amounts Pivot Table'!H$133/$M205),0)</f>
        <v>6579.2112481910272</v>
      </c>
      <c r="E205" s="75">
        <f>SUM(B205:D205)</f>
        <v>24250.776371201155</v>
      </c>
      <c r="F205" s="116">
        <f>IF(B205&gt;0,RANK(B205,$B$202:$B$220),)</f>
        <v>1</v>
      </c>
      <c r="G205" s="107">
        <f t="shared" si="37"/>
        <v>1</v>
      </c>
      <c r="H205" s="107">
        <f t="shared" si="38"/>
        <v>5</v>
      </c>
      <c r="I205" s="107">
        <f t="shared" si="39"/>
        <v>2</v>
      </c>
      <c r="L205" s="168"/>
      <c r="M205" s="824">
        <f>+'[1]NEW-Tables 80-86'!G75</f>
        <v>921.33333333333337</v>
      </c>
      <c r="N205" s="73"/>
      <c r="O205" s="73"/>
      <c r="P205" s="73"/>
      <c r="Q205" s="73"/>
    </row>
    <row r="206" spans="1:17" s="112" customFormat="1">
      <c r="A206" s="110"/>
      <c r="B206" s="111"/>
      <c r="C206" s="111"/>
      <c r="D206" s="111"/>
      <c r="E206" s="111"/>
      <c r="F206" s="119"/>
      <c r="G206" s="120"/>
      <c r="H206" s="120"/>
      <c r="I206" s="120"/>
      <c r="L206" s="175"/>
      <c r="M206" s="824"/>
      <c r="N206" s="110"/>
      <c r="O206" s="110"/>
      <c r="P206" s="110"/>
      <c r="Q206" s="110"/>
    </row>
    <row r="207" spans="1:17" s="61" customFormat="1" ht="12.75" customHeight="1">
      <c r="A207" s="73" t="s">
        <v>329</v>
      </c>
      <c r="B207" s="75">
        <f>IF($M207&gt;0,('Amounts Pivot Table'!H$163/$M207),0)</f>
        <v>4868.4552600397774</v>
      </c>
      <c r="C207" s="75">
        <f>IF($M207&gt;0,('Amounts Pivot Table'!H$166/$M207),0)</f>
        <v>0</v>
      </c>
      <c r="D207" s="75">
        <f>IF($M207&gt;0,('Amounts Pivot Table'!H$172/$M207),0)</f>
        <v>4084.3002835258762</v>
      </c>
      <c r="E207" s="75">
        <f>SUM(B207:D207)</f>
        <v>8952.7555435656541</v>
      </c>
      <c r="F207" s="116">
        <f t="shared" ref="F207:F220" si="40">IF(B207&gt;0,RANK(B207,$B$202:$B$220),)</f>
        <v>8</v>
      </c>
      <c r="G207" s="107">
        <f t="shared" si="37"/>
        <v>0</v>
      </c>
      <c r="H207" s="107">
        <f t="shared" si="38"/>
        <v>12</v>
      </c>
      <c r="I207" s="107">
        <f t="shared" si="39"/>
        <v>11</v>
      </c>
      <c r="L207" s="168"/>
      <c r="M207" s="824">
        <f>+'[1]NEW-Tables 80-86'!G77</f>
        <v>18904.800000000003</v>
      </c>
      <c r="N207" s="73"/>
      <c r="O207" s="73"/>
      <c r="P207" s="73"/>
      <c r="Q207" s="73"/>
    </row>
    <row r="208" spans="1:17" s="61" customFormat="1" ht="12.75" customHeight="1">
      <c r="A208" s="73" t="s">
        <v>322</v>
      </c>
      <c r="B208" s="75">
        <f>IF($M208&gt;0,('Amounts Pivot Table'!H$202/$M208),0)</f>
        <v>0</v>
      </c>
      <c r="C208" s="75">
        <f>IF($M208&gt;0,('Amounts Pivot Table'!H$205/$M208),0)</f>
        <v>0</v>
      </c>
      <c r="D208" s="75">
        <f>IF($M208&gt;0,('Amounts Pivot Table'!H$211/$M208),0)</f>
        <v>0</v>
      </c>
      <c r="E208" s="75">
        <f>SUM(B208:D208)</f>
        <v>0</v>
      </c>
      <c r="F208" s="116">
        <f t="shared" si="40"/>
        <v>0</v>
      </c>
      <c r="G208" s="107">
        <f t="shared" si="37"/>
        <v>0</v>
      </c>
      <c r="H208" s="107">
        <f t="shared" si="38"/>
        <v>0</v>
      </c>
      <c r="I208" s="107">
        <f t="shared" si="39"/>
        <v>0</v>
      </c>
      <c r="L208" s="168"/>
      <c r="M208" s="824">
        <f>+'[1]NEW-Tables 80-86'!G78</f>
        <v>0</v>
      </c>
      <c r="N208" s="73"/>
      <c r="O208" s="73"/>
      <c r="P208" s="73"/>
      <c r="Q208" s="73"/>
    </row>
    <row r="209" spans="1:17" s="61" customFormat="1" ht="12.75" customHeight="1">
      <c r="A209" s="73" t="s">
        <v>330</v>
      </c>
      <c r="B209" s="75">
        <f>IF($M209&gt;0,('Amounts Pivot Table'!H$241/$M209),0)</f>
        <v>3017.6813871579516</v>
      </c>
      <c r="C209" s="75">
        <f>IF($M209&gt;0,('Amounts Pivot Table'!H$244/$M209),0)</f>
        <v>0</v>
      </c>
      <c r="D209" s="75">
        <f>IF($M209&gt;0,('Amounts Pivot Table'!H$250/$M209),0)</f>
        <v>5771.2549444594961</v>
      </c>
      <c r="E209" s="75">
        <f>SUM(B209:D209)</f>
        <v>8788.9363316174476</v>
      </c>
      <c r="F209" s="116">
        <f t="shared" si="40"/>
        <v>11</v>
      </c>
      <c r="G209" s="107">
        <f t="shared" si="37"/>
        <v>0</v>
      </c>
      <c r="H209" s="107">
        <f t="shared" si="38"/>
        <v>9</v>
      </c>
      <c r="I209" s="107">
        <f t="shared" si="39"/>
        <v>12</v>
      </c>
      <c r="L209" s="168"/>
      <c r="M209" s="824">
        <f>+'[1]NEW-Tables 80-86'!G79</f>
        <v>1845.5</v>
      </c>
      <c r="N209" s="73"/>
      <c r="O209" s="73"/>
      <c r="P209" s="73"/>
      <c r="Q209" s="73"/>
    </row>
    <row r="210" spans="1:17" s="61" customFormat="1" ht="12.75" customHeight="1">
      <c r="A210" s="73" t="s">
        <v>333</v>
      </c>
      <c r="B210" s="75">
        <f>IF($M210&gt;0,('Amounts Pivot Table'!H$280/$M210),0)</f>
        <v>12215.252738598125</v>
      </c>
      <c r="C210" s="75">
        <f>IF($M210&gt;0,('Amounts Pivot Table'!H$283/$M210),0)</f>
        <v>0</v>
      </c>
      <c r="D210" s="75">
        <f>IF($M210&gt;0,('Amounts Pivot Table'!H$289/$M210),0)</f>
        <v>13468.160843416625</v>
      </c>
      <c r="E210" s="75">
        <f>SUM(B210:D210)</f>
        <v>25683.413582014749</v>
      </c>
      <c r="F210" s="116">
        <f t="shared" si="40"/>
        <v>3</v>
      </c>
      <c r="G210" s="107">
        <f t="shared" si="37"/>
        <v>0</v>
      </c>
      <c r="H210" s="107">
        <f t="shared" si="38"/>
        <v>1</v>
      </c>
      <c r="I210" s="107">
        <f t="shared" si="39"/>
        <v>1</v>
      </c>
      <c r="L210" s="168"/>
      <c r="M210" s="824">
        <f>+'[1]NEW-Tables 80-86'!G80</f>
        <v>1862.2666666666667</v>
      </c>
      <c r="N210" s="73"/>
      <c r="O210" s="73"/>
      <c r="P210" s="73"/>
      <c r="Q210" s="73"/>
    </row>
    <row r="211" spans="1:17" s="112" customFormat="1">
      <c r="A211" s="110"/>
      <c r="B211" s="111"/>
      <c r="C211" s="111"/>
      <c r="D211" s="111"/>
      <c r="E211" s="111"/>
      <c r="F211" s="119"/>
      <c r="G211" s="120"/>
      <c r="H211" s="120"/>
      <c r="I211" s="120"/>
      <c r="L211" s="175"/>
      <c r="M211" s="824"/>
      <c r="N211" s="110"/>
      <c r="O211" s="110"/>
      <c r="P211" s="110"/>
      <c r="Q211" s="110"/>
    </row>
    <row r="212" spans="1:17" s="61" customFormat="1" ht="12.75" customHeight="1">
      <c r="A212" s="73" t="s">
        <v>323</v>
      </c>
      <c r="B212" s="75">
        <f>IF($M212&gt;0,('Amounts Pivot Table'!H$319/$M212),0)</f>
        <v>0</v>
      </c>
      <c r="C212" s="75">
        <f>IF($M212&gt;0,('Amounts Pivot Table'!H$322/$M212),0)</f>
        <v>0</v>
      </c>
      <c r="D212" s="75">
        <f>IF($M212&gt;0,('Amounts Pivot Table'!H$328/$M212),0)</f>
        <v>0</v>
      </c>
      <c r="E212" s="75">
        <f>SUM(B212:D212)</f>
        <v>0</v>
      </c>
      <c r="F212" s="116">
        <f t="shared" si="40"/>
        <v>0</v>
      </c>
      <c r="G212" s="107">
        <f t="shared" si="37"/>
        <v>0</v>
      </c>
      <c r="H212" s="107">
        <f t="shared" si="38"/>
        <v>0</v>
      </c>
      <c r="I212" s="107">
        <f t="shared" si="39"/>
        <v>0</v>
      </c>
      <c r="L212" s="168"/>
      <c r="M212" s="824">
        <f>+'[1]NEW-Tables 80-86'!G82</f>
        <v>0</v>
      </c>
      <c r="N212" s="73"/>
      <c r="O212" s="73"/>
      <c r="P212" s="73"/>
      <c r="Q212" s="73"/>
    </row>
    <row r="213" spans="1:17" s="61" customFormat="1" ht="12.75" customHeight="1">
      <c r="A213" s="73" t="s">
        <v>324</v>
      </c>
      <c r="B213" s="75">
        <f>IF($M213&gt;0,('Amounts Pivot Table'!H$358/$M213),0)</f>
        <v>12540.285429520065</v>
      </c>
      <c r="C213" s="75">
        <f>IF($M213&gt;0,('Amounts Pivot Table'!H$361/$M213),0)</f>
        <v>0</v>
      </c>
      <c r="D213" s="75">
        <f>IF($M213&gt;0,('Amounts Pivot Table'!H$367/$M213),0)</f>
        <v>5484.1099894217423</v>
      </c>
      <c r="E213" s="75">
        <f>SUM(B213:D213)</f>
        <v>18024.395418941807</v>
      </c>
      <c r="F213" s="116">
        <f t="shared" si="40"/>
        <v>2</v>
      </c>
      <c r="G213" s="107">
        <f t="shared" si="37"/>
        <v>0</v>
      </c>
      <c r="H213" s="107">
        <f t="shared" si="38"/>
        <v>10</v>
      </c>
      <c r="I213" s="107">
        <f t="shared" si="39"/>
        <v>3</v>
      </c>
      <c r="L213" s="168"/>
      <c r="M213" s="824">
        <f>+'[1]NEW-Tables 80-86'!G83</f>
        <v>5451.4333333333334</v>
      </c>
      <c r="N213" s="73"/>
      <c r="O213" s="73"/>
      <c r="P213" s="73"/>
      <c r="Q213" s="73"/>
    </row>
    <row r="214" spans="1:17" s="61" customFormat="1" ht="12.75" customHeight="1">
      <c r="A214" s="73" t="s">
        <v>331</v>
      </c>
      <c r="B214" s="75">
        <f>IF($M214&gt;0,('Amounts Pivot Table'!H$397/$M214),0)</f>
        <v>5745.6561223321942</v>
      </c>
      <c r="C214" s="75">
        <f>IF($M214&gt;0,('Amounts Pivot Table'!H$400/$M214),0)</f>
        <v>0</v>
      </c>
      <c r="D214" s="75">
        <f>IF($M214&gt;0,('Amounts Pivot Table'!H$406/$M214),0)</f>
        <v>6237.5660949139392</v>
      </c>
      <c r="E214" s="75">
        <f>SUM(B214:D214)</f>
        <v>11983.222217246133</v>
      </c>
      <c r="F214" s="116">
        <f t="shared" si="40"/>
        <v>7</v>
      </c>
      <c r="G214" s="107">
        <f t="shared" si="37"/>
        <v>0</v>
      </c>
      <c r="H214" s="107">
        <f t="shared" si="38"/>
        <v>8</v>
      </c>
      <c r="I214" s="107">
        <f t="shared" si="39"/>
        <v>8</v>
      </c>
      <c r="L214" s="168"/>
      <c r="M214" s="824">
        <f>+'[1]NEW-Tables 80-86'!G84</f>
        <v>5024.0249999999996</v>
      </c>
      <c r="N214" s="73"/>
      <c r="O214" s="73"/>
      <c r="P214" s="73"/>
      <c r="Q214" s="73"/>
    </row>
    <row r="215" spans="1:17" s="61" customFormat="1" ht="12.75" customHeight="1">
      <c r="A215" s="73" t="s">
        <v>325</v>
      </c>
      <c r="B215" s="75">
        <f>IF($M215&gt;0,('Amounts Pivot Table'!H$436/$M215),0)</f>
        <v>2080.2272077930911</v>
      </c>
      <c r="C215" s="75">
        <f>IF($M215&gt;0,('Amounts Pivot Table'!H$439/$M215),0)</f>
        <v>335.64473952735335</v>
      </c>
      <c r="D215" s="75">
        <f>IF($M215&gt;0,('Amounts Pivot Table'!H$445/$M215),0)</f>
        <v>10346.886817866423</v>
      </c>
      <c r="E215" s="75">
        <f>SUM(B215:D215)</f>
        <v>12762.758765186867</v>
      </c>
      <c r="F215" s="116">
        <f t="shared" si="40"/>
        <v>12</v>
      </c>
      <c r="G215" s="107">
        <f t="shared" si="37"/>
        <v>2</v>
      </c>
      <c r="H215" s="107">
        <f t="shared" si="38"/>
        <v>2</v>
      </c>
      <c r="I215" s="107">
        <f t="shared" si="39"/>
        <v>5</v>
      </c>
      <c r="L215" s="168"/>
      <c r="M215" s="824">
        <f>+'[1]NEW-Tables 80-86'!G85</f>
        <v>12250.166666666668</v>
      </c>
      <c r="N215" s="73"/>
      <c r="O215" s="73"/>
      <c r="P215" s="73"/>
      <c r="Q215" s="73"/>
    </row>
    <row r="216" spans="1:17" s="112" customFormat="1">
      <c r="A216" s="110"/>
      <c r="B216" s="111"/>
      <c r="C216" s="111"/>
      <c r="D216" s="111"/>
      <c r="E216" s="111"/>
      <c r="F216" s="119"/>
      <c r="G216" s="120"/>
      <c r="H216" s="120"/>
      <c r="I216" s="120"/>
      <c r="L216" s="175"/>
      <c r="M216" s="824"/>
      <c r="N216" s="110"/>
      <c r="O216" s="110"/>
      <c r="P216" s="110"/>
      <c r="Q216" s="110"/>
    </row>
    <row r="217" spans="1:17" s="61" customFormat="1" ht="12.75" customHeight="1">
      <c r="A217" s="73" t="s">
        <v>90</v>
      </c>
      <c r="B217" s="75">
        <f>IF($M217&gt;0,('Amounts Pivot Table'!H$475/$M217),0)</f>
        <v>0</v>
      </c>
      <c r="C217" s="75">
        <f>IF($M217&gt;0,('Amounts Pivot Table'!H$478/$M217),0)</f>
        <v>0</v>
      </c>
      <c r="D217" s="75">
        <f>IF($M217&gt;0,('Amounts Pivot Table'!H$484/$M217),0)</f>
        <v>0</v>
      </c>
      <c r="E217" s="75">
        <f>SUM(B217:D217)</f>
        <v>0</v>
      </c>
      <c r="F217" s="116">
        <f t="shared" si="40"/>
        <v>0</v>
      </c>
      <c r="G217" s="107">
        <f t="shared" si="37"/>
        <v>0</v>
      </c>
      <c r="H217" s="107">
        <f t="shared" si="38"/>
        <v>0</v>
      </c>
      <c r="I217" s="107">
        <f t="shared" si="39"/>
        <v>0</v>
      </c>
      <c r="L217" s="168"/>
      <c r="M217" s="824">
        <f>+'[1]NEW-Tables 80-86'!G87</f>
        <v>0</v>
      </c>
      <c r="N217" s="73"/>
      <c r="O217" s="73"/>
      <c r="P217" s="73"/>
      <c r="Q217" s="73"/>
    </row>
    <row r="218" spans="1:17" s="76" customFormat="1" ht="12.75" customHeight="1">
      <c r="A218" s="73" t="s">
        <v>326</v>
      </c>
      <c r="B218" s="75">
        <f>IF($M218&gt;0,('Amounts Pivot Table'!H$514/$M218),0)</f>
        <v>7672.4999405964118</v>
      </c>
      <c r="C218" s="75">
        <f>IF($M218&gt;0,('Amounts Pivot Table'!H$517/$M218),0)</f>
        <v>0</v>
      </c>
      <c r="D218" s="75">
        <f>IF($M218&gt;0,('Amounts Pivot Table'!H$523/$M218),0)</f>
        <v>8502.6536770820949</v>
      </c>
      <c r="E218" s="75">
        <f>SUM(B218:D218)</f>
        <v>16175.153617678507</v>
      </c>
      <c r="F218" s="116">
        <f t="shared" si="40"/>
        <v>5</v>
      </c>
      <c r="G218" s="107">
        <f t="shared" si="37"/>
        <v>0</v>
      </c>
      <c r="H218" s="107">
        <f t="shared" si="38"/>
        <v>3</v>
      </c>
      <c r="I218" s="107">
        <f t="shared" si="39"/>
        <v>4</v>
      </c>
      <c r="J218" s="61"/>
      <c r="K218" s="61"/>
      <c r="L218" s="169"/>
      <c r="M218" s="824">
        <f>+'[1]NEW-Tables 80-86'!G88</f>
        <v>2104.25</v>
      </c>
      <c r="N218" s="90"/>
      <c r="O218" s="90"/>
      <c r="P218" s="90"/>
      <c r="Q218" s="90"/>
    </row>
    <row r="219" spans="1:17" s="61" customFormat="1" ht="12.75" customHeight="1">
      <c r="A219" s="73" t="s">
        <v>327</v>
      </c>
      <c r="B219" s="75">
        <f>IF($M219&gt;0,('Amounts Pivot Table'!H$553/$M219),0)</f>
        <v>7682.5316503748691</v>
      </c>
      <c r="C219" s="75">
        <f>IF($M219&gt;0,('Amounts Pivot Table'!H$556/$M219),0)</f>
        <v>0</v>
      </c>
      <c r="D219" s="75">
        <f>IF($M219&gt;0,('Amounts Pivot Table'!H$562/$M219),0)</f>
        <v>4951.3187814368412</v>
      </c>
      <c r="E219" s="75">
        <f>SUM(B219:D219)</f>
        <v>12633.85043181171</v>
      </c>
      <c r="F219" s="116">
        <f t="shared" si="40"/>
        <v>4</v>
      </c>
      <c r="G219" s="107">
        <f t="shared" si="37"/>
        <v>0</v>
      </c>
      <c r="H219" s="107">
        <f t="shared" si="38"/>
        <v>11</v>
      </c>
      <c r="I219" s="107">
        <f t="shared" si="39"/>
        <v>6</v>
      </c>
      <c r="L219" s="170"/>
      <c r="M219" s="824">
        <f>+'[1]NEW-Tables 80-86'!G89</f>
        <v>1756.1666666666667</v>
      </c>
      <c r="N219" s="73"/>
      <c r="O219" s="73"/>
      <c r="P219" s="73"/>
      <c r="Q219" s="73"/>
    </row>
    <row r="220" spans="1:17" s="61" customFormat="1" ht="15" customHeight="1">
      <c r="A220" s="74" t="s">
        <v>332</v>
      </c>
      <c r="B220" s="104">
        <f>IF($M220&gt;0,('Amounts Pivot Table'!H$592/$M220),0)</f>
        <v>4454.5909185517221</v>
      </c>
      <c r="C220" s="104">
        <f>IF($M220&gt;0,('Amounts Pivot Table'!H$595/$M220),0)</f>
        <v>63.34631430027963</v>
      </c>
      <c r="D220" s="104">
        <f>IF($M220&gt;0,('Amounts Pivot Table'!H$601/$M220),0)</f>
        <v>7413.3854985204107</v>
      </c>
      <c r="E220" s="105">
        <f>SUM(B220:D220)</f>
        <v>11931.322731372413</v>
      </c>
      <c r="F220" s="117">
        <f t="shared" si="40"/>
        <v>10</v>
      </c>
      <c r="G220" s="118">
        <f t="shared" si="37"/>
        <v>4</v>
      </c>
      <c r="H220" s="118">
        <f t="shared" si="38"/>
        <v>4</v>
      </c>
      <c r="I220" s="118">
        <f t="shared" si="39"/>
        <v>9</v>
      </c>
      <c r="L220" s="170"/>
      <c r="M220" s="824">
        <f>+'[1]NEW-Tables 80-86'!G90</f>
        <v>11050.366666666667</v>
      </c>
      <c r="N220" s="73"/>
      <c r="O220" s="73"/>
      <c r="P220" s="73"/>
      <c r="Q220" s="73"/>
    </row>
    <row r="221" spans="1:17" s="76" customFormat="1" ht="36" customHeight="1">
      <c r="A221" s="1505" t="s">
        <v>17</v>
      </c>
      <c r="B221" s="1530"/>
      <c r="C221" s="1530"/>
      <c r="D221" s="1530"/>
      <c r="E221" s="1530"/>
      <c r="F221" s="1530"/>
      <c r="G221" s="1531"/>
      <c r="H221" s="1531"/>
      <c r="I221" s="1531"/>
      <c r="J221" s="61"/>
      <c r="K221" s="61"/>
      <c r="L221" s="169"/>
      <c r="M221" s="300"/>
      <c r="N221" s="90"/>
      <c r="O221" s="90"/>
      <c r="P221" s="90"/>
      <c r="Q221" s="90"/>
    </row>
    <row r="222" spans="1:17" s="76" customFormat="1" ht="18">
      <c r="A222" s="1505" t="s">
        <v>54</v>
      </c>
      <c r="B222" s="1533"/>
      <c r="C222" s="1533"/>
      <c r="D222" s="1533"/>
      <c r="E222" s="1533"/>
      <c r="F222" s="1533"/>
      <c r="G222" s="1533"/>
      <c r="H222" s="1533"/>
      <c r="I222" s="1533"/>
      <c r="J222" s="106"/>
      <c r="L222" s="169"/>
      <c r="M222" s="296"/>
      <c r="N222" s="90"/>
      <c r="O222" s="90"/>
      <c r="P222" s="90"/>
      <c r="Q222" s="90"/>
    </row>
    <row r="223" spans="1:17" s="61" customFormat="1">
      <c r="A223" s="189" t="s">
        <v>233</v>
      </c>
      <c r="B223" s="73"/>
      <c r="C223" s="73"/>
      <c r="D223" s="73"/>
      <c r="E223" s="73"/>
      <c r="F223" s="73"/>
      <c r="L223" s="171"/>
      <c r="M223" s="296"/>
      <c r="N223" s="73"/>
      <c r="O223" s="73"/>
      <c r="P223" s="73"/>
      <c r="Q223" s="73"/>
    </row>
    <row r="224" spans="1:17" s="61" customFormat="1">
      <c r="A224" s="187"/>
      <c r="B224" s="106"/>
      <c r="C224" s="106"/>
      <c r="D224" s="106"/>
      <c r="E224" s="106"/>
      <c r="F224" s="106"/>
      <c r="G224" s="188"/>
      <c r="H224" s="188"/>
      <c r="I224" s="534" t="s">
        <v>1927</v>
      </c>
      <c r="J224" s="188"/>
      <c r="K224" s="188"/>
      <c r="L224" s="171"/>
      <c r="M224" s="296"/>
      <c r="N224" s="73"/>
      <c r="O224" s="73"/>
      <c r="P224" s="73"/>
      <c r="Q224" s="73"/>
    </row>
    <row r="225" spans="1:30" s="61" customFormat="1" ht="18">
      <c r="A225" s="135" t="s">
        <v>365</v>
      </c>
      <c r="B225" s="135"/>
      <c r="C225" s="135"/>
      <c r="D225" s="135"/>
      <c r="E225" s="135"/>
      <c r="F225" s="135"/>
      <c r="G225" s="135"/>
      <c r="H225" s="135"/>
      <c r="I225" s="135"/>
      <c r="J225" s="565"/>
      <c r="K225" s="135"/>
      <c r="L225" s="170"/>
      <c r="M225" s="296"/>
      <c r="N225" s="73"/>
      <c r="O225" s="73"/>
      <c r="P225" s="73"/>
      <c r="Q225" s="73"/>
    </row>
    <row r="226" spans="1:30" s="61" customFormat="1" ht="18">
      <c r="A226" s="135"/>
      <c r="B226" s="135"/>
      <c r="C226" s="135"/>
      <c r="D226" s="135"/>
      <c r="E226" s="135"/>
      <c r="F226" s="135"/>
      <c r="G226" s="135"/>
      <c r="H226" s="135"/>
      <c r="I226" s="135"/>
      <c r="J226" s="565"/>
      <c r="K226" s="135"/>
      <c r="L226" s="170"/>
      <c r="M226" s="296"/>
      <c r="N226" s="73"/>
      <c r="O226" s="73"/>
      <c r="P226" s="73"/>
      <c r="Q226" s="73"/>
    </row>
    <row r="227" spans="1:30" s="61" customFormat="1" ht="18.75">
      <c r="A227" s="1504" t="s">
        <v>18</v>
      </c>
      <c r="B227" s="1504"/>
      <c r="C227" s="1504"/>
      <c r="D227" s="1504"/>
      <c r="E227" s="1504"/>
      <c r="F227" s="1504"/>
      <c r="G227" s="1504"/>
      <c r="H227" s="1504"/>
      <c r="I227" s="1504"/>
      <c r="J227" s="1504"/>
      <c r="K227" s="1504"/>
      <c r="L227" s="165"/>
      <c r="M227" s="296"/>
      <c r="O227" s="73"/>
      <c r="P227" s="73"/>
      <c r="Q227" s="73"/>
    </row>
    <row r="228" spans="1:30" s="61" customFormat="1" ht="15.75">
      <c r="A228" s="1504" t="s">
        <v>1936</v>
      </c>
      <c r="B228" s="1504"/>
      <c r="C228" s="1504"/>
      <c r="D228" s="1504"/>
      <c r="E228" s="1504"/>
      <c r="F228" s="1504"/>
      <c r="G228" s="1504"/>
      <c r="H228" s="1504"/>
      <c r="I228" s="1504"/>
      <c r="J228" s="1504"/>
      <c r="K228" s="1504"/>
      <c r="L228" s="165"/>
      <c r="M228" s="296"/>
      <c r="N228" s="73"/>
      <c r="O228" s="73"/>
      <c r="P228" s="73"/>
      <c r="Q228" s="73"/>
    </row>
    <row r="229" spans="1:30" s="61" customFormat="1" ht="6.75" customHeight="1">
      <c r="A229" s="91"/>
      <c r="B229" s="91"/>
      <c r="C229" s="91"/>
      <c r="D229" s="91"/>
      <c r="E229" s="91"/>
      <c r="F229" s="91"/>
      <c r="G229" s="108"/>
      <c r="H229" s="91"/>
      <c r="I229" s="91"/>
      <c r="J229" s="91"/>
      <c r="K229" s="91"/>
      <c r="L229" s="165"/>
      <c r="M229" s="296"/>
      <c r="N229" s="73"/>
      <c r="O229" s="73"/>
      <c r="P229" s="73"/>
      <c r="Q229" s="73"/>
    </row>
    <row r="230" spans="1:30" s="61" customFormat="1" ht="15" customHeight="1">
      <c r="A230" s="60"/>
      <c r="B230" s="1527" t="s">
        <v>55</v>
      </c>
      <c r="C230" s="1528"/>
      <c r="D230" s="1528"/>
      <c r="E230" s="1528"/>
      <c r="F230" s="1528"/>
      <c r="G230" s="568" t="s">
        <v>119</v>
      </c>
      <c r="H230" s="569"/>
      <c r="I230" s="569"/>
      <c r="J230" s="569"/>
      <c r="K230" s="569"/>
      <c r="L230" s="173"/>
      <c r="M230" s="296"/>
      <c r="N230" s="73"/>
      <c r="O230" s="473" t="s">
        <v>384</v>
      </c>
      <c r="P230" s="473"/>
      <c r="Q230" s="474"/>
      <c r="R230" s="473" t="s">
        <v>385</v>
      </c>
      <c r="S230" s="473"/>
      <c r="T230" s="474"/>
      <c r="U230" s="473" t="s">
        <v>387</v>
      </c>
      <c r="V230" s="473"/>
      <c r="W230" s="474"/>
      <c r="Y230" s="483" t="s">
        <v>409</v>
      </c>
    </row>
    <row r="231" spans="1:30" s="6" customFormat="1" ht="48">
      <c r="A231" s="50"/>
      <c r="B231" s="549" t="s">
        <v>87</v>
      </c>
      <c r="C231" s="550" t="s">
        <v>89</v>
      </c>
      <c r="D231" s="550" t="s">
        <v>88</v>
      </c>
      <c r="E231" s="550" t="s">
        <v>397</v>
      </c>
      <c r="F231" s="550" t="s">
        <v>97</v>
      </c>
      <c r="G231" s="551" t="s">
        <v>87</v>
      </c>
      <c r="H231" s="550" t="s">
        <v>89</v>
      </c>
      <c r="I231" s="550" t="s">
        <v>88</v>
      </c>
      <c r="J231" s="550" t="s">
        <v>397</v>
      </c>
      <c r="K231" s="550" t="s">
        <v>97</v>
      </c>
      <c r="L231" s="167"/>
      <c r="M231" s="298" t="s">
        <v>380</v>
      </c>
      <c r="N231" s="708" t="s">
        <v>381</v>
      </c>
      <c r="O231" s="475" t="s">
        <v>386</v>
      </c>
      <c r="P231" s="476" t="s">
        <v>383</v>
      </c>
      <c r="Q231" s="476" t="s">
        <v>97</v>
      </c>
      <c r="R231" s="475" t="s">
        <v>386</v>
      </c>
      <c r="S231" s="476" t="s">
        <v>383</v>
      </c>
      <c r="T231" s="476" t="s">
        <v>97</v>
      </c>
      <c r="U231" s="475" t="s">
        <v>386</v>
      </c>
      <c r="V231" s="476" t="s">
        <v>383</v>
      </c>
      <c r="W231" s="476" t="s">
        <v>97</v>
      </c>
      <c r="Y231" s="314"/>
      <c r="Z231" s="51" t="s">
        <v>87</v>
      </c>
      <c r="AA231" s="52" t="s">
        <v>89</v>
      </c>
      <c r="AB231" s="52" t="s">
        <v>88</v>
      </c>
      <c r="AC231" s="52" t="s">
        <v>306</v>
      </c>
      <c r="AD231" s="52" t="s">
        <v>97</v>
      </c>
    </row>
    <row r="232" spans="1:30" s="61" customFormat="1" ht="14.25">
      <c r="A232" s="73" t="s">
        <v>56</v>
      </c>
      <c r="B232" s="102">
        <f>IF($M232&gt;0,('Amounts Pivot Table'!O$631/$M232),0)</f>
        <v>3145.7013169370034</v>
      </c>
      <c r="C232" s="102">
        <f>IF($M232&gt;0,('Amounts Pivot Table'!O$634/$M232),0)</f>
        <v>129.67849420592964</v>
      </c>
      <c r="D232" s="102">
        <f>IF($M232&gt;0,('Amounts Pivot Table'!O$637/$M232),0)</f>
        <v>1287.9450645905101</v>
      </c>
      <c r="E232" s="102">
        <f>IF($M232&gt;0,('Amounts Pivot Table'!O$640/$M232),0)</f>
        <v>2941.0978668090652</v>
      </c>
      <c r="F232" s="102">
        <f>SUM(B232:E232)</f>
        <v>7504.4227425425088</v>
      </c>
      <c r="G232" s="114"/>
      <c r="H232" s="115"/>
      <c r="I232" s="115"/>
      <c r="J232" s="115"/>
      <c r="K232" s="115"/>
      <c r="L232" s="168"/>
      <c r="M232" s="824">
        <f>+'[1]NEW-Tables 80-86'!AI161</f>
        <v>1720439.2655555557</v>
      </c>
      <c r="N232" s="805">
        <f>+'[1]NEW-Tables 80-86'!AP161</f>
        <v>1770696.7588888886</v>
      </c>
      <c r="O232" s="581">
        <f>+B232+C232+D232</f>
        <v>4563.3248757334432</v>
      </c>
      <c r="P232" s="584">
        <f>+E232</f>
        <v>2941.0978668090652</v>
      </c>
      <c r="Q232" s="574">
        <f>+F232</f>
        <v>7504.4227425425088</v>
      </c>
      <c r="R232" s="480">
        <f>IF($N232&gt;0,(('Amounts Pivot Table'!O$630+'Amounts Pivot Table'!O$633++'Amounts Pivot Table'!O$636)/$N232),0)</f>
        <v>4413.544181577975</v>
      </c>
      <c r="S232" s="481">
        <f>IF($N232&gt;0,('Amounts Pivot Table'!O$639/$N232),0)</f>
        <v>2879.7653886257408</v>
      </c>
      <c r="T232" s="481">
        <f>+S232+R232</f>
        <v>7293.3095702037153</v>
      </c>
      <c r="U232" s="578">
        <f>(O232-R232)/R232</f>
        <v>3.393660242048762E-2</v>
      </c>
      <c r="V232" s="582">
        <f>(P232-S232)/S232</f>
        <v>2.1297734331265434E-2</v>
      </c>
      <c r="W232" s="572">
        <f>(Q232-T232)/T232</f>
        <v>2.8946141707912813E-2</v>
      </c>
      <c r="Y232" s="73" t="s">
        <v>56</v>
      </c>
      <c r="Z232" s="61">
        <f>B232*$M232</f>
        <v>5411988063.3682423</v>
      </c>
      <c r="AA232" s="61">
        <f>C232*$M232</f>
        <v>223103973.32999998</v>
      </c>
      <c r="AB232" s="61">
        <f>D232*$M232</f>
        <v>2215831261</v>
      </c>
      <c r="AC232" s="61">
        <f>E232*$M232</f>
        <v>5059980253.8999996</v>
      </c>
      <c r="AD232" s="61">
        <f>F232*$M232</f>
        <v>12910903551.598244</v>
      </c>
    </row>
    <row r="233" spans="1:30" s="61" customFormat="1" ht="12.75" customHeight="1">
      <c r="A233" s="73"/>
      <c r="B233" s="102"/>
      <c r="C233" s="102"/>
      <c r="D233" s="102"/>
      <c r="E233" s="102"/>
      <c r="F233" s="102"/>
      <c r="G233" s="114"/>
      <c r="H233" s="115"/>
      <c r="I233" s="115"/>
      <c r="J233" s="115"/>
      <c r="K233" s="115"/>
      <c r="L233" s="168"/>
      <c r="M233" s="824"/>
      <c r="N233" s="805"/>
      <c r="O233" s="581">
        <f t="shared" ref="O233:O252" si="41">+B233+C233+D233</f>
        <v>0</v>
      </c>
      <c r="P233" s="584">
        <f t="shared" ref="P233:P252" si="42">+E233</f>
        <v>0</v>
      </c>
      <c r="Q233" s="574">
        <f t="shared" ref="Q233:Q252" si="43">+F233</f>
        <v>0</v>
      </c>
      <c r="R233" s="477"/>
      <c r="S233" s="479"/>
      <c r="T233" s="481">
        <f t="shared" ref="T233:T252" si="44">+S233+R233</f>
        <v>0</v>
      </c>
      <c r="U233" s="579"/>
      <c r="V233" s="583"/>
      <c r="W233" s="573"/>
      <c r="Y233" s="73"/>
    </row>
    <row r="234" spans="1:30" s="61" customFormat="1" ht="12.75" customHeight="1">
      <c r="A234" s="73" t="s">
        <v>320</v>
      </c>
      <c r="B234" s="75">
        <f>IF($M234&gt;0,('Amounts Pivot Table'!O$7/$M234),0)</f>
        <v>4238.5701910489106</v>
      </c>
      <c r="C234" s="75">
        <f>IF($M234&gt;0,('Amounts Pivot Table'!O$10/$M234),0)</f>
        <v>323.31995542137986</v>
      </c>
      <c r="D234" s="75">
        <f>IF($M234&gt;0,('Amounts Pivot Table'!O$13/$M234),0)</f>
        <v>47.644616904511224</v>
      </c>
      <c r="E234" s="75">
        <f>IF($M234&gt;0,('Amounts Pivot Table'!O$16/$M234),0)</f>
        <v>3934.6661713486651</v>
      </c>
      <c r="F234" s="75">
        <f t="shared" ref="F234:F252" si="45">SUM(B234:E234)</f>
        <v>8544.2009347234671</v>
      </c>
      <c r="G234" s="116">
        <f>IF(B234&gt;0,RANK(B234,$B$234:$B$252),)</f>
        <v>3</v>
      </c>
      <c r="H234" s="107">
        <f>IF(C234&gt;0,RANK(C234,$C$234:$C$252),)</f>
        <v>4</v>
      </c>
      <c r="I234" s="107">
        <f>IF(D234&gt;0,RANK(D234,$D$234:$D$252),)</f>
        <v>9</v>
      </c>
      <c r="J234" s="107">
        <f>IF(E234&gt;0,RANK(E234,$E$234:$E$252),)</f>
        <v>9</v>
      </c>
      <c r="K234" s="107">
        <f>IF(F234&gt;0,RANK(F234,$F$234:$F$252),)</f>
        <v>5</v>
      </c>
      <c r="L234" s="168"/>
      <c r="M234" s="824">
        <f>+'[1]NEW-Tables 80-86'!AI163</f>
        <v>61643.900000000009</v>
      </c>
      <c r="N234" s="805">
        <f>+'[1]NEW-Tables 80-86'!AP163</f>
        <v>63538</v>
      </c>
      <c r="O234" s="581">
        <f t="shared" si="41"/>
        <v>4609.5347633748015</v>
      </c>
      <c r="P234" s="584">
        <f t="shared" si="42"/>
        <v>3934.6661713486651</v>
      </c>
      <c r="Q234" s="574">
        <f t="shared" si="43"/>
        <v>8544.2009347234671</v>
      </c>
      <c r="R234" s="482">
        <f>IF($N234&gt;0,(('Amounts Pivot Table'!O$6+'Amounts Pivot Table'!O$9++'Amounts Pivot Table'!O$12)/$N234),0)</f>
        <v>4350.5829741257203</v>
      </c>
      <c r="S234" s="481">
        <f>IF($N234&gt;0,('Amounts Pivot Table'!O$15/$N234),0)</f>
        <v>3811.9682552173504</v>
      </c>
      <c r="T234" s="481">
        <f t="shared" si="44"/>
        <v>8162.5512293430711</v>
      </c>
      <c r="U234" s="580">
        <f t="shared" ref="U234:U252" si="46">(O234-R234)/R234</f>
        <v>5.9521170102753727E-2</v>
      </c>
      <c r="V234" s="582">
        <f>(P234-S234)/S234</f>
        <v>3.2187549296450992E-2</v>
      </c>
      <c r="W234" s="572">
        <f t="shared" ref="W234:W252" si="47">(Q234-T234)/T234</f>
        <v>4.6756178878048088E-2</v>
      </c>
      <c r="Y234" s="73" t="s">
        <v>320</v>
      </c>
      <c r="Z234" s="61">
        <f t="shared" ref="Z234:Z252" si="48">B234*$M234</f>
        <v>261281996.99999997</v>
      </c>
      <c r="AA234" s="61">
        <f t="shared" ref="AA234:AA252" si="49">C234*$M234</f>
        <v>19930703</v>
      </c>
      <c r="AB234" s="61">
        <f t="shared" ref="AB234:AB252" si="50">D234*$M234</f>
        <v>2937000</v>
      </c>
      <c r="AC234" s="61">
        <f t="shared" ref="AC234:AC252" si="51">E234*$M234</f>
        <v>242548168</v>
      </c>
      <c r="AD234" s="61">
        <f t="shared" ref="AD234:AD252" si="52">F234*$M234</f>
        <v>526697868</v>
      </c>
    </row>
    <row r="235" spans="1:30" s="61" customFormat="1" ht="12.75" customHeight="1">
      <c r="A235" s="73" t="s">
        <v>334</v>
      </c>
      <c r="B235" s="75">
        <f>IF($M235&gt;0,('Amounts Pivot Table'!O$46/$M235),0)</f>
        <v>4565.2317648185799</v>
      </c>
      <c r="C235" s="75">
        <f>IF($M235&gt;0,('Amounts Pivot Table'!O$49/$M235),0)</f>
        <v>56.993283875980545</v>
      </c>
      <c r="D235" s="75">
        <f>IF($M235&gt;0,('Amounts Pivot Table'!O$52/$M235),0)</f>
        <v>446.23375517546009</v>
      </c>
      <c r="E235" s="75">
        <f>IF($M235&gt;0,('Amounts Pivot Table'!O$55/$M235),0)</f>
        <v>3899.4376709631415</v>
      </c>
      <c r="F235" s="75">
        <f t="shared" si="45"/>
        <v>8967.8964748331618</v>
      </c>
      <c r="G235" s="116">
        <f>IF(B235&gt;0,RANK(B235,$B$234:$B$252),)</f>
        <v>2</v>
      </c>
      <c r="H235" s="107">
        <f>IF(C235&gt;0,RANK(C235,$C$234:$C$252),)</f>
        <v>5</v>
      </c>
      <c r="I235" s="107">
        <f>IF(D235&gt;0,RANK(D235,$D$234:$D$252),)</f>
        <v>7</v>
      </c>
      <c r="J235" s="107">
        <f>IF(E235&gt;0,RANK(E235,$E$234:$E$252),)</f>
        <v>10</v>
      </c>
      <c r="K235" s="107">
        <f>IF(F235&gt;0,RANK(F235,$F$234:$F$252),)</f>
        <v>3</v>
      </c>
      <c r="L235" s="168"/>
      <c r="M235" s="824">
        <f>+'[1]NEW-Tables 80-86'!AI164</f>
        <v>37581.199999999997</v>
      </c>
      <c r="N235" s="805">
        <f>+'[1]NEW-Tables 80-86'!AP164</f>
        <v>40814.266666666663</v>
      </c>
      <c r="O235" s="581">
        <f t="shared" si="41"/>
        <v>5068.4588038700203</v>
      </c>
      <c r="P235" s="584">
        <f t="shared" si="42"/>
        <v>3899.4376709631415</v>
      </c>
      <c r="Q235" s="574">
        <f t="shared" si="43"/>
        <v>8967.8964748331618</v>
      </c>
      <c r="R235" s="482">
        <f>IF($N235&gt;0,(('Amounts Pivot Table'!O$45+'Amounts Pivot Table'!O$48++'Amounts Pivot Table'!O$51)/$N235),0)</f>
        <v>4677.5465196810273</v>
      </c>
      <c r="S235" s="481">
        <f>IF($N235&gt;0,('Amounts Pivot Table'!O$54/$N235),0)</f>
        <v>3694.3423786453759</v>
      </c>
      <c r="T235" s="481">
        <f t="shared" si="44"/>
        <v>8371.8888983264042</v>
      </c>
      <c r="U235" s="580">
        <f t="shared" si="46"/>
        <v>8.3572078341542649E-2</v>
      </c>
      <c r="V235" s="582">
        <f t="shared" ref="V235:V252" si="53">(P235-S235)/S235</f>
        <v>5.551604894643495E-2</v>
      </c>
      <c r="W235" s="572">
        <f t="shared" si="47"/>
        <v>7.1191529623130037E-2</v>
      </c>
      <c r="Y235" s="73" t="s">
        <v>334</v>
      </c>
      <c r="Z235" s="61">
        <f t="shared" si="48"/>
        <v>171566888</v>
      </c>
      <c r="AA235" s="61">
        <f t="shared" si="49"/>
        <v>2141876</v>
      </c>
      <c r="AB235" s="61">
        <f t="shared" si="50"/>
        <v>16770000</v>
      </c>
      <c r="AC235" s="61">
        <f t="shared" si="51"/>
        <v>146545547</v>
      </c>
      <c r="AD235" s="61">
        <f t="shared" si="52"/>
        <v>337024311</v>
      </c>
    </row>
    <row r="236" spans="1:30" s="61" customFormat="1" ht="12.75" customHeight="1">
      <c r="A236" s="73" t="s">
        <v>321</v>
      </c>
      <c r="B236" s="75">
        <f>IF($M236&gt;0,('Amounts Pivot Table'!O$85/$M236),0)</f>
        <v>6581.2318431245967</v>
      </c>
      <c r="C236" s="75">
        <f>IF($M236&gt;0,('Amounts Pivot Table'!O$88/$M236),0)</f>
        <v>0</v>
      </c>
      <c r="D236" s="75">
        <f>IF($M236&gt;0,('Amounts Pivot Table'!O$91/$M236),0)</f>
        <v>0</v>
      </c>
      <c r="E236" s="75">
        <f>IF($M236&gt;0,('Amounts Pivot Table'!O$94/$M236),0)</f>
        <v>4736.4126049063907</v>
      </c>
      <c r="F236" s="75">
        <f t="shared" si="45"/>
        <v>11317.644448030987</v>
      </c>
      <c r="G236" s="116">
        <f>IF(B236&gt;0,RANK(B236,$B$234:$B$252),)</f>
        <v>1</v>
      </c>
      <c r="H236" s="107">
        <f>IF(C236&gt;0,RANK(C236,$C$234:$C$252),)</f>
        <v>0</v>
      </c>
      <c r="I236" s="107">
        <f>IF(D236&gt;0,RANK(D236,$D$234:$D$252),)</f>
        <v>0</v>
      </c>
      <c r="J236" s="107">
        <f>IF(E236&gt;0,RANK(E236,$E$234:$E$252),)</f>
        <v>3</v>
      </c>
      <c r="K236" s="107">
        <f>IF(F236&gt;0,RANK(F236,$F$234:$F$252),)</f>
        <v>1</v>
      </c>
      <c r="L236" s="168"/>
      <c r="M236" s="824">
        <f>+'[1]NEW-Tables 80-86'!AI165</f>
        <v>9913.6</v>
      </c>
      <c r="N236" s="805">
        <f>+'[1]NEW-Tables 80-86'!AP165</f>
        <v>10395.233333333334</v>
      </c>
      <c r="O236" s="581">
        <f t="shared" si="41"/>
        <v>6581.2318431245967</v>
      </c>
      <c r="P236" s="584">
        <f t="shared" si="42"/>
        <v>4736.4126049063907</v>
      </c>
      <c r="Q236" s="574">
        <f t="shared" si="43"/>
        <v>11317.644448030987</v>
      </c>
      <c r="R236" s="482">
        <f>IF($N236&gt;0,(('Amounts Pivot Table'!O$84+'Amounts Pivot Table'!O$87++'Amounts Pivot Table'!O$90)/$N236),0)</f>
        <v>5928.6211308388138</v>
      </c>
      <c r="S236" s="481">
        <f>IF($N236&gt;0,('Amounts Pivot Table'!O$93/$N236),0)</f>
        <v>4638.3182035355949</v>
      </c>
      <c r="T236" s="481">
        <f t="shared" si="44"/>
        <v>10566.939334374409</v>
      </c>
      <c r="U236" s="580">
        <f t="shared" si="46"/>
        <v>0.11007799248481374</v>
      </c>
      <c r="V236" s="582">
        <f t="shared" si="53"/>
        <v>2.1148700254334123E-2</v>
      </c>
      <c r="W236" s="572">
        <f t="shared" si="47"/>
        <v>7.1042814754743985E-2</v>
      </c>
      <c r="Y236" s="73" t="s">
        <v>321</v>
      </c>
      <c r="Z236" s="61">
        <f t="shared" si="48"/>
        <v>65243700.000000007</v>
      </c>
      <c r="AA236" s="61">
        <f t="shared" si="49"/>
        <v>0</v>
      </c>
      <c r="AB236" s="61">
        <f t="shared" si="50"/>
        <v>0</v>
      </c>
      <c r="AC236" s="61">
        <f t="shared" si="51"/>
        <v>46954900</v>
      </c>
      <c r="AD236" s="61">
        <f t="shared" si="52"/>
        <v>112198600</v>
      </c>
    </row>
    <row r="237" spans="1:30" s="61" customFormat="1" ht="12.75" customHeight="1">
      <c r="A237" s="73" t="s">
        <v>328</v>
      </c>
      <c r="B237" s="75">
        <f>IF($M237&gt;0,('Amounts Pivot Table'!O$124/$M237),0)</f>
        <v>3351.2901091604722</v>
      </c>
      <c r="C237" s="75">
        <f>IF($M237&gt;0,('Amounts Pivot Table'!O$127/$M237),0)</f>
        <v>0</v>
      </c>
      <c r="D237" s="75">
        <f>IF($M237&gt;0,('Amounts Pivot Table'!O$130/$M237),0)</f>
        <v>0</v>
      </c>
      <c r="E237" s="75">
        <f>IF($M237&gt;0,('Amounts Pivot Table'!O$133/$M237),0)</f>
        <v>2431.7542848747189</v>
      </c>
      <c r="F237" s="75">
        <f t="shared" si="45"/>
        <v>5783.0443940351906</v>
      </c>
      <c r="G237" s="116">
        <f>IF(B237&gt;0,RANK(B237,$B$234:$B$252),)</f>
        <v>10</v>
      </c>
      <c r="H237" s="107">
        <f>IF(C237&gt;0,RANK(C237,$C$234:$C$252),)</f>
        <v>0</v>
      </c>
      <c r="I237" s="107">
        <f>IF(D237&gt;0,RANK(D237,$D$234:$D$252),)</f>
        <v>0</v>
      </c>
      <c r="J237" s="107">
        <f>IF(E237&gt;0,RANK(E237,$E$234:$E$252),)</f>
        <v>14</v>
      </c>
      <c r="K237" s="107">
        <f>IF(F237&gt;0,RANK(F237,$F$234:$F$252),)</f>
        <v>16</v>
      </c>
      <c r="L237" s="168"/>
      <c r="M237" s="824">
        <f>+'[1]NEW-Tables 80-86'!AI166</f>
        <v>337906.8066666667</v>
      </c>
      <c r="N237" s="805">
        <f>+'[1]NEW-Tables 80-86'!AP166</f>
        <v>345458.94111111108</v>
      </c>
      <c r="O237" s="581">
        <f t="shared" si="41"/>
        <v>3351.2901091604722</v>
      </c>
      <c r="P237" s="584">
        <f t="shared" si="42"/>
        <v>2431.7542848747189</v>
      </c>
      <c r="Q237" s="574">
        <f t="shared" si="43"/>
        <v>5783.0443940351906</v>
      </c>
      <c r="R237" s="482">
        <f>IF($N237&gt;0,(('Amounts Pivot Table'!O$123+'Amounts Pivot Table'!O$126++'Amounts Pivot Table'!O$129)/$N237),0)</f>
        <v>3185.2952089205833</v>
      </c>
      <c r="S237" s="481">
        <f>IF($N237&gt;0,('Amounts Pivot Table'!O$132/$N237),0)</f>
        <v>2472.3709690446026</v>
      </c>
      <c r="T237" s="481">
        <f t="shared" si="44"/>
        <v>5657.6661779651859</v>
      </c>
      <c r="U237" s="580">
        <f t="shared" si="46"/>
        <v>5.2112877881777382E-2</v>
      </c>
      <c r="V237" s="582">
        <f t="shared" si="53"/>
        <v>-1.6428232121484251E-2</v>
      </c>
      <c r="W237" s="572">
        <f t="shared" si="47"/>
        <v>2.2160765963589922E-2</v>
      </c>
      <c r="Y237" s="73" t="s">
        <v>328</v>
      </c>
      <c r="Z237" s="61">
        <f t="shared" si="48"/>
        <v>1132423739</v>
      </c>
      <c r="AA237" s="61">
        <f t="shared" si="49"/>
        <v>0</v>
      </c>
      <c r="AB237" s="61">
        <f t="shared" si="50"/>
        <v>0</v>
      </c>
      <c r="AC237" s="61">
        <f t="shared" si="51"/>
        <v>821706325</v>
      </c>
      <c r="AD237" s="61">
        <f t="shared" si="52"/>
        <v>1954130063.9999998</v>
      </c>
    </row>
    <row r="238" spans="1:30" s="61" customFormat="1" ht="12.75" customHeight="1">
      <c r="A238" s="73"/>
      <c r="B238" s="75"/>
      <c r="C238" s="75"/>
      <c r="D238" s="75"/>
      <c r="E238" s="75"/>
      <c r="F238" s="75"/>
      <c r="G238" s="116"/>
      <c r="H238" s="107"/>
      <c r="I238" s="107"/>
      <c r="J238" s="107"/>
      <c r="K238" s="107"/>
      <c r="L238" s="168"/>
      <c r="M238" s="824"/>
      <c r="N238" s="805"/>
      <c r="O238" s="581"/>
      <c r="P238" s="584"/>
      <c r="Q238" s="574"/>
      <c r="R238" s="482"/>
      <c r="S238" s="481"/>
      <c r="T238" s="481"/>
      <c r="U238" s="580"/>
      <c r="V238" s="582"/>
      <c r="W238" s="572"/>
      <c r="Y238" s="73"/>
    </row>
    <row r="239" spans="1:30" s="61" customFormat="1" ht="12.75" customHeight="1">
      <c r="A239" s="73" t="s">
        <v>329</v>
      </c>
      <c r="B239" s="75">
        <f>IF($M239&gt;0,('Amounts Pivot Table'!O$163/$M239),0)</f>
        <v>3908.6200637107622</v>
      </c>
      <c r="C239" s="75">
        <f>IF($M239&gt;0,('Amounts Pivot Table'!O$166/$M239),0)</f>
        <v>0</v>
      </c>
      <c r="D239" s="75">
        <f>IF($M239&gt;0,('Amounts Pivot Table'!O$169/$M239),0)</f>
        <v>0</v>
      </c>
      <c r="E239" s="75">
        <f>IF($M239&gt;0,('Amounts Pivot Table'!O$172/$M239),0)</f>
        <v>3719.2328770698755</v>
      </c>
      <c r="F239" s="75">
        <f t="shared" si="45"/>
        <v>7627.8529407806382</v>
      </c>
      <c r="G239" s="116">
        <f>IF(B239&gt;0,RANK(B239,$B$234:$B$252),)</f>
        <v>7</v>
      </c>
      <c r="H239" s="107">
        <f>IF(C239&gt;0,RANK(C239,$C$234:$C$252),)</f>
        <v>0</v>
      </c>
      <c r="I239" s="107">
        <f>IF(D239&gt;0,RANK(D239,$D$234:$D$252),)</f>
        <v>0</v>
      </c>
      <c r="J239" s="107">
        <f>IF(E239&gt;0,RANK(E239,$E$234:$E$252),)</f>
        <v>11</v>
      </c>
      <c r="K239" s="107">
        <f>IF(F239&gt;0,RANK(F239,$F$234:$F$252),)</f>
        <v>10</v>
      </c>
      <c r="L239" s="168"/>
      <c r="M239" s="824">
        <f>+'[1]NEW-Tables 80-86'!AI168</f>
        <v>40866.983333333337</v>
      </c>
      <c r="N239" s="805">
        <f>+'[1]NEW-Tables 80-86'!AP168</f>
        <v>42158.666666666672</v>
      </c>
      <c r="O239" s="581">
        <f t="shared" si="41"/>
        <v>3908.6200637107622</v>
      </c>
      <c r="P239" s="584">
        <f t="shared" si="42"/>
        <v>3719.2328770698755</v>
      </c>
      <c r="Q239" s="574">
        <f t="shared" si="43"/>
        <v>7627.8529407806382</v>
      </c>
      <c r="R239" s="482">
        <f>IF($N239&gt;0,(('Amounts Pivot Table'!O$162+'Amounts Pivot Table'!O$165+'Amounts Pivot Table'!O$168)/$N239),0)</f>
        <v>3869.4904013409655</v>
      </c>
      <c r="S239" s="481">
        <f>IF($N239&gt;0,('Amounts Pivot Table'!O$171/$N239),0)</f>
        <v>3469.3758262437136</v>
      </c>
      <c r="T239" s="481">
        <f t="shared" si="44"/>
        <v>7338.8662275846791</v>
      </c>
      <c r="U239" s="580">
        <f t="shared" si="46"/>
        <v>1.0112355455446127E-2</v>
      </c>
      <c r="V239" s="582">
        <f t="shared" si="53"/>
        <v>7.2017868152578213E-2</v>
      </c>
      <c r="W239" s="572">
        <f t="shared" si="47"/>
        <v>3.9377569264001766E-2</v>
      </c>
      <c r="Y239" s="73" t="s">
        <v>329</v>
      </c>
      <c r="Z239" s="61">
        <f t="shared" si="48"/>
        <v>159733511</v>
      </c>
      <c r="AA239" s="61">
        <f t="shared" si="49"/>
        <v>0</v>
      </c>
      <c r="AB239" s="61">
        <f t="shared" si="50"/>
        <v>0</v>
      </c>
      <c r="AC239" s="61">
        <f t="shared" si="51"/>
        <v>151993828</v>
      </c>
      <c r="AD239" s="61">
        <f t="shared" si="52"/>
        <v>311727339</v>
      </c>
    </row>
    <row r="240" spans="1:30" s="61" customFormat="1" ht="12.75" customHeight="1">
      <c r="A240" s="73" t="s">
        <v>322</v>
      </c>
      <c r="B240" s="75">
        <f>IF($M240&gt;0,('Amounts Pivot Table'!O$202/$M240),0)</f>
        <v>2940.5596203551659</v>
      </c>
      <c r="C240" s="75">
        <f>IF($M240&gt;0,('Amounts Pivot Table'!O$205/$M240),0)</f>
        <v>0</v>
      </c>
      <c r="D240" s="75">
        <f>IF($M240&gt;0,('Amounts Pivot Table'!O$208/$M240),0)</f>
        <v>0</v>
      </c>
      <c r="E240" s="75">
        <f>IF($M240&gt;0,('Amounts Pivot Table'!O$211/$M240),0)</f>
        <v>4242.0175598219985</v>
      </c>
      <c r="F240" s="75">
        <f t="shared" si="45"/>
        <v>7182.5771801771643</v>
      </c>
      <c r="G240" s="116">
        <f>IF(B240&gt;0,RANK(B240,$B$234:$B$252),)</f>
        <v>11</v>
      </c>
      <c r="H240" s="107">
        <f>IF(C240&gt;0,RANK(C240,$C$234:$C$252),)</f>
        <v>0</v>
      </c>
      <c r="I240" s="107">
        <f>IF(D240&gt;0,RANK(D240,$D$234:$D$252),)</f>
        <v>0</v>
      </c>
      <c r="J240" s="107">
        <f>IF(E240&gt;0,RANK(E240,$E$234:$E$252),)</f>
        <v>7</v>
      </c>
      <c r="K240" s="107">
        <f>IF(F240&gt;0,RANK(F240,$F$234:$F$252),)</f>
        <v>14</v>
      </c>
      <c r="L240" s="168"/>
      <c r="M240" s="824">
        <f>+'[1]NEW-Tables 80-86'!AI169</f>
        <v>46344.433333333342</v>
      </c>
      <c r="N240" s="805">
        <f>+'[1]NEW-Tables 80-86'!AP169</f>
        <v>48778.6</v>
      </c>
      <c r="O240" s="581">
        <f t="shared" si="41"/>
        <v>2940.5596203551659</v>
      </c>
      <c r="P240" s="584">
        <f t="shared" si="42"/>
        <v>4242.0175598219985</v>
      </c>
      <c r="Q240" s="574">
        <f t="shared" si="43"/>
        <v>7182.5771801771643</v>
      </c>
      <c r="R240" s="482">
        <f>IF($N240&gt;0,(('Amounts Pivot Table'!O$201+'Amounts Pivot Table'!O$204++'Amounts Pivot Table'!O$207)/$N240),0)</f>
        <v>2903.3116564032725</v>
      </c>
      <c r="S240" s="481">
        <f>IF($N240&gt;0,('Amounts Pivot Table'!O$210/$N240),0)</f>
        <v>4160.584764630391</v>
      </c>
      <c r="T240" s="481">
        <f t="shared" si="44"/>
        <v>7063.8964210336635</v>
      </c>
      <c r="U240" s="580">
        <f t="shared" si="46"/>
        <v>1.282947487561065E-2</v>
      </c>
      <c r="V240" s="582">
        <f t="shared" si="53"/>
        <v>1.9572439884863554E-2</v>
      </c>
      <c r="W240" s="572">
        <f t="shared" si="47"/>
        <v>1.6801033320663305E-2</v>
      </c>
      <c r="Y240" s="73" t="s">
        <v>322</v>
      </c>
      <c r="Z240" s="61">
        <f t="shared" si="48"/>
        <v>136278569.28824198</v>
      </c>
      <c r="AA240" s="61">
        <f t="shared" si="49"/>
        <v>0</v>
      </c>
      <c r="AB240" s="61">
        <f t="shared" si="50"/>
        <v>0</v>
      </c>
      <c r="AC240" s="61">
        <f t="shared" si="51"/>
        <v>196593900</v>
      </c>
      <c r="AD240" s="61">
        <f t="shared" si="52"/>
        <v>332872469.28824198</v>
      </c>
    </row>
    <row r="241" spans="1:30" s="61" customFormat="1" ht="12.75" customHeight="1">
      <c r="A241" s="73" t="s">
        <v>330</v>
      </c>
      <c r="B241" s="75">
        <f>IF($M241&gt;0,('Amounts Pivot Table'!O$241/$M241),0)</f>
        <v>2442.1882534315346</v>
      </c>
      <c r="C241" s="75">
        <f>IF($M241&gt;0,('Amounts Pivot Table'!O$244/$M241),0)</f>
        <v>0</v>
      </c>
      <c r="D241" s="75">
        <f>IF($M241&gt;0,('Amounts Pivot Table'!O$247/$M241),0)</f>
        <v>0</v>
      </c>
      <c r="E241" s="75">
        <f>IF($M241&gt;0,('Amounts Pivot Table'!O$250/$M241),0)</f>
        <v>4076.3912499919029</v>
      </c>
      <c r="F241" s="75">
        <f t="shared" si="45"/>
        <v>6518.5795034234379</v>
      </c>
      <c r="G241" s="116">
        <f>IF(B241&gt;0,RANK(B241,$B$234:$B$252),)</f>
        <v>15</v>
      </c>
      <c r="H241" s="107">
        <f>IF(C241&gt;0,RANK(C241,$C$234:$C$252),)</f>
        <v>0</v>
      </c>
      <c r="I241" s="107">
        <f>IF(D241&gt;0,RANK(D241,$D$234:$D$252),)</f>
        <v>0</v>
      </c>
      <c r="J241" s="107">
        <f>IF(E241&gt;0,RANK(E241,$E$234:$E$252),)</f>
        <v>8</v>
      </c>
      <c r="K241" s="107">
        <f>IF(F241&gt;0,RANK(F241,$F$234:$F$252),)</f>
        <v>15</v>
      </c>
      <c r="L241" s="168"/>
      <c r="M241" s="824">
        <f>+'[1]NEW-Tables 80-86'!AI170</f>
        <v>38594.25</v>
      </c>
      <c r="N241" s="805">
        <f>+'[1]NEW-Tables 80-86'!AP170</f>
        <v>40035.23333333333</v>
      </c>
      <c r="O241" s="581">
        <f t="shared" si="41"/>
        <v>2442.1882534315346</v>
      </c>
      <c r="P241" s="584">
        <f t="shared" si="42"/>
        <v>4076.3912499919029</v>
      </c>
      <c r="Q241" s="574">
        <f t="shared" si="43"/>
        <v>6518.5795034234379</v>
      </c>
      <c r="R241" s="482">
        <f>IF($N241&gt;0,(('Amounts Pivot Table'!O$240+'Amounts Pivot Table'!O$243++'Amounts Pivot Table'!O$247)/$N241),0)</f>
        <v>2246.3768164208695</v>
      </c>
      <c r="S241" s="481">
        <f>IF($N241&gt;0,('Amounts Pivot Table'!O$249/$N241),0)</f>
        <v>3581.8303044734766</v>
      </c>
      <c r="T241" s="481">
        <f t="shared" si="44"/>
        <v>5828.2071208943462</v>
      </c>
      <c r="U241" s="580">
        <f t="shared" si="46"/>
        <v>8.7167671772293967E-2</v>
      </c>
      <c r="V241" s="582">
        <f t="shared" si="53"/>
        <v>0.13807492356652165</v>
      </c>
      <c r="W241" s="572">
        <f t="shared" si="47"/>
        <v>0.11845364589979657</v>
      </c>
      <c r="Y241" s="73" t="s">
        <v>330</v>
      </c>
      <c r="Z241" s="61">
        <f t="shared" si="48"/>
        <v>94254424</v>
      </c>
      <c r="AA241" s="61">
        <f t="shared" si="49"/>
        <v>0</v>
      </c>
      <c r="AB241" s="61">
        <f t="shared" si="50"/>
        <v>0</v>
      </c>
      <c r="AC241" s="61">
        <f t="shared" si="51"/>
        <v>157325263</v>
      </c>
      <c r="AD241" s="61">
        <f t="shared" si="52"/>
        <v>251579687.00000003</v>
      </c>
    </row>
    <row r="242" spans="1:30" s="61" customFormat="1" ht="12.75" customHeight="1">
      <c r="A242" s="73" t="s">
        <v>333</v>
      </c>
      <c r="B242" s="75">
        <f>IF($M242&gt;0,('Amounts Pivot Table'!O$280/$M242),0)</f>
        <v>2728.4256275275416</v>
      </c>
      <c r="C242" s="75">
        <f>IF($M242&gt;0,('Amounts Pivot Table'!O$283/$M242),0)</f>
        <v>0</v>
      </c>
      <c r="D242" s="75">
        <f>IF($M242&gt;0,('Amounts Pivot Table'!O$286/$M242),0)</f>
        <v>3753.3645621252267</v>
      </c>
      <c r="E242" s="75">
        <f>IF($M242&gt;0,('Amounts Pivot Table'!O$289/$M242),0)</f>
        <v>4831.4257530330497</v>
      </c>
      <c r="F242" s="75">
        <f t="shared" si="45"/>
        <v>11313.215942685818</v>
      </c>
      <c r="G242" s="116">
        <f>IF(B242&gt;0,RANK(B242,$B$234:$B$252),)</f>
        <v>13</v>
      </c>
      <c r="H242" s="107">
        <f>IF(C242&gt;0,RANK(C242,$C$234:$C$252),)</f>
        <v>0</v>
      </c>
      <c r="I242" s="107">
        <f>IF(D242&gt;0,RANK(D242,$D$234:$D$252),)</f>
        <v>1</v>
      </c>
      <c r="J242" s="107">
        <f>IF(E242&gt;0,RANK(E242,$E$234:$E$252),)</f>
        <v>2</v>
      </c>
      <c r="K242" s="107">
        <f>IF(F242&gt;0,RANK(F242,$F$234:$F$252),)</f>
        <v>2</v>
      </c>
      <c r="L242" s="168"/>
      <c r="M242" s="824">
        <f>+'[1]NEW-Tables 80-86'!AI171</f>
        <v>95613.333333333328</v>
      </c>
      <c r="N242" s="805">
        <f>+'[1]NEW-Tables 80-86'!AP171</f>
        <v>93141.116666666669</v>
      </c>
      <c r="O242" s="581">
        <f t="shared" si="41"/>
        <v>6481.7901896527683</v>
      </c>
      <c r="P242" s="584">
        <f t="shared" si="42"/>
        <v>4831.4257530330497</v>
      </c>
      <c r="Q242" s="574">
        <f t="shared" si="43"/>
        <v>11313.215942685818</v>
      </c>
      <c r="R242" s="482">
        <f>IF($N242&gt;0,(('Amounts Pivot Table'!O$279+'Amounts Pivot Table'!O$282++'Amounts Pivot Table'!O$285)/$N242),0)</f>
        <v>6273.1870189087631</v>
      </c>
      <c r="S242" s="481">
        <f>IF($N242&gt;0,('Amounts Pivot Table'!O$288/$N242),0)</f>
        <v>4756.2205270246741</v>
      </c>
      <c r="T242" s="481">
        <f t="shared" si="44"/>
        <v>11029.407545933438</v>
      </c>
      <c r="U242" s="580">
        <f t="shared" si="46"/>
        <v>3.3253140726592308E-2</v>
      </c>
      <c r="V242" s="582">
        <f t="shared" si="53"/>
        <v>1.5811972043992113E-2</v>
      </c>
      <c r="W242" s="572">
        <f t="shared" si="47"/>
        <v>2.5731971148080433E-2</v>
      </c>
      <c r="Y242" s="73" t="s">
        <v>333</v>
      </c>
      <c r="Z242" s="61">
        <f t="shared" si="48"/>
        <v>260873869</v>
      </c>
      <c r="AA242" s="61">
        <f t="shared" si="49"/>
        <v>0</v>
      </c>
      <c r="AB242" s="61">
        <f t="shared" si="50"/>
        <v>358871697</v>
      </c>
      <c r="AC242" s="61">
        <f t="shared" si="51"/>
        <v>461948720.99999994</v>
      </c>
      <c r="AD242" s="61">
        <f t="shared" si="52"/>
        <v>1081694287</v>
      </c>
    </row>
    <row r="243" spans="1:30" s="61" customFormat="1" ht="12.75" customHeight="1">
      <c r="A243" s="73"/>
      <c r="B243" s="75"/>
      <c r="C243" s="75"/>
      <c r="D243" s="75"/>
      <c r="E243" s="75"/>
      <c r="F243" s="75"/>
      <c r="G243" s="116"/>
      <c r="H243" s="107"/>
      <c r="I243" s="107"/>
      <c r="J243" s="107"/>
      <c r="K243" s="107"/>
      <c r="L243" s="168"/>
      <c r="M243" s="824"/>
      <c r="N243" s="805"/>
      <c r="O243" s="581"/>
      <c r="P243" s="584"/>
      <c r="Q243" s="574"/>
      <c r="R243" s="482"/>
      <c r="S243" s="481"/>
      <c r="T243" s="481"/>
      <c r="U243" s="580"/>
      <c r="V243" s="582"/>
      <c r="W243" s="572"/>
      <c r="Y243" s="73"/>
    </row>
    <row r="244" spans="1:30" s="61" customFormat="1" ht="12.75" customHeight="1">
      <c r="A244" s="73" t="s">
        <v>323</v>
      </c>
      <c r="B244" s="75">
        <f>IF($M244&gt;0,('Amounts Pivot Table'!O$319/$M244),0)</f>
        <v>3912.5141902535097</v>
      </c>
      <c r="C244" s="75">
        <f>IF($M244&gt;0,('Amounts Pivot Table'!O$322/$M244),0)</f>
        <v>425.08727144989348</v>
      </c>
      <c r="D244" s="75">
        <f>IF($M244&gt;0,('Amounts Pivot Table'!O$325/$M244),0)</f>
        <v>863.39437539836831</v>
      </c>
      <c r="E244" s="75">
        <f>IF($M244&gt;0,('Amounts Pivot Table'!O$328/$M244),0)</f>
        <v>3067.6427092059025</v>
      </c>
      <c r="F244" s="75">
        <f t="shared" si="45"/>
        <v>8268.6385463076749</v>
      </c>
      <c r="G244" s="116">
        <f>IF(B244&gt;0,RANK(B244,$B$234:$B$252),)</f>
        <v>6</v>
      </c>
      <c r="H244" s="107">
        <f>IF(C244&gt;0,RANK(C244,$C$234:$C$252),)</f>
        <v>2</v>
      </c>
      <c r="I244" s="107">
        <f>IF(D244&gt;0,RANK(D244,$D$234:$D$252),)</f>
        <v>5</v>
      </c>
      <c r="J244" s="107">
        <f>IF(E244&gt;0,RANK(E244,$E$234:$E$252),)</f>
        <v>13</v>
      </c>
      <c r="K244" s="107">
        <f>IF(F244&gt;0,RANK(F244,$F$234:$F$252),)</f>
        <v>7</v>
      </c>
      <c r="L244" s="168"/>
      <c r="M244" s="824">
        <f>+'[1]NEW-Tables 80-86'!AI173</f>
        <v>62912.899999999994</v>
      </c>
      <c r="N244" s="805">
        <f>+'[1]NEW-Tables 80-86'!AP173</f>
        <v>62917.200000000004</v>
      </c>
      <c r="O244" s="581">
        <f t="shared" si="41"/>
        <v>5200.9958371017719</v>
      </c>
      <c r="P244" s="584">
        <f t="shared" si="42"/>
        <v>3067.6427092059025</v>
      </c>
      <c r="Q244" s="574">
        <f t="shared" si="43"/>
        <v>8268.6385463076749</v>
      </c>
      <c r="R244" s="482">
        <f>IF($N244&gt;0,(('Amounts Pivot Table'!O$318+'Amounts Pivot Table'!O$321++'Amounts Pivot Table'!O$324)/$N244),0)</f>
        <v>5006.7328895755054</v>
      </c>
      <c r="S244" s="481">
        <f>IF($N244&gt;0,('Amounts Pivot Table'!O$327/$N244),0)</f>
        <v>3007.673736275613</v>
      </c>
      <c r="T244" s="481">
        <f t="shared" si="44"/>
        <v>8014.4066258511184</v>
      </c>
      <c r="U244" s="580">
        <f t="shared" si="46"/>
        <v>3.8800341821857626E-2</v>
      </c>
      <c r="V244" s="582">
        <f t="shared" si="53"/>
        <v>1.9938656313350258E-2</v>
      </c>
      <c r="W244" s="572">
        <f t="shared" si="47"/>
        <v>3.1721864428055205E-2</v>
      </c>
      <c r="Y244" s="73" t="s">
        <v>323</v>
      </c>
      <c r="Z244" s="61">
        <f t="shared" si="48"/>
        <v>246147614</v>
      </c>
      <c r="AA244" s="61">
        <f t="shared" si="49"/>
        <v>26743473</v>
      </c>
      <c r="AB244" s="61">
        <f t="shared" si="50"/>
        <v>54318644</v>
      </c>
      <c r="AC244" s="61">
        <f t="shared" si="51"/>
        <v>192994299</v>
      </c>
      <c r="AD244" s="61">
        <f t="shared" si="52"/>
        <v>520204030.00000006</v>
      </c>
    </row>
    <row r="245" spans="1:30" s="61" customFormat="1" ht="12.75" customHeight="1">
      <c r="A245" s="73" t="s">
        <v>324</v>
      </c>
      <c r="B245" s="75">
        <f>IF($M245&gt;0,('Amounts Pivot Table'!O$358/$M245),0)</f>
        <v>3981.3372116652531</v>
      </c>
      <c r="C245" s="75">
        <f>IF($M245&gt;0,('Amounts Pivot Table'!O$361/$M245),0)</f>
        <v>736.5734639417301</v>
      </c>
      <c r="D245" s="75">
        <f>IF($M245&gt;0,('Amounts Pivot Table'!O$364/$M245),0)</f>
        <v>1183.7505596015803</v>
      </c>
      <c r="E245" s="75">
        <f>IF($M245&gt;0,('Amounts Pivot Table'!O$367/$M245),0)</f>
        <v>1835.2259508561026</v>
      </c>
      <c r="F245" s="75">
        <f t="shared" si="45"/>
        <v>7736.8871860646659</v>
      </c>
      <c r="G245" s="116">
        <f>IF(B245&gt;0,RANK(B245,$B$234:$B$252),)</f>
        <v>4</v>
      </c>
      <c r="H245" s="107">
        <f>IF(C245&gt;0,RANK(C245,$C$234:$C$252),)</f>
        <v>1</v>
      </c>
      <c r="I245" s="107">
        <f>IF(D245&gt;0,RANK(D245,$D$234:$D$252),)</f>
        <v>3</v>
      </c>
      <c r="J245" s="107">
        <f>IF(E245&gt;0,RANK(E245,$E$234:$E$252),)</f>
        <v>16</v>
      </c>
      <c r="K245" s="107">
        <f>IF(F245&gt;0,RANK(F245,$F$234:$F$252),)</f>
        <v>9</v>
      </c>
      <c r="L245" s="168"/>
      <c r="M245" s="824">
        <f>+'[1]NEW-Tables 80-86'!AI174</f>
        <v>195034.59333333335</v>
      </c>
      <c r="N245" s="805">
        <f>+'[1]NEW-Tables 80-86'!AP174</f>
        <v>205949.71555555554</v>
      </c>
      <c r="O245" s="581">
        <f t="shared" si="41"/>
        <v>5901.6612352085631</v>
      </c>
      <c r="P245" s="584">
        <f t="shared" si="42"/>
        <v>1835.2259508561026</v>
      </c>
      <c r="Q245" s="574">
        <f t="shared" si="43"/>
        <v>7736.8871860646659</v>
      </c>
      <c r="R245" s="482">
        <f>IF($N245&gt;0,(('Amounts Pivot Table'!O$357+'Amounts Pivot Table'!O$360+'Amounts Pivot Table'!O$363)/$N245),0)</f>
        <v>5383.3551214637382</v>
      </c>
      <c r="S245" s="481">
        <f>IF($N245&gt;0,('Amounts Pivot Table'!O$366/$N245),0)</f>
        <v>1782.4554018428578</v>
      </c>
      <c r="T245" s="481">
        <f t="shared" si="44"/>
        <v>7165.8105233065962</v>
      </c>
      <c r="U245" s="580">
        <f t="shared" si="46"/>
        <v>9.6279383776542882E-2</v>
      </c>
      <c r="V245" s="582">
        <f t="shared" si="53"/>
        <v>2.9605536811011385E-2</v>
      </c>
      <c r="W245" s="572">
        <f t="shared" si="47"/>
        <v>7.9694636203491417E-2</v>
      </c>
      <c r="Y245" s="73" t="s">
        <v>324</v>
      </c>
      <c r="Z245" s="61">
        <f t="shared" si="48"/>
        <v>776498484</v>
      </c>
      <c r="AA245" s="61">
        <f t="shared" si="49"/>
        <v>143657306</v>
      </c>
      <c r="AB245" s="61">
        <f t="shared" si="50"/>
        <v>230872309</v>
      </c>
      <c r="AC245" s="61">
        <f t="shared" si="51"/>
        <v>357932547</v>
      </c>
      <c r="AD245" s="61">
        <f t="shared" si="52"/>
        <v>1508960646</v>
      </c>
    </row>
    <row r="246" spans="1:30" s="61" customFormat="1" ht="12.75" customHeight="1">
      <c r="A246" s="73" t="s">
        <v>331</v>
      </c>
      <c r="B246" s="75">
        <f>IF($M246&gt;0,('Amounts Pivot Table'!O$397/$M246),0)</f>
        <v>3711.1885505475889</v>
      </c>
      <c r="C246" s="75">
        <f>IF($M246&gt;0,('Amounts Pivot Table'!O$400/$M246),0)</f>
        <v>0</v>
      </c>
      <c r="D246" s="75">
        <f>IF($M246&gt;0,('Amounts Pivot Table'!O$403/$M246),0)</f>
        <v>927.75923258095747</v>
      </c>
      <c r="E246" s="75">
        <f>IF($M246&gt;0,('Amounts Pivot Table'!O$406/$M246),0)</f>
        <v>3536.1806389003991</v>
      </c>
      <c r="F246" s="75">
        <f t="shared" si="45"/>
        <v>8175.1284220289454</v>
      </c>
      <c r="G246" s="116">
        <f>IF(B246&gt;0,RANK(B246,$B$234:$B$252),)</f>
        <v>8</v>
      </c>
      <c r="H246" s="107">
        <f>IF(C246&gt;0,RANK(C246,$C$234:$C$252),)</f>
        <v>0</v>
      </c>
      <c r="I246" s="107">
        <f>IF(D246&gt;0,RANK(D246,$D$234:$D$252),)</f>
        <v>4</v>
      </c>
      <c r="J246" s="107">
        <f>IF(E246&gt;0,RANK(E246,$E$234:$E$252),)</f>
        <v>12</v>
      </c>
      <c r="K246" s="107">
        <f>IF(F246&gt;0,RANK(F246,$F$234:$F$252),)</f>
        <v>8</v>
      </c>
      <c r="L246" s="168"/>
      <c r="M246" s="824">
        <f>+'[1]NEW-Tables 80-86'!AI175</f>
        <v>46576.9</v>
      </c>
      <c r="N246" s="805">
        <f>+'[1]NEW-Tables 80-86'!AP175</f>
        <v>49562.733333333323</v>
      </c>
      <c r="O246" s="581">
        <f t="shared" si="41"/>
        <v>4638.9477831285467</v>
      </c>
      <c r="P246" s="584">
        <f t="shared" si="42"/>
        <v>3536.1806389003991</v>
      </c>
      <c r="Q246" s="574">
        <f t="shared" si="43"/>
        <v>8175.1284220289454</v>
      </c>
      <c r="R246" s="482">
        <f>IF($N246&gt;0,(('Amounts Pivot Table'!O$396+'Amounts Pivot Table'!O$399++'Amounts Pivot Table'!O$402)/$N246),0)</f>
        <v>4428.3358935006281</v>
      </c>
      <c r="S246" s="481">
        <f>IF($N246&gt;0,('Amounts Pivot Table'!O$405/$N246),0)</f>
        <v>3284.6829069152773</v>
      </c>
      <c r="T246" s="481">
        <f t="shared" si="44"/>
        <v>7713.0188004159054</v>
      </c>
      <c r="U246" s="580">
        <f t="shared" si="46"/>
        <v>4.756005296188779E-2</v>
      </c>
      <c r="V246" s="582">
        <f t="shared" si="53"/>
        <v>7.6566822159801498E-2</v>
      </c>
      <c r="W246" s="572">
        <f t="shared" si="47"/>
        <v>5.9912938574468645E-2</v>
      </c>
      <c r="Y246" s="73" t="s">
        <v>331</v>
      </c>
      <c r="Z246" s="61">
        <f t="shared" si="48"/>
        <v>172855658</v>
      </c>
      <c r="AA246" s="61">
        <f t="shared" si="49"/>
        <v>0</v>
      </c>
      <c r="AB246" s="61">
        <f t="shared" si="50"/>
        <v>43212149</v>
      </c>
      <c r="AC246" s="61">
        <f t="shared" si="51"/>
        <v>164704332</v>
      </c>
      <c r="AD246" s="61">
        <f t="shared" si="52"/>
        <v>380772139</v>
      </c>
    </row>
    <row r="247" spans="1:30" s="61" customFormat="1" ht="12.75" customHeight="1">
      <c r="A247" s="73" t="s">
        <v>325</v>
      </c>
      <c r="B247" s="75">
        <f>IF($M247&gt;0,('Amounts Pivot Table'!O$436/$M247),0)</f>
        <v>1429.8429269905757</v>
      </c>
      <c r="C247" s="75">
        <f>IF($M247&gt;0,('Amounts Pivot Table'!O$439/$M247),0)</f>
        <v>392.92023696110311</v>
      </c>
      <c r="D247" s="75">
        <f>IF($M247&gt;0,('Amounts Pivot Table'!O$442/$M247),0)</f>
        <v>855.20254151215261</v>
      </c>
      <c r="E247" s="75">
        <f>IF($M247&gt;0,('Amounts Pivot Table'!O$445/$M247),0)</f>
        <v>4537.2157135996104</v>
      </c>
      <c r="F247" s="75">
        <f t="shared" si="45"/>
        <v>7215.1814190634414</v>
      </c>
      <c r="G247" s="116">
        <f>IF(B247&gt;0,RANK(B247,$B$234:$B$252),)</f>
        <v>16</v>
      </c>
      <c r="H247" s="107">
        <f>IF(C247&gt;0,RANK(C247,$C$234:$C$252),)</f>
        <v>3</v>
      </c>
      <c r="I247" s="107">
        <f>IF(D247&gt;0,RANK(D247,$D$234:$D$252),)</f>
        <v>6</v>
      </c>
      <c r="J247" s="107">
        <f>IF(E247&gt;0,RANK(E247,$E$234:$E$252),)</f>
        <v>6</v>
      </c>
      <c r="K247" s="107">
        <f>IF(F247&gt;0,RANK(F247,$F$234:$F$252),)</f>
        <v>13</v>
      </c>
      <c r="L247" s="168"/>
      <c r="M247" s="824">
        <f>+'[1]NEW-Tables 80-86'!AI176</f>
        <v>76206.599999999991</v>
      </c>
      <c r="N247" s="805">
        <f>+'[1]NEW-Tables 80-86'!AP176</f>
        <v>78995.766666666677</v>
      </c>
      <c r="O247" s="581">
        <f t="shared" si="41"/>
        <v>2677.9657054638315</v>
      </c>
      <c r="P247" s="584">
        <f t="shared" si="42"/>
        <v>4537.2157135996104</v>
      </c>
      <c r="Q247" s="574">
        <f t="shared" si="43"/>
        <v>7215.1814190634414</v>
      </c>
      <c r="R247" s="482">
        <f>IF($N247&gt;0,(('Amounts Pivot Table'!O$435+'Amounts Pivot Table'!O$438++'Amounts Pivot Table'!O$441)/$N247),0)</f>
        <v>2307.4736874085656</v>
      </c>
      <c r="S247" s="481">
        <f>IF($N247&gt;0,('Amounts Pivot Table'!O$444/$N247),0)</f>
        <v>4865.1737962329616</v>
      </c>
      <c r="T247" s="481">
        <f t="shared" si="44"/>
        <v>7172.6474836415273</v>
      </c>
      <c r="U247" s="580">
        <f t="shared" si="46"/>
        <v>0.16056175204812456</v>
      </c>
      <c r="V247" s="582">
        <f t="shared" si="53"/>
        <v>-6.7409325209982177E-2</v>
      </c>
      <c r="W247" s="572">
        <f t="shared" si="47"/>
        <v>5.9300189391602084E-3</v>
      </c>
      <c r="Y247" s="73" t="s">
        <v>325</v>
      </c>
      <c r="Z247" s="61">
        <f t="shared" si="48"/>
        <v>108963468</v>
      </c>
      <c r="AA247" s="61">
        <f t="shared" si="49"/>
        <v>29943115.329999998</v>
      </c>
      <c r="AB247" s="61">
        <f t="shared" si="50"/>
        <v>65172078</v>
      </c>
      <c r="AC247" s="61">
        <f t="shared" si="51"/>
        <v>345765783</v>
      </c>
      <c r="AD247" s="61">
        <f t="shared" si="52"/>
        <v>549844444.33000004</v>
      </c>
    </row>
    <row r="248" spans="1:30" s="61" customFormat="1" ht="12.75" customHeight="1">
      <c r="A248" s="73"/>
      <c r="B248" s="75"/>
      <c r="C248" s="75"/>
      <c r="D248" s="75"/>
      <c r="E248" s="75"/>
      <c r="F248" s="75"/>
      <c r="G248" s="116"/>
      <c r="H248" s="107"/>
      <c r="I248" s="107"/>
      <c r="J248" s="107"/>
      <c r="K248" s="107"/>
      <c r="L248" s="168"/>
      <c r="M248" s="824"/>
      <c r="N248" s="805"/>
      <c r="O248" s="581"/>
      <c r="P248" s="584"/>
      <c r="Q248" s="574"/>
      <c r="R248" s="482"/>
      <c r="S248" s="481"/>
      <c r="T248" s="481"/>
      <c r="U248" s="580"/>
      <c r="V248" s="582"/>
      <c r="W248" s="572"/>
      <c r="Y248" s="73"/>
    </row>
    <row r="249" spans="1:30" s="61" customFormat="1" ht="12.75" customHeight="1">
      <c r="A249" s="73" t="s">
        <v>90</v>
      </c>
      <c r="B249" s="75">
        <f>IF($M249&gt;0,('Amounts Pivot Table'!O$475/$M249),0)</f>
        <v>3708.638987243844</v>
      </c>
      <c r="C249" s="75">
        <f>IF($M249&gt;0,('Amounts Pivot Table'!O$478/$M249),0)</f>
        <v>0</v>
      </c>
      <c r="D249" s="75">
        <f>IF($M249&gt;0,('Amounts Pivot Table'!O$481/$M249),0)</f>
        <v>0</v>
      </c>
      <c r="E249" s="75">
        <f>IF($M249&gt;0,('Amounts Pivot Table'!O$484/$M249),0)</f>
        <v>4644.6555134550636</v>
      </c>
      <c r="F249" s="75">
        <f t="shared" si="45"/>
        <v>8353.2945006989066</v>
      </c>
      <c r="G249" s="116">
        <f>IF(B249&gt;0,RANK(B249,$B$234:$B$252),)</f>
        <v>9</v>
      </c>
      <c r="H249" s="107">
        <f>IF(C249&gt;0,RANK(C249,$C$234:$C$252),)</f>
        <v>0</v>
      </c>
      <c r="I249" s="107">
        <f>IF(D249&gt;0,RANK(D249,$D$234:$D$252),)</f>
        <v>0</v>
      </c>
      <c r="J249" s="107">
        <f>IF(E249&gt;0,RANK(E249,$E$234:$E$252),)</f>
        <v>4</v>
      </c>
      <c r="K249" s="107">
        <f>IF(F249&gt;0,RANK(F249,$F$234:$F$252),)</f>
        <v>6</v>
      </c>
      <c r="L249" s="168"/>
      <c r="M249" s="824">
        <f>+'[1]NEW-Tables 80-86'!AI178</f>
        <v>56874.499999999993</v>
      </c>
      <c r="N249" s="805">
        <f>+'[1]NEW-Tables 80-86'!AP178</f>
        <v>60035.866666666669</v>
      </c>
      <c r="O249" s="581">
        <f t="shared" si="41"/>
        <v>3708.638987243844</v>
      </c>
      <c r="P249" s="584">
        <f t="shared" si="42"/>
        <v>4644.6555134550636</v>
      </c>
      <c r="Q249" s="574">
        <f t="shared" si="43"/>
        <v>8353.2945006989066</v>
      </c>
      <c r="R249" s="482">
        <f>IF($N249&gt;0,(('Amounts Pivot Table'!O$474+'Amounts Pivot Table'!O$477++'Amounts Pivot Table'!O$481)/$N249),0)</f>
        <v>3578.3831887160786</v>
      </c>
      <c r="S249" s="481">
        <f>IF($N249&gt;0,('Amounts Pivot Table'!O$483/$N249),0)</f>
        <v>4432.308464495668</v>
      </c>
      <c r="T249" s="481">
        <f t="shared" si="44"/>
        <v>8010.6916532117466</v>
      </c>
      <c r="U249" s="580">
        <f t="shared" si="46"/>
        <v>3.6400740686047393E-2</v>
      </c>
      <c r="V249" s="582">
        <f t="shared" si="53"/>
        <v>4.7908905858057779E-2</v>
      </c>
      <c r="W249" s="572">
        <f t="shared" si="47"/>
        <v>4.2768198093082188E-2</v>
      </c>
      <c r="Y249" s="73" t="s">
        <v>90</v>
      </c>
      <c r="Z249" s="61">
        <f t="shared" si="48"/>
        <v>210926988.07999998</v>
      </c>
      <c r="AA249" s="61">
        <f t="shared" si="49"/>
        <v>0</v>
      </c>
      <c r="AB249" s="61">
        <f t="shared" si="50"/>
        <v>0</v>
      </c>
      <c r="AC249" s="61">
        <f t="shared" si="51"/>
        <v>264162459.99999997</v>
      </c>
      <c r="AD249" s="61">
        <f t="shared" si="52"/>
        <v>475089448.07999992</v>
      </c>
    </row>
    <row r="250" spans="1:30" s="76" customFormat="1" ht="12.75" customHeight="1">
      <c r="A250" s="73" t="s">
        <v>326</v>
      </c>
      <c r="B250" s="75">
        <f>IF($M250&gt;0,('Amounts Pivot Table'!O$514/$M250),0)</f>
        <v>2536.7684199781279</v>
      </c>
      <c r="C250" s="75">
        <f>IF($M250&gt;0,('Amounts Pivot Table'!O$517/$M250),0)</f>
        <v>0</v>
      </c>
      <c r="D250" s="75">
        <f>IF($M250&gt;0,('Amounts Pivot Table'!O$520/$M250),0)</f>
        <v>2993.8018278865115</v>
      </c>
      <c r="E250" s="75">
        <f>IF($M250&gt;0,('Amounts Pivot Table'!O$523/$M250),0)</f>
        <v>1840.5679910317101</v>
      </c>
      <c r="F250" s="75">
        <f t="shared" si="45"/>
        <v>7371.1382388963502</v>
      </c>
      <c r="G250" s="116">
        <f>IF(B250&gt;0,RANK(B250,$B$234:$B$252),)</f>
        <v>14</v>
      </c>
      <c r="H250" s="107">
        <f>IF(C250&gt;0,RANK(C250,$C$234:$C$252),)</f>
        <v>0</v>
      </c>
      <c r="I250" s="107">
        <f>IF(D250&gt;0,RANK(D250,$D$234:$D$252),)</f>
        <v>2</v>
      </c>
      <c r="J250" s="107">
        <f>IF(E250&gt;0,RANK(E250,$E$234:$E$252),)</f>
        <v>15</v>
      </c>
      <c r="K250" s="107">
        <f>IF(F250&gt;0,RANK(F250,$F$234:$F$252),)</f>
        <v>12</v>
      </c>
      <c r="L250" s="169"/>
      <c r="M250" s="824">
        <f>+'[1]NEW-Tables 80-86'!AI179</f>
        <v>478458.10222222214</v>
      </c>
      <c r="N250" s="805">
        <f>+'[1]NEW-Tables 80-86'!AP179</f>
        <v>487766.30555555562</v>
      </c>
      <c r="O250" s="581">
        <f t="shared" si="41"/>
        <v>5530.5702478646399</v>
      </c>
      <c r="P250" s="584">
        <f t="shared" si="42"/>
        <v>1840.5679910317101</v>
      </c>
      <c r="Q250" s="574">
        <f t="shared" si="43"/>
        <v>7371.1382388963502</v>
      </c>
      <c r="R250" s="482">
        <f>IF($N250&gt;0,(('Amounts Pivot Table'!O$513+'Amounts Pivot Table'!O$516++'Amounts Pivot Table'!O$519)/$N250),0)</f>
        <v>5660.68347393364</v>
      </c>
      <c r="S250" s="481">
        <f>IF($N250&gt;0,('Amounts Pivot Table'!O$522/$N250),0)</f>
        <v>1839.8883559163432</v>
      </c>
      <c r="T250" s="481">
        <f t="shared" si="44"/>
        <v>7500.5718298499833</v>
      </c>
      <c r="U250" s="580">
        <f t="shared" si="46"/>
        <v>-2.2985426877893195E-2</v>
      </c>
      <c r="V250" s="582">
        <f t="shared" si="53"/>
        <v>3.6938932364098605E-4</v>
      </c>
      <c r="W250" s="572">
        <f t="shared" si="47"/>
        <v>-1.725649642318295E-2</v>
      </c>
      <c r="Y250" s="73" t="s">
        <v>326</v>
      </c>
      <c r="Z250" s="61">
        <f t="shared" si="48"/>
        <v>1213737404</v>
      </c>
      <c r="AA250" s="61">
        <f t="shared" si="49"/>
        <v>0</v>
      </c>
      <c r="AB250" s="61">
        <f t="shared" si="50"/>
        <v>1432408741</v>
      </c>
      <c r="AC250" s="61">
        <f t="shared" si="51"/>
        <v>880634668</v>
      </c>
      <c r="AD250" s="61">
        <f t="shared" si="52"/>
        <v>3526780813.0000005</v>
      </c>
    </row>
    <row r="251" spans="1:30" s="61" customFormat="1" ht="12.75" customHeight="1">
      <c r="A251" s="73" t="s">
        <v>327</v>
      </c>
      <c r="B251" s="75">
        <f>IF($M251&gt;0,('Amounts Pivot Table'!O$553/$M251),0)</f>
        <v>2819.6241664125946</v>
      </c>
      <c r="C251" s="75">
        <f>IF($M251&gt;0,('Amounts Pivot Table'!O$556/$M251),0)</f>
        <v>0</v>
      </c>
      <c r="D251" s="75">
        <f>IF($M251&gt;0,('Amounts Pivot Table'!O$559/$M251),0)</f>
        <v>93.699739460628066</v>
      </c>
      <c r="E251" s="75">
        <f>IF($M251&gt;0,('Amounts Pivot Table'!O$562/$M251),0)</f>
        <v>4584.2145292275291</v>
      </c>
      <c r="F251" s="75">
        <f t="shared" si="45"/>
        <v>7497.5384351007524</v>
      </c>
      <c r="G251" s="116">
        <f>IF(B251&gt;0,RANK(B251,$B$234:$B$252),)</f>
        <v>12</v>
      </c>
      <c r="H251" s="107">
        <f>IF(C251&gt;0,RANK(C251,$C$234:$C$252),)</f>
        <v>0</v>
      </c>
      <c r="I251" s="107">
        <f>IF(D251&gt;0,RANK(D251,$D$234:$D$252),)</f>
        <v>8</v>
      </c>
      <c r="J251" s="107">
        <f>IF(E251&gt;0,RANK(E251,$E$234:$E$252),)</f>
        <v>5</v>
      </c>
      <c r="K251" s="107">
        <f>IF(F251&gt;0,RANK(F251,$F$234:$F$252),)</f>
        <v>11</v>
      </c>
      <c r="L251" s="170"/>
      <c r="M251" s="824">
        <f>+'[1]NEW-Tables 80-86'!AI180</f>
        <v>120263.33333333333</v>
      </c>
      <c r="N251" s="805">
        <f>+'[1]NEW-Tables 80-86'!AP180</f>
        <v>123687.76666666666</v>
      </c>
      <c r="O251" s="581">
        <f t="shared" si="41"/>
        <v>2913.3239058732229</v>
      </c>
      <c r="P251" s="584">
        <f t="shared" si="42"/>
        <v>4584.2145292275291</v>
      </c>
      <c r="Q251" s="574">
        <f t="shared" si="43"/>
        <v>7497.5384351007524</v>
      </c>
      <c r="R251" s="482">
        <f>IF($N251&gt;0,(('Amounts Pivot Table'!O$552+'Amounts Pivot Table'!O$555++'Amounts Pivot Table'!O$558)/$N251),0)</f>
        <v>2759.4485711737057</v>
      </c>
      <c r="S251" s="481">
        <f>IF($N251&gt;0,('Amounts Pivot Table'!O$561/$N251),0)</f>
        <v>4274.8685925016025</v>
      </c>
      <c r="T251" s="481">
        <f t="shared" si="44"/>
        <v>7034.3171636753086</v>
      </c>
      <c r="U251" s="580">
        <f t="shared" si="46"/>
        <v>5.5763073936930738E-2</v>
      </c>
      <c r="V251" s="582">
        <f t="shared" si="53"/>
        <v>7.2363846989013755E-2</v>
      </c>
      <c r="W251" s="572">
        <f t="shared" si="47"/>
        <v>6.5851632880229521E-2</v>
      </c>
      <c r="Y251" s="73" t="s">
        <v>327</v>
      </c>
      <c r="Z251" s="61">
        <f t="shared" si="48"/>
        <v>339097401</v>
      </c>
      <c r="AA251" s="61">
        <f t="shared" si="49"/>
        <v>0</v>
      </c>
      <c r="AB251" s="61">
        <f t="shared" si="50"/>
        <v>11268643</v>
      </c>
      <c r="AC251" s="61">
        <f t="shared" si="51"/>
        <v>551312920</v>
      </c>
      <c r="AD251" s="61">
        <f t="shared" si="52"/>
        <v>901678964.00000012</v>
      </c>
    </row>
    <row r="252" spans="1:30" s="61" customFormat="1" ht="13.5" customHeight="1">
      <c r="A252" s="74" t="s">
        <v>332</v>
      </c>
      <c r="B252" s="104">
        <f>IF($M252&gt;0,('Amounts Pivot Table'!O$592/$M252),0)</f>
        <v>3968.8793270376786</v>
      </c>
      <c r="C252" s="104">
        <f>IF($M252&gt;0,('Amounts Pivot Table'!O$595/$M252),0)</f>
        <v>43.93580451730368</v>
      </c>
      <c r="D252" s="104">
        <f>IF($M252&gt;0,('Amounts Pivot Table'!O$598/$M252),0)</f>
        <v>0</v>
      </c>
      <c r="E252" s="104">
        <f>IF($M252&gt;0,('Amounts Pivot Table'!O$601/$M252),0)</f>
        <v>4911.6454422114766</v>
      </c>
      <c r="F252" s="105">
        <f t="shared" si="45"/>
        <v>8924.4605737664588</v>
      </c>
      <c r="G252" s="117">
        <f>IF(B252&gt;0,RANK(B252,$B$234:$B$252),)</f>
        <v>5</v>
      </c>
      <c r="H252" s="118">
        <f>IF(C252&gt;0,RANK(C252,$C$234:$C$252),)</f>
        <v>6</v>
      </c>
      <c r="I252" s="118">
        <f>IF(D252&gt;0,RANK(D252,$D$234:$D$252),)</f>
        <v>0</v>
      </c>
      <c r="J252" s="118">
        <f>IF(E252&gt;0,RANK(E252,$E$234:$E$252),)</f>
        <v>1</v>
      </c>
      <c r="K252" s="118">
        <f>IF(F252&gt;0,RANK(F252,$F$234:$F$252),)</f>
        <v>4</v>
      </c>
      <c r="L252" s="171"/>
      <c r="M252" s="824">
        <f>+'[1]NEW-Tables 80-86'!AI181</f>
        <v>15647.83</v>
      </c>
      <c r="N252" s="805">
        <f>+'[1]NEW-Tables 80-86'!AP181</f>
        <v>17461.346666666665</v>
      </c>
      <c r="O252" s="581">
        <f t="shared" si="41"/>
        <v>4012.8151315549821</v>
      </c>
      <c r="P252" s="584">
        <f t="shared" si="42"/>
        <v>4911.6454422114766</v>
      </c>
      <c r="Q252" s="574">
        <f t="shared" si="43"/>
        <v>8924.4605737664588</v>
      </c>
      <c r="R252" s="482">
        <f>IF($N252&gt;0,(('Amounts Pivot Table'!O$591+'Amounts Pivot Table'!O$594++'Amounts Pivot Table'!O$597)/$N252),0)</f>
        <v>3665.8805430050838</v>
      </c>
      <c r="S252" s="481">
        <f>IF($N252&gt;0,('Amounts Pivot Table'!O$600/$N252),0)</f>
        <v>4154.0920860628548</v>
      </c>
      <c r="T252" s="481">
        <f t="shared" si="44"/>
        <v>7819.9726290679391</v>
      </c>
      <c r="U252" s="580">
        <f t="shared" si="46"/>
        <v>9.463881446215941E-2</v>
      </c>
      <c r="V252" s="582">
        <f t="shared" si="53"/>
        <v>0.18236315913415679</v>
      </c>
      <c r="W252" s="572">
        <f t="shared" si="47"/>
        <v>0.14123936196310746</v>
      </c>
      <c r="Y252" s="74" t="s">
        <v>332</v>
      </c>
      <c r="Z252" s="74">
        <f t="shared" si="48"/>
        <v>62104349</v>
      </c>
      <c r="AA252" s="74">
        <f t="shared" si="49"/>
        <v>687500</v>
      </c>
      <c r="AB252" s="74">
        <f t="shared" si="50"/>
        <v>0</v>
      </c>
      <c r="AC252" s="74">
        <f t="shared" si="51"/>
        <v>76856592.900000006</v>
      </c>
      <c r="AD252" s="74">
        <f t="shared" si="52"/>
        <v>139648441.90000001</v>
      </c>
    </row>
    <row r="253" spans="1:30" s="76" customFormat="1" ht="34.5" customHeight="1">
      <c r="A253" s="1505" t="s">
        <v>17</v>
      </c>
      <c r="B253" s="1529"/>
      <c r="C253" s="1529"/>
      <c r="D253" s="1529"/>
      <c r="E253" s="1529"/>
      <c r="F253" s="1529"/>
      <c r="G253" s="1529"/>
      <c r="H253" s="1529"/>
      <c r="I253" s="1529"/>
      <c r="J253" s="1529"/>
      <c r="K253" s="1529"/>
      <c r="L253" s="169"/>
      <c r="M253" s="296"/>
      <c r="N253" s="90"/>
      <c r="O253" s="90"/>
      <c r="P253" s="90"/>
      <c r="Q253" s="90"/>
      <c r="U253" s="61"/>
    </row>
    <row r="254" spans="1:30" s="205" customFormat="1" ht="14.25" customHeight="1">
      <c r="A254" s="1505" t="s">
        <v>54</v>
      </c>
      <c r="B254" s="1529"/>
      <c r="C254" s="1529"/>
      <c r="D254" s="1529"/>
      <c r="E254" s="1529"/>
      <c r="F254" s="1529"/>
      <c r="G254" s="1529"/>
      <c r="H254" s="1529"/>
      <c r="I254" s="1529"/>
      <c r="J254" s="1529"/>
      <c r="K254" s="1529"/>
      <c r="L254" s="204"/>
      <c r="M254" s="296"/>
      <c r="N254" s="206"/>
      <c r="O254" s="206"/>
      <c r="P254" s="206"/>
      <c r="Q254" s="206"/>
    </row>
    <row r="255" spans="1:30" s="61" customFormat="1" ht="13.5" customHeight="1">
      <c r="A255" s="1505" t="s">
        <v>233</v>
      </c>
      <c r="B255" s="1530"/>
      <c r="C255" s="1530"/>
      <c r="D255" s="1530"/>
      <c r="E255" s="1530"/>
      <c r="F255" s="1530"/>
      <c r="G255" s="1531"/>
      <c r="H255" s="1531"/>
      <c r="I255" s="1531"/>
      <c r="J255" s="1531"/>
      <c r="K255" s="1531"/>
      <c r="L255" s="171"/>
      <c r="M255" s="300"/>
      <c r="N255" s="73"/>
      <c r="O255" s="73"/>
      <c r="P255" s="73"/>
      <c r="Q255" s="73"/>
    </row>
    <row r="256" spans="1:30" s="61" customFormat="1">
      <c r="A256" s="187"/>
      <c r="B256" s="106"/>
      <c r="C256" s="106"/>
      <c r="D256" s="106"/>
      <c r="E256" s="106"/>
      <c r="F256" s="106"/>
      <c r="G256" s="188"/>
      <c r="H256" s="188"/>
      <c r="I256" s="188"/>
      <c r="J256" s="188"/>
      <c r="K256" s="534" t="s">
        <v>1927</v>
      </c>
      <c r="L256" s="171"/>
      <c r="M256" s="300"/>
      <c r="N256" s="73"/>
      <c r="O256" s="73"/>
      <c r="P256" s="73"/>
      <c r="Q256" s="73"/>
    </row>
    <row r="257" spans="1:17" s="61" customFormat="1" ht="18">
      <c r="A257" s="135" t="s">
        <v>366</v>
      </c>
      <c r="B257" s="135"/>
      <c r="C257" s="135"/>
      <c r="D257" s="135"/>
      <c r="E257" s="135"/>
      <c r="F257" s="135"/>
      <c r="G257" s="135"/>
      <c r="H257" s="135"/>
      <c r="I257" s="135"/>
      <c r="J257" s="565"/>
      <c r="K257" s="135"/>
      <c r="L257" s="170"/>
      <c r="M257" s="300"/>
      <c r="N257" s="73"/>
      <c r="O257" s="73"/>
      <c r="P257" s="73"/>
      <c r="Q257" s="73"/>
    </row>
    <row r="258" spans="1:17" s="61" customFormat="1" ht="15" customHeight="1">
      <c r="A258" s="135"/>
      <c r="B258" s="135"/>
      <c r="C258" s="135"/>
      <c r="D258" s="135"/>
      <c r="E258" s="135"/>
      <c r="F258" s="135"/>
      <c r="G258" s="135"/>
      <c r="H258" s="135"/>
      <c r="I258" s="135"/>
      <c r="J258" s="565"/>
      <c r="K258" s="135"/>
      <c r="L258" s="170"/>
      <c r="M258" s="300"/>
      <c r="N258" s="73"/>
      <c r="O258" s="73"/>
      <c r="P258" s="73"/>
      <c r="Q258" s="73"/>
    </row>
    <row r="259" spans="1:17" s="61" customFormat="1" ht="18.75">
      <c r="A259" s="1504" t="s">
        <v>18</v>
      </c>
      <c r="B259" s="1504"/>
      <c r="C259" s="1504"/>
      <c r="D259" s="1504"/>
      <c r="E259" s="1504"/>
      <c r="F259" s="1504"/>
      <c r="G259" s="1504"/>
      <c r="H259" s="1504"/>
      <c r="I259" s="1504"/>
      <c r="J259" s="1504"/>
      <c r="K259" s="1504"/>
      <c r="L259" s="165"/>
      <c r="M259" s="300"/>
      <c r="N259" s="73"/>
      <c r="O259" s="73"/>
      <c r="P259" s="73"/>
      <c r="Q259" s="73"/>
    </row>
    <row r="260" spans="1:17" s="61" customFormat="1" ht="15.75">
      <c r="A260" s="1504" t="s">
        <v>1937</v>
      </c>
      <c r="B260" s="1504"/>
      <c r="C260" s="1504"/>
      <c r="D260" s="1504"/>
      <c r="E260" s="1504"/>
      <c r="F260" s="1504"/>
      <c r="G260" s="1504"/>
      <c r="H260" s="1504"/>
      <c r="I260" s="1504"/>
      <c r="J260" s="1504"/>
      <c r="K260" s="1504"/>
      <c r="L260" s="165"/>
      <c r="M260" s="296"/>
      <c r="N260" s="73"/>
      <c r="O260" s="73"/>
      <c r="P260" s="73"/>
      <c r="Q260" s="73"/>
    </row>
    <row r="261" spans="1:17" s="61" customFormat="1" ht="9.75" customHeight="1">
      <c r="A261" s="91"/>
      <c r="B261" s="91"/>
      <c r="C261" s="91"/>
      <c r="D261" s="91"/>
      <c r="E261" s="91"/>
      <c r="F261" s="91"/>
      <c r="G261" s="108"/>
      <c r="H261" s="91"/>
      <c r="I261" s="91"/>
      <c r="J261" s="91"/>
      <c r="K261" s="91"/>
      <c r="L261" s="165"/>
      <c r="M261" s="296"/>
      <c r="N261" s="73"/>
      <c r="O261" s="73"/>
      <c r="P261" s="73"/>
      <c r="Q261" s="73"/>
    </row>
    <row r="262" spans="1:17" s="59" customFormat="1" ht="13.5" customHeight="1">
      <c r="A262" s="56"/>
      <c r="B262" s="1527" t="s">
        <v>55</v>
      </c>
      <c r="C262" s="1528"/>
      <c r="D262" s="1528"/>
      <c r="E262" s="1528"/>
      <c r="F262" s="1528"/>
      <c r="G262" s="568" t="s">
        <v>119</v>
      </c>
      <c r="H262" s="569"/>
      <c r="I262" s="569"/>
      <c r="J262" s="569"/>
      <c r="K262" s="569"/>
      <c r="L262" s="173"/>
      <c r="M262" s="296"/>
      <c r="N262" s="89"/>
      <c r="O262" s="89"/>
      <c r="P262" s="89"/>
      <c r="Q262" s="89"/>
    </row>
    <row r="263" spans="1:17" s="6" customFormat="1" ht="48">
      <c r="A263" s="50"/>
      <c r="B263" s="549" t="s">
        <v>87</v>
      </c>
      <c r="C263" s="550" t="s">
        <v>89</v>
      </c>
      <c r="D263" s="550" t="s">
        <v>88</v>
      </c>
      <c r="E263" s="550" t="s">
        <v>397</v>
      </c>
      <c r="F263" s="550" t="s">
        <v>97</v>
      </c>
      <c r="G263" s="551" t="s">
        <v>87</v>
      </c>
      <c r="H263" s="550" t="s">
        <v>89</v>
      </c>
      <c r="I263" s="550" t="s">
        <v>88</v>
      </c>
      <c r="J263" s="550" t="s">
        <v>397</v>
      </c>
      <c r="K263" s="550" t="s">
        <v>97</v>
      </c>
      <c r="L263" s="167"/>
      <c r="M263" s="298" t="s">
        <v>260</v>
      </c>
      <c r="N263" s="7"/>
      <c r="O263" s="7"/>
      <c r="P263" s="7"/>
      <c r="Q263" s="7"/>
    </row>
    <row r="264" spans="1:17" s="61" customFormat="1" ht="14.25">
      <c r="A264" s="73" t="s">
        <v>56</v>
      </c>
      <c r="B264" s="102">
        <f>IF($M264&gt;0,('Amounts Pivot Table'!J$631/$M264),0)</f>
        <v>3329.8676404914495</v>
      </c>
      <c r="C264" s="102">
        <f>IF($M264&gt;0,('Amounts Pivot Table'!J$634/$M264),0)</f>
        <v>0.71479205334652118</v>
      </c>
      <c r="D264" s="102">
        <f>IF($M264&gt;0,('Amounts Pivot Table'!J$637/$M264),0)</f>
        <v>235.40458202413154</v>
      </c>
      <c r="E264" s="102">
        <f>IF($M264&gt;0,('Amounts Pivot Table'!J$640/$M264),0)</f>
        <v>2444.4395270153423</v>
      </c>
      <c r="F264" s="102">
        <f>SUM(B264:E264)</f>
        <v>6010.4265415842701</v>
      </c>
      <c r="G264" s="114"/>
      <c r="H264" s="115"/>
      <c r="I264" s="115"/>
      <c r="J264" s="115"/>
      <c r="K264" s="115"/>
      <c r="L264" s="168"/>
      <c r="M264" s="824">
        <f>+'[1]NEW-Tables 80-86'!AD161</f>
        <v>290294.21777777781</v>
      </c>
      <c r="N264" s="73"/>
      <c r="O264" s="73"/>
      <c r="P264" s="73"/>
      <c r="Q264" s="73"/>
    </row>
    <row r="265" spans="1:17" s="61" customFormat="1" ht="12.75" customHeight="1">
      <c r="A265" s="73"/>
      <c r="B265" s="102"/>
      <c r="C265" s="102"/>
      <c r="D265" s="102"/>
      <c r="E265" s="102"/>
      <c r="F265" s="102"/>
      <c r="G265" s="114"/>
      <c r="H265" s="115"/>
      <c r="I265" s="115"/>
      <c r="J265" s="115"/>
      <c r="K265" s="115"/>
      <c r="L265" s="168"/>
      <c r="M265" s="824"/>
      <c r="N265" s="73"/>
      <c r="O265" s="73"/>
      <c r="P265" s="73"/>
      <c r="Q265" s="73"/>
    </row>
    <row r="266" spans="1:17" s="61" customFormat="1" ht="12.75" customHeight="1">
      <c r="A266" s="73" t="s">
        <v>320</v>
      </c>
      <c r="B266" s="75">
        <f>IF($M266&gt;0,('Amounts Pivot Table'!J$7/$M266),0)</f>
        <v>0</v>
      </c>
      <c r="C266" s="75">
        <f>IF($M266&gt;0,('Amounts Pivot Table'!J$10/$M266),0)</f>
        <v>0</v>
      </c>
      <c r="D266" s="75">
        <f>IF($M266&gt;0,('Amounts Pivot Table'!J$13/$M266),0)</f>
        <v>0</v>
      </c>
      <c r="E266" s="75">
        <f>IF($M266&gt;0,('Amounts Pivot Table'!J$16/$M266),0)</f>
        <v>0</v>
      </c>
      <c r="F266" s="75">
        <f t="shared" ref="F266:F284" si="54">SUM(B266:E266)</f>
        <v>0</v>
      </c>
      <c r="G266" s="116">
        <f>IF(B266&gt;0,RANK(B266,$B$266:$B$284),)</f>
        <v>0</v>
      </c>
      <c r="H266" s="107">
        <f>IF(C266&gt;0,RANK(C266,$C$266:$C$284),)</f>
        <v>0</v>
      </c>
      <c r="I266" s="107">
        <f>IF(D266&gt;0,RANK(D266,$D$266:$D$284),)</f>
        <v>0</v>
      </c>
      <c r="J266" s="107">
        <f>IF(E266&gt;0,RANK(E266,$E$266:$E$284),)</f>
        <v>0</v>
      </c>
      <c r="K266" s="107">
        <f>IF(F266&gt;0,RANK(F266,$F$266:$F$284),)</f>
        <v>0</v>
      </c>
      <c r="L266" s="168"/>
      <c r="M266" s="824">
        <f>+'[1]NEW-Tables 80-86'!AD163</f>
        <v>0</v>
      </c>
      <c r="N266" s="73"/>
      <c r="O266" s="73"/>
      <c r="P266" s="73"/>
      <c r="Q266" s="73"/>
    </row>
    <row r="267" spans="1:17" s="61" customFormat="1" ht="12.75" customHeight="1">
      <c r="A267" s="73" t="s">
        <v>334</v>
      </c>
      <c r="B267" s="75">
        <f>IF($M267&gt;0,('Amounts Pivot Table'!J$46/$M267),0)</f>
        <v>0</v>
      </c>
      <c r="C267" s="75">
        <f>IF($M267&gt;0,('Amounts Pivot Table'!J$49/$M267),0)</f>
        <v>0</v>
      </c>
      <c r="D267" s="75">
        <f>IF($M267&gt;0,('Amounts Pivot Table'!J$52/$M267),0)</f>
        <v>0</v>
      </c>
      <c r="E267" s="75">
        <f>IF($M267&gt;0,('Amounts Pivot Table'!J$55/$M267),0)</f>
        <v>0</v>
      </c>
      <c r="F267" s="75">
        <f t="shared" si="54"/>
        <v>0</v>
      </c>
      <c r="G267" s="116">
        <f>IF(B267&gt;0,RANK(B267,$B$266:$B$284),)</f>
        <v>0</v>
      </c>
      <c r="H267" s="107">
        <f>IF(C267&gt;0,RANK(C267,$C$266:$C$284),)</f>
        <v>0</v>
      </c>
      <c r="I267" s="107">
        <f>IF(D267&gt;0,RANK(D267,$D$266:$D$284),)</f>
        <v>0</v>
      </c>
      <c r="J267" s="107">
        <f>IF(E267&gt;0,RANK(E267,$E$266:$E$284),)</f>
        <v>0</v>
      </c>
      <c r="K267" s="107">
        <f>IF(F267&gt;0,RANK(F267,$F$266:$F$284),)</f>
        <v>0</v>
      </c>
      <c r="L267" s="168"/>
      <c r="M267" s="824">
        <f>+'[1]NEW-Tables 80-86'!AD164</f>
        <v>0</v>
      </c>
      <c r="N267" s="73"/>
      <c r="O267" s="73"/>
      <c r="P267" s="73"/>
      <c r="Q267" s="73"/>
    </row>
    <row r="268" spans="1:17" s="61" customFormat="1" ht="12.75" customHeight="1">
      <c r="A268" s="73" t="s">
        <v>321</v>
      </c>
      <c r="B268" s="75">
        <f>IF($M268&gt;0,('Amounts Pivot Table'!J$85/$M268),0)</f>
        <v>0</v>
      </c>
      <c r="C268" s="75">
        <f>IF($M268&gt;0,('Amounts Pivot Table'!J$88/$M268),0)</f>
        <v>0</v>
      </c>
      <c r="D268" s="75">
        <f>IF($M268&gt;0,('Amounts Pivot Table'!J$91/$M268),0)</f>
        <v>0</v>
      </c>
      <c r="E268" s="75">
        <f>IF($M268&gt;0,('Amounts Pivot Table'!J$94/$M268),0)</f>
        <v>0</v>
      </c>
      <c r="F268" s="75">
        <f t="shared" si="54"/>
        <v>0</v>
      </c>
      <c r="G268" s="116">
        <f>IF(B268&gt;0,RANK(B268,$B$266:$B$284),)</f>
        <v>0</v>
      </c>
      <c r="H268" s="107">
        <f>IF(C268&gt;0,RANK(C268,$C$266:$C$284),)</f>
        <v>0</v>
      </c>
      <c r="I268" s="107">
        <f>IF(D268&gt;0,RANK(D268,$D$266:$D$284),)</f>
        <v>0</v>
      </c>
      <c r="J268" s="107">
        <f>IF(E268&gt;0,RANK(E268,$E$266:$E$284),)</f>
        <v>0</v>
      </c>
      <c r="K268" s="107">
        <f>IF(F268&gt;0,RANK(F268,$F$266:$F$284),)</f>
        <v>0</v>
      </c>
      <c r="L268" s="168"/>
      <c r="M268" s="824">
        <f>+'[1]NEW-Tables 80-86'!AD165</f>
        <v>0</v>
      </c>
      <c r="N268" s="73"/>
      <c r="O268" s="73"/>
      <c r="P268" s="73"/>
      <c r="Q268" s="73"/>
    </row>
    <row r="269" spans="1:17" s="61" customFormat="1" ht="12.75" customHeight="1">
      <c r="A269" s="73" t="s">
        <v>328</v>
      </c>
      <c r="B269" s="75">
        <f>IF($M269&gt;0,('Amounts Pivot Table'!J$124/$M269),0)</f>
        <v>3371.6928924248436</v>
      </c>
      <c r="C269" s="75">
        <f>IF($M269&gt;0,('Amounts Pivot Table'!J$127/$M269),0)</f>
        <v>0</v>
      </c>
      <c r="D269" s="75">
        <f>IF($M269&gt;0,('Amounts Pivot Table'!J$130/$M269),0)</f>
        <v>0</v>
      </c>
      <c r="E269" s="75">
        <f>IF($M269&gt;0,('Amounts Pivot Table'!J$133/$M269),0)</f>
        <v>2417.7302541570043</v>
      </c>
      <c r="F269" s="75">
        <f t="shared" si="54"/>
        <v>5789.4231465818484</v>
      </c>
      <c r="G269" s="116">
        <f>IF(B269&gt;0,RANK(B269,$B$266:$B$284),)</f>
        <v>4</v>
      </c>
      <c r="H269" s="107">
        <f>IF(C269&gt;0,RANK(C269,$C$266:$C$284),)</f>
        <v>0</v>
      </c>
      <c r="I269" s="107">
        <f>IF(D269&gt;0,RANK(D269,$D$266:$D$284),)</f>
        <v>0</v>
      </c>
      <c r="J269" s="107">
        <f>IF(E269&gt;0,RANK(E269,$E$266:$E$284),)</f>
        <v>4</v>
      </c>
      <c r="K269" s="107">
        <f>IF(F269&gt;0,RANK(F269,$F$266:$F$284),)</f>
        <v>5</v>
      </c>
      <c r="L269" s="168"/>
      <c r="M269" s="824">
        <f>+'[1]NEW-Tables 80-86'!AD166</f>
        <v>244598.93777777781</v>
      </c>
      <c r="N269" s="73"/>
      <c r="O269" s="73"/>
      <c r="P269" s="73"/>
      <c r="Q269" s="73"/>
    </row>
    <row r="270" spans="1:17" s="61" customFormat="1" ht="12.75" customHeight="1">
      <c r="A270" s="73"/>
      <c r="B270" s="75"/>
      <c r="C270" s="75"/>
      <c r="D270" s="75"/>
      <c r="E270" s="75"/>
      <c r="F270" s="75"/>
      <c r="G270" s="116"/>
      <c r="H270" s="107"/>
      <c r="I270" s="107"/>
      <c r="J270" s="107"/>
      <c r="K270" s="107"/>
      <c r="L270" s="168"/>
      <c r="M270" s="824"/>
      <c r="N270" s="73"/>
      <c r="O270" s="73"/>
      <c r="P270" s="73"/>
      <c r="Q270" s="73"/>
    </row>
    <row r="271" spans="1:17" s="61" customFormat="1" ht="12.75" customHeight="1">
      <c r="A271" s="73" t="s">
        <v>329</v>
      </c>
      <c r="B271" s="75">
        <f>IF($M271&gt;0,('Amounts Pivot Table'!J$163/$M271),0)</f>
        <v>4762.1775302119313</v>
      </c>
      <c r="C271" s="75">
        <f>IF($M271&gt;0,('Amounts Pivot Table'!J$166/$M271),0)</f>
        <v>0</v>
      </c>
      <c r="D271" s="75">
        <f>IF($M271&gt;0,('Amounts Pivot Table'!J$169/$M271),0)</f>
        <v>0</v>
      </c>
      <c r="E271" s="75">
        <f>IF($M271&gt;0,('Amounts Pivot Table'!J$172/$M271),0)</f>
        <v>3685.6132633667621</v>
      </c>
      <c r="F271" s="75">
        <f t="shared" si="54"/>
        <v>8447.7907935786934</v>
      </c>
      <c r="G271" s="116">
        <f>IF(B271&gt;0,RANK(B271,$B$266:$B$284),)</f>
        <v>1</v>
      </c>
      <c r="H271" s="107">
        <f>IF(C271&gt;0,RANK(C271,$C$266:$C$284),)</f>
        <v>0</v>
      </c>
      <c r="I271" s="107">
        <f>IF(D271&gt;0,RANK(D271,$D$266:$D$284),)</f>
        <v>0</v>
      </c>
      <c r="J271" s="107">
        <f>IF(E271&gt;0,RANK(E271,$E$266:$E$284),)</f>
        <v>3</v>
      </c>
      <c r="K271" s="107">
        <f>IF(F271&gt;0,RANK(F271,$F$266:$F$284),)</f>
        <v>2</v>
      </c>
      <c r="L271" s="168"/>
      <c r="M271" s="824">
        <f>+'[1]NEW-Tables 80-86'!AD168</f>
        <v>8365.9000000000015</v>
      </c>
      <c r="N271" s="73"/>
      <c r="O271" s="73"/>
      <c r="P271" s="73"/>
      <c r="Q271" s="73"/>
    </row>
    <row r="272" spans="1:17" s="61" customFormat="1" ht="12.75" customHeight="1">
      <c r="A272" s="73" t="s">
        <v>322</v>
      </c>
      <c r="B272" s="75">
        <f>IF($M272&gt;0,('Amounts Pivot Table'!J$202/$M272),0)</f>
        <v>0</v>
      </c>
      <c r="C272" s="75">
        <f>IF($M272&gt;0,('Amounts Pivot Table'!J$205/$M272),0)</f>
        <v>0</v>
      </c>
      <c r="D272" s="75">
        <f>IF($M272&gt;0,('Amounts Pivot Table'!J$208/$M272),0)</f>
        <v>0</v>
      </c>
      <c r="E272" s="75">
        <f>IF($M272&gt;0,('Amounts Pivot Table'!J$211/$M272),0)</f>
        <v>0</v>
      </c>
      <c r="F272" s="75">
        <f t="shared" si="54"/>
        <v>0</v>
      </c>
      <c r="G272" s="116">
        <f>IF(B272&gt;0,RANK(B272,$B$266:$B$284),)</f>
        <v>0</v>
      </c>
      <c r="H272" s="107">
        <f>IF(C272&gt;0,RANK(C272,$C$266:$C$284),)</f>
        <v>0</v>
      </c>
      <c r="I272" s="107">
        <f>IF(D272&gt;0,RANK(D272,$D$266:$D$284),)</f>
        <v>0</v>
      </c>
      <c r="J272" s="107">
        <f>IF(E272&gt;0,RANK(E272,$E$266:$E$284),)</f>
        <v>0</v>
      </c>
      <c r="K272" s="107">
        <f>IF(F272&gt;0,RANK(F272,$F$266:$F$284),)</f>
        <v>0</v>
      </c>
      <c r="L272" s="168"/>
      <c r="M272" s="824">
        <f>+'[1]NEW-Tables 80-86'!AD169</f>
        <v>0</v>
      </c>
      <c r="N272" s="73"/>
      <c r="O272" s="73"/>
      <c r="P272" s="73"/>
      <c r="Q272" s="73"/>
    </row>
    <row r="273" spans="1:17" s="61" customFormat="1" ht="12.75" customHeight="1">
      <c r="A273" s="73" t="s">
        <v>330</v>
      </c>
      <c r="B273" s="75">
        <f>IF($M273&gt;0,('Amounts Pivot Table'!J$241/$M273),0)</f>
        <v>0</v>
      </c>
      <c r="C273" s="75">
        <f>IF($M273&gt;0,('Amounts Pivot Table'!J$244/$M273),0)</f>
        <v>0</v>
      </c>
      <c r="D273" s="75">
        <f>IF($M273&gt;0,('Amounts Pivot Table'!J$247/$M273),0)</f>
        <v>0</v>
      </c>
      <c r="E273" s="75">
        <f>IF($M273&gt;0,('Amounts Pivot Table'!J$250/$M273),0)</f>
        <v>0</v>
      </c>
      <c r="F273" s="75">
        <f t="shared" si="54"/>
        <v>0</v>
      </c>
      <c r="G273" s="116">
        <f>IF(B273&gt;0,RANK(B273,$B$266:$B$284),)</f>
        <v>0</v>
      </c>
      <c r="H273" s="107">
        <f>IF(C273&gt;0,RANK(C273,$C$266:$C$284),)</f>
        <v>0</v>
      </c>
      <c r="I273" s="107">
        <f>IF(D273&gt;0,RANK(D273,$D$266:$D$284),)</f>
        <v>0</v>
      </c>
      <c r="J273" s="107">
        <f>IF(E273&gt;0,RANK(E273,$E$266:$E$284),)</f>
        <v>0</v>
      </c>
      <c r="K273" s="107">
        <f>IF(F273&gt;0,RANK(F273,$F$266:$F$284),)</f>
        <v>0</v>
      </c>
      <c r="L273" s="168"/>
      <c r="M273" s="824">
        <f>+'[1]NEW-Tables 80-86'!AD170</f>
        <v>0</v>
      </c>
      <c r="N273" s="73"/>
      <c r="O273" s="73"/>
      <c r="P273" s="73"/>
      <c r="Q273" s="73"/>
    </row>
    <row r="274" spans="1:17" s="61" customFormat="1" ht="12.75" customHeight="1">
      <c r="A274" s="73" t="s">
        <v>333</v>
      </c>
      <c r="B274" s="75">
        <f>IF($M274&gt;0,('Amounts Pivot Table'!J$280/$M274),0)</f>
        <v>0</v>
      </c>
      <c r="C274" s="75">
        <f>IF($M274&gt;0,('Amounts Pivot Table'!J$283/$M274),0)</f>
        <v>0</v>
      </c>
      <c r="D274" s="75">
        <f>IF($M274&gt;0,('Amounts Pivot Table'!J$286/$M274),0)</f>
        <v>0</v>
      </c>
      <c r="E274" s="75">
        <f>IF($M274&gt;0,('Amounts Pivot Table'!J$289/$M274),0)</f>
        <v>0</v>
      </c>
      <c r="F274" s="75">
        <f t="shared" si="54"/>
        <v>0</v>
      </c>
      <c r="G274" s="116">
        <f>IF(B274&gt;0,RANK(B274,$B$266:$B$284),)</f>
        <v>0</v>
      </c>
      <c r="H274" s="107">
        <f>IF(C274&gt;0,RANK(C274,$C$266:$C$284),)</f>
        <v>0</v>
      </c>
      <c r="I274" s="107">
        <f>IF(D274&gt;0,RANK(D274,$D$266:$D$284),)</f>
        <v>0</v>
      </c>
      <c r="J274" s="107">
        <f>IF(E274&gt;0,RANK(E274,$E$266:$E$284),)</f>
        <v>0</v>
      </c>
      <c r="K274" s="107">
        <f>IF(F274&gt;0,RANK(F274,$F$266:$F$284),)</f>
        <v>0</v>
      </c>
      <c r="L274" s="168"/>
      <c r="M274" s="824">
        <f>+'[1]NEW-Tables 80-86'!AD171</f>
        <v>0</v>
      </c>
      <c r="N274" s="73"/>
      <c r="O274" s="73"/>
      <c r="P274" s="73"/>
      <c r="Q274" s="73"/>
    </row>
    <row r="275" spans="1:17" s="61" customFormat="1" ht="12.75" customHeight="1">
      <c r="A275" s="73"/>
      <c r="B275" s="75"/>
      <c r="C275" s="75"/>
      <c r="D275" s="75"/>
      <c r="E275" s="75"/>
      <c r="F275" s="75"/>
      <c r="G275" s="116"/>
      <c r="H275" s="107"/>
      <c r="I275" s="107"/>
      <c r="J275" s="107"/>
      <c r="K275" s="107"/>
      <c r="L275" s="168"/>
      <c r="M275" s="824"/>
      <c r="N275" s="73"/>
      <c r="O275" s="73"/>
      <c r="P275" s="73"/>
      <c r="Q275" s="73"/>
    </row>
    <row r="276" spans="1:17" s="61" customFormat="1" ht="12.75" customHeight="1">
      <c r="A276" s="73" t="s">
        <v>323</v>
      </c>
      <c r="B276" s="75">
        <f>IF($M276&gt;0,('Amounts Pivot Table'!J$319/$M276),0)</f>
        <v>0</v>
      </c>
      <c r="C276" s="75">
        <f>IF($M276&gt;0,('Amounts Pivot Table'!J$322/$M276),0)</f>
        <v>0</v>
      </c>
      <c r="D276" s="75">
        <f>IF($M276&gt;0,('Amounts Pivot Table'!J$325/$M276),0)</f>
        <v>0</v>
      </c>
      <c r="E276" s="75">
        <f>IF($M276&gt;0,('Amounts Pivot Table'!J$328/$M276),0)</f>
        <v>0</v>
      </c>
      <c r="F276" s="75">
        <f t="shared" si="54"/>
        <v>0</v>
      </c>
      <c r="G276" s="116">
        <f>IF(B276&gt;0,RANK(B276,$B$266:$B$284),)</f>
        <v>0</v>
      </c>
      <c r="H276" s="107">
        <f>IF(C276&gt;0,RANK(C276,$C$266:$C$284),)</f>
        <v>0</v>
      </c>
      <c r="I276" s="107">
        <f>IF(D276&gt;0,RANK(D276,$D$266:$D$284),)</f>
        <v>0</v>
      </c>
      <c r="J276" s="107">
        <f>IF(E276&gt;0,RANK(E276,$E$266:$E$284),)</f>
        <v>0</v>
      </c>
      <c r="K276" s="107">
        <f>IF(F276&gt;0,RANK(F276,$F$266:$F$284),)</f>
        <v>0</v>
      </c>
      <c r="L276" s="168"/>
      <c r="M276" s="824">
        <f>+'[1]NEW-Tables 80-86'!AD173</f>
        <v>0</v>
      </c>
      <c r="N276" s="73"/>
      <c r="O276" s="73"/>
      <c r="P276" s="73"/>
      <c r="Q276" s="73"/>
    </row>
    <row r="277" spans="1:17" s="61" customFormat="1" ht="12.75" customHeight="1">
      <c r="A277" s="73" t="s">
        <v>324</v>
      </c>
      <c r="B277" s="75">
        <f>IF($M277&gt;0,('Amounts Pivot Table'!J$358/$M277),0)</f>
        <v>0</v>
      </c>
      <c r="C277" s="75">
        <f>IF($M277&gt;0,('Amounts Pivot Table'!J$361/$M277),0)</f>
        <v>0</v>
      </c>
      <c r="D277" s="75">
        <f>IF($M277&gt;0,('Amounts Pivot Table'!J$364/$M277),0)</f>
        <v>0</v>
      </c>
      <c r="E277" s="75">
        <f>IF($M277&gt;0,('Amounts Pivot Table'!J$367/$M277),0)</f>
        <v>0</v>
      </c>
      <c r="F277" s="75">
        <f t="shared" si="54"/>
        <v>0</v>
      </c>
      <c r="G277" s="116">
        <f>IF(B277&gt;0,RANK(B277,$B$266:$B$284),)</f>
        <v>0</v>
      </c>
      <c r="H277" s="107">
        <f>IF(C277&gt;0,RANK(C277,$C$266:$C$284),)</f>
        <v>0</v>
      </c>
      <c r="I277" s="107">
        <f>IF(D277&gt;0,RANK(D277,$D$266:$D$284),)</f>
        <v>0</v>
      </c>
      <c r="J277" s="107">
        <f>IF(E277&gt;0,RANK(E277,$E$266:$E$284),)</f>
        <v>0</v>
      </c>
      <c r="K277" s="107">
        <f>IF(F277&gt;0,RANK(F277,$F$266:$F$284),)</f>
        <v>0</v>
      </c>
      <c r="L277" s="168"/>
      <c r="M277" s="824">
        <f>+'[1]NEW-Tables 80-86'!AD174</f>
        <v>0</v>
      </c>
      <c r="N277" s="73"/>
      <c r="O277" s="73"/>
      <c r="P277" s="73"/>
      <c r="Q277" s="73"/>
    </row>
    <row r="278" spans="1:17" s="61" customFormat="1" ht="12.75" customHeight="1">
      <c r="A278" s="73" t="s">
        <v>331</v>
      </c>
      <c r="B278" s="75">
        <f>IF($M278&gt;0,('Amounts Pivot Table'!J$397/$M278),0)</f>
        <v>3508.4524314028131</v>
      </c>
      <c r="C278" s="75">
        <f>IF($M278&gt;0,('Amounts Pivot Table'!J$400/$M278),0)</f>
        <v>0</v>
      </c>
      <c r="D278" s="75">
        <f>IF($M278&gt;0,('Amounts Pivot Table'!J$403/$M278),0)</f>
        <v>0</v>
      </c>
      <c r="E278" s="75">
        <f>IF($M278&gt;0,('Amounts Pivot Table'!J$406/$M278),0)</f>
        <v>3799.1146936936534</v>
      </c>
      <c r="F278" s="75">
        <f t="shared" si="54"/>
        <v>7307.567125096466</v>
      </c>
      <c r="G278" s="116">
        <f>IF(B278&gt;0,RANK(B278,$B$266:$B$284),)</f>
        <v>3</v>
      </c>
      <c r="H278" s="107">
        <f>IF(C278&gt;0,RANK(C278,$C$266:$C$284),)</f>
        <v>0</v>
      </c>
      <c r="I278" s="107">
        <f>IF(D278&gt;0,RANK(D278,$D$266:$D$284),)</f>
        <v>0</v>
      </c>
      <c r="J278" s="107">
        <f>IF(E278&gt;0,RANK(E278,$E$266:$E$284),)</f>
        <v>2</v>
      </c>
      <c r="K278" s="107">
        <f>IF(F278&gt;0,RANK(F278,$F$266:$F$284),)</f>
        <v>3</v>
      </c>
      <c r="L278" s="168"/>
      <c r="M278" s="824">
        <f>+'[1]NEW-Tables 80-86'!AD175</f>
        <v>7472.3666666666668</v>
      </c>
      <c r="N278" s="73"/>
      <c r="O278" s="73"/>
      <c r="P278" s="73"/>
      <c r="Q278" s="73"/>
    </row>
    <row r="279" spans="1:17" s="61" customFormat="1" ht="12.75" customHeight="1">
      <c r="A279" s="73" t="s">
        <v>325</v>
      </c>
      <c r="B279" s="75">
        <f>IF($M279&gt;0,('Amounts Pivot Table'!J$436/$M279),0)</f>
        <v>0</v>
      </c>
      <c r="C279" s="75">
        <f>IF($M279&gt;0,('Amounts Pivot Table'!J$439/$M279),0)</f>
        <v>0</v>
      </c>
      <c r="D279" s="75">
        <f>IF($M279&gt;0,('Amounts Pivot Table'!J$442/$M279),0)</f>
        <v>0</v>
      </c>
      <c r="E279" s="75">
        <f>IF($M279&gt;0,('Amounts Pivot Table'!J$445/$M279),0)</f>
        <v>0</v>
      </c>
      <c r="F279" s="75">
        <f t="shared" si="54"/>
        <v>0</v>
      </c>
      <c r="G279" s="116">
        <f>IF(B279&gt;0,RANK(B279,$B$266:$B$284),)</f>
        <v>0</v>
      </c>
      <c r="H279" s="107">
        <f>IF(C279&gt;0,RANK(C279,$C$266:$C$284),)</f>
        <v>0</v>
      </c>
      <c r="I279" s="107">
        <f>IF(D279&gt;0,RANK(D279,$D$266:$D$284),)</f>
        <v>0</v>
      </c>
      <c r="J279" s="107">
        <f>IF(E279&gt;0,RANK(E279,$E$266:$E$284),)</f>
        <v>0</v>
      </c>
      <c r="K279" s="107">
        <f>IF(F279&gt;0,RANK(F279,$F$266:$F$284),)</f>
        <v>0</v>
      </c>
      <c r="L279" s="168"/>
      <c r="M279" s="824">
        <f>+'[1]NEW-Tables 80-86'!AD176</f>
        <v>0</v>
      </c>
      <c r="N279" s="73"/>
      <c r="O279" s="73"/>
      <c r="P279" s="73"/>
      <c r="Q279" s="73"/>
    </row>
    <row r="280" spans="1:17" s="61" customFormat="1" ht="12.75" customHeight="1">
      <c r="A280" s="73"/>
      <c r="B280" s="75"/>
      <c r="C280" s="75"/>
      <c r="D280" s="75"/>
      <c r="E280" s="75"/>
      <c r="F280" s="75"/>
      <c r="G280" s="116"/>
      <c r="H280" s="107"/>
      <c r="I280" s="107"/>
      <c r="J280" s="107"/>
      <c r="K280" s="107"/>
      <c r="L280" s="168"/>
      <c r="M280" s="824"/>
      <c r="N280" s="73"/>
      <c r="O280" s="73"/>
      <c r="P280" s="73"/>
      <c r="Q280" s="73"/>
    </row>
    <row r="281" spans="1:17" s="61" customFormat="1" ht="12.75" customHeight="1">
      <c r="A281" s="73" t="s">
        <v>90</v>
      </c>
      <c r="B281" s="75">
        <f>IF($M281&gt;0,('Amounts Pivot Table'!J$475/$M281),0)</f>
        <v>0</v>
      </c>
      <c r="C281" s="75">
        <f>IF($M281&gt;0,('Amounts Pivot Table'!J$478/$M281),0)</f>
        <v>0</v>
      </c>
      <c r="D281" s="75">
        <f>IF($M281&gt;0,('Amounts Pivot Table'!J$481/$M281),0)</f>
        <v>0</v>
      </c>
      <c r="E281" s="75">
        <f>IF($M281&gt;0,('Amounts Pivot Table'!J$484/$M281),0)</f>
        <v>0</v>
      </c>
      <c r="F281" s="75">
        <f t="shared" si="54"/>
        <v>0</v>
      </c>
      <c r="G281" s="116">
        <f>IF(B281&gt;0,RANK(B281,$B$266:$B$284),)</f>
        <v>0</v>
      </c>
      <c r="H281" s="107">
        <f>IF(C281&gt;0,RANK(C281,$C$266:$C$284),)</f>
        <v>0</v>
      </c>
      <c r="I281" s="107">
        <f>IF(D281&gt;0,RANK(D281,$D$266:$D$284),)</f>
        <v>0</v>
      </c>
      <c r="J281" s="107">
        <f>IF(E281&gt;0,RANK(E281,$E$266:$E$284),)</f>
        <v>0</v>
      </c>
      <c r="K281" s="107">
        <f>IF(F281&gt;0,RANK(F281,$F$266:$F$284),)</f>
        <v>0</v>
      </c>
      <c r="L281" s="168"/>
      <c r="M281" s="824">
        <f>+'[1]NEW-Tables 80-86'!AD178</f>
        <v>0</v>
      </c>
      <c r="N281" s="73"/>
      <c r="O281" s="73"/>
      <c r="P281" s="73"/>
      <c r="Q281" s="73"/>
    </row>
    <row r="282" spans="1:17" s="76" customFormat="1" ht="12.75" customHeight="1">
      <c r="A282" s="73" t="s">
        <v>326</v>
      </c>
      <c r="B282" s="75">
        <f>IF($M282&gt;0,('Amounts Pivot Table'!J$514/$M282),0)</f>
        <v>2365.9029150747147</v>
      </c>
      <c r="C282" s="75">
        <f>IF($M282&gt;0,('Amounts Pivot Table'!J$517/$M282),0)</f>
        <v>0</v>
      </c>
      <c r="D282" s="75">
        <f>IF($M282&gt;0,('Amounts Pivot Table'!J$520/$M282),0)</f>
        <v>2605.8883024577826</v>
      </c>
      <c r="E282" s="75">
        <f>IF($M282&gt;0,('Amounts Pivot Table'!J$523/$M282),0)</f>
        <v>1523.218769535287</v>
      </c>
      <c r="F282" s="75">
        <f t="shared" si="54"/>
        <v>6495.0099870677841</v>
      </c>
      <c r="G282" s="116">
        <f>IF(B282&gt;0,RANK(B282,$B$266:$B$284),)</f>
        <v>5</v>
      </c>
      <c r="H282" s="107">
        <f>IF(C282&gt;0,RANK(C282,$C$266:$C$284),)</f>
        <v>0</v>
      </c>
      <c r="I282" s="107">
        <f>IF(D282&gt;0,RANK(D282,$D$266:$D$284),)</f>
        <v>1</v>
      </c>
      <c r="J282" s="107">
        <f>IF(E282&gt;0,RANK(E282,$E$266:$E$284),)</f>
        <v>5</v>
      </c>
      <c r="K282" s="107">
        <f>IF(F282&gt;0,RANK(F282,$F$266:$F$284),)</f>
        <v>4</v>
      </c>
      <c r="L282" s="169"/>
      <c r="M282" s="824">
        <f>+'[1]NEW-Tables 80-86'!AD179</f>
        <v>26223.91333333333</v>
      </c>
      <c r="N282" s="90"/>
      <c r="O282" s="90"/>
      <c r="P282" s="90"/>
      <c r="Q282" s="90"/>
    </row>
    <row r="283" spans="1:17" s="61" customFormat="1" ht="12.75" customHeight="1">
      <c r="A283" s="73" t="s">
        <v>327</v>
      </c>
      <c r="B283" s="75">
        <f>IF($M283&gt;0,('Amounts Pivot Table'!J$553/$M283),0)</f>
        <v>0</v>
      </c>
      <c r="C283" s="75">
        <f>IF($M283&gt;0,('Amounts Pivot Table'!J$556/$M283),0)</f>
        <v>0</v>
      </c>
      <c r="D283" s="75">
        <f>IF($M283&gt;0,('Amounts Pivot Table'!J$559/$M283),0)</f>
        <v>0</v>
      </c>
      <c r="E283" s="75">
        <f>IF($M283&gt;0,('Amounts Pivot Table'!J$562/$M283),0)</f>
        <v>0</v>
      </c>
      <c r="F283" s="75">
        <f t="shared" si="54"/>
        <v>0</v>
      </c>
      <c r="G283" s="116">
        <f>IF(B283&gt;0,RANK(B283,$B$266:$B$284),)</f>
        <v>0</v>
      </c>
      <c r="H283" s="107">
        <f>IF(C283&gt;0,RANK(C283,$C$266:$C$284),)</f>
        <v>0</v>
      </c>
      <c r="I283" s="107">
        <f>IF(D283&gt;0,RANK(D283,$D$266:$D$284),)</f>
        <v>0</v>
      </c>
      <c r="J283" s="107">
        <f>IF(E283&gt;0,RANK(E283,$E$266:$E$284),)</f>
        <v>0</v>
      </c>
      <c r="K283" s="107">
        <f>IF(F283&gt;0,RANK(F283,$F$266:$F$284),)</f>
        <v>0</v>
      </c>
      <c r="L283" s="170"/>
      <c r="M283" s="824">
        <f>+'[1]NEW-Tables 80-86'!AD180</f>
        <v>0</v>
      </c>
      <c r="N283" s="73"/>
      <c r="O283" s="73"/>
      <c r="P283" s="73"/>
      <c r="Q283" s="73"/>
    </row>
    <row r="284" spans="1:17" s="61" customFormat="1" ht="15.75" customHeight="1">
      <c r="A284" s="74" t="s">
        <v>332</v>
      </c>
      <c r="B284" s="104">
        <f>IF($M284&gt;0,('Amounts Pivot Table'!J$592/$M284),0)</f>
        <v>3806.4586716578128</v>
      </c>
      <c r="C284" s="104">
        <f>IF($M284&gt;0,('Amounts Pivot Table'!J$595/$M284),0)</f>
        <v>57.113759599240318</v>
      </c>
      <c r="D284" s="104">
        <f>IF($M284&gt;0,('Amounts Pivot Table'!J$598/$M284),0)</f>
        <v>0</v>
      </c>
      <c r="E284" s="104">
        <f>IF($M284&gt;0,('Amounts Pivot Table'!J$601/$M284),0)</f>
        <v>5247.8052902479976</v>
      </c>
      <c r="F284" s="105">
        <f t="shared" si="54"/>
        <v>9111.3777215050504</v>
      </c>
      <c r="G284" s="117">
        <f>IF(B284&gt;0,RANK(B284,$B$266:$B$284),)</f>
        <v>2</v>
      </c>
      <c r="H284" s="118">
        <f>IF(C284&gt;0,RANK(C284,$C$266:$C$284),)</f>
        <v>1</v>
      </c>
      <c r="I284" s="118">
        <f>IF(D284&gt;0,RANK(D284,$D$266:$D$284),)</f>
        <v>0</v>
      </c>
      <c r="J284" s="118">
        <f>IF(E284&gt;0,RANK(E284,$E$266:$E$284),)</f>
        <v>1</v>
      </c>
      <c r="K284" s="118">
        <f>IF(F284&gt;0,RANK(F284,$F$266:$F$284),)</f>
        <v>1</v>
      </c>
      <c r="L284" s="170"/>
      <c r="M284" s="824">
        <f>+'[1]NEW-Tables 80-86'!AD181</f>
        <v>3633.1</v>
      </c>
      <c r="N284" s="73"/>
      <c r="O284" s="73"/>
      <c r="P284" s="73"/>
      <c r="Q284" s="73"/>
    </row>
    <row r="285" spans="1:17" s="76" customFormat="1" ht="34.5" customHeight="1">
      <c r="A285" s="1505" t="s">
        <v>17</v>
      </c>
      <c r="B285" s="1529"/>
      <c r="C285" s="1529"/>
      <c r="D285" s="1529"/>
      <c r="E285" s="1529"/>
      <c r="F285" s="1529"/>
      <c r="G285" s="1529"/>
      <c r="H285" s="1529"/>
      <c r="I285" s="1529"/>
      <c r="J285" s="1529"/>
      <c r="K285" s="1529"/>
      <c r="L285" s="169"/>
      <c r="M285" s="296"/>
      <c r="N285" s="90"/>
      <c r="O285" s="90"/>
      <c r="P285" s="90"/>
      <c r="Q285" s="90"/>
    </row>
    <row r="286" spans="1:17" s="205" customFormat="1" ht="13.5" customHeight="1">
      <c r="A286" s="1505" t="s">
        <v>54</v>
      </c>
      <c r="B286" s="1529"/>
      <c r="C286" s="1529"/>
      <c r="D286" s="1529"/>
      <c r="E286" s="1529"/>
      <c r="F286" s="1529"/>
      <c r="G286" s="1529"/>
      <c r="H286" s="1529"/>
      <c r="I286" s="1529"/>
      <c r="J286" s="1529"/>
      <c r="K286" s="1529"/>
      <c r="L286" s="204"/>
      <c r="M286" s="302"/>
      <c r="N286" s="206"/>
      <c r="O286" s="206"/>
      <c r="P286" s="206"/>
      <c r="Q286" s="206"/>
    </row>
    <row r="287" spans="1:17" s="61" customFormat="1" ht="13.5" customHeight="1">
      <c r="A287" s="1505" t="s">
        <v>233</v>
      </c>
      <c r="B287" s="1530"/>
      <c r="C287" s="1530"/>
      <c r="D287" s="1530"/>
      <c r="E287" s="1530"/>
      <c r="F287" s="1530"/>
      <c r="G287" s="1531"/>
      <c r="H287" s="1531"/>
      <c r="I287" s="1531"/>
      <c r="J287" s="1531"/>
      <c r="K287" s="1531"/>
      <c r="L287" s="171"/>
      <c r="M287" s="300"/>
      <c r="N287" s="73"/>
      <c r="O287" s="73"/>
      <c r="P287" s="73"/>
      <c r="Q287" s="73"/>
    </row>
    <row r="288" spans="1:17" s="61" customFormat="1">
      <c r="A288" s="187"/>
      <c r="B288" s="106"/>
      <c r="C288" s="106"/>
      <c r="D288" s="106"/>
      <c r="E288" s="106"/>
      <c r="F288" s="106"/>
      <c r="G288" s="188"/>
      <c r="H288" s="188"/>
      <c r="I288" s="188"/>
      <c r="J288" s="188"/>
      <c r="K288" s="534" t="s">
        <v>1927</v>
      </c>
      <c r="L288" s="171"/>
      <c r="M288" s="303"/>
      <c r="N288" s="73"/>
      <c r="O288" s="73"/>
      <c r="P288" s="73"/>
      <c r="Q288" s="73"/>
    </row>
    <row r="289" spans="1:17" s="61" customFormat="1" ht="18">
      <c r="A289" s="135" t="s">
        <v>367</v>
      </c>
      <c r="B289" s="135"/>
      <c r="C289" s="135"/>
      <c r="D289" s="135"/>
      <c r="E289" s="135"/>
      <c r="F289" s="135"/>
      <c r="G289" s="135"/>
      <c r="H289" s="135"/>
      <c r="I289" s="135"/>
      <c r="J289" s="565"/>
      <c r="K289" s="135"/>
      <c r="L289" s="170"/>
      <c r="M289" s="296"/>
      <c r="N289" s="73"/>
      <c r="O289" s="73"/>
      <c r="P289" s="73"/>
      <c r="Q289" s="73"/>
    </row>
    <row r="290" spans="1:17" s="61" customFormat="1" ht="9.75" customHeight="1">
      <c r="A290" s="135"/>
      <c r="B290" s="135"/>
      <c r="C290" s="135"/>
      <c r="D290" s="135"/>
      <c r="E290" s="135"/>
      <c r="F290" s="135"/>
      <c r="G290" s="135"/>
      <c r="H290" s="135"/>
      <c r="I290" s="135"/>
      <c r="J290" s="565"/>
      <c r="K290" s="135"/>
      <c r="L290" s="170"/>
      <c r="M290" s="296"/>
      <c r="N290" s="73"/>
      <c r="O290" s="73"/>
      <c r="P290" s="73"/>
      <c r="Q290" s="73"/>
    </row>
    <row r="291" spans="1:17" s="61" customFormat="1" ht="18.75">
      <c r="A291" s="1504" t="s">
        <v>18</v>
      </c>
      <c r="B291" s="1504"/>
      <c r="C291" s="1504"/>
      <c r="D291" s="1504"/>
      <c r="E291" s="1504"/>
      <c r="F291" s="1504"/>
      <c r="G291" s="1504"/>
      <c r="H291" s="1504"/>
      <c r="I291" s="1504"/>
      <c r="J291" s="1504"/>
      <c r="K291" s="1504"/>
      <c r="L291" s="165"/>
      <c r="M291" s="296"/>
      <c r="N291" s="73"/>
      <c r="O291" s="73"/>
      <c r="P291" s="73"/>
      <c r="Q291" s="73"/>
    </row>
    <row r="292" spans="1:17" s="61" customFormat="1" ht="15.75">
      <c r="A292" s="1504" t="s">
        <v>1938</v>
      </c>
      <c r="B292" s="1504"/>
      <c r="C292" s="1504"/>
      <c r="D292" s="1504"/>
      <c r="E292" s="1504"/>
      <c r="F292" s="1504"/>
      <c r="G292" s="1504"/>
      <c r="H292" s="1504"/>
      <c r="I292" s="1504"/>
      <c r="J292" s="1504"/>
      <c r="K292" s="1504"/>
      <c r="L292" s="165"/>
      <c r="M292" s="299"/>
      <c r="N292" s="73"/>
      <c r="O292" s="73"/>
      <c r="P292" s="73"/>
      <c r="Q292" s="73"/>
    </row>
    <row r="293" spans="1:17" s="61" customFormat="1" ht="9" customHeight="1">
      <c r="A293" s="91"/>
      <c r="B293" s="91"/>
      <c r="C293" s="91"/>
      <c r="D293" s="91"/>
      <c r="E293" s="91"/>
      <c r="F293" s="91"/>
      <c r="G293" s="108"/>
      <c r="H293" s="91"/>
      <c r="I293" s="91"/>
      <c r="J293" s="91"/>
      <c r="K293" s="91"/>
      <c r="L293" s="165"/>
      <c r="M293" s="296"/>
      <c r="N293" s="73"/>
      <c r="O293" s="73"/>
      <c r="P293" s="73"/>
      <c r="Q293" s="73"/>
    </row>
    <row r="294" spans="1:17" s="61" customFormat="1" ht="16.5" customHeight="1">
      <c r="A294" s="60"/>
      <c r="B294" s="1527" t="s">
        <v>55</v>
      </c>
      <c r="C294" s="1528"/>
      <c r="D294" s="1528"/>
      <c r="E294" s="1528"/>
      <c r="F294" s="1528"/>
      <c r="G294" s="568" t="s">
        <v>119</v>
      </c>
      <c r="H294" s="569"/>
      <c r="I294" s="569"/>
      <c r="J294" s="569"/>
      <c r="K294" s="569"/>
      <c r="L294" s="173"/>
      <c r="M294" s="296"/>
      <c r="N294" s="73"/>
      <c r="O294" s="73"/>
      <c r="P294" s="73"/>
      <c r="Q294" s="73"/>
    </row>
    <row r="295" spans="1:17" s="6" customFormat="1" ht="48">
      <c r="A295" s="50"/>
      <c r="B295" s="549" t="s">
        <v>87</v>
      </c>
      <c r="C295" s="550" t="s">
        <v>89</v>
      </c>
      <c r="D295" s="550" t="s">
        <v>88</v>
      </c>
      <c r="E295" s="550" t="s">
        <v>397</v>
      </c>
      <c r="F295" s="550" t="s">
        <v>97</v>
      </c>
      <c r="G295" s="551" t="s">
        <v>87</v>
      </c>
      <c r="H295" s="550" t="s">
        <v>89</v>
      </c>
      <c r="I295" s="550" t="s">
        <v>88</v>
      </c>
      <c r="J295" s="550" t="s">
        <v>397</v>
      </c>
      <c r="K295" s="550" t="s">
        <v>97</v>
      </c>
      <c r="L295" s="167"/>
      <c r="M295" s="296" t="s">
        <v>260</v>
      </c>
      <c r="N295" s="7"/>
      <c r="O295" s="7"/>
      <c r="P295" s="7"/>
      <c r="Q295" s="7"/>
    </row>
    <row r="296" spans="1:17" s="61" customFormat="1" ht="14.25">
      <c r="A296" s="73" t="s">
        <v>56</v>
      </c>
      <c r="B296" s="102">
        <f>IF($M296&gt;0,('Amounts Pivot Table'!K$631/$M296),0)</f>
        <v>2422.372310470761</v>
      </c>
      <c r="C296" s="102">
        <f>IF($M296&gt;0,('Amounts Pivot Table'!K$634/$M296),0)</f>
        <v>92.552403205015878</v>
      </c>
      <c r="D296" s="102">
        <f>IF($M296&gt;0,('Amounts Pivot Table'!K$637/$M296),0)</f>
        <v>1640.71082035326</v>
      </c>
      <c r="E296" s="102">
        <f>IF($M296&gt;0,('Amounts Pivot Table'!K$640/$M296),0)</f>
        <v>2616.9927452041702</v>
      </c>
      <c r="F296" s="102">
        <f>SUM(B296:E296)</f>
        <v>6772.6282792332067</v>
      </c>
      <c r="G296" s="114"/>
      <c r="H296" s="115"/>
      <c r="I296" s="115"/>
      <c r="J296" s="115"/>
      <c r="K296" s="115"/>
      <c r="L296" s="168"/>
      <c r="M296" s="824">
        <f>+'[1]NEW-Tables 80-86'!AE161</f>
        <v>828993.08222222235</v>
      </c>
      <c r="N296" s="73"/>
      <c r="O296" s="73"/>
      <c r="P296" s="73"/>
      <c r="Q296" s="73"/>
    </row>
    <row r="297" spans="1:17" s="112" customFormat="1" ht="9.75" customHeight="1">
      <c r="A297" s="110"/>
      <c r="B297" s="111"/>
      <c r="C297" s="111"/>
      <c r="D297" s="111"/>
      <c r="E297" s="111"/>
      <c r="F297" s="111"/>
      <c r="G297" s="119"/>
      <c r="H297" s="120"/>
      <c r="I297" s="120"/>
      <c r="J297" s="120"/>
      <c r="K297" s="120"/>
      <c r="L297" s="175"/>
      <c r="M297" s="824"/>
      <c r="N297" s="110"/>
      <c r="O297" s="110"/>
      <c r="P297" s="110"/>
      <c r="Q297" s="110"/>
    </row>
    <row r="298" spans="1:17" s="61" customFormat="1" ht="12.75" customHeight="1">
      <c r="A298" s="73" t="s">
        <v>320</v>
      </c>
      <c r="B298" s="75">
        <f>IF($M298&gt;0,('Amounts Pivot Table'!K$7/$M298),0)</f>
        <v>3657.9932483611847</v>
      </c>
      <c r="C298" s="75">
        <f>IF($M298&gt;0,('Amounts Pivot Table'!K$10/$M298),0)</f>
        <v>224.0088837352834</v>
      </c>
      <c r="D298" s="75">
        <f>IF($M298&gt;0,('Amounts Pivot Table'!K$13/$M298),0)</f>
        <v>90.333560881640594</v>
      </c>
      <c r="E298" s="75">
        <f>IF($M298&gt;0,('Amounts Pivot Table'!K$16/$M298),0)</f>
        <v>3959.2280688629758</v>
      </c>
      <c r="F298" s="75">
        <f t="shared" ref="F298:F316" si="55">SUM(B298:E298)</f>
        <v>7931.5637618410838</v>
      </c>
      <c r="G298" s="116">
        <f>IF(B298&gt;0,RANK(B298,$B$298:$B$316),)</f>
        <v>2</v>
      </c>
      <c r="H298" s="107">
        <f>IF(C298&gt;0,RANK(C298,$C$298:$C$316),)</f>
        <v>4</v>
      </c>
      <c r="I298" s="107">
        <f>IF(D298&gt;0,RANK(D298,$D$298:$D$316),)</f>
        <v>8</v>
      </c>
      <c r="J298" s="107">
        <f>IF(E298&gt;0,RANK(E298,$E$298:$E$316),)</f>
        <v>9</v>
      </c>
      <c r="K298" s="107">
        <f>IF(F298&gt;0,RANK(F298,$F$298:$F$316),)</f>
        <v>6</v>
      </c>
      <c r="L298" s="168"/>
      <c r="M298" s="824">
        <f>+'[1]NEW-Tables 80-86'!AE163</f>
        <v>17822.833333333332</v>
      </c>
      <c r="N298" s="73"/>
      <c r="O298" s="73"/>
      <c r="P298" s="73"/>
      <c r="Q298" s="73"/>
    </row>
    <row r="299" spans="1:17" s="61" customFormat="1" ht="12.75" customHeight="1">
      <c r="A299" s="73" t="s">
        <v>334</v>
      </c>
      <c r="B299" s="75">
        <f>IF($M299&gt;0,('Amounts Pivot Table'!K$46/$M299),0)</f>
        <v>2396.4826094256168</v>
      </c>
      <c r="C299" s="75">
        <f>IF($M299&gt;0,('Amounts Pivot Table'!K$49/$M299),0)</f>
        <v>0</v>
      </c>
      <c r="D299" s="75">
        <f>IF($M299&gt;0,('Amounts Pivot Table'!K$52/$M299),0)</f>
        <v>487.16177348904159</v>
      </c>
      <c r="E299" s="75">
        <f>IF($M299&gt;0,('Amounts Pivot Table'!K$55/$M299),0)</f>
        <v>4443.0009990944845</v>
      </c>
      <c r="F299" s="75">
        <f t="shared" si="55"/>
        <v>7326.6453820091428</v>
      </c>
      <c r="G299" s="116">
        <f>IF(B299&gt;0,RANK(B299,$B$298:$B$316),)</f>
        <v>9</v>
      </c>
      <c r="H299" s="107">
        <f>IF(C299&gt;0,RANK(C299,$C$298:$C$316),)</f>
        <v>0</v>
      </c>
      <c r="I299" s="107">
        <f>IF(D299&gt;0,RANK(D299,$D$298:$D$316),)</f>
        <v>7</v>
      </c>
      <c r="J299" s="107">
        <f>IF(E299&gt;0,RANK(E299,$E$298:$E$316),)</f>
        <v>4</v>
      </c>
      <c r="K299" s="107">
        <f>IF(F299&gt;0,RANK(F299,$F$298:$F$316),)</f>
        <v>8</v>
      </c>
      <c r="L299" s="168"/>
      <c r="M299" s="824">
        <f>+'[1]NEW-Tables 80-86'!AE164</f>
        <v>12110.966666666667</v>
      </c>
      <c r="N299" s="73"/>
      <c r="O299" s="73"/>
      <c r="P299" s="73"/>
      <c r="Q299" s="73"/>
    </row>
    <row r="300" spans="1:17" s="61" customFormat="1" ht="12.75" customHeight="1">
      <c r="A300" s="73" t="s">
        <v>321</v>
      </c>
      <c r="B300" s="75">
        <f>IF($M300&gt;0,('Amounts Pivot Table'!K$85/$M300),0)</f>
        <v>6941.5660331627196</v>
      </c>
      <c r="C300" s="75">
        <f>IF($M300&gt;0,('Amounts Pivot Table'!K$88/$M300),0)</f>
        <v>0</v>
      </c>
      <c r="D300" s="75">
        <f>IF($M300&gt;0,('Amounts Pivot Table'!K$91/$M300),0)</f>
        <v>0</v>
      </c>
      <c r="E300" s="75">
        <f>IF($M300&gt;0,('Amounts Pivot Table'!K$94/$M300),0)</f>
        <v>4797.8228945379888</v>
      </c>
      <c r="F300" s="75">
        <f t="shared" si="55"/>
        <v>11739.388927700707</v>
      </c>
      <c r="G300" s="116">
        <f>IF(B300&gt;0,RANK(B300,$B$298:$B$316),)</f>
        <v>1</v>
      </c>
      <c r="H300" s="107">
        <f>IF(C300&gt;0,RANK(C300,$C$298:$C$316),)</f>
        <v>0</v>
      </c>
      <c r="I300" s="107">
        <f>IF(D300&gt;0,RANK(D300,$D$298:$D$316),)</f>
        <v>0</v>
      </c>
      <c r="J300" s="107">
        <f>IF(E300&gt;0,RANK(E300,$E$298:$E$316),)</f>
        <v>1</v>
      </c>
      <c r="K300" s="107">
        <f>IF(F300&gt;0,RANK(F300,$F$298:$F$316),)</f>
        <v>1</v>
      </c>
      <c r="L300" s="168"/>
      <c r="M300" s="824">
        <f>+'[1]NEW-Tables 80-86'!AE165</f>
        <v>4675.9333333333334</v>
      </c>
      <c r="N300" s="73"/>
      <c r="O300" s="73"/>
      <c r="P300" s="73"/>
      <c r="Q300" s="73"/>
    </row>
    <row r="301" spans="1:17" s="61" customFormat="1" ht="12.75" customHeight="1">
      <c r="A301" s="73" t="s">
        <v>328</v>
      </c>
      <c r="B301" s="75">
        <f>IF($M301&gt;0,('Amounts Pivot Table'!K$124/$M301),0)</f>
        <v>2963.9534630465528</v>
      </c>
      <c r="C301" s="75">
        <f>IF($M301&gt;0,('Amounts Pivot Table'!K$127/$M301),0)</f>
        <v>0</v>
      </c>
      <c r="D301" s="75">
        <f>IF($M301&gt;0,('Amounts Pivot Table'!K$130/$M301),0)</f>
        <v>0</v>
      </c>
      <c r="E301" s="75">
        <f>IF($M301&gt;0,('Amounts Pivot Table'!K$133/$M301),0)</f>
        <v>2504.5043288434308</v>
      </c>
      <c r="F301" s="75">
        <f t="shared" si="55"/>
        <v>5468.4577918899831</v>
      </c>
      <c r="G301" s="116">
        <f>IF(B301&gt;0,RANK(B301,$B$298:$B$316),)</f>
        <v>8</v>
      </c>
      <c r="H301" s="107">
        <f>IF(C301&gt;0,RANK(C301,$C$298:$C$316),)</f>
        <v>0</v>
      </c>
      <c r="I301" s="107">
        <f>IF(D301&gt;0,RANK(D301,$D$298:$D$316),)</f>
        <v>0</v>
      </c>
      <c r="J301" s="107">
        <f>IF(E301&gt;0,RANK(E301,$E$298:$E$316),)</f>
        <v>12</v>
      </c>
      <c r="K301" s="107">
        <f>IF(F301&gt;0,RANK(F301,$F$298:$F$316),)</f>
        <v>14</v>
      </c>
      <c r="L301" s="168"/>
      <c r="M301" s="824">
        <f>+'[1]NEW-Tables 80-86'!AE166</f>
        <v>84736.387777777767</v>
      </c>
      <c r="N301" s="73"/>
      <c r="O301" s="73"/>
      <c r="P301" s="73"/>
      <c r="Q301" s="73"/>
    </row>
    <row r="302" spans="1:17" s="61" customFormat="1" ht="8.25" customHeight="1">
      <c r="A302" s="73"/>
      <c r="B302" s="75"/>
      <c r="C302" s="75"/>
      <c r="D302" s="75"/>
      <c r="E302" s="75"/>
      <c r="F302" s="75"/>
      <c r="G302" s="116"/>
      <c r="H302" s="107"/>
      <c r="I302" s="107"/>
      <c r="J302" s="107"/>
      <c r="K302" s="107"/>
      <c r="L302" s="168"/>
      <c r="M302" s="824"/>
      <c r="N302" s="73"/>
      <c r="O302" s="73"/>
      <c r="P302" s="73"/>
      <c r="Q302" s="73"/>
    </row>
    <row r="303" spans="1:17" s="61" customFormat="1" ht="12.75" customHeight="1">
      <c r="A303" s="73" t="s">
        <v>329</v>
      </c>
      <c r="B303" s="75">
        <f>IF($M303&gt;0,('Amounts Pivot Table'!K$163/$M303),0)</f>
        <v>3396.955245685946</v>
      </c>
      <c r="C303" s="75">
        <f>IF($M303&gt;0,('Amounts Pivot Table'!K$166/$M303),0)</f>
        <v>0</v>
      </c>
      <c r="D303" s="75">
        <f>IF($M303&gt;0,('Amounts Pivot Table'!K$169/$M303),0)</f>
        <v>0</v>
      </c>
      <c r="E303" s="75">
        <f>IF($M303&gt;0,('Amounts Pivot Table'!K$172/$M303),0)</f>
        <v>4116.4490040989203</v>
      </c>
      <c r="F303" s="75">
        <f t="shared" si="55"/>
        <v>7513.4042497848659</v>
      </c>
      <c r="G303" s="116">
        <f>IF(B303&gt;0,RANK(B303,$B$298:$B$316),)</f>
        <v>7</v>
      </c>
      <c r="H303" s="107">
        <f>IF(C303&gt;0,RANK(C303,$C$298:$C$316),)</f>
        <v>0</v>
      </c>
      <c r="I303" s="107">
        <f>IF(D303&gt;0,RANK(D303,$D$298:$D$316),)</f>
        <v>0</v>
      </c>
      <c r="J303" s="107">
        <f>IF(E303&gt;0,RANK(E303,$E$298:$E$316),)</f>
        <v>8</v>
      </c>
      <c r="K303" s="107">
        <f>IF(F303&gt;0,RANK(F303,$F$298:$F$316),)</f>
        <v>7</v>
      </c>
      <c r="L303" s="168"/>
      <c r="M303" s="824">
        <f>+'[1]NEW-Tables 80-86'!AE168</f>
        <v>15378.033333333333</v>
      </c>
      <c r="N303" s="73"/>
      <c r="O303" s="73"/>
      <c r="P303" s="73"/>
      <c r="Q303" s="73"/>
    </row>
    <row r="304" spans="1:17" s="61" customFormat="1" ht="12.75" customHeight="1">
      <c r="A304" s="73" t="s">
        <v>322</v>
      </c>
      <c r="B304" s="75">
        <f>IF($M304&gt;0,('Amounts Pivot Table'!K$202/$M304),0)</f>
        <v>1900.1270624077581</v>
      </c>
      <c r="C304" s="75">
        <f>IF($M304&gt;0,('Amounts Pivot Table'!K$205/$M304),0)</f>
        <v>0</v>
      </c>
      <c r="D304" s="75">
        <f>IF($M304&gt;0,('Amounts Pivot Table'!K$208/$M304),0)</f>
        <v>0</v>
      </c>
      <c r="E304" s="75">
        <f>IF($M304&gt;0,('Amounts Pivot Table'!K$211/$M304),0)</f>
        <v>4430.748345494655</v>
      </c>
      <c r="F304" s="75">
        <f t="shared" si="55"/>
        <v>6330.8754079024129</v>
      </c>
      <c r="G304" s="116">
        <f>IF(B304&gt;0,RANK(B304,$B$298:$B$316),)</f>
        <v>13</v>
      </c>
      <c r="H304" s="107">
        <f>IF(C304&gt;0,RANK(C304,$C$298:$C$316),)</f>
        <v>0</v>
      </c>
      <c r="I304" s="107">
        <f>IF(D304&gt;0,RANK(D304,$D$298:$D$316),)</f>
        <v>0</v>
      </c>
      <c r="J304" s="107">
        <f>IF(E304&gt;0,RANK(E304,$E$298:$E$316),)</f>
        <v>5</v>
      </c>
      <c r="K304" s="107">
        <f>IF(F304&gt;0,RANK(F304,$F$298:$F$316),)</f>
        <v>13</v>
      </c>
      <c r="L304" s="168"/>
      <c r="M304" s="824">
        <f>+'[1]NEW-Tables 80-86'!AE169</f>
        <v>14732.5</v>
      </c>
      <c r="N304" s="73"/>
      <c r="O304" s="73"/>
      <c r="P304" s="73"/>
      <c r="Q304" s="73"/>
    </row>
    <row r="305" spans="1:17" s="61" customFormat="1" ht="12.75" customHeight="1">
      <c r="A305" s="73" t="s">
        <v>330</v>
      </c>
      <c r="B305" s="75">
        <f>IF($M305&gt;0,('Amounts Pivot Table'!K$241/$M305),0)</f>
        <v>2169.6080632975859</v>
      </c>
      <c r="C305" s="75">
        <f>IF($M305&gt;0,('Amounts Pivot Table'!K$244/$M305),0)</f>
        <v>0</v>
      </c>
      <c r="D305" s="75">
        <f>IF($M305&gt;0,('Amounts Pivot Table'!K$247/$M305),0)</f>
        <v>0</v>
      </c>
      <c r="E305" s="75">
        <f>IF($M305&gt;0,('Amounts Pivot Table'!K$250/$M305),0)</f>
        <v>4246.7373366818283</v>
      </c>
      <c r="F305" s="75">
        <f t="shared" si="55"/>
        <v>6416.3453999794147</v>
      </c>
      <c r="G305" s="116">
        <f>IF(B305&gt;0,RANK(B305,$B$298:$B$316),)</f>
        <v>12</v>
      </c>
      <c r="H305" s="107">
        <f>IF(C305&gt;0,RANK(C305,$C$298:$C$316),)</f>
        <v>0</v>
      </c>
      <c r="I305" s="107">
        <f>IF(D305&gt;0,RANK(D305,$D$298:$D$316),)</f>
        <v>0</v>
      </c>
      <c r="J305" s="107">
        <f>IF(E305&gt;0,RANK(E305,$E$298:$E$316),)</f>
        <v>7</v>
      </c>
      <c r="K305" s="107">
        <f>IF(F305&gt;0,RANK(F305,$F$298:$F$316),)</f>
        <v>12</v>
      </c>
      <c r="L305" s="168"/>
      <c r="M305" s="824">
        <f>+'[1]NEW-Tables 80-86'!AE170</f>
        <v>24773.98333333333</v>
      </c>
      <c r="N305" s="73"/>
      <c r="O305" s="73"/>
      <c r="P305" s="73"/>
      <c r="Q305" s="73"/>
    </row>
    <row r="306" spans="1:17" s="61" customFormat="1" ht="12.75" customHeight="1">
      <c r="A306" s="73" t="s">
        <v>333</v>
      </c>
      <c r="B306" s="75">
        <f>IF($M306&gt;0,('Amounts Pivot Table'!K$280/$M306),0)</f>
        <v>2240.2512815712071</v>
      </c>
      <c r="C306" s="75">
        <f>IF($M306&gt;0,('Amounts Pivot Table'!K$283/$M306),0)</f>
        <v>0</v>
      </c>
      <c r="D306" s="75">
        <f>IF($M306&gt;0,('Amounts Pivot Table'!K$286/$M306),0)</f>
        <v>3922.5764455553081</v>
      </c>
      <c r="E306" s="75">
        <f>IF($M306&gt;0,('Amounts Pivot Table'!K$289/$M306),0)</f>
        <v>4750.3360767837657</v>
      </c>
      <c r="F306" s="75">
        <f t="shared" si="55"/>
        <v>10913.16380391028</v>
      </c>
      <c r="G306" s="116">
        <f>IF(B306&gt;0,RANK(B306,$B$298:$B$316),)</f>
        <v>11</v>
      </c>
      <c r="H306" s="107">
        <f>IF(C306&gt;0,RANK(C306,$C$298:$C$316),)</f>
        <v>0</v>
      </c>
      <c r="I306" s="107">
        <f>IF(D306&gt;0,RANK(D306,$D$298:$D$316),)</f>
        <v>1</v>
      </c>
      <c r="J306" s="107">
        <f>IF(E306&gt;0,RANK(E306,$E$298:$E$316),)</f>
        <v>2</v>
      </c>
      <c r="K306" s="107">
        <f>IF(F306&gt;0,RANK(F306,$F$298:$F$316),)</f>
        <v>2</v>
      </c>
      <c r="L306" s="168"/>
      <c r="M306" s="824">
        <f>+'[1]NEW-Tables 80-86'!AE171</f>
        <v>71035.849999999991</v>
      </c>
      <c r="N306" s="73"/>
      <c r="O306" s="73"/>
      <c r="P306" s="73"/>
      <c r="Q306" s="73"/>
    </row>
    <row r="307" spans="1:17" s="61" customFormat="1" ht="7.5" customHeight="1">
      <c r="A307" s="73"/>
      <c r="B307" s="75"/>
      <c r="C307" s="75"/>
      <c r="D307" s="75"/>
      <c r="E307" s="75"/>
      <c r="F307" s="75"/>
      <c r="G307" s="116"/>
      <c r="H307" s="107"/>
      <c r="I307" s="107"/>
      <c r="J307" s="107"/>
      <c r="K307" s="107"/>
      <c r="L307" s="168"/>
      <c r="M307" s="824"/>
      <c r="N307" s="73"/>
      <c r="O307" s="73"/>
      <c r="P307" s="73"/>
      <c r="Q307" s="73"/>
    </row>
    <row r="308" spans="1:17" s="61" customFormat="1" ht="12.75" customHeight="1">
      <c r="A308" s="73" t="s">
        <v>323</v>
      </c>
      <c r="B308" s="75">
        <f>IF($M308&gt;0,('Amounts Pivot Table'!K$319/$M308),0)</f>
        <v>3602.5294684238561</v>
      </c>
      <c r="C308" s="75">
        <f>IF($M308&gt;0,('Amounts Pivot Table'!K$322/$M308),0)</f>
        <v>386.123392296622</v>
      </c>
      <c r="D308" s="75">
        <f>IF($M308&gt;0,('Amounts Pivot Table'!K$325/$M308),0)</f>
        <v>1061.5474180425397</v>
      </c>
      <c r="E308" s="75">
        <f>IF($M308&gt;0,('Amounts Pivot Table'!K$328/$M308),0)</f>
        <v>3117.5449816990949</v>
      </c>
      <c r="F308" s="75">
        <f t="shared" si="55"/>
        <v>8167.745260462113</v>
      </c>
      <c r="G308" s="116">
        <f>IF(B308&gt;0,RANK(B308,$B$298:$B$316),)</f>
        <v>3</v>
      </c>
      <c r="H308" s="107">
        <f>IF(C308&gt;0,RANK(C308,$C$298:$C$316),)</f>
        <v>2</v>
      </c>
      <c r="I308" s="107">
        <f>IF(D308&gt;0,RANK(D308,$D$298:$D$316),)</f>
        <v>5</v>
      </c>
      <c r="J308" s="107">
        <f>IF(E308&gt;0,RANK(E308,$E$298:$E$316),)</f>
        <v>11</v>
      </c>
      <c r="K308" s="107">
        <f>IF(F308&gt;0,RANK(F308,$F$298:$F$316),)</f>
        <v>4</v>
      </c>
      <c r="L308" s="168"/>
      <c r="M308" s="824">
        <f>+'[1]NEW-Tables 80-86'!AE173</f>
        <v>29415.666666666664</v>
      </c>
      <c r="N308" s="73"/>
      <c r="O308" s="73"/>
      <c r="P308" s="73"/>
      <c r="Q308" s="73"/>
    </row>
    <row r="309" spans="1:17" s="61" customFormat="1" ht="12.75" customHeight="1">
      <c r="A309" s="73" t="s">
        <v>324</v>
      </c>
      <c r="B309" s="75">
        <f>IF($M309&gt;0,('Amounts Pivot Table'!K$358/$M309),0)</f>
        <v>3557.5849976144414</v>
      </c>
      <c r="C309" s="75">
        <f>IF($M309&gt;0,('Amounts Pivot Table'!K$361/$M309),0)</f>
        <v>518.81732772433043</v>
      </c>
      <c r="D309" s="75">
        <f>IF($M309&gt;0,('Amounts Pivot Table'!K$364/$M309),0)</f>
        <v>1247.9886689153527</v>
      </c>
      <c r="E309" s="75">
        <f>IF($M309&gt;0,('Amounts Pivot Table'!K$367/$M309),0)</f>
        <v>1756.2177824510277</v>
      </c>
      <c r="F309" s="75">
        <f t="shared" si="55"/>
        <v>7080.6087767051522</v>
      </c>
      <c r="G309" s="116">
        <f>IF(B309&gt;0,RANK(B309,$B$298:$B$316),)</f>
        <v>4</v>
      </c>
      <c r="H309" s="107">
        <f>IF(C309&gt;0,RANK(C309,$C$298:$C$316),)</f>
        <v>1</v>
      </c>
      <c r="I309" s="107">
        <f>IF(D309&gt;0,RANK(D309,$D$298:$D$316),)</f>
        <v>4</v>
      </c>
      <c r="J309" s="107">
        <f>IF(E309&gt;0,RANK(E309,$E$298:$E$316),)</f>
        <v>14</v>
      </c>
      <c r="K309" s="107">
        <f>IF(F309&gt;0,RANK(F309,$F$298:$F$316),)</f>
        <v>10</v>
      </c>
      <c r="L309" s="168"/>
      <c r="M309" s="824">
        <f>+'[1]NEW-Tables 80-86'!AE174</f>
        <v>88630.526666666658</v>
      </c>
      <c r="N309" s="73"/>
      <c r="O309" s="73"/>
      <c r="P309" s="73"/>
      <c r="Q309" s="73"/>
    </row>
    <row r="310" spans="1:17" s="61" customFormat="1" ht="12.75" customHeight="1">
      <c r="A310" s="73" t="s">
        <v>331</v>
      </c>
      <c r="B310" s="75">
        <f>IF($M310&gt;0,('Amounts Pivot Table'!K$397/$M310),0)</f>
        <v>3462.6425421293493</v>
      </c>
      <c r="C310" s="75">
        <f>IF($M310&gt;0,('Amounts Pivot Table'!K$400/$M310),0)</f>
        <v>0</v>
      </c>
      <c r="D310" s="75">
        <f>IF($M310&gt;0,('Amounts Pivot Table'!K$403/$M310),0)</f>
        <v>1794.4797471823792</v>
      </c>
      <c r="E310" s="75">
        <f>IF($M310&gt;0,('Amounts Pivot Table'!K$406/$M310),0)</f>
        <v>3264.285649028679</v>
      </c>
      <c r="F310" s="75">
        <f t="shared" si="55"/>
        <v>8521.4079383404078</v>
      </c>
      <c r="G310" s="116">
        <f>IF(B310&gt;0,RANK(B310,$B$298:$B$316),)</f>
        <v>5</v>
      </c>
      <c r="H310" s="107">
        <f>IF(C310&gt;0,RANK(C310,$C$298:$C$316),)</f>
        <v>0</v>
      </c>
      <c r="I310" s="107">
        <f>IF(D310&gt;0,RANK(D310,$D$298:$D$316),)</f>
        <v>3</v>
      </c>
      <c r="J310" s="107">
        <f>IF(E310&gt;0,RANK(E310,$E$298:$E$316),)</f>
        <v>10</v>
      </c>
      <c r="K310" s="107">
        <f>IF(F310&gt;0,RANK(F310,$F$298:$F$316),)</f>
        <v>3</v>
      </c>
      <c r="L310" s="168"/>
      <c r="M310" s="824">
        <f>+'[1]NEW-Tables 80-86'!AE175</f>
        <v>24080.6</v>
      </c>
      <c r="N310" s="73"/>
      <c r="O310" s="73"/>
      <c r="P310" s="73"/>
      <c r="Q310" s="73"/>
    </row>
    <row r="311" spans="1:17" s="61" customFormat="1" ht="12.75" customHeight="1">
      <c r="A311" s="73" t="s">
        <v>325</v>
      </c>
      <c r="B311" s="75">
        <f>IF($M311&gt;0,('Amounts Pivot Table'!K$436/$M311),0)</f>
        <v>1342.7180245179657</v>
      </c>
      <c r="C311" s="75">
        <f>IF($M311&gt;0,('Amounts Pivot Table'!K$439/$M311),0)</f>
        <v>290.55524093224147</v>
      </c>
      <c r="D311" s="75">
        <f>IF($M311&gt;0,('Amounts Pivot Table'!K$442/$M311),0)</f>
        <v>871.26648468854182</v>
      </c>
      <c r="E311" s="75">
        <f>IF($M311&gt;0,('Amounts Pivot Table'!K$445/$M311),0)</f>
        <v>4314.3697780395441</v>
      </c>
      <c r="F311" s="75">
        <f t="shared" si="55"/>
        <v>6818.9095281782929</v>
      </c>
      <c r="G311" s="116">
        <f>IF(B311&gt;0,RANK(B311,$B$298:$B$316),)</f>
        <v>14</v>
      </c>
      <c r="H311" s="107">
        <f>IF(C311&gt;0,RANK(C311,$C$298:$C$316),)</f>
        <v>3</v>
      </c>
      <c r="I311" s="107">
        <f>IF(D311&gt;0,RANK(D311,$D$298:$D$316),)</f>
        <v>6</v>
      </c>
      <c r="J311" s="107">
        <f>IF(E311&gt;0,RANK(E311,$E$298:$E$316),)</f>
        <v>6</v>
      </c>
      <c r="K311" s="107">
        <f>IF(F311&gt;0,RANK(F311,$F$298:$F$316),)</f>
        <v>11</v>
      </c>
      <c r="L311" s="168"/>
      <c r="M311" s="824">
        <f>+'[1]NEW-Tables 80-86'!AE176</f>
        <v>52973.4</v>
      </c>
      <c r="N311" s="73"/>
      <c r="O311" s="73"/>
      <c r="P311" s="73"/>
      <c r="Q311" s="73"/>
    </row>
    <row r="312" spans="1:17" s="61" customFormat="1" ht="9.75" customHeight="1">
      <c r="A312" s="73"/>
      <c r="B312" s="75"/>
      <c r="C312" s="75"/>
      <c r="D312" s="75"/>
      <c r="E312" s="75"/>
      <c r="F312" s="75"/>
      <c r="G312" s="116"/>
      <c r="H312" s="107"/>
      <c r="I312" s="107"/>
      <c r="J312" s="107"/>
      <c r="K312" s="107"/>
      <c r="L312" s="168"/>
      <c r="M312" s="824"/>
      <c r="N312" s="73"/>
      <c r="O312" s="73"/>
      <c r="P312" s="73"/>
      <c r="Q312" s="73"/>
    </row>
    <row r="313" spans="1:17" s="61" customFormat="1" ht="12.75" customHeight="1">
      <c r="A313" s="73" t="s">
        <v>90</v>
      </c>
      <c r="B313" s="75">
        <f>IF($M313&gt;0,('Amounts Pivot Table'!K$475/$M313),0)</f>
        <v>3411.988569693558</v>
      </c>
      <c r="C313" s="75">
        <f>IF($M313&gt;0,('Amounts Pivot Table'!K$478/$M313),0)</f>
        <v>0</v>
      </c>
      <c r="D313" s="75">
        <f>IF($M313&gt;0,('Amounts Pivot Table'!K$481/$M313),0)</f>
        <v>0</v>
      </c>
      <c r="E313" s="75">
        <f>IF($M313&gt;0,('Amounts Pivot Table'!K$484/$M313),0)</f>
        <v>4663.4815309146461</v>
      </c>
      <c r="F313" s="75">
        <f t="shared" si="55"/>
        <v>8075.4701006082041</v>
      </c>
      <c r="G313" s="116">
        <f>IF(B313&gt;0,RANK(B313,$B$298:$B$316),)</f>
        <v>6</v>
      </c>
      <c r="H313" s="107">
        <f>IF(C313&gt;0,RANK(C313,$C$298:$C$316),)</f>
        <v>0</v>
      </c>
      <c r="I313" s="107">
        <f>IF(D313&gt;0,RANK(D313,$D$298:$D$316),)</f>
        <v>0</v>
      </c>
      <c r="J313" s="107">
        <f>IF(E313&gt;0,RANK(E313,$E$298:$E$316),)</f>
        <v>3</v>
      </c>
      <c r="K313" s="107">
        <f>IF(F313&gt;0,RANK(F313,$F$298:$F$316),)</f>
        <v>5</v>
      </c>
      <c r="L313" s="168"/>
      <c r="M313" s="824">
        <f>+'[1]NEW-Tables 80-86'!AE178</f>
        <v>31617.699999999997</v>
      </c>
      <c r="N313" s="73"/>
      <c r="O313" s="73"/>
      <c r="P313" s="73"/>
      <c r="Q313" s="73"/>
    </row>
    <row r="314" spans="1:17" s="76" customFormat="1" ht="12.75" customHeight="1">
      <c r="A314" s="73" t="s">
        <v>177</v>
      </c>
      <c r="B314" s="75">
        <f>IF($M314&gt;0,('Amounts Pivot Table'!K$514/$M314),0)</f>
        <v>2317.9962594020735</v>
      </c>
      <c r="C314" s="75">
        <f>IF($M314&gt;0,('Amounts Pivot Table'!K$517/$M314),0)</f>
        <v>0</v>
      </c>
      <c r="D314" s="75">
        <f>IF($M314&gt;0,('Amounts Pivot Table'!K$520/$M314),0)</f>
        <v>2989.3633801604133</v>
      </c>
      <c r="E314" s="75">
        <f>IF($M314&gt;0,('Amounts Pivot Table'!K$523/$M314),0)</f>
        <v>1905.6211568336591</v>
      </c>
      <c r="F314" s="75">
        <f t="shared" si="55"/>
        <v>7212.9807963961457</v>
      </c>
      <c r="G314" s="116">
        <f>IF(B314&gt;0,RANK(B314,$B$298:$B$316),)</f>
        <v>10</v>
      </c>
      <c r="H314" s="107">
        <f>IF(C314&gt;0,RANK(C314,$C$298:$C$316),)</f>
        <v>0</v>
      </c>
      <c r="I314" s="107">
        <f>IF(D314&gt;0,RANK(D314,$D$298:$D$316),)</f>
        <v>2</v>
      </c>
      <c r="J314" s="107">
        <f>IF(E314&gt;0,RANK(E314,$E$298:$E$316),)</f>
        <v>13</v>
      </c>
      <c r="K314" s="107">
        <f>IF(F314&gt;0,RANK(F314,$F$298:$F$316),)</f>
        <v>9</v>
      </c>
      <c r="L314" s="169"/>
      <c r="M314" s="824">
        <f>+'[1]NEW-Tables 80-86'!AE179</f>
        <v>281927.0011111112</v>
      </c>
      <c r="N314" s="90"/>
      <c r="O314" s="90"/>
      <c r="P314" s="90"/>
      <c r="Q314" s="90"/>
    </row>
    <row r="315" spans="1:17" s="61" customFormat="1" ht="12.75" customHeight="1">
      <c r="A315" s="73" t="s">
        <v>327</v>
      </c>
      <c r="B315" s="75">
        <f>IF($M315&gt;0,('Amounts Pivot Table'!K$553/$M315),0)</f>
        <v>0</v>
      </c>
      <c r="C315" s="75">
        <f>IF($M315&gt;0,('Amounts Pivot Table'!K$556/$M315),0)</f>
        <v>0</v>
      </c>
      <c r="D315" s="75">
        <f>IF($M315&gt;0,('Amounts Pivot Table'!K$559/$M315),0)</f>
        <v>0</v>
      </c>
      <c r="E315" s="75">
        <f>IF($M315&gt;0,('Amounts Pivot Table'!K$562/$M315),0)</f>
        <v>0</v>
      </c>
      <c r="F315" s="75">
        <f t="shared" si="55"/>
        <v>0</v>
      </c>
      <c r="G315" s="116">
        <f>IF(B315&gt;0,RANK(B315,$B$298:$B$316),)</f>
        <v>0</v>
      </c>
      <c r="H315" s="107">
        <f>IF(C315&gt;0,RANK(C315,$C$298:$C$316),)</f>
        <v>0</v>
      </c>
      <c r="I315" s="107">
        <f>IF(D315&gt;0,RANK(D315,$D$298:$D$316),)</f>
        <v>0</v>
      </c>
      <c r="J315" s="107">
        <f>IF(E315&gt;0,RANK(E315,$E$298:$E$316),)</f>
        <v>0</v>
      </c>
      <c r="K315" s="107">
        <f>IF(F315&gt;0,RANK(F315,$F$298:$F$316),)</f>
        <v>0</v>
      </c>
      <c r="L315" s="170"/>
      <c r="M315" s="824">
        <f>+'[1]NEW-Tables 80-86'!AE180</f>
        <v>75081.7</v>
      </c>
      <c r="N315" s="73"/>
      <c r="O315" s="73"/>
      <c r="P315" s="73"/>
      <c r="Q315" s="73"/>
    </row>
    <row r="316" spans="1:17" s="61" customFormat="1" ht="15.75" customHeight="1">
      <c r="A316" s="74" t="s">
        <v>332</v>
      </c>
      <c r="B316" s="104">
        <f>IF($M316&gt;0,('Amounts Pivot Table'!K$592/$M316),0)</f>
        <v>0</v>
      </c>
      <c r="C316" s="104">
        <f>IF($M316&gt;0,('Amounts Pivot Table'!K$595/$M316),0)</f>
        <v>0</v>
      </c>
      <c r="D316" s="104">
        <f>IF($M316&gt;0,('Amounts Pivot Table'!K$598/$M316),0)</f>
        <v>0</v>
      </c>
      <c r="E316" s="104">
        <f>IF($M316&gt;0,('Amounts Pivot Table'!K$601/$M316),0)</f>
        <v>0</v>
      </c>
      <c r="F316" s="105">
        <f t="shared" si="55"/>
        <v>0</v>
      </c>
      <c r="G316" s="117">
        <f>IF(B316&gt;0,RANK(B316,$B$298:$B$316),)</f>
        <v>0</v>
      </c>
      <c r="H316" s="118">
        <f>IF(C316&gt;0,RANK(C316,$C$298:$C$316),)</f>
        <v>0</v>
      </c>
      <c r="I316" s="118">
        <f>IF(D316&gt;0,RANK(D316,$D$298:$D$316),)</f>
        <v>0</v>
      </c>
      <c r="J316" s="118">
        <f>IF(E316&gt;0,RANK(E316,$E$298:$E$316),)</f>
        <v>0</v>
      </c>
      <c r="K316" s="118">
        <f>IF(F316&gt;0,RANK(F316,$F$298:$F$316),)</f>
        <v>0</v>
      </c>
      <c r="L316" s="171"/>
      <c r="M316" s="824">
        <f>+'[1]NEW-Tables 80-86'!AE181</f>
        <v>0</v>
      </c>
      <c r="N316" s="73"/>
      <c r="O316" s="73"/>
      <c r="P316" s="73"/>
      <c r="Q316" s="73"/>
    </row>
    <row r="317" spans="1:17" s="76" customFormat="1" ht="18">
      <c r="A317" s="1532" t="s">
        <v>201</v>
      </c>
      <c r="B317" s="1532"/>
      <c r="C317" s="1532"/>
      <c r="D317" s="1532"/>
      <c r="E317" s="1532"/>
      <c r="F317" s="1532"/>
      <c r="G317" s="1532"/>
      <c r="H317" s="1532"/>
      <c r="I317" s="1532"/>
      <c r="J317" s="1532"/>
      <c r="K317" s="1532"/>
      <c r="L317" s="169"/>
      <c r="M317" s="300"/>
      <c r="N317" s="90"/>
      <c r="O317" s="90"/>
      <c r="P317" s="90"/>
      <c r="Q317" s="90"/>
    </row>
    <row r="318" spans="1:17" s="76" customFormat="1" ht="32.25" customHeight="1">
      <c r="A318" s="1505" t="s">
        <v>17</v>
      </c>
      <c r="B318" s="1529"/>
      <c r="C318" s="1529"/>
      <c r="D318" s="1529"/>
      <c r="E318" s="1529"/>
      <c r="F318" s="1529"/>
      <c r="G318" s="1529"/>
      <c r="H318" s="1529"/>
      <c r="I318" s="1529"/>
      <c r="J318" s="1529"/>
      <c r="K318" s="1529"/>
      <c r="L318" s="169"/>
      <c r="M318" s="296"/>
      <c r="N318" s="90"/>
      <c r="O318" s="90"/>
      <c r="P318" s="90"/>
      <c r="Q318" s="90"/>
    </row>
    <row r="319" spans="1:17" s="205" customFormat="1" ht="13.5" customHeight="1">
      <c r="A319" s="1505" t="s">
        <v>54</v>
      </c>
      <c r="B319" s="1529"/>
      <c r="C319" s="1529"/>
      <c r="D319" s="1529"/>
      <c r="E319" s="1529"/>
      <c r="F319" s="1529"/>
      <c r="G319" s="1529"/>
      <c r="H319" s="1529"/>
      <c r="I319" s="1529"/>
      <c r="J319" s="1529"/>
      <c r="K319" s="1529"/>
      <c r="L319" s="204"/>
      <c r="M319" s="302"/>
      <c r="N319" s="206"/>
      <c r="O319" s="206"/>
      <c r="P319" s="206"/>
      <c r="Q319" s="206"/>
    </row>
    <row r="320" spans="1:17" s="61" customFormat="1" ht="13.5" customHeight="1">
      <c r="A320" s="1505" t="s">
        <v>233</v>
      </c>
      <c r="B320" s="1530"/>
      <c r="C320" s="1530"/>
      <c r="D320" s="1530"/>
      <c r="E320" s="1530"/>
      <c r="F320" s="1530"/>
      <c r="G320" s="1531"/>
      <c r="H320" s="1531"/>
      <c r="I320" s="1531"/>
      <c r="J320" s="1531"/>
      <c r="K320" s="1531"/>
      <c r="L320" s="171"/>
      <c r="M320" s="300"/>
      <c r="N320" s="73"/>
      <c r="O320" s="73"/>
      <c r="P320" s="73"/>
      <c r="Q320" s="73"/>
    </row>
    <row r="321" spans="1:17" s="61" customFormat="1">
      <c r="A321" s="187"/>
      <c r="B321" s="106"/>
      <c r="C321" s="106"/>
      <c r="D321" s="106"/>
      <c r="E321" s="106"/>
      <c r="F321" s="106"/>
      <c r="G321" s="188"/>
      <c r="H321" s="188"/>
      <c r="I321" s="188"/>
      <c r="J321" s="188"/>
      <c r="K321" s="534" t="s">
        <v>1927</v>
      </c>
      <c r="L321" s="193"/>
      <c r="M321" s="296"/>
      <c r="N321" s="73"/>
      <c r="O321" s="73"/>
      <c r="P321" s="73"/>
      <c r="Q321" s="73"/>
    </row>
    <row r="322" spans="1:17" s="61" customFormat="1" ht="18">
      <c r="A322" s="135" t="s">
        <v>368</v>
      </c>
      <c r="B322" s="135"/>
      <c r="C322" s="135"/>
      <c r="D322" s="135"/>
      <c r="E322" s="135"/>
      <c r="F322" s="135"/>
      <c r="G322" s="135"/>
      <c r="H322" s="135"/>
      <c r="I322" s="135"/>
      <c r="J322" s="565"/>
      <c r="K322" s="135"/>
      <c r="L322" s="170"/>
      <c r="M322" s="296"/>
      <c r="N322" s="73"/>
      <c r="O322" s="73"/>
      <c r="P322" s="73"/>
      <c r="Q322" s="73"/>
    </row>
    <row r="323" spans="1:17" s="61" customFormat="1" ht="12.75" customHeight="1">
      <c r="A323" s="135"/>
      <c r="B323" s="135"/>
      <c r="C323" s="135"/>
      <c r="D323" s="135"/>
      <c r="E323" s="135"/>
      <c r="F323" s="135"/>
      <c r="G323" s="135"/>
      <c r="H323" s="135"/>
      <c r="I323" s="135"/>
      <c r="J323" s="565"/>
      <c r="K323" s="135"/>
      <c r="L323" s="170"/>
      <c r="M323" s="296"/>
      <c r="N323" s="73"/>
      <c r="O323" s="73"/>
      <c r="P323" s="73"/>
      <c r="Q323" s="73"/>
    </row>
    <row r="324" spans="1:17" s="61" customFormat="1" ht="18.75">
      <c r="A324" s="1504" t="s">
        <v>18</v>
      </c>
      <c r="B324" s="1504"/>
      <c r="C324" s="1504"/>
      <c r="D324" s="1504"/>
      <c r="E324" s="1504"/>
      <c r="F324" s="1504"/>
      <c r="G324" s="1504"/>
      <c r="H324" s="1504"/>
      <c r="I324" s="1504"/>
      <c r="J324" s="1504"/>
      <c r="K324" s="1504"/>
      <c r="L324" s="165"/>
      <c r="M324" s="296"/>
      <c r="N324" s="73"/>
      <c r="O324" s="73"/>
      <c r="P324" s="73"/>
      <c r="Q324" s="73"/>
    </row>
    <row r="325" spans="1:17" s="61" customFormat="1" ht="15.75">
      <c r="A325" s="1504" t="s">
        <v>1939</v>
      </c>
      <c r="B325" s="1504"/>
      <c r="C325" s="1504"/>
      <c r="D325" s="1504"/>
      <c r="E325" s="1504"/>
      <c r="F325" s="1504"/>
      <c r="G325" s="1504"/>
      <c r="H325" s="1504"/>
      <c r="I325" s="1504"/>
      <c r="J325" s="1504"/>
      <c r="K325" s="1504"/>
      <c r="L325" s="165"/>
      <c r="M325" s="299"/>
      <c r="N325" s="73"/>
      <c r="O325" s="73"/>
      <c r="P325" s="73"/>
      <c r="Q325" s="73"/>
    </row>
    <row r="326" spans="1:17" s="61" customFormat="1" ht="9" customHeight="1">
      <c r="A326" s="91"/>
      <c r="B326" s="91"/>
      <c r="C326" s="91"/>
      <c r="D326" s="91"/>
      <c r="E326" s="91"/>
      <c r="F326" s="91"/>
      <c r="G326" s="108"/>
      <c r="H326" s="91"/>
      <c r="I326" s="91"/>
      <c r="J326" s="91"/>
      <c r="K326" s="91"/>
      <c r="L326" s="165"/>
      <c r="M326" s="299"/>
      <c r="N326" s="73"/>
      <c r="O326" s="73"/>
      <c r="P326" s="73"/>
      <c r="Q326" s="73"/>
    </row>
    <row r="327" spans="1:17" s="61" customFormat="1" ht="14.25" customHeight="1">
      <c r="A327" s="60"/>
      <c r="B327" s="1527" t="s">
        <v>55</v>
      </c>
      <c r="C327" s="1528"/>
      <c r="D327" s="1528"/>
      <c r="E327" s="1528"/>
      <c r="F327" s="1528"/>
      <c r="G327" s="568" t="s">
        <v>119</v>
      </c>
      <c r="H327" s="569"/>
      <c r="I327" s="569"/>
      <c r="J327" s="569"/>
      <c r="K327" s="569"/>
      <c r="L327" s="173"/>
      <c r="M327" s="296"/>
      <c r="N327" s="73"/>
      <c r="O327" s="73"/>
      <c r="P327" s="73"/>
      <c r="Q327" s="73"/>
    </row>
    <row r="328" spans="1:17" s="178" customFormat="1" ht="48" customHeight="1">
      <c r="A328" s="50"/>
      <c r="B328" s="549" t="s">
        <v>87</v>
      </c>
      <c r="C328" s="550" t="s">
        <v>89</v>
      </c>
      <c r="D328" s="550" t="s">
        <v>88</v>
      </c>
      <c r="E328" s="550" t="s">
        <v>397</v>
      </c>
      <c r="F328" s="550" t="s">
        <v>97</v>
      </c>
      <c r="G328" s="551" t="s">
        <v>87</v>
      </c>
      <c r="H328" s="550" t="s">
        <v>89</v>
      </c>
      <c r="I328" s="550" t="s">
        <v>88</v>
      </c>
      <c r="J328" s="550" t="s">
        <v>397</v>
      </c>
      <c r="K328" s="550" t="s">
        <v>97</v>
      </c>
      <c r="L328" s="176"/>
      <c r="M328" s="298" t="s">
        <v>260</v>
      </c>
      <c r="N328" s="177"/>
      <c r="O328" s="177"/>
      <c r="P328" s="177"/>
      <c r="Q328" s="177"/>
    </row>
    <row r="329" spans="1:17" s="61" customFormat="1" ht="14.25">
      <c r="A329" s="73" t="s">
        <v>56</v>
      </c>
      <c r="B329" s="102">
        <f>IF($M329&gt;0,('Amounts Pivot Table'!L$631/$M329),0)</f>
        <v>3507.0429905569763</v>
      </c>
      <c r="C329" s="102">
        <f>IF($M329&gt;0,('Amounts Pivot Table'!L$634/$M329),0)</f>
        <v>243.67566921567567</v>
      </c>
      <c r="D329" s="102">
        <f>IF($M329&gt;0,('Amounts Pivot Table'!L$637/$M329),0)</f>
        <v>847.25011096180901</v>
      </c>
      <c r="E329" s="102">
        <f>IF($M329&gt;0,('Amounts Pivot Table'!L$640/$M329),0)</f>
        <v>2901.5339537477553</v>
      </c>
      <c r="F329" s="102">
        <f>SUM(B329:E329)</f>
        <v>7499.5027244822159</v>
      </c>
      <c r="G329" s="114"/>
      <c r="H329" s="115"/>
      <c r="I329" s="115"/>
      <c r="J329" s="115"/>
      <c r="K329" s="115"/>
      <c r="L329" s="168"/>
      <c r="M329" s="824">
        <f>+'[1]NEW-Tables 80-86'!AF161</f>
        <v>394722.89666666667</v>
      </c>
      <c r="N329" s="73"/>
      <c r="O329" s="73"/>
      <c r="P329" s="73"/>
      <c r="Q329" s="73"/>
    </row>
    <row r="330" spans="1:17" s="61" customFormat="1" ht="10.5" customHeight="1">
      <c r="A330" s="73"/>
      <c r="B330" s="102"/>
      <c r="C330" s="102"/>
      <c r="D330" s="102"/>
      <c r="E330" s="102"/>
      <c r="F330" s="102"/>
      <c r="G330" s="114"/>
      <c r="H330" s="115"/>
      <c r="I330" s="115"/>
      <c r="J330" s="115"/>
      <c r="K330" s="115"/>
      <c r="L330" s="168"/>
      <c r="M330" s="824"/>
      <c r="N330" s="73"/>
      <c r="O330" s="73"/>
      <c r="P330" s="73"/>
      <c r="Q330" s="73"/>
    </row>
    <row r="331" spans="1:17" s="61" customFormat="1" ht="12.75" customHeight="1">
      <c r="A331" s="73" t="s">
        <v>320</v>
      </c>
      <c r="B331" s="75">
        <f>IF($M331&gt;0,('Amounts Pivot Table'!L$7/$M331),0)</f>
        <v>4328.7859649191314</v>
      </c>
      <c r="C331" s="75">
        <f>IF($M331&gt;0,('Amounts Pivot Table'!L$10/$M331),0)</f>
        <v>359.90439946029426</v>
      </c>
      <c r="D331" s="75">
        <f>IF($M331&gt;0,('Amounts Pivot Table'!L$13/$M331),0)</f>
        <v>29.816589895944588</v>
      </c>
      <c r="E331" s="75">
        <f>IF($M331&gt;0,('Amounts Pivot Table'!L$16/$M331),0)</f>
        <v>3877.5143957307791</v>
      </c>
      <c r="F331" s="75">
        <f t="shared" ref="F331:F349" si="56">SUM(B331:E331)</f>
        <v>8596.0213500061491</v>
      </c>
      <c r="G331" s="116">
        <f>IF(B331&gt;0,RANK(B331,$B$331:$B$349),)</f>
        <v>4</v>
      </c>
      <c r="H331" s="107">
        <f>IF(C331&gt;0,RANK(C331,$C$331:$C$349),)</f>
        <v>4</v>
      </c>
      <c r="I331" s="107">
        <f>IF(D331&gt;0,RANK(D331,$D$331:$D$349),)</f>
        <v>7</v>
      </c>
      <c r="J331" s="107">
        <f>IF(E331&gt;0,RANK(E331,$E$331:$E$349),)</f>
        <v>8</v>
      </c>
      <c r="K331" s="107">
        <f>IF(F331&gt;0,RANK(F331,$F$331:$F$349),)</f>
        <v>6</v>
      </c>
      <c r="L331" s="168"/>
      <c r="M331" s="824">
        <f>+'[1]NEW-Tables 80-86'!AF163</f>
        <v>34142.066666666673</v>
      </c>
      <c r="N331" s="73"/>
      <c r="O331" s="73"/>
      <c r="P331" s="73"/>
      <c r="Q331" s="73"/>
    </row>
    <row r="332" spans="1:17" s="61" customFormat="1" ht="12.75" customHeight="1">
      <c r="A332" s="73" t="s">
        <v>334</v>
      </c>
      <c r="B332" s="75">
        <f>IF($M332&gt;0,('Amounts Pivot Table'!L$46/$M332),0)</f>
        <v>4887.8235804895248</v>
      </c>
      <c r="C332" s="75">
        <f>IF($M332&gt;0,('Amounts Pivot Table'!L$49/$M332),0)</f>
        <v>0</v>
      </c>
      <c r="D332" s="75">
        <f>IF($M332&gt;0,('Amounts Pivot Table'!L$52/$M332),0)</f>
        <v>332.96554785890095</v>
      </c>
      <c r="E332" s="75">
        <f>IF($M332&gt;0,('Amounts Pivot Table'!L$55/$M332),0)</f>
        <v>3613.9124757620666</v>
      </c>
      <c r="F332" s="75">
        <f t="shared" si="56"/>
        <v>8834.7016041104926</v>
      </c>
      <c r="G332" s="116">
        <f>IF(B332&gt;0,RANK(B332,$B$331:$B$349),)</f>
        <v>3</v>
      </c>
      <c r="H332" s="107">
        <f>IF(C332&gt;0,RANK(C332,$C$331:$C$349),)</f>
        <v>0</v>
      </c>
      <c r="I332" s="107">
        <f>IF(D332&gt;0,RANK(D332,$D$331:$D$349),)</f>
        <v>6</v>
      </c>
      <c r="J332" s="107">
        <f>IF(E332&gt;0,RANK(E332,$E$331:$E$349),)</f>
        <v>10</v>
      </c>
      <c r="K332" s="107">
        <f>IF(F332&gt;0,RANK(F332,$F$331:$F$349),)</f>
        <v>4</v>
      </c>
      <c r="L332" s="168"/>
      <c r="M332" s="824">
        <f>+'[1]NEW-Tables 80-86'!AF164</f>
        <v>5105.6333333333332</v>
      </c>
      <c r="N332" s="73"/>
      <c r="O332" s="73"/>
      <c r="P332" s="73"/>
      <c r="Q332" s="73"/>
    </row>
    <row r="333" spans="1:17" s="61" customFormat="1" ht="12.75" customHeight="1">
      <c r="A333" s="73" t="s">
        <v>321</v>
      </c>
      <c r="B333" s="75">
        <f>IF($M333&gt;0,('Amounts Pivot Table'!L$85/$M333),0)</f>
        <v>6259.5430535225605</v>
      </c>
      <c r="C333" s="75">
        <f>IF($M333&gt;0,('Amounts Pivot Table'!L$88/$M333),0)</f>
        <v>0</v>
      </c>
      <c r="D333" s="75">
        <f>IF($M333&gt;0,('Amounts Pivot Table'!L$91/$M333),0)</f>
        <v>0</v>
      </c>
      <c r="E333" s="75">
        <f>IF($M333&gt;0,('Amounts Pivot Table'!L$94/$M333),0)</f>
        <v>4681.588493604022</v>
      </c>
      <c r="F333" s="75">
        <f t="shared" si="56"/>
        <v>10941.131547126583</v>
      </c>
      <c r="G333" s="116">
        <f>IF(B333&gt;0,RANK(B333,$B$331:$B$349),)</f>
        <v>1</v>
      </c>
      <c r="H333" s="107">
        <f>IF(C333&gt;0,RANK(C333,$C$331:$C$349),)</f>
        <v>0</v>
      </c>
      <c r="I333" s="107">
        <f>IF(D333&gt;0,RANK(D333,$D$331:$D$349),)</f>
        <v>0</v>
      </c>
      <c r="J333" s="107">
        <f>IF(E333&gt;0,RANK(E333,$E$331:$E$349),)</f>
        <v>4</v>
      </c>
      <c r="K333" s="107">
        <f>IF(F333&gt;0,RANK(F333,$F$331:$F$349),)</f>
        <v>2</v>
      </c>
      <c r="L333" s="168"/>
      <c r="M333" s="824">
        <f>+'[1]NEW-Tables 80-86'!AF165</f>
        <v>5237.666666666667</v>
      </c>
      <c r="N333" s="73"/>
      <c r="O333" s="73"/>
      <c r="P333" s="73"/>
      <c r="Q333" s="73"/>
    </row>
    <row r="334" spans="1:17" s="61" customFormat="1" ht="12.75" customHeight="1">
      <c r="A334" s="73" t="s">
        <v>328</v>
      </c>
      <c r="B334" s="75">
        <f>IF($M334&gt;0,('Amounts Pivot Table'!L$124/$M334),0)</f>
        <v>6061.5688608968248</v>
      </c>
      <c r="C334" s="75">
        <f>IF($M334&gt;0,('Amounts Pivot Table'!L$127/$M334),0)</f>
        <v>0</v>
      </c>
      <c r="D334" s="75">
        <f>IF($M334&gt;0,('Amounts Pivot Table'!L$130/$M334),0)</f>
        <v>0</v>
      </c>
      <c r="E334" s="75">
        <f>IF($M334&gt;0,('Amounts Pivot Table'!L$133/$M334),0)</f>
        <v>2028.9128089972687</v>
      </c>
      <c r="F334" s="75">
        <f t="shared" si="56"/>
        <v>8090.481669894094</v>
      </c>
      <c r="G334" s="116">
        <f>IF(B334&gt;0,RANK(B334,$B$331:$B$349),)</f>
        <v>2</v>
      </c>
      <c r="H334" s="107">
        <f>IF(C334&gt;0,RANK(C334,$C$331:$C$349),)</f>
        <v>0</v>
      </c>
      <c r="I334" s="107">
        <f>IF(D334&gt;0,RANK(D334,$D$331:$D$349),)</f>
        <v>0</v>
      </c>
      <c r="J334" s="107">
        <f>IF(E334&gt;0,RANK(E334,$E$331:$E$349),)</f>
        <v>14</v>
      </c>
      <c r="K334" s="107">
        <f>IF(F334&gt;0,RANK(F334,$F$331:$F$349),)</f>
        <v>9</v>
      </c>
      <c r="L334" s="168"/>
      <c r="M334" s="824">
        <f>+'[1]NEW-Tables 80-86'!AF166</f>
        <v>7046.0888888888894</v>
      </c>
      <c r="N334" s="73"/>
      <c r="O334" s="73"/>
      <c r="P334" s="73"/>
      <c r="Q334" s="73"/>
    </row>
    <row r="335" spans="1:17" s="61" customFormat="1" ht="10.5" customHeight="1">
      <c r="A335" s="73"/>
      <c r="B335" s="75"/>
      <c r="C335" s="75"/>
      <c r="D335" s="75"/>
      <c r="E335" s="75"/>
      <c r="F335" s="75"/>
      <c r="G335" s="116"/>
      <c r="H335" s="107"/>
      <c r="I335" s="107"/>
      <c r="J335" s="107"/>
      <c r="K335" s="107"/>
      <c r="L335" s="168"/>
      <c r="M335" s="824"/>
      <c r="N335" s="73"/>
      <c r="O335" s="73"/>
      <c r="P335" s="73"/>
      <c r="Q335" s="73"/>
    </row>
    <row r="336" spans="1:17" s="61" customFormat="1" ht="12.75" customHeight="1">
      <c r="A336" s="73" t="s">
        <v>329</v>
      </c>
      <c r="B336" s="75">
        <f>IF($M336&gt;0,('Amounts Pivot Table'!L$163/$M336),0)</f>
        <v>3951.1137910594193</v>
      </c>
      <c r="C336" s="75">
        <f>IF($M336&gt;0,('Amounts Pivot Table'!L$166/$M336),0)</f>
        <v>0</v>
      </c>
      <c r="D336" s="75">
        <f>IF($M336&gt;0,('Amounts Pivot Table'!L$169/$M336),0)</f>
        <v>0</v>
      </c>
      <c r="E336" s="75">
        <f>IF($M336&gt;0,('Amounts Pivot Table'!L$172/$M336),0)</f>
        <v>3378.9229138500436</v>
      </c>
      <c r="F336" s="75">
        <f t="shared" si="56"/>
        <v>7330.036704909463</v>
      </c>
      <c r="G336" s="116">
        <f>IF(B336&gt;0,RANK(B336,$B$331:$B$349),)</f>
        <v>9</v>
      </c>
      <c r="H336" s="107">
        <f>IF(C336&gt;0,RANK(C336,$C$331:$C$349),)</f>
        <v>0</v>
      </c>
      <c r="I336" s="107">
        <f>IF(D336&gt;0,RANK(D336,$D$331:$D$349),)</f>
        <v>0</v>
      </c>
      <c r="J336" s="107">
        <f>IF(E336&gt;0,RANK(E336,$E$331:$E$349),)</f>
        <v>11</v>
      </c>
      <c r="K336" s="107">
        <f>IF(F336&gt;0,RANK(F336,$F$331:$F$349),)</f>
        <v>14</v>
      </c>
      <c r="L336" s="168"/>
      <c r="M336" s="824">
        <f>+'[1]NEW-Tables 80-86'!AF168</f>
        <v>17123.050000000003</v>
      </c>
      <c r="N336" s="73"/>
      <c r="O336" s="73"/>
      <c r="P336" s="73"/>
      <c r="Q336" s="73"/>
    </row>
    <row r="337" spans="1:17" s="61" customFormat="1" ht="12.75" customHeight="1">
      <c r="A337" s="73" t="s">
        <v>322</v>
      </c>
      <c r="B337" s="75">
        <f>IF($M337&gt;0,('Amounts Pivot Table'!L$202/$M337),0)</f>
        <v>3390.8317668389382</v>
      </c>
      <c r="C337" s="75">
        <f>IF($M337&gt;0,('Amounts Pivot Table'!L$205/$M337),0)</f>
        <v>0</v>
      </c>
      <c r="D337" s="75">
        <f>IF($M337&gt;0,('Amounts Pivot Table'!L$208/$M337),0)</f>
        <v>0</v>
      </c>
      <c r="E337" s="75">
        <f>IF($M337&gt;0,('Amounts Pivot Table'!L$211/$M337),0)</f>
        <v>4158.2589297918521</v>
      </c>
      <c r="F337" s="75">
        <f t="shared" si="56"/>
        <v>7549.0906966307903</v>
      </c>
      <c r="G337" s="116">
        <f>IF(B337&gt;0,RANK(B337,$B$331:$B$349),)</f>
        <v>13</v>
      </c>
      <c r="H337" s="107">
        <f>IF(C337&gt;0,RANK(C337,$C$331:$C$349),)</f>
        <v>0</v>
      </c>
      <c r="I337" s="107">
        <f>IF(D337&gt;0,RANK(D337,$D$331:$D$349),)</f>
        <v>0</v>
      </c>
      <c r="J337" s="107">
        <f>IF(E337&gt;0,RANK(E337,$E$331:$E$349),)</f>
        <v>6</v>
      </c>
      <c r="K337" s="107">
        <f>IF(F337&gt;0,RANK(F337,$F$331:$F$349),)</f>
        <v>12</v>
      </c>
      <c r="L337" s="168"/>
      <c r="M337" s="824">
        <f>+'[1]NEW-Tables 80-86'!AF169</f>
        <v>30483.166666666668</v>
      </c>
      <c r="N337" s="73"/>
      <c r="O337" s="73"/>
      <c r="P337" s="73"/>
      <c r="Q337" s="73"/>
    </row>
    <row r="338" spans="1:17" s="61" customFormat="1" ht="12.75" customHeight="1">
      <c r="A338" s="73" t="s">
        <v>330</v>
      </c>
      <c r="B338" s="75">
        <f>IF($M338&gt;0,('Amounts Pivot Table'!L$241/$M338),0)</f>
        <v>3030.5768412025977</v>
      </c>
      <c r="C338" s="75">
        <f>IF($M338&gt;0,('Amounts Pivot Table'!L$244/$M338),0)</f>
        <v>0</v>
      </c>
      <c r="D338" s="75">
        <f>IF($M338&gt;0,('Amounts Pivot Table'!L$247/$M338),0)</f>
        <v>0</v>
      </c>
      <c r="E338" s="75">
        <f>IF($M338&gt;0,('Amounts Pivot Table'!L$250/$M338),0)</f>
        <v>3736.1666812608132</v>
      </c>
      <c r="F338" s="75">
        <f t="shared" si="56"/>
        <v>6766.743522463411</v>
      </c>
      <c r="G338" s="116">
        <f>IF(B338&gt;0,RANK(B338,$B$331:$B$349),)</f>
        <v>14</v>
      </c>
      <c r="H338" s="107">
        <f>IF(C338&gt;0,RANK(C338,$C$331:$C$349),)</f>
        <v>0</v>
      </c>
      <c r="I338" s="107">
        <f>IF(D338&gt;0,RANK(D338,$D$331:$D$349),)</f>
        <v>0</v>
      </c>
      <c r="J338" s="107">
        <f>IF(E338&gt;0,RANK(E338,$E$331:$E$349),)</f>
        <v>9</v>
      </c>
      <c r="K338" s="107">
        <f>IF(F338&gt;0,RANK(F338,$F$331:$F$349),)</f>
        <v>15</v>
      </c>
      <c r="L338" s="168"/>
      <c r="M338" s="824">
        <f>+'[1]NEW-Tables 80-86'!AF170</f>
        <v>11039.433333333334</v>
      </c>
      <c r="N338" s="73"/>
      <c r="O338" s="73"/>
      <c r="P338" s="73"/>
      <c r="Q338" s="73"/>
    </row>
    <row r="339" spans="1:17" s="61" customFormat="1" ht="12.75" customHeight="1">
      <c r="A339" s="73" t="s">
        <v>333</v>
      </c>
      <c r="B339" s="75">
        <f>IF($M339&gt;0,('Amounts Pivot Table'!L$280/$M339),0)</f>
        <v>4205.3118182028338</v>
      </c>
      <c r="C339" s="75">
        <f>IF($M339&gt;0,('Amounts Pivot Table'!L$283/$M339),0)</f>
        <v>0</v>
      </c>
      <c r="D339" s="75">
        <f>IF($M339&gt;0,('Amounts Pivot Table'!L$286/$M339),0)</f>
        <v>2911.0698391466858</v>
      </c>
      <c r="E339" s="75">
        <f>IF($M339&gt;0,('Amounts Pivot Table'!L$289/$M339),0)</f>
        <v>4985.5868288246211</v>
      </c>
      <c r="F339" s="75">
        <f t="shared" si="56"/>
        <v>12101.968486174141</v>
      </c>
      <c r="G339" s="116">
        <f>IF(B339&gt;0,RANK(B339,$B$331:$B$349),)</f>
        <v>5</v>
      </c>
      <c r="H339" s="107">
        <f>IF(C339&gt;0,RANK(C339,$C$331:$C$349),)</f>
        <v>0</v>
      </c>
      <c r="I339" s="107">
        <f>IF(D339&gt;0,RANK(D339,$D$331:$D$349),)</f>
        <v>1</v>
      </c>
      <c r="J339" s="107">
        <f>IF(E339&gt;0,RANK(E339,$E$331:$E$349),)</f>
        <v>3</v>
      </c>
      <c r="K339" s="107">
        <f>IF(F339&gt;0,RANK(F339,$F$331:$F$349),)</f>
        <v>1</v>
      </c>
      <c r="L339" s="168"/>
      <c r="M339" s="824">
        <f>+'[1]NEW-Tables 80-86'!AF171</f>
        <v>20908.283333333333</v>
      </c>
      <c r="N339" s="73"/>
      <c r="O339" s="73"/>
      <c r="P339" s="73"/>
      <c r="Q339" s="73"/>
    </row>
    <row r="340" spans="1:17" s="61" customFormat="1" ht="10.5" customHeight="1">
      <c r="A340" s="73"/>
      <c r="B340" s="75"/>
      <c r="C340" s="75"/>
      <c r="D340" s="75"/>
      <c r="E340" s="75"/>
      <c r="F340" s="75"/>
      <c r="G340" s="116"/>
      <c r="H340" s="107"/>
      <c r="I340" s="107"/>
      <c r="J340" s="107"/>
      <c r="K340" s="107"/>
      <c r="L340" s="168"/>
      <c r="M340" s="824"/>
      <c r="N340" s="73"/>
      <c r="O340" s="73"/>
      <c r="P340" s="73"/>
      <c r="Q340" s="73"/>
    </row>
    <row r="341" spans="1:17" s="61" customFormat="1" ht="12.75" customHeight="1">
      <c r="A341" s="73" t="s">
        <v>323</v>
      </c>
      <c r="B341" s="75">
        <f>IF($M341&gt;0,('Amounts Pivot Table'!L$319/$M341),0)</f>
        <v>4103.3579479509035</v>
      </c>
      <c r="C341" s="75">
        <f>IF($M341&gt;0,('Amounts Pivot Table'!L$322/$M341),0)</f>
        <v>434.74434825448895</v>
      </c>
      <c r="D341" s="75">
        <f>IF($M341&gt;0,('Amounts Pivot Table'!L$325/$M341),0)</f>
        <v>659.66485653986911</v>
      </c>
      <c r="E341" s="75">
        <f>IF($M341&gt;0,('Amounts Pivot Table'!L$328/$M341),0)</f>
        <v>3022.882728638544</v>
      </c>
      <c r="F341" s="75">
        <f t="shared" si="56"/>
        <v>8220.6498813838043</v>
      </c>
      <c r="G341" s="116">
        <f>IF(B341&gt;0,RANK(B341,$B$331:$B$349),)</f>
        <v>7</v>
      </c>
      <c r="H341" s="107">
        <f>IF(C341&gt;0,RANK(C341,$C$331:$C$349),)</f>
        <v>3</v>
      </c>
      <c r="I341" s="107">
        <f>IF(D341&gt;0,RANK(D341,$D$331:$D$349),)</f>
        <v>5</v>
      </c>
      <c r="J341" s="107">
        <f>IF(E341&gt;0,RANK(E341,$E$331:$E$349),)</f>
        <v>12</v>
      </c>
      <c r="K341" s="107">
        <f>IF(F341&gt;0,RANK(F341,$F$331:$F$349),)</f>
        <v>8</v>
      </c>
      <c r="L341" s="168"/>
      <c r="M341" s="824">
        <f>+'[1]NEW-Tables 80-86'!AF173</f>
        <v>30040.866666666661</v>
      </c>
      <c r="N341" s="73"/>
      <c r="O341" s="73"/>
      <c r="P341" s="73"/>
      <c r="Q341" s="73"/>
    </row>
    <row r="342" spans="1:17" s="61" customFormat="1" ht="12.75" customHeight="1">
      <c r="A342" s="73" t="s">
        <v>324</v>
      </c>
      <c r="B342" s="75">
        <f>IF($M342&gt;0,('Amounts Pivot Table'!L$358/$M342),0)</f>
        <v>4116.0125411484469</v>
      </c>
      <c r="C342" s="75">
        <f>IF($M342&gt;0,('Amounts Pivot Table'!L$361/$M342),0)</f>
        <v>831.97361320843095</v>
      </c>
      <c r="D342" s="75">
        <f>IF($M342&gt;0,('Amounts Pivot Table'!L$364/$M342),0)</f>
        <v>1054.9103121967466</v>
      </c>
      <c r="E342" s="75">
        <f>IF($M342&gt;0,('Amounts Pivot Table'!L$367/$M342),0)</f>
        <v>1879.6604617506976</v>
      </c>
      <c r="F342" s="75">
        <f t="shared" si="56"/>
        <v>7882.5569283043214</v>
      </c>
      <c r="G342" s="116">
        <f>IF(B342&gt;0,RANK(B342,$B$331:$B$349),)</f>
        <v>6</v>
      </c>
      <c r="H342" s="107">
        <f>IF(C342&gt;0,RANK(C342,$C$331:$C$349),)</f>
        <v>1</v>
      </c>
      <c r="I342" s="107">
        <f>IF(D342&gt;0,RANK(D342,$D$331:$D$349),)</f>
        <v>3</v>
      </c>
      <c r="J342" s="107">
        <f>IF(E342&gt;0,RANK(E342,$E$331:$E$349),)</f>
        <v>15</v>
      </c>
      <c r="K342" s="107">
        <f>IF(F342&gt;0,RANK(F342,$F$331:$F$349),)</f>
        <v>10</v>
      </c>
      <c r="L342" s="168"/>
      <c r="M342" s="824">
        <f>+'[1]NEW-Tables 80-86'!AF174</f>
        <v>74668.334444444466</v>
      </c>
      <c r="N342" s="73"/>
      <c r="O342" s="73"/>
      <c r="P342" s="73"/>
      <c r="Q342" s="73"/>
    </row>
    <row r="343" spans="1:17" s="61" customFormat="1" ht="12.75" customHeight="1">
      <c r="A343" s="73" t="s">
        <v>331</v>
      </c>
      <c r="B343" s="75">
        <f>IF($M343&gt;0,('Amounts Pivot Table'!L$397/$M343),0)</f>
        <v>3414.2733228440443</v>
      </c>
      <c r="C343" s="75">
        <f>IF($M343&gt;0,('Amounts Pivot Table'!L$400/$M343),0)</f>
        <v>0</v>
      </c>
      <c r="D343" s="75">
        <f>IF($M343&gt;0,('Amounts Pivot Table'!L$403/$M343),0)</f>
        <v>0</v>
      </c>
      <c r="E343" s="75">
        <f>IF($M343&gt;0,('Amounts Pivot Table'!L$406/$M343),0)</f>
        <v>4113.3798117353444</v>
      </c>
      <c r="F343" s="75">
        <f t="shared" si="56"/>
        <v>7527.6531345793883</v>
      </c>
      <c r="G343" s="116">
        <f>IF(B343&gt;0,RANK(B343,$B$331:$B$349),)</f>
        <v>12</v>
      </c>
      <c r="H343" s="107">
        <f>IF(C343&gt;0,RANK(C343,$C$331:$C$349),)</f>
        <v>0</v>
      </c>
      <c r="I343" s="107">
        <f>IF(D343&gt;0,RANK(D343,$D$331:$D$349),)</f>
        <v>0</v>
      </c>
      <c r="J343" s="107">
        <f>IF(E343&gt;0,RANK(E343,$E$331:$E$349),)</f>
        <v>7</v>
      </c>
      <c r="K343" s="107">
        <f>IF(F343&gt;0,RANK(F343,$F$331:$F$349),)</f>
        <v>13</v>
      </c>
      <c r="L343" s="168"/>
      <c r="M343" s="824">
        <f>+'[1]NEW-Tables 80-86'!AF175</f>
        <v>4915.0666666666666</v>
      </c>
      <c r="N343" s="73"/>
      <c r="O343" s="73"/>
      <c r="P343" s="73"/>
      <c r="Q343" s="73"/>
    </row>
    <row r="344" spans="1:17" s="61" customFormat="1" ht="12.75" customHeight="1">
      <c r="A344" s="73" t="s">
        <v>325</v>
      </c>
      <c r="B344" s="75">
        <f>IF($M344&gt;0,('Amounts Pivot Table'!L$436/$M344),0)</f>
        <v>1570.2838997317465</v>
      </c>
      <c r="C344" s="75">
        <f>IF($M344&gt;0,('Amounts Pivot Table'!L$439/$M344),0)</f>
        <v>575.3016475911104</v>
      </c>
      <c r="D344" s="75">
        <f>IF($M344&gt;0,('Amounts Pivot Table'!L$442/$M344),0)</f>
        <v>1004.4335319010345</v>
      </c>
      <c r="E344" s="75">
        <f>IF($M344&gt;0,('Amounts Pivot Table'!L$445/$M344),0)</f>
        <v>5114.6841365165783</v>
      </c>
      <c r="F344" s="75">
        <f t="shared" si="56"/>
        <v>8264.7032157404683</v>
      </c>
      <c r="G344" s="116">
        <f>IF(B344&gt;0,RANK(B344,$B$331:$B$349),)</f>
        <v>15</v>
      </c>
      <c r="H344" s="107">
        <f>IF(C344&gt;0,RANK(C344,$C$331:$C$349),)</f>
        <v>2</v>
      </c>
      <c r="I344" s="107">
        <f>IF(D344&gt;0,RANK(D344,$D$331:$D$349),)</f>
        <v>4</v>
      </c>
      <c r="J344" s="107">
        <f>IF(E344&gt;0,RANK(E344,$E$331:$E$349),)</f>
        <v>2</v>
      </c>
      <c r="K344" s="107">
        <f>IF(F344&gt;0,RANK(F344,$F$331:$F$349),)</f>
        <v>7</v>
      </c>
      <c r="L344" s="168"/>
      <c r="M344" s="824">
        <f>+'[1]NEW-Tables 80-86'!AF176</f>
        <v>15147.366666666667</v>
      </c>
      <c r="N344" s="73"/>
      <c r="O344" s="73"/>
      <c r="P344" s="73"/>
      <c r="Q344" s="73"/>
    </row>
    <row r="345" spans="1:17" s="61" customFormat="1" ht="10.5" customHeight="1">
      <c r="A345" s="73"/>
      <c r="B345" s="75"/>
      <c r="C345" s="75"/>
      <c r="D345" s="75"/>
      <c r="E345" s="75"/>
      <c r="F345" s="75"/>
      <c r="G345" s="116"/>
      <c r="H345" s="107"/>
      <c r="I345" s="107"/>
      <c r="J345" s="107"/>
      <c r="K345" s="107"/>
      <c r="L345" s="168"/>
      <c r="M345" s="824"/>
      <c r="N345" s="73"/>
      <c r="O345" s="73"/>
      <c r="P345" s="73"/>
      <c r="Q345" s="73"/>
    </row>
    <row r="346" spans="1:17" s="61" customFormat="1" ht="12.75" customHeight="1">
      <c r="A346" s="73" t="s">
        <v>90</v>
      </c>
      <c r="B346" s="75">
        <f>IF($M346&gt;0,('Amounts Pivot Table'!L$475/$M346),0)</f>
        <v>4080.000517880334</v>
      </c>
      <c r="C346" s="75">
        <f>IF($M346&gt;0,('Amounts Pivot Table'!L$478/$M346),0)</f>
        <v>0</v>
      </c>
      <c r="D346" s="75">
        <f>IF($M346&gt;0,('Amounts Pivot Table'!L$481/$M346),0)</f>
        <v>0</v>
      </c>
      <c r="E346" s="75">
        <f>IF($M346&gt;0,('Amounts Pivot Table'!L$484/$M346),0)</f>
        <v>4621.0881821925195</v>
      </c>
      <c r="F346" s="75">
        <f t="shared" si="56"/>
        <v>8701.0887000728544</v>
      </c>
      <c r="G346" s="116">
        <f>IF(B346&gt;0,RANK(B346,$B$331:$B$349),)</f>
        <v>8</v>
      </c>
      <c r="H346" s="107">
        <f>IF(C346&gt;0,RANK(C346,$C$331:$C$349),)</f>
        <v>0</v>
      </c>
      <c r="I346" s="107">
        <f>IF(D346&gt;0,RANK(D346,$D$331:$D$349),)</f>
        <v>0</v>
      </c>
      <c r="J346" s="107">
        <f>IF(E346&gt;0,RANK(E346,$E$331:$E$349),)</f>
        <v>5</v>
      </c>
      <c r="K346" s="107">
        <f>IF(F346&gt;0,RANK(F346,$F$331:$F$349),)</f>
        <v>5</v>
      </c>
      <c r="L346" s="168"/>
      <c r="M346" s="824">
        <f>+'[1]NEW-Tables 80-86'!AF178</f>
        <v>25256.799999999996</v>
      </c>
      <c r="N346" s="73"/>
      <c r="O346" s="73"/>
      <c r="P346" s="73"/>
      <c r="Q346" s="73"/>
    </row>
    <row r="347" spans="1:17" s="76" customFormat="1" ht="12.75" customHeight="1">
      <c r="A347" s="73" t="s">
        <v>177</v>
      </c>
      <c r="B347" s="75">
        <f>IF($M347&gt;0,('Amounts Pivot Table'!L$514/$M347),0)</f>
        <v>3495.2560142608236</v>
      </c>
      <c r="C347" s="75">
        <f>IF($M347&gt;0,('Amounts Pivot Table'!L$517/$M347),0)</f>
        <v>0</v>
      </c>
      <c r="D347" s="75">
        <f>IF($M347&gt;0,('Amounts Pivot Table'!L$520/$M347),0)</f>
        <v>2142.6943026200756</v>
      </c>
      <c r="E347" s="75">
        <f>IF($M347&gt;0,('Amounts Pivot Table'!L$523/$M347),0)</f>
        <v>2198.1964130370325</v>
      </c>
      <c r="F347" s="75">
        <f t="shared" si="56"/>
        <v>7836.1467299179312</v>
      </c>
      <c r="G347" s="116">
        <f>IF(B347&gt;0,RANK(B347,$B$331:$B$349),)</f>
        <v>11</v>
      </c>
      <c r="H347" s="107">
        <f>IF(C347&gt;0,RANK(C347,$C$331:$C$349),)</f>
        <v>0</v>
      </c>
      <c r="I347" s="107">
        <f>IF(D347&gt;0,RANK(D347,$D$331:$D$349),)</f>
        <v>2</v>
      </c>
      <c r="J347" s="107">
        <f>IF(E347&gt;0,RANK(E347,$E$331:$E$349),)</f>
        <v>13</v>
      </c>
      <c r="K347" s="107">
        <f>IF(F347&gt;0,RANK(F347,$F$331:$F$349),)</f>
        <v>11</v>
      </c>
      <c r="L347" s="169"/>
      <c r="M347" s="824">
        <f>+'[1]NEW-Tables 80-86'!AF179</f>
        <v>73293.573333333319</v>
      </c>
      <c r="N347" s="90"/>
      <c r="O347" s="90"/>
      <c r="P347" s="90"/>
      <c r="Q347" s="90"/>
    </row>
    <row r="348" spans="1:17" s="61" customFormat="1" ht="12.75" customHeight="1">
      <c r="A348" s="73" t="s">
        <v>327</v>
      </c>
      <c r="B348" s="75">
        <f>IF($M348&gt;0,('Amounts Pivot Table'!L$553/$M348),0)</f>
        <v>0</v>
      </c>
      <c r="C348" s="75">
        <f>IF($M348&gt;0,('Amounts Pivot Table'!L$556/$M348),0)</f>
        <v>0</v>
      </c>
      <c r="D348" s="75">
        <f>IF($M348&gt;0,('Amounts Pivot Table'!L$559/$M348),0)</f>
        <v>0</v>
      </c>
      <c r="E348" s="75">
        <f>IF($M348&gt;0,('Amounts Pivot Table'!L$562/$M348),0)</f>
        <v>0</v>
      </c>
      <c r="F348" s="75">
        <f t="shared" si="56"/>
        <v>0</v>
      </c>
      <c r="G348" s="116">
        <f>IF(B348&gt;0,RANK(B348,$B$331:$B$349),)</f>
        <v>0</v>
      </c>
      <c r="H348" s="107">
        <f>IF(C348&gt;0,RANK(C348,$C$331:$C$349),)</f>
        <v>0</v>
      </c>
      <c r="I348" s="107">
        <f>IF(D348&gt;0,RANK(D348,$D$331:$D$349),)</f>
        <v>0</v>
      </c>
      <c r="J348" s="107">
        <f>IF(E348&gt;0,RANK(E348,$E$331:$E$349),)</f>
        <v>0</v>
      </c>
      <c r="K348" s="107">
        <f>IF(F348&gt;0,RANK(F348,$F$331:$F$349),)</f>
        <v>0</v>
      </c>
      <c r="L348" s="170"/>
      <c r="M348" s="824">
        <f>+'[1]NEW-Tables 80-86'!AF180</f>
        <v>36813.699999999997</v>
      </c>
      <c r="N348" s="73"/>
      <c r="O348" s="73"/>
      <c r="P348" s="73"/>
      <c r="Q348" s="73"/>
    </row>
    <row r="349" spans="1:17" s="61" customFormat="1" ht="15" customHeight="1">
      <c r="A349" s="74" t="s">
        <v>332</v>
      </c>
      <c r="B349" s="104">
        <f>IF($M349&gt;0,('Amounts Pivot Table'!L$592/$M349),0)</f>
        <v>3788.4325204180705</v>
      </c>
      <c r="C349" s="104">
        <f>IF($M349&gt;0,('Amounts Pivot Table'!L$595/$M349),0)</f>
        <v>0</v>
      </c>
      <c r="D349" s="104">
        <f>IF($M349&gt;0,('Amounts Pivot Table'!L$598/$M349),0)</f>
        <v>0</v>
      </c>
      <c r="E349" s="104">
        <f>IF($M349&gt;0,('Amounts Pivot Table'!L$601/$M349),0)</f>
        <v>5388.0558569878349</v>
      </c>
      <c r="F349" s="105">
        <f t="shared" si="56"/>
        <v>9176.4883774059053</v>
      </c>
      <c r="G349" s="117">
        <f>IF(B349&gt;0,RANK(B349,$B$331:$B$349),)</f>
        <v>10</v>
      </c>
      <c r="H349" s="118">
        <f>IF(C349&gt;0,RANK(C349,$C$331:$C$349),)</f>
        <v>0</v>
      </c>
      <c r="I349" s="118">
        <f>IF(D349&gt;0,RANK(D349,$D$331:$D$349),)</f>
        <v>0</v>
      </c>
      <c r="J349" s="118">
        <f>IF(E349&gt;0,RANK(E349,$E$331:$E$349),)</f>
        <v>1</v>
      </c>
      <c r="K349" s="118">
        <f>IF(F349&gt;0,RANK(F349,$F$331:$F$349),)</f>
        <v>3</v>
      </c>
      <c r="L349" s="171"/>
      <c r="M349" s="824">
        <f>+'[1]NEW-Tables 80-86'!AF181</f>
        <v>3501.8</v>
      </c>
      <c r="N349" s="73"/>
      <c r="O349" s="73"/>
      <c r="P349" s="73"/>
      <c r="Q349" s="73"/>
    </row>
    <row r="350" spans="1:17" s="76" customFormat="1" ht="24.75" customHeight="1">
      <c r="A350" s="1532" t="s">
        <v>201</v>
      </c>
      <c r="B350" s="1532"/>
      <c r="C350" s="1532"/>
      <c r="D350" s="1532"/>
      <c r="E350" s="1532"/>
      <c r="F350" s="1532"/>
      <c r="G350" s="1532"/>
      <c r="H350" s="1532"/>
      <c r="I350" s="1532"/>
      <c r="J350" s="1532"/>
      <c r="K350" s="1532"/>
      <c r="L350" s="169"/>
      <c r="M350" s="300"/>
      <c r="N350" s="90"/>
      <c r="O350" s="90"/>
      <c r="P350" s="90"/>
      <c r="Q350" s="90"/>
    </row>
    <row r="351" spans="1:17" s="76" customFormat="1" ht="34.5" customHeight="1">
      <c r="A351" s="1505" t="s">
        <v>17</v>
      </c>
      <c r="B351" s="1529"/>
      <c r="C351" s="1529"/>
      <c r="D351" s="1529"/>
      <c r="E351" s="1529"/>
      <c r="F351" s="1529"/>
      <c r="G351" s="1529"/>
      <c r="H351" s="1529"/>
      <c r="I351" s="1529"/>
      <c r="J351" s="1529"/>
      <c r="K351" s="1529"/>
      <c r="L351" s="169"/>
      <c r="M351" s="296"/>
      <c r="N351" s="90"/>
      <c r="O351" s="90"/>
      <c r="P351" s="90"/>
      <c r="Q351" s="90"/>
    </row>
    <row r="352" spans="1:17" s="205" customFormat="1" ht="13.5" customHeight="1">
      <c r="A352" s="1505" t="s">
        <v>54</v>
      </c>
      <c r="B352" s="1529"/>
      <c r="C352" s="1529"/>
      <c r="D352" s="1529"/>
      <c r="E352" s="1529"/>
      <c r="F352" s="1529"/>
      <c r="G352" s="1529"/>
      <c r="H352" s="1529"/>
      <c r="I352" s="1529"/>
      <c r="J352" s="1529"/>
      <c r="K352" s="1529"/>
      <c r="L352" s="204"/>
      <c r="M352" s="302"/>
      <c r="N352" s="206"/>
      <c r="O352" s="206"/>
      <c r="P352" s="206"/>
      <c r="Q352" s="206"/>
    </row>
    <row r="353" spans="1:17" s="61" customFormat="1" ht="13.5" customHeight="1">
      <c r="A353" s="1505" t="s">
        <v>233</v>
      </c>
      <c r="B353" s="1530"/>
      <c r="C353" s="1530"/>
      <c r="D353" s="1530"/>
      <c r="E353" s="1530"/>
      <c r="F353" s="1530"/>
      <c r="G353" s="1531"/>
      <c r="H353" s="1531"/>
      <c r="I353" s="1531"/>
      <c r="J353" s="1531"/>
      <c r="K353" s="1531"/>
      <c r="L353" s="171"/>
      <c r="M353" s="300"/>
      <c r="N353" s="73"/>
      <c r="O353" s="73"/>
      <c r="P353" s="73"/>
      <c r="Q353" s="73"/>
    </row>
    <row r="354" spans="1:17" s="61" customFormat="1">
      <c r="A354" s="187"/>
      <c r="B354" s="106"/>
      <c r="C354" s="106"/>
      <c r="D354" s="106"/>
      <c r="E354" s="106"/>
      <c r="F354" s="106"/>
      <c r="G354" s="188"/>
      <c r="H354" s="188"/>
      <c r="I354" s="188"/>
      <c r="J354" s="188"/>
      <c r="K354" s="534" t="s">
        <v>1927</v>
      </c>
      <c r="L354" s="193"/>
      <c r="M354" s="296"/>
      <c r="N354" s="73"/>
      <c r="O354" s="73"/>
      <c r="P354" s="73"/>
      <c r="Q354" s="73"/>
    </row>
    <row r="355" spans="1:17" s="61" customFormat="1" ht="18">
      <c r="A355" s="135" t="s">
        <v>369</v>
      </c>
      <c r="B355" s="135"/>
      <c r="C355" s="135"/>
      <c r="D355" s="135"/>
      <c r="E355" s="135"/>
      <c r="F355" s="135"/>
      <c r="G355" s="135"/>
      <c r="H355" s="135"/>
      <c r="I355" s="135"/>
      <c r="J355" s="565"/>
      <c r="K355" s="135"/>
      <c r="L355" s="170"/>
      <c r="M355" s="296"/>
      <c r="N355" s="73"/>
      <c r="O355" s="73"/>
      <c r="P355" s="73"/>
      <c r="Q355" s="73"/>
    </row>
    <row r="356" spans="1:17" s="61" customFormat="1" ht="12" customHeight="1">
      <c r="A356" s="135"/>
      <c r="B356" s="135"/>
      <c r="C356" s="135"/>
      <c r="D356" s="135"/>
      <c r="E356" s="135"/>
      <c r="F356" s="135"/>
      <c r="G356" s="135"/>
      <c r="H356" s="135"/>
      <c r="I356" s="135"/>
      <c r="J356" s="565"/>
      <c r="K356" s="135"/>
      <c r="L356" s="170"/>
      <c r="M356" s="296"/>
      <c r="N356" s="73"/>
      <c r="O356" s="73"/>
      <c r="P356" s="73"/>
      <c r="Q356" s="73"/>
    </row>
    <row r="357" spans="1:17" s="61" customFormat="1" ht="18.75">
      <c r="A357" s="1504" t="s">
        <v>18</v>
      </c>
      <c r="B357" s="1504"/>
      <c r="C357" s="1504"/>
      <c r="D357" s="1504"/>
      <c r="E357" s="1504"/>
      <c r="F357" s="1504"/>
      <c r="G357" s="1504"/>
      <c r="H357" s="1504"/>
      <c r="I357" s="1504"/>
      <c r="J357" s="1504"/>
      <c r="K357" s="1504"/>
      <c r="L357" s="165"/>
      <c r="M357" s="296"/>
      <c r="N357" s="73"/>
      <c r="O357" s="73"/>
      <c r="P357" s="73"/>
      <c r="Q357" s="73"/>
    </row>
    <row r="358" spans="1:17" s="61" customFormat="1" ht="15.75">
      <c r="A358" s="1504" t="s">
        <v>1940</v>
      </c>
      <c r="B358" s="1504"/>
      <c r="C358" s="1504"/>
      <c r="D358" s="1504"/>
      <c r="E358" s="1504"/>
      <c r="F358" s="1504"/>
      <c r="G358" s="1504"/>
      <c r="H358" s="1504"/>
      <c r="I358" s="1504"/>
      <c r="J358" s="1504"/>
      <c r="K358" s="1504"/>
      <c r="L358" s="165"/>
      <c r="M358" s="299"/>
      <c r="N358" s="73"/>
      <c r="O358" s="73"/>
      <c r="P358" s="73"/>
      <c r="Q358" s="73"/>
    </row>
    <row r="359" spans="1:17" s="61" customFormat="1" ht="8.25" customHeight="1">
      <c r="A359" s="91"/>
      <c r="B359" s="91"/>
      <c r="C359" s="91"/>
      <c r="D359" s="91"/>
      <c r="E359" s="91"/>
      <c r="F359" s="91"/>
      <c r="G359" s="108"/>
      <c r="H359" s="91"/>
      <c r="I359" s="91"/>
      <c r="J359" s="91"/>
      <c r="K359" s="91"/>
      <c r="L359" s="165"/>
      <c r="M359" s="296"/>
      <c r="N359" s="73"/>
      <c r="O359" s="73"/>
      <c r="P359" s="73"/>
      <c r="Q359" s="73"/>
    </row>
    <row r="360" spans="1:17" s="61" customFormat="1" ht="17.25" customHeight="1">
      <c r="A360" s="60"/>
      <c r="B360" s="1527" t="s">
        <v>55</v>
      </c>
      <c r="C360" s="1528"/>
      <c r="D360" s="1528"/>
      <c r="E360" s="1528"/>
      <c r="F360" s="1528"/>
      <c r="G360" s="568" t="s">
        <v>119</v>
      </c>
      <c r="H360" s="569"/>
      <c r="I360" s="569"/>
      <c r="J360" s="569"/>
      <c r="K360" s="569"/>
      <c r="L360" s="173"/>
      <c r="M360" s="296"/>
      <c r="N360" s="73"/>
      <c r="O360" s="73"/>
      <c r="P360" s="73"/>
      <c r="Q360" s="73"/>
    </row>
    <row r="361" spans="1:17" s="6" customFormat="1" ht="48">
      <c r="A361" s="50"/>
      <c r="B361" s="549" t="s">
        <v>87</v>
      </c>
      <c r="C361" s="550" t="s">
        <v>89</v>
      </c>
      <c r="D361" s="550" t="s">
        <v>88</v>
      </c>
      <c r="E361" s="550" t="s">
        <v>397</v>
      </c>
      <c r="F361" s="550" t="s">
        <v>97</v>
      </c>
      <c r="G361" s="551" t="s">
        <v>87</v>
      </c>
      <c r="H361" s="550" t="s">
        <v>89</v>
      </c>
      <c r="I361" s="550" t="s">
        <v>88</v>
      </c>
      <c r="J361" s="550" t="s">
        <v>397</v>
      </c>
      <c r="K361" s="550" t="s">
        <v>97</v>
      </c>
      <c r="L361" s="167"/>
      <c r="M361" s="298" t="s">
        <v>260</v>
      </c>
      <c r="N361" s="7"/>
      <c r="O361" s="7"/>
      <c r="P361" s="7"/>
      <c r="Q361" s="7"/>
    </row>
    <row r="362" spans="1:17" s="61" customFormat="1" ht="14.25">
      <c r="A362" s="73" t="s">
        <v>56</v>
      </c>
      <c r="B362" s="102">
        <f>IF($M362&gt;0,('Amounts Pivot Table'!M$631/$M362),0)</f>
        <v>4370.7294213983023</v>
      </c>
      <c r="C362" s="102">
        <f>IF($M362&gt;0,('Amounts Pivot Table'!M$634/$M362),0)</f>
        <v>413.46477175126967</v>
      </c>
      <c r="D362" s="102">
        <f>IF($M362&gt;0,('Amounts Pivot Table'!M$637/$M362),0)</f>
        <v>868.83884354551333</v>
      </c>
      <c r="E362" s="102">
        <f>IF($M362&gt;0,('Amounts Pivot Table'!M$640/$M362),0)</f>
        <v>3058.1338527735884</v>
      </c>
      <c r="F362" s="102">
        <f>SUM(B362:E362)</f>
        <v>8711.1668894686736</v>
      </c>
      <c r="G362" s="114"/>
      <c r="H362" s="115"/>
      <c r="I362" s="115"/>
      <c r="J362" s="115"/>
      <c r="K362" s="115"/>
      <c r="L362" s="168"/>
      <c r="M362" s="824">
        <f>+'[1]NEW-Tables 80-86'!AG161</f>
        <v>120897.37444444443</v>
      </c>
      <c r="N362" s="73"/>
      <c r="O362" s="73"/>
      <c r="P362" s="73"/>
      <c r="Q362" s="73"/>
    </row>
    <row r="363" spans="1:17" s="112" customFormat="1" ht="9" customHeight="1">
      <c r="A363" s="110"/>
      <c r="B363" s="111"/>
      <c r="C363" s="111"/>
      <c r="D363" s="111"/>
      <c r="E363" s="111"/>
      <c r="F363" s="111"/>
      <c r="G363" s="119"/>
      <c r="H363" s="120"/>
      <c r="I363" s="120"/>
      <c r="J363" s="120"/>
      <c r="K363" s="120"/>
      <c r="L363" s="175"/>
      <c r="M363" s="824"/>
      <c r="N363" s="110"/>
      <c r="O363" s="110"/>
      <c r="P363" s="110"/>
      <c r="Q363" s="110"/>
    </row>
    <row r="364" spans="1:17" s="61" customFormat="1" ht="12.75" customHeight="1">
      <c r="A364" s="73" t="s">
        <v>320</v>
      </c>
      <c r="B364" s="75">
        <f>IF($M364&gt;0,('Amounts Pivot Table'!M$7/$M364),0)</f>
        <v>4989.4094431242893</v>
      </c>
      <c r="C364" s="75">
        <f>IF($M364&gt;0,('Amounts Pivot Table'!M$10/$M364),0)</f>
        <v>377.14123359851226</v>
      </c>
      <c r="D364" s="75">
        <f>IF($M364&gt;0,('Amounts Pivot Table'!M$13/$M364),0)</f>
        <v>31.924785618349002</v>
      </c>
      <c r="E364" s="75">
        <f>IF($M364&gt;0,('Amounts Pivot Table'!M$16/$M364),0)</f>
        <v>4091.0374005579088</v>
      </c>
      <c r="F364" s="75">
        <f t="shared" ref="F364:F382" si="57">SUM(B364:E364)</f>
        <v>9489.5128628990606</v>
      </c>
      <c r="G364" s="116">
        <f>IF(B364&gt;0,RANK(B364,$B$364:$B$382),)</f>
        <v>3</v>
      </c>
      <c r="H364" s="107">
        <f>IF(C364&gt;0,RANK(C364,$C$364:$C$382),)</f>
        <v>4</v>
      </c>
      <c r="I364" s="107">
        <f>IF(D364&gt;0,RANK(D364,$D$364:$D$382),)</f>
        <v>7</v>
      </c>
      <c r="J364" s="107">
        <f>IF(E364&gt;0,RANK(E364,$E$364:$E$382),)</f>
        <v>4</v>
      </c>
      <c r="K364" s="107">
        <f>IF(F364&gt;0,RANK(F364,$F$364:$F$382),)</f>
        <v>5</v>
      </c>
      <c r="L364" s="168"/>
      <c r="M364" s="824">
        <f>+'[1]NEW-Tables 80-86'!AG163</f>
        <v>9679</v>
      </c>
      <c r="N364" s="73"/>
      <c r="O364" s="73"/>
      <c r="P364" s="73"/>
      <c r="Q364" s="73"/>
    </row>
    <row r="365" spans="1:17" s="61" customFormat="1" ht="12.75" customHeight="1">
      <c r="A365" s="73" t="s">
        <v>334</v>
      </c>
      <c r="B365" s="75">
        <f>IF($M365&gt;0,('Amounts Pivot Table'!M$46/$M365),0)</f>
        <v>5774.1243137601541</v>
      </c>
      <c r="C365" s="75">
        <f>IF($M365&gt;0,('Amounts Pivot Table'!M$49/$M365),0)</f>
        <v>105.17643361519502</v>
      </c>
      <c r="D365" s="75">
        <f>IF($M365&gt;0,('Amounts Pivot Table'!M$52/$M365),0)</f>
        <v>450.29119157754155</v>
      </c>
      <c r="E365" s="75">
        <f>IF($M365&gt;0,('Amounts Pivot Table'!M$55/$M365),0)</f>
        <v>3647.7612130854532</v>
      </c>
      <c r="F365" s="75">
        <f t="shared" si="57"/>
        <v>9977.353152038344</v>
      </c>
      <c r="G365" s="116">
        <f>IF(B365&gt;0,RANK(B365,$B$364:$B$382),)</f>
        <v>2</v>
      </c>
      <c r="H365" s="107">
        <f>IF(C365&gt;0,RANK(C365,$C$364:$C$382),)</f>
        <v>5</v>
      </c>
      <c r="I365" s="107">
        <f>IF(D365&gt;0,RANK(D365,$D$364:$D$382),)</f>
        <v>6</v>
      </c>
      <c r="J365" s="107">
        <f>IF(E365&gt;0,RANK(E365,$E$364:$E$382),)</f>
        <v>8</v>
      </c>
      <c r="K365" s="107">
        <f>IF(F365&gt;0,RANK(F365,$F$364:$F$382),)</f>
        <v>3</v>
      </c>
      <c r="L365" s="168"/>
      <c r="M365" s="824">
        <f>+'[1]NEW-Tables 80-86'!AG164</f>
        <v>20364.599999999995</v>
      </c>
      <c r="N365" s="73"/>
      <c r="O365" s="73"/>
      <c r="P365" s="73"/>
      <c r="Q365" s="73"/>
    </row>
    <row r="366" spans="1:17" s="61" customFormat="1" ht="12.75" customHeight="1">
      <c r="A366" s="73" t="s">
        <v>321</v>
      </c>
      <c r="B366" s="75">
        <f>IF($M366&gt;0,('Amounts Pivot Table'!M$85/$M366),0)</f>
        <v>0</v>
      </c>
      <c r="C366" s="75">
        <f>IF($M366&gt;0,('Amounts Pivot Table'!M$88/$M366),0)</f>
        <v>0</v>
      </c>
      <c r="D366" s="75">
        <f>IF($M366&gt;0,('Amounts Pivot Table'!M$91/$M366),0)</f>
        <v>0</v>
      </c>
      <c r="E366" s="75">
        <f>IF($M366&gt;0,('Amounts Pivot Table'!M$94/$M366),0)</f>
        <v>0</v>
      </c>
      <c r="F366" s="75">
        <f t="shared" si="57"/>
        <v>0</v>
      </c>
      <c r="G366" s="116">
        <f>IF(B366&gt;0,RANK(B366,$B$364:$B$382),)</f>
        <v>0</v>
      </c>
      <c r="H366" s="107">
        <f>IF(C366&gt;0,RANK(C366,$C$364:$C$382),)</f>
        <v>0</v>
      </c>
      <c r="I366" s="107">
        <f>IF(D366&gt;0,RANK(D366,$D$364:$D$382),)</f>
        <v>0</v>
      </c>
      <c r="J366" s="107">
        <f>IF(E366&gt;0,RANK(E366,$E$364:$E$382),)</f>
        <v>0</v>
      </c>
      <c r="K366" s="107">
        <f>IF(F366&gt;0,RANK(F366,$F$364:$F$382),)</f>
        <v>0</v>
      </c>
      <c r="L366" s="168"/>
      <c r="M366" s="824">
        <f>+'[1]NEW-Tables 80-86'!AG165</f>
        <v>0</v>
      </c>
      <c r="N366" s="73"/>
      <c r="O366" s="73"/>
      <c r="P366" s="73"/>
      <c r="Q366" s="73"/>
    </row>
    <row r="367" spans="1:17" s="61" customFormat="1" ht="12.75" customHeight="1">
      <c r="A367" s="73" t="s">
        <v>328</v>
      </c>
      <c r="B367" s="75">
        <f>IF($M367&gt;0,('Amounts Pivot Table'!M$124/$M367),0)</f>
        <v>9077.125081855087</v>
      </c>
      <c r="C367" s="75">
        <f>IF($M367&gt;0,('Amounts Pivot Table'!M$127/$M367),0)</f>
        <v>0</v>
      </c>
      <c r="D367" s="75">
        <f>IF($M367&gt;0,('Amounts Pivot Table'!M$130/$M367),0)</f>
        <v>0</v>
      </c>
      <c r="E367" s="75">
        <f>IF($M367&gt;0,('Amounts Pivot Table'!M$133/$M367),0)</f>
        <v>2500.0278252660705</v>
      </c>
      <c r="F367" s="75">
        <f t="shared" si="57"/>
        <v>11577.152907121157</v>
      </c>
      <c r="G367" s="116">
        <f>IF(B367&gt;0,RANK(B367,$B$364:$B$382),)</f>
        <v>1</v>
      </c>
      <c r="H367" s="107">
        <f>IF(C367&gt;0,RANK(C367,$C$364:$C$382),)</f>
        <v>0</v>
      </c>
      <c r="I367" s="107">
        <f>IF(D367&gt;0,RANK(D367,$D$364:$D$382),)</f>
        <v>0</v>
      </c>
      <c r="J367" s="107">
        <f>IF(E367&gt;0,RANK(E367,$E$364:$E$382),)</f>
        <v>10</v>
      </c>
      <c r="K367" s="107">
        <f>IF(F367&gt;0,RANK(F367,$F$364:$F$382),)</f>
        <v>2</v>
      </c>
      <c r="L367" s="168"/>
      <c r="M367" s="824">
        <f>+'[1]NEW-Tables 80-86'!AG166</f>
        <v>1525.392222222222</v>
      </c>
      <c r="N367" s="73"/>
      <c r="O367" s="73"/>
      <c r="P367" s="73"/>
      <c r="Q367" s="73"/>
    </row>
    <row r="368" spans="1:17" s="112" customFormat="1" ht="9" customHeight="1">
      <c r="A368" s="110"/>
      <c r="B368" s="111"/>
      <c r="C368" s="111"/>
      <c r="D368" s="111"/>
      <c r="E368" s="111"/>
      <c r="F368" s="111"/>
      <c r="G368" s="119"/>
      <c r="H368" s="120"/>
      <c r="I368" s="120"/>
      <c r="J368" s="120"/>
      <c r="K368" s="120"/>
      <c r="L368" s="175"/>
      <c r="M368" s="824"/>
      <c r="N368" s="110"/>
      <c r="O368" s="110"/>
      <c r="P368" s="110"/>
      <c r="Q368" s="110"/>
    </row>
    <row r="369" spans="1:17" s="61" customFormat="1" ht="12.75" customHeight="1">
      <c r="A369" s="73" t="s">
        <v>329</v>
      </c>
      <c r="B369" s="75">
        <f>IF($M369&gt;0,('Amounts Pivot Table'!M$163/$M369),0)</f>
        <v>0</v>
      </c>
      <c r="C369" s="75">
        <f>IF($M369&gt;0,('Amounts Pivot Table'!M$166/$M369),0)</f>
        <v>0</v>
      </c>
      <c r="D369" s="75">
        <f>IF($M369&gt;0,('Amounts Pivot Table'!M$169/$M369),0)</f>
        <v>0</v>
      </c>
      <c r="E369" s="75">
        <f>IF($M369&gt;0,('Amounts Pivot Table'!M$172/$M369),0)</f>
        <v>0</v>
      </c>
      <c r="F369" s="75">
        <f t="shared" si="57"/>
        <v>0</v>
      </c>
      <c r="G369" s="116">
        <f>IF(B369&gt;0,RANK(B369,$B$364:$B$382),)</f>
        <v>0</v>
      </c>
      <c r="H369" s="107">
        <f>IF(C369&gt;0,RANK(C369,$C$364:$C$382),)</f>
        <v>0</v>
      </c>
      <c r="I369" s="107">
        <f>IF(D369&gt;0,RANK(D369,$D$364:$D$382),)</f>
        <v>0</v>
      </c>
      <c r="J369" s="107">
        <f>IF(E369&gt;0,RANK(E369,$E$364:$E$382),)</f>
        <v>0</v>
      </c>
      <c r="K369" s="107">
        <f>IF(F369&gt;0,RANK(F369,$F$364:$F$382),)</f>
        <v>0</v>
      </c>
      <c r="L369" s="168"/>
      <c r="M369" s="824">
        <f>+'[1]NEW-Tables 80-86'!AG168</f>
        <v>0</v>
      </c>
      <c r="N369" s="73"/>
      <c r="O369" s="73"/>
      <c r="P369" s="73"/>
      <c r="Q369" s="73"/>
    </row>
    <row r="370" spans="1:17" s="61" customFormat="1" ht="12.75" customHeight="1">
      <c r="A370" s="73" t="s">
        <v>322</v>
      </c>
      <c r="B370" s="75">
        <f>IF($M370&gt;0,('Amounts Pivot Table'!M$202/$M370),0)</f>
        <v>4360.2080035500658</v>
      </c>
      <c r="C370" s="75">
        <f>IF($M370&gt;0,('Amounts Pivot Table'!M$205/$M370),0)</f>
        <v>0</v>
      </c>
      <c r="D370" s="75">
        <f>IF($M370&gt;0,('Amounts Pivot Table'!M$208/$M370),0)</f>
        <v>0</v>
      </c>
      <c r="E370" s="75">
        <f>IF($M370&gt;0,('Amounts Pivot Table'!M$211/$M370),0)</f>
        <v>4040.6933821575171</v>
      </c>
      <c r="F370" s="75">
        <f t="shared" si="57"/>
        <v>8400.9013857075824</v>
      </c>
      <c r="G370" s="116">
        <f>IF(B370&gt;0,RANK(B370,$B$364:$B$382),)</f>
        <v>8</v>
      </c>
      <c r="H370" s="107">
        <f>IF(C370&gt;0,RANK(C370,$C$364:$C$382),)</f>
        <v>0</v>
      </c>
      <c r="I370" s="107">
        <f>IF(D370&gt;0,RANK(D370,$D$364:$D$382),)</f>
        <v>0</v>
      </c>
      <c r="J370" s="107">
        <f>IF(E370&gt;0,RANK(E370,$E$364:$E$382),)</f>
        <v>5</v>
      </c>
      <c r="K370" s="107">
        <f>IF(F370&gt;0,RANK(F370,$F$364:$F$382),)</f>
        <v>9</v>
      </c>
      <c r="L370" s="168"/>
      <c r="M370" s="824">
        <f>+'[1]NEW-Tables 80-86'!AG169</f>
        <v>1128.7666666666667</v>
      </c>
      <c r="N370" s="73"/>
      <c r="O370" s="73"/>
      <c r="P370" s="73"/>
      <c r="Q370" s="73"/>
    </row>
    <row r="371" spans="1:17" s="61" customFormat="1" ht="12.75" customHeight="1">
      <c r="A371" s="73" t="s">
        <v>330</v>
      </c>
      <c r="B371" s="75">
        <f>IF($M371&gt;0,('Amounts Pivot Table'!M$241/$M371),0)</f>
        <v>2534.7578064129461</v>
      </c>
      <c r="C371" s="75">
        <f>IF($M371&gt;0,('Amounts Pivot Table'!M$244/$M371),0)</f>
        <v>0</v>
      </c>
      <c r="D371" s="75">
        <f>IF($M371&gt;0,('Amounts Pivot Table'!M$247/$M371),0)</f>
        <v>0</v>
      </c>
      <c r="E371" s="75">
        <f>IF($M371&gt;0,('Amounts Pivot Table'!M$250/$M371),0)</f>
        <v>3909.4396164219361</v>
      </c>
      <c r="F371" s="75">
        <f t="shared" si="57"/>
        <v>6444.1974228348827</v>
      </c>
      <c r="G371" s="116">
        <f>IF(B371&gt;0,RANK(B371,$B$364:$B$382),)</f>
        <v>11</v>
      </c>
      <c r="H371" s="107">
        <f>IF(C371&gt;0,RANK(C371,$C$364:$C$382),)</f>
        <v>0</v>
      </c>
      <c r="I371" s="107">
        <f>IF(D371&gt;0,RANK(D371,$D$364:$D$382),)</f>
        <v>0</v>
      </c>
      <c r="J371" s="107">
        <f>IF(E371&gt;0,RANK(E371,$E$364:$E$382),)</f>
        <v>6</v>
      </c>
      <c r="K371" s="107">
        <f>IF(F371&gt;0,RANK(F371,$F$364:$F$382),)</f>
        <v>12</v>
      </c>
      <c r="L371" s="168"/>
      <c r="M371" s="824">
        <f>+'[1]NEW-Tables 80-86'!AG170</f>
        <v>2780.833333333333</v>
      </c>
      <c r="N371" s="73"/>
      <c r="O371" s="73"/>
      <c r="P371" s="73"/>
      <c r="Q371" s="73"/>
    </row>
    <row r="372" spans="1:17" s="61" customFormat="1" ht="12.75" customHeight="1">
      <c r="A372" s="73" t="s">
        <v>333</v>
      </c>
      <c r="B372" s="75">
        <f>IF($M372&gt;0,('Amounts Pivot Table'!M$280/$M372),0)</f>
        <v>3763.7261528398562</v>
      </c>
      <c r="C372" s="75">
        <f>IF($M372&gt;0,('Amounts Pivot Table'!M$283/$M372),0)</f>
        <v>0</v>
      </c>
      <c r="D372" s="75">
        <f>IF($M372&gt;0,('Amounts Pivot Table'!M$286/$M372),0)</f>
        <v>5277.0827428322254</v>
      </c>
      <c r="E372" s="75">
        <f>IF($M372&gt;0,('Amounts Pivot Table'!M$289/$M372),0)</f>
        <v>5522.8654747628916</v>
      </c>
      <c r="F372" s="75">
        <f t="shared" si="57"/>
        <v>14563.674370434974</v>
      </c>
      <c r="G372" s="116">
        <f>IF(B372&gt;0,RANK(B372,$B$364:$B$382),)</f>
        <v>10</v>
      </c>
      <c r="H372" s="107">
        <f>IF(C372&gt;0,RANK(C372,$C$364:$C$382),)</f>
        <v>0</v>
      </c>
      <c r="I372" s="107">
        <f>IF(D372&gt;0,RANK(D372,$D$364:$D$382),)</f>
        <v>1</v>
      </c>
      <c r="J372" s="107">
        <f>IF(E372&gt;0,RANK(E372,$E$364:$E$382),)</f>
        <v>1</v>
      </c>
      <c r="K372" s="107">
        <f>IF(F372&gt;0,RANK(F372,$F$364:$F$382),)</f>
        <v>1</v>
      </c>
      <c r="L372" s="168"/>
      <c r="M372" s="824">
        <f>+'[1]NEW-Tables 80-86'!AG171</f>
        <v>3669.2</v>
      </c>
      <c r="N372" s="73"/>
      <c r="O372" s="73"/>
      <c r="P372" s="73"/>
      <c r="Q372" s="73"/>
    </row>
    <row r="373" spans="1:17" s="112" customFormat="1" ht="8.25" customHeight="1">
      <c r="A373" s="110"/>
      <c r="B373" s="111"/>
      <c r="C373" s="111"/>
      <c r="D373" s="111"/>
      <c r="E373" s="111"/>
      <c r="F373" s="111"/>
      <c r="G373" s="119"/>
      <c r="H373" s="120"/>
      <c r="I373" s="120"/>
      <c r="J373" s="120"/>
      <c r="K373" s="120"/>
      <c r="L373" s="175"/>
      <c r="M373" s="824"/>
      <c r="N373" s="110"/>
      <c r="O373" s="110"/>
      <c r="P373" s="110"/>
      <c r="Q373" s="110"/>
    </row>
    <row r="374" spans="1:17" s="61" customFormat="1" ht="12.75" customHeight="1">
      <c r="A374" s="73" t="s">
        <v>323</v>
      </c>
      <c r="B374" s="75">
        <f>IF($M374&gt;0,('Amounts Pivot Table'!M$319/$M374),0)</f>
        <v>4891.951760519235</v>
      </c>
      <c r="C374" s="75">
        <f>IF($M374&gt;0,('Amounts Pivot Table'!M$322/$M374),0)</f>
        <v>672.75819502174727</v>
      </c>
      <c r="D374" s="75">
        <f>IF($M374&gt;0,('Amounts Pivot Table'!M$325/$M374),0)</f>
        <v>947.70471882805646</v>
      </c>
      <c r="E374" s="75">
        <f>IF($M374&gt;0,('Amounts Pivot Table'!M$328/$M374),0)</f>
        <v>3031.9751955328811</v>
      </c>
      <c r="F374" s="75">
        <f t="shared" si="57"/>
        <v>9544.3898699019192</v>
      </c>
      <c r="G374" s="116">
        <f>IF(B374&gt;0,RANK(B374,$B$364:$B$382),)</f>
        <v>4</v>
      </c>
      <c r="H374" s="107">
        <f>IF(C374&gt;0,RANK(C374,$C$364:$C$382),)</f>
        <v>3</v>
      </c>
      <c r="I374" s="107">
        <f>IF(D374&gt;0,RANK(D374,$D$364:$D$382),)</f>
        <v>4</v>
      </c>
      <c r="J374" s="107">
        <f>IF(E374&gt;0,RANK(E374,$E$364:$E$382),)</f>
        <v>9</v>
      </c>
      <c r="K374" s="107">
        <f>IF(F374&gt;0,RANK(F374,$F$364:$F$382),)</f>
        <v>4</v>
      </c>
      <c r="L374" s="168"/>
      <c r="M374" s="824">
        <f>+'[1]NEW-Tables 80-86'!AG173</f>
        <v>3456.3666666666668</v>
      </c>
      <c r="N374" s="73"/>
      <c r="O374" s="73"/>
      <c r="P374" s="73"/>
      <c r="Q374" s="73"/>
    </row>
    <row r="375" spans="1:17" s="61" customFormat="1" ht="12.75" customHeight="1">
      <c r="A375" s="73" t="s">
        <v>324</v>
      </c>
      <c r="B375" s="75">
        <f>IF($M375&gt;0,('Amounts Pivot Table'!M$358/$M375),0)</f>
        <v>4847.9124389721383</v>
      </c>
      <c r="C375" s="75">
        <f>IF($M375&gt;0,('Amounts Pivot Table'!M$361/$M375),0)</f>
        <v>1120.2567740064749</v>
      </c>
      <c r="D375" s="75">
        <f>IF($M375&gt;0,('Amounts Pivot Table'!M$364/$M375),0)</f>
        <v>1307.4858241633624</v>
      </c>
      <c r="E375" s="75">
        <f>IF($M375&gt;0,('Amounts Pivot Table'!M$367/$M375),0)</f>
        <v>1951.3311861333732</v>
      </c>
      <c r="F375" s="75">
        <f t="shared" si="57"/>
        <v>9226.9862232753494</v>
      </c>
      <c r="G375" s="116">
        <f>IF(B375&gt;0,RANK(B375,$B$364:$B$382),)</f>
        <v>5</v>
      </c>
      <c r="H375" s="107">
        <f>IF(C375&gt;0,RANK(C375,$C$364:$C$382),)</f>
        <v>1</v>
      </c>
      <c r="I375" s="107">
        <f>IF(D375&gt;0,RANK(D375,$D$364:$D$382),)</f>
        <v>3</v>
      </c>
      <c r="J375" s="107">
        <f>IF(E375&gt;0,RANK(E375,$E$364:$E$382),)</f>
        <v>12</v>
      </c>
      <c r="K375" s="107">
        <f>IF(F375&gt;0,RANK(F375,$F$364:$F$382),)</f>
        <v>6</v>
      </c>
      <c r="L375" s="168"/>
      <c r="M375" s="824">
        <f>+'[1]NEW-Tables 80-86'!AG174</f>
        <v>31735.732222222221</v>
      </c>
      <c r="N375" s="73"/>
      <c r="O375" s="73"/>
      <c r="P375" s="73"/>
      <c r="Q375" s="73"/>
    </row>
    <row r="376" spans="1:17" s="61" customFormat="1" ht="12.75" customHeight="1">
      <c r="A376" s="73" t="s">
        <v>331</v>
      </c>
      <c r="B376" s="75">
        <f>IF($M376&gt;0,('Amounts Pivot Table'!M$397/$M376),0)</f>
        <v>4597.4811551575185</v>
      </c>
      <c r="C376" s="75">
        <f>IF($M376&gt;0,('Amounts Pivot Table'!M$400/$M376),0)</f>
        <v>0</v>
      </c>
      <c r="D376" s="75">
        <f>IF($M376&gt;0,('Amounts Pivot Table'!M$403/$M376),0)</f>
        <v>0</v>
      </c>
      <c r="E376" s="75">
        <f>IF($M376&gt;0,('Amounts Pivot Table'!M$406/$M376),0)</f>
        <v>3708.8688807845256</v>
      </c>
      <c r="F376" s="75">
        <f t="shared" si="57"/>
        <v>8306.3500359420432</v>
      </c>
      <c r="G376" s="116">
        <f>IF(B376&gt;0,RANK(B376,$B$364:$B$382),)</f>
        <v>6</v>
      </c>
      <c r="H376" s="107">
        <f>IF(C376&gt;0,RANK(C376,$C$364:$C$382),)</f>
        <v>0</v>
      </c>
      <c r="I376" s="107">
        <f>IF(D376&gt;0,RANK(D376,$D$364:$D$382),)</f>
        <v>0</v>
      </c>
      <c r="J376" s="107">
        <f>IF(E376&gt;0,RANK(E376,$E$364:$E$382),)</f>
        <v>7</v>
      </c>
      <c r="K376" s="107">
        <f>IF(F376&gt;0,RANK(F376,$F$364:$F$382),)</f>
        <v>10</v>
      </c>
      <c r="L376" s="168"/>
      <c r="M376" s="824">
        <f>+'[1]NEW-Tables 80-86'!AG175</f>
        <v>10108.866666666667</v>
      </c>
      <c r="N376" s="73"/>
      <c r="O376" s="73"/>
      <c r="P376" s="73"/>
      <c r="Q376" s="73"/>
    </row>
    <row r="377" spans="1:17" s="61" customFormat="1" ht="12.75" customHeight="1">
      <c r="A377" s="73" t="s">
        <v>325</v>
      </c>
      <c r="B377" s="75">
        <f>IF($M377&gt;0,('Amounts Pivot Table'!M$436/$M377),0)</f>
        <v>1737.5405132433268</v>
      </c>
      <c r="C377" s="75">
        <f>IF($M377&gt;0,('Amounts Pivot Table'!M$439/$M377),0)</f>
        <v>721.89359950530763</v>
      </c>
      <c r="D377" s="75">
        <f>IF($M377&gt;0,('Amounts Pivot Table'!M$442/$M377),0)</f>
        <v>470.4038338658147</v>
      </c>
      <c r="E377" s="75">
        <f>IF($M377&gt;0,('Amounts Pivot Table'!M$445/$M377),0)</f>
        <v>4915.3809337318353</v>
      </c>
      <c r="F377" s="75">
        <f t="shared" si="57"/>
        <v>7845.218880346285</v>
      </c>
      <c r="G377" s="116">
        <f>IF(B377&gt;0,RANK(B377,$B$364:$B$382),)</f>
        <v>12</v>
      </c>
      <c r="H377" s="107">
        <f>IF(C377&gt;0,RANK(C377,$C$364:$C$382),)</f>
        <v>2</v>
      </c>
      <c r="I377" s="107">
        <f>IF(D377&gt;0,RANK(D377,$D$364:$D$382),)</f>
        <v>5</v>
      </c>
      <c r="J377" s="107">
        <f>IF(E377&gt;0,RANK(E377,$E$364:$E$382),)</f>
        <v>2</v>
      </c>
      <c r="K377" s="107">
        <f>IF(F377&gt;0,RANK(F377,$F$364:$F$382),)</f>
        <v>11</v>
      </c>
      <c r="L377" s="168"/>
      <c r="M377" s="824">
        <f>+'[1]NEW-Tables 80-86'!AG176</f>
        <v>8085.833333333333</v>
      </c>
      <c r="N377" s="73"/>
      <c r="O377" s="73"/>
      <c r="P377" s="73"/>
      <c r="Q377" s="73"/>
    </row>
    <row r="378" spans="1:17" s="112" customFormat="1" ht="7.5" customHeight="1">
      <c r="A378" s="110"/>
      <c r="B378" s="111"/>
      <c r="C378" s="111"/>
      <c r="D378" s="111"/>
      <c r="E378" s="111"/>
      <c r="F378" s="111"/>
      <c r="G378" s="119"/>
      <c r="H378" s="120"/>
      <c r="I378" s="120"/>
      <c r="J378" s="120"/>
      <c r="K378" s="120"/>
      <c r="L378" s="175"/>
      <c r="M378" s="824"/>
      <c r="N378" s="110"/>
      <c r="O378" s="110"/>
      <c r="P378" s="110"/>
      <c r="Q378" s="110"/>
    </row>
    <row r="379" spans="1:17" s="61" customFormat="1" ht="12.75" customHeight="1">
      <c r="A379" s="73" t="s">
        <v>90</v>
      </c>
      <c r="B379" s="75">
        <f>IF($M379&gt;0,('Amounts Pivot Table'!M$475/$M379),0)</f>
        <v>0</v>
      </c>
      <c r="C379" s="75">
        <f>IF($M379&gt;0,('Amounts Pivot Table'!M$478/$M379),0)</f>
        <v>0</v>
      </c>
      <c r="D379" s="75">
        <f>IF($M379&gt;0,('Amounts Pivot Table'!M$481/$M379),0)</f>
        <v>0</v>
      </c>
      <c r="E379" s="75">
        <f>IF($M379&gt;0,('Amounts Pivot Table'!M$484/$M379),0)</f>
        <v>0</v>
      </c>
      <c r="F379" s="75">
        <f t="shared" si="57"/>
        <v>0</v>
      </c>
      <c r="G379" s="116">
        <f>IF(B379&gt;0,RANK(B379,$B$364:$B$382),)</f>
        <v>0</v>
      </c>
      <c r="H379" s="107">
        <f>IF(C379&gt;0,RANK(C379,$C$364:$C$382),)</f>
        <v>0</v>
      </c>
      <c r="I379" s="107">
        <f>IF(D379&gt;0,RANK(D379,$D$364:$D$382),)</f>
        <v>0</v>
      </c>
      <c r="J379" s="107">
        <f>IF(E379&gt;0,RANK(E379,$E$364:$E$382),)</f>
        <v>0</v>
      </c>
      <c r="K379" s="107">
        <f>IF(F379&gt;0,RANK(F379,$F$364:$F$382),)</f>
        <v>0</v>
      </c>
      <c r="L379" s="168"/>
      <c r="M379" s="824">
        <f>+'[1]NEW-Tables 80-86'!AG178</f>
        <v>0</v>
      </c>
      <c r="N379" s="73"/>
      <c r="O379" s="73"/>
      <c r="P379" s="73"/>
      <c r="Q379" s="73"/>
    </row>
    <row r="380" spans="1:17" s="76" customFormat="1" ht="12.75" customHeight="1">
      <c r="A380" s="73" t="s">
        <v>177</v>
      </c>
      <c r="B380" s="75">
        <f>IF($M380&gt;0,('Amounts Pivot Table'!M$514/$M380),0)</f>
        <v>4440.0520993004657</v>
      </c>
      <c r="C380" s="75">
        <f>IF($M380&gt;0,('Amounts Pivot Table'!M$517/$M380),0)</f>
        <v>0</v>
      </c>
      <c r="D380" s="75">
        <f>IF($M380&gt;0,('Amounts Pivot Table'!M$520/$M380),0)</f>
        <v>2405.9931614224802</v>
      </c>
      <c r="E380" s="75">
        <f>IF($M380&gt;0,('Amounts Pivot Table'!M$523/$M380),0)</f>
        <v>2053.553064295867</v>
      </c>
      <c r="F380" s="75">
        <f t="shared" si="57"/>
        <v>8899.5983250188128</v>
      </c>
      <c r="G380" s="116">
        <f>IF(B380&gt;0,RANK(B380,$B$364:$B$382),)</f>
        <v>7</v>
      </c>
      <c r="H380" s="107">
        <f>IF(C380&gt;0,RANK(C380,$C$364:$C$382),)</f>
        <v>0</v>
      </c>
      <c r="I380" s="107">
        <f>IF(D380&gt;0,RANK(D380,$D$364:$D$382),)</f>
        <v>2</v>
      </c>
      <c r="J380" s="107">
        <f>IF(E380&gt;0,RANK(E380,$E$364:$E$382),)</f>
        <v>11</v>
      </c>
      <c r="K380" s="107">
        <f>IF(F380&gt;0,RANK(F380,$F$364:$F$382),)</f>
        <v>7</v>
      </c>
      <c r="L380" s="169"/>
      <c r="M380" s="824">
        <f>+'[1]NEW-Tables 80-86'!AG179</f>
        <v>11481.919999999998</v>
      </c>
      <c r="N380" s="90"/>
      <c r="O380" s="90"/>
      <c r="P380" s="90"/>
      <c r="Q380" s="90"/>
    </row>
    <row r="381" spans="1:17" s="61" customFormat="1" ht="12.75" customHeight="1">
      <c r="A381" s="73" t="s">
        <v>27</v>
      </c>
      <c r="B381" s="75">
        <f>IF($M381&gt;0,('Amounts Pivot Table'!M$553/$M381),0)</f>
        <v>672.65569356033757</v>
      </c>
      <c r="C381" s="75">
        <f>IF($M381&gt;0,('Amounts Pivot Table'!M$556/$M381),0)</f>
        <v>0</v>
      </c>
      <c r="D381" s="75">
        <f>IF($M381&gt;0,('Amounts Pivot Table'!M$559/$M381),0)</f>
        <v>0</v>
      </c>
      <c r="E381" s="75">
        <f>IF($M381&gt;0,('Amounts Pivot Table'!M$562/$M381),0)</f>
        <v>499.75302543837989</v>
      </c>
      <c r="F381" s="75">
        <f>SUM(B381:E381)</f>
        <v>1172.4087189987174</v>
      </c>
      <c r="G381" s="116">
        <f>IF(B381&gt;0,RANK(B381,$B$364:$B$382),)</f>
        <v>13</v>
      </c>
      <c r="H381" s="107">
        <f>IF(C381&gt;0,RANK(C381,$C$364:$C$382),)</f>
        <v>0</v>
      </c>
      <c r="I381" s="107">
        <f>IF(D381&gt;0,RANK(D381,$D$364:$D$382),)</f>
        <v>0</v>
      </c>
      <c r="J381" s="107">
        <f>IF(E381&gt;0,RANK(E381,$E$364:$E$382),)</f>
        <v>13</v>
      </c>
      <c r="K381" s="107">
        <f>IF(F381&gt;0,RANK(F381,$F$364:$F$382),)</f>
        <v>13</v>
      </c>
      <c r="L381" s="170"/>
      <c r="M381" s="824">
        <f>+'[1]NEW-Tables 80-86'!AG180</f>
        <v>8367.9333333333325</v>
      </c>
      <c r="N381" s="73"/>
      <c r="O381" s="73"/>
      <c r="P381" s="73"/>
      <c r="Q381" s="73"/>
    </row>
    <row r="382" spans="1:17" s="61" customFormat="1" ht="13.5" customHeight="1">
      <c r="A382" s="74" t="s">
        <v>332</v>
      </c>
      <c r="B382" s="104">
        <f>IF($M382&gt;0,('Amounts Pivot Table'!M$592/$M382),0)</f>
        <v>4112.423219737505</v>
      </c>
      <c r="C382" s="104">
        <f>IF($M382&gt;0,('Amounts Pivot Table'!M$595/$M382),0)</f>
        <v>56.384816978408139</v>
      </c>
      <c r="D382" s="104">
        <f>IF($M382&gt;0,('Amounts Pivot Table'!M$598/$M382),0)</f>
        <v>0</v>
      </c>
      <c r="E382" s="104">
        <f>IF($M382&gt;0,('Amounts Pivot Table'!M$601/$M382),0)</f>
        <v>4572.2092745975824</v>
      </c>
      <c r="F382" s="105">
        <f t="shared" si="57"/>
        <v>8741.0173113134952</v>
      </c>
      <c r="G382" s="117">
        <f>IF(B382&gt;0,RANK(B382,$B$364:$B$382),)</f>
        <v>9</v>
      </c>
      <c r="H382" s="118">
        <f>IF(C382&gt;0,RANK(C382,$C$364:$C$382),)</f>
        <v>6</v>
      </c>
      <c r="I382" s="118">
        <f>IF(D382&gt;0,RANK(D382,$D$364:$D$382),)</f>
        <v>0</v>
      </c>
      <c r="J382" s="118">
        <f>IF(E382&gt;0,RANK(E382,$E$364:$E$382),)</f>
        <v>3</v>
      </c>
      <c r="K382" s="118">
        <f>IF(F382&gt;0,RANK(F382,$F$364:$F$382),)</f>
        <v>8</v>
      </c>
      <c r="L382" s="171"/>
      <c r="M382" s="824">
        <f>+'[1]NEW-Tables 80-86'!AG181</f>
        <v>8512.93</v>
      </c>
      <c r="N382" s="73"/>
      <c r="O382" s="73"/>
      <c r="P382" s="73"/>
      <c r="Q382" s="73"/>
    </row>
    <row r="383" spans="1:17" s="76" customFormat="1" ht="15" customHeight="1">
      <c r="A383" s="1532" t="s">
        <v>201</v>
      </c>
      <c r="B383" s="1532"/>
      <c r="C383" s="1532"/>
      <c r="D383" s="1532"/>
      <c r="E383" s="1532"/>
      <c r="F383" s="1532"/>
      <c r="G383" s="1532"/>
      <c r="H383" s="1532"/>
      <c r="I383" s="1532"/>
      <c r="J383" s="1532"/>
      <c r="K383" s="1532"/>
      <c r="L383" s="169"/>
      <c r="M383" s="300"/>
      <c r="N383" s="90"/>
      <c r="O383" s="90"/>
      <c r="P383" s="90"/>
      <c r="Q383" s="90"/>
    </row>
    <row r="384" spans="1:17" s="76" customFormat="1" ht="14.25" customHeight="1">
      <c r="A384" s="492" t="s">
        <v>1952</v>
      </c>
      <c r="B384" s="113"/>
      <c r="C384" s="113"/>
      <c r="D384" s="113"/>
      <c r="E384" s="113"/>
      <c r="F384" s="113"/>
      <c r="G384" s="113"/>
      <c r="H384" s="113"/>
      <c r="I384" s="113"/>
      <c r="J384" s="113"/>
      <c r="K384" s="113"/>
      <c r="L384" s="169"/>
      <c r="M384" s="300"/>
      <c r="N384" s="90"/>
      <c r="O384" s="90"/>
      <c r="P384" s="90"/>
      <c r="Q384" s="90"/>
    </row>
    <row r="385" spans="1:17" s="76" customFormat="1" ht="29.25" customHeight="1">
      <c r="A385" s="1505" t="s">
        <v>17</v>
      </c>
      <c r="B385" s="1529"/>
      <c r="C385" s="1529"/>
      <c r="D385" s="1529"/>
      <c r="E385" s="1529"/>
      <c r="F385" s="1529"/>
      <c r="G385" s="1529"/>
      <c r="H385" s="1529"/>
      <c r="I385" s="1529"/>
      <c r="J385" s="1529"/>
      <c r="K385" s="1529"/>
      <c r="L385" s="169"/>
      <c r="M385" s="296"/>
      <c r="N385" s="90"/>
      <c r="O385" s="90"/>
      <c r="P385" s="90"/>
      <c r="Q385" s="90"/>
    </row>
    <row r="386" spans="1:17" s="205" customFormat="1" ht="13.5" customHeight="1">
      <c r="A386" s="1505" t="s">
        <v>54</v>
      </c>
      <c r="B386" s="1529"/>
      <c r="C386" s="1529"/>
      <c r="D386" s="1529"/>
      <c r="E386" s="1529"/>
      <c r="F386" s="1529"/>
      <c r="G386" s="1529"/>
      <c r="H386" s="1529"/>
      <c r="I386" s="1529"/>
      <c r="J386" s="1529"/>
      <c r="K386" s="1529"/>
      <c r="L386" s="204"/>
      <c r="M386" s="302"/>
      <c r="N386" s="206"/>
      <c r="O386" s="206"/>
      <c r="P386" s="206"/>
      <c r="Q386" s="206"/>
    </row>
    <row r="387" spans="1:17" s="61" customFormat="1" ht="13.5" customHeight="1">
      <c r="A387" s="1505" t="s">
        <v>233</v>
      </c>
      <c r="B387" s="1530"/>
      <c r="C387" s="1530"/>
      <c r="D387" s="1530"/>
      <c r="E387" s="1530"/>
      <c r="F387" s="1530"/>
      <c r="G387" s="1531"/>
      <c r="H387" s="1531"/>
      <c r="I387" s="1531"/>
      <c r="J387" s="1531"/>
      <c r="K387" s="1531"/>
      <c r="L387" s="171"/>
      <c r="M387" s="300"/>
      <c r="N387" s="73"/>
      <c r="O387" s="73"/>
      <c r="P387" s="73"/>
      <c r="Q387" s="73"/>
    </row>
    <row r="388" spans="1:17" s="61" customFormat="1">
      <c r="A388" s="187"/>
      <c r="B388" s="106"/>
      <c r="C388" s="106"/>
      <c r="D388" s="106"/>
      <c r="E388" s="106"/>
      <c r="F388" s="106"/>
      <c r="G388" s="188"/>
      <c r="H388" s="188"/>
      <c r="I388" s="188"/>
      <c r="J388" s="188"/>
      <c r="K388" s="534" t="s">
        <v>1927</v>
      </c>
      <c r="L388" s="171"/>
      <c r="M388" s="303"/>
      <c r="N388" s="73"/>
      <c r="O388" s="73"/>
      <c r="P388" s="73"/>
      <c r="Q388" s="73"/>
    </row>
    <row r="389" spans="1:17" s="61" customFormat="1" ht="18">
      <c r="A389" s="135" t="s">
        <v>370</v>
      </c>
      <c r="B389" s="135"/>
      <c r="C389" s="135"/>
      <c r="D389" s="135"/>
      <c r="E389" s="135"/>
      <c r="F389" s="135"/>
      <c r="G389" s="135"/>
      <c r="H389" s="135"/>
      <c r="I389" s="135"/>
      <c r="J389" s="565"/>
      <c r="K389" s="135"/>
      <c r="M389" s="304"/>
      <c r="N389" s="73"/>
      <c r="O389" s="73"/>
      <c r="P389" s="73"/>
      <c r="Q389" s="73"/>
    </row>
    <row r="390" spans="1:17" s="61" customFormat="1" ht="12" customHeight="1">
      <c r="A390" s="135"/>
      <c r="B390" s="135"/>
      <c r="C390" s="135"/>
      <c r="D390" s="135"/>
      <c r="E390" s="135"/>
      <c r="F390" s="135"/>
      <c r="G390" s="135"/>
      <c r="H390" s="135"/>
      <c r="I390" s="135"/>
      <c r="J390" s="565"/>
      <c r="K390" s="135"/>
      <c r="M390" s="304"/>
      <c r="N390" s="73"/>
      <c r="O390" s="73"/>
      <c r="P390" s="73"/>
      <c r="Q390" s="73"/>
    </row>
    <row r="391" spans="1:17" s="61" customFormat="1" ht="18.75">
      <c r="A391" s="1504" t="s">
        <v>18</v>
      </c>
      <c r="B391" s="1504"/>
      <c r="C391" s="1504"/>
      <c r="D391" s="1504"/>
      <c r="E391" s="1504"/>
      <c r="F391" s="1504"/>
      <c r="G391" s="1504"/>
      <c r="H391" s="1504"/>
      <c r="I391" s="1504"/>
      <c r="J391" s="1504"/>
      <c r="K391" s="1504"/>
      <c r="L391" s="165"/>
      <c r="M391" s="296"/>
      <c r="N391" s="73"/>
      <c r="O391" s="73"/>
      <c r="P391" s="73"/>
      <c r="Q391" s="73"/>
    </row>
    <row r="392" spans="1:17" s="61" customFormat="1" ht="15.75">
      <c r="A392" s="1504" t="s">
        <v>1941</v>
      </c>
      <c r="B392" s="1504"/>
      <c r="C392" s="1504"/>
      <c r="D392" s="1504"/>
      <c r="E392" s="1504"/>
      <c r="F392" s="1504"/>
      <c r="G392" s="1504"/>
      <c r="H392" s="1504"/>
      <c r="I392" s="1504"/>
      <c r="J392" s="1504"/>
      <c r="K392" s="1504"/>
      <c r="L392" s="165"/>
      <c r="M392" s="299"/>
      <c r="N392" s="73"/>
      <c r="O392" s="73"/>
      <c r="P392" s="73"/>
      <c r="Q392" s="73"/>
    </row>
    <row r="393" spans="1:17" s="61" customFormat="1" ht="10.5" customHeight="1">
      <c r="A393" s="91"/>
      <c r="B393" s="91"/>
      <c r="C393" s="91"/>
      <c r="D393" s="91"/>
      <c r="E393" s="91"/>
      <c r="F393" s="91"/>
      <c r="G393" s="108"/>
      <c r="H393" s="91"/>
      <c r="I393" s="91"/>
      <c r="J393" s="91"/>
      <c r="K393" s="91"/>
      <c r="L393" s="165"/>
      <c r="M393" s="296"/>
      <c r="N393" s="73"/>
      <c r="O393" s="73"/>
      <c r="P393" s="73"/>
      <c r="Q393" s="73"/>
    </row>
    <row r="394" spans="1:17" s="61" customFormat="1" ht="17.25" customHeight="1">
      <c r="A394" s="60"/>
      <c r="B394" s="1527" t="s">
        <v>55</v>
      </c>
      <c r="C394" s="1528"/>
      <c r="D394" s="1528"/>
      <c r="E394" s="1528"/>
      <c r="F394" s="1528"/>
      <c r="G394" s="568" t="s">
        <v>119</v>
      </c>
      <c r="H394" s="569"/>
      <c r="I394" s="569"/>
      <c r="J394" s="569"/>
      <c r="K394" s="569"/>
      <c r="L394" s="173"/>
      <c r="M394" s="296"/>
      <c r="N394" s="73"/>
      <c r="O394" s="73"/>
      <c r="P394" s="73"/>
      <c r="Q394" s="73"/>
    </row>
    <row r="395" spans="1:17" s="6" customFormat="1" ht="48">
      <c r="A395" s="50"/>
      <c r="B395" s="549" t="s">
        <v>87</v>
      </c>
      <c r="C395" s="550" t="s">
        <v>89</v>
      </c>
      <c r="D395" s="550" t="s">
        <v>88</v>
      </c>
      <c r="E395" s="550" t="s">
        <v>397</v>
      </c>
      <c r="F395" s="550" t="s">
        <v>97</v>
      </c>
      <c r="G395" s="551" t="s">
        <v>87</v>
      </c>
      <c r="H395" s="550" t="s">
        <v>89</v>
      </c>
      <c r="I395" s="550" t="s">
        <v>88</v>
      </c>
      <c r="J395" s="550" t="s">
        <v>397</v>
      </c>
      <c r="K395" s="550" t="s">
        <v>97</v>
      </c>
      <c r="L395" s="167"/>
      <c r="M395" s="298" t="s">
        <v>260</v>
      </c>
      <c r="N395" s="7"/>
      <c r="O395" s="7"/>
      <c r="P395" s="7"/>
      <c r="Q395" s="7"/>
    </row>
    <row r="396" spans="1:17" s="61" customFormat="1" ht="14.25">
      <c r="A396" s="73" t="s">
        <v>56</v>
      </c>
      <c r="B396" s="102">
        <f>IF($M396&gt;0,('Amounts Pivot Table'!N$631/$M396),0)</f>
        <v>2561.9065264246537</v>
      </c>
      <c r="C396" s="102">
        <f>IF($M396&gt;0,('Amounts Pivot Table'!N$634/$M396),0)</f>
        <v>0</v>
      </c>
      <c r="D396" s="102">
        <f>IF($M396&gt;0,('Amounts Pivot Table'!N$637/$M396),0)</f>
        <v>1699.2567014485724</v>
      </c>
      <c r="E396" s="102">
        <f>IF($M396&gt;0,('Amounts Pivot Table'!N$640/$M396),0)</f>
        <v>3252.5042714291717</v>
      </c>
      <c r="F396" s="102">
        <f>SUM(B396:E396)</f>
        <v>7513.6674993023971</v>
      </c>
      <c r="G396" s="114"/>
      <c r="H396" s="115"/>
      <c r="I396" s="115"/>
      <c r="J396" s="115"/>
      <c r="K396" s="115"/>
      <c r="L396" s="168"/>
      <c r="M396" s="824">
        <f>+'[1]NEW-Tables 80-86'!AH161</f>
        <v>204729.16111111111</v>
      </c>
      <c r="N396" s="73"/>
      <c r="O396" s="73"/>
      <c r="P396" s="73"/>
      <c r="Q396" s="73"/>
    </row>
    <row r="397" spans="1:17" s="112" customFormat="1" ht="9.75" customHeight="1">
      <c r="A397" s="110"/>
      <c r="B397" s="111"/>
      <c r="C397" s="111"/>
      <c r="D397" s="111"/>
      <c r="E397" s="111"/>
      <c r="F397" s="111"/>
      <c r="G397" s="119"/>
      <c r="H397" s="120"/>
      <c r="I397" s="120"/>
      <c r="J397" s="120"/>
      <c r="K397" s="120"/>
      <c r="L397" s="175"/>
      <c r="M397" s="824"/>
      <c r="N397" s="110"/>
      <c r="O397" s="110"/>
      <c r="P397" s="110"/>
      <c r="Q397" s="110"/>
    </row>
    <row r="398" spans="1:17" s="61" customFormat="1" ht="12.75" customHeight="1">
      <c r="A398" s="73" t="s">
        <v>320</v>
      </c>
      <c r="B398" s="75">
        <f>IF($M398&gt;0,('Amounts Pivot Table'!N$7/$M398),0)</f>
        <v>0</v>
      </c>
      <c r="C398" s="75">
        <f>IF($M398&gt;0,('Amounts Pivot Table'!N$10/$M398),0)</f>
        <v>0</v>
      </c>
      <c r="D398" s="75">
        <f>IF($M398&gt;0,('Amounts Pivot Table'!N$13/$M398),0)</f>
        <v>0</v>
      </c>
      <c r="E398" s="75">
        <f>IF($M398&gt;0,('Amounts Pivot Table'!N$16/$M398),0)</f>
        <v>0</v>
      </c>
      <c r="F398" s="75">
        <f t="shared" ref="F398:F416" si="58">SUM(B398:E398)</f>
        <v>0</v>
      </c>
      <c r="G398" s="116">
        <f t="shared" ref="G398:G416" si="59">IF(B398&gt;0,RANK(B398,$B$398:$B$416),)</f>
        <v>0</v>
      </c>
      <c r="H398" s="107">
        <f t="shared" ref="H398:H416" si="60">IF(C398&gt;0,RANK(C398,$C$398:$C$416),)</f>
        <v>0</v>
      </c>
      <c r="I398" s="107">
        <f t="shared" ref="I398:I416" si="61">IF(D398&gt;0,RANK(D398,$D$398:$D$416),)</f>
        <v>0</v>
      </c>
      <c r="J398" s="107">
        <f t="shared" ref="J398:J416" si="62">IF(E398&gt;0,RANK(E398,$E$398:$E$416),)</f>
        <v>0</v>
      </c>
      <c r="K398" s="107">
        <f t="shared" ref="K398:K416" si="63">IF(F398&gt;0,RANK(F398,$F$398:$F$416),)</f>
        <v>0</v>
      </c>
      <c r="L398" s="168"/>
      <c r="M398" s="824">
        <f>+'[1]NEW-Tables 80-86'!AH163</f>
        <v>0</v>
      </c>
      <c r="N398" s="73"/>
      <c r="O398" s="73"/>
      <c r="P398" s="73"/>
      <c r="Q398" s="73"/>
    </row>
    <row r="399" spans="1:17" s="61" customFormat="1" ht="12.75" customHeight="1">
      <c r="A399" s="73" t="s">
        <v>334</v>
      </c>
      <c r="B399" s="75">
        <f>IF($M399&gt;0,('Amounts Pivot Table'!N$46/$M399),0)</f>
        <v>0</v>
      </c>
      <c r="C399" s="75">
        <f>IF($M399&gt;0,('Amounts Pivot Table'!N$49/$M399),0)</f>
        <v>0</v>
      </c>
      <c r="D399" s="75">
        <f>IF($M399&gt;0,('Amounts Pivot Table'!N$52/$M399),0)</f>
        <v>0</v>
      </c>
      <c r="E399" s="75">
        <f>IF($M399&gt;0,('Amounts Pivot Table'!N$55/$M399),0)</f>
        <v>0</v>
      </c>
      <c r="F399" s="75">
        <f t="shared" si="58"/>
        <v>0</v>
      </c>
      <c r="G399" s="116">
        <f t="shared" si="59"/>
        <v>0</v>
      </c>
      <c r="H399" s="107">
        <f t="shared" si="60"/>
        <v>0</v>
      </c>
      <c r="I399" s="107">
        <f t="shared" si="61"/>
        <v>0</v>
      </c>
      <c r="J399" s="107">
        <f t="shared" si="62"/>
        <v>0</v>
      </c>
      <c r="K399" s="107">
        <f t="shared" si="63"/>
        <v>0</v>
      </c>
      <c r="L399" s="168"/>
      <c r="M399" s="824">
        <f>+'[1]NEW-Tables 80-86'!AH164</f>
        <v>0</v>
      </c>
      <c r="N399" s="73"/>
      <c r="O399" s="73"/>
      <c r="P399" s="73"/>
      <c r="Q399" s="73"/>
    </row>
    <row r="400" spans="1:17" s="61" customFormat="1" ht="12.75" customHeight="1">
      <c r="A400" s="73" t="s">
        <v>321</v>
      </c>
      <c r="B400" s="75">
        <f>IF($M400&gt;0,('Amounts Pivot Table'!N$85/$M400),0)</f>
        <v>0</v>
      </c>
      <c r="C400" s="75">
        <f>IF($M400&gt;0,('Amounts Pivot Table'!N$88/$M400),0)</f>
        <v>0</v>
      </c>
      <c r="D400" s="75">
        <f>IF($M400&gt;0,('Amounts Pivot Table'!N$91/$M400),0)</f>
        <v>0</v>
      </c>
      <c r="E400" s="75">
        <f>IF($M400&gt;0,('Amounts Pivot Table'!N$94/$M400),0)</f>
        <v>0</v>
      </c>
      <c r="F400" s="75">
        <f t="shared" si="58"/>
        <v>0</v>
      </c>
      <c r="G400" s="116">
        <f t="shared" si="59"/>
        <v>0</v>
      </c>
      <c r="H400" s="107">
        <f t="shared" si="60"/>
        <v>0</v>
      </c>
      <c r="I400" s="107">
        <f t="shared" si="61"/>
        <v>0</v>
      </c>
      <c r="J400" s="107">
        <f t="shared" si="62"/>
        <v>0</v>
      </c>
      <c r="K400" s="107">
        <f t="shared" si="63"/>
        <v>0</v>
      </c>
      <c r="L400" s="168"/>
      <c r="M400" s="824">
        <f>+'[1]NEW-Tables 80-86'!AH165</f>
        <v>0</v>
      </c>
      <c r="N400" s="73"/>
      <c r="O400" s="73"/>
      <c r="P400" s="73"/>
      <c r="Q400" s="73"/>
    </row>
    <row r="401" spans="1:17" s="61" customFormat="1" ht="12.75" customHeight="1">
      <c r="A401" s="73" t="s">
        <v>328</v>
      </c>
      <c r="B401" s="75">
        <f>IF($M401&gt;0,('Amounts Pivot Table'!N$124/$M401),0)</f>
        <v>0</v>
      </c>
      <c r="C401" s="75">
        <f>IF($M401&gt;0,('Amounts Pivot Table'!N$127/$M401),0)</f>
        <v>0</v>
      </c>
      <c r="D401" s="75">
        <f>IF($M401&gt;0,('Amounts Pivot Table'!N$130/$M401),0)</f>
        <v>0</v>
      </c>
      <c r="E401" s="75">
        <f>IF($M401&gt;0,('Amounts Pivot Table'!N$133/$M401),0)</f>
        <v>0</v>
      </c>
      <c r="F401" s="75">
        <f t="shared" si="58"/>
        <v>0</v>
      </c>
      <c r="G401" s="116">
        <f t="shared" si="59"/>
        <v>0</v>
      </c>
      <c r="H401" s="107">
        <f t="shared" si="60"/>
        <v>0</v>
      </c>
      <c r="I401" s="107">
        <f t="shared" si="61"/>
        <v>0</v>
      </c>
      <c r="J401" s="107">
        <f t="shared" si="62"/>
        <v>0</v>
      </c>
      <c r="K401" s="107">
        <f t="shared" si="63"/>
        <v>0</v>
      </c>
      <c r="L401" s="168"/>
      <c r="M401" s="824">
        <f>+'[1]NEW-Tables 80-86'!AH166</f>
        <v>0</v>
      </c>
      <c r="N401" s="73"/>
      <c r="O401" s="73"/>
      <c r="P401" s="73"/>
      <c r="Q401" s="73"/>
    </row>
    <row r="402" spans="1:17" s="112" customFormat="1">
      <c r="A402" s="110"/>
      <c r="B402" s="111"/>
      <c r="C402" s="111"/>
      <c r="D402" s="111"/>
      <c r="E402" s="111"/>
      <c r="F402" s="111"/>
      <c r="G402" s="119"/>
      <c r="H402" s="120"/>
      <c r="I402" s="120"/>
      <c r="J402" s="120"/>
      <c r="K402" s="120"/>
      <c r="L402" s="175"/>
      <c r="M402" s="824"/>
      <c r="N402" s="110"/>
      <c r="O402" s="110"/>
      <c r="P402" s="110"/>
      <c r="Q402" s="110"/>
    </row>
    <row r="403" spans="1:17" s="61" customFormat="1" ht="12.75" customHeight="1">
      <c r="A403" s="73" t="s">
        <v>329</v>
      </c>
      <c r="B403" s="75">
        <f>IF($M403&gt;0,('Amounts Pivot Table'!N$163/$M403),0)</f>
        <v>0</v>
      </c>
      <c r="C403" s="75">
        <f>IF($M403&gt;0,('Amounts Pivot Table'!N$166/$M403),0)</f>
        <v>0</v>
      </c>
      <c r="D403" s="75">
        <f>IF($M403&gt;0,('Amounts Pivot Table'!N$169/$M403),0)</f>
        <v>0</v>
      </c>
      <c r="E403" s="75">
        <f>IF($M403&gt;0,('Amounts Pivot Table'!N$172/$M403),0)</f>
        <v>0</v>
      </c>
      <c r="F403" s="75">
        <f t="shared" si="58"/>
        <v>0</v>
      </c>
      <c r="G403" s="116">
        <f t="shared" si="59"/>
        <v>0</v>
      </c>
      <c r="H403" s="107">
        <f t="shared" si="60"/>
        <v>0</v>
      </c>
      <c r="I403" s="107">
        <f t="shared" si="61"/>
        <v>0</v>
      </c>
      <c r="J403" s="107">
        <f t="shared" si="62"/>
        <v>0</v>
      </c>
      <c r="K403" s="107">
        <f t="shared" si="63"/>
        <v>0</v>
      </c>
      <c r="L403" s="168"/>
      <c r="M403" s="824">
        <f>+'[1]NEW-Tables 80-86'!AH168</f>
        <v>0</v>
      </c>
      <c r="N403" s="73"/>
      <c r="O403" s="73"/>
      <c r="P403" s="73"/>
      <c r="Q403" s="73"/>
    </row>
    <row r="404" spans="1:17" s="61" customFormat="1" ht="12.75" customHeight="1">
      <c r="A404" s="73" t="s">
        <v>322</v>
      </c>
      <c r="B404" s="75">
        <f>IF($M404&gt;0,('Amounts Pivot Table'!N$202/$M404),0)</f>
        <v>0</v>
      </c>
      <c r="C404" s="75">
        <f>IF($M404&gt;0,('Amounts Pivot Table'!N$205/$M404),0)</f>
        <v>0</v>
      </c>
      <c r="D404" s="75">
        <f>IF($M404&gt;0,('Amounts Pivot Table'!N$208/$M404),0)</f>
        <v>0</v>
      </c>
      <c r="E404" s="75">
        <f>IF($M404&gt;0,('Amounts Pivot Table'!N$211/$M404),0)</f>
        <v>0</v>
      </c>
      <c r="F404" s="75">
        <f t="shared" si="58"/>
        <v>0</v>
      </c>
      <c r="G404" s="116">
        <f t="shared" si="59"/>
        <v>0</v>
      </c>
      <c r="H404" s="107">
        <f t="shared" si="60"/>
        <v>0</v>
      </c>
      <c r="I404" s="107">
        <f t="shared" si="61"/>
        <v>0</v>
      </c>
      <c r="J404" s="107">
        <f t="shared" si="62"/>
        <v>0</v>
      </c>
      <c r="K404" s="107">
        <f t="shared" si="63"/>
        <v>0</v>
      </c>
      <c r="L404" s="168"/>
      <c r="M404" s="824">
        <f>+'[1]NEW-Tables 80-86'!AH169</f>
        <v>0</v>
      </c>
      <c r="N404" s="73"/>
      <c r="O404" s="73"/>
      <c r="P404" s="73"/>
      <c r="Q404" s="73"/>
    </row>
    <row r="405" spans="1:17" s="61" customFormat="1" ht="12.75" customHeight="1">
      <c r="A405" s="73" t="s">
        <v>330</v>
      </c>
      <c r="B405" s="75">
        <f>IF($M405&gt;0,('Amounts Pivot Table'!N$241/$M405),0)</f>
        <v>0</v>
      </c>
      <c r="C405" s="75">
        <f>IF($M405&gt;0,('Amounts Pivot Table'!N$244/$M405),0)</f>
        <v>0</v>
      </c>
      <c r="D405" s="75">
        <f>IF($M405&gt;0,('Amounts Pivot Table'!N$247/$M405),0)</f>
        <v>0</v>
      </c>
      <c r="E405" s="75">
        <f>IF($M405&gt;0,('Amounts Pivot Table'!N$250/$M405),0)</f>
        <v>0</v>
      </c>
      <c r="F405" s="75">
        <f t="shared" si="58"/>
        <v>0</v>
      </c>
      <c r="G405" s="116">
        <f t="shared" si="59"/>
        <v>0</v>
      </c>
      <c r="H405" s="107">
        <f t="shared" si="60"/>
        <v>0</v>
      </c>
      <c r="I405" s="107">
        <f t="shared" si="61"/>
        <v>0</v>
      </c>
      <c r="J405" s="107">
        <f t="shared" si="62"/>
        <v>0</v>
      </c>
      <c r="K405" s="107">
        <f t="shared" si="63"/>
        <v>0</v>
      </c>
      <c r="L405" s="168"/>
      <c r="M405" s="824">
        <f>+'[1]NEW-Tables 80-86'!AH170</f>
        <v>0</v>
      </c>
      <c r="N405" s="73"/>
      <c r="O405" s="73"/>
      <c r="P405" s="73"/>
      <c r="Q405" s="73"/>
    </row>
    <row r="406" spans="1:17" s="61" customFormat="1" ht="12.75" customHeight="1">
      <c r="A406" s="73" t="s">
        <v>333</v>
      </c>
      <c r="B406" s="75">
        <f>IF($M406&gt;0,('Amounts Pivot Table'!N$280/$M406),0)</f>
        <v>0</v>
      </c>
      <c r="C406" s="75">
        <f>IF($M406&gt;0,('Amounts Pivot Table'!N$283/$M406),0)</f>
        <v>0</v>
      </c>
      <c r="D406" s="75">
        <f>IF($M406&gt;0,('Amounts Pivot Table'!N$286/$M406),0)</f>
        <v>0</v>
      </c>
      <c r="E406" s="75">
        <f>IF($M406&gt;0,('Amounts Pivot Table'!N$289/$M406),0)</f>
        <v>0</v>
      </c>
      <c r="F406" s="75">
        <f t="shared" si="58"/>
        <v>0</v>
      </c>
      <c r="G406" s="116">
        <f t="shared" si="59"/>
        <v>0</v>
      </c>
      <c r="H406" s="107">
        <f t="shared" si="60"/>
        <v>0</v>
      </c>
      <c r="I406" s="107">
        <f t="shared" si="61"/>
        <v>0</v>
      </c>
      <c r="J406" s="107">
        <f t="shared" si="62"/>
        <v>0</v>
      </c>
      <c r="K406" s="107">
        <f t="shared" si="63"/>
        <v>0</v>
      </c>
      <c r="L406" s="168"/>
      <c r="M406" s="824">
        <f>+'[1]NEW-Tables 80-86'!AH171</f>
        <v>0</v>
      </c>
      <c r="N406" s="73"/>
      <c r="O406" s="73"/>
      <c r="P406" s="73"/>
      <c r="Q406" s="73"/>
    </row>
    <row r="407" spans="1:17" s="112" customFormat="1">
      <c r="A407" s="110"/>
      <c r="B407" s="111"/>
      <c r="C407" s="111"/>
      <c r="D407" s="111"/>
      <c r="E407" s="111"/>
      <c r="F407" s="111"/>
      <c r="G407" s="119"/>
      <c r="H407" s="120"/>
      <c r="I407" s="120"/>
      <c r="J407" s="120"/>
      <c r="K407" s="120"/>
      <c r="L407" s="175"/>
      <c r="M407" s="824"/>
      <c r="N407" s="110"/>
      <c r="O407" s="110"/>
      <c r="P407" s="110"/>
      <c r="Q407" s="110"/>
    </row>
    <row r="408" spans="1:17" s="61" customFormat="1" ht="12.75" customHeight="1">
      <c r="A408" s="73" t="s">
        <v>323</v>
      </c>
      <c r="B408" s="75">
        <f>IF($M408&gt;0,('Amounts Pivot Table'!N$319/$M408),0)</f>
        <v>0</v>
      </c>
      <c r="C408" s="75">
        <f>IF($M408&gt;0,('Amounts Pivot Table'!N$322/$M408),0)</f>
        <v>0</v>
      </c>
      <c r="D408" s="75">
        <f>IF($M408&gt;0,('Amounts Pivot Table'!N$325/$M408),0)</f>
        <v>0</v>
      </c>
      <c r="E408" s="75">
        <f>IF($M408&gt;0,('Amounts Pivot Table'!N$328/$M408),0)</f>
        <v>0</v>
      </c>
      <c r="F408" s="75">
        <f t="shared" si="58"/>
        <v>0</v>
      </c>
      <c r="G408" s="116">
        <f t="shared" si="59"/>
        <v>0</v>
      </c>
      <c r="H408" s="107">
        <f t="shared" si="60"/>
        <v>0</v>
      </c>
      <c r="I408" s="107">
        <f t="shared" si="61"/>
        <v>0</v>
      </c>
      <c r="J408" s="107">
        <f t="shared" si="62"/>
        <v>0</v>
      </c>
      <c r="K408" s="107">
        <f t="shared" si="63"/>
        <v>0</v>
      </c>
      <c r="L408" s="168"/>
      <c r="M408" s="824">
        <f>+'[1]NEW-Tables 80-86'!AH173</f>
        <v>0</v>
      </c>
      <c r="N408" s="73"/>
      <c r="O408" s="73"/>
      <c r="P408" s="73"/>
      <c r="Q408" s="73"/>
    </row>
    <row r="409" spans="1:17" s="61" customFormat="1" ht="12.75" customHeight="1">
      <c r="A409" s="73" t="s">
        <v>324</v>
      </c>
      <c r="B409" s="75">
        <f>IF($M409&gt;0,('Amounts Pivot Table'!N$358/$M409),0)</f>
        <v>0</v>
      </c>
      <c r="C409" s="75">
        <f>IF($M409&gt;0,('Amounts Pivot Table'!N$361/$M409),0)</f>
        <v>0</v>
      </c>
      <c r="D409" s="75">
        <f>IF($M409&gt;0,('Amounts Pivot Table'!N$364/$M409),0)</f>
        <v>0</v>
      </c>
      <c r="E409" s="75">
        <f>IF($M409&gt;0,('Amounts Pivot Table'!N$367/$M409),0)</f>
        <v>0</v>
      </c>
      <c r="F409" s="75">
        <f t="shared" si="58"/>
        <v>0</v>
      </c>
      <c r="G409" s="116">
        <f t="shared" si="59"/>
        <v>0</v>
      </c>
      <c r="H409" s="107">
        <f t="shared" si="60"/>
        <v>0</v>
      </c>
      <c r="I409" s="107">
        <f t="shared" si="61"/>
        <v>0</v>
      </c>
      <c r="J409" s="107">
        <f t="shared" si="62"/>
        <v>0</v>
      </c>
      <c r="K409" s="107">
        <f t="shared" si="63"/>
        <v>0</v>
      </c>
      <c r="L409" s="168"/>
      <c r="M409" s="824">
        <f>+'[1]NEW-Tables 80-86'!AH174</f>
        <v>0</v>
      </c>
      <c r="N409" s="73"/>
      <c r="O409" s="73"/>
      <c r="P409" s="73"/>
      <c r="Q409" s="73"/>
    </row>
    <row r="410" spans="1:17" s="61" customFormat="1" ht="12.75" customHeight="1">
      <c r="A410" s="73" t="s">
        <v>331</v>
      </c>
      <c r="B410" s="75">
        <f>IF($M410&gt;0,('Amounts Pivot Table'!N$397/$M410),0)</f>
        <v>0</v>
      </c>
      <c r="C410" s="75">
        <f>IF($M410&gt;0,('Amounts Pivot Table'!N$400/$M410),0)</f>
        <v>0</v>
      </c>
      <c r="D410" s="75">
        <f>IF($M410&gt;0,('Amounts Pivot Table'!N$403/$M410),0)</f>
        <v>0</v>
      </c>
      <c r="E410" s="75">
        <f>IF($M410&gt;0,('Amounts Pivot Table'!N$406/$M410),0)</f>
        <v>0</v>
      </c>
      <c r="F410" s="75">
        <f t="shared" si="58"/>
        <v>0</v>
      </c>
      <c r="G410" s="116">
        <f t="shared" si="59"/>
        <v>0</v>
      </c>
      <c r="H410" s="107">
        <f t="shared" si="60"/>
        <v>0</v>
      </c>
      <c r="I410" s="107">
        <f t="shared" si="61"/>
        <v>0</v>
      </c>
      <c r="J410" s="107">
        <f t="shared" si="62"/>
        <v>0</v>
      </c>
      <c r="K410" s="107">
        <f t="shared" si="63"/>
        <v>0</v>
      </c>
      <c r="L410" s="168"/>
      <c r="M410" s="824">
        <f>+'[1]NEW-Tables 80-86'!AH175</f>
        <v>0</v>
      </c>
      <c r="N410" s="73"/>
      <c r="O410" s="73"/>
      <c r="P410" s="73"/>
      <c r="Q410" s="73"/>
    </row>
    <row r="411" spans="1:17" s="61" customFormat="1" ht="12.75" customHeight="1">
      <c r="A411" s="73" t="s">
        <v>325</v>
      </c>
      <c r="B411" s="75">
        <f>IF($M411&gt;0,('Amounts Pivot Table'!N$436/$M411),0)</f>
        <v>0</v>
      </c>
      <c r="C411" s="75">
        <f>IF($M411&gt;0,('Amounts Pivot Table'!N$439/$M411),0)</f>
        <v>0</v>
      </c>
      <c r="D411" s="75">
        <f>IF($M411&gt;0,('Amounts Pivot Table'!N$442/$M411),0)</f>
        <v>0</v>
      </c>
      <c r="E411" s="75">
        <f>IF($M411&gt;0,('Amounts Pivot Table'!N$445/$M411),0)</f>
        <v>0</v>
      </c>
      <c r="F411" s="75">
        <f t="shared" si="58"/>
        <v>0</v>
      </c>
      <c r="G411" s="116">
        <f t="shared" si="59"/>
        <v>0</v>
      </c>
      <c r="H411" s="107">
        <f t="shared" si="60"/>
        <v>0</v>
      </c>
      <c r="I411" s="107">
        <f t="shared" si="61"/>
        <v>0</v>
      </c>
      <c r="J411" s="107">
        <f t="shared" si="62"/>
        <v>0</v>
      </c>
      <c r="K411" s="107">
        <f t="shared" si="63"/>
        <v>0</v>
      </c>
      <c r="L411" s="168"/>
      <c r="M411" s="824">
        <f>+'[1]NEW-Tables 80-86'!AH176</f>
        <v>0</v>
      </c>
      <c r="N411" s="73"/>
      <c r="O411" s="73"/>
      <c r="P411" s="73"/>
      <c r="Q411" s="73"/>
    </row>
    <row r="412" spans="1:17" s="112" customFormat="1">
      <c r="A412" s="110"/>
      <c r="B412" s="111"/>
      <c r="C412" s="111"/>
      <c r="D412" s="111"/>
      <c r="E412" s="111"/>
      <c r="F412" s="111"/>
      <c r="G412" s="119"/>
      <c r="H412" s="120"/>
      <c r="I412" s="120"/>
      <c r="J412" s="120"/>
      <c r="K412" s="120"/>
      <c r="L412" s="175"/>
      <c r="M412" s="824"/>
      <c r="N412" s="110"/>
      <c r="O412" s="110"/>
      <c r="P412" s="110"/>
      <c r="Q412" s="110"/>
    </row>
    <row r="413" spans="1:17" s="61" customFormat="1" ht="12.75" customHeight="1">
      <c r="A413" s="73" t="s">
        <v>90</v>
      </c>
      <c r="B413" s="75">
        <f>IF($M413&gt;0,('Amounts Pivot Table'!N$475/$M413),0)</f>
        <v>0</v>
      </c>
      <c r="C413" s="75">
        <f>IF($M413&gt;0,('Amounts Pivot Table'!N$478/$M413),0)</f>
        <v>0</v>
      </c>
      <c r="D413" s="75">
        <f>IF($M413&gt;0,('Amounts Pivot Table'!N$481/$M413),0)</f>
        <v>0</v>
      </c>
      <c r="E413" s="75">
        <f>IF($M413&gt;0,('Amounts Pivot Table'!N$484/$M413),0)</f>
        <v>0</v>
      </c>
      <c r="F413" s="75">
        <f t="shared" si="58"/>
        <v>0</v>
      </c>
      <c r="G413" s="116">
        <f t="shared" si="59"/>
        <v>0</v>
      </c>
      <c r="H413" s="107">
        <f t="shared" si="60"/>
        <v>0</v>
      </c>
      <c r="I413" s="107">
        <f t="shared" si="61"/>
        <v>0</v>
      </c>
      <c r="J413" s="107">
        <f t="shared" si="62"/>
        <v>0</v>
      </c>
      <c r="K413" s="107">
        <f t="shared" si="63"/>
        <v>0</v>
      </c>
      <c r="L413" s="168"/>
      <c r="M413" s="824">
        <f>+'[1]NEW-Tables 80-86'!AH178</f>
        <v>0</v>
      </c>
      <c r="N413" s="73"/>
      <c r="O413" s="73"/>
      <c r="P413" s="73"/>
      <c r="Q413" s="73"/>
    </row>
    <row r="414" spans="1:17" s="76" customFormat="1" ht="12.75" customHeight="1">
      <c r="A414" s="73" t="s">
        <v>326</v>
      </c>
      <c r="B414" s="75">
        <f>IF($M414&gt;0,('Amounts Pivot Table'!N$514/$M414),0)</f>
        <v>2233.4213327678076</v>
      </c>
      <c r="C414" s="75">
        <f>IF($M414&gt;0,('Amounts Pivot Table'!N$517/$M414),0)</f>
        <v>0</v>
      </c>
      <c r="D414" s="75">
        <f>IF($M414&gt;0,('Amounts Pivot Table'!N$520/$M414),0)</f>
        <v>3935.6025644814581</v>
      </c>
      <c r="E414" s="75">
        <f>IF($M414&gt;0,('Amounts Pivot Table'!N$523/$M414),0)</f>
        <v>1388.3911896207417</v>
      </c>
      <c r="F414" s="75">
        <f t="shared" si="58"/>
        <v>7557.4150868700081</v>
      </c>
      <c r="G414" s="116">
        <f t="shared" si="59"/>
        <v>2</v>
      </c>
      <c r="H414" s="107">
        <f t="shared" si="60"/>
        <v>0</v>
      </c>
      <c r="I414" s="107">
        <f t="shared" si="61"/>
        <v>1</v>
      </c>
      <c r="J414" s="107">
        <f t="shared" si="62"/>
        <v>2</v>
      </c>
      <c r="K414" s="107">
        <f t="shared" si="63"/>
        <v>1</v>
      </c>
      <c r="L414" s="169"/>
      <c r="M414" s="824">
        <f>+'[1]NEW-Tables 80-86'!AH179</f>
        <v>85531.694444444438</v>
      </c>
      <c r="N414" s="90"/>
      <c r="O414" s="90"/>
      <c r="P414" s="90"/>
      <c r="Q414" s="90"/>
    </row>
    <row r="415" spans="1:17" s="61" customFormat="1" ht="12.75" customHeight="1">
      <c r="A415" s="406" t="s">
        <v>327</v>
      </c>
      <c r="B415" s="75">
        <f>IF($M415&gt;0,('Amounts Pivot Table'!N$553/$M415),0)</f>
        <v>2797.6153548006055</v>
      </c>
      <c r="C415" s="75">
        <f>IF($M415&gt;0,('Amounts Pivot Table'!N$556/$M415),0)</f>
        <v>0</v>
      </c>
      <c r="D415" s="75">
        <f>IF($M415&gt;0,('Amounts Pivot Table'!N$559/$M415),0)</f>
        <v>94.537604826053354</v>
      </c>
      <c r="E415" s="75">
        <f>IF($M415&gt;0,('Amounts Pivot Table'!N$562/$M415),0)</f>
        <v>4590.1228885177652</v>
      </c>
      <c r="F415" s="75">
        <f t="shared" si="58"/>
        <v>7482.2758481444234</v>
      </c>
      <c r="G415" s="116">
        <f t="shared" si="59"/>
        <v>1</v>
      </c>
      <c r="H415" s="107">
        <f t="shared" si="60"/>
        <v>0</v>
      </c>
      <c r="I415" s="107">
        <f t="shared" si="61"/>
        <v>2</v>
      </c>
      <c r="J415" s="107">
        <f t="shared" si="62"/>
        <v>1</v>
      </c>
      <c r="K415" s="107">
        <f t="shared" si="63"/>
        <v>2</v>
      </c>
      <c r="L415" s="170"/>
      <c r="M415" s="824">
        <f>+'[1]NEW-Tables 80-86'!AH180</f>
        <v>119197.46666666666</v>
      </c>
      <c r="N415" s="73"/>
      <c r="O415" s="73"/>
      <c r="P415" s="73"/>
      <c r="Q415" s="73"/>
    </row>
    <row r="416" spans="1:17" s="61" customFormat="1" ht="13.5" customHeight="1">
      <c r="A416" s="74" t="s">
        <v>332</v>
      </c>
      <c r="B416" s="104">
        <f>IF($M416&gt;0,('Amounts Pivot Table'!N$592/$M416),0)</f>
        <v>0</v>
      </c>
      <c r="C416" s="104">
        <f>IF($M416&gt;0,('Amounts Pivot Table'!N$595/$M416),0)</f>
        <v>0</v>
      </c>
      <c r="D416" s="104">
        <f>IF($M416&gt;0,('Amounts Pivot Table'!N$598/$M416),0)</f>
        <v>0</v>
      </c>
      <c r="E416" s="104">
        <f>IF($M416&gt;0,('Amounts Pivot Table'!N$601/$M416),0)</f>
        <v>0</v>
      </c>
      <c r="F416" s="105">
        <f t="shared" si="58"/>
        <v>0</v>
      </c>
      <c r="G416" s="117">
        <f t="shared" si="59"/>
        <v>0</v>
      </c>
      <c r="H416" s="118">
        <f t="shared" si="60"/>
        <v>0</v>
      </c>
      <c r="I416" s="118">
        <f t="shared" si="61"/>
        <v>0</v>
      </c>
      <c r="J416" s="118">
        <f t="shared" si="62"/>
        <v>0</v>
      </c>
      <c r="K416" s="118">
        <f t="shared" si="63"/>
        <v>0</v>
      </c>
      <c r="L416" s="171"/>
      <c r="M416" s="824">
        <f>+'[1]NEW-Tables 80-86'!AH181</f>
        <v>0</v>
      </c>
      <c r="N416" s="73"/>
      <c r="O416" s="73"/>
      <c r="P416" s="73"/>
      <c r="Q416" s="73"/>
    </row>
    <row r="417" spans="1:30" s="76" customFormat="1" ht="17.25" customHeight="1">
      <c r="A417" s="1534" t="s">
        <v>1954</v>
      </c>
      <c r="B417" s="1534"/>
      <c r="C417" s="1534"/>
      <c r="D417" s="1534"/>
      <c r="E417" s="1534"/>
      <c r="F417" s="1534"/>
      <c r="G417" s="1534"/>
      <c r="H417" s="1534"/>
      <c r="I417" s="1534"/>
      <c r="J417" s="1534"/>
      <c r="K417" s="1534"/>
      <c r="L417" s="169"/>
      <c r="M417" s="657"/>
    </row>
    <row r="418" spans="1:30" s="76" customFormat="1" ht="34.5" customHeight="1">
      <c r="A418" s="1505" t="s">
        <v>17</v>
      </c>
      <c r="B418" s="1529"/>
      <c r="C418" s="1529"/>
      <c r="D418" s="1529"/>
      <c r="E418" s="1529"/>
      <c r="F418" s="1529"/>
      <c r="G418" s="1529"/>
      <c r="H418" s="1529"/>
      <c r="I418" s="1529"/>
      <c r="J418" s="1529"/>
      <c r="K418" s="1529"/>
      <c r="L418" s="169"/>
      <c r="M418" s="296"/>
      <c r="N418" s="90"/>
      <c r="O418" s="90"/>
      <c r="P418" s="90"/>
      <c r="Q418" s="90"/>
    </row>
    <row r="419" spans="1:30" s="205" customFormat="1" ht="13.5" customHeight="1">
      <c r="A419" s="1505" t="s">
        <v>54</v>
      </c>
      <c r="B419" s="1529"/>
      <c r="C419" s="1529"/>
      <c r="D419" s="1529"/>
      <c r="E419" s="1529"/>
      <c r="F419" s="1529"/>
      <c r="G419" s="1529"/>
      <c r="H419" s="1529"/>
      <c r="I419" s="1529"/>
      <c r="J419" s="1529"/>
      <c r="K419" s="1529"/>
      <c r="L419" s="204"/>
      <c r="M419" s="302"/>
      <c r="N419" s="206"/>
      <c r="O419" s="206"/>
      <c r="P419" s="206"/>
      <c r="Q419" s="206"/>
    </row>
    <row r="420" spans="1:30" s="61" customFormat="1" ht="13.5" customHeight="1">
      <c r="A420" s="1505" t="s">
        <v>233</v>
      </c>
      <c r="B420" s="1530"/>
      <c r="C420" s="1530"/>
      <c r="D420" s="1530"/>
      <c r="E420" s="1530"/>
      <c r="F420" s="1530"/>
      <c r="G420" s="1531"/>
      <c r="H420" s="1531"/>
      <c r="I420" s="1531"/>
      <c r="J420" s="1531"/>
      <c r="K420" s="1531"/>
      <c r="L420" s="171"/>
      <c r="M420" s="300"/>
      <c r="N420" s="73"/>
      <c r="O420" s="73"/>
      <c r="P420" s="73"/>
      <c r="Q420" s="73"/>
    </row>
    <row r="421" spans="1:30" s="61" customFormat="1">
      <c r="A421" s="187"/>
      <c r="B421" s="106"/>
      <c r="C421" s="106"/>
      <c r="D421" s="106"/>
      <c r="E421" s="106"/>
      <c r="F421" s="106"/>
      <c r="G421" s="188"/>
      <c r="H421" s="188"/>
      <c r="I421" s="188"/>
      <c r="J421" s="188"/>
      <c r="K421" s="534" t="s">
        <v>1927</v>
      </c>
      <c r="L421" s="171"/>
      <c r="M421" s="303"/>
      <c r="N421" s="73"/>
      <c r="O421" s="73"/>
      <c r="P421" s="73"/>
      <c r="Q421" s="73"/>
    </row>
    <row r="422" spans="1:30" s="61" customFormat="1" ht="18.75" customHeight="1">
      <c r="A422" s="135" t="s">
        <v>371</v>
      </c>
      <c r="B422" s="135"/>
      <c r="C422" s="135"/>
      <c r="D422" s="135"/>
      <c r="E422" s="135"/>
      <c r="F422" s="135"/>
      <c r="G422" s="135"/>
      <c r="H422" s="135"/>
      <c r="I422" s="135"/>
      <c r="J422" s="565"/>
      <c r="K422" s="135"/>
      <c r="L422" s="170"/>
      <c r="M422" s="296"/>
      <c r="N422" s="73"/>
      <c r="O422" s="73"/>
      <c r="P422" s="73"/>
      <c r="Q422" s="73"/>
    </row>
    <row r="423" spans="1:30" s="61" customFormat="1" ht="11.25" customHeight="1">
      <c r="A423" s="135"/>
      <c r="B423" s="135"/>
      <c r="C423" s="135"/>
      <c r="D423" s="135"/>
      <c r="E423" s="135"/>
      <c r="F423" s="135"/>
      <c r="G423" s="135"/>
      <c r="H423" s="135"/>
      <c r="I423" s="135"/>
      <c r="J423" s="565"/>
      <c r="K423" s="135"/>
      <c r="L423" s="170"/>
      <c r="M423" s="296"/>
      <c r="N423" s="73"/>
      <c r="O423" s="73"/>
      <c r="P423" s="73"/>
      <c r="Q423" s="73"/>
    </row>
    <row r="424" spans="1:30" s="61" customFormat="1" ht="18.75">
      <c r="A424" s="1504" t="s">
        <v>18</v>
      </c>
      <c r="B424" s="1504"/>
      <c r="C424" s="1504"/>
      <c r="D424" s="1504"/>
      <c r="E424" s="1504"/>
      <c r="F424" s="1504"/>
      <c r="G424" s="1504"/>
      <c r="H424" s="1504"/>
      <c r="I424" s="1504"/>
      <c r="J424" s="1504"/>
      <c r="K424" s="1504"/>
      <c r="L424" s="165"/>
      <c r="M424" s="296"/>
      <c r="N424" s="73"/>
      <c r="O424" s="73"/>
      <c r="P424" s="73"/>
      <c r="Q424" s="73"/>
    </row>
    <row r="425" spans="1:30" s="61" customFormat="1" ht="15.75" customHeight="1">
      <c r="A425" s="1504" t="s">
        <v>1942</v>
      </c>
      <c r="B425" s="1504"/>
      <c r="C425" s="1504"/>
      <c r="D425" s="1504"/>
      <c r="E425" s="1504"/>
      <c r="F425" s="1504"/>
      <c r="G425" s="1504"/>
      <c r="H425" s="1504"/>
      <c r="I425" s="1504"/>
      <c r="J425" s="1504"/>
      <c r="K425" s="1504"/>
      <c r="L425" s="223"/>
      <c r="M425" s="305"/>
      <c r="N425" s="73"/>
      <c r="O425" s="73"/>
      <c r="P425" s="73"/>
      <c r="Q425" s="73"/>
    </row>
    <row r="426" spans="1:30" s="61" customFormat="1" ht="15.75" customHeight="1">
      <c r="A426" s="91"/>
      <c r="B426" s="91"/>
      <c r="C426" s="91"/>
      <c r="D426" s="91"/>
      <c r="E426" s="91"/>
      <c r="F426" s="91"/>
      <c r="G426" s="108"/>
      <c r="H426" s="91"/>
      <c r="I426" s="91"/>
      <c r="J426" s="91"/>
      <c r="K426" s="91"/>
      <c r="L426" s="165"/>
      <c r="M426" s="296"/>
      <c r="N426" s="73"/>
      <c r="O426" s="406" t="s">
        <v>388</v>
      </c>
      <c r="P426" s="73"/>
      <c r="Y426" s="406" t="s">
        <v>410</v>
      </c>
    </row>
    <row r="427" spans="1:30" s="61" customFormat="1" ht="12" customHeight="1">
      <c r="A427" s="60"/>
      <c r="B427" s="1527" t="s">
        <v>55</v>
      </c>
      <c r="C427" s="1528"/>
      <c r="D427" s="1528"/>
      <c r="E427" s="1528"/>
      <c r="F427" s="1528"/>
      <c r="G427" s="568" t="s">
        <v>119</v>
      </c>
      <c r="H427" s="569"/>
      <c r="I427" s="569"/>
      <c r="J427" s="569"/>
      <c r="K427" s="569"/>
      <c r="L427" s="173"/>
      <c r="M427" s="296"/>
      <c r="N427" s="73"/>
      <c r="O427" s="473" t="s">
        <v>384</v>
      </c>
      <c r="P427" s="473"/>
      <c r="Q427" s="474"/>
      <c r="R427" s="473" t="s">
        <v>385</v>
      </c>
      <c r="S427" s="473"/>
      <c r="T427" s="474"/>
      <c r="U427" s="473" t="s">
        <v>387</v>
      </c>
      <c r="V427" s="473"/>
      <c r="W427" s="474"/>
      <c r="Y427" s="73"/>
    </row>
    <row r="428" spans="1:30" s="6" customFormat="1" ht="48">
      <c r="A428" s="50"/>
      <c r="B428" s="549" t="s">
        <v>87</v>
      </c>
      <c r="C428" s="550" t="s">
        <v>89</v>
      </c>
      <c r="D428" s="550" t="s">
        <v>88</v>
      </c>
      <c r="E428" s="550" t="s">
        <v>397</v>
      </c>
      <c r="F428" s="550" t="s">
        <v>97</v>
      </c>
      <c r="G428" s="551" t="s">
        <v>87</v>
      </c>
      <c r="H428" s="550" t="s">
        <v>89</v>
      </c>
      <c r="I428" s="550" t="s">
        <v>88</v>
      </c>
      <c r="J428" s="550" t="s">
        <v>397</v>
      </c>
      <c r="K428" s="550" t="s">
        <v>97</v>
      </c>
      <c r="L428" s="167"/>
      <c r="M428" s="298" t="s">
        <v>380</v>
      </c>
      <c r="N428" s="708" t="s">
        <v>381</v>
      </c>
      <c r="O428" s="475" t="s">
        <v>386</v>
      </c>
      <c r="P428" s="476" t="s">
        <v>383</v>
      </c>
      <c r="Q428" s="476" t="s">
        <v>97</v>
      </c>
      <c r="R428" s="475" t="s">
        <v>386</v>
      </c>
      <c r="S428" s="476" t="s">
        <v>383</v>
      </c>
      <c r="T428" s="476" t="s">
        <v>97</v>
      </c>
      <c r="U428" s="475" t="s">
        <v>386</v>
      </c>
      <c r="V428" s="476" t="s">
        <v>383</v>
      </c>
      <c r="W428" s="476" t="s">
        <v>97</v>
      </c>
      <c r="Y428" s="7"/>
      <c r="Z428" s="53" t="s">
        <v>87</v>
      </c>
      <c r="AA428" s="52" t="s">
        <v>89</v>
      </c>
      <c r="AB428" s="52" t="s">
        <v>88</v>
      </c>
      <c r="AC428" s="52" t="s">
        <v>306</v>
      </c>
      <c r="AD428" s="52" t="s">
        <v>97</v>
      </c>
    </row>
    <row r="429" spans="1:30" s="61" customFormat="1" ht="14.25">
      <c r="A429" s="73" t="s">
        <v>56</v>
      </c>
      <c r="B429" s="102">
        <f>IF(M429&gt;0,('Amounts Pivot Table'!S$631/M429),0)</f>
        <v>4219.841523742095</v>
      </c>
      <c r="C429" s="102">
        <f>IF(M429&gt;0,('Amounts Pivot Table'!S$634/M429),0)</f>
        <v>18.758007535089391</v>
      </c>
      <c r="D429" s="179">
        <f>IF(M429&gt;0,('Amounts Pivot Table'!S$637/M429),0)</f>
        <v>0</v>
      </c>
      <c r="E429" s="102">
        <f>IF(M429&gt;0,('Amounts Pivot Table'!S$640/M429),0)</f>
        <v>3289.6246261891652</v>
      </c>
      <c r="F429" s="102">
        <f>SUM(B429:E429)</f>
        <v>7528.2241574663494</v>
      </c>
      <c r="G429" s="114"/>
      <c r="H429" s="115"/>
      <c r="I429" s="115"/>
      <c r="J429" s="115"/>
      <c r="K429" s="115"/>
      <c r="L429" s="168"/>
      <c r="M429" s="824">
        <f>+'[1]NEW-Tables 80-86'!AF191</f>
        <v>121118.94057777779</v>
      </c>
      <c r="N429" s="805">
        <f>+'[1]NEW-Tables 80-86'!AL191</f>
        <v>130217.58420000001</v>
      </c>
      <c r="O429" s="585">
        <f>+B429+C429+D429</f>
        <v>4238.5995312771847</v>
      </c>
      <c r="P429" s="586">
        <f>+E429</f>
        <v>3289.6246261891652</v>
      </c>
      <c r="Q429" s="574">
        <f>+F429</f>
        <v>7528.2241574663494</v>
      </c>
      <c r="R429" s="482">
        <f>IF($N429&gt;0,(('Amounts Pivot Table'!S$636+'Amounts Pivot Table'!S$630+'Amounts Pivot Table'!S$633)/$N429),0)</f>
        <v>3960.238136847322</v>
      </c>
      <c r="S429" s="481">
        <f>IF($N429&gt;0,('Amounts Pivot Table'!S$639/$N429),0)</f>
        <v>2866.9731431677101</v>
      </c>
      <c r="T429" s="481">
        <f t="shared" ref="T429:T449" si="64">+S429+R429</f>
        <v>6827.2112800150317</v>
      </c>
      <c r="U429" s="575">
        <f>(O429-R429)/R429</f>
        <v>7.0289054549497729E-2</v>
      </c>
      <c r="V429" s="570">
        <f>(P429-S429)/S429</f>
        <v>0.14742080302659155</v>
      </c>
      <c r="W429" s="572">
        <f>(Q429-T429)/T429</f>
        <v>0.10267924174301726</v>
      </c>
      <c r="Y429" s="73" t="s">
        <v>56</v>
      </c>
      <c r="Z429" s="61">
        <f>B429*$M429</f>
        <v>511102734.76175809</v>
      </c>
      <c r="AA429" s="61">
        <f>C429*$M429</f>
        <v>2271950</v>
      </c>
      <c r="AB429" s="61">
        <f>D429*$M429</f>
        <v>0</v>
      </c>
      <c r="AC429" s="61">
        <f>E429*$M429</f>
        <v>398435849.62259996</v>
      </c>
      <c r="AD429" s="61">
        <f>F429*$M429</f>
        <v>911810534.38435805</v>
      </c>
    </row>
    <row r="430" spans="1:30" s="61" customFormat="1" ht="12.75" customHeight="1">
      <c r="A430" s="73"/>
      <c r="B430" s="102"/>
      <c r="C430" s="102"/>
      <c r="D430" s="102"/>
      <c r="E430" s="102"/>
      <c r="F430" s="102"/>
      <c r="G430" s="114"/>
      <c r="H430" s="115"/>
      <c r="I430" s="115"/>
      <c r="J430" s="115"/>
      <c r="K430" s="115"/>
      <c r="L430" s="168"/>
      <c r="M430" s="824"/>
      <c r="N430" s="805"/>
      <c r="O430" s="585"/>
      <c r="P430" s="586"/>
      <c r="Q430" s="574"/>
      <c r="R430" s="477"/>
      <c r="S430" s="479"/>
      <c r="T430" s="481">
        <f t="shared" si="64"/>
        <v>0</v>
      </c>
      <c r="U430" s="576"/>
      <c r="V430" s="571"/>
      <c r="W430" s="573"/>
      <c r="Y430" s="73"/>
    </row>
    <row r="431" spans="1:30" s="61" customFormat="1" ht="12.75" customHeight="1">
      <c r="A431" s="73" t="s">
        <v>320</v>
      </c>
      <c r="B431" s="75">
        <f>IF($M431&gt;0,('Amounts Pivot Table'!S$7/$M431),0)</f>
        <v>8086.5352020860491</v>
      </c>
      <c r="C431" s="75">
        <f>IF($M431&gt;0,('Amounts Pivot Table'!S$10/$M431),0)</f>
        <v>740.53129074315518</v>
      </c>
      <c r="D431" s="75">
        <f>IF($M431&gt;0,('Amounts Pivot Table'!S$13/$M431),0)</f>
        <v>0</v>
      </c>
      <c r="E431" s="75">
        <f>IF($M431&gt;0,('Amounts Pivot Table'!S$16/$M431),0)</f>
        <v>4059.3376792698828</v>
      </c>
      <c r="F431" s="75">
        <f t="shared" ref="F431:F449" si="65">SUM(B431:E431)</f>
        <v>12886.404172099086</v>
      </c>
      <c r="G431" s="116">
        <f>IF(B431&gt;0,RANK(B431,$B$431:$B$449),)</f>
        <v>1</v>
      </c>
      <c r="H431" s="107">
        <f>IF(C431&gt;0,RANK(C431,$C$431:$C$449),)</f>
        <v>1</v>
      </c>
      <c r="I431" s="107">
        <f>IF(D431&gt;0,RANK(D431,$D$431:$D$449),)</f>
        <v>0</v>
      </c>
      <c r="J431" s="107">
        <f>IF(E431&gt;0,RANK(E431,$E$431:$E$449),)</f>
        <v>2</v>
      </c>
      <c r="K431" s="107">
        <f>IF(F431&gt;0,RANK(F431,$F$431:$F$449),)</f>
        <v>1</v>
      </c>
      <c r="L431" s="168"/>
      <c r="M431" s="824">
        <f>+'[1]NEW-Tables 80-86'!AF193</f>
        <v>3068</v>
      </c>
      <c r="N431" s="805">
        <f>+'[1]NEW-Tables 80-86'!AL193</f>
        <v>3222.0333333333338</v>
      </c>
      <c r="O431" s="585">
        <f t="shared" ref="O431:O449" si="66">+B431+C431+D431</f>
        <v>8827.0664928292044</v>
      </c>
      <c r="P431" s="586">
        <f t="shared" ref="P431:P449" si="67">+E431</f>
        <v>4059.3376792698828</v>
      </c>
      <c r="Q431" s="574">
        <f t="shared" ref="Q431:Q449" si="68">+F431</f>
        <v>12886.404172099086</v>
      </c>
      <c r="R431" s="482">
        <f>IF($N431&gt;0,(('Amounts Pivot Table'!S$6+'Amounts Pivot Table'!S$9+'Amounts Pivot Table'!S$12)/$N431),0)</f>
        <v>8316.8785756406396</v>
      </c>
      <c r="S431" s="481">
        <f>IF($N431&gt;0,('Amounts Pivot Table'!S$15/$N431),0)</f>
        <v>3846.0415265722468</v>
      </c>
      <c r="T431" s="481">
        <f t="shared" si="64"/>
        <v>12162.920102212887</v>
      </c>
      <c r="U431" s="577">
        <f t="shared" ref="U431:U449" si="69">(O431-R431)/R431</f>
        <v>6.1343677504545703E-2</v>
      </c>
      <c r="V431" s="570">
        <f t="shared" ref="V431:V449" si="70">(P431-S431)/S431</f>
        <v>5.5458619264502441E-2</v>
      </c>
      <c r="W431" s="572">
        <f t="shared" ref="W431:W449" si="71">(Q431-T431)/T431</f>
        <v>5.9482761031585694E-2</v>
      </c>
      <c r="Y431" s="73" t="s">
        <v>320</v>
      </c>
      <c r="Z431" s="61">
        <f t="shared" ref="Z431:Z449" si="72">B431*$M431</f>
        <v>24809490</v>
      </c>
      <c r="AA431" s="61">
        <f t="shared" ref="AA431:AA449" si="73">C431*$M431</f>
        <v>2271950</v>
      </c>
      <c r="AB431" s="61">
        <f t="shared" ref="AB431:AB449" si="74">D431*$M431</f>
        <v>0</v>
      </c>
      <c r="AC431" s="61">
        <f t="shared" ref="AC431:AC449" si="75">E431*$M431</f>
        <v>12454048</v>
      </c>
      <c r="AD431" s="61">
        <f t="shared" ref="AD431:AD449" si="76">F431*$M431</f>
        <v>39535488</v>
      </c>
    </row>
    <row r="432" spans="1:30" s="61" customFormat="1" ht="12.75" customHeight="1">
      <c r="A432" s="73" t="s">
        <v>334</v>
      </c>
      <c r="B432" s="75">
        <f>IF($M432&gt;0,('Amounts Pivot Table'!S$46/$M432),0)</f>
        <v>0</v>
      </c>
      <c r="C432" s="75">
        <f>IF($M432&gt;0,('Amounts Pivot Table'!S$49/$M432),0)</f>
        <v>0</v>
      </c>
      <c r="D432" s="75">
        <f>IF($M432&gt;0,('Amounts Pivot Table'!S$52/$M432),0)</f>
        <v>0</v>
      </c>
      <c r="E432" s="75">
        <f>IF($M432&gt;0,('Amounts Pivot Table'!S$55/$M432),0)</f>
        <v>0</v>
      </c>
      <c r="F432" s="75">
        <f t="shared" si="65"/>
        <v>0</v>
      </c>
      <c r="G432" s="116">
        <f>IF(B432&gt;0,RANK(B432,$B$431:$B$449),)</f>
        <v>0</v>
      </c>
      <c r="H432" s="107">
        <f>IF(C432&gt;0,RANK(C432,$C$431:$C$449),)</f>
        <v>0</v>
      </c>
      <c r="I432" s="107">
        <f>IF(D432&gt;0,RANK(D432,$D$431:$D$449),)</f>
        <v>0</v>
      </c>
      <c r="J432" s="107">
        <f>IF(E432&gt;0,RANK(E432,$E$431:$E$449),)</f>
        <v>0</v>
      </c>
      <c r="K432" s="107">
        <f>IF(F432&gt;0,RANK(F432,$F$431:$F$449),)</f>
        <v>0</v>
      </c>
      <c r="L432" s="168"/>
      <c r="M432" s="824">
        <f>+'[1]NEW-Tables 80-86'!AF194</f>
        <v>0</v>
      </c>
      <c r="N432" s="805">
        <f>+'[1]NEW-Tables 80-86'!AL194</f>
        <v>0</v>
      </c>
      <c r="O432" s="585">
        <f t="shared" si="66"/>
        <v>0</v>
      </c>
      <c r="P432" s="586">
        <f t="shared" si="67"/>
        <v>0</v>
      </c>
      <c r="Q432" s="574">
        <f t="shared" si="68"/>
        <v>0</v>
      </c>
      <c r="R432" s="482">
        <f>IF($N432&gt;0,(('Amounts Pivot Table'!S$45+'Amounts Pivot Table'!S$48++'Amounts Pivot Table'!S$51)/$N432),0)</f>
        <v>0</v>
      </c>
      <c r="S432" s="481">
        <f>IF($N432&gt;0,('Amounts Pivot Table'!S$54/$N432),0)</f>
        <v>0</v>
      </c>
      <c r="T432" s="481">
        <f t="shared" si="64"/>
        <v>0</v>
      </c>
      <c r="U432" s="577" t="e">
        <f t="shared" si="69"/>
        <v>#DIV/0!</v>
      </c>
      <c r="V432" s="570" t="e">
        <f t="shared" si="70"/>
        <v>#DIV/0!</v>
      </c>
      <c r="W432" s="572" t="e">
        <f t="shared" si="71"/>
        <v>#DIV/0!</v>
      </c>
      <c r="Y432" s="73" t="s">
        <v>334</v>
      </c>
      <c r="Z432" s="61">
        <f t="shared" si="72"/>
        <v>0</v>
      </c>
      <c r="AA432" s="61">
        <f t="shared" si="73"/>
        <v>0</v>
      </c>
      <c r="AB432" s="61">
        <f t="shared" si="74"/>
        <v>0</v>
      </c>
      <c r="AC432" s="61">
        <f t="shared" si="75"/>
        <v>0</v>
      </c>
      <c r="AD432" s="61">
        <f t="shared" si="76"/>
        <v>0</v>
      </c>
    </row>
    <row r="433" spans="1:30" s="61" customFormat="1" ht="12.75" customHeight="1">
      <c r="A433" s="73" t="s">
        <v>321</v>
      </c>
      <c r="B433" s="75">
        <f>IF($M433&gt;0,('Amounts Pivot Table'!S$85/$M433),0)</f>
        <v>0</v>
      </c>
      <c r="C433" s="75">
        <f>IF($M433&gt;0,('Amounts Pivot Table'!S$88/$M433),0)</f>
        <v>0</v>
      </c>
      <c r="D433" s="75">
        <f>IF($M433&gt;0,('Amounts Pivot Table'!S$91/$M433),0)</f>
        <v>0</v>
      </c>
      <c r="E433" s="75">
        <f>IF($M433&gt;0,('Amounts Pivot Table'!S$94/$M433),0)</f>
        <v>0</v>
      </c>
      <c r="F433" s="75">
        <f t="shared" si="65"/>
        <v>0</v>
      </c>
      <c r="G433" s="116">
        <f>IF(B433&gt;0,RANK(B433,$B$431:$B$449),)</f>
        <v>0</v>
      </c>
      <c r="H433" s="107">
        <f>IF(C433&gt;0,RANK(C433,$C$431:$C$449),)</f>
        <v>0</v>
      </c>
      <c r="I433" s="107">
        <f>IF(D433&gt;0,RANK(D433,$D$431:$D$449),)</f>
        <v>0</v>
      </c>
      <c r="J433" s="107">
        <f>IF(E433&gt;0,RANK(E433,$E$431:$E$449),)</f>
        <v>0</v>
      </c>
      <c r="K433" s="107">
        <f>IF(F433&gt;0,RANK(F433,$F$431:$F$449),)</f>
        <v>0</v>
      </c>
      <c r="L433" s="168"/>
      <c r="M433" s="824">
        <f>+'[1]NEW-Tables 80-86'!AF195</f>
        <v>0</v>
      </c>
      <c r="N433" s="805">
        <f>+'[1]NEW-Tables 80-86'!AL195</f>
        <v>0</v>
      </c>
      <c r="O433" s="585">
        <f t="shared" si="66"/>
        <v>0</v>
      </c>
      <c r="P433" s="586">
        <f t="shared" si="67"/>
        <v>0</v>
      </c>
      <c r="Q433" s="574">
        <f t="shared" si="68"/>
        <v>0</v>
      </c>
      <c r="R433" s="482">
        <f>IF($N433&gt;0,(('Amounts Pivot Table'!S$84+'Amounts Pivot Table'!S$87++'Amounts Pivot Table'!S$90)/$N433),0)</f>
        <v>0</v>
      </c>
      <c r="S433" s="481">
        <f>IF($N433&gt;0,('Amounts Pivot Table'!S$93/$N433),0)</f>
        <v>0</v>
      </c>
      <c r="T433" s="481">
        <f t="shared" si="64"/>
        <v>0</v>
      </c>
      <c r="U433" s="577" t="e">
        <f t="shared" si="69"/>
        <v>#DIV/0!</v>
      </c>
      <c r="V433" s="570" t="e">
        <f t="shared" si="70"/>
        <v>#DIV/0!</v>
      </c>
      <c r="W433" s="572" t="e">
        <f t="shared" si="71"/>
        <v>#DIV/0!</v>
      </c>
      <c r="Y433" s="73" t="s">
        <v>321</v>
      </c>
      <c r="Z433" s="61">
        <f t="shared" si="72"/>
        <v>0</v>
      </c>
      <c r="AA433" s="61">
        <f t="shared" si="73"/>
        <v>0</v>
      </c>
      <c r="AB433" s="61">
        <f t="shared" si="74"/>
        <v>0</v>
      </c>
      <c r="AC433" s="61">
        <f t="shared" si="75"/>
        <v>0</v>
      </c>
      <c r="AD433" s="61">
        <f t="shared" si="76"/>
        <v>0</v>
      </c>
    </row>
    <row r="434" spans="1:30" s="61" customFormat="1" ht="12.75" customHeight="1">
      <c r="A434" s="73" t="s">
        <v>328</v>
      </c>
      <c r="B434" s="75">
        <f>IF($M434&gt;0,('Amounts Pivot Table'!S$124/$M434),0)</f>
        <v>0</v>
      </c>
      <c r="C434" s="75">
        <f>IF($M434&gt;0,('Amounts Pivot Table'!S$127/$M434),0)</f>
        <v>0</v>
      </c>
      <c r="D434" s="75">
        <f>IF($M434&gt;0,('Amounts Pivot Table'!S$130/$M434),0)</f>
        <v>0</v>
      </c>
      <c r="E434" s="75">
        <f>IF($M434&gt;0,('Amounts Pivot Table'!S$133/$M434),0)</f>
        <v>0</v>
      </c>
      <c r="F434" s="75">
        <f t="shared" si="65"/>
        <v>0</v>
      </c>
      <c r="G434" s="116">
        <f>IF(B434&gt;0,RANK(B434,$B$431:$B$449),)</f>
        <v>0</v>
      </c>
      <c r="H434" s="107">
        <f>IF(C434&gt;0,RANK(C434,$C$431:$C$449),)</f>
        <v>0</v>
      </c>
      <c r="I434" s="107">
        <f>IF(D434&gt;0,RANK(D434,$D$431:$D$449),)</f>
        <v>0</v>
      </c>
      <c r="J434" s="107">
        <f>IF(E434&gt;0,RANK(E434,$E$431:$E$449),)</f>
        <v>0</v>
      </c>
      <c r="K434" s="107">
        <f>IF(F434&gt;0,RANK(F434,$F$431:$F$449),)</f>
        <v>0</v>
      </c>
      <c r="L434" s="168"/>
      <c r="M434" s="824">
        <f>+'[1]NEW-Tables 80-86'!AF196</f>
        <v>0</v>
      </c>
      <c r="N434" s="805">
        <f>+'[1]NEW-Tables 80-86'!AL196</f>
        <v>0</v>
      </c>
      <c r="O434" s="585">
        <f t="shared" si="66"/>
        <v>0</v>
      </c>
      <c r="P434" s="586">
        <f t="shared" si="67"/>
        <v>0</v>
      </c>
      <c r="Q434" s="574">
        <f t="shared" si="68"/>
        <v>0</v>
      </c>
      <c r="R434" s="482">
        <f>IF($N434&gt;0,(('Amounts Pivot Table'!S$123+'Amounts Pivot Table'!S$126++'Amounts Pivot Table'!S$129)/$N434),0)</f>
        <v>0</v>
      </c>
      <c r="S434" s="481">
        <f>IF($N434&gt;0,('Amounts Pivot Table'!S$132/$N434),0)</f>
        <v>0</v>
      </c>
      <c r="T434" s="481">
        <f t="shared" si="64"/>
        <v>0</v>
      </c>
      <c r="U434" s="577" t="e">
        <f t="shared" si="69"/>
        <v>#DIV/0!</v>
      </c>
      <c r="V434" s="570" t="e">
        <f t="shared" si="70"/>
        <v>#DIV/0!</v>
      </c>
      <c r="W434" s="572" t="e">
        <f t="shared" si="71"/>
        <v>#DIV/0!</v>
      </c>
      <c r="Y434" s="73" t="s">
        <v>328</v>
      </c>
      <c r="Z434" s="61">
        <f t="shared" si="72"/>
        <v>0</v>
      </c>
      <c r="AA434" s="61">
        <f t="shared" si="73"/>
        <v>0</v>
      </c>
      <c r="AB434" s="61">
        <f t="shared" si="74"/>
        <v>0</v>
      </c>
      <c r="AC434" s="61">
        <f t="shared" si="75"/>
        <v>0</v>
      </c>
      <c r="AD434" s="61">
        <f t="shared" si="76"/>
        <v>0</v>
      </c>
    </row>
    <row r="435" spans="1:30" s="61" customFormat="1" ht="12.75" customHeight="1">
      <c r="A435" s="73"/>
      <c r="B435" s="75"/>
      <c r="C435" s="75"/>
      <c r="D435" s="75"/>
      <c r="E435" s="75"/>
      <c r="F435" s="75"/>
      <c r="G435" s="116"/>
      <c r="H435" s="107"/>
      <c r="I435" s="107"/>
      <c r="J435" s="107"/>
      <c r="K435" s="107"/>
      <c r="L435" s="168"/>
      <c r="M435" s="824"/>
      <c r="N435" s="805"/>
      <c r="O435" s="585"/>
      <c r="P435" s="586"/>
      <c r="Q435" s="574"/>
      <c r="R435" s="482"/>
      <c r="S435" s="481"/>
      <c r="T435" s="481"/>
      <c r="U435" s="577"/>
      <c r="V435" s="570"/>
      <c r="W435" s="572"/>
      <c r="Y435" s="73"/>
    </row>
    <row r="436" spans="1:30" s="61" customFormat="1" ht="12.75" customHeight="1">
      <c r="A436" s="73" t="s">
        <v>329</v>
      </c>
      <c r="B436" s="75">
        <f>IF($M436&gt;0,('Amounts Pivot Table'!S$163/$M436),0)</f>
        <v>3819.0749778375334</v>
      </c>
      <c r="C436" s="75">
        <f>IF($M436&gt;0,('Amounts Pivot Table'!S$166/$M436),0)</f>
        <v>0</v>
      </c>
      <c r="D436" s="75">
        <f>IF($M436&gt;0,('Amounts Pivot Table'!S$169/$M436),0)</f>
        <v>0</v>
      </c>
      <c r="E436" s="75">
        <f>IF($M436&gt;0,('Amounts Pivot Table'!S$172/$M436),0)</f>
        <v>3796.0766442029649</v>
      </c>
      <c r="F436" s="75">
        <f t="shared" si="65"/>
        <v>7615.1516220404983</v>
      </c>
      <c r="G436" s="116">
        <f>IF(B436&gt;0,RANK(B436,$B$431:$B$449),)</f>
        <v>4</v>
      </c>
      <c r="H436" s="107">
        <f>IF(C436&gt;0,RANK(C436,$C$431:$C$449),)</f>
        <v>0</v>
      </c>
      <c r="I436" s="107">
        <f>IF(D436&gt;0,RANK(D436,$D$431:$D$449),)</f>
        <v>0</v>
      </c>
      <c r="J436" s="107">
        <f>IF(E436&gt;0,RANK(E436,$E$431:$E$449),)</f>
        <v>3</v>
      </c>
      <c r="K436" s="121">
        <f>IF(F436&gt;0,RANK(F436,$F$431:$F$449),)</f>
        <v>3</v>
      </c>
      <c r="L436" s="168"/>
      <c r="M436" s="824">
        <f>+'[1]NEW-Tables 80-86'!AF198</f>
        <v>71686.516666666677</v>
      </c>
      <c r="N436" s="805">
        <f>+'[1]NEW-Tables 80-86'!AL198</f>
        <v>76720.666666666672</v>
      </c>
      <c r="O436" s="585">
        <f t="shared" si="66"/>
        <v>3819.0749778375334</v>
      </c>
      <c r="P436" s="586">
        <f t="shared" si="67"/>
        <v>3796.0766442029649</v>
      </c>
      <c r="Q436" s="574">
        <f t="shared" si="68"/>
        <v>7615.1516220404983</v>
      </c>
      <c r="R436" s="482">
        <f>IF($N436&gt;0,(('Amounts Pivot Table'!S$162+'Amounts Pivot Table'!S$165+'Amounts Pivot Table'!S$168)/$N436),0)</f>
        <v>3616.5785968144173</v>
      </c>
      <c r="S436" s="481">
        <f>IF($N436&gt;0,('Amounts Pivot Table'!S$171/$N436),0)</f>
        <v>3359.7059680083594</v>
      </c>
      <c r="T436" s="481">
        <f t="shared" si="64"/>
        <v>6976.2845648227767</v>
      </c>
      <c r="U436" s="577">
        <f t="shared" si="69"/>
        <v>5.5991146217997452E-2</v>
      </c>
      <c r="V436" s="570">
        <f t="shared" si="70"/>
        <v>0.12988359110880376</v>
      </c>
      <c r="W436" s="572">
        <f t="shared" si="71"/>
        <v>9.1576977871451137E-2</v>
      </c>
      <c r="Y436" s="73" t="s">
        <v>329</v>
      </c>
      <c r="Z436" s="61">
        <f t="shared" si="72"/>
        <v>273776182.05000001</v>
      </c>
      <c r="AA436" s="61">
        <f t="shared" si="73"/>
        <v>0</v>
      </c>
      <c r="AB436" s="61">
        <f t="shared" si="74"/>
        <v>0</v>
      </c>
      <c r="AC436" s="61">
        <f t="shared" si="75"/>
        <v>272127511.62259996</v>
      </c>
      <c r="AD436" s="61">
        <f t="shared" si="76"/>
        <v>545903693.67259991</v>
      </c>
    </row>
    <row r="437" spans="1:30" s="61" customFormat="1" ht="12.75" customHeight="1">
      <c r="A437" s="73" t="s">
        <v>322</v>
      </c>
      <c r="B437" s="75">
        <f>IF($M437&gt;0,('Amounts Pivot Table'!S$202/$M437),0)</f>
        <v>2839.5936334039857</v>
      </c>
      <c r="C437" s="75">
        <f>IF($M437&gt;0,('Amounts Pivot Table'!S$205/$M437),0)</f>
        <v>0</v>
      </c>
      <c r="D437" s="75">
        <f>IF($M437&gt;0,('Amounts Pivot Table'!S$208/$M437),0)</f>
        <v>0</v>
      </c>
      <c r="E437" s="75">
        <f>IF($M437&gt;0,('Amounts Pivot Table'!S$211/$M437),0)</f>
        <v>4237.3661432251147</v>
      </c>
      <c r="F437" s="75">
        <f t="shared" si="65"/>
        <v>7076.9597766291008</v>
      </c>
      <c r="G437" s="116">
        <f>IF(B437&gt;0,RANK(B437,$B$431:$B$449),)</f>
        <v>6</v>
      </c>
      <c r="H437" s="107">
        <f>IF(C437&gt;0,RANK(C437,$C$431:$C$449),)</f>
        <v>0</v>
      </c>
      <c r="I437" s="107">
        <f>IF(D437&gt;0,RANK(D437,$D$431:$D$449),)</f>
        <v>0</v>
      </c>
      <c r="J437" s="107">
        <f>IF(E437&gt;0,RANK(E437,$E$431:$E$449),)</f>
        <v>1</v>
      </c>
      <c r="K437" s="107">
        <f>IF(F437&gt;0,RANK(F437,$F$431:$F$449),)</f>
        <v>4</v>
      </c>
      <c r="L437" s="168"/>
      <c r="M437" s="824">
        <f>+'[1]NEW-Tables 80-86'!AF199</f>
        <v>5098.7333333333336</v>
      </c>
      <c r="N437" s="805">
        <f>+'[1]NEW-Tables 80-86'!AL199</f>
        <v>5377.2</v>
      </c>
      <c r="O437" s="585">
        <f t="shared" si="66"/>
        <v>2839.5936334039857</v>
      </c>
      <c r="P437" s="586">
        <f t="shared" si="67"/>
        <v>4237.3661432251147</v>
      </c>
      <c r="Q437" s="574">
        <f t="shared" si="68"/>
        <v>7076.9597766291008</v>
      </c>
      <c r="R437" s="482">
        <f>IF($N437&gt;0,(('Amounts Pivot Table'!S$201+'Amounts Pivot Table'!S$204+'Amounts Pivot Table'!S$207)/$N437),0)</f>
        <v>2834.2486864850416</v>
      </c>
      <c r="S437" s="481">
        <f>IF($N437&gt;0,('Amounts Pivot Table'!S$210/$N437),0)</f>
        <v>3692.6281336011307</v>
      </c>
      <c r="T437" s="481">
        <f t="shared" si="64"/>
        <v>6526.8768200861723</v>
      </c>
      <c r="U437" s="577">
        <f t="shared" si="69"/>
        <v>1.8858426024615078E-3</v>
      </c>
      <c r="V437" s="570">
        <f t="shared" si="70"/>
        <v>0.14752040820659179</v>
      </c>
      <c r="W437" s="572">
        <f t="shared" si="71"/>
        <v>8.427965958390278E-2</v>
      </c>
      <c r="Y437" s="73" t="s">
        <v>322</v>
      </c>
      <c r="Z437" s="61">
        <f t="shared" si="72"/>
        <v>14478330.711758016</v>
      </c>
      <c r="AA437" s="61">
        <f t="shared" si="73"/>
        <v>0</v>
      </c>
      <c r="AB437" s="61">
        <f t="shared" si="74"/>
        <v>0</v>
      </c>
      <c r="AC437" s="61">
        <f t="shared" si="75"/>
        <v>21605200</v>
      </c>
      <c r="AD437" s="61">
        <f t="shared" si="76"/>
        <v>36083530.711758018</v>
      </c>
    </row>
    <row r="438" spans="1:30" s="61" customFormat="1" ht="12.75" customHeight="1">
      <c r="A438" s="73" t="s">
        <v>330</v>
      </c>
      <c r="B438" s="75">
        <f>IF($M438&gt;0,('Amounts Pivot Table'!S$241/$M438),0)</f>
        <v>3356.8967687616469</v>
      </c>
      <c r="C438" s="75">
        <f>IF($M438&gt;0,('Amounts Pivot Table'!S$244/$M438),0)</f>
        <v>0</v>
      </c>
      <c r="D438" s="75">
        <f>IF($M438&gt;0,('Amounts Pivot Table'!S$247/$M438),0)</f>
        <v>0</v>
      </c>
      <c r="E438" s="75">
        <f>IF($M438&gt;0,('Amounts Pivot Table'!S$250/$M438),0)</f>
        <v>2982.7879609454671</v>
      </c>
      <c r="F438" s="75">
        <f t="shared" si="65"/>
        <v>6339.6847297071145</v>
      </c>
      <c r="G438" s="116">
        <f>IF(B438&gt;0,RANK(B438,$B$431:$B$449),)</f>
        <v>5</v>
      </c>
      <c r="H438" s="107">
        <f>IF(C438&gt;0,RANK(C438,$C$431:$C$449),)</f>
        <v>0</v>
      </c>
      <c r="I438" s="107">
        <f>IF(D438&gt;0,RANK(D438,$D$431:$D$449),)</f>
        <v>0</v>
      </c>
      <c r="J438" s="107">
        <f>IF(E438&gt;0,RANK(E438,$E$431:$E$449),)</f>
        <v>4</v>
      </c>
      <c r="K438" s="107">
        <f>IF(F438&gt;0,RANK(F438,$F$431:$F$449),)</f>
        <v>6</v>
      </c>
      <c r="L438" s="168"/>
      <c r="M438" s="824">
        <f>+'[1]NEW-Tables 80-86'!AF200</f>
        <v>10366.871666666666</v>
      </c>
      <c r="N438" s="805">
        <f>+'[1]NEW-Tables 80-86'!AL200</f>
        <v>13654.404444444446</v>
      </c>
      <c r="O438" s="585">
        <f t="shared" si="66"/>
        <v>3356.8967687616469</v>
      </c>
      <c r="P438" s="586">
        <f t="shared" si="67"/>
        <v>2982.7879609454671</v>
      </c>
      <c r="Q438" s="574">
        <f t="shared" si="68"/>
        <v>6339.6847297071145</v>
      </c>
      <c r="R438" s="482">
        <f>IF($N438&gt;0,(('Amounts Pivot Table'!S$240+'Amounts Pivot Table'!S$243+'Amounts Pivot Table'!S$246)/$N438),0)</f>
        <v>2290.831952962023</v>
      </c>
      <c r="S438" s="481">
        <f>IF($N438&gt;0,('Amounts Pivot Table'!S$249/$N438),0)</f>
        <v>1947.5487274598572</v>
      </c>
      <c r="T438" s="481">
        <f t="shared" si="64"/>
        <v>4238.3806804218802</v>
      </c>
      <c r="U438" s="577">
        <f t="shared" si="69"/>
        <v>0.46536142226461114</v>
      </c>
      <c r="V438" s="570">
        <f t="shared" si="70"/>
        <v>0.53156011908151257</v>
      </c>
      <c r="W438" s="572">
        <f t="shared" si="71"/>
        <v>0.49577992344851723</v>
      </c>
      <c r="Y438" s="73" t="s">
        <v>330</v>
      </c>
      <c r="Z438" s="61">
        <f t="shared" si="72"/>
        <v>34800518</v>
      </c>
      <c r="AA438" s="61">
        <f t="shared" si="73"/>
        <v>0</v>
      </c>
      <c r="AB438" s="61">
        <f t="shared" si="74"/>
        <v>0</v>
      </c>
      <c r="AC438" s="61">
        <f t="shared" si="75"/>
        <v>30922180</v>
      </c>
      <c r="AD438" s="61">
        <f t="shared" si="76"/>
        <v>65722698.000000007</v>
      </c>
    </row>
    <row r="439" spans="1:30" s="61" customFormat="1" ht="12.75" customHeight="1">
      <c r="A439" s="73" t="s">
        <v>333</v>
      </c>
      <c r="B439" s="75">
        <f>IF($M439&gt;0,('Amounts Pivot Table'!S$280/$M439),0)</f>
        <v>0</v>
      </c>
      <c r="C439" s="75">
        <f>IF($M439&gt;0,('Amounts Pivot Table'!S$283/$M439),0)</f>
        <v>0</v>
      </c>
      <c r="D439" s="75">
        <f>IF($M439&gt;0,('Amounts Pivot Table'!S$286/$M439),0)</f>
        <v>0</v>
      </c>
      <c r="E439" s="75">
        <f>IF($M439&gt;0,('Amounts Pivot Table'!S$289/$M439),0)</f>
        <v>0</v>
      </c>
      <c r="F439" s="75">
        <f t="shared" si="65"/>
        <v>0</v>
      </c>
      <c r="G439" s="116">
        <f>IF(B439&gt;0,RANK(B439,$B$431:$B$449),)</f>
        <v>0</v>
      </c>
      <c r="H439" s="107">
        <f>IF(C439&gt;0,RANK(C439,$C$431:$C$449),)</f>
        <v>0</v>
      </c>
      <c r="I439" s="107">
        <f>IF(D439&gt;0,RANK(D439,$D$431:$D$449),)</f>
        <v>0</v>
      </c>
      <c r="J439" s="107">
        <f>IF(E439&gt;0,RANK(E439,$E$431:$E$449),)</f>
        <v>0</v>
      </c>
      <c r="K439" s="107">
        <f>IF(F439&gt;0,RANK(F439,$F$431:$F$449),)</f>
        <v>0</v>
      </c>
      <c r="L439" s="168"/>
      <c r="M439" s="824">
        <f>+'[1]NEW-Tables 80-86'!AF201</f>
        <v>0</v>
      </c>
      <c r="N439" s="805">
        <f>+'[1]NEW-Tables 80-86'!AL201</f>
        <v>0</v>
      </c>
      <c r="O439" s="585">
        <f t="shared" si="66"/>
        <v>0</v>
      </c>
      <c r="P439" s="586">
        <f t="shared" si="67"/>
        <v>0</v>
      </c>
      <c r="Q439" s="574">
        <f t="shared" si="68"/>
        <v>0</v>
      </c>
      <c r="R439" s="482">
        <f>IF($N439&gt;0,(('Amounts Pivot Table'!S$279+'Amounts Pivot Table'!S$282+'Amounts Pivot Table'!S$285)/$N439),0)</f>
        <v>0</v>
      </c>
      <c r="S439" s="481">
        <f>IF($N439&gt;0,('Amounts Pivot Table'!S$288/$N439),0)</f>
        <v>0</v>
      </c>
      <c r="T439" s="481">
        <f t="shared" si="64"/>
        <v>0</v>
      </c>
      <c r="U439" s="577" t="e">
        <f t="shared" si="69"/>
        <v>#DIV/0!</v>
      </c>
      <c r="V439" s="570" t="e">
        <f t="shared" si="70"/>
        <v>#DIV/0!</v>
      </c>
      <c r="W439" s="572" t="e">
        <f t="shared" si="71"/>
        <v>#DIV/0!</v>
      </c>
      <c r="Y439" s="73" t="s">
        <v>333</v>
      </c>
      <c r="Z439" s="61">
        <f t="shared" si="72"/>
        <v>0</v>
      </c>
      <c r="AA439" s="61">
        <f t="shared" si="73"/>
        <v>0</v>
      </c>
      <c r="AB439" s="61">
        <f t="shared" si="74"/>
        <v>0</v>
      </c>
      <c r="AC439" s="61">
        <f t="shared" si="75"/>
        <v>0</v>
      </c>
      <c r="AD439" s="61">
        <f t="shared" si="76"/>
        <v>0</v>
      </c>
    </row>
    <row r="440" spans="1:30" s="61" customFormat="1" ht="12.75" customHeight="1">
      <c r="A440" s="73"/>
      <c r="B440" s="75"/>
      <c r="C440" s="75"/>
      <c r="D440" s="75"/>
      <c r="E440" s="75"/>
      <c r="F440" s="75"/>
      <c r="G440" s="116"/>
      <c r="H440" s="107"/>
      <c r="I440" s="107"/>
      <c r="J440" s="107"/>
      <c r="K440" s="107"/>
      <c r="L440" s="168"/>
      <c r="M440" s="824"/>
      <c r="N440" s="805"/>
      <c r="O440" s="585"/>
      <c r="P440" s="586"/>
      <c r="Q440" s="574"/>
      <c r="R440" s="482"/>
      <c r="S440" s="481"/>
      <c r="T440" s="481"/>
      <c r="U440" s="577"/>
      <c r="V440" s="570"/>
      <c r="W440" s="572"/>
      <c r="Y440" s="73"/>
    </row>
    <row r="441" spans="1:30" s="61" customFormat="1" ht="12.75" customHeight="1">
      <c r="A441" s="73" t="s">
        <v>323</v>
      </c>
      <c r="B441" s="75">
        <f>IF($M441&gt;0,('Amounts Pivot Table'!S$319/$M441),0)</f>
        <v>0</v>
      </c>
      <c r="C441" s="75">
        <f>IF($M441&gt;0,('Amounts Pivot Table'!S$322/$M441),0)</f>
        <v>0</v>
      </c>
      <c r="D441" s="75">
        <f>IF($M441&gt;0,('Amounts Pivot Table'!S$325/$M441),0)</f>
        <v>0</v>
      </c>
      <c r="E441" s="75">
        <f>IF($M441&gt;0,('Amounts Pivot Table'!S$328/$M441),0)</f>
        <v>0</v>
      </c>
      <c r="F441" s="75">
        <f t="shared" si="65"/>
        <v>0</v>
      </c>
      <c r="G441" s="116">
        <f>IF(B441&gt;0,RANK(B441,$B$431:$B$449),)</f>
        <v>0</v>
      </c>
      <c r="H441" s="107">
        <f>IF(C441&gt;0,RANK(C441,$C$431:$C$449),)</f>
        <v>0</v>
      </c>
      <c r="I441" s="107">
        <f>IF(D441&gt;0,RANK(D441,$D$431:$D$449),)</f>
        <v>0</v>
      </c>
      <c r="J441" s="107">
        <f>IF(E441&gt;0,RANK(E441,$E$431:$E$449),)</f>
        <v>0</v>
      </c>
      <c r="K441" s="107">
        <f>IF(F441&gt;0,RANK(F441,$F$431:$F$449),)</f>
        <v>0</v>
      </c>
      <c r="L441" s="168"/>
      <c r="M441" s="824">
        <f>+'[1]NEW-Tables 80-86'!AF203</f>
        <v>0</v>
      </c>
      <c r="N441" s="805">
        <f>+'[1]NEW-Tables 80-86'!AL203</f>
        <v>0</v>
      </c>
      <c r="O441" s="585">
        <f t="shared" si="66"/>
        <v>0</v>
      </c>
      <c r="P441" s="586">
        <f t="shared" si="67"/>
        <v>0</v>
      </c>
      <c r="Q441" s="574">
        <f t="shared" si="68"/>
        <v>0</v>
      </c>
      <c r="R441" s="482">
        <f>IF($N441&gt;0,(('Amounts Pivot Table'!S$318+'Amounts Pivot Table'!S$321+'Amounts Pivot Table'!S$324)/$N441),0)</f>
        <v>0</v>
      </c>
      <c r="S441" s="481">
        <f>IF($N441&gt;0,('Amounts Pivot Table'!S$327/$N441),0)</f>
        <v>0</v>
      </c>
      <c r="T441" s="481">
        <f t="shared" si="64"/>
        <v>0</v>
      </c>
      <c r="U441" s="577" t="e">
        <f t="shared" si="69"/>
        <v>#DIV/0!</v>
      </c>
      <c r="V441" s="570" t="e">
        <f t="shared" si="70"/>
        <v>#DIV/0!</v>
      </c>
      <c r="W441" s="572" t="e">
        <f t="shared" si="71"/>
        <v>#DIV/0!</v>
      </c>
      <c r="Y441" s="73" t="s">
        <v>323</v>
      </c>
      <c r="Z441" s="61">
        <f t="shared" si="72"/>
        <v>0</v>
      </c>
      <c r="AA441" s="61">
        <f t="shared" si="73"/>
        <v>0</v>
      </c>
      <c r="AB441" s="61">
        <f t="shared" si="74"/>
        <v>0</v>
      </c>
      <c r="AC441" s="61">
        <f t="shared" si="75"/>
        <v>0</v>
      </c>
      <c r="AD441" s="61">
        <f t="shared" si="76"/>
        <v>0</v>
      </c>
    </row>
    <row r="442" spans="1:30" s="61" customFormat="1" ht="12.75" customHeight="1">
      <c r="A442" s="73" t="s">
        <v>324</v>
      </c>
      <c r="B442" s="75">
        <f>IF($M442&gt;0,('Amounts Pivot Table'!S$358/$M442),0)</f>
        <v>0</v>
      </c>
      <c r="C442" s="75">
        <f>IF($M442&gt;0,('Amounts Pivot Table'!S$361/$M442),0)</f>
        <v>0</v>
      </c>
      <c r="D442" s="75">
        <f>IF($M442&gt;0,('Amounts Pivot Table'!S$364/$M442),0)</f>
        <v>0</v>
      </c>
      <c r="E442" s="75">
        <f>IF($M442&gt;0,('Amounts Pivot Table'!S$367/$M442),0)</f>
        <v>0</v>
      </c>
      <c r="F442" s="75">
        <f t="shared" si="65"/>
        <v>0</v>
      </c>
      <c r="G442" s="116">
        <f>IF(B442&gt;0,RANK(B442,$B$431:$B$449),)</f>
        <v>0</v>
      </c>
      <c r="H442" s="107">
        <f>IF(C442&gt;0,RANK(C442,$C$431:$C$449),)</f>
        <v>0</v>
      </c>
      <c r="I442" s="107">
        <f>IF(D442&gt;0,RANK(D442,$D$431:$D$449),)</f>
        <v>0</v>
      </c>
      <c r="J442" s="107">
        <f>IF(E442&gt;0,RANK(E442,$E$431:$E$449),)</f>
        <v>0</v>
      </c>
      <c r="K442" s="107">
        <f>IF(F442&gt;0,RANK(F442,$F$431:$F$449),)</f>
        <v>0</v>
      </c>
      <c r="L442" s="168"/>
      <c r="M442" s="824">
        <f>+'[1]NEW-Tables 80-86'!AF204</f>
        <v>0</v>
      </c>
      <c r="N442" s="805">
        <f>+'[1]NEW-Tables 80-86'!AL204</f>
        <v>0</v>
      </c>
      <c r="O442" s="585">
        <f t="shared" si="66"/>
        <v>0</v>
      </c>
      <c r="P442" s="586">
        <f t="shared" si="67"/>
        <v>0</v>
      </c>
      <c r="Q442" s="574">
        <f t="shared" si="68"/>
        <v>0</v>
      </c>
      <c r="R442" s="482">
        <f>IF($N442&gt;0,(('Amounts Pivot Table'!S$357+'Amounts Pivot Table'!S$360+'Amounts Pivot Table'!S$363)/$N442),0)</f>
        <v>0</v>
      </c>
      <c r="S442" s="481">
        <f>IF($N442&gt;0,('Amounts Pivot Table'!S$366/$N442),0)</f>
        <v>0</v>
      </c>
      <c r="T442" s="481">
        <f t="shared" si="64"/>
        <v>0</v>
      </c>
      <c r="U442" s="577" t="e">
        <f t="shared" si="69"/>
        <v>#DIV/0!</v>
      </c>
      <c r="V442" s="570" t="e">
        <f t="shared" si="70"/>
        <v>#DIV/0!</v>
      </c>
      <c r="W442" s="572" t="e">
        <f t="shared" si="71"/>
        <v>#DIV/0!</v>
      </c>
      <c r="Y442" s="73" t="s">
        <v>324</v>
      </c>
      <c r="Z442" s="61">
        <f t="shared" si="72"/>
        <v>0</v>
      </c>
      <c r="AA442" s="61">
        <f t="shared" si="73"/>
        <v>0</v>
      </c>
      <c r="AB442" s="61">
        <f t="shared" si="74"/>
        <v>0</v>
      </c>
      <c r="AC442" s="61">
        <f t="shared" si="75"/>
        <v>0</v>
      </c>
      <c r="AD442" s="61">
        <f t="shared" si="76"/>
        <v>0</v>
      </c>
    </row>
    <row r="443" spans="1:30" s="61" customFormat="1" ht="12.75" customHeight="1">
      <c r="A443" s="73" t="s">
        <v>331</v>
      </c>
      <c r="B443" s="75">
        <f>IF($M443&gt;0,('Amounts Pivot Table'!S$397/$M443),0)</f>
        <v>5066.8050147985059</v>
      </c>
      <c r="C443" s="75">
        <f>IF($M443&gt;0,('Amounts Pivot Table'!S$400/$M443),0)</f>
        <v>0</v>
      </c>
      <c r="D443" s="75">
        <f>IF($M443&gt;0,('Amounts Pivot Table'!S$403/$M443),0)</f>
        <v>0</v>
      </c>
      <c r="E443" s="75">
        <f>IF($M443&gt;0,('Amounts Pivot Table'!S$406/$M443),0)</f>
        <v>1559.4856192868076</v>
      </c>
      <c r="F443" s="75">
        <f t="shared" si="65"/>
        <v>6626.2906340853133</v>
      </c>
      <c r="G443" s="116">
        <f>IF(B443&gt;0,RANK(B443,$B$431:$B$449),)</f>
        <v>2</v>
      </c>
      <c r="H443" s="107">
        <f>IF(C443&gt;0,RANK(C443,$C$431:$C$449),)</f>
        <v>0</v>
      </c>
      <c r="I443" s="107">
        <f>IF(D443&gt;0,RANK(D443,$D$431:$D$449),)</f>
        <v>0</v>
      </c>
      <c r="J443" s="107">
        <f>IF(E443&gt;0,RANK(E443,$E$431:$E$449),)</f>
        <v>6</v>
      </c>
      <c r="K443" s="107">
        <f>IF(F443&gt;0,RANK(F443,$F$431:$F$449),)</f>
        <v>5</v>
      </c>
      <c r="L443" s="168"/>
      <c r="M443" s="824">
        <f>+'[1]NEW-Tables 80-86'!AF205</f>
        <v>19699.354466666664</v>
      </c>
      <c r="N443" s="805">
        <f>+'[1]NEW-Tables 80-86'!AL205</f>
        <v>19918.6842</v>
      </c>
      <c r="O443" s="585">
        <f t="shared" si="66"/>
        <v>5066.8050147985059</v>
      </c>
      <c r="P443" s="586">
        <f t="shared" si="67"/>
        <v>1559.4856192868076</v>
      </c>
      <c r="Q443" s="574">
        <f t="shared" si="68"/>
        <v>6626.2906340853133</v>
      </c>
      <c r="R443" s="482">
        <f>IF($N443&gt;0,(('Amounts Pivot Table'!S$396+'Amounts Pivot Table'!S$399+'Amounts Pivot Table'!S$402)/$N443),0)</f>
        <v>4992.4391090050012</v>
      </c>
      <c r="S443" s="481">
        <f>IF($N443&gt;0,('Amounts Pivot Table'!S$405/$N443),0)</f>
        <v>1402.702744792751</v>
      </c>
      <c r="T443" s="481">
        <f t="shared" si="64"/>
        <v>6395.1418537977524</v>
      </c>
      <c r="U443" s="577">
        <f t="shared" si="69"/>
        <v>1.4895706120755449E-2</v>
      </c>
      <c r="V443" s="570">
        <f t="shared" si="70"/>
        <v>0.11177198809660933</v>
      </c>
      <c r="W443" s="572">
        <f t="shared" si="71"/>
        <v>3.614443362977058E-2</v>
      </c>
      <c r="Y443" s="73" t="s">
        <v>331</v>
      </c>
      <c r="Z443" s="61">
        <f t="shared" si="72"/>
        <v>99812788</v>
      </c>
      <c r="AA443" s="61">
        <f t="shared" si="73"/>
        <v>0</v>
      </c>
      <c r="AB443" s="61">
        <f t="shared" si="74"/>
        <v>0</v>
      </c>
      <c r="AC443" s="61">
        <f t="shared" si="75"/>
        <v>30720860.000000004</v>
      </c>
      <c r="AD443" s="61">
        <f t="shared" si="76"/>
        <v>130533648</v>
      </c>
    </row>
    <row r="444" spans="1:30" s="61" customFormat="1" ht="12.75" customHeight="1">
      <c r="A444" s="73" t="s">
        <v>325</v>
      </c>
      <c r="B444" s="75">
        <f>IF($M444&gt;0,('Amounts Pivot Table'!S$436/$M444),0)</f>
        <v>0</v>
      </c>
      <c r="C444" s="75">
        <f>IF($M444&gt;0,('Amounts Pivot Table'!S$439/$M444),0)</f>
        <v>0</v>
      </c>
      <c r="D444" s="75">
        <f>IF($M444&gt;0,('Amounts Pivot Table'!S$442/$M444),0)</f>
        <v>0</v>
      </c>
      <c r="E444" s="75">
        <f>IF($M444&gt;0,('Amounts Pivot Table'!S$445/$M444),0)</f>
        <v>0</v>
      </c>
      <c r="F444" s="75">
        <f t="shared" si="65"/>
        <v>0</v>
      </c>
      <c r="G444" s="116">
        <f>IF(B444&gt;0,RANK(B444,$B$431:$B$449),)</f>
        <v>0</v>
      </c>
      <c r="H444" s="107">
        <f>IF(C444&gt;0,RANK(C444,$C$431:$C$449),)</f>
        <v>0</v>
      </c>
      <c r="I444" s="107">
        <f>IF(D444&gt;0,RANK(D444,$D$431:$D$449),)</f>
        <v>0</v>
      </c>
      <c r="J444" s="107">
        <f>IF(E444&gt;0,RANK(E444,$E$431:$E$449),)</f>
        <v>0</v>
      </c>
      <c r="K444" s="107">
        <f>IF(F444&gt;0,RANK(F444,$F$431:$F$449),)</f>
        <v>0</v>
      </c>
      <c r="L444" s="168"/>
      <c r="M444" s="824">
        <f>+'[1]NEW-Tables 80-86'!AF206</f>
        <v>0</v>
      </c>
      <c r="N444" s="805">
        <f>+'[1]NEW-Tables 80-86'!AL206</f>
        <v>0</v>
      </c>
      <c r="O444" s="585">
        <f t="shared" si="66"/>
        <v>0</v>
      </c>
      <c r="P444" s="586">
        <f t="shared" si="67"/>
        <v>0</v>
      </c>
      <c r="Q444" s="574">
        <f t="shared" si="68"/>
        <v>0</v>
      </c>
      <c r="R444" s="482">
        <f>IF($N444&gt;0,(('Amounts Pivot Table'!S$435+'Amounts Pivot Table'!S$438+'Amounts Pivot Table'!S$441)/$N444),0)</f>
        <v>0</v>
      </c>
      <c r="S444" s="481">
        <f>IF($N444&gt;0,('Amounts Pivot Table'!S$444/$N444),0)</f>
        <v>0</v>
      </c>
      <c r="T444" s="481">
        <f t="shared" si="64"/>
        <v>0</v>
      </c>
      <c r="U444" s="577" t="e">
        <f t="shared" si="69"/>
        <v>#DIV/0!</v>
      </c>
      <c r="V444" s="570" t="e">
        <f t="shared" si="70"/>
        <v>#DIV/0!</v>
      </c>
      <c r="W444" s="572" t="e">
        <f t="shared" si="71"/>
        <v>#DIV/0!</v>
      </c>
      <c r="Y444" s="73" t="s">
        <v>325</v>
      </c>
      <c r="Z444" s="61">
        <f t="shared" si="72"/>
        <v>0</v>
      </c>
      <c r="AA444" s="61">
        <f t="shared" si="73"/>
        <v>0</v>
      </c>
      <c r="AB444" s="61">
        <f t="shared" si="74"/>
        <v>0</v>
      </c>
      <c r="AC444" s="61">
        <f t="shared" si="75"/>
        <v>0</v>
      </c>
      <c r="AD444" s="61">
        <f t="shared" si="76"/>
        <v>0</v>
      </c>
    </row>
    <row r="445" spans="1:30" s="61" customFormat="1" ht="12.75" customHeight="1">
      <c r="A445" s="73"/>
      <c r="B445" s="75"/>
      <c r="C445" s="75"/>
      <c r="D445" s="75"/>
      <c r="E445" s="75"/>
      <c r="F445" s="75"/>
      <c r="G445" s="116"/>
      <c r="H445" s="107"/>
      <c r="I445" s="107"/>
      <c r="J445" s="107"/>
      <c r="K445" s="107"/>
      <c r="L445" s="168"/>
      <c r="M445" s="824"/>
      <c r="N445" s="805"/>
      <c r="O445" s="585"/>
      <c r="P445" s="586"/>
      <c r="Q445" s="574"/>
      <c r="R445" s="482"/>
      <c r="S445" s="481"/>
      <c r="T445" s="481"/>
      <c r="U445" s="577"/>
      <c r="V445" s="570"/>
      <c r="W445" s="572"/>
      <c r="Y445" s="73"/>
    </row>
    <row r="446" spans="1:30" s="61" customFormat="1" ht="12.75" customHeight="1">
      <c r="A446" s="73" t="s">
        <v>90</v>
      </c>
      <c r="B446" s="75">
        <f>IF($M446&gt;0,('Amounts Pivot Table'!S$475/$M446),0)</f>
        <v>4953.5047211582942</v>
      </c>
      <c r="C446" s="75">
        <f>IF($M446&gt;0,('Amounts Pivot Table'!S$478/$M446),0)</f>
        <v>0</v>
      </c>
      <c r="D446" s="75">
        <f>IF($M446&gt;0,('Amounts Pivot Table'!S$481/$M446),0)</f>
        <v>0</v>
      </c>
      <c r="E446" s="75">
        <f>IF($M446&gt;0,('Amounts Pivot Table'!S$484/$M446),0)</f>
        <v>2732.8137119255107</v>
      </c>
      <c r="F446" s="75">
        <f t="shared" si="65"/>
        <v>7686.3184330838048</v>
      </c>
      <c r="G446" s="116">
        <f>IF(B446&gt;0,RANK(B446,$B$431:$B$449),)</f>
        <v>3</v>
      </c>
      <c r="H446" s="107">
        <f>IF(C446&gt;0,RANK(C446,$C$431:$C$449),)</f>
        <v>0</v>
      </c>
      <c r="I446" s="107">
        <f>IF(D446&gt;0,RANK(D446,$D$431:$D$449),)</f>
        <v>0</v>
      </c>
      <c r="J446" s="107">
        <f>IF(E446&gt;0,RANK(E446,$E$431:$E$449),)</f>
        <v>5</v>
      </c>
      <c r="K446" s="107">
        <f>IF(F446&gt;0,RANK(F446,$F$431:$F$449),)</f>
        <v>2</v>
      </c>
      <c r="L446" s="168"/>
      <c r="M446" s="824">
        <f>+'[1]NEW-Tables 80-86'!AF208</f>
        <v>11199.464444444444</v>
      </c>
      <c r="N446" s="805">
        <f>+'[1]NEW-Tables 80-86'!AL208</f>
        <v>11324.595555555554</v>
      </c>
      <c r="O446" s="585">
        <f t="shared" si="66"/>
        <v>4953.5047211582942</v>
      </c>
      <c r="P446" s="586">
        <f t="shared" si="67"/>
        <v>2732.8137119255107</v>
      </c>
      <c r="Q446" s="574">
        <f t="shared" si="68"/>
        <v>7686.3184330838048</v>
      </c>
      <c r="R446" s="482">
        <f>IF($N446&gt;0,(('Amounts Pivot Table'!S$474+'Amounts Pivot Table'!S$477+'Amounts Pivot Table'!S$480)/$N446),0)</f>
        <v>5084.1462476560364</v>
      </c>
      <c r="S446" s="481">
        <f>IF($N446&gt;0,('Amounts Pivot Table'!S$483/$N446),0)</f>
        <v>2542.3203732760244</v>
      </c>
      <c r="T446" s="481">
        <f t="shared" si="64"/>
        <v>7626.4666209320603</v>
      </c>
      <c r="U446" s="577">
        <f t="shared" si="69"/>
        <v>-2.5695863205739293E-2</v>
      </c>
      <c r="V446" s="570">
        <f t="shared" si="70"/>
        <v>7.4928927389279934E-2</v>
      </c>
      <c r="W446" s="572">
        <f t="shared" si="71"/>
        <v>7.8479084911316117E-3</v>
      </c>
      <c r="Y446" s="73" t="s">
        <v>90</v>
      </c>
      <c r="Z446" s="61">
        <f t="shared" si="72"/>
        <v>55476600.000000007</v>
      </c>
      <c r="AA446" s="61">
        <f t="shared" si="73"/>
        <v>0</v>
      </c>
      <c r="AB446" s="61">
        <f t="shared" si="74"/>
        <v>0</v>
      </c>
      <c r="AC446" s="61">
        <f t="shared" si="75"/>
        <v>30606049.999999996</v>
      </c>
      <c r="AD446" s="61">
        <f t="shared" si="76"/>
        <v>86082650</v>
      </c>
    </row>
    <row r="447" spans="1:30" s="76" customFormat="1" ht="12.75" customHeight="1">
      <c r="A447" s="73" t="s">
        <v>326</v>
      </c>
      <c r="B447" s="75">
        <f>IF($M447&gt;0,('Amounts Pivot Table'!S$514/$M447),0)</f>
        <v>0</v>
      </c>
      <c r="C447" s="75">
        <f>IF($M447&gt;0,('Amounts Pivot Table'!S$517/$M447),0)</f>
        <v>0</v>
      </c>
      <c r="D447" s="75">
        <f>IF($M447&gt;0,('Amounts Pivot Table'!S$520/$M447),0)</f>
        <v>0</v>
      </c>
      <c r="E447" s="75">
        <f>IF($M447&gt;0,('Amounts Pivot Table'!S$523/$M447),0)</f>
        <v>0</v>
      </c>
      <c r="F447" s="75">
        <f t="shared" si="65"/>
        <v>0</v>
      </c>
      <c r="G447" s="116">
        <f>IF(B447&gt;0,RANK(B447,$B$431:$B$449),)</f>
        <v>0</v>
      </c>
      <c r="H447" s="107">
        <f>IF(C447&gt;0,RANK(C447,$C$431:$C$449),)</f>
        <v>0</v>
      </c>
      <c r="I447" s="107">
        <f>IF(D447&gt;0,RANK(D447,$D$431:$D$449),)</f>
        <v>0</v>
      </c>
      <c r="J447" s="107">
        <f>IF(E447&gt;0,RANK(E447,$E$431:$E$449),)</f>
        <v>0</v>
      </c>
      <c r="K447" s="107">
        <f>IF(F447&gt;0,RANK(F447,$F$431:$F$449),)</f>
        <v>0</v>
      </c>
      <c r="L447" s="169"/>
      <c r="M447" s="824">
        <f>+'[1]NEW-Tables 80-86'!AF209</f>
        <v>0</v>
      </c>
      <c r="N447" s="805">
        <f>+'[1]NEW-Tables 80-86'!AL209</f>
        <v>0</v>
      </c>
      <c r="O447" s="477">
        <f t="shared" si="66"/>
        <v>0</v>
      </c>
      <c r="P447" s="478">
        <f t="shared" si="67"/>
        <v>0</v>
      </c>
      <c r="Q447" s="479">
        <f t="shared" si="68"/>
        <v>0</v>
      </c>
      <c r="R447" s="482">
        <f>IF($N447&gt;0,(('Amounts Pivot Table'!S$513+'Amounts Pivot Table'!S$516+'Amounts Pivot Table'!S$519)/$N447),0)</f>
        <v>0</v>
      </c>
      <c r="S447" s="481">
        <f>IF($N447&gt;0,('Amounts Pivot Table'!S$522/$N447),0)</f>
        <v>0</v>
      </c>
      <c r="T447" s="481">
        <f t="shared" si="64"/>
        <v>0</v>
      </c>
      <c r="U447" s="484" t="e">
        <f t="shared" si="69"/>
        <v>#DIV/0!</v>
      </c>
      <c r="V447" s="486" t="e">
        <f t="shared" si="70"/>
        <v>#DIV/0!</v>
      </c>
      <c r="W447" s="486" t="e">
        <f t="shared" si="71"/>
        <v>#DIV/0!</v>
      </c>
      <c r="Y447" s="73" t="s">
        <v>326</v>
      </c>
      <c r="Z447" s="61">
        <f t="shared" si="72"/>
        <v>0</v>
      </c>
      <c r="AA447" s="61">
        <f t="shared" si="73"/>
        <v>0</v>
      </c>
      <c r="AB447" s="61">
        <f t="shared" si="74"/>
        <v>0</v>
      </c>
      <c r="AC447" s="61">
        <f t="shared" si="75"/>
        <v>0</v>
      </c>
      <c r="AD447" s="61">
        <f t="shared" si="76"/>
        <v>0</v>
      </c>
    </row>
    <row r="448" spans="1:30" s="61" customFormat="1" ht="12.75" customHeight="1">
      <c r="A448" s="73" t="s">
        <v>327</v>
      </c>
      <c r="B448" s="75">
        <f>IF($M448&gt;0,('Amounts Pivot Table'!S$553/$M448),0)</f>
        <v>0</v>
      </c>
      <c r="C448" s="75">
        <f>IF($M448&gt;0,('Amounts Pivot Table'!S$556/$M448),0)</f>
        <v>0</v>
      </c>
      <c r="D448" s="75">
        <f>IF($M448&gt;0,('Amounts Pivot Table'!S$559/$M448),0)</f>
        <v>0</v>
      </c>
      <c r="E448" s="75">
        <f>IF($M448&gt;0,('Amounts Pivot Table'!S$562/$M448),0)</f>
        <v>0</v>
      </c>
      <c r="F448" s="75">
        <f t="shared" si="65"/>
        <v>0</v>
      </c>
      <c r="G448" s="116">
        <f>IF(B448&gt;0,RANK(B448,$B$431:$B$449),)</f>
        <v>0</v>
      </c>
      <c r="H448" s="107">
        <f>IF(C448&gt;0,RANK(C448,$C$431:$C$449),)</f>
        <v>0</v>
      </c>
      <c r="I448" s="107">
        <f>IF(D448&gt;0,RANK(D448,$D$431:$D$449),)</f>
        <v>0</v>
      </c>
      <c r="J448" s="107">
        <f>IF(E448&gt;0,RANK(E448,$E$431:$E$449),)</f>
        <v>0</v>
      </c>
      <c r="K448" s="107">
        <f>IF(F448&gt;0,RANK(F448,$F$431:$F$449),)</f>
        <v>0</v>
      </c>
      <c r="L448" s="170"/>
      <c r="M448" s="824">
        <f>+'[1]NEW-Tables 80-86'!AF210</f>
        <v>0</v>
      </c>
      <c r="N448" s="805">
        <f>+'[1]NEW-Tables 80-86'!AL210</f>
        <v>0</v>
      </c>
      <c r="O448" s="477">
        <f t="shared" si="66"/>
        <v>0</v>
      </c>
      <c r="P448" s="478">
        <f t="shared" si="67"/>
        <v>0</v>
      </c>
      <c r="Q448" s="479">
        <f t="shared" si="68"/>
        <v>0</v>
      </c>
      <c r="R448" s="482">
        <f>IF($N448&gt;0,(('Amounts Pivot Table'!S$552+'Amounts Pivot Table'!S$555+'Amounts Pivot Table'!S$558)/$N448),0)</f>
        <v>0</v>
      </c>
      <c r="S448" s="481">
        <f>IF($N448&gt;0,('Amounts Pivot Table'!S$561/$N448),0)</f>
        <v>0</v>
      </c>
      <c r="T448" s="481">
        <f t="shared" si="64"/>
        <v>0</v>
      </c>
      <c r="U448" s="484" t="e">
        <f t="shared" si="69"/>
        <v>#DIV/0!</v>
      </c>
      <c r="V448" s="486" t="e">
        <f t="shared" si="70"/>
        <v>#DIV/0!</v>
      </c>
      <c r="W448" s="486" t="e">
        <f t="shared" si="71"/>
        <v>#DIV/0!</v>
      </c>
      <c r="Y448" s="73" t="s">
        <v>327</v>
      </c>
      <c r="Z448" s="61">
        <f t="shared" si="72"/>
        <v>0</v>
      </c>
      <c r="AA448" s="61">
        <f t="shared" si="73"/>
        <v>0</v>
      </c>
      <c r="AB448" s="61">
        <f t="shared" si="74"/>
        <v>0</v>
      </c>
      <c r="AC448" s="61">
        <f t="shared" si="75"/>
        <v>0</v>
      </c>
      <c r="AD448" s="61">
        <f t="shared" si="76"/>
        <v>0</v>
      </c>
    </row>
    <row r="449" spans="1:30" s="61" customFormat="1" ht="15" customHeight="1">
      <c r="A449" s="74" t="s">
        <v>332</v>
      </c>
      <c r="B449" s="104">
        <f>IF($M449&gt;0,('Amounts Pivot Table'!S$592/$M449),0)</f>
        <v>0</v>
      </c>
      <c r="C449" s="104">
        <f>IF($M449&gt;0,('Amounts Pivot Table'!S$595/$M449),0)</f>
        <v>0</v>
      </c>
      <c r="D449" s="104">
        <f>IF($M449&gt;0,('Amounts Pivot Table'!S$598/$M449),0)</f>
        <v>0</v>
      </c>
      <c r="E449" s="104">
        <f>IF($M449&gt;0,('Amounts Pivot Table'!S$601/$M449),0)</f>
        <v>0</v>
      </c>
      <c r="F449" s="105">
        <f t="shared" si="65"/>
        <v>0</v>
      </c>
      <c r="G449" s="117">
        <f>IF(B449&gt;0,RANK(B449,$B$431:$B$449),)</f>
        <v>0</v>
      </c>
      <c r="H449" s="118">
        <f>IF(C449&gt;0,RANK(C449,$C$431:$C$449),)</f>
        <v>0</v>
      </c>
      <c r="I449" s="118">
        <f>IF(D449&gt;0,RANK(D449,$D$431:$D$449),)</f>
        <v>0</v>
      </c>
      <c r="J449" s="118">
        <f>IF(E449&gt;0,RANK(E449,$E$431:$E$449),)</f>
        <v>0</v>
      </c>
      <c r="K449" s="118">
        <f>IF(F449&gt;0,RANK(F449,$F$431:$F$449),)</f>
        <v>0</v>
      </c>
      <c r="L449" s="171"/>
      <c r="M449" s="824">
        <f>+'[1]NEW-Tables 80-86'!AF211</f>
        <v>0</v>
      </c>
      <c r="N449" s="805">
        <f>+'[1]NEW-Tables 80-86'!AL211</f>
        <v>0</v>
      </c>
      <c r="O449" s="477">
        <f t="shared" si="66"/>
        <v>0</v>
      </c>
      <c r="P449" s="478">
        <f t="shared" si="67"/>
        <v>0</v>
      </c>
      <c r="Q449" s="479">
        <f t="shared" si="68"/>
        <v>0</v>
      </c>
      <c r="R449" s="482">
        <f>IF($N449&gt;0,(('Amounts Pivot Table'!S$591+'Amounts Pivot Table'!S$594+'Amounts Pivot Table'!S$597)/$N449),0)</f>
        <v>0</v>
      </c>
      <c r="S449" s="481">
        <f>IF($N449&gt;0,('Amounts Pivot Table'!S$600/$N449),0)</f>
        <v>0</v>
      </c>
      <c r="T449" s="481">
        <f t="shared" si="64"/>
        <v>0</v>
      </c>
      <c r="U449" s="484" t="e">
        <f t="shared" si="69"/>
        <v>#DIV/0!</v>
      </c>
      <c r="V449" s="486" t="e">
        <f t="shared" si="70"/>
        <v>#DIV/0!</v>
      </c>
      <c r="W449" s="486" t="e">
        <f t="shared" si="71"/>
        <v>#DIV/0!</v>
      </c>
      <c r="Y449" s="74" t="s">
        <v>332</v>
      </c>
      <c r="Z449" s="61">
        <f t="shared" si="72"/>
        <v>0</v>
      </c>
      <c r="AA449" s="61">
        <f t="shared" si="73"/>
        <v>0</v>
      </c>
      <c r="AB449" s="61">
        <f t="shared" si="74"/>
        <v>0</v>
      </c>
      <c r="AC449" s="61">
        <f t="shared" si="75"/>
        <v>0</v>
      </c>
      <c r="AD449" s="61">
        <f t="shared" si="76"/>
        <v>0</v>
      </c>
    </row>
    <row r="450" spans="1:30" s="76" customFormat="1" ht="34.5" customHeight="1">
      <c r="A450" s="1505" t="s">
        <v>17</v>
      </c>
      <c r="B450" s="1529"/>
      <c r="C450" s="1529"/>
      <c r="D450" s="1529"/>
      <c r="E450" s="1529"/>
      <c r="F450" s="1529"/>
      <c r="G450" s="1529"/>
      <c r="H450" s="1529"/>
      <c r="I450" s="1529"/>
      <c r="J450" s="1529"/>
      <c r="K450" s="1529"/>
      <c r="L450" s="169"/>
      <c r="M450" s="296"/>
      <c r="N450" s="90"/>
      <c r="O450" s="90"/>
      <c r="P450" s="90"/>
      <c r="Q450" s="90"/>
    </row>
    <row r="451" spans="1:30" s="205" customFormat="1" ht="13.5" customHeight="1">
      <c r="A451" s="1505" t="s">
        <v>54</v>
      </c>
      <c r="B451" s="1529"/>
      <c r="C451" s="1529"/>
      <c r="D451" s="1529"/>
      <c r="E451" s="1529"/>
      <c r="F451" s="1529"/>
      <c r="G451" s="1529"/>
      <c r="H451" s="1529"/>
      <c r="I451" s="1529"/>
      <c r="J451" s="1529"/>
      <c r="K451" s="1529"/>
      <c r="L451" s="204"/>
      <c r="M451" s="302"/>
      <c r="N451" s="206"/>
      <c r="O451" s="206"/>
      <c r="P451" s="206"/>
      <c r="Q451" s="206"/>
    </row>
    <row r="452" spans="1:30" s="61" customFormat="1" ht="13.5" customHeight="1">
      <c r="A452" s="1505" t="s">
        <v>233</v>
      </c>
      <c r="B452" s="1530"/>
      <c r="C452" s="1530"/>
      <c r="D452" s="1530"/>
      <c r="E452" s="1530"/>
      <c r="F452" s="1530"/>
      <c r="G452" s="1531"/>
      <c r="H452" s="1531"/>
      <c r="I452" s="1531"/>
      <c r="J452" s="1531"/>
      <c r="K452" s="1531"/>
      <c r="L452" s="171"/>
      <c r="M452" s="300"/>
      <c r="N452" s="73"/>
      <c r="O452" s="73"/>
      <c r="P452" s="73"/>
      <c r="Q452" s="73"/>
    </row>
    <row r="453" spans="1:30" s="61" customFormat="1">
      <c r="A453" s="187"/>
      <c r="B453" s="106"/>
      <c r="C453" s="106"/>
      <c r="D453" s="106"/>
      <c r="E453" s="106"/>
      <c r="F453" s="106"/>
      <c r="G453" s="188"/>
      <c r="H453" s="188"/>
      <c r="I453" s="188"/>
      <c r="J453" s="188"/>
      <c r="K453" s="534" t="s">
        <v>1927</v>
      </c>
      <c r="L453" s="73"/>
      <c r="M453" s="303"/>
      <c r="N453" s="73"/>
      <c r="O453" s="73"/>
      <c r="P453" s="73"/>
      <c r="Q453" s="73"/>
    </row>
    <row r="454" spans="1:30" s="61" customFormat="1" ht="18.75" customHeight="1">
      <c r="A454" s="135" t="s">
        <v>372</v>
      </c>
      <c r="B454" s="135"/>
      <c r="C454" s="135"/>
      <c r="D454" s="135"/>
      <c r="E454" s="135"/>
      <c r="F454" s="135"/>
      <c r="G454" s="135"/>
      <c r="H454" s="135"/>
      <c r="I454" s="135"/>
      <c r="J454" s="565"/>
      <c r="K454" s="135"/>
      <c r="L454" s="170"/>
      <c r="M454" s="296"/>
      <c r="N454" s="73"/>
      <c r="O454" s="73"/>
      <c r="P454" s="73"/>
      <c r="Q454" s="73"/>
    </row>
    <row r="455" spans="1:30" s="61" customFormat="1" ht="18.75" customHeight="1">
      <c r="A455" s="135"/>
      <c r="B455" s="135"/>
      <c r="C455" s="135"/>
      <c r="D455" s="135"/>
      <c r="E455" s="135"/>
      <c r="F455" s="135"/>
      <c r="G455" s="135"/>
      <c r="H455" s="135"/>
      <c r="I455" s="135"/>
      <c r="J455" s="565"/>
      <c r="K455" s="135"/>
      <c r="L455" s="170"/>
      <c r="M455" s="296"/>
      <c r="N455" s="73"/>
      <c r="O455" s="73"/>
      <c r="P455" s="73"/>
      <c r="Q455" s="73"/>
    </row>
    <row r="456" spans="1:30" s="61" customFormat="1" ht="18.75">
      <c r="A456" s="1504" t="s">
        <v>18</v>
      </c>
      <c r="B456" s="1504"/>
      <c r="C456" s="1504"/>
      <c r="D456" s="1504"/>
      <c r="E456" s="1504"/>
      <c r="F456" s="1504"/>
      <c r="G456" s="1504"/>
      <c r="H456" s="1504"/>
      <c r="I456" s="1504"/>
      <c r="J456" s="1504"/>
      <c r="K456" s="1504"/>
      <c r="L456" s="165"/>
      <c r="M456" s="296"/>
      <c r="N456" s="73"/>
      <c r="O456" s="73"/>
      <c r="P456" s="73"/>
      <c r="Q456" s="73"/>
    </row>
    <row r="457" spans="1:30" s="61" customFormat="1" ht="15.75" customHeight="1">
      <c r="A457" s="1504" t="s">
        <v>1943</v>
      </c>
      <c r="B457" s="1504"/>
      <c r="C457" s="1504"/>
      <c r="D457" s="1504"/>
      <c r="E457" s="1504"/>
      <c r="F457" s="1504"/>
      <c r="G457" s="1504"/>
      <c r="H457" s="1504"/>
      <c r="I457" s="1504"/>
      <c r="J457" s="1504"/>
      <c r="K457" s="1504"/>
      <c r="L457" s="165"/>
      <c r="M457" s="299"/>
      <c r="N457" s="73"/>
      <c r="O457" s="73"/>
      <c r="P457" s="73"/>
      <c r="Q457" s="73"/>
    </row>
    <row r="458" spans="1:30" s="112" customFormat="1" ht="8.25">
      <c r="A458" s="194"/>
      <c r="B458" s="194"/>
      <c r="C458" s="194"/>
      <c r="D458" s="194"/>
      <c r="E458" s="194"/>
      <c r="F458" s="194"/>
      <c r="G458" s="195"/>
      <c r="H458" s="194"/>
      <c r="I458" s="194"/>
      <c r="J458" s="194"/>
      <c r="K458" s="194"/>
      <c r="L458" s="196"/>
      <c r="M458" s="306"/>
      <c r="N458" s="110"/>
      <c r="O458" s="110"/>
      <c r="P458" s="110"/>
      <c r="Q458" s="110"/>
    </row>
    <row r="459" spans="1:30" s="61" customFormat="1" ht="14.25" customHeight="1">
      <c r="A459" s="60"/>
      <c r="B459" s="1527" t="s">
        <v>55</v>
      </c>
      <c r="C459" s="1528"/>
      <c r="D459" s="1528"/>
      <c r="E459" s="1528"/>
      <c r="F459" s="1528"/>
      <c r="G459" s="568" t="s">
        <v>119</v>
      </c>
      <c r="H459" s="569"/>
      <c r="I459" s="569"/>
      <c r="J459" s="569"/>
      <c r="K459" s="569"/>
      <c r="L459" s="173"/>
      <c r="M459" s="296"/>
      <c r="N459" s="73"/>
      <c r="O459" s="73"/>
      <c r="P459" s="73"/>
      <c r="Q459" s="73"/>
    </row>
    <row r="460" spans="1:30" s="6" customFormat="1" ht="48">
      <c r="A460" s="50"/>
      <c r="B460" s="549" t="s">
        <v>87</v>
      </c>
      <c r="C460" s="550" t="s">
        <v>89</v>
      </c>
      <c r="D460" s="550" t="s">
        <v>88</v>
      </c>
      <c r="E460" s="550" t="s">
        <v>397</v>
      </c>
      <c r="F460" s="550" t="s">
        <v>97</v>
      </c>
      <c r="G460" s="551" t="s">
        <v>87</v>
      </c>
      <c r="H460" s="550" t="s">
        <v>89</v>
      </c>
      <c r="I460" s="550" t="s">
        <v>88</v>
      </c>
      <c r="J460" s="550" t="s">
        <v>397</v>
      </c>
      <c r="K460" s="550" t="s">
        <v>97</v>
      </c>
      <c r="L460" s="167"/>
      <c r="M460" s="298" t="s">
        <v>260</v>
      </c>
      <c r="N460" s="7"/>
      <c r="O460" s="7"/>
      <c r="P460" s="7"/>
      <c r="Q460" s="7"/>
    </row>
    <row r="461" spans="1:30" s="61" customFormat="1" ht="14.25">
      <c r="A461" s="73" t="s">
        <v>56</v>
      </c>
      <c r="B461" s="102">
        <f>IF($M461&gt;0,('Amounts Pivot Table'!P$631/$M461),0)</f>
        <v>3746.3463921518533</v>
      </c>
      <c r="C461" s="102">
        <f>IF($M461&gt;0,('Amounts Pivot Table'!P$634/$M461),0)</f>
        <v>9.2854089805693008</v>
      </c>
      <c r="D461" s="102">
        <f>IF($M461&gt;0,('Amounts Pivot Table'!P$637/$M461),0)</f>
        <v>0</v>
      </c>
      <c r="E461" s="102">
        <f>IF($M461&gt;0,('Amounts Pivot Table'!P$640/$M461),0)</f>
        <v>3634.4993509715923</v>
      </c>
      <c r="F461" s="102">
        <f>SUM(B461:E461)</f>
        <v>7390.1311521040152</v>
      </c>
      <c r="G461" s="197"/>
      <c r="H461" s="115"/>
      <c r="I461" s="115"/>
      <c r="J461" s="115"/>
      <c r="K461" s="115"/>
      <c r="L461" s="168"/>
      <c r="M461" s="824">
        <f>+'[1]NEW-Tables 80-86'!AD191</f>
        <v>93087.014455555574</v>
      </c>
      <c r="N461" s="73"/>
      <c r="O461" s="73"/>
      <c r="P461" s="73"/>
      <c r="Q461" s="73"/>
    </row>
    <row r="462" spans="1:30" s="112" customFormat="1">
      <c r="A462" s="194"/>
      <c r="B462" s="194"/>
      <c r="C462" s="194"/>
      <c r="D462" s="194"/>
      <c r="E462" s="194"/>
      <c r="F462" s="194"/>
      <c r="G462" s="198"/>
      <c r="H462" s="194"/>
      <c r="I462" s="194"/>
      <c r="J462" s="194"/>
      <c r="K462" s="194"/>
      <c r="L462" s="196"/>
      <c r="M462" s="824"/>
      <c r="N462" s="110"/>
      <c r="O462" s="110"/>
      <c r="P462" s="110"/>
      <c r="Q462" s="110"/>
    </row>
    <row r="463" spans="1:30" s="61" customFormat="1" ht="12.75" customHeight="1">
      <c r="A463" s="73" t="s">
        <v>320</v>
      </c>
      <c r="B463" s="75">
        <f>IF($M463&gt;0,('Amounts Pivot Table'!P$7/$M463),0)</f>
        <v>7585.066390757027</v>
      </c>
      <c r="C463" s="75">
        <f>IF($M463&gt;0,('Amounts Pivot Table'!P$10/$M463),0)</f>
        <v>745.25866528711845</v>
      </c>
      <c r="D463" s="75">
        <f>IF($M463&gt;0,('Amounts Pivot Table'!P$13/$M463),0)</f>
        <v>0</v>
      </c>
      <c r="E463" s="75">
        <f>IF($M463&gt;0,('Amounts Pivot Table'!P$16/$M463),0)</f>
        <v>4037.0701845145718</v>
      </c>
      <c r="F463" s="75">
        <f t="shared" ref="F463:F481" si="77">SUM(B463:E463)</f>
        <v>12367.395240558717</v>
      </c>
      <c r="G463" s="116">
        <f>IF(B463&gt;0,RANK(B463,$B$463:$B$481),)</f>
        <v>1</v>
      </c>
      <c r="H463" s="107">
        <f>IF(C463&gt;0,RANK(C463,$C$463:$C$481),)</f>
        <v>1</v>
      </c>
      <c r="I463" s="107">
        <f>IF(D463&gt;0,RANK(D463,$D$463:$D$481),)</f>
        <v>0</v>
      </c>
      <c r="J463" s="107">
        <f>IF(E463&gt;0,RANK(E463,$E$463:$E$481),)</f>
        <v>2</v>
      </c>
      <c r="K463" s="107">
        <f>IF(F463&gt;0,RANK(F463,$F$463:$F$481),)</f>
        <v>1</v>
      </c>
      <c r="L463" s="168"/>
      <c r="M463" s="824">
        <f>+'[1]NEW-Tables 80-86'!AD193</f>
        <v>1159.8</v>
      </c>
      <c r="N463" s="73"/>
      <c r="O463" s="73"/>
      <c r="P463" s="73"/>
      <c r="Q463" s="73"/>
    </row>
    <row r="464" spans="1:30" s="61" customFormat="1" ht="12.75" customHeight="1">
      <c r="A464" s="73" t="s">
        <v>334</v>
      </c>
      <c r="B464" s="75">
        <f>IF($M464&gt;0,('Amounts Pivot Table'!P$46/$M464),0)</f>
        <v>0</v>
      </c>
      <c r="C464" s="75">
        <f>IF($M464&gt;0,('Amounts Pivot Table'!P$49/$M464),0)</f>
        <v>0</v>
      </c>
      <c r="D464" s="75">
        <f>IF($M464&gt;0,('Amounts Pivot Table'!P$52/$M464),0)</f>
        <v>0</v>
      </c>
      <c r="E464" s="75">
        <f>IF($M464&gt;0,('Amounts Pivot Table'!P$55/$M464),0)</f>
        <v>0</v>
      </c>
      <c r="F464" s="75">
        <f t="shared" si="77"/>
        <v>0</v>
      </c>
      <c r="G464" s="116">
        <f>IF(B464&gt;0,RANK(B464,$B$463:$B$481),)</f>
        <v>0</v>
      </c>
      <c r="H464" s="107">
        <f>IF(C464&gt;0,RANK(C464,$C$463:$C$481),)</f>
        <v>0</v>
      </c>
      <c r="I464" s="107">
        <f>IF(D464&gt;0,RANK(D464,$D$463:$D$481),)</f>
        <v>0</v>
      </c>
      <c r="J464" s="107">
        <f>IF(E464&gt;0,RANK(E464,$E$463:$E$481),)</f>
        <v>0</v>
      </c>
      <c r="K464" s="107">
        <f>IF(F464&gt;0,RANK(F464,$F$463:$F$481),)</f>
        <v>0</v>
      </c>
      <c r="L464" s="168"/>
      <c r="M464" s="824">
        <f>+'[1]NEW-Tables 80-86'!AD194</f>
        <v>0</v>
      </c>
      <c r="N464" s="73"/>
      <c r="O464" s="73"/>
      <c r="P464" s="73"/>
      <c r="Q464" s="73"/>
    </row>
    <row r="465" spans="1:17" s="61" customFormat="1" ht="12.75" customHeight="1">
      <c r="A465" s="73" t="s">
        <v>321</v>
      </c>
      <c r="B465" s="75">
        <f>IF($M465&gt;0,('Amounts Pivot Table'!P$85/$M465),0)</f>
        <v>0</v>
      </c>
      <c r="C465" s="75">
        <f>IF($M465&gt;0,('Amounts Pivot Table'!P$88/$M465),0)</f>
        <v>0</v>
      </c>
      <c r="D465" s="75">
        <f>IF($M465&gt;0,('Amounts Pivot Table'!P$91/$M465),0)</f>
        <v>0</v>
      </c>
      <c r="E465" s="75">
        <f>IF($M465&gt;0,('Amounts Pivot Table'!P$94/$M465),0)</f>
        <v>0</v>
      </c>
      <c r="F465" s="75">
        <f t="shared" si="77"/>
        <v>0</v>
      </c>
      <c r="G465" s="116">
        <f>IF(B465&gt;0,RANK(B465,$B$463:$B$481),)</f>
        <v>0</v>
      </c>
      <c r="H465" s="107">
        <f>IF(C465&gt;0,RANK(C465,$C$463:$C$481),)</f>
        <v>0</v>
      </c>
      <c r="I465" s="107">
        <f>IF(D465&gt;0,RANK(D465,$D$463:$D$481),)</f>
        <v>0</v>
      </c>
      <c r="J465" s="107">
        <f>IF(E465&gt;0,RANK(E465,$E$463:$E$481),)</f>
        <v>0</v>
      </c>
      <c r="K465" s="107">
        <f>IF(F465&gt;0,RANK(F465,$F$463:$F$481),)</f>
        <v>0</v>
      </c>
      <c r="L465" s="175"/>
      <c r="M465" s="824">
        <f>+'[1]NEW-Tables 80-86'!AD195</f>
        <v>0</v>
      </c>
      <c r="N465" s="73"/>
      <c r="O465" s="73"/>
      <c r="P465" s="73"/>
      <c r="Q465" s="73"/>
    </row>
    <row r="466" spans="1:17" s="61" customFormat="1" ht="12.75" customHeight="1">
      <c r="A466" s="73" t="s">
        <v>328</v>
      </c>
      <c r="B466" s="75">
        <f>IF($M466&gt;0,('Amounts Pivot Table'!P$124/$M466),0)</f>
        <v>0</v>
      </c>
      <c r="C466" s="75">
        <f>IF($M466&gt;0,('Amounts Pivot Table'!P$127/$M466),0)</f>
        <v>0</v>
      </c>
      <c r="D466" s="75">
        <f>IF($M466&gt;0,('Amounts Pivot Table'!P$130/$M466),0)</f>
        <v>0</v>
      </c>
      <c r="E466" s="75">
        <f>IF($M466&gt;0,('Amounts Pivot Table'!P$133/$M466),0)</f>
        <v>0</v>
      </c>
      <c r="F466" s="75">
        <f t="shared" si="77"/>
        <v>0</v>
      </c>
      <c r="G466" s="116">
        <f>IF(B466&gt;0,RANK(B466,$B$463:$B$481),)</f>
        <v>0</v>
      </c>
      <c r="H466" s="107">
        <f>IF(C466&gt;0,RANK(C466,$C$463:$C$481),)</f>
        <v>0</v>
      </c>
      <c r="I466" s="107">
        <f>IF(D466&gt;0,RANK(D466,$D$463:$D$481),)</f>
        <v>0</v>
      </c>
      <c r="J466" s="107">
        <f>IF(E466&gt;0,RANK(E466,$E$463:$E$481),)</f>
        <v>0</v>
      </c>
      <c r="K466" s="107">
        <f>IF(F466&gt;0,RANK(F466,$F$463:$F$481),)</f>
        <v>0</v>
      </c>
      <c r="L466" s="168"/>
      <c r="M466" s="824">
        <f>+'[1]NEW-Tables 80-86'!AD196</f>
        <v>0</v>
      </c>
      <c r="N466" s="73"/>
      <c r="O466" s="73"/>
      <c r="P466" s="73"/>
      <c r="Q466" s="73"/>
    </row>
    <row r="467" spans="1:17" s="112" customFormat="1">
      <c r="A467" s="194"/>
      <c r="B467" s="194"/>
      <c r="C467" s="194"/>
      <c r="D467" s="194"/>
      <c r="E467" s="194"/>
      <c r="F467" s="194"/>
      <c r="G467" s="198"/>
      <c r="H467" s="194"/>
      <c r="I467" s="194"/>
      <c r="J467" s="194"/>
      <c r="K467" s="194"/>
      <c r="L467" s="196"/>
      <c r="M467" s="824"/>
      <c r="N467" s="110"/>
      <c r="O467" s="110"/>
      <c r="P467" s="110"/>
      <c r="Q467" s="110"/>
    </row>
    <row r="468" spans="1:17" s="61" customFormat="1" ht="12.75" customHeight="1">
      <c r="A468" s="73" t="s">
        <v>329</v>
      </c>
      <c r="B468" s="75">
        <f>IF($M468&gt;0,('Amounts Pivot Table'!P$163/$M468),0)</f>
        <v>3819.0749778375334</v>
      </c>
      <c r="C468" s="75">
        <f>IF($M468&gt;0,('Amounts Pivot Table'!P$166/$M468),0)</f>
        <v>0</v>
      </c>
      <c r="D468" s="75">
        <f>IF($M468&gt;0,('Amounts Pivot Table'!P$169/$M468),0)</f>
        <v>0</v>
      </c>
      <c r="E468" s="75">
        <f>IF($M468&gt;0,('Amounts Pivot Table'!P$172/$M468),0)</f>
        <v>3796.0766442029649</v>
      </c>
      <c r="F468" s="75">
        <f t="shared" si="77"/>
        <v>7615.1516220404983</v>
      </c>
      <c r="G468" s="116">
        <f>IF(B468&gt;0,RANK(B468,$B$463:$B$481),)</f>
        <v>2</v>
      </c>
      <c r="H468" s="107">
        <f>IF(C468&gt;0,RANK(C468,$C$463:$C$481),)</f>
        <v>0</v>
      </c>
      <c r="I468" s="107">
        <f>IF(D468&gt;0,RANK(D468,$D$463:$D$481),)</f>
        <v>0</v>
      </c>
      <c r="J468" s="107">
        <f>IF(E468&gt;0,RANK(E468,$E$463:$E$481),)</f>
        <v>3</v>
      </c>
      <c r="K468" s="107">
        <f>IF(F468&gt;0,RANK(F468,$F$463:$F$481),)</f>
        <v>2</v>
      </c>
      <c r="L468" s="175"/>
      <c r="M468" s="824">
        <f>+'[1]NEW-Tables 80-86'!AD198</f>
        <v>71686.516666666677</v>
      </c>
      <c r="N468" s="73"/>
      <c r="O468" s="73"/>
      <c r="P468" s="73"/>
      <c r="Q468" s="73"/>
    </row>
    <row r="469" spans="1:17" s="61" customFormat="1" ht="12.75" customHeight="1">
      <c r="A469" s="73" t="s">
        <v>322</v>
      </c>
      <c r="B469" s="75">
        <f>IF($M469&gt;0,('Amounts Pivot Table'!P$202/$M469),0)</f>
        <v>2839.5936334039857</v>
      </c>
      <c r="C469" s="75">
        <f>IF($M469&gt;0,('Amounts Pivot Table'!P$205/$M469),0)</f>
        <v>0</v>
      </c>
      <c r="D469" s="75">
        <f>IF($M469&gt;0,('Amounts Pivot Table'!P$208/$M469),0)</f>
        <v>0</v>
      </c>
      <c r="E469" s="75">
        <f>IF($M469&gt;0,('Amounts Pivot Table'!P$211/$M469),0)</f>
        <v>4237.3661432251147</v>
      </c>
      <c r="F469" s="75">
        <f t="shared" si="77"/>
        <v>7076.9597766291008</v>
      </c>
      <c r="G469" s="116">
        <f>IF(B469&gt;0,RANK(B469,$B$463:$B$481),)</f>
        <v>6</v>
      </c>
      <c r="H469" s="107">
        <f>IF(C469&gt;0,RANK(C469,$C$463:$C$481),)</f>
        <v>0</v>
      </c>
      <c r="I469" s="107">
        <f>IF(D469&gt;0,RANK(D469,$D$463:$D$481),)</f>
        <v>0</v>
      </c>
      <c r="J469" s="107">
        <f>IF(E469&gt;0,RANK(E469,$E$463:$E$481),)</f>
        <v>1</v>
      </c>
      <c r="K469" s="107">
        <f>IF(F469&gt;0,RANK(F469,$F$463:$F$481),)</f>
        <v>3</v>
      </c>
      <c r="L469" s="168"/>
      <c r="M469" s="824">
        <f>+'[1]NEW-Tables 80-86'!AD199</f>
        <v>5098.7333333333336</v>
      </c>
      <c r="N469" s="73"/>
      <c r="O469" s="73"/>
      <c r="P469" s="73"/>
      <c r="Q469" s="73"/>
    </row>
    <row r="470" spans="1:17" s="61" customFormat="1" ht="12.75" customHeight="1">
      <c r="A470" s="73" t="s">
        <v>330</v>
      </c>
      <c r="B470" s="75">
        <f>IF($M470&gt;0,('Amounts Pivot Table'!P$241/$M470),0)</f>
        <v>3356.8967687616469</v>
      </c>
      <c r="C470" s="75">
        <f>IF($M470&gt;0,('Amounts Pivot Table'!P$244/$M470),0)</f>
        <v>0</v>
      </c>
      <c r="D470" s="75">
        <f>IF($M470&gt;0,('Amounts Pivot Table'!P$247/$M470),0)</f>
        <v>0</v>
      </c>
      <c r="E470" s="75">
        <f>IF($M470&gt;0,('Amounts Pivot Table'!P$250/$M470),0)</f>
        <v>2982.7879609454671</v>
      </c>
      <c r="F470" s="75">
        <f t="shared" si="77"/>
        <v>6339.6847297071145</v>
      </c>
      <c r="G470" s="116">
        <f>IF(B470&gt;0,RANK(B470,$B$463:$B$481),)</f>
        <v>4</v>
      </c>
      <c r="H470" s="107">
        <f>IF(C470&gt;0,RANK(C470,$C$463:$C$481),)</f>
        <v>0</v>
      </c>
      <c r="I470" s="107">
        <f>IF(D470&gt;0,RANK(D470,$D$463:$D$481),)</f>
        <v>0</v>
      </c>
      <c r="J470" s="107">
        <f>IF(E470&gt;0,RANK(E470,$E$463:$E$481),)</f>
        <v>4</v>
      </c>
      <c r="K470" s="107">
        <f>IF(F470&gt;0,RANK(F470,$F$463:$F$481),)</f>
        <v>4</v>
      </c>
      <c r="L470" s="168"/>
      <c r="M470" s="824">
        <f>+'[1]NEW-Tables 80-86'!AD200</f>
        <v>10366.871666666666</v>
      </c>
      <c r="N470" s="73"/>
      <c r="O470" s="73"/>
      <c r="P470" s="73"/>
      <c r="Q470" s="73"/>
    </row>
    <row r="471" spans="1:17" s="61" customFormat="1" ht="12.75" customHeight="1">
      <c r="A471" s="73" t="s">
        <v>333</v>
      </c>
      <c r="B471" s="75">
        <f>IF($M471&gt;0,('Amounts Pivot Table'!P$280/$M471),0)</f>
        <v>0</v>
      </c>
      <c r="C471" s="75">
        <f>IF($M471&gt;0,('Amounts Pivot Table'!P$283/$M471),0)</f>
        <v>0</v>
      </c>
      <c r="D471" s="75">
        <f>IF($M471&gt;0,('Amounts Pivot Table'!P$286/$M471),0)</f>
        <v>0</v>
      </c>
      <c r="E471" s="75">
        <f>IF($M471&gt;0,('Amounts Pivot Table'!P$289/$M471),0)</f>
        <v>0</v>
      </c>
      <c r="F471" s="75">
        <f t="shared" si="77"/>
        <v>0</v>
      </c>
      <c r="G471" s="116">
        <f>IF(B471&gt;0,RANK(B471,$B$463:$B$481),)</f>
        <v>0</v>
      </c>
      <c r="H471" s="107">
        <f>IF(C471&gt;0,RANK(C471,$C$463:$C$481),)</f>
        <v>0</v>
      </c>
      <c r="I471" s="107">
        <f>IF(D471&gt;0,RANK(D471,$D$463:$D$481),)</f>
        <v>0</v>
      </c>
      <c r="J471" s="107">
        <f>IF(E471&gt;0,RANK(E471,$E$463:$E$481),)</f>
        <v>0</v>
      </c>
      <c r="K471" s="107">
        <f>IF(F471&gt;0,RANK(F471,$F$463:$F$481),)</f>
        <v>0</v>
      </c>
      <c r="L471" s="175"/>
      <c r="M471" s="824">
        <f>+'[1]NEW-Tables 80-86'!AD201</f>
        <v>0</v>
      </c>
      <c r="N471" s="73"/>
      <c r="O471" s="73"/>
      <c r="P471" s="73"/>
      <c r="Q471" s="73"/>
    </row>
    <row r="472" spans="1:17" s="112" customFormat="1">
      <c r="A472" s="194"/>
      <c r="B472" s="194"/>
      <c r="C472" s="194"/>
      <c r="D472" s="194"/>
      <c r="E472" s="194"/>
      <c r="F472" s="194"/>
      <c r="G472" s="198"/>
      <c r="H472" s="194"/>
      <c r="I472" s="194"/>
      <c r="J472" s="194"/>
      <c r="K472" s="194"/>
      <c r="L472" s="196"/>
      <c r="M472" s="824"/>
      <c r="N472" s="110"/>
      <c r="O472" s="110"/>
      <c r="P472" s="110"/>
      <c r="Q472" s="110"/>
    </row>
    <row r="473" spans="1:17" s="61" customFormat="1" ht="12.75" customHeight="1">
      <c r="A473" s="73" t="s">
        <v>323</v>
      </c>
      <c r="B473" s="75">
        <f>IF($M473&gt;0,('Amounts Pivot Table'!P$319/$M473),0)</f>
        <v>0</v>
      </c>
      <c r="C473" s="75">
        <f>IF($M473&gt;0,('Amounts Pivot Table'!P$322/$M473),0)</f>
        <v>0</v>
      </c>
      <c r="D473" s="75">
        <f>IF($M473&gt;0,('Amounts Pivot Table'!P$325/$M473),0)</f>
        <v>0</v>
      </c>
      <c r="E473" s="75">
        <f>IF($M473&gt;0,('Amounts Pivot Table'!P$328/$M473),0)</f>
        <v>0</v>
      </c>
      <c r="F473" s="75">
        <f t="shared" si="77"/>
        <v>0</v>
      </c>
      <c r="G473" s="116">
        <f>IF(B473&gt;0,RANK(B473,$B$463:$B$481),)</f>
        <v>0</v>
      </c>
      <c r="H473" s="107">
        <f>IF(C473&gt;0,RANK(C473,$C$463:$C$481),)</f>
        <v>0</v>
      </c>
      <c r="I473" s="107">
        <f>IF(D473&gt;0,RANK(D473,$D$463:$D$481),)</f>
        <v>0</v>
      </c>
      <c r="J473" s="107">
        <f>IF(E473&gt;0,RANK(E473,$E$463:$E$481),)</f>
        <v>0</v>
      </c>
      <c r="K473" s="107">
        <f>IF(F473&gt;0,RANK(F473,$F$463:$F$481),)</f>
        <v>0</v>
      </c>
      <c r="L473" s="168"/>
      <c r="M473" s="824">
        <f>+'[1]NEW-Tables 80-86'!AD203</f>
        <v>0</v>
      </c>
      <c r="N473" s="73"/>
      <c r="O473" s="73"/>
      <c r="P473" s="73"/>
      <c r="Q473" s="73"/>
    </row>
    <row r="474" spans="1:17" s="61" customFormat="1" ht="12.75" customHeight="1">
      <c r="A474" s="73" t="s">
        <v>324</v>
      </c>
      <c r="B474" s="75">
        <f>IF($M474&gt;0,('Amounts Pivot Table'!P$358/$M474),0)</f>
        <v>0</v>
      </c>
      <c r="C474" s="75">
        <f>IF($M474&gt;0,('Amounts Pivot Table'!P$361/$M474),0)</f>
        <v>0</v>
      </c>
      <c r="D474" s="75">
        <f>IF($M474&gt;0,('Amounts Pivot Table'!P$364/$M474),0)</f>
        <v>0</v>
      </c>
      <c r="E474" s="75">
        <f>IF($M474&gt;0,('Amounts Pivot Table'!P$367/$M474),0)</f>
        <v>0</v>
      </c>
      <c r="F474" s="75">
        <f t="shared" si="77"/>
        <v>0</v>
      </c>
      <c r="G474" s="116">
        <f>IF(B474&gt;0,RANK(B474,$B$463:$B$481),)</f>
        <v>0</v>
      </c>
      <c r="H474" s="107">
        <f>IF(C474&gt;0,RANK(C474,$C$463:$C$481),)</f>
        <v>0</v>
      </c>
      <c r="I474" s="107">
        <f>IF(D474&gt;0,RANK(D474,$D$463:$D$481),)</f>
        <v>0</v>
      </c>
      <c r="J474" s="107">
        <f>IF(E474&gt;0,RANK(E474,$E$463:$E$481),)</f>
        <v>0</v>
      </c>
      <c r="K474" s="107">
        <f>IF(F474&gt;0,RANK(F474,$F$463:$F$481),)</f>
        <v>0</v>
      </c>
      <c r="L474" s="175"/>
      <c r="M474" s="824">
        <f>+'[1]NEW-Tables 80-86'!AD204</f>
        <v>0</v>
      </c>
      <c r="N474" s="73"/>
      <c r="O474" s="73"/>
      <c r="P474" s="73"/>
      <c r="Q474" s="73"/>
    </row>
    <row r="475" spans="1:17" s="61" customFormat="1" ht="12.75" customHeight="1">
      <c r="A475" s="73" t="s">
        <v>331</v>
      </c>
      <c r="B475" s="75">
        <f>IF($M475&gt;0,('Amounts Pivot Table'!P$397/$M475),0)</f>
        <v>3628.0021788478207</v>
      </c>
      <c r="C475" s="75">
        <f>IF($M475&gt;0,('Amounts Pivot Table'!P$400/$M475),0)</f>
        <v>0</v>
      </c>
      <c r="D475" s="75">
        <f>IF($M475&gt;0,('Amounts Pivot Table'!P$403/$M475),0)</f>
        <v>0</v>
      </c>
      <c r="E475" s="75">
        <f>IF($M475&gt;0,('Amounts Pivot Table'!P$406/$M475),0)</f>
        <v>1753.5618672519711</v>
      </c>
      <c r="F475" s="75">
        <f t="shared" si="77"/>
        <v>5381.564046099792</v>
      </c>
      <c r="G475" s="116">
        <f>IF(B475&gt;0,RANK(B475,$B$463:$B$481),)</f>
        <v>3</v>
      </c>
      <c r="H475" s="107">
        <f>IF(C475&gt;0,RANK(C475,$C$463:$C$481),)</f>
        <v>0</v>
      </c>
      <c r="I475" s="107">
        <f>IF(D475&gt;0,RANK(D475,$D$463:$D$481),)</f>
        <v>0</v>
      </c>
      <c r="J475" s="107">
        <f>IF(E475&gt;0,RANK(E475,$E$463:$E$481),)</f>
        <v>6</v>
      </c>
      <c r="K475" s="107">
        <f>IF(F475&gt;0,RANK(F475,$F$463:$F$481),)</f>
        <v>6</v>
      </c>
      <c r="L475" s="168"/>
      <c r="M475" s="824">
        <f>+'[1]NEW-Tables 80-86'!AD205</f>
        <v>3754.1350111111115</v>
      </c>
      <c r="N475" s="73"/>
      <c r="O475" s="73"/>
      <c r="P475" s="73"/>
      <c r="Q475" s="73"/>
    </row>
    <row r="476" spans="1:17" s="61" customFormat="1" ht="12.75" customHeight="1">
      <c r="A476" s="73" t="s">
        <v>325</v>
      </c>
      <c r="B476" s="75">
        <f>IF($M476&gt;0,('Amounts Pivot Table'!P$436/$M476),0)</f>
        <v>0</v>
      </c>
      <c r="C476" s="75">
        <f>IF($M476&gt;0,('Amounts Pivot Table'!P$439/$M476),0)</f>
        <v>0</v>
      </c>
      <c r="D476" s="75">
        <f>IF($M476&gt;0,('Amounts Pivot Table'!P$442/$M476),0)</f>
        <v>0</v>
      </c>
      <c r="E476" s="75">
        <f>IF($M476&gt;0,('Amounts Pivot Table'!P$445/$M476),0)</f>
        <v>0</v>
      </c>
      <c r="F476" s="75">
        <f t="shared" si="77"/>
        <v>0</v>
      </c>
      <c r="G476" s="116">
        <f>IF(B476&gt;0,RANK(B476,$B$463:$B$481),)</f>
        <v>0</v>
      </c>
      <c r="H476" s="107">
        <f>IF(C476&gt;0,RANK(C476,$C$463:$C$481),)</f>
        <v>0</v>
      </c>
      <c r="I476" s="107">
        <f>IF(D476&gt;0,RANK(D476,$D$463:$D$481),)</f>
        <v>0</v>
      </c>
      <c r="J476" s="107">
        <f>IF(E476&gt;0,RANK(E476,$E$463:$E$481),)</f>
        <v>0</v>
      </c>
      <c r="K476" s="107">
        <f>IF(F476&gt;0,RANK(F476,$F$463:$F$481),)</f>
        <v>0</v>
      </c>
      <c r="L476" s="168"/>
      <c r="M476" s="824">
        <f>+'[1]NEW-Tables 80-86'!AD206</f>
        <v>0</v>
      </c>
      <c r="N476" s="73"/>
      <c r="O476" s="73"/>
      <c r="P476" s="73"/>
      <c r="Q476" s="73"/>
    </row>
    <row r="477" spans="1:17" s="112" customFormat="1">
      <c r="A477" s="194"/>
      <c r="B477" s="194"/>
      <c r="C477" s="194"/>
      <c r="D477" s="194"/>
      <c r="E477" s="194"/>
      <c r="F477" s="194"/>
      <c r="G477" s="198"/>
      <c r="H477" s="194"/>
      <c r="I477" s="194"/>
      <c r="J477" s="194"/>
      <c r="K477" s="194"/>
      <c r="L477" s="196"/>
      <c r="M477" s="824"/>
      <c r="N477" s="110"/>
      <c r="O477" s="110"/>
      <c r="P477" s="110"/>
      <c r="Q477" s="110"/>
    </row>
    <row r="478" spans="1:17" s="61" customFormat="1" ht="12.75" customHeight="1">
      <c r="A478" s="73" t="s">
        <v>90</v>
      </c>
      <c r="B478" s="75">
        <f>IF($M478&gt;0,('Amounts Pivot Table'!P$475/$M478),0)</f>
        <v>3196.9980258188934</v>
      </c>
      <c r="C478" s="75">
        <f>IF($M478&gt;0,('Amounts Pivot Table'!P$478/$M478),0)</f>
        <v>0</v>
      </c>
      <c r="D478" s="75">
        <f>IF($M478&gt;0,('Amounts Pivot Table'!P$481/$M478),0)</f>
        <v>0</v>
      </c>
      <c r="E478" s="75">
        <f>IF($M478&gt;0,('Amounts Pivot Table'!P$484/$M478),0)</f>
        <v>2355.1414684686056</v>
      </c>
      <c r="F478" s="75">
        <f t="shared" si="77"/>
        <v>5552.1394942874995</v>
      </c>
      <c r="G478" s="116">
        <f>IF(B478&gt;0,RANK(B478,$B$463:$B$481),)</f>
        <v>5</v>
      </c>
      <c r="H478" s="107">
        <f>IF(C478&gt;0,RANK(C478,$C$463:$C$481),)</f>
        <v>0</v>
      </c>
      <c r="I478" s="107">
        <f>IF(D478&gt;0,RANK(D478,$D$463:$D$481),)</f>
        <v>0</v>
      </c>
      <c r="J478" s="107">
        <f>IF(E478&gt;0,RANK(E478,$E$463:$E$481),)</f>
        <v>5</v>
      </c>
      <c r="K478" s="107">
        <f>IF(F478&gt;0,RANK(F478,$F$463:$F$481),)</f>
        <v>5</v>
      </c>
      <c r="L478" s="168"/>
      <c r="M478" s="824">
        <f>+'[1]NEW-Tables 80-86'!AD208</f>
        <v>1020.9577777777778</v>
      </c>
      <c r="N478" s="73"/>
      <c r="O478" s="73"/>
      <c r="P478" s="73"/>
      <c r="Q478" s="73"/>
    </row>
    <row r="479" spans="1:17" s="76" customFormat="1" ht="12.75" customHeight="1">
      <c r="A479" s="73" t="s">
        <v>326</v>
      </c>
      <c r="B479" s="75">
        <f>IF($M479&gt;0,('Amounts Pivot Table'!P$514/$M479),0)</f>
        <v>0</v>
      </c>
      <c r="C479" s="75">
        <f>IF($M479&gt;0,('Amounts Pivot Table'!P$517/$M479),0)</f>
        <v>0</v>
      </c>
      <c r="D479" s="75">
        <f>IF($M479&gt;0,('Amounts Pivot Table'!P$520/$M479),0)</f>
        <v>0</v>
      </c>
      <c r="E479" s="75">
        <f>IF($M479&gt;0,('Amounts Pivot Table'!P$523/$M479),0)</f>
        <v>0</v>
      </c>
      <c r="F479" s="75">
        <f t="shared" si="77"/>
        <v>0</v>
      </c>
      <c r="G479" s="116">
        <f>IF(B479&gt;0,RANK(B479,$B$463:$B$481),)</f>
        <v>0</v>
      </c>
      <c r="H479" s="107">
        <f>IF(C479&gt;0,RANK(C479,$C$463:$C$481),)</f>
        <v>0</v>
      </c>
      <c r="I479" s="107">
        <f>IF(D479&gt;0,RANK(D479,$D$463:$D$481),)</f>
        <v>0</v>
      </c>
      <c r="J479" s="107">
        <f>IF(E479&gt;0,RANK(E479,$E$463:$E$481),)</f>
        <v>0</v>
      </c>
      <c r="K479" s="107">
        <f>IF(F479&gt;0,RANK(F479,$F$463:$F$481),)</f>
        <v>0</v>
      </c>
      <c r="L479" s="168"/>
      <c r="M479" s="824">
        <f>+'[1]NEW-Tables 80-86'!AD209</f>
        <v>0</v>
      </c>
      <c r="N479" s="90"/>
      <c r="O479" s="90"/>
      <c r="P479" s="90"/>
      <c r="Q479" s="90"/>
    </row>
    <row r="480" spans="1:17" s="61" customFormat="1" ht="12.75" customHeight="1">
      <c r="A480" s="73" t="s">
        <v>327</v>
      </c>
      <c r="B480" s="75">
        <f>IF($M480&gt;0,('Amounts Pivot Table'!P$553/$M480),0)</f>
        <v>0</v>
      </c>
      <c r="C480" s="75">
        <f>IF($M480&gt;0,('Amounts Pivot Table'!P$556/$M480),0)</f>
        <v>0</v>
      </c>
      <c r="D480" s="75">
        <f>IF($M480&gt;0,('Amounts Pivot Table'!P$559/$M480),0)</f>
        <v>0</v>
      </c>
      <c r="E480" s="75">
        <f>IF($M480&gt;0,('Amounts Pivot Table'!P$562/$M480),0)</f>
        <v>0</v>
      </c>
      <c r="F480" s="75">
        <f t="shared" si="77"/>
        <v>0</v>
      </c>
      <c r="G480" s="116">
        <f>IF(B480&gt;0,RANK(B480,$B$463:$B$481),)</f>
        <v>0</v>
      </c>
      <c r="H480" s="107">
        <f>IF(C480&gt;0,RANK(C480,$C$463:$C$481),)</f>
        <v>0</v>
      </c>
      <c r="I480" s="107">
        <f>IF(D480&gt;0,RANK(D480,$D$463:$D$481),)</f>
        <v>0</v>
      </c>
      <c r="J480" s="107">
        <f>IF(E480&gt;0,RANK(E480,$E$463:$E$481),)</f>
        <v>0</v>
      </c>
      <c r="K480" s="107">
        <f>IF(F480&gt;0,RANK(F480,$F$463:$F$481),)</f>
        <v>0</v>
      </c>
      <c r="L480" s="175"/>
      <c r="M480" s="824">
        <f>+'[1]NEW-Tables 80-86'!AD210</f>
        <v>0</v>
      </c>
      <c r="N480" s="73"/>
      <c r="O480" s="73"/>
      <c r="P480" s="73"/>
      <c r="Q480" s="73"/>
    </row>
    <row r="481" spans="1:17" s="61" customFormat="1" ht="17.25" customHeight="1">
      <c r="A481" s="74" t="s">
        <v>332</v>
      </c>
      <c r="B481" s="104">
        <f>IF($M481&gt;0,('Amounts Pivot Table'!P$592/$M481),0)</f>
        <v>0</v>
      </c>
      <c r="C481" s="104">
        <f>IF($M481&gt;0,('Amounts Pivot Table'!P$595/$M481),0)</f>
        <v>0</v>
      </c>
      <c r="D481" s="104">
        <f>IF($M481&gt;0,('Amounts Pivot Table'!P$598/$M481),0)</f>
        <v>0</v>
      </c>
      <c r="E481" s="104">
        <f>IF($M481&gt;0,('Amounts Pivot Table'!P$601/$M481),0)</f>
        <v>0</v>
      </c>
      <c r="F481" s="105">
        <f t="shared" si="77"/>
        <v>0</v>
      </c>
      <c r="G481" s="117">
        <f>IF(B481&gt;0,RANK(B481,$B$463:$B$481),)</f>
        <v>0</v>
      </c>
      <c r="H481" s="118">
        <f>IF(C481&gt;0,RANK(C481,$C$463:$C$481),)</f>
        <v>0</v>
      </c>
      <c r="I481" s="118">
        <f>IF(D481&gt;0,RANK(D481,$D$463:$D$481),)</f>
        <v>0</v>
      </c>
      <c r="J481" s="118">
        <f>IF(E481&gt;0,RANK(E481,$E$463:$E$481),)</f>
        <v>0</v>
      </c>
      <c r="K481" s="118">
        <f>IF(F481&gt;0,RANK(F481,$F$463:$F$481),)</f>
        <v>0</v>
      </c>
      <c r="L481" s="168"/>
      <c r="M481" s="824">
        <f>+'[1]NEW-Tables 80-86'!AD211</f>
        <v>0</v>
      </c>
      <c r="N481" s="73"/>
      <c r="O481" s="73"/>
      <c r="P481" s="73"/>
      <c r="Q481" s="73"/>
    </row>
    <row r="482" spans="1:17" s="76" customFormat="1" ht="34.5" customHeight="1">
      <c r="A482" s="1505" t="s">
        <v>17</v>
      </c>
      <c r="B482" s="1529"/>
      <c r="C482" s="1529"/>
      <c r="D482" s="1529"/>
      <c r="E482" s="1529"/>
      <c r="F482" s="1529"/>
      <c r="G482" s="1529"/>
      <c r="H482" s="1529"/>
      <c r="I482" s="1529"/>
      <c r="J482" s="1529"/>
      <c r="K482" s="1529"/>
      <c r="L482" s="169"/>
      <c r="M482" s="296"/>
      <c r="N482" s="90"/>
      <c r="O482" s="90"/>
      <c r="P482" s="90"/>
      <c r="Q482" s="90"/>
    </row>
    <row r="483" spans="1:17" s="205" customFormat="1" ht="13.5" customHeight="1">
      <c r="A483" s="1505" t="s">
        <v>54</v>
      </c>
      <c r="B483" s="1529"/>
      <c r="C483" s="1529"/>
      <c r="D483" s="1529"/>
      <c r="E483" s="1529"/>
      <c r="F483" s="1529"/>
      <c r="G483" s="1529"/>
      <c r="H483" s="1529"/>
      <c r="I483" s="1529"/>
      <c r="J483" s="1529"/>
      <c r="K483" s="1529"/>
      <c r="L483" s="204"/>
      <c r="M483" s="302"/>
      <c r="N483" s="206"/>
      <c r="O483" s="206"/>
      <c r="P483" s="206"/>
      <c r="Q483" s="206"/>
    </row>
    <row r="484" spans="1:17" s="61" customFormat="1" ht="13.5" customHeight="1">
      <c r="A484" s="1505" t="s">
        <v>233</v>
      </c>
      <c r="B484" s="1530"/>
      <c r="C484" s="1530"/>
      <c r="D484" s="1530"/>
      <c r="E484" s="1530"/>
      <c r="F484" s="1530"/>
      <c r="G484" s="1531"/>
      <c r="H484" s="1531"/>
      <c r="I484" s="1531"/>
      <c r="J484" s="1531"/>
      <c r="K484" s="1531"/>
      <c r="L484" s="171"/>
      <c r="M484" s="300"/>
      <c r="N484" s="73"/>
      <c r="O484" s="73"/>
      <c r="P484" s="73"/>
      <c r="Q484" s="73"/>
    </row>
    <row r="485" spans="1:17" s="61" customFormat="1">
      <c r="A485" s="187"/>
      <c r="B485" s="106"/>
      <c r="C485" s="106"/>
      <c r="D485" s="106"/>
      <c r="E485" s="106"/>
      <c r="F485" s="106"/>
      <c r="G485" s="188"/>
      <c r="H485" s="188"/>
      <c r="I485" s="188"/>
      <c r="J485" s="188"/>
      <c r="K485" s="534" t="s">
        <v>1927</v>
      </c>
      <c r="L485" s="171"/>
      <c r="M485" s="303"/>
      <c r="N485" s="73"/>
      <c r="O485" s="73"/>
      <c r="P485" s="73"/>
      <c r="Q485" s="73"/>
    </row>
    <row r="486" spans="1:17" s="61" customFormat="1" ht="18.75" customHeight="1">
      <c r="A486" s="135" t="s">
        <v>373</v>
      </c>
      <c r="B486" s="135"/>
      <c r="C486" s="135"/>
      <c r="D486" s="135"/>
      <c r="E486" s="135"/>
      <c r="F486" s="135"/>
      <c r="G486" s="135"/>
      <c r="H486" s="135"/>
      <c r="I486" s="135"/>
      <c r="J486" s="565"/>
      <c r="K486" s="135"/>
      <c r="L486" s="170"/>
      <c r="M486" s="296"/>
      <c r="N486" s="73"/>
      <c r="O486" s="73"/>
      <c r="P486" s="73"/>
      <c r="Q486" s="73"/>
    </row>
    <row r="487" spans="1:17" s="61" customFormat="1" ht="18.75" customHeight="1">
      <c r="A487" s="135"/>
      <c r="B487" s="135"/>
      <c r="C487" s="135"/>
      <c r="D487" s="135"/>
      <c r="E487" s="135"/>
      <c r="F487" s="135"/>
      <c r="G487" s="135"/>
      <c r="H487" s="135"/>
      <c r="I487" s="135"/>
      <c r="J487" s="565"/>
      <c r="K487" s="135"/>
      <c r="L487" s="170"/>
      <c r="M487" s="296"/>
      <c r="N487" s="73"/>
      <c r="O487" s="73"/>
      <c r="P487" s="73"/>
      <c r="Q487" s="73"/>
    </row>
    <row r="488" spans="1:17" s="61" customFormat="1" ht="18.75">
      <c r="A488" s="1504" t="s">
        <v>18</v>
      </c>
      <c r="B488" s="1504"/>
      <c r="C488" s="1504"/>
      <c r="D488" s="1504"/>
      <c r="E488" s="1504"/>
      <c r="F488" s="1504"/>
      <c r="G488" s="1504"/>
      <c r="H488" s="1504"/>
      <c r="I488" s="1504"/>
      <c r="J488" s="1504"/>
      <c r="K488" s="1504"/>
      <c r="L488" s="165"/>
      <c r="M488" s="296"/>
      <c r="N488" s="73"/>
      <c r="O488" s="73"/>
      <c r="P488" s="73"/>
      <c r="Q488" s="73"/>
    </row>
    <row r="489" spans="1:17" s="61" customFormat="1" ht="15.75" customHeight="1">
      <c r="A489" s="1504" t="s">
        <v>1944</v>
      </c>
      <c r="B489" s="1504"/>
      <c r="C489" s="1504"/>
      <c r="D489" s="1504"/>
      <c r="E489" s="1504"/>
      <c r="F489" s="1504"/>
      <c r="G489" s="1504"/>
      <c r="H489" s="1504"/>
      <c r="I489" s="1504"/>
      <c r="J489" s="1504"/>
      <c r="K489" s="1504"/>
      <c r="L489" s="165"/>
      <c r="M489" s="307"/>
      <c r="N489" s="73"/>
      <c r="O489" s="73"/>
      <c r="P489" s="73"/>
      <c r="Q489" s="73"/>
    </row>
    <row r="490" spans="1:17" s="61" customFormat="1" ht="9.75" customHeight="1">
      <c r="A490" s="91"/>
      <c r="B490" s="91"/>
      <c r="C490" s="91"/>
      <c r="D490" s="91"/>
      <c r="E490" s="91"/>
      <c r="F490" s="91"/>
      <c r="G490" s="108"/>
      <c r="H490" s="91"/>
      <c r="I490" s="91"/>
      <c r="J490" s="91"/>
      <c r="K490" s="91"/>
      <c r="L490" s="165"/>
      <c r="M490" s="296"/>
      <c r="N490" s="73"/>
      <c r="O490" s="73"/>
      <c r="P490" s="73"/>
      <c r="Q490" s="73"/>
    </row>
    <row r="491" spans="1:17" s="59" customFormat="1" ht="15.75" customHeight="1">
      <c r="A491" s="56"/>
      <c r="B491" s="1527" t="s">
        <v>55</v>
      </c>
      <c r="C491" s="1528"/>
      <c r="D491" s="1528"/>
      <c r="E491" s="1528"/>
      <c r="F491" s="1528"/>
      <c r="G491" s="1535" t="s">
        <v>119</v>
      </c>
      <c r="H491" s="1536"/>
      <c r="I491" s="1536"/>
      <c r="J491" s="1536"/>
      <c r="K491" s="1536"/>
      <c r="L491" s="173"/>
      <c r="M491" s="296"/>
      <c r="N491" s="89"/>
      <c r="O491" s="89"/>
      <c r="P491" s="89"/>
      <c r="Q491" s="89"/>
    </row>
    <row r="492" spans="1:17" s="6" customFormat="1" ht="47.25" customHeight="1">
      <c r="A492" s="50"/>
      <c r="B492" s="549" t="s">
        <v>87</v>
      </c>
      <c r="C492" s="550" t="s">
        <v>89</v>
      </c>
      <c r="D492" s="550" t="s">
        <v>88</v>
      </c>
      <c r="E492" s="550" t="s">
        <v>397</v>
      </c>
      <c r="F492" s="550" t="s">
        <v>97</v>
      </c>
      <c r="G492" s="551" t="s">
        <v>87</v>
      </c>
      <c r="H492" s="550" t="s">
        <v>89</v>
      </c>
      <c r="I492" s="550" t="s">
        <v>88</v>
      </c>
      <c r="J492" s="550" t="s">
        <v>397</v>
      </c>
      <c r="K492" s="550" t="s">
        <v>97</v>
      </c>
      <c r="L492" s="167"/>
      <c r="M492" s="296" t="s">
        <v>260</v>
      </c>
      <c r="N492" s="7"/>
      <c r="O492" s="7"/>
      <c r="P492" s="7"/>
      <c r="Q492" s="7"/>
    </row>
    <row r="493" spans="1:17" s="61" customFormat="1" ht="16.5" customHeight="1">
      <c r="A493" s="73" t="s">
        <v>56</v>
      </c>
      <c r="B493" s="102">
        <f>IF($M493&gt;0,('Amounts Pivot Table'!Q$631/$M493),0)</f>
        <v>5508.6370921042726</v>
      </c>
      <c r="C493" s="102">
        <f>IF($M493&gt;0,('Amounts Pivot Table'!Q$634/$M493),0)</f>
        <v>50.214137760734552</v>
      </c>
      <c r="D493" s="102">
        <f>IF($M493&gt;0,('Amounts Pivot Table'!Q$637/$M493),0)</f>
        <v>0</v>
      </c>
      <c r="E493" s="102">
        <f>IF($M493&gt;0,('Amounts Pivot Table'!Q$640/$M493),0)</f>
        <v>2144.3819357224643</v>
      </c>
      <c r="F493" s="102">
        <f>SUM(B493:E493)</f>
        <v>7703.2331655874714</v>
      </c>
      <c r="G493" s="114"/>
      <c r="H493" s="115"/>
      <c r="I493" s="115"/>
      <c r="J493" s="115"/>
      <c r="K493" s="115"/>
      <c r="L493" s="168"/>
      <c r="M493" s="824">
        <f>+'[1]NEW-Tables 80-86'!AE191</f>
        <v>28031.926122222219</v>
      </c>
      <c r="N493" s="73"/>
      <c r="O493" s="73"/>
      <c r="P493" s="73"/>
      <c r="Q493" s="73"/>
    </row>
    <row r="494" spans="1:17" s="112" customFormat="1">
      <c r="A494" s="110"/>
      <c r="B494" s="190"/>
      <c r="C494" s="190"/>
      <c r="D494" s="190"/>
      <c r="E494" s="190"/>
      <c r="F494" s="190"/>
      <c r="G494" s="191"/>
      <c r="H494" s="192"/>
      <c r="I494" s="192"/>
      <c r="J494" s="192"/>
      <c r="K494" s="192"/>
      <c r="L494" s="175"/>
      <c r="M494" s="824"/>
      <c r="N494" s="110"/>
      <c r="O494" s="110"/>
      <c r="P494" s="110"/>
      <c r="Q494" s="110"/>
    </row>
    <row r="495" spans="1:17" s="61" customFormat="1" ht="12.75" customHeight="1">
      <c r="A495" s="73" t="s">
        <v>320</v>
      </c>
      <c r="B495" s="75">
        <f>IF($M495&gt;0,('Amounts Pivot Table'!Q$7/$M495),0)</f>
        <v>8391.3269049365899</v>
      </c>
      <c r="C495" s="75">
        <f>IF($M495&gt;0,('Amounts Pivot Table'!Q$10/$M495),0)</f>
        <v>737.65800230583807</v>
      </c>
      <c r="D495" s="75">
        <f>IF($M495&gt;0,('Amounts Pivot Table'!Q$13/$M495),0)</f>
        <v>0</v>
      </c>
      <c r="E495" s="75">
        <f>IF($M495&gt;0,('Amounts Pivot Table'!Q$16/$M495),0)</f>
        <v>4072.8718163714498</v>
      </c>
      <c r="F495" s="75">
        <f t="shared" ref="F495:F513" si="78">SUM(B495:E495)</f>
        <v>13201.856723613877</v>
      </c>
      <c r="G495" s="116">
        <f>IF(B495&gt;0,RANK(B495,$B$495:$B$513),)</f>
        <v>1</v>
      </c>
      <c r="H495" s="107">
        <f>IF(C495&gt;0,RANK(C495,$C$495:$C$513),)</f>
        <v>1</v>
      </c>
      <c r="I495" s="107">
        <f>IF(D495&gt;0,RANK(D495,$D$495:$D$513),)</f>
        <v>0</v>
      </c>
      <c r="J495" s="107">
        <f>IF(E495&gt;0,RANK(E495,$E$495:$E$513),)</f>
        <v>1</v>
      </c>
      <c r="K495" s="107">
        <f>IF(F495&gt;0,RANK(F495,$F$495:$F$513),)</f>
        <v>1</v>
      </c>
      <c r="L495" s="168"/>
      <c r="M495" s="824">
        <f>+'[1]NEW-Tables 80-86'!AE193</f>
        <v>1908.1999999999998</v>
      </c>
      <c r="N495" s="73"/>
      <c r="O495" s="73"/>
      <c r="P495" s="73"/>
      <c r="Q495" s="73"/>
    </row>
    <row r="496" spans="1:17" s="61" customFormat="1" ht="12.75" customHeight="1">
      <c r="A496" s="73" t="s">
        <v>334</v>
      </c>
      <c r="B496" s="75">
        <f>IF($M496&gt;0,('Amounts Pivot Table'!Q$46/$M496),0)</f>
        <v>0</v>
      </c>
      <c r="C496" s="75">
        <f>IF($M496&gt;0,('Amounts Pivot Table'!Q$49/$M496),0)</f>
        <v>0</v>
      </c>
      <c r="D496" s="75">
        <f>IF($M496&gt;0,('Amounts Pivot Table'!Q$52/$M496),0)</f>
        <v>0</v>
      </c>
      <c r="E496" s="75">
        <f>IF($M496&gt;0,('Amounts Pivot Table'!Q$55/$M496),0)</f>
        <v>0</v>
      </c>
      <c r="F496" s="75">
        <f t="shared" si="78"/>
        <v>0</v>
      </c>
      <c r="G496" s="116">
        <f>IF(B496&gt;0,RANK(B496,$B$495:$B$513),)</f>
        <v>0</v>
      </c>
      <c r="H496" s="107">
        <f>IF(C496&gt;0,RANK(C496,$C$495:$C$513),)</f>
        <v>0</v>
      </c>
      <c r="I496" s="107">
        <f>IF(D496&gt;0,RANK(D496,$D$495:$D$513),)</f>
        <v>0</v>
      </c>
      <c r="J496" s="107">
        <f>IF(E496&gt;0,RANK(E496,$E$495:$E$513),)</f>
        <v>0</v>
      </c>
      <c r="K496" s="107">
        <f>IF(F496&gt;0,RANK(F496,$F$495:$F$513),)</f>
        <v>0</v>
      </c>
      <c r="L496" s="168"/>
      <c r="M496" s="824">
        <f>+'[1]NEW-Tables 80-86'!AE194</f>
        <v>0</v>
      </c>
      <c r="N496" s="73"/>
      <c r="O496" s="73"/>
      <c r="P496" s="73"/>
      <c r="Q496" s="73"/>
    </row>
    <row r="497" spans="1:17" s="61" customFormat="1" ht="12.75" customHeight="1">
      <c r="A497" s="73" t="s">
        <v>321</v>
      </c>
      <c r="B497" s="75">
        <f>IF($M497&gt;0,('Amounts Pivot Table'!Q$85/$M497),0)</f>
        <v>0</v>
      </c>
      <c r="C497" s="75">
        <f>IF($M497&gt;0,('Amounts Pivot Table'!Q$88/$M497),0)</f>
        <v>0</v>
      </c>
      <c r="D497" s="75">
        <f>IF($M497&gt;0,('Amounts Pivot Table'!Q$91/$M497),0)</f>
        <v>0</v>
      </c>
      <c r="E497" s="75">
        <f>IF($M497&gt;0,('Amounts Pivot Table'!Q$94/$M497),0)</f>
        <v>0</v>
      </c>
      <c r="F497" s="75">
        <f t="shared" si="78"/>
        <v>0</v>
      </c>
      <c r="G497" s="116">
        <f>IF(B497&gt;0,RANK(B497,$B$495:$B$513),)</f>
        <v>0</v>
      </c>
      <c r="H497" s="107">
        <f>IF(C497&gt;0,RANK(C497,$C$495:$C$513),)</f>
        <v>0</v>
      </c>
      <c r="I497" s="107">
        <f>IF(D497&gt;0,RANK(D497,$D$495:$D$513),)</f>
        <v>0</v>
      </c>
      <c r="J497" s="107">
        <f>IF(E497&gt;0,RANK(E497,$E$495:$E$513),)</f>
        <v>0</v>
      </c>
      <c r="K497" s="107">
        <f>IF(F497&gt;0,RANK(F497,$F$495:$F$513),)</f>
        <v>0</v>
      </c>
      <c r="L497" s="168"/>
      <c r="M497" s="824">
        <f>+'[1]NEW-Tables 80-86'!AE195</f>
        <v>0</v>
      </c>
      <c r="N497" s="73"/>
      <c r="O497" s="73"/>
      <c r="P497" s="73"/>
      <c r="Q497" s="73"/>
    </row>
    <row r="498" spans="1:17" s="61" customFormat="1" ht="12.75" customHeight="1">
      <c r="A498" s="73" t="s">
        <v>328</v>
      </c>
      <c r="B498" s="75">
        <f>IF($M498&gt;0,('Amounts Pivot Table'!Q$124/$M498),0)</f>
        <v>0</v>
      </c>
      <c r="C498" s="75">
        <f>IF($M498&gt;0,('Amounts Pivot Table'!Q$127/$M498),0)</f>
        <v>0</v>
      </c>
      <c r="D498" s="75">
        <f>IF($M498&gt;0,('Amounts Pivot Table'!Q$130/$M498),0)</f>
        <v>0</v>
      </c>
      <c r="E498" s="75">
        <f>IF($M498&gt;0,('Amounts Pivot Table'!Q$133/$M498),0)</f>
        <v>0</v>
      </c>
      <c r="F498" s="75">
        <f t="shared" si="78"/>
        <v>0</v>
      </c>
      <c r="G498" s="116">
        <f>IF(B498&gt;0,RANK(B498,$B$495:$B$513),)</f>
        <v>0</v>
      </c>
      <c r="H498" s="107">
        <f>IF(C498&gt;0,RANK(C498,$C$495:$C$513),)</f>
        <v>0</v>
      </c>
      <c r="I498" s="107">
        <f>IF(D498&gt;0,RANK(D498,$D$495:$D$513),)</f>
        <v>0</v>
      </c>
      <c r="J498" s="107">
        <f>IF(E498&gt;0,RANK(E498,$E$495:$E$513),)</f>
        <v>0</v>
      </c>
      <c r="K498" s="107">
        <f>IF(F498&gt;0,RANK(F498,$F$495:$F$513),)</f>
        <v>0</v>
      </c>
      <c r="L498" s="168"/>
      <c r="M498" s="824">
        <f>+'[1]NEW-Tables 80-86'!AE196</f>
        <v>0</v>
      </c>
      <c r="N498" s="73"/>
      <c r="O498" s="73"/>
      <c r="P498" s="73"/>
      <c r="Q498" s="73"/>
    </row>
    <row r="499" spans="1:17" s="112" customFormat="1">
      <c r="A499" s="110"/>
      <c r="B499" s="111"/>
      <c r="C499" s="111"/>
      <c r="D499" s="111"/>
      <c r="E499" s="111"/>
      <c r="F499" s="111"/>
      <c r="G499" s="119"/>
      <c r="H499" s="120"/>
      <c r="I499" s="120"/>
      <c r="J499" s="120"/>
      <c r="K499" s="120"/>
      <c r="L499" s="175"/>
      <c r="M499" s="824"/>
      <c r="N499" s="110"/>
      <c r="O499" s="110"/>
      <c r="P499" s="110"/>
      <c r="Q499" s="110"/>
    </row>
    <row r="500" spans="1:17" s="61" customFormat="1" ht="12.75" customHeight="1">
      <c r="A500" s="73" t="s">
        <v>329</v>
      </c>
      <c r="B500" s="75">
        <f>IF($M500&gt;0,('Amounts Pivot Table'!Q$163/$M500),0)</f>
        <v>0</v>
      </c>
      <c r="C500" s="75">
        <f>IF($M500&gt;0,('Amounts Pivot Table'!Q$166/$M500),0)</f>
        <v>0</v>
      </c>
      <c r="D500" s="75">
        <f>IF($M500&gt;0,('Amounts Pivot Table'!Q$169/$M500),0)</f>
        <v>0</v>
      </c>
      <c r="E500" s="75">
        <f>IF($M500&gt;0,('Amounts Pivot Table'!Q$172/$M500),0)</f>
        <v>0</v>
      </c>
      <c r="F500" s="75">
        <f t="shared" si="78"/>
        <v>0</v>
      </c>
      <c r="G500" s="116">
        <f>IF(B500&gt;0,RANK(B500,$B$495:$B$513),)</f>
        <v>0</v>
      </c>
      <c r="H500" s="107">
        <f>IF(C500&gt;0,RANK(C500,$C$495:$C$513),)</f>
        <v>0</v>
      </c>
      <c r="I500" s="107">
        <f>IF(D500&gt;0,RANK(D500,$D$495:$D$513),)</f>
        <v>0</v>
      </c>
      <c r="J500" s="107">
        <f>IF(E500&gt;0,RANK(E500,$E$495:$E$513),)</f>
        <v>0</v>
      </c>
      <c r="K500" s="107">
        <f>IF(F500&gt;0,RANK(F500,$F$495:$F$513),)</f>
        <v>0</v>
      </c>
      <c r="L500" s="168"/>
      <c r="M500" s="824">
        <f>+'[1]NEW-Tables 80-86'!AE198</f>
        <v>0</v>
      </c>
      <c r="N500" s="73"/>
      <c r="O500" s="73"/>
      <c r="P500" s="73"/>
      <c r="Q500" s="73"/>
    </row>
    <row r="501" spans="1:17" s="61" customFormat="1" ht="12.75" customHeight="1">
      <c r="A501" s="73" t="s">
        <v>322</v>
      </c>
      <c r="B501" s="75">
        <f>IF($M501&gt;0,('Amounts Pivot Table'!Q$202/$M501),0)</f>
        <v>0</v>
      </c>
      <c r="C501" s="75">
        <f>IF($M501&gt;0,('Amounts Pivot Table'!Q$205/$M501),0)</f>
        <v>0</v>
      </c>
      <c r="D501" s="75">
        <f>IF($M501&gt;0,('Amounts Pivot Table'!Q$208/$M501),0)</f>
        <v>0</v>
      </c>
      <c r="E501" s="75">
        <f>IF($M501&gt;0,('Amounts Pivot Table'!Q$211/$M501),0)</f>
        <v>0</v>
      </c>
      <c r="F501" s="75">
        <f t="shared" si="78"/>
        <v>0</v>
      </c>
      <c r="G501" s="116">
        <f>IF(B501&gt;0,RANK(B501,$B$495:$B$513),)</f>
        <v>0</v>
      </c>
      <c r="H501" s="107">
        <f>IF(C501&gt;0,RANK(C501,$C$495:$C$513),)</f>
        <v>0</v>
      </c>
      <c r="I501" s="107">
        <f>IF(D501&gt;0,RANK(D501,$D$495:$D$513),)</f>
        <v>0</v>
      </c>
      <c r="J501" s="107">
        <f>IF(E501&gt;0,RANK(E501,$E$495:$E$513),)</f>
        <v>0</v>
      </c>
      <c r="K501" s="107">
        <f>IF(F501&gt;0,RANK(F501,$F$495:$F$513),)</f>
        <v>0</v>
      </c>
      <c r="L501" s="168"/>
      <c r="M501" s="824">
        <f>+'[1]NEW-Tables 80-86'!AE199</f>
        <v>0</v>
      </c>
      <c r="N501" s="73"/>
      <c r="O501" s="73"/>
      <c r="P501" s="73"/>
      <c r="Q501" s="73"/>
    </row>
    <row r="502" spans="1:17" s="61" customFormat="1" ht="12.75" customHeight="1">
      <c r="A502" s="73" t="s">
        <v>330</v>
      </c>
      <c r="B502" s="75">
        <f>IF($M502&gt;0,('Amounts Pivot Table'!Q$241/$M502),0)</f>
        <v>0</v>
      </c>
      <c r="C502" s="75">
        <f>IF($M502&gt;0,('Amounts Pivot Table'!Q$244/$M502),0)</f>
        <v>0</v>
      </c>
      <c r="D502" s="75">
        <f>IF($M502&gt;0,('Amounts Pivot Table'!Q$247/$M502),0)</f>
        <v>0</v>
      </c>
      <c r="E502" s="75">
        <f>IF($M502&gt;0,('Amounts Pivot Table'!Q$250/$M502),0)</f>
        <v>0</v>
      </c>
      <c r="F502" s="75">
        <f t="shared" si="78"/>
        <v>0</v>
      </c>
      <c r="G502" s="116">
        <f>IF(B502&gt;0,RANK(B502,$B$495:$B$513),)</f>
        <v>0</v>
      </c>
      <c r="H502" s="107">
        <f>IF(C502&gt;0,RANK(C502,$C$495:$C$513),)</f>
        <v>0</v>
      </c>
      <c r="I502" s="107">
        <f>IF(D502&gt;0,RANK(D502,$D$495:$D$513),)</f>
        <v>0</v>
      </c>
      <c r="J502" s="107">
        <f>IF(E502&gt;0,RANK(E502,$E$495:$E$513),)</f>
        <v>0</v>
      </c>
      <c r="K502" s="107">
        <f>IF(F502&gt;0,RANK(F502,$F$495:$F$513),)</f>
        <v>0</v>
      </c>
      <c r="L502" s="168"/>
      <c r="M502" s="824">
        <f>+'[1]NEW-Tables 80-86'!AE200</f>
        <v>0</v>
      </c>
      <c r="N502" s="73"/>
      <c r="O502" s="73"/>
      <c r="P502" s="73"/>
      <c r="Q502" s="73"/>
    </row>
    <row r="503" spans="1:17" s="61" customFormat="1" ht="12.75" customHeight="1">
      <c r="A503" s="73" t="s">
        <v>333</v>
      </c>
      <c r="B503" s="75">
        <f>IF($M503&gt;0,('Amounts Pivot Table'!Q$280/$M503),0)</f>
        <v>0</v>
      </c>
      <c r="C503" s="75">
        <f>IF($M503&gt;0,('Amounts Pivot Table'!Q$283/$M503),0)</f>
        <v>0</v>
      </c>
      <c r="D503" s="75">
        <f>IF($M503&gt;0,('Amounts Pivot Table'!Q$286/$M503),0)</f>
        <v>0</v>
      </c>
      <c r="E503" s="75">
        <f>IF($M503&gt;0,('Amounts Pivot Table'!Q$289/$M503),0)</f>
        <v>0</v>
      </c>
      <c r="F503" s="75">
        <f t="shared" si="78"/>
        <v>0</v>
      </c>
      <c r="G503" s="116">
        <f>IF(B503&gt;0,RANK(B503,$B$495:$B$513),)</f>
        <v>0</v>
      </c>
      <c r="H503" s="107">
        <f>IF(C503&gt;0,RANK(C503,$C$495:$C$513),)</f>
        <v>0</v>
      </c>
      <c r="I503" s="107">
        <f>IF(D503&gt;0,RANK(D503,$D$495:$D$513),)</f>
        <v>0</v>
      </c>
      <c r="J503" s="107">
        <f>IF(E503&gt;0,RANK(E503,$E$495:$E$513),)</f>
        <v>0</v>
      </c>
      <c r="K503" s="107">
        <f>IF(F503&gt;0,RANK(F503,$F$495:$F$513),)</f>
        <v>0</v>
      </c>
      <c r="L503" s="168"/>
      <c r="M503" s="824">
        <f>+'[1]NEW-Tables 80-86'!AE201</f>
        <v>0</v>
      </c>
      <c r="N503" s="73"/>
      <c r="O503" s="73"/>
      <c r="P503" s="73"/>
      <c r="Q503" s="73"/>
    </row>
    <row r="504" spans="1:17" s="112" customFormat="1">
      <c r="A504" s="110"/>
      <c r="B504" s="111"/>
      <c r="C504" s="111"/>
      <c r="D504" s="111"/>
      <c r="E504" s="111"/>
      <c r="F504" s="111"/>
      <c r="G504" s="119"/>
      <c r="H504" s="120"/>
      <c r="I504" s="120"/>
      <c r="J504" s="120"/>
      <c r="K504" s="120"/>
      <c r="L504" s="175"/>
      <c r="M504" s="824"/>
      <c r="N504" s="110"/>
      <c r="O504" s="110"/>
      <c r="P504" s="110"/>
      <c r="Q504" s="110"/>
    </row>
    <row r="505" spans="1:17" s="61" customFormat="1" ht="12.75" customHeight="1">
      <c r="A505" s="73" t="s">
        <v>323</v>
      </c>
      <c r="B505" s="75">
        <f>IF($M505&gt;0,('Amounts Pivot Table'!Q$319/$M505),0)</f>
        <v>0</v>
      </c>
      <c r="C505" s="75">
        <f>IF($M505&gt;0,('Amounts Pivot Table'!Q$322/$M505),0)</f>
        <v>0</v>
      </c>
      <c r="D505" s="75">
        <f>IF($M505&gt;0,('Amounts Pivot Table'!Q$325/$M505),0)</f>
        <v>0</v>
      </c>
      <c r="E505" s="75">
        <f>IF($M505&gt;0,('Amounts Pivot Table'!Q$328/$M505),0)</f>
        <v>0</v>
      </c>
      <c r="F505" s="75">
        <f t="shared" si="78"/>
        <v>0</v>
      </c>
      <c r="G505" s="116">
        <f>IF(B505&gt;0,RANK(B505,$B$495:$B$513),)</f>
        <v>0</v>
      </c>
      <c r="H505" s="107">
        <f>IF(C505&gt;0,RANK(C505,$C$495:$C$513),)</f>
        <v>0</v>
      </c>
      <c r="I505" s="107">
        <f>IF(D505&gt;0,RANK(D505,$D$495:$D$513),)</f>
        <v>0</v>
      </c>
      <c r="J505" s="107">
        <f>IF(E505&gt;0,RANK(E505,$E$495:$E$513),)</f>
        <v>0</v>
      </c>
      <c r="K505" s="107">
        <f>IF(F505&gt;0,RANK(F505,$F$495:$F$513),)</f>
        <v>0</v>
      </c>
      <c r="L505" s="168"/>
      <c r="M505" s="824">
        <f>+'[1]NEW-Tables 80-86'!AE203</f>
        <v>0</v>
      </c>
      <c r="N505" s="73"/>
      <c r="O505" s="73"/>
      <c r="P505" s="73"/>
      <c r="Q505" s="73"/>
    </row>
    <row r="506" spans="1:17" s="61" customFormat="1" ht="12.75" customHeight="1">
      <c r="A506" s="73" t="s">
        <v>324</v>
      </c>
      <c r="B506" s="75">
        <f>IF($M506&gt;0,('Amounts Pivot Table'!Q$358/$M506),0)</f>
        <v>0</v>
      </c>
      <c r="C506" s="75">
        <f>IF($M506&gt;0,('Amounts Pivot Table'!Q$361/$M506),0)</f>
        <v>0</v>
      </c>
      <c r="D506" s="75">
        <f>IF($M506&gt;0,('Amounts Pivot Table'!Q$364/$M506),0)</f>
        <v>0</v>
      </c>
      <c r="E506" s="75">
        <f>IF($M506&gt;0,('Amounts Pivot Table'!Q$367/$M506),0)</f>
        <v>0</v>
      </c>
      <c r="F506" s="75">
        <f t="shared" si="78"/>
        <v>0</v>
      </c>
      <c r="G506" s="116">
        <f>IF(B506&gt;0,RANK(B506,$B$495:$B$513),)</f>
        <v>0</v>
      </c>
      <c r="H506" s="107">
        <f>IF(C506&gt;0,RANK(C506,$C$495:$C$513),)</f>
        <v>0</v>
      </c>
      <c r="I506" s="107">
        <f>IF(D506&gt;0,RANK(D506,$D$495:$D$513),)</f>
        <v>0</v>
      </c>
      <c r="J506" s="107">
        <f>IF(E506&gt;0,RANK(E506,$E$495:$E$513),)</f>
        <v>0</v>
      </c>
      <c r="K506" s="107">
        <f>IF(F506&gt;0,RANK(F506,$F$495:$F$513),)</f>
        <v>0</v>
      </c>
      <c r="L506" s="168"/>
      <c r="M506" s="824">
        <f>+'[1]NEW-Tables 80-86'!AE204</f>
        <v>0</v>
      </c>
      <c r="N506" s="73"/>
      <c r="O506" s="73"/>
      <c r="P506" s="73"/>
      <c r="Q506" s="73"/>
    </row>
    <row r="507" spans="1:17" s="61" customFormat="1" ht="12.75" customHeight="1">
      <c r="A507" s="73" t="s">
        <v>331</v>
      </c>
      <c r="B507" s="75">
        <f>IF($M507&gt;0,('Amounts Pivot Table'!Q$397/$M507),0)</f>
        <v>5405.5560815733479</v>
      </c>
      <c r="C507" s="75">
        <f>IF($M507&gt;0,('Amounts Pivot Table'!Q$400/$M507),0)</f>
        <v>0</v>
      </c>
      <c r="D507" s="75">
        <f>IF($M507&gt;0,('Amounts Pivot Table'!Q$403/$M507),0)</f>
        <v>0</v>
      </c>
      <c r="E507" s="75">
        <f>IF($M507&gt;0,('Amounts Pivot Table'!Q$406/$M507),0)</f>
        <v>1513.7923982344466</v>
      </c>
      <c r="F507" s="75">
        <f t="shared" si="78"/>
        <v>6919.3484798077943</v>
      </c>
      <c r="G507" s="116">
        <f>IF(B507&gt;0,RANK(B507,$B$495:$B$513),)</f>
        <v>2</v>
      </c>
      <c r="H507" s="107">
        <f>IF(C507&gt;0,RANK(C507,$C$495:$C$513),)</f>
        <v>0</v>
      </c>
      <c r="I507" s="107">
        <f>IF(D507&gt;0,RANK(D507,$D$495:$D$513),)</f>
        <v>0</v>
      </c>
      <c r="J507" s="107">
        <f>IF(E507&gt;0,RANK(E507,$E$495:$E$513),)</f>
        <v>3</v>
      </c>
      <c r="K507" s="107">
        <f>IF(F507&gt;0,RANK(F507,$F$495:$F$513),)</f>
        <v>3</v>
      </c>
      <c r="L507" s="168"/>
      <c r="M507" s="824">
        <f>+'[1]NEW-Tables 80-86'!AE205</f>
        <v>15945.219455555554</v>
      </c>
      <c r="N507" s="73"/>
      <c r="O507" s="73"/>
      <c r="P507" s="73"/>
      <c r="Q507" s="73"/>
    </row>
    <row r="508" spans="1:17" s="61" customFormat="1" ht="12.75" customHeight="1">
      <c r="A508" s="73" t="s">
        <v>325</v>
      </c>
      <c r="B508" s="75">
        <f>IF($M508&gt;0,('Amounts Pivot Table'!Q$436/$M508),0)</f>
        <v>0</v>
      </c>
      <c r="C508" s="75">
        <f>IF($M508&gt;0,('Amounts Pivot Table'!Q$439/$M508),0)</f>
        <v>0</v>
      </c>
      <c r="D508" s="75">
        <f>IF($M508&gt;0,('Amounts Pivot Table'!Q$442/$M508),0)</f>
        <v>0</v>
      </c>
      <c r="E508" s="75">
        <f>IF($M508&gt;0,('Amounts Pivot Table'!Q$445/$M508),0)</f>
        <v>0</v>
      </c>
      <c r="F508" s="75">
        <f t="shared" si="78"/>
        <v>0</v>
      </c>
      <c r="G508" s="116">
        <f>IF(B508&gt;0,RANK(B508,$B$495:$B$513),)</f>
        <v>0</v>
      </c>
      <c r="H508" s="107">
        <f>IF(C508&gt;0,RANK(C508,$C$495:$C$513),)</f>
        <v>0</v>
      </c>
      <c r="I508" s="107">
        <f>IF(D508&gt;0,RANK(D508,$D$495:$D$513),)</f>
        <v>0</v>
      </c>
      <c r="J508" s="107">
        <f>IF(E508&gt;0,RANK(E508,$E$495:$E$513),)</f>
        <v>0</v>
      </c>
      <c r="K508" s="107">
        <f>IF(F508&gt;0,RANK(F508,$F$495:$F$513),)</f>
        <v>0</v>
      </c>
      <c r="L508" s="168"/>
      <c r="M508" s="824">
        <f>+'[1]NEW-Tables 80-86'!AE206</f>
        <v>0</v>
      </c>
      <c r="N508" s="73"/>
      <c r="O508" s="73"/>
      <c r="P508" s="73"/>
      <c r="Q508" s="73"/>
    </row>
    <row r="509" spans="1:17" s="112" customFormat="1">
      <c r="A509" s="110"/>
      <c r="B509" s="111"/>
      <c r="C509" s="111"/>
      <c r="D509" s="111"/>
      <c r="E509" s="111"/>
      <c r="F509" s="111"/>
      <c r="G509" s="119"/>
      <c r="H509" s="120"/>
      <c r="I509" s="120"/>
      <c r="J509" s="120"/>
      <c r="K509" s="120"/>
      <c r="L509" s="175"/>
      <c r="M509" s="824"/>
      <c r="N509" s="110"/>
      <c r="O509" s="110"/>
      <c r="P509" s="110"/>
      <c r="Q509" s="110"/>
    </row>
    <row r="510" spans="1:17" s="61" customFormat="1" ht="12.75" customHeight="1">
      <c r="A510" s="73" t="s">
        <v>90</v>
      </c>
      <c r="B510" s="75">
        <f>IF($M510&gt;0,('Amounts Pivot Table'!Q$475/$M510),0)</f>
        <v>5129.6915854061108</v>
      </c>
      <c r="C510" s="75">
        <f>IF($M510&gt;0,('Amounts Pivot Table'!Q$478/$M510),0)</f>
        <v>0</v>
      </c>
      <c r="D510" s="75">
        <f>IF($M510&gt;0,('Amounts Pivot Table'!Q$481/$M510),0)</f>
        <v>0</v>
      </c>
      <c r="E510" s="75">
        <f>IF($M510&gt;0,('Amounts Pivot Table'!Q$484/$M510),0)</f>
        <v>2770.6962252484977</v>
      </c>
      <c r="F510" s="75">
        <f t="shared" si="78"/>
        <v>7900.387810654609</v>
      </c>
      <c r="G510" s="116">
        <f>IF(B510&gt;0,RANK(B510,$B$495:$B$513),)</f>
        <v>3</v>
      </c>
      <c r="H510" s="107">
        <f>IF(C510&gt;0,RANK(C510,$C$495:$C$513),)</f>
        <v>0</v>
      </c>
      <c r="I510" s="107">
        <f>IF(D510&gt;0,RANK(D510,$D$495:$D$513),)</f>
        <v>0</v>
      </c>
      <c r="J510" s="107">
        <f>IF(E510&gt;0,RANK(E510,$E$495:$E$513),)</f>
        <v>2</v>
      </c>
      <c r="K510" s="107">
        <f>IF(F510&gt;0,RANK(F510,$F$495:$F$513),)</f>
        <v>2</v>
      </c>
      <c r="L510" s="168"/>
      <c r="M510" s="824">
        <f>+'[1]NEW-Tables 80-86'!AE208</f>
        <v>10178.506666666666</v>
      </c>
      <c r="N510" s="73"/>
      <c r="O510" s="73"/>
      <c r="P510" s="73"/>
      <c r="Q510" s="73"/>
    </row>
    <row r="511" spans="1:17" s="61" customFormat="1" ht="12.75" customHeight="1">
      <c r="A511" s="73" t="s">
        <v>326</v>
      </c>
      <c r="B511" s="75">
        <f>IF($M511&gt;0,('Amounts Pivot Table'!Q$514/$M511),0)</f>
        <v>0</v>
      </c>
      <c r="C511" s="75">
        <f>IF($M511&gt;0,('Amounts Pivot Table'!Q$517/$M511),0)</f>
        <v>0</v>
      </c>
      <c r="D511" s="75">
        <f>IF($M511&gt;0,('Amounts Pivot Table'!Q$520/$M511),0)</f>
        <v>0</v>
      </c>
      <c r="E511" s="75">
        <f>IF($M511&gt;0,('Amounts Pivot Table'!Q$523/$M511),0)</f>
        <v>0</v>
      </c>
      <c r="F511" s="75">
        <f t="shared" si="78"/>
        <v>0</v>
      </c>
      <c r="G511" s="116">
        <f>IF(B511&gt;0,RANK(B511,$B$495:$B$513),)</f>
        <v>0</v>
      </c>
      <c r="H511" s="107">
        <f>IF(C511&gt;0,RANK(C511,$C$495:$C$513),)</f>
        <v>0</v>
      </c>
      <c r="I511" s="107">
        <f>IF(D511&gt;0,RANK(D511,$D$495:$D$513),)</f>
        <v>0</v>
      </c>
      <c r="J511" s="107">
        <f>IF(E511&gt;0,RANK(E511,$E$495:$E$513),)</f>
        <v>0</v>
      </c>
      <c r="K511" s="107">
        <f>IF(F511&gt;0,RANK(F511,$F$495:$F$513),)</f>
        <v>0</v>
      </c>
      <c r="L511" s="168"/>
      <c r="M511" s="824">
        <f>+'[1]NEW-Tables 80-86'!AE209</f>
        <v>0</v>
      </c>
      <c r="N511" s="73"/>
      <c r="O511" s="73"/>
      <c r="P511" s="73"/>
      <c r="Q511" s="73"/>
    </row>
    <row r="512" spans="1:17" s="61" customFormat="1" ht="12.75" customHeight="1">
      <c r="A512" s="73" t="s">
        <v>327</v>
      </c>
      <c r="B512" s="75">
        <f>IF($M512&gt;0,('Amounts Pivot Table'!Q$553/$M512),0)</f>
        <v>0</v>
      </c>
      <c r="C512" s="75">
        <f>IF($M512&gt;0,('Amounts Pivot Table'!Q$556/$M512),0)</f>
        <v>0</v>
      </c>
      <c r="D512" s="75">
        <f>IF($M512&gt;0,('Amounts Pivot Table'!Q$559/$M512),0)</f>
        <v>0</v>
      </c>
      <c r="E512" s="75">
        <f>IF($M512&gt;0,('Amounts Pivot Table'!Q$562/$M512),0)</f>
        <v>0</v>
      </c>
      <c r="F512" s="75">
        <f t="shared" si="78"/>
        <v>0</v>
      </c>
      <c r="G512" s="116">
        <f>IF(B512&gt;0,RANK(B512,$B$495:$B$513),)</f>
        <v>0</v>
      </c>
      <c r="H512" s="107">
        <f>IF(C512&gt;0,RANK(C512,$C$495:$C$513),)</f>
        <v>0</v>
      </c>
      <c r="I512" s="107">
        <f>IF(D512&gt;0,RANK(D512,$D$495:$D$513),)</f>
        <v>0</v>
      </c>
      <c r="J512" s="107">
        <f>IF(E512&gt;0,RANK(E512,$E$495:$E$513),)</f>
        <v>0</v>
      </c>
      <c r="K512" s="107">
        <f>IF(F512&gt;0,RANK(F512,$F$495:$F$513),)</f>
        <v>0</v>
      </c>
      <c r="L512" s="168"/>
      <c r="M512" s="824">
        <f>+'[1]NEW-Tables 80-86'!AE210</f>
        <v>0</v>
      </c>
      <c r="N512" s="73"/>
      <c r="O512" s="73"/>
      <c r="P512" s="73"/>
      <c r="Q512" s="73"/>
    </row>
    <row r="513" spans="1:17" s="61" customFormat="1" ht="12.75" customHeight="1">
      <c r="A513" s="74" t="s">
        <v>332</v>
      </c>
      <c r="B513" s="104">
        <f>IF($M513&gt;0,('Amounts Pivot Table'!Q$592/$M513),0)</f>
        <v>0</v>
      </c>
      <c r="C513" s="104">
        <f>IF($M513&gt;0,('Amounts Pivot Table'!Q$595/$M513),0)</f>
        <v>0</v>
      </c>
      <c r="D513" s="104">
        <f>IF($M513&gt;0,('Amounts Pivot Table'!Q$598/$M513),0)</f>
        <v>0</v>
      </c>
      <c r="E513" s="104">
        <f>IF($M513&gt;0,('Amounts Pivot Table'!Q$601/$M513),0)</f>
        <v>0</v>
      </c>
      <c r="F513" s="104">
        <f t="shared" si="78"/>
        <v>0</v>
      </c>
      <c r="G513" s="117">
        <f>IF(B513&gt;0,RANK(B513,$B$495:$B$513),)</f>
        <v>0</v>
      </c>
      <c r="H513" s="118">
        <f>IF(C513&gt;0,RANK(C513,$C$495:$C$513),)</f>
        <v>0</v>
      </c>
      <c r="I513" s="118">
        <f>IF(D513&gt;0,RANK(D513,$D$495:$D$513),)</f>
        <v>0</v>
      </c>
      <c r="J513" s="118">
        <f>IF(E513&gt;0,RANK(E513,$E$495:$E$513),)</f>
        <v>0</v>
      </c>
      <c r="K513" s="118">
        <f>IF(F513&gt;0,RANK(F513,$F$495:$F$513),)</f>
        <v>0</v>
      </c>
      <c r="L513" s="168"/>
      <c r="M513" s="824">
        <f>+'[1]NEW-Tables 80-86'!AE211</f>
        <v>0</v>
      </c>
      <c r="N513" s="73"/>
      <c r="O513" s="73"/>
      <c r="P513" s="73"/>
      <c r="Q513" s="73"/>
    </row>
    <row r="514" spans="1:17" s="76" customFormat="1" ht="34.5" customHeight="1">
      <c r="A514" s="1505" t="s">
        <v>17</v>
      </c>
      <c r="B514" s="1529"/>
      <c r="C514" s="1529"/>
      <c r="D514" s="1529"/>
      <c r="E514" s="1529"/>
      <c r="F514" s="1529"/>
      <c r="G514" s="1529"/>
      <c r="H514" s="1529"/>
      <c r="I514" s="1529"/>
      <c r="J514" s="1529"/>
      <c r="K514" s="1529"/>
      <c r="L514" s="169"/>
      <c r="M514" s="296"/>
      <c r="N514" s="90"/>
      <c r="O514" s="90"/>
      <c r="P514" s="90"/>
      <c r="Q514" s="90"/>
    </row>
    <row r="515" spans="1:17" s="205" customFormat="1" ht="13.5" customHeight="1">
      <c r="A515" s="1505" t="s">
        <v>54</v>
      </c>
      <c r="B515" s="1529"/>
      <c r="C515" s="1529"/>
      <c r="D515" s="1529"/>
      <c r="E515" s="1529"/>
      <c r="F515" s="1529"/>
      <c r="G515" s="1529"/>
      <c r="H515" s="1529"/>
      <c r="I515" s="1529"/>
      <c r="J515" s="1529"/>
      <c r="K515" s="1529"/>
      <c r="L515" s="204"/>
      <c r="M515" s="302"/>
      <c r="N515" s="206"/>
      <c r="O515" s="206"/>
      <c r="P515" s="206"/>
      <c r="Q515" s="206"/>
    </row>
    <row r="516" spans="1:17" s="61" customFormat="1" ht="13.5" customHeight="1">
      <c r="A516" s="1505" t="s">
        <v>233</v>
      </c>
      <c r="B516" s="1530"/>
      <c r="C516" s="1530"/>
      <c r="D516" s="1530"/>
      <c r="E516" s="1530"/>
      <c r="F516" s="1530"/>
      <c r="G516" s="1531"/>
      <c r="H516" s="1531"/>
      <c r="I516" s="1531"/>
      <c r="J516" s="1531"/>
      <c r="K516" s="1531"/>
      <c r="L516" s="171"/>
      <c r="M516" s="300"/>
      <c r="N516" s="73"/>
      <c r="O516" s="73"/>
      <c r="P516" s="73"/>
      <c r="Q516" s="73"/>
    </row>
    <row r="517" spans="1:17" s="61" customFormat="1">
      <c r="A517" s="187"/>
      <c r="B517" s="106"/>
      <c r="C517" s="106"/>
      <c r="D517" s="106"/>
      <c r="E517" s="106"/>
      <c r="F517" s="106"/>
      <c r="G517" s="188"/>
      <c r="H517" s="188"/>
      <c r="I517" s="188"/>
      <c r="J517" s="188"/>
      <c r="K517" s="534" t="s">
        <v>1927</v>
      </c>
      <c r="L517" s="171"/>
      <c r="M517" s="303"/>
      <c r="N517" s="73"/>
      <c r="O517" s="73"/>
      <c r="P517" s="73"/>
      <c r="Q517" s="73"/>
    </row>
    <row r="518" spans="1:17" s="61" customFormat="1" ht="18.75" customHeight="1">
      <c r="A518" s="135" t="s">
        <v>445</v>
      </c>
      <c r="B518" s="135"/>
      <c r="C518" s="135"/>
      <c r="D518" s="135"/>
      <c r="E518" s="135"/>
      <c r="F518" s="135"/>
      <c r="G518" s="135"/>
      <c r="H518" s="135"/>
      <c r="I518" s="135"/>
      <c r="J518" s="565"/>
      <c r="K518" s="135"/>
      <c r="L518" s="170"/>
      <c r="M518" s="296"/>
      <c r="N518" s="73"/>
      <c r="O518" s="73"/>
      <c r="P518" s="73"/>
      <c r="Q518" s="73"/>
    </row>
    <row r="519" spans="1:17" s="61" customFormat="1" ht="16.5" customHeight="1">
      <c r="A519" s="135"/>
      <c r="B519" s="135"/>
      <c r="C519" s="135"/>
      <c r="D519" s="135"/>
      <c r="E519" s="135"/>
      <c r="F519" s="135"/>
      <c r="G519" s="135"/>
      <c r="H519" s="135"/>
      <c r="I519" s="135"/>
      <c r="J519" s="565"/>
      <c r="K519" s="135"/>
      <c r="L519" s="170"/>
      <c r="M519" s="296"/>
      <c r="N519" s="73"/>
      <c r="O519" s="73"/>
      <c r="P519" s="73"/>
      <c r="Q519" s="73"/>
    </row>
    <row r="520" spans="1:17" s="61" customFormat="1" ht="18.75">
      <c r="A520" s="1504" t="s">
        <v>18</v>
      </c>
      <c r="B520" s="1504"/>
      <c r="C520" s="1504"/>
      <c r="D520" s="1504"/>
      <c r="E520" s="1504"/>
      <c r="F520" s="1504"/>
      <c r="G520" s="1504"/>
      <c r="H520" s="1504"/>
      <c r="I520" s="1504"/>
      <c r="J520" s="1504"/>
      <c r="K520" s="1504"/>
      <c r="L520" s="165"/>
      <c r="M520" s="296"/>
      <c r="N520" s="73"/>
      <c r="O520" s="73"/>
      <c r="P520" s="73"/>
      <c r="Q520" s="73"/>
    </row>
    <row r="521" spans="1:17" s="61" customFormat="1" ht="15.75" customHeight="1">
      <c r="A521" s="1504" t="s">
        <v>404</v>
      </c>
      <c r="B521" s="1504"/>
      <c r="C521" s="1504"/>
      <c r="D521" s="1504"/>
      <c r="E521" s="1504"/>
      <c r="F521" s="1504"/>
      <c r="G521" s="1504"/>
      <c r="H521" s="1504"/>
      <c r="I521" s="1504"/>
      <c r="J521" s="1504"/>
      <c r="K521" s="1504"/>
      <c r="L521" s="165"/>
      <c r="M521" s="299"/>
      <c r="N521" s="73"/>
      <c r="O521" s="73"/>
      <c r="P521" s="73"/>
      <c r="Q521" s="73"/>
    </row>
    <row r="522" spans="1:17" s="61" customFormat="1" ht="15.75" customHeight="1">
      <c r="A522" s="91"/>
      <c r="B522" s="91"/>
      <c r="C522" s="91"/>
      <c r="D522" s="91"/>
      <c r="E522" s="91"/>
      <c r="F522" s="91"/>
      <c r="G522" s="108"/>
      <c r="H522" s="91"/>
      <c r="I522" s="91"/>
      <c r="J522" s="91"/>
      <c r="K522" s="91"/>
      <c r="L522" s="165"/>
      <c r="M522" s="296"/>
      <c r="N522" s="73"/>
      <c r="O522" s="73"/>
      <c r="P522" s="73"/>
      <c r="Q522" s="73"/>
    </row>
    <row r="523" spans="1:17" s="59" customFormat="1" ht="15.75" customHeight="1">
      <c r="A523" s="56"/>
      <c r="B523" s="1527" t="s">
        <v>55</v>
      </c>
      <c r="C523" s="1528"/>
      <c r="D523" s="1528"/>
      <c r="E523" s="1528"/>
      <c r="F523" s="1528"/>
      <c r="G523" s="1535" t="s">
        <v>119</v>
      </c>
      <c r="H523" s="1536"/>
      <c r="I523" s="1536"/>
      <c r="J523" s="1536"/>
      <c r="K523" s="1536"/>
      <c r="L523" s="173"/>
      <c r="M523" s="296"/>
      <c r="N523" s="89"/>
      <c r="O523" s="89"/>
      <c r="P523" s="89"/>
      <c r="Q523" s="89"/>
    </row>
    <row r="524" spans="1:17" s="6" customFormat="1" ht="47.25" customHeight="1">
      <c r="A524" s="50"/>
      <c r="B524" s="549" t="s">
        <v>87</v>
      </c>
      <c r="C524" s="550" t="s">
        <v>89</v>
      </c>
      <c r="D524" s="550" t="s">
        <v>88</v>
      </c>
      <c r="E524" s="550" t="s">
        <v>397</v>
      </c>
      <c r="F524" s="550" t="s">
        <v>97</v>
      </c>
      <c r="G524" s="551" t="s">
        <v>87</v>
      </c>
      <c r="H524" s="550" t="s">
        <v>89</v>
      </c>
      <c r="I524" s="550" t="s">
        <v>88</v>
      </c>
      <c r="J524" s="550" t="s">
        <v>397</v>
      </c>
      <c r="K524" s="550" t="s">
        <v>97</v>
      </c>
      <c r="L524" s="167"/>
      <c r="M524" s="298" t="s">
        <v>260</v>
      </c>
      <c r="N524" s="7"/>
      <c r="O524" s="7"/>
      <c r="P524" s="7"/>
      <c r="Q524" s="7"/>
    </row>
    <row r="525" spans="1:17" s="61" customFormat="1" ht="14.25">
      <c r="A525" s="73" t="s">
        <v>56</v>
      </c>
      <c r="B525" s="102"/>
      <c r="C525" s="102"/>
      <c r="D525" s="102"/>
      <c r="E525" s="102"/>
      <c r="F525" s="102"/>
      <c r="G525" s="114"/>
      <c r="H525" s="115"/>
      <c r="I525" s="115"/>
      <c r="J525" s="115"/>
      <c r="K525" s="115"/>
      <c r="L525" s="168"/>
      <c r="M525" s="296"/>
      <c r="N525" s="73"/>
      <c r="O525" s="73"/>
      <c r="P525" s="73"/>
      <c r="Q525" s="73"/>
    </row>
    <row r="526" spans="1:17" s="112" customFormat="1">
      <c r="A526" s="110"/>
      <c r="B526" s="111"/>
      <c r="C526" s="111"/>
      <c r="D526" s="111"/>
      <c r="E526" s="111"/>
      <c r="F526" s="111"/>
      <c r="G526" s="119"/>
      <c r="H526" s="120"/>
      <c r="I526" s="120"/>
      <c r="J526" s="120"/>
      <c r="K526" s="120"/>
      <c r="L526" s="175"/>
      <c r="M526" s="296"/>
      <c r="N526" s="110"/>
      <c r="O526" s="110"/>
      <c r="P526" s="110"/>
      <c r="Q526" s="110"/>
    </row>
    <row r="527" spans="1:17" s="61" customFormat="1" ht="12.75" customHeight="1">
      <c r="A527" s="73" t="s">
        <v>320</v>
      </c>
      <c r="B527" s="75"/>
      <c r="C527" s="75"/>
      <c r="D527" s="75"/>
      <c r="E527" s="75"/>
      <c r="F527" s="75"/>
      <c r="G527" s="116"/>
      <c r="H527" s="107"/>
      <c r="I527" s="107"/>
      <c r="J527" s="107"/>
      <c r="K527" s="107"/>
      <c r="L527" s="168"/>
      <c r="M527" s="296"/>
      <c r="N527" s="73"/>
      <c r="O527" s="73"/>
      <c r="P527" s="73"/>
      <c r="Q527" s="73"/>
    </row>
    <row r="528" spans="1:17" s="61" customFormat="1" ht="12.75" customHeight="1">
      <c r="A528" s="73" t="s">
        <v>334</v>
      </c>
      <c r="B528" s="75"/>
      <c r="C528" s="75"/>
      <c r="D528" s="75"/>
      <c r="E528" s="75"/>
      <c r="F528" s="75"/>
      <c r="G528" s="116"/>
      <c r="H528" s="107"/>
      <c r="I528" s="107"/>
      <c r="J528" s="107"/>
      <c r="K528" s="107"/>
      <c r="L528" s="168"/>
      <c r="M528" s="296"/>
      <c r="N528" s="73"/>
      <c r="O528" s="73"/>
      <c r="P528" s="73"/>
      <c r="Q528" s="73"/>
    </row>
    <row r="529" spans="1:17" s="61" customFormat="1" ht="12.75" customHeight="1">
      <c r="A529" s="73" t="s">
        <v>321</v>
      </c>
      <c r="B529" s="75"/>
      <c r="C529" s="75"/>
      <c r="D529" s="75"/>
      <c r="E529" s="75"/>
      <c r="F529" s="75"/>
      <c r="G529" s="116"/>
      <c r="H529" s="107"/>
      <c r="I529" s="107"/>
      <c r="J529" s="107"/>
      <c r="K529" s="107"/>
      <c r="L529" s="168"/>
      <c r="M529" s="296"/>
      <c r="N529" s="73"/>
      <c r="O529" s="73"/>
      <c r="P529" s="73"/>
      <c r="Q529" s="73"/>
    </row>
    <row r="530" spans="1:17" s="61" customFormat="1" ht="12.75" customHeight="1">
      <c r="A530" s="73" t="s">
        <v>328</v>
      </c>
      <c r="B530" s="75"/>
      <c r="C530" s="75"/>
      <c r="D530" s="75"/>
      <c r="E530" s="75"/>
      <c r="F530" s="75"/>
      <c r="G530" s="116"/>
      <c r="H530" s="107"/>
      <c r="I530" s="107"/>
      <c r="J530" s="107"/>
      <c r="K530" s="107"/>
      <c r="L530" s="168"/>
      <c r="M530" s="296"/>
      <c r="N530" s="73"/>
      <c r="O530" s="73"/>
      <c r="P530" s="73"/>
      <c r="Q530" s="73"/>
    </row>
    <row r="531" spans="1:17" s="112" customFormat="1">
      <c r="A531" s="110"/>
      <c r="B531" s="111"/>
      <c r="C531" s="111"/>
      <c r="D531" s="111"/>
      <c r="E531" s="111"/>
      <c r="F531" s="111"/>
      <c r="G531" s="119"/>
      <c r="H531" s="120"/>
      <c r="I531" s="120"/>
      <c r="J531" s="120"/>
      <c r="K531" s="120"/>
      <c r="L531" s="175"/>
      <c r="M531" s="296"/>
      <c r="N531" s="110"/>
      <c r="O531" s="110"/>
      <c r="P531" s="110"/>
      <c r="Q531" s="110"/>
    </row>
    <row r="532" spans="1:17" s="61" customFormat="1" ht="12.75" customHeight="1">
      <c r="A532" s="73" t="s">
        <v>329</v>
      </c>
      <c r="B532" s="75"/>
      <c r="C532" s="75"/>
      <c r="D532" s="75"/>
      <c r="E532" s="75"/>
      <c r="F532" s="75"/>
      <c r="G532" s="116"/>
      <c r="H532" s="107"/>
      <c r="I532" s="107"/>
      <c r="J532" s="107"/>
      <c r="K532" s="107"/>
      <c r="L532" s="168"/>
      <c r="M532" s="296"/>
      <c r="N532" s="73"/>
      <c r="O532" s="73"/>
      <c r="P532" s="73"/>
      <c r="Q532" s="73"/>
    </row>
    <row r="533" spans="1:17" s="61" customFormat="1" ht="12.75" customHeight="1">
      <c r="A533" s="73" t="s">
        <v>322</v>
      </c>
      <c r="B533" s="75"/>
      <c r="C533" s="75"/>
      <c r="D533" s="75"/>
      <c r="E533" s="75"/>
      <c r="F533" s="75"/>
      <c r="G533" s="116"/>
      <c r="H533" s="107"/>
      <c r="I533" s="107"/>
      <c r="J533" s="107"/>
      <c r="K533" s="107"/>
      <c r="L533" s="168"/>
      <c r="M533" s="296"/>
      <c r="N533" s="73"/>
      <c r="O533" s="73"/>
      <c r="P533" s="73"/>
      <c r="Q533" s="73"/>
    </row>
    <row r="534" spans="1:17" s="61" customFormat="1" ht="12.75" customHeight="1">
      <c r="A534" s="73" t="s">
        <v>330</v>
      </c>
      <c r="B534" s="75"/>
      <c r="C534" s="75"/>
      <c r="D534" s="75"/>
      <c r="E534" s="75"/>
      <c r="F534" s="75"/>
      <c r="G534" s="116"/>
      <c r="H534" s="107"/>
      <c r="I534" s="107"/>
      <c r="J534" s="107"/>
      <c r="K534" s="107"/>
      <c r="L534" s="168"/>
      <c r="M534" s="296"/>
      <c r="N534" s="73"/>
      <c r="O534" s="73"/>
      <c r="P534" s="73"/>
      <c r="Q534" s="73"/>
    </row>
    <row r="535" spans="1:17" s="61" customFormat="1" ht="12.75" customHeight="1">
      <c r="A535" s="73" t="s">
        <v>333</v>
      </c>
      <c r="B535" s="75"/>
      <c r="C535" s="75"/>
      <c r="D535" s="75"/>
      <c r="E535" s="75"/>
      <c r="F535" s="75"/>
      <c r="G535" s="116"/>
      <c r="H535" s="107"/>
      <c r="I535" s="107"/>
      <c r="J535" s="107"/>
      <c r="K535" s="107"/>
      <c r="L535" s="168"/>
      <c r="M535" s="296"/>
      <c r="N535" s="73"/>
      <c r="O535" s="73"/>
      <c r="P535" s="73"/>
      <c r="Q535" s="73"/>
    </row>
    <row r="536" spans="1:17" s="112" customFormat="1">
      <c r="A536" s="110"/>
      <c r="B536" s="111"/>
      <c r="C536" s="111"/>
      <c r="D536" s="111"/>
      <c r="E536" s="111"/>
      <c r="F536" s="111"/>
      <c r="G536" s="119"/>
      <c r="H536" s="120"/>
      <c r="I536" s="120"/>
      <c r="J536" s="120"/>
      <c r="K536" s="120"/>
      <c r="L536" s="175"/>
      <c r="M536" s="296"/>
      <c r="N536" s="110"/>
      <c r="O536" s="110"/>
      <c r="P536" s="110"/>
      <c r="Q536" s="110"/>
    </row>
    <row r="537" spans="1:17" s="61" customFormat="1" ht="12.75" customHeight="1">
      <c r="A537" s="73" t="s">
        <v>323</v>
      </c>
      <c r="B537" s="75"/>
      <c r="C537" s="75"/>
      <c r="D537" s="75"/>
      <c r="E537" s="75"/>
      <c r="F537" s="75"/>
      <c r="G537" s="116"/>
      <c r="H537" s="107"/>
      <c r="I537" s="107"/>
      <c r="J537" s="107"/>
      <c r="K537" s="107"/>
      <c r="L537" s="168"/>
      <c r="M537" s="296"/>
      <c r="N537" s="73"/>
      <c r="O537" s="73"/>
      <c r="P537" s="73"/>
      <c r="Q537" s="73"/>
    </row>
    <row r="538" spans="1:17" s="61" customFormat="1" ht="12.75" customHeight="1">
      <c r="A538" s="73" t="s">
        <v>324</v>
      </c>
      <c r="B538" s="75"/>
      <c r="C538" s="75"/>
      <c r="D538" s="75"/>
      <c r="E538" s="75"/>
      <c r="F538" s="75"/>
      <c r="G538" s="116"/>
      <c r="H538" s="107"/>
      <c r="I538" s="107"/>
      <c r="J538" s="107"/>
      <c r="K538" s="107"/>
      <c r="L538" s="168"/>
      <c r="M538" s="296"/>
      <c r="N538" s="73"/>
      <c r="O538" s="73"/>
      <c r="P538" s="73"/>
      <c r="Q538" s="73"/>
    </row>
    <row r="539" spans="1:17" s="61" customFormat="1" ht="12.75" customHeight="1">
      <c r="A539" s="73" t="s">
        <v>331</v>
      </c>
      <c r="B539" s="75"/>
      <c r="C539" s="75"/>
      <c r="D539" s="75"/>
      <c r="E539" s="75"/>
      <c r="F539" s="75"/>
      <c r="G539" s="116"/>
      <c r="H539" s="107"/>
      <c r="I539" s="107"/>
      <c r="J539" s="107"/>
      <c r="K539" s="107"/>
      <c r="L539" s="168"/>
      <c r="M539" s="296"/>
      <c r="N539" s="73"/>
      <c r="O539" s="73"/>
      <c r="P539" s="73"/>
      <c r="Q539" s="73"/>
    </row>
    <row r="540" spans="1:17" s="61" customFormat="1" ht="12.75" customHeight="1">
      <c r="A540" s="73" t="s">
        <v>325</v>
      </c>
      <c r="B540" s="75"/>
      <c r="C540" s="75"/>
      <c r="D540" s="75"/>
      <c r="E540" s="75"/>
      <c r="F540" s="75"/>
      <c r="G540" s="116"/>
      <c r="H540" s="107"/>
      <c r="I540" s="107"/>
      <c r="J540" s="107"/>
      <c r="K540" s="107"/>
      <c r="L540" s="168"/>
      <c r="M540" s="296"/>
      <c r="N540" s="73"/>
      <c r="O540" s="73"/>
      <c r="P540" s="73"/>
      <c r="Q540" s="73"/>
    </row>
    <row r="541" spans="1:17" s="112" customFormat="1">
      <c r="A541" s="110"/>
      <c r="B541" s="111"/>
      <c r="C541" s="111"/>
      <c r="D541" s="111"/>
      <c r="E541" s="111"/>
      <c r="F541" s="111"/>
      <c r="G541" s="119"/>
      <c r="H541" s="120"/>
      <c r="I541" s="120"/>
      <c r="J541" s="120"/>
      <c r="K541" s="120"/>
      <c r="L541" s="175"/>
      <c r="M541" s="296"/>
      <c r="N541" s="110"/>
      <c r="O541" s="110"/>
      <c r="P541" s="110"/>
      <c r="Q541" s="110"/>
    </row>
    <row r="542" spans="1:17" s="61" customFormat="1" ht="12.75" customHeight="1">
      <c r="A542" s="73" t="s">
        <v>90</v>
      </c>
      <c r="B542" s="75"/>
      <c r="C542" s="75"/>
      <c r="D542" s="75"/>
      <c r="E542" s="75"/>
      <c r="F542" s="75"/>
      <c r="G542" s="116"/>
      <c r="H542" s="107"/>
      <c r="I542" s="107"/>
      <c r="J542" s="107"/>
      <c r="K542" s="107"/>
      <c r="L542" s="168"/>
      <c r="M542" s="296"/>
      <c r="N542" s="73"/>
      <c r="O542" s="73"/>
      <c r="P542" s="73"/>
      <c r="Q542" s="73"/>
    </row>
    <row r="543" spans="1:17" s="76" customFormat="1" ht="12.75" customHeight="1">
      <c r="A543" s="73" t="s">
        <v>326</v>
      </c>
      <c r="B543" s="75"/>
      <c r="C543" s="75"/>
      <c r="D543" s="75"/>
      <c r="E543" s="75"/>
      <c r="F543" s="75"/>
      <c r="G543" s="116"/>
      <c r="H543" s="107"/>
      <c r="I543" s="107"/>
      <c r="J543" s="107"/>
      <c r="K543" s="107"/>
      <c r="L543" s="169"/>
      <c r="M543" s="296"/>
      <c r="N543" s="90"/>
      <c r="O543" s="90"/>
      <c r="P543" s="90"/>
      <c r="Q543" s="90"/>
    </row>
    <row r="544" spans="1:17" s="61" customFormat="1" ht="12.75" customHeight="1">
      <c r="A544" s="73" t="s">
        <v>327</v>
      </c>
      <c r="B544" s="75">
        <f>IF($M544&gt;0,('Amounts Pivot Table'!R$553/$M544),0)</f>
        <v>0</v>
      </c>
      <c r="C544" s="75">
        <f>IF($M544&gt;0,('Amounts Pivot Table'!R$556/$M544),0)</f>
        <v>0</v>
      </c>
      <c r="D544" s="75">
        <f>IF($M544&gt;0,('Amounts Pivot Table'!R$559/$M544),0)</f>
        <v>0</v>
      </c>
      <c r="E544" s="75">
        <f>IF($M544&gt;0,('Amounts Pivot Table'!R$562/$M544),0)</f>
        <v>0</v>
      </c>
      <c r="F544" s="75">
        <f t="shared" ref="F544:F545" si="79">SUM(B544:E544)</f>
        <v>0</v>
      </c>
      <c r="G544" s="116">
        <f>IF(B544&gt;0,RANK(B544,$B$527:$B$545),)</f>
        <v>0</v>
      </c>
      <c r="H544" s="107">
        <f>IF(C544&gt;0,RANK(C544,$C$527:$C$545),)</f>
        <v>0</v>
      </c>
      <c r="I544" s="107">
        <f>IF(D544&gt;0,RANK(D544,$D$527:$D$545),)</f>
        <v>0</v>
      </c>
      <c r="J544" s="107">
        <f>IF(E544&gt;0,RANK(E544,$E$527:$E$545),)</f>
        <v>0</v>
      </c>
      <c r="K544" s="107">
        <f>IF(F544&gt;0,RANK(F544,$F$527:$F$545),)</f>
        <v>0</v>
      </c>
      <c r="L544" s="170"/>
      <c r="M544" s="296">
        <f>+'[1]NEW-Tables 80-86'!AO212</f>
        <v>0</v>
      </c>
      <c r="N544" s="73"/>
      <c r="O544" s="73"/>
      <c r="P544" s="73"/>
      <c r="Q544" s="73"/>
    </row>
    <row r="545" spans="1:17" s="61" customFormat="1" ht="15" customHeight="1">
      <c r="A545" s="74" t="s">
        <v>332</v>
      </c>
      <c r="B545" s="104">
        <f>IF($M545&gt;0,('Amounts Pivot Table'!R$592/$M545),0)</f>
        <v>0</v>
      </c>
      <c r="C545" s="104">
        <f>IF($M545&gt;0,('Amounts Pivot Table'!R$595/$M545),0)</f>
        <v>0</v>
      </c>
      <c r="D545" s="104">
        <f>IF($M545&gt;0,('Amounts Pivot Table'!R$598/$M545),0)</f>
        <v>0</v>
      </c>
      <c r="E545" s="104">
        <f>IF($M545&gt;0,('Amounts Pivot Table'!R$601/$M545),0)</f>
        <v>0</v>
      </c>
      <c r="F545" s="105">
        <f t="shared" si="79"/>
        <v>0</v>
      </c>
      <c r="G545" s="117">
        <f>IF(B545&gt;0,RANK(B545,$B$527:$B$545),)</f>
        <v>0</v>
      </c>
      <c r="H545" s="118">
        <f>IF(C545&gt;0,RANK(C545,$C$527:$C$545),)</f>
        <v>0</v>
      </c>
      <c r="I545" s="118">
        <f>IF(D545&gt;0,RANK(D545,$D$527:$D$545),)</f>
        <v>0</v>
      </c>
      <c r="J545" s="118">
        <f>IF(E545&gt;0,RANK(E545,$E$527:$E$545),)</f>
        <v>0</v>
      </c>
      <c r="K545" s="118">
        <f>IF(F545&gt;0,RANK(F545,$F$527:$F$545),)</f>
        <v>0</v>
      </c>
      <c r="L545" s="171"/>
      <c r="M545" s="296">
        <f>+'[1]NEW-Tables 80-86'!AO213</f>
        <v>0</v>
      </c>
      <c r="N545" s="73"/>
      <c r="O545" s="73"/>
      <c r="P545" s="73"/>
      <c r="Q545" s="73"/>
    </row>
    <row r="546" spans="1:17" s="76" customFormat="1" ht="34.5" customHeight="1">
      <c r="A546" s="1505" t="s">
        <v>17</v>
      </c>
      <c r="B546" s="1529"/>
      <c r="C546" s="1529"/>
      <c r="D546" s="1529"/>
      <c r="E546" s="1529"/>
      <c r="F546" s="1529"/>
      <c r="G546" s="1529"/>
      <c r="H546" s="1529"/>
      <c r="I546" s="1529"/>
      <c r="J546" s="1529"/>
      <c r="K546" s="1529"/>
      <c r="L546" s="169"/>
      <c r="M546" s="296"/>
      <c r="N546" s="90"/>
      <c r="O546" s="90"/>
      <c r="P546" s="90"/>
      <c r="Q546" s="90"/>
    </row>
    <row r="547" spans="1:17" s="205" customFormat="1" ht="13.5" customHeight="1">
      <c r="A547" s="1505" t="s">
        <v>54</v>
      </c>
      <c r="B547" s="1529"/>
      <c r="C547" s="1529"/>
      <c r="D547" s="1529"/>
      <c r="E547" s="1529"/>
      <c r="F547" s="1529"/>
      <c r="G547" s="1529"/>
      <c r="H547" s="1529"/>
      <c r="I547" s="1529"/>
      <c r="J547" s="1529"/>
      <c r="K547" s="1529"/>
      <c r="L547" s="204"/>
      <c r="M547" s="302"/>
      <c r="N547" s="206"/>
      <c r="O547" s="206"/>
      <c r="P547" s="206"/>
      <c r="Q547" s="206"/>
    </row>
    <row r="548" spans="1:17" s="61" customFormat="1" ht="13.5" customHeight="1">
      <c r="A548" s="1505" t="s">
        <v>233</v>
      </c>
      <c r="B548" s="1530"/>
      <c r="C548" s="1530"/>
      <c r="D548" s="1530"/>
      <c r="E548" s="1530"/>
      <c r="F548" s="1530"/>
      <c r="G548" s="1531"/>
      <c r="H548" s="1531"/>
      <c r="I548" s="1531"/>
      <c r="J548" s="1531"/>
      <c r="K548" s="1531"/>
      <c r="L548" s="171"/>
      <c r="M548" s="300"/>
      <c r="N548" s="73"/>
      <c r="O548" s="73"/>
      <c r="P548" s="73"/>
      <c r="Q548" s="73"/>
    </row>
    <row r="549" spans="1:17">
      <c r="K549" s="534"/>
    </row>
  </sheetData>
  <mergeCells count="99">
    <mergeCell ref="A3:I3"/>
    <mergeCell ref="A35:I35"/>
    <mergeCell ref="A36:I36"/>
    <mergeCell ref="A29:I29"/>
    <mergeCell ref="B6:E6"/>
    <mergeCell ref="F6:I6"/>
    <mergeCell ref="A30:I30"/>
    <mergeCell ref="A31:I31"/>
    <mergeCell ref="A547:K547"/>
    <mergeCell ref="A520:K520"/>
    <mergeCell ref="A521:K521"/>
    <mergeCell ref="B523:F523"/>
    <mergeCell ref="A546:K546"/>
    <mergeCell ref="G523:K523"/>
    <mergeCell ref="A516:K516"/>
    <mergeCell ref="A424:K424"/>
    <mergeCell ref="A483:K483"/>
    <mergeCell ref="A450:K450"/>
    <mergeCell ref="A456:K456"/>
    <mergeCell ref="A457:K457"/>
    <mergeCell ref="A451:K451"/>
    <mergeCell ref="A425:K425"/>
    <mergeCell ref="B427:F427"/>
    <mergeCell ref="A489:K489"/>
    <mergeCell ref="B491:F491"/>
    <mergeCell ref="A514:K514"/>
    <mergeCell ref="G491:K491"/>
    <mergeCell ref="A515:K515"/>
    <mergeCell ref="A419:K419"/>
    <mergeCell ref="A391:K391"/>
    <mergeCell ref="A392:K392"/>
    <mergeCell ref="B394:F394"/>
    <mergeCell ref="A418:K418"/>
    <mergeCell ref="A417:K417"/>
    <mergeCell ref="A222:I222"/>
    <mergeCell ref="A93:I93"/>
    <mergeCell ref="A125:I125"/>
    <mergeCell ref="A126:I126"/>
    <mergeCell ref="A164:I164"/>
    <mergeCell ref="A163:I163"/>
    <mergeCell ref="A131:I131"/>
    <mergeCell ref="A132:I132"/>
    <mergeCell ref="A157:I157"/>
    <mergeCell ref="A196:I196"/>
    <mergeCell ref="A158:I158"/>
    <mergeCell ref="A190:I190"/>
    <mergeCell ref="A189:I189"/>
    <mergeCell ref="A191:K191"/>
    <mergeCell ref="A159:I159"/>
    <mergeCell ref="A221:I221"/>
    <mergeCell ref="A61:I61"/>
    <mergeCell ref="A100:I100"/>
    <mergeCell ref="A63:K63"/>
    <mergeCell ref="A99:I99"/>
    <mergeCell ref="A67:I67"/>
    <mergeCell ref="A94:I94"/>
    <mergeCell ref="A62:I62"/>
    <mergeCell ref="A68:I68"/>
    <mergeCell ref="A255:K255"/>
    <mergeCell ref="A291:K291"/>
    <mergeCell ref="A227:K227"/>
    <mergeCell ref="A285:K285"/>
    <mergeCell ref="A259:K259"/>
    <mergeCell ref="A254:K254"/>
    <mergeCell ref="B230:F230"/>
    <mergeCell ref="A260:K260"/>
    <mergeCell ref="B262:F262"/>
    <mergeCell ref="A286:K286"/>
    <mergeCell ref="A287:K287"/>
    <mergeCell ref="A253:K253"/>
    <mergeCell ref="A228:K228"/>
    <mergeCell ref="A195:I195"/>
    <mergeCell ref="A548:K548"/>
    <mergeCell ref="A420:K420"/>
    <mergeCell ref="A452:K452"/>
    <mergeCell ref="A484:K484"/>
    <mergeCell ref="A488:K488"/>
    <mergeCell ref="B459:F459"/>
    <mergeCell ref="A482:K482"/>
    <mergeCell ref="A292:K292"/>
    <mergeCell ref="B327:F327"/>
    <mergeCell ref="A320:K320"/>
    <mergeCell ref="A383:K383"/>
    <mergeCell ref="A351:K351"/>
    <mergeCell ref="B360:F360"/>
    <mergeCell ref="A325:K325"/>
    <mergeCell ref="A387:K387"/>
    <mergeCell ref="B294:F294"/>
    <mergeCell ref="A318:K318"/>
    <mergeCell ref="A324:K324"/>
    <mergeCell ref="A353:K353"/>
    <mergeCell ref="A386:K386"/>
    <mergeCell ref="A319:K319"/>
    <mergeCell ref="A317:K317"/>
    <mergeCell ref="A358:K358"/>
    <mergeCell ref="A385:K385"/>
    <mergeCell ref="A350:K350"/>
    <mergeCell ref="A352:K352"/>
    <mergeCell ref="A357:K357"/>
  </mergeCells>
  <phoneticPr fontId="17" type="noConversion"/>
  <pageMargins left="0.5" right="0.5" top="0.75" bottom="0.67" header="0.5" footer="0.5"/>
  <pageSetup scale="93" firstPageNumber="128" orientation="landscape" useFirstPageNumber="1" r:id="rId1"/>
  <headerFooter alignWithMargins="0">
    <oddHeader>&amp;R&amp;"Arial,Regular"&amp;8SREB-State Data Exchange</oddHeader>
    <oddFooter>&amp;C&amp;"Arial,Regular"&amp;P</oddFooter>
  </headerFooter>
  <rowBreaks count="16" manualBreakCount="16">
    <brk id="32" max="10" man="1"/>
    <brk id="64" max="10" man="1"/>
    <brk id="96" max="10" man="1"/>
    <brk id="128" max="10" man="1"/>
    <brk id="160" max="10" man="1"/>
    <brk id="192" max="10" man="1"/>
    <brk id="224" max="10" man="1"/>
    <brk id="256" max="10" man="1"/>
    <brk id="288" max="10" man="1"/>
    <brk id="321" max="10" man="1"/>
    <brk id="354" max="10" man="1"/>
    <brk id="388" max="10" man="1"/>
    <brk id="421" max="10" man="1"/>
    <brk id="453" max="10" man="1"/>
    <brk id="485" max="10" man="1"/>
    <brk id="51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U535"/>
  <sheetViews>
    <sheetView showZeros="0" view="pageBreakPreview" zoomScaleNormal="100" zoomScaleSheetLayoutView="100" workbookViewId="0"/>
  </sheetViews>
  <sheetFormatPr defaultColWidth="8.875" defaultRowHeight="12.75"/>
  <cols>
    <col min="1" max="1" width="12.125" style="406" customWidth="1"/>
    <col min="2" max="3" width="11.375" style="406" customWidth="1"/>
    <col min="4" max="4" width="9.125" style="406" customWidth="1"/>
    <col min="5" max="5" width="10" style="406" customWidth="1"/>
    <col min="6" max="6" width="9.25" style="406" customWidth="1"/>
    <col min="7" max="7" width="10.25" style="406" customWidth="1"/>
    <col min="8" max="8" width="10.375" style="406" customWidth="1"/>
    <col min="9" max="9" width="10.875" style="406" customWidth="1"/>
    <col min="10" max="10" width="9.25" style="406" customWidth="1"/>
    <col min="11" max="11" width="8.625" style="406" customWidth="1"/>
    <col min="12" max="12" width="2.5" style="406" customWidth="1"/>
    <col min="13" max="13" width="8.75" style="640" customWidth="1"/>
    <col min="14" max="16384" width="8.875" style="406"/>
  </cols>
  <sheetData>
    <row r="1" spans="1:18" s="94" customFormat="1" ht="18">
      <c r="A1" s="135" t="s">
        <v>358</v>
      </c>
      <c r="B1" s="92"/>
      <c r="C1" s="92"/>
      <c r="D1" s="92"/>
      <c r="E1" s="92"/>
      <c r="F1" s="92"/>
      <c r="G1" s="92"/>
      <c r="H1" s="92"/>
      <c r="I1" s="92"/>
      <c r="J1" s="92" t="s">
        <v>91</v>
      </c>
      <c r="K1" s="92"/>
      <c r="L1" s="163"/>
      <c r="M1" s="640"/>
    </row>
    <row r="2" spans="1:18" s="94" customFormat="1" ht="18.75">
      <c r="A2" s="1504" t="s">
        <v>18</v>
      </c>
      <c r="B2" s="1504"/>
      <c r="C2" s="1504"/>
      <c r="D2" s="1504"/>
      <c r="E2" s="1504"/>
      <c r="F2" s="1504"/>
      <c r="G2" s="1504"/>
      <c r="H2" s="1504"/>
      <c r="I2" s="1504"/>
      <c r="J2" s="92"/>
      <c r="K2" s="92"/>
      <c r="L2" s="163"/>
      <c r="M2" s="640"/>
    </row>
    <row r="3" spans="1:18" s="94" customFormat="1" ht="15.75">
      <c r="A3" s="91" t="s">
        <v>432</v>
      </c>
      <c r="B3" s="91"/>
      <c r="C3" s="91"/>
      <c r="D3" s="91"/>
      <c r="E3" s="91"/>
      <c r="F3" s="91"/>
      <c r="G3" s="91"/>
      <c r="H3" s="91"/>
      <c r="I3" s="91"/>
      <c r="J3" s="92" t="s">
        <v>91</v>
      </c>
      <c r="K3" s="91"/>
      <c r="L3" s="164"/>
      <c r="M3" s="641"/>
    </row>
    <row r="4" spans="1:18" s="100" customFormat="1" ht="17.25" customHeight="1">
      <c r="A4" s="96"/>
      <c r="B4" s="96"/>
      <c r="C4" s="96"/>
      <c r="D4" s="96"/>
      <c r="E4" s="96"/>
      <c r="F4" s="96"/>
      <c r="G4" s="97"/>
      <c r="H4" s="96"/>
      <c r="I4" s="96"/>
      <c r="J4" s="98"/>
      <c r="K4" s="96"/>
      <c r="L4" s="165"/>
      <c r="M4" s="642" t="s">
        <v>381</v>
      </c>
    </row>
    <row r="5" spans="1:18" s="490" customFormat="1" ht="15.75">
      <c r="A5" s="60"/>
      <c r="B5" s="1548" t="s">
        <v>55</v>
      </c>
      <c r="C5" s="1548"/>
      <c r="D5" s="1548"/>
      <c r="E5" s="1549"/>
      <c r="F5" s="1550" t="s">
        <v>119</v>
      </c>
      <c r="G5" s="1551"/>
      <c r="H5" s="1551"/>
      <c r="I5" s="1551"/>
      <c r="J5" s="406" t="s">
        <v>91</v>
      </c>
      <c r="K5" s="406"/>
      <c r="L5" s="166"/>
      <c r="M5" s="643"/>
    </row>
    <row r="6" spans="1:18" s="378" customFormat="1" ht="50.25" customHeight="1">
      <c r="A6" s="644"/>
      <c r="B6" s="51" t="s">
        <v>87</v>
      </c>
      <c r="C6" s="52" t="s">
        <v>89</v>
      </c>
      <c r="D6" s="52" t="s">
        <v>306</v>
      </c>
      <c r="E6" s="52" t="s">
        <v>97</v>
      </c>
      <c r="F6" s="53" t="s">
        <v>87</v>
      </c>
      <c r="G6" s="52" t="s">
        <v>89</v>
      </c>
      <c r="H6" s="52" t="s">
        <v>306</v>
      </c>
      <c r="I6" s="52" t="s">
        <v>97</v>
      </c>
      <c r="J6" s="645"/>
      <c r="K6" s="379"/>
      <c r="L6" s="646"/>
      <c r="M6" s="643"/>
      <c r="N6" s="490" t="s">
        <v>91</v>
      </c>
      <c r="O6" s="490"/>
      <c r="P6" s="490"/>
      <c r="Q6" s="490"/>
      <c r="R6" s="490"/>
    </row>
    <row r="7" spans="1:18" s="490" customFormat="1" ht="16.5" customHeight="1">
      <c r="A7" s="406" t="s">
        <v>56</v>
      </c>
      <c r="B7" s="647">
        <f>IF($M7&gt;0,('Amounts Pivot Table'!I$630/$M7),0)</f>
        <v>5737.1957483987981</v>
      </c>
      <c r="C7" s="552">
        <f>IF($M7&gt;0,('Amounts Pivot Table'!I$633/$M7),0)</f>
        <v>588.88709434872681</v>
      </c>
      <c r="D7" s="552">
        <f>IF($M7&gt;0,('Amounts Pivot Table'!I$639/$M7),0)</f>
        <v>8556.5981375748379</v>
      </c>
      <c r="E7" s="552">
        <f>SUM(B7:D7)</f>
        <v>14882.680980322362</v>
      </c>
      <c r="F7" s="553"/>
      <c r="G7" s="554"/>
      <c r="H7" s="554"/>
      <c r="I7" s="554"/>
      <c r="J7" s="565"/>
      <c r="K7" s="406"/>
      <c r="L7" s="648"/>
      <c r="M7" s="825">
        <f>+'[1]NEW-Tables 80-86'!W70</f>
        <v>2394517.4750000001</v>
      </c>
    </row>
    <row r="8" spans="1:18" s="490" customFormat="1" ht="9" customHeight="1">
      <c r="A8" s="406"/>
      <c r="B8" s="552"/>
      <c r="C8" s="552"/>
      <c r="D8" s="552"/>
      <c r="E8" s="552"/>
      <c r="F8" s="553"/>
      <c r="G8" s="554"/>
      <c r="H8" s="554"/>
      <c r="I8" s="554"/>
      <c r="J8" s="565"/>
      <c r="K8" s="406"/>
      <c r="L8" s="648"/>
      <c r="M8" s="825"/>
    </row>
    <row r="9" spans="1:18" s="490" customFormat="1">
      <c r="A9" s="406" t="s">
        <v>320</v>
      </c>
      <c r="B9" s="558">
        <f>IF($M9&gt;0,('Amounts Pivot Table'!I$6/$M9),0)</f>
        <v>4738.0670704215763</v>
      </c>
      <c r="C9" s="555">
        <f>IF($M9&gt;0,('Amounts Pivot Table'!I$9/$M9),0)</f>
        <v>603.85370048343634</v>
      </c>
      <c r="D9" s="555">
        <f>IF($M9&gt;0,('Amounts Pivot Table'!I$15/$M9),0)</f>
        <v>12078.933431003776</v>
      </c>
      <c r="E9" s="555">
        <f>SUM(B9:D9)</f>
        <v>17420.854201908787</v>
      </c>
      <c r="F9" s="556">
        <f t="shared" ref="F9:I12" si="0">IF(B9&gt;0,RANK(B9,B$9:B$27),)</f>
        <v>12</v>
      </c>
      <c r="G9" s="557">
        <f t="shared" si="0"/>
        <v>9</v>
      </c>
      <c r="H9" s="557">
        <f t="shared" si="0"/>
        <v>4</v>
      </c>
      <c r="I9" s="557">
        <f t="shared" si="0"/>
        <v>5</v>
      </c>
      <c r="J9" s="555"/>
      <c r="K9" s="406"/>
      <c r="L9" s="648"/>
      <c r="M9" s="825">
        <f>+'[1]NEW-Tables 80-86'!W72</f>
        <v>128550.20833333333</v>
      </c>
    </row>
    <row r="10" spans="1:18" s="490" customFormat="1">
      <c r="A10" s="406" t="s">
        <v>334</v>
      </c>
      <c r="B10" s="558">
        <f>IF($M10&gt;0,('Amounts Pivot Table'!I$45/$M10),0)</f>
        <v>5433.8225790567276</v>
      </c>
      <c r="C10" s="555">
        <f>IF($M10&gt;0,('Amounts Pivot Table'!I$48/$M10),0)</f>
        <v>1163.6953302733307</v>
      </c>
      <c r="D10" s="555">
        <f>IF($M10&gt;0,('Amounts Pivot Table'!I$54/$M10),0)</f>
        <v>7801.4983111259662</v>
      </c>
      <c r="E10" s="555">
        <f t="shared" ref="E10:E27" si="1">SUM(B10:D10)</f>
        <v>14399.016220456026</v>
      </c>
      <c r="F10" s="556">
        <f t="shared" si="0"/>
        <v>9</v>
      </c>
      <c r="G10" s="557">
        <f t="shared" si="0"/>
        <v>2</v>
      </c>
      <c r="H10" s="557">
        <f t="shared" si="0"/>
        <v>10</v>
      </c>
      <c r="I10" s="557">
        <f t="shared" si="0"/>
        <v>9</v>
      </c>
      <c r="J10" s="555"/>
      <c r="K10" s="406"/>
      <c r="L10" s="648"/>
      <c r="M10" s="825">
        <f>+'[1]NEW-Tables 80-86'!W73</f>
        <v>80978.508333333331</v>
      </c>
    </row>
    <row r="11" spans="1:18" s="490" customFormat="1">
      <c r="A11" s="406" t="s">
        <v>321</v>
      </c>
      <c r="B11" s="558">
        <f>IF($M11&gt;0,('Amounts Pivot Table'!I$84/$M11),0)</f>
        <v>6216.4808571369485</v>
      </c>
      <c r="C11" s="558">
        <f>IF($M11&gt;0,('Amounts Pivot Table'!I$87/$M11),0)</f>
        <v>262.4552092167043</v>
      </c>
      <c r="D11" s="558">
        <f>IF($M11&gt;0,('Amounts Pivot Table'!I$93/$M11),0)</f>
        <v>23139.731151881195</v>
      </c>
      <c r="E11" s="558">
        <f>SUM(B11:D11)</f>
        <v>29618.667218234848</v>
      </c>
      <c r="F11" s="559">
        <f t="shared" si="0"/>
        <v>3</v>
      </c>
      <c r="G11" s="560">
        <f t="shared" si="0"/>
        <v>15</v>
      </c>
      <c r="H11" s="560">
        <f t="shared" si="0"/>
        <v>1</v>
      </c>
      <c r="I11" s="560">
        <f t="shared" si="0"/>
        <v>1</v>
      </c>
      <c r="J11" s="555"/>
      <c r="K11" s="406"/>
      <c r="L11" s="648"/>
      <c r="M11" s="825">
        <f>+'[1]NEW-Tables 80-86'!W74</f>
        <v>24173.499999999996</v>
      </c>
    </row>
    <row r="12" spans="1:18" s="490" customFormat="1">
      <c r="A12" s="406" t="s">
        <v>328</v>
      </c>
      <c r="B12" s="555">
        <f>IF($M12&gt;0,('Amounts Pivot Table'!I$123/$M12),0)</f>
        <v>6095.8573652580908</v>
      </c>
      <c r="C12" s="555">
        <f>IF($M12&gt;0,('Amounts Pivot Table'!I$126/$M12),0)</f>
        <v>733.82801840047284</v>
      </c>
      <c r="D12" s="555">
        <f>IF($M12&gt;0,('Amounts Pivot Table'!I$132/$M12),0)</f>
        <v>5628.7946187296438</v>
      </c>
      <c r="E12" s="555">
        <f t="shared" si="1"/>
        <v>12458.480002388207</v>
      </c>
      <c r="F12" s="556">
        <f t="shared" si="0"/>
        <v>4</v>
      </c>
      <c r="G12" s="557">
        <f t="shared" si="0"/>
        <v>6</v>
      </c>
      <c r="H12" s="557">
        <f t="shared" si="0"/>
        <v>16</v>
      </c>
      <c r="I12" s="557">
        <f t="shared" si="0"/>
        <v>14</v>
      </c>
      <c r="J12" s="555"/>
      <c r="K12" s="406"/>
      <c r="L12" s="648"/>
      <c r="M12" s="825">
        <f>+'[1]NEW-Tables 80-86'!W75</f>
        <v>292548.64166666666</v>
      </c>
    </row>
    <row r="13" spans="1:18" s="490" customFormat="1">
      <c r="A13" s="406"/>
      <c r="B13" s="555"/>
      <c r="C13" s="555"/>
      <c r="D13" s="555"/>
      <c r="E13" s="555"/>
      <c r="F13" s="556"/>
      <c r="G13" s="557"/>
      <c r="H13" s="557"/>
      <c r="I13" s="557"/>
      <c r="J13" s="555"/>
      <c r="K13" s="406"/>
      <c r="L13" s="648"/>
      <c r="M13" s="825"/>
    </row>
    <row r="14" spans="1:18" s="490" customFormat="1">
      <c r="A14" s="406" t="s">
        <v>329</v>
      </c>
      <c r="B14" s="555">
        <f>IF($M14&gt;0,('Amounts Pivot Table'!I$162/$M14),0)</f>
        <v>5683.579666917356</v>
      </c>
      <c r="C14" s="555">
        <f>IF($M14&gt;0,('Amounts Pivot Table'!I$165/$M14),0)</f>
        <v>383.35210991172096</v>
      </c>
      <c r="D14" s="555">
        <f>IF($M14&gt;0,('Amounts Pivot Table'!I$171/$M14),0)</f>
        <v>7540.7470372412699</v>
      </c>
      <c r="E14" s="555">
        <f t="shared" si="1"/>
        <v>13607.678814070347</v>
      </c>
      <c r="F14" s="556">
        <f t="shared" ref="F14:I17" si="2">IF(B14&gt;0,RANK(B14,B$9:B$27),)</f>
        <v>7</v>
      </c>
      <c r="G14" s="557">
        <f t="shared" si="2"/>
        <v>14</v>
      </c>
      <c r="H14" s="557">
        <f t="shared" si="2"/>
        <v>11</v>
      </c>
      <c r="I14" s="557">
        <f t="shared" si="2"/>
        <v>11</v>
      </c>
      <c r="J14" s="555"/>
      <c r="K14" s="406"/>
      <c r="L14" s="648"/>
      <c r="M14" s="825">
        <f>+'[1]NEW-Tables 80-86'!W77</f>
        <v>228769.05000000002</v>
      </c>
    </row>
    <row r="15" spans="1:18" s="490" customFormat="1">
      <c r="A15" s="406" t="s">
        <v>322</v>
      </c>
      <c r="B15" s="555">
        <f>IF($M15&gt;0,('Amounts Pivot Table'!I$201/$M15),0)</f>
        <v>5702.7125711993222</v>
      </c>
      <c r="C15" s="555">
        <f>IF($M15&gt;0,('Amounts Pivot Table'!I$204/$M15),0)</f>
        <v>894.93336161160425</v>
      </c>
      <c r="D15" s="555">
        <f>IF($M15&gt;0,('Amounts Pivot Table'!I$210/$M15),0)</f>
        <v>12346.287639408563</v>
      </c>
      <c r="E15" s="555">
        <f t="shared" si="1"/>
        <v>18943.933572219488</v>
      </c>
      <c r="F15" s="556">
        <f t="shared" si="2"/>
        <v>6</v>
      </c>
      <c r="G15" s="557">
        <f t="shared" si="2"/>
        <v>3</v>
      </c>
      <c r="H15" s="557">
        <f t="shared" si="2"/>
        <v>3</v>
      </c>
      <c r="I15" s="557">
        <f t="shared" si="2"/>
        <v>3</v>
      </c>
      <c r="J15" s="555"/>
      <c r="K15" s="406"/>
      <c r="L15" s="648"/>
      <c r="M15" s="825">
        <f>+'[1]NEW-Tables 80-86'!W78</f>
        <v>101137.72500000001</v>
      </c>
    </row>
    <row r="16" spans="1:18" s="490" customFormat="1">
      <c r="A16" s="406" t="s">
        <v>330</v>
      </c>
      <c r="B16" s="555">
        <f>IF($M16&gt;0,('Amounts Pivot Table'!I$240/$M16),0)</f>
        <v>3296.1801291602551</v>
      </c>
      <c r="C16" s="555">
        <f>IF($M16&gt;0,('Amounts Pivot Table'!I$243/$M16),0)</f>
        <v>636.00824913259578</v>
      </c>
      <c r="D16" s="555">
        <f>IF($M16&gt;0,('Amounts Pivot Table'!I$249/$M16),0)</f>
        <v>7278.7369752886489</v>
      </c>
      <c r="E16" s="555">
        <f t="shared" si="1"/>
        <v>11210.925353581501</v>
      </c>
      <c r="F16" s="556">
        <f t="shared" si="2"/>
        <v>15</v>
      </c>
      <c r="G16" s="557">
        <f t="shared" si="2"/>
        <v>7</v>
      </c>
      <c r="H16" s="557">
        <f t="shared" si="2"/>
        <v>13</v>
      </c>
      <c r="I16" s="557">
        <f t="shared" si="2"/>
        <v>16</v>
      </c>
      <c r="J16" s="555"/>
      <c r="K16" s="406"/>
      <c r="L16" s="648"/>
      <c r="M16" s="825">
        <f>+'[1]NEW-Tables 80-86'!W79</f>
        <v>119054.94166666668</v>
      </c>
    </row>
    <row r="17" spans="1:21" s="490" customFormat="1">
      <c r="A17" s="406" t="s">
        <v>333</v>
      </c>
      <c r="B17" s="555">
        <f>IF($M17&gt;0,('Amounts Pivot Table'!I$279/$M17),0)</f>
        <v>9266.137246385144</v>
      </c>
      <c r="C17" s="555">
        <f>IF($M17&gt;0,('Amounts Pivot Table'!I$282/$M17),0)</f>
        <v>551.88348392514354</v>
      </c>
      <c r="D17" s="555">
        <f>IF($M17&gt;0,('Amounts Pivot Table'!I$288/$M17),0)</f>
        <v>10711.972094816552</v>
      </c>
      <c r="E17" s="555">
        <f t="shared" si="1"/>
        <v>20529.992825126839</v>
      </c>
      <c r="F17" s="556">
        <f t="shared" si="2"/>
        <v>2</v>
      </c>
      <c r="G17" s="557">
        <f t="shared" si="2"/>
        <v>11</v>
      </c>
      <c r="H17" s="557">
        <f t="shared" si="2"/>
        <v>6</v>
      </c>
      <c r="I17" s="557">
        <f t="shared" si="2"/>
        <v>2</v>
      </c>
      <c r="J17" s="555"/>
      <c r="K17" s="406"/>
      <c r="L17" s="648"/>
      <c r="M17" s="825">
        <f>+'[1]NEW-Tables 80-86'!W80</f>
        <v>103486.15000000001</v>
      </c>
    </row>
    <row r="18" spans="1:21" s="490" customFormat="1">
      <c r="A18" s="406"/>
      <c r="B18" s="555"/>
      <c r="C18" s="555"/>
      <c r="D18" s="555"/>
      <c r="E18" s="555"/>
      <c r="F18" s="556"/>
      <c r="G18" s="557"/>
      <c r="H18" s="557"/>
      <c r="I18" s="557"/>
      <c r="J18" s="555"/>
      <c r="K18" s="406"/>
      <c r="L18" s="648"/>
      <c r="M18" s="825"/>
    </row>
    <row r="19" spans="1:21" s="490" customFormat="1">
      <c r="A19" s="406" t="s">
        <v>323</v>
      </c>
      <c r="B19" s="555">
        <f>IF($M19&gt;0,('Amounts Pivot Table'!I$318/$M19),0)</f>
        <v>5551.1242913800115</v>
      </c>
      <c r="C19" s="555">
        <f>IF($M19&gt;0,('Amounts Pivot Table'!I$321/$M19),0)</f>
        <v>1199.0969682054815</v>
      </c>
      <c r="D19" s="555">
        <f>IF($M19&gt;0,('Amounts Pivot Table'!I$327/$M19),0)</f>
        <v>8951.5633345431197</v>
      </c>
      <c r="E19" s="555">
        <f t="shared" si="1"/>
        <v>15701.784594128612</v>
      </c>
      <c r="F19" s="556">
        <f t="shared" ref="F19:I22" si="3">IF(B19&gt;0,RANK(B19,B$9:B$27),)</f>
        <v>8</v>
      </c>
      <c r="G19" s="557">
        <f t="shared" si="3"/>
        <v>1</v>
      </c>
      <c r="H19" s="557">
        <f t="shared" si="3"/>
        <v>7</v>
      </c>
      <c r="I19" s="557">
        <f t="shared" si="3"/>
        <v>8</v>
      </c>
      <c r="J19" s="555"/>
      <c r="K19" s="406"/>
      <c r="L19" s="648"/>
      <c r="M19" s="825">
        <f>+'[1]NEW-Tables 80-86'!W82</f>
        <v>68469.350000000006</v>
      </c>
    </row>
    <row r="20" spans="1:21" s="490" customFormat="1">
      <c r="A20" s="406" t="s">
        <v>324</v>
      </c>
      <c r="B20" s="555">
        <f>IF($M20&gt;0,('Amounts Pivot Table'!I$357/$M20),0)</f>
        <v>9491.545446055974</v>
      </c>
      <c r="C20" s="555">
        <f>IF($M20&gt;0,('Amounts Pivot Table'!I$360/$M20),0)</f>
        <v>461.72673985367248</v>
      </c>
      <c r="D20" s="555">
        <f>IF($M20&gt;0,('Amounts Pivot Table'!I$366/$M20),0)</f>
        <v>7078.6032610801694</v>
      </c>
      <c r="E20" s="555">
        <f t="shared" si="1"/>
        <v>17031.875446989816</v>
      </c>
      <c r="F20" s="556">
        <f t="shared" si="3"/>
        <v>1</v>
      </c>
      <c r="G20" s="557">
        <f t="shared" si="3"/>
        <v>13</v>
      </c>
      <c r="H20" s="557">
        <f t="shared" si="3"/>
        <v>14</v>
      </c>
      <c r="I20" s="557">
        <f t="shared" si="3"/>
        <v>6</v>
      </c>
      <c r="J20" s="555"/>
      <c r="K20" s="406"/>
      <c r="L20" s="648"/>
      <c r="M20" s="825">
        <f>+'[1]NEW-Tables 80-86'!W83</f>
        <v>196767.62500000003</v>
      </c>
    </row>
    <row r="21" spans="1:21" s="490" customFormat="1">
      <c r="A21" s="406" t="s">
        <v>331</v>
      </c>
      <c r="B21" s="555">
        <f>IF($M21&gt;0,('Amounts Pivot Table'!I$396/$M21),0)</f>
        <v>4848.7888655384777</v>
      </c>
      <c r="C21" s="555">
        <f>IF($M21&gt;0,('Amounts Pivot Table'!I$399/$M21),0)</f>
        <v>0</v>
      </c>
      <c r="D21" s="555">
        <f>IF($M21&gt;0,('Amounts Pivot Table'!I$405/$M21),0)</f>
        <v>7474.3721357787081</v>
      </c>
      <c r="E21" s="555">
        <f t="shared" si="1"/>
        <v>12323.161001317185</v>
      </c>
      <c r="F21" s="556">
        <f t="shared" si="3"/>
        <v>11</v>
      </c>
      <c r="G21" s="557">
        <f t="shared" si="3"/>
        <v>0</v>
      </c>
      <c r="H21" s="557">
        <f t="shared" si="3"/>
        <v>12</v>
      </c>
      <c r="I21" s="557">
        <f t="shared" si="3"/>
        <v>15</v>
      </c>
      <c r="J21" s="555"/>
      <c r="K21" s="406"/>
      <c r="L21" s="648"/>
      <c r="M21" s="825">
        <f>+'[1]NEW-Tables 80-86'!W84</f>
        <v>104034.96666666666</v>
      </c>
    </row>
    <row r="22" spans="1:21" s="490" customFormat="1">
      <c r="A22" s="406" t="s">
        <v>325</v>
      </c>
      <c r="B22" s="555">
        <f>IF($M22&gt;0,('Amounts Pivot Table'!I$435/$M22),0)</f>
        <v>2560.8071923823991</v>
      </c>
      <c r="C22" s="555">
        <f>IF($M22&gt;0,('Amounts Pivot Table'!I$438/$M22),0)</f>
        <v>771.31723764957462</v>
      </c>
      <c r="D22" s="555">
        <f>IF($M22&gt;0,('Amounts Pivot Table'!I$444/$M22),0)</f>
        <v>14421.251896453141</v>
      </c>
      <c r="E22" s="555">
        <f t="shared" si="1"/>
        <v>17753.376326485115</v>
      </c>
      <c r="F22" s="556">
        <f t="shared" si="3"/>
        <v>16</v>
      </c>
      <c r="G22" s="557">
        <f t="shared" si="3"/>
        <v>5</v>
      </c>
      <c r="H22" s="557">
        <f t="shared" si="3"/>
        <v>2</v>
      </c>
      <c r="I22" s="557">
        <f t="shared" si="3"/>
        <v>4</v>
      </c>
      <c r="J22" s="555"/>
      <c r="K22" s="406"/>
      <c r="L22" s="648"/>
      <c r="M22" s="825">
        <f>+'[1]NEW-Tables 80-86'!W85</f>
        <v>96891.400000000009</v>
      </c>
    </row>
    <row r="23" spans="1:21" s="490" customFormat="1">
      <c r="A23" s="406"/>
      <c r="B23" s="555"/>
      <c r="C23" s="555"/>
      <c r="D23" s="555"/>
      <c r="E23" s="555"/>
      <c r="F23" s="556"/>
      <c r="G23" s="557"/>
      <c r="H23" s="557"/>
      <c r="I23" s="557"/>
      <c r="J23" s="555"/>
      <c r="K23" s="406"/>
      <c r="L23" s="648"/>
      <c r="M23" s="825"/>
    </row>
    <row r="24" spans="1:21" s="490" customFormat="1">
      <c r="A24" s="406" t="s">
        <v>90</v>
      </c>
      <c r="B24" s="555">
        <f>IF($M24&gt;0,('Amounts Pivot Table'!I$474/$M24),0)</f>
        <v>5011.0974486518071</v>
      </c>
      <c r="C24" s="555">
        <f>IF($M24&gt;0,('Amounts Pivot Table'!I$477/$M24),0)</f>
        <v>609.42885666330858</v>
      </c>
      <c r="D24" s="555">
        <f>IF($M24&gt;0,('Amounts Pivot Table'!I$483/$M24),0)</f>
        <v>8693.617957000748</v>
      </c>
      <c r="E24" s="555">
        <f t="shared" si="1"/>
        <v>14314.144262315864</v>
      </c>
      <c r="F24" s="556">
        <f t="shared" ref="F24:I27" si="4">IF(B24&gt;0,RANK(B24,B$9:B$27),)</f>
        <v>10</v>
      </c>
      <c r="G24" s="557">
        <f t="shared" si="4"/>
        <v>8</v>
      </c>
      <c r="H24" s="557">
        <f t="shared" si="4"/>
        <v>9</v>
      </c>
      <c r="I24" s="557">
        <f t="shared" si="4"/>
        <v>10</v>
      </c>
      <c r="J24" s="555"/>
      <c r="K24" s="406"/>
      <c r="L24" s="648"/>
      <c r="M24" s="825">
        <f>+'[1]NEW-Tables 80-86'!W87</f>
        <v>119124.94166666668</v>
      </c>
    </row>
    <row r="25" spans="1:21" s="490" customFormat="1">
      <c r="A25" s="406" t="s">
        <v>326</v>
      </c>
      <c r="B25" s="555">
        <f>IF($M25&gt;0,('Amounts Pivot Table'!I$513/$M25),0)</f>
        <v>5992.2015441744988</v>
      </c>
      <c r="C25" s="555">
        <f>IF($M25&gt;0,('Amounts Pivot Table'!I$516/$M25),0)</f>
        <v>478.20393882103212</v>
      </c>
      <c r="D25" s="555">
        <f>IF($M25&gt;0,('Amounts Pivot Table'!I$522/$M25),0)</f>
        <v>6931.5644997892123</v>
      </c>
      <c r="E25" s="555">
        <f t="shared" si="1"/>
        <v>13401.969982784743</v>
      </c>
      <c r="F25" s="556">
        <f t="shared" si="4"/>
        <v>5</v>
      </c>
      <c r="G25" s="557">
        <f t="shared" si="4"/>
        <v>12</v>
      </c>
      <c r="H25" s="557">
        <f t="shared" si="4"/>
        <v>15</v>
      </c>
      <c r="I25" s="557">
        <f t="shared" si="4"/>
        <v>12</v>
      </c>
      <c r="J25" s="555"/>
      <c r="K25" s="406"/>
      <c r="L25" s="648"/>
      <c r="M25" s="825">
        <f>+'[1]NEW-Tables 80-86'!W88</f>
        <v>478504.8583333334</v>
      </c>
    </row>
    <row r="26" spans="1:21" s="76" customFormat="1" ht="12.75" customHeight="1">
      <c r="A26" s="406" t="s">
        <v>327</v>
      </c>
      <c r="B26" s="555">
        <f>IF($M26&gt;0,('Amounts Pivot Table'!I$552/$M26),0)</f>
        <v>4480.5657911321696</v>
      </c>
      <c r="C26" s="555">
        <f>IF($M26&gt;0,('Amounts Pivot Table'!I$555/$M26),0)</f>
        <v>573.76702086359489</v>
      </c>
      <c r="D26" s="555">
        <f>IF($M26&gt;0,('Amounts Pivot Table'!I$561/$M26),0)</f>
        <v>10821.777576423607</v>
      </c>
      <c r="E26" s="555">
        <f t="shared" si="1"/>
        <v>15876.110388419371</v>
      </c>
      <c r="F26" s="556">
        <f t="shared" si="4"/>
        <v>13</v>
      </c>
      <c r="G26" s="557">
        <f t="shared" si="4"/>
        <v>10</v>
      </c>
      <c r="H26" s="557">
        <f t="shared" si="4"/>
        <v>5</v>
      </c>
      <c r="I26" s="557">
        <f t="shared" si="4"/>
        <v>7</v>
      </c>
      <c r="J26" s="555"/>
      <c r="L26" s="169"/>
      <c r="M26" s="825">
        <f>+'[1]NEW-Tables 80-86'!W89</f>
        <v>194983.49666666664</v>
      </c>
      <c r="P26" s="490"/>
      <c r="Q26" s="490"/>
      <c r="R26" s="490"/>
      <c r="S26" s="490"/>
      <c r="T26" s="490"/>
      <c r="U26" s="490"/>
    </row>
    <row r="27" spans="1:21" s="490" customFormat="1">
      <c r="A27" s="407" t="s">
        <v>332</v>
      </c>
      <c r="B27" s="561">
        <f>IF($M27&gt;0,('Amounts Pivot Table'!I$591/$M27),0)</f>
        <v>3306.6656981814049</v>
      </c>
      <c r="C27" s="561">
        <f>IF($M27&gt;0,('Amounts Pivot Table'!I$594/$M27),0)</f>
        <v>792.19465548654443</v>
      </c>
      <c r="D27" s="561">
        <f>IF($M27&gt;0,('Amounts Pivot Table'!I$600/$M27),0)</f>
        <v>8876.945982627396</v>
      </c>
      <c r="E27" s="562">
        <f t="shared" si="1"/>
        <v>12975.806336295345</v>
      </c>
      <c r="F27" s="563">
        <f t="shared" si="4"/>
        <v>14</v>
      </c>
      <c r="G27" s="564">
        <f t="shared" si="4"/>
        <v>4</v>
      </c>
      <c r="H27" s="564">
        <f t="shared" si="4"/>
        <v>8</v>
      </c>
      <c r="I27" s="564">
        <f t="shared" si="4"/>
        <v>13</v>
      </c>
      <c r="J27" s="555"/>
      <c r="K27" s="406"/>
      <c r="L27" s="649"/>
      <c r="M27" s="825">
        <f>+'[1]NEW-Tables 80-86'!W90</f>
        <v>57042.111666666671</v>
      </c>
    </row>
    <row r="28" spans="1:21" s="490" customFormat="1" ht="40.5" customHeight="1">
      <c r="A28" s="1505" t="s">
        <v>17</v>
      </c>
      <c r="B28" s="1541"/>
      <c r="C28" s="1541"/>
      <c r="D28" s="1541"/>
      <c r="E28" s="1541"/>
      <c r="F28" s="1541"/>
      <c r="G28" s="1542"/>
      <c r="H28" s="1542"/>
      <c r="I28" s="1542"/>
      <c r="J28" s="651"/>
      <c r="K28" s="651"/>
      <c r="L28" s="652"/>
      <c r="M28" s="643"/>
    </row>
    <row r="29" spans="1:21" s="76" customFormat="1" ht="21" customHeight="1">
      <c r="A29" s="1505" t="s">
        <v>54</v>
      </c>
      <c r="B29" s="1547"/>
      <c r="C29" s="1547"/>
      <c r="D29" s="1547"/>
      <c r="E29" s="1547"/>
      <c r="F29" s="1547"/>
      <c r="G29" s="1547"/>
      <c r="H29" s="1547"/>
      <c r="I29" s="1547"/>
      <c r="J29" s="651"/>
      <c r="L29" s="169"/>
      <c r="M29" s="643"/>
      <c r="P29" s="490"/>
      <c r="Q29" s="490"/>
      <c r="R29" s="490"/>
      <c r="S29" s="490"/>
      <c r="T29" s="490"/>
      <c r="U29" s="490"/>
    </row>
    <row r="30" spans="1:21" s="490" customFormat="1" ht="19.5" customHeight="1">
      <c r="A30" s="1505" t="s">
        <v>389</v>
      </c>
      <c r="B30" s="1541"/>
      <c r="C30" s="1541"/>
      <c r="D30" s="1541"/>
      <c r="E30" s="1541"/>
      <c r="F30" s="1541"/>
      <c r="G30" s="1542"/>
      <c r="H30" s="1542"/>
      <c r="I30" s="1542"/>
      <c r="J30" s="653"/>
      <c r="K30" s="653"/>
      <c r="L30" s="652"/>
      <c r="M30" s="643"/>
    </row>
    <row r="31" spans="1:21" s="490" customFormat="1">
      <c r="A31" s="638"/>
      <c r="B31" s="651"/>
      <c r="C31" s="651"/>
      <c r="D31" s="651"/>
      <c r="E31" s="651"/>
      <c r="F31" s="651"/>
      <c r="G31" s="653"/>
      <c r="H31" s="653"/>
      <c r="I31" s="534" t="s">
        <v>1927</v>
      </c>
      <c r="J31" s="653"/>
      <c r="K31" s="653"/>
      <c r="L31" s="652"/>
      <c r="M31" s="643"/>
    </row>
    <row r="32" spans="1:21" s="490" customFormat="1" ht="15.75">
      <c r="A32" s="1504" t="s">
        <v>359</v>
      </c>
      <c r="B32" s="1504"/>
      <c r="C32" s="1504"/>
      <c r="D32" s="1504"/>
      <c r="E32" s="1504"/>
      <c r="F32" s="1504"/>
      <c r="G32" s="1504"/>
      <c r="H32" s="1504"/>
      <c r="I32" s="1504"/>
      <c r="J32" s="95"/>
      <c r="K32" s="95"/>
      <c r="L32" s="649"/>
      <c r="M32" s="654"/>
    </row>
    <row r="33" spans="1:13" s="490" customFormat="1" ht="18.75">
      <c r="A33" s="1504" t="s">
        <v>18</v>
      </c>
      <c r="B33" s="1504"/>
      <c r="C33" s="1504"/>
      <c r="D33" s="1504"/>
      <c r="E33" s="1504"/>
      <c r="F33" s="1504"/>
      <c r="G33" s="1504"/>
      <c r="H33" s="1504"/>
      <c r="I33" s="1504"/>
      <c r="J33" s="95"/>
      <c r="K33" s="95"/>
      <c r="L33" s="649"/>
      <c r="M33" s="655"/>
    </row>
    <row r="34" spans="1:13" s="490" customFormat="1" ht="15.75">
      <c r="A34" s="1504" t="s">
        <v>437</v>
      </c>
      <c r="B34" s="1504"/>
      <c r="C34" s="1504"/>
      <c r="D34" s="1504"/>
      <c r="E34" s="1504"/>
      <c r="F34" s="1504"/>
      <c r="G34" s="1504"/>
      <c r="H34" s="1504"/>
      <c r="I34" s="1504"/>
      <c r="J34" s="95"/>
      <c r="K34" s="95"/>
      <c r="L34" s="165"/>
      <c r="M34" s="643"/>
    </row>
    <row r="35" spans="1:13" s="490" customFormat="1" ht="9.75" customHeight="1">
      <c r="A35" s="91"/>
      <c r="B35" s="91"/>
      <c r="C35" s="91"/>
      <c r="D35" s="91"/>
      <c r="E35" s="91"/>
      <c r="F35" s="91"/>
      <c r="G35" s="108"/>
      <c r="H35" s="91"/>
      <c r="I35" s="91"/>
      <c r="J35" s="91"/>
      <c r="K35" s="91"/>
      <c r="L35" s="165"/>
      <c r="M35" s="642" t="s">
        <v>381</v>
      </c>
    </row>
    <row r="36" spans="1:13" s="490" customFormat="1" ht="17.25" customHeight="1">
      <c r="A36" s="60"/>
      <c r="B36" s="109" t="s">
        <v>55</v>
      </c>
      <c r="C36" s="656"/>
      <c r="D36" s="656"/>
      <c r="E36" s="656"/>
      <c r="F36" s="57" t="s">
        <v>119</v>
      </c>
      <c r="G36" s="58"/>
      <c r="H36" s="58"/>
      <c r="I36" s="58"/>
      <c r="L36" s="165"/>
      <c r="M36" s="643"/>
    </row>
    <row r="37" spans="1:13" s="378" customFormat="1" ht="45">
      <c r="A37" s="644"/>
      <c r="B37" s="51" t="s">
        <v>87</v>
      </c>
      <c r="C37" s="52" t="s">
        <v>89</v>
      </c>
      <c r="D37" s="52" t="s">
        <v>306</v>
      </c>
      <c r="E37" s="52" t="s">
        <v>97</v>
      </c>
      <c r="F37" s="53" t="s">
        <v>87</v>
      </c>
      <c r="G37" s="52" t="s">
        <v>89</v>
      </c>
      <c r="H37" s="52" t="s">
        <v>306</v>
      </c>
      <c r="I37" s="52" t="s">
        <v>97</v>
      </c>
      <c r="L37" s="172"/>
      <c r="M37" s="643"/>
    </row>
    <row r="38" spans="1:13" s="490" customFormat="1" ht="16.5" customHeight="1">
      <c r="A38" s="406" t="s">
        <v>56</v>
      </c>
      <c r="B38" s="552">
        <f>IF($M38&gt;0,('Amounts Pivot Table'!C$630/$M38),0)</f>
        <v>6383.1431490784689</v>
      </c>
      <c r="C38" s="552">
        <f>IF($M38&gt;0,('Amounts Pivot Table'!C$633/$M38),0)</f>
        <v>1109.4208202543061</v>
      </c>
      <c r="D38" s="552">
        <f>IF($M38&gt;0,('Amounts Pivot Table'!C$639/$M38),0)</f>
        <v>9959.1097552253559</v>
      </c>
      <c r="E38" s="552">
        <f>SUM(B38:D38)</f>
        <v>17451.673724558132</v>
      </c>
      <c r="F38" s="553"/>
      <c r="G38" s="554"/>
      <c r="H38" s="554"/>
      <c r="I38" s="554"/>
      <c r="J38" s="555"/>
      <c r="L38" s="648"/>
      <c r="M38" s="825">
        <f>+'[1]NEW-Tables 80-86'!Q70</f>
        <v>1139941.2875000001</v>
      </c>
    </row>
    <row r="39" spans="1:13" s="112" customFormat="1">
      <c r="A39" s="110"/>
      <c r="B39" s="190"/>
      <c r="C39" s="190"/>
      <c r="D39" s="190"/>
      <c r="E39" s="190"/>
      <c r="F39" s="191"/>
      <c r="G39" s="192"/>
      <c r="H39" s="192"/>
      <c r="I39" s="192"/>
      <c r="J39" s="111"/>
      <c r="L39" s="175"/>
      <c r="M39" s="825"/>
    </row>
    <row r="40" spans="1:13" s="490" customFormat="1" ht="12.75" customHeight="1">
      <c r="A40" s="406" t="s">
        <v>320</v>
      </c>
      <c r="B40" s="555">
        <f>IF($M40&gt;0,('Amounts Pivot Table'!C$6/$M40),0)</f>
        <v>4959.8316095318696</v>
      </c>
      <c r="C40" s="555">
        <f>IF($M40&gt;0,('Amounts Pivot Table'!C$9/$M40),0)</f>
        <v>1191.3331297193731</v>
      </c>
      <c r="D40" s="555">
        <f>IF($M40&gt;0,('Amounts Pivot Table'!C$15/$M40),0)</f>
        <v>16873.250674578929</v>
      </c>
      <c r="E40" s="555">
        <f>SUM(B40:D40)</f>
        <v>23024.415413830171</v>
      </c>
      <c r="F40" s="556">
        <f>IF(B40&gt;0,RANK(B40,$B$40:$B$58),)</f>
        <v>11</v>
      </c>
      <c r="G40" s="557">
        <f>IF(C40&gt;0,RANK(C40,C$40:C$58),)</f>
        <v>8</v>
      </c>
      <c r="H40" s="557">
        <f>IF(D40&gt;0,RANK(D40,D$40:D$58),)</f>
        <v>3</v>
      </c>
      <c r="I40" s="557">
        <f>IF(E40&gt;0,RANK(E40,E$40:E$58),)</f>
        <v>4</v>
      </c>
      <c r="J40" s="555"/>
      <c r="L40" s="648"/>
      <c r="M40" s="825">
        <f>+'[1]NEW-Tables 80-86'!Q72</f>
        <v>54815.058333333334</v>
      </c>
    </row>
    <row r="41" spans="1:13" s="490" customFormat="1" ht="12.75" customHeight="1">
      <c r="A41" s="406" t="s">
        <v>334</v>
      </c>
      <c r="B41" s="555">
        <f>IF($M41&gt;0,('Amounts Pivot Table'!C$45/$M41),0)</f>
        <v>5397.9723064353138</v>
      </c>
      <c r="C41" s="555">
        <f>IF($M41&gt;0,('Amounts Pivot Table'!C$48/$M41),0)</f>
        <v>3569.3904405598914</v>
      </c>
      <c r="D41" s="555">
        <f>IF($M41&gt;0,('Amounts Pivot Table'!C$54/$M41),0)</f>
        <v>9527.3591777935453</v>
      </c>
      <c r="E41" s="555">
        <f>SUM(B41:D41)</f>
        <v>18494.721924788748</v>
      </c>
      <c r="F41" s="556">
        <f t="shared" ref="F41:F58" si="5">IF(B41&gt;0,RANK(B41,$B$40:$B$58),)</f>
        <v>10</v>
      </c>
      <c r="G41" s="557">
        <f t="shared" ref="G41:I58" si="6">IF(C41&gt;0,RANK(C41,C$40:C$58),)</f>
        <v>1</v>
      </c>
      <c r="H41" s="557">
        <f t="shared" si="6"/>
        <v>10</v>
      </c>
      <c r="I41" s="557">
        <f t="shared" si="6"/>
        <v>8</v>
      </c>
      <c r="J41" s="555"/>
      <c r="L41" s="648"/>
      <c r="M41" s="825">
        <f>+'[1]NEW-Tables 80-86'!Q73</f>
        <v>23254.5</v>
      </c>
    </row>
    <row r="42" spans="1:13" s="490" customFormat="1" ht="12.75" customHeight="1">
      <c r="A42" s="406" t="s">
        <v>321</v>
      </c>
      <c r="B42" s="555">
        <f>IF($M42&gt;0,('Amounts Pivot Table'!C$84/$M42),0)</f>
        <v>5780.5706137887264</v>
      </c>
      <c r="C42" s="555">
        <f>IF($M42&gt;0,('Amounts Pivot Table'!C$87/$M42),0)</f>
        <v>316.30681459372687</v>
      </c>
      <c r="D42" s="555">
        <f>IF($M42&gt;0,('Amounts Pivot Table'!C$93/$M42),0)</f>
        <v>25439.802871016956</v>
      </c>
      <c r="E42" s="555">
        <f>SUM(B42:D42)</f>
        <v>31536.68029939941</v>
      </c>
      <c r="F42" s="556">
        <f t="shared" si="5"/>
        <v>8</v>
      </c>
      <c r="G42" s="557">
        <f t="shared" si="6"/>
        <v>15</v>
      </c>
      <c r="H42" s="557">
        <f t="shared" si="6"/>
        <v>1</v>
      </c>
      <c r="I42" s="557">
        <f t="shared" si="6"/>
        <v>1</v>
      </c>
      <c r="J42" s="555"/>
      <c r="L42" s="648"/>
      <c r="M42" s="825">
        <f>+'[1]NEW-Tables 80-86'!Q74</f>
        <v>20057.933333333331</v>
      </c>
    </row>
    <row r="43" spans="1:13" s="490" customFormat="1" ht="12.75" customHeight="1">
      <c r="A43" s="406" t="s">
        <v>328</v>
      </c>
      <c r="B43" s="555">
        <f>IF($M43&gt;0,('Amounts Pivot Table'!C$123/$M43),0)</f>
        <v>5959.1906925374269</v>
      </c>
      <c r="C43" s="555">
        <f>IF($M43&gt;0,('Amounts Pivot Table'!C$126/$M43),0)</f>
        <v>842.041884480004</v>
      </c>
      <c r="D43" s="555">
        <f>IF($M43&gt;0,('Amounts Pivot Table'!C$132/$M43),0)</f>
        <v>5647.9086751840987</v>
      </c>
      <c r="E43" s="555">
        <f>SUM(B43:D43)</f>
        <v>12449.141252201531</v>
      </c>
      <c r="F43" s="556">
        <f t="shared" si="5"/>
        <v>7</v>
      </c>
      <c r="G43" s="557">
        <f t="shared" si="6"/>
        <v>13</v>
      </c>
      <c r="H43" s="557">
        <f t="shared" si="6"/>
        <v>16</v>
      </c>
      <c r="I43" s="557">
        <f t="shared" si="6"/>
        <v>16</v>
      </c>
      <c r="J43" s="555"/>
      <c r="L43" s="648"/>
      <c r="M43" s="825">
        <f>+'[1]NEW-Tables 80-86'!Q75</f>
        <v>244872.32500000001</v>
      </c>
    </row>
    <row r="44" spans="1:13" s="112" customFormat="1">
      <c r="A44" s="110"/>
      <c r="B44" s="190"/>
      <c r="C44" s="190"/>
      <c r="D44" s="190"/>
      <c r="E44" s="190"/>
      <c r="F44" s="556"/>
      <c r="G44" s="557"/>
      <c r="H44" s="557"/>
      <c r="I44" s="557"/>
      <c r="J44" s="111"/>
      <c r="L44" s="175"/>
      <c r="M44" s="825"/>
    </row>
    <row r="45" spans="1:13" s="490" customFormat="1" ht="12.75" customHeight="1">
      <c r="A45" s="406" t="s">
        <v>329</v>
      </c>
      <c r="B45" s="555">
        <f>IF($M45&gt;0,('Amounts Pivot Table'!C$162/$M45),0)</f>
        <v>7310.9628129418279</v>
      </c>
      <c r="C45" s="555">
        <f>IF($M45&gt;0,('Amounts Pivot Table'!C$165/$M45),0)</f>
        <v>1123.7253751102382</v>
      </c>
      <c r="D45" s="555">
        <f>IF($M45&gt;0,('Amounts Pivot Table'!C$171/$M45),0)</f>
        <v>9114.2528641963945</v>
      </c>
      <c r="E45" s="555">
        <f>SUM(B45:D45)</f>
        <v>17548.941052248461</v>
      </c>
      <c r="F45" s="556">
        <f t="shared" si="5"/>
        <v>3</v>
      </c>
      <c r="G45" s="557">
        <f t="shared" si="6"/>
        <v>9</v>
      </c>
      <c r="H45" s="557">
        <f t="shared" si="6"/>
        <v>11</v>
      </c>
      <c r="I45" s="557">
        <f t="shared" si="6"/>
        <v>9</v>
      </c>
      <c r="J45" s="555"/>
      <c r="L45" s="648"/>
      <c r="M45" s="825">
        <f>+'[1]NEW-Tables 80-86'!Q77</f>
        <v>66673.733333333337</v>
      </c>
    </row>
    <row r="46" spans="1:13" s="490" customFormat="1" ht="12.75" customHeight="1">
      <c r="A46" s="406" t="s">
        <v>322</v>
      </c>
      <c r="B46" s="555">
        <f>IF($M46&gt;0,('Amounts Pivot Table'!C$201/$M46),0)</f>
        <v>7249.1733003692716</v>
      </c>
      <c r="C46" s="555">
        <f>IF($M46&gt;0,('Amounts Pivot Table'!C$204/$M46),0)</f>
        <v>1997.1020522264885</v>
      </c>
      <c r="D46" s="555">
        <f>IF($M46&gt;0,('Amounts Pivot Table'!C$210/$M46),0)</f>
        <v>14848.665943890319</v>
      </c>
      <c r="E46" s="555">
        <f>SUM(B46:D46)</f>
        <v>24094.941296486078</v>
      </c>
      <c r="F46" s="556">
        <f t="shared" si="5"/>
        <v>4</v>
      </c>
      <c r="G46" s="557">
        <f t="shared" si="6"/>
        <v>4</v>
      </c>
      <c r="H46" s="557">
        <f t="shared" si="6"/>
        <v>4</v>
      </c>
      <c r="I46" s="557">
        <f t="shared" si="6"/>
        <v>3</v>
      </c>
      <c r="J46" s="555"/>
      <c r="L46" s="648"/>
      <c r="M46" s="825">
        <f>+'[1]NEW-Tables 80-86'!Q78</f>
        <v>39760.475000000006</v>
      </c>
    </row>
    <row r="47" spans="1:13" s="490" customFormat="1" ht="12.75" customHeight="1">
      <c r="A47" s="406" t="s">
        <v>330</v>
      </c>
      <c r="B47" s="555">
        <f>IF($M47&gt;0,('Amounts Pivot Table'!C$240/$M47),0)</f>
        <v>3483.8138721054215</v>
      </c>
      <c r="C47" s="555">
        <f>IF($M47&gt;0,('Amounts Pivot Table'!C$243/$M47),0)</f>
        <v>2409.4663996500535</v>
      </c>
      <c r="D47" s="555">
        <f>IF($M47&gt;0,('Amounts Pivot Table'!C$249/$M47),0)</f>
        <v>10522.052416819313</v>
      </c>
      <c r="E47" s="555">
        <f>SUM(B47:D47)</f>
        <v>16415.332688574788</v>
      </c>
      <c r="F47" s="556">
        <f t="shared" si="5"/>
        <v>14</v>
      </c>
      <c r="G47" s="557">
        <f t="shared" si="6"/>
        <v>2</v>
      </c>
      <c r="H47" s="557">
        <f t="shared" si="6"/>
        <v>8</v>
      </c>
      <c r="I47" s="557">
        <f t="shared" si="6"/>
        <v>12</v>
      </c>
      <c r="J47" s="555"/>
      <c r="L47" s="648"/>
      <c r="M47" s="825">
        <f>+'[1]NEW-Tables 80-86'!Q79</f>
        <v>29261.599999999999</v>
      </c>
    </row>
    <row r="48" spans="1:13" s="490" customFormat="1" ht="12.75" customHeight="1">
      <c r="A48" s="406" t="s">
        <v>333</v>
      </c>
      <c r="B48" s="555">
        <f>IF($M48&gt;0,('Amounts Pivot Table'!C$279/$M48),0)</f>
        <v>13357.056254487416</v>
      </c>
      <c r="C48" s="555">
        <f>IF($M48&gt;0,('Amounts Pivot Table'!C$282/$M48),0)</f>
        <v>1741.2259127653767</v>
      </c>
      <c r="D48" s="555">
        <f>IF($M48&gt;0,('Amounts Pivot Table'!C$288/$M48),0)</f>
        <v>14823.504720267194</v>
      </c>
      <c r="E48" s="555">
        <f>SUM(B48:D48)</f>
        <v>29921.786887519986</v>
      </c>
      <c r="F48" s="556">
        <f t="shared" si="5"/>
        <v>1</v>
      </c>
      <c r="G48" s="557">
        <f t="shared" si="6"/>
        <v>5</v>
      </c>
      <c r="H48" s="557">
        <f t="shared" si="6"/>
        <v>5</v>
      </c>
      <c r="I48" s="557">
        <f t="shared" si="6"/>
        <v>2</v>
      </c>
      <c r="J48" s="555"/>
      <c r="L48" s="648"/>
      <c r="M48" s="825">
        <f>+'[1]NEW-Tables 80-86'!Q80</f>
        <v>32800.050000000003</v>
      </c>
    </row>
    <row r="49" spans="1:13" s="112" customFormat="1">
      <c r="A49" s="110"/>
      <c r="B49" s="190"/>
      <c r="C49" s="190"/>
      <c r="D49" s="190"/>
      <c r="E49" s="190"/>
      <c r="F49" s="556"/>
      <c r="G49" s="557"/>
      <c r="H49" s="557"/>
      <c r="I49" s="557"/>
      <c r="J49" s="111"/>
      <c r="L49" s="175"/>
      <c r="M49" s="825"/>
    </row>
    <row r="50" spans="1:13" s="490" customFormat="1" ht="12.75" customHeight="1">
      <c r="A50" s="406" t="s">
        <v>323</v>
      </c>
      <c r="B50" s="555">
        <f>IF($M50&gt;0,('Amounts Pivot Table'!C$318/$M50),0)</f>
        <v>5455.9831119746541</v>
      </c>
      <c r="C50" s="555">
        <f>IF($M50&gt;0,('Amounts Pivot Table'!C$321/$M50),0)</f>
        <v>2168.5225808920791</v>
      </c>
      <c r="D50" s="555">
        <f>IF($M50&gt;0,('Amounts Pivot Table'!C$327/$M50),0)</f>
        <v>8774.8996611594812</v>
      </c>
      <c r="E50" s="555">
        <f>SUM(B50:D50)</f>
        <v>16399.405354026214</v>
      </c>
      <c r="F50" s="556">
        <f t="shared" si="5"/>
        <v>9</v>
      </c>
      <c r="G50" s="557">
        <f t="shared" si="6"/>
        <v>3</v>
      </c>
      <c r="H50" s="557">
        <f t="shared" si="6"/>
        <v>13</v>
      </c>
      <c r="I50" s="557">
        <f t="shared" si="6"/>
        <v>13</v>
      </c>
      <c r="J50" s="555"/>
      <c r="L50" s="648"/>
      <c r="M50" s="825">
        <f>+'[1]NEW-Tables 80-86'!Q82</f>
        <v>31789.783333333333</v>
      </c>
    </row>
    <row r="51" spans="1:13" s="490" customFormat="1" ht="12.75" customHeight="1">
      <c r="A51" s="406" t="s">
        <v>324</v>
      </c>
      <c r="B51" s="555">
        <f>IF($M51&gt;0,('Amounts Pivot Table'!C$357/$M51),0)</f>
        <v>10029.109414929733</v>
      </c>
      <c r="C51" s="555">
        <f>IF($M51&gt;0,('Amounts Pivot Table'!C$360/$M51),0)</f>
        <v>966.65653639352934</v>
      </c>
      <c r="D51" s="555">
        <f>IF($M51&gt;0,('Amounts Pivot Table'!C$366/$M51),0)</f>
        <v>8869.2697602834996</v>
      </c>
      <c r="E51" s="555">
        <f>SUM(B51:D51)</f>
        <v>19865.035711606761</v>
      </c>
      <c r="F51" s="556">
        <f t="shared" si="5"/>
        <v>2</v>
      </c>
      <c r="G51" s="557">
        <f t="shared" si="6"/>
        <v>12</v>
      </c>
      <c r="H51" s="557">
        <f t="shared" si="6"/>
        <v>12</v>
      </c>
      <c r="I51" s="557">
        <f t="shared" si="6"/>
        <v>6</v>
      </c>
      <c r="J51" s="555"/>
      <c r="L51" s="648"/>
      <c r="M51" s="825">
        <f>+'[1]NEW-Tables 80-86'!Q83</f>
        <v>93986.716666666674</v>
      </c>
    </row>
    <row r="52" spans="1:13" s="490" customFormat="1" ht="12.75" customHeight="1">
      <c r="A52" s="406" t="s">
        <v>331</v>
      </c>
      <c r="B52" s="555">
        <f>IF($M52&gt;0,('Amounts Pivot Table'!C$396/$M52),0)</f>
        <v>4852.2383372530803</v>
      </c>
      <c r="C52" s="555">
        <f>IF($M52&gt;0,('Amounts Pivot Table'!C$399/$M52),0)</f>
        <v>0</v>
      </c>
      <c r="D52" s="555">
        <f>IF($M52&gt;0,('Amounts Pivot Table'!C$405/$M52),0)</f>
        <v>8547.0861949688551</v>
      </c>
      <c r="E52" s="555">
        <f>SUM(B52:D52)</f>
        <v>13399.324532221935</v>
      </c>
      <c r="F52" s="556">
        <f t="shared" si="5"/>
        <v>12</v>
      </c>
      <c r="G52" s="557">
        <f t="shared" si="6"/>
        <v>0</v>
      </c>
      <c r="H52" s="557">
        <f t="shared" si="6"/>
        <v>14</v>
      </c>
      <c r="I52" s="557">
        <f t="shared" si="6"/>
        <v>15</v>
      </c>
      <c r="J52" s="555"/>
      <c r="L52" s="648"/>
      <c r="M52" s="825">
        <f>+'[1]NEW-Tables 80-86'!Q84</f>
        <v>56675.291666666664</v>
      </c>
    </row>
    <row r="53" spans="1:13" s="490" customFormat="1" ht="12.75" customHeight="1">
      <c r="A53" s="406" t="s">
        <v>325</v>
      </c>
      <c r="B53" s="555">
        <f>IF($M53&gt;0,('Amounts Pivot Table'!C$435/$M53),0)</f>
        <v>3124.8667882901891</v>
      </c>
      <c r="C53" s="555">
        <f>IF($M53&gt;0,('Amounts Pivot Table'!C$438/$M53),0)</f>
        <v>1014.8498102683336</v>
      </c>
      <c r="D53" s="555">
        <f>IF($M53&gt;0,('Amounts Pivot Table'!C$444/$M53),0)</f>
        <v>17313.268540999579</v>
      </c>
      <c r="E53" s="555">
        <f>SUM(B53:D53)</f>
        <v>21452.985139558103</v>
      </c>
      <c r="F53" s="556">
        <f t="shared" si="5"/>
        <v>15</v>
      </c>
      <c r="G53" s="557">
        <f t="shared" si="6"/>
        <v>10</v>
      </c>
      <c r="H53" s="557">
        <f t="shared" si="6"/>
        <v>2</v>
      </c>
      <c r="I53" s="557">
        <f t="shared" si="6"/>
        <v>5</v>
      </c>
      <c r="J53" s="555"/>
      <c r="L53" s="648"/>
      <c r="M53" s="825">
        <f>+'[1]NEW-Tables 80-86'!Q85</f>
        <v>48597.14166666667</v>
      </c>
    </row>
    <row r="54" spans="1:13" s="112" customFormat="1">
      <c r="A54" s="110"/>
      <c r="B54" s="190"/>
      <c r="C54" s="190"/>
      <c r="D54" s="190"/>
      <c r="E54" s="190"/>
      <c r="F54" s="556"/>
      <c r="G54" s="557"/>
      <c r="H54" s="557"/>
      <c r="I54" s="557"/>
      <c r="J54" s="111"/>
      <c r="L54" s="175"/>
      <c r="M54" s="825"/>
    </row>
    <row r="55" spans="1:13" s="490" customFormat="1" ht="12.75" customHeight="1">
      <c r="A55" s="406" t="s">
        <v>90</v>
      </c>
      <c r="B55" s="555">
        <f>IF($M55&gt;0,('Amounts Pivot Table'!C$474/$M55),0)</f>
        <v>6762.4359409250474</v>
      </c>
      <c r="C55" s="555">
        <f>IF($M55&gt;0,('Amounts Pivot Table'!C$477/$M55),0)</f>
        <v>1584.8492358168407</v>
      </c>
      <c r="D55" s="555">
        <f>IF($M55&gt;0,('Amounts Pivot Table'!C$483/$M55),0)</f>
        <v>10323.040502760548</v>
      </c>
      <c r="E55" s="555">
        <f>SUM(B55:D55)</f>
        <v>18670.325679502435</v>
      </c>
      <c r="F55" s="556">
        <f t="shared" si="5"/>
        <v>6</v>
      </c>
      <c r="G55" s="557">
        <f t="shared" si="6"/>
        <v>6</v>
      </c>
      <c r="H55" s="557">
        <f t="shared" si="6"/>
        <v>9</v>
      </c>
      <c r="I55" s="557">
        <f t="shared" si="6"/>
        <v>7</v>
      </c>
      <c r="J55" s="555"/>
      <c r="K55" s="565"/>
      <c r="L55" s="648"/>
      <c r="M55" s="825">
        <f>+'[1]NEW-Tables 80-86'!Q87</f>
        <v>41939.116666666669</v>
      </c>
    </row>
    <row r="56" spans="1:13" s="490" customFormat="1" ht="12.75" customHeight="1">
      <c r="A56" s="406" t="s">
        <v>326</v>
      </c>
      <c r="B56" s="555">
        <f>IF($M56&gt;0,('Amounts Pivot Table'!C$513/$M56),0)</f>
        <v>7242.9794903930606</v>
      </c>
      <c r="C56" s="555">
        <f>IF($M56&gt;0,('Amounts Pivot Table'!C$516/$M56),0)</f>
        <v>1004.2722005076204</v>
      </c>
      <c r="D56" s="555">
        <f>IF($M56&gt;0,('Amounts Pivot Table'!C$522/$M56),0)</f>
        <v>8505.6789779516675</v>
      </c>
      <c r="E56" s="555">
        <f>SUM(B56:D56)</f>
        <v>16752.93066885235</v>
      </c>
      <c r="F56" s="556">
        <f t="shared" si="5"/>
        <v>5</v>
      </c>
      <c r="G56" s="557">
        <f t="shared" si="6"/>
        <v>11</v>
      </c>
      <c r="H56" s="557">
        <f t="shared" si="6"/>
        <v>15</v>
      </c>
      <c r="I56" s="557">
        <f t="shared" si="6"/>
        <v>11</v>
      </c>
      <c r="J56" s="555"/>
      <c r="K56" s="565"/>
      <c r="L56" s="648"/>
      <c r="M56" s="825">
        <f>+'[1]NEW-Tables 80-86'!Q88</f>
        <v>226616.15833333335</v>
      </c>
    </row>
    <row r="57" spans="1:13" s="76" customFormat="1" ht="12.75" customHeight="1">
      <c r="A57" s="406" t="s">
        <v>327</v>
      </c>
      <c r="B57" s="555">
        <f>IF($M57&gt;0,('Amounts Pivot Table'!C$552/$M57),0)</f>
        <v>4442.3490139460237</v>
      </c>
      <c r="C57" s="555">
        <f>IF($M57&gt;0,('Amounts Pivot Table'!C$555/$M57),0)</f>
        <v>754.68561203563377</v>
      </c>
      <c r="D57" s="555">
        <f>IF($M57&gt;0,('Amounts Pivot Table'!C$561/$M57),0)</f>
        <v>12076.212195736556</v>
      </c>
      <c r="E57" s="555">
        <f>SUM(B57:D57)</f>
        <v>17273.246821718214</v>
      </c>
      <c r="F57" s="556">
        <f t="shared" si="5"/>
        <v>13</v>
      </c>
      <c r="G57" s="557">
        <f t="shared" si="6"/>
        <v>14</v>
      </c>
      <c r="H57" s="557">
        <f t="shared" si="6"/>
        <v>6</v>
      </c>
      <c r="I57" s="557">
        <f t="shared" si="6"/>
        <v>10</v>
      </c>
      <c r="J57" s="555"/>
      <c r="K57" s="565"/>
      <c r="L57" s="169"/>
      <c r="M57" s="825">
        <f>+'[1]NEW-Tables 80-86'!Q89</f>
        <v>102137.53750000001</v>
      </c>
    </row>
    <row r="58" spans="1:13" s="490" customFormat="1" ht="12.75" customHeight="1">
      <c r="A58" s="407" t="s">
        <v>332</v>
      </c>
      <c r="B58" s="561">
        <f>IF($M58&gt;0,('Amounts Pivot Table'!C$591/$M58),0)</f>
        <v>2488.786580220592</v>
      </c>
      <c r="C58" s="561">
        <f>IF($M58&gt;0,('Amounts Pivot Table'!C$594/$M58),0)</f>
        <v>1559.4151783262348</v>
      </c>
      <c r="D58" s="561">
        <f>IF($M58&gt;0,('Amounts Pivot Table'!C$600/$M58),0)</f>
        <v>10809.258696618217</v>
      </c>
      <c r="E58" s="562">
        <f>SUM(B58:D58)</f>
        <v>14857.460455165045</v>
      </c>
      <c r="F58" s="563">
        <f t="shared" si="5"/>
        <v>16</v>
      </c>
      <c r="G58" s="564">
        <f t="shared" si="6"/>
        <v>7</v>
      </c>
      <c r="H58" s="564">
        <f t="shared" si="6"/>
        <v>7</v>
      </c>
      <c r="I58" s="564">
        <f t="shared" si="6"/>
        <v>14</v>
      </c>
      <c r="J58" s="555"/>
      <c r="K58" s="565"/>
      <c r="L58" s="649"/>
      <c r="M58" s="825">
        <f>+'[1]NEW-Tables 80-86'!Q90</f>
        <v>26703.866666666669</v>
      </c>
    </row>
    <row r="59" spans="1:13" s="490" customFormat="1" ht="39.75" customHeight="1">
      <c r="A59" s="1505" t="s">
        <v>17</v>
      </c>
      <c r="B59" s="1541"/>
      <c r="C59" s="1541"/>
      <c r="D59" s="1541"/>
      <c r="E59" s="1541"/>
      <c r="F59" s="1541"/>
      <c r="G59" s="1542"/>
      <c r="H59" s="1542"/>
      <c r="I59" s="1542"/>
      <c r="J59" s="565"/>
      <c r="K59" s="565"/>
      <c r="L59" s="652"/>
      <c r="M59" s="657"/>
    </row>
    <row r="60" spans="1:13" s="76" customFormat="1" ht="22.5" customHeight="1">
      <c r="A60" s="1505" t="s">
        <v>54</v>
      </c>
      <c r="B60" s="1547"/>
      <c r="C60" s="1547"/>
      <c r="D60" s="1547"/>
      <c r="E60" s="1547"/>
      <c r="F60" s="1547"/>
      <c r="G60" s="1547"/>
      <c r="H60" s="1547"/>
      <c r="I60" s="1547"/>
      <c r="J60" s="651"/>
      <c r="L60" s="169"/>
      <c r="M60" s="643"/>
    </row>
    <row r="61" spans="1:13" s="490" customFormat="1">
      <c r="A61" s="1505" t="s">
        <v>233</v>
      </c>
      <c r="B61" s="1541"/>
      <c r="C61" s="1541"/>
      <c r="D61" s="1541"/>
      <c r="E61" s="1541"/>
      <c r="F61" s="1541"/>
      <c r="G61" s="1542"/>
      <c r="H61" s="1542"/>
      <c r="I61" s="1542"/>
      <c r="J61" s="1542"/>
      <c r="K61" s="1542"/>
      <c r="L61" s="652"/>
      <c r="M61" s="643"/>
    </row>
    <row r="62" spans="1:13" s="490" customFormat="1">
      <c r="A62" s="638"/>
      <c r="B62" s="651"/>
      <c r="C62" s="651"/>
      <c r="D62" s="651"/>
      <c r="E62" s="651"/>
      <c r="F62" s="651"/>
      <c r="G62" s="653"/>
      <c r="H62" s="653"/>
      <c r="I62" s="653"/>
      <c r="J62" s="653"/>
      <c r="K62" s="653"/>
      <c r="L62" s="652"/>
      <c r="M62" s="643"/>
    </row>
    <row r="63" spans="1:13" s="490" customFormat="1">
      <c r="A63" s="638"/>
      <c r="B63" s="651"/>
      <c r="C63" s="651"/>
      <c r="D63" s="651"/>
      <c r="E63" s="651"/>
      <c r="F63" s="651"/>
      <c r="G63" s="653"/>
      <c r="H63" s="653"/>
      <c r="I63" s="534" t="s">
        <v>1927</v>
      </c>
      <c r="J63" s="653"/>
      <c r="K63" s="653"/>
      <c r="L63" s="652"/>
      <c r="M63" s="643"/>
    </row>
    <row r="64" spans="1:13" s="490" customFormat="1" ht="15.75">
      <c r="A64" s="1504" t="s">
        <v>360</v>
      </c>
      <c r="B64" s="1504"/>
      <c r="C64" s="1504"/>
      <c r="D64" s="1504"/>
      <c r="E64" s="1504"/>
      <c r="F64" s="1504"/>
      <c r="G64" s="1504"/>
      <c r="H64" s="1504"/>
      <c r="I64" s="1504"/>
      <c r="J64" s="95"/>
      <c r="L64" s="649"/>
      <c r="M64" s="643"/>
    </row>
    <row r="65" spans="1:13" s="490" customFormat="1" ht="18.75">
      <c r="A65" s="1504" t="s">
        <v>18</v>
      </c>
      <c r="B65" s="1504"/>
      <c r="C65" s="1504"/>
      <c r="D65" s="1504"/>
      <c r="E65" s="1504"/>
      <c r="F65" s="1504"/>
      <c r="G65" s="1504"/>
      <c r="H65" s="1504"/>
      <c r="I65" s="1504"/>
      <c r="J65" s="95"/>
      <c r="K65" s="95"/>
      <c r="L65" s="649"/>
      <c r="M65" s="658"/>
    </row>
    <row r="66" spans="1:13" s="490" customFormat="1" ht="15.75">
      <c r="A66" s="1504" t="s">
        <v>438</v>
      </c>
      <c r="B66" s="1504"/>
      <c r="C66" s="1504"/>
      <c r="D66" s="1504"/>
      <c r="E66" s="1504"/>
      <c r="F66" s="1504"/>
      <c r="G66" s="1504"/>
      <c r="H66" s="1504"/>
      <c r="I66" s="1504"/>
      <c r="J66" s="95"/>
      <c r="K66" s="95"/>
      <c r="L66" s="165"/>
      <c r="M66" s="643"/>
    </row>
    <row r="67" spans="1:13" s="490" customFormat="1" ht="6.75" customHeight="1">
      <c r="A67" s="91"/>
      <c r="B67" s="91"/>
      <c r="C67" s="91"/>
      <c r="D67" s="91"/>
      <c r="E67" s="91"/>
      <c r="F67" s="91"/>
      <c r="G67" s="108" t="s">
        <v>91</v>
      </c>
      <c r="H67" s="91"/>
      <c r="I67" s="91"/>
      <c r="J67" s="91"/>
      <c r="K67" s="91"/>
      <c r="L67" s="165"/>
      <c r="M67" s="643"/>
    </row>
    <row r="68" spans="1:13" s="490" customFormat="1" ht="15.75" customHeight="1">
      <c r="A68" s="60"/>
      <c r="B68" s="109" t="s">
        <v>55</v>
      </c>
      <c r="C68" s="656"/>
      <c r="D68" s="656"/>
      <c r="E68" s="656"/>
      <c r="F68" s="57" t="s">
        <v>119</v>
      </c>
      <c r="G68" s="58"/>
      <c r="H68" s="58"/>
      <c r="I68" s="58"/>
      <c r="L68" s="165"/>
      <c r="M68" s="643"/>
    </row>
    <row r="69" spans="1:13" s="378" customFormat="1" ht="45">
      <c r="A69" s="644"/>
      <c r="B69" s="51" t="s">
        <v>87</v>
      </c>
      <c r="C69" s="52" t="s">
        <v>89</v>
      </c>
      <c r="D69" s="52" t="s">
        <v>306</v>
      </c>
      <c r="E69" s="52" t="s">
        <v>97</v>
      </c>
      <c r="F69" s="53" t="s">
        <v>87</v>
      </c>
      <c r="G69" s="52" t="s">
        <v>89</v>
      </c>
      <c r="H69" s="52" t="s">
        <v>306</v>
      </c>
      <c r="I69" s="52" t="s">
        <v>97</v>
      </c>
      <c r="L69" s="172"/>
      <c r="M69" s="826" t="s">
        <v>260</v>
      </c>
    </row>
    <row r="70" spans="1:13" s="490" customFormat="1" ht="16.5" customHeight="1">
      <c r="A70" s="406" t="s">
        <v>56</v>
      </c>
      <c r="B70" s="552">
        <f>IF($M70&gt;0,('Amounts Pivot Table'!D$630/$M70),0)</f>
        <v>5830.901350112711</v>
      </c>
      <c r="C70" s="552">
        <f>IF($M70&gt;0,('Amounts Pivot Table'!D$633/$M70),0)</f>
        <v>239.64776844445925</v>
      </c>
      <c r="D70" s="552">
        <f>IF($M70&gt;0,('Amounts Pivot Table'!D$639/$M70),0)</f>
        <v>8943.6114899847089</v>
      </c>
      <c r="E70" s="552">
        <f>SUM(B70:D70)</f>
        <v>15014.160608541879</v>
      </c>
      <c r="F70" s="553"/>
      <c r="G70" s="554"/>
      <c r="H70" s="554"/>
      <c r="I70" s="554"/>
      <c r="J70" s="552"/>
      <c r="L70" s="648"/>
      <c r="M70" s="825">
        <f>+'[1]NEW-Tables 80-86'!R70</f>
        <v>244953.0675</v>
      </c>
    </row>
    <row r="71" spans="1:13" s="490" customFormat="1" ht="10.5" customHeight="1">
      <c r="A71" s="406"/>
      <c r="B71" s="552"/>
      <c r="C71" s="552"/>
      <c r="D71" s="552"/>
      <c r="E71" s="552"/>
      <c r="F71" s="553"/>
      <c r="G71" s="554"/>
      <c r="H71" s="554"/>
      <c r="I71" s="554"/>
      <c r="J71" s="552"/>
      <c r="L71" s="648"/>
      <c r="M71" s="825"/>
    </row>
    <row r="72" spans="1:13" s="490" customFormat="1">
      <c r="A72" s="406" t="s">
        <v>320</v>
      </c>
      <c r="B72" s="555">
        <f>IF($M72&gt;0,('Amounts Pivot Table'!D$6/$M72),0)</f>
        <v>4396.2423291570476</v>
      </c>
      <c r="C72" s="555">
        <f>IF($M72&gt;0,('Amounts Pivot Table'!D$9/$M72),0)</f>
        <v>54.292967553473638</v>
      </c>
      <c r="D72" s="555">
        <f>IF($M72&gt;0,('Amounts Pivot Table'!D$15/$M72),0)</f>
        <v>11876.491501744476</v>
      </c>
      <c r="E72" s="555">
        <f>SUM(B72:D72)</f>
        <v>16327.026798454997</v>
      </c>
      <c r="F72" s="556">
        <f>IF(B72&gt;0,RANK(B72,$B$72:$B$90),)</f>
        <v>8</v>
      </c>
      <c r="G72" s="557">
        <f>IF(C72&gt;0,RANK(C72,$C$72:$C$90),)</f>
        <v>6</v>
      </c>
      <c r="H72" s="557">
        <f>IF(D72&gt;0,RANK(D72,$D$72:$D$90),)</f>
        <v>3</v>
      </c>
      <c r="I72" s="557">
        <f>IF(E72&gt;0,RANK(E72,$E$72:$E$90),)</f>
        <v>4</v>
      </c>
      <c r="J72" s="555"/>
      <c r="L72" s="648"/>
      <c r="M72" s="825">
        <f>+'[1]NEW-Tables 80-86'!R72</f>
        <v>16731.375</v>
      </c>
    </row>
    <row r="73" spans="1:13" s="490" customFormat="1">
      <c r="A73" s="406" t="s">
        <v>334</v>
      </c>
      <c r="B73" s="555">
        <f>IF($M73&gt;0,('Amounts Pivot Table'!D$45/$M73),0)</f>
        <v>6447.6742530340416</v>
      </c>
      <c r="C73" s="555">
        <f>IF($M73&gt;0,('Amounts Pivot Table'!D$48/$M73),0)</f>
        <v>373.4677344525719</v>
      </c>
      <c r="D73" s="555">
        <f>IF($M73&gt;0,('Amounts Pivot Table'!D$54/$M73),0)</f>
        <v>7835.2726626285057</v>
      </c>
      <c r="E73" s="555">
        <f>SUM(B73:D73)</f>
        <v>14656.414650115119</v>
      </c>
      <c r="F73" s="556">
        <f t="shared" ref="F73:F90" si="7">IF(B73&gt;0,RANK(B73,$B$72:$B$90),)</f>
        <v>4</v>
      </c>
      <c r="G73" s="557">
        <f t="shared" ref="G73:G90" si="8">IF(C73&gt;0,RANK(C73,$C$72:$C$90),)</f>
        <v>4</v>
      </c>
      <c r="H73" s="557">
        <f t="shared" ref="H73:H90" si="9">IF(D73&gt;0,RANK(D73,$D$72:$D$90),)</f>
        <v>7</v>
      </c>
      <c r="I73" s="557">
        <f t="shared" ref="I73:I90" si="10">IF(E73&gt;0,RANK(E73,$E$72:$E$90),)</f>
        <v>8</v>
      </c>
      <c r="J73" s="555"/>
      <c r="L73" s="648"/>
      <c r="M73" s="825">
        <f>+'[1]NEW-Tables 80-86'!R73</f>
        <v>9609.7083333333321</v>
      </c>
    </row>
    <row r="74" spans="1:13" s="490" customFormat="1">
      <c r="A74" s="406" t="s">
        <v>321</v>
      </c>
      <c r="B74" s="555">
        <f>IF($M74&gt;0,('Amounts Pivot Table'!D$84/$M74),0)</f>
        <v>0</v>
      </c>
      <c r="C74" s="555">
        <f>IF($M74&gt;0,('Amounts Pivot Table'!D$87/$M74),0)</f>
        <v>0</v>
      </c>
      <c r="D74" s="555">
        <f>IF($M74&gt;0,('Amounts Pivot Table'!D$93/$M74),0)</f>
        <v>0</v>
      </c>
      <c r="E74" s="555">
        <f>SUM(B74:D74)</f>
        <v>0</v>
      </c>
      <c r="F74" s="556">
        <f t="shared" si="7"/>
        <v>0</v>
      </c>
      <c r="G74" s="557">
        <f t="shared" si="8"/>
        <v>0</v>
      </c>
      <c r="H74" s="557">
        <f t="shared" si="9"/>
        <v>0</v>
      </c>
      <c r="I74" s="557">
        <f t="shared" si="10"/>
        <v>0</v>
      </c>
      <c r="J74" s="555"/>
      <c r="L74" s="648"/>
      <c r="M74" s="825">
        <f>+'[1]NEW-Tables 80-86'!R74</f>
        <v>0</v>
      </c>
    </row>
    <row r="75" spans="1:13" s="490" customFormat="1">
      <c r="A75" s="406" t="s">
        <v>328</v>
      </c>
      <c r="B75" s="555">
        <f>IF($M75&gt;0,('Amounts Pivot Table'!D$123/$M75),0)</f>
        <v>0</v>
      </c>
      <c r="C75" s="555">
        <f>IF($M75&gt;0,('Amounts Pivot Table'!D$126/$M75),0)</f>
        <v>0</v>
      </c>
      <c r="D75" s="555">
        <f>IF($M75&gt;0,('Amounts Pivot Table'!D$132/$M75),0)</f>
        <v>0</v>
      </c>
      <c r="E75" s="555">
        <f>SUM(B75:D75)</f>
        <v>0</v>
      </c>
      <c r="F75" s="556">
        <f t="shared" si="7"/>
        <v>0</v>
      </c>
      <c r="G75" s="557">
        <f t="shared" si="8"/>
        <v>0</v>
      </c>
      <c r="H75" s="557">
        <f t="shared" si="9"/>
        <v>0</v>
      </c>
      <c r="I75" s="557">
        <f t="shared" si="10"/>
        <v>0</v>
      </c>
      <c r="J75" s="555"/>
      <c r="L75" s="648"/>
      <c r="M75" s="825">
        <f>+'[1]NEW-Tables 80-86'!R75</f>
        <v>0</v>
      </c>
    </row>
    <row r="76" spans="1:13" s="490" customFormat="1" ht="7.5" customHeight="1">
      <c r="A76" s="406"/>
      <c r="B76" s="555"/>
      <c r="C76" s="555"/>
      <c r="D76" s="555"/>
      <c r="E76" s="555"/>
      <c r="F76" s="556"/>
      <c r="G76" s="557"/>
      <c r="H76" s="557"/>
      <c r="I76" s="557"/>
      <c r="J76" s="555"/>
      <c r="L76" s="648"/>
      <c r="M76" s="825"/>
    </row>
    <row r="77" spans="1:13" s="490" customFormat="1">
      <c r="A77" s="406" t="s">
        <v>329</v>
      </c>
      <c r="B77" s="555">
        <f>IF($M77&gt;0,('Amounts Pivot Table'!D$162/$M77),0)</f>
        <v>8714.8410028456765</v>
      </c>
      <c r="C77" s="555">
        <f>IF($M77&gt;0,('Amounts Pivot Table'!D$165/$M77),0)</f>
        <v>531.337225764349</v>
      </c>
      <c r="D77" s="555">
        <f>IF($M77&gt;0,('Amounts Pivot Table'!D$171/$M77),0)</f>
        <v>13714.053016033316</v>
      </c>
      <c r="E77" s="555">
        <f>SUM(B77:D77)</f>
        <v>22960.231244643343</v>
      </c>
      <c r="F77" s="556">
        <f t="shared" si="7"/>
        <v>3</v>
      </c>
      <c r="G77" s="557">
        <f t="shared" si="8"/>
        <v>3</v>
      </c>
      <c r="H77" s="557">
        <f t="shared" si="9"/>
        <v>1</v>
      </c>
      <c r="I77" s="557">
        <f t="shared" si="10"/>
        <v>1</v>
      </c>
      <c r="J77" s="555"/>
      <c r="L77" s="648"/>
      <c r="M77" s="825">
        <f>+'[1]NEW-Tables 80-86'!R77</f>
        <v>24045.241666666669</v>
      </c>
    </row>
    <row r="78" spans="1:13" s="490" customFormat="1">
      <c r="A78" s="406" t="s">
        <v>322</v>
      </c>
      <c r="B78" s="555">
        <f>IF($M78&gt;0,('Amounts Pivot Table'!D$201/$M78),0)</f>
        <v>0</v>
      </c>
      <c r="C78" s="555">
        <f>IF($M78&gt;0,('Amounts Pivot Table'!D$204/$M78),0)</f>
        <v>0</v>
      </c>
      <c r="D78" s="555">
        <f>IF($M78&gt;0,('Amounts Pivot Table'!D$210/$M78),0)</f>
        <v>0</v>
      </c>
      <c r="E78" s="555">
        <f>SUM(B78:D78)</f>
        <v>0</v>
      </c>
      <c r="F78" s="556">
        <f t="shared" si="7"/>
        <v>0</v>
      </c>
      <c r="G78" s="557">
        <f t="shared" si="8"/>
        <v>0</v>
      </c>
      <c r="H78" s="557">
        <f t="shared" si="9"/>
        <v>0</v>
      </c>
      <c r="I78" s="557">
        <f t="shared" si="10"/>
        <v>0</v>
      </c>
      <c r="J78" s="555"/>
      <c r="L78" s="648"/>
      <c r="M78" s="825">
        <f>+'[1]NEW-Tables 80-86'!R78</f>
        <v>0</v>
      </c>
    </row>
    <row r="79" spans="1:13" s="490" customFormat="1">
      <c r="A79" s="406" t="s">
        <v>330</v>
      </c>
      <c r="B79" s="555">
        <f>IF($M79&gt;0,('Amounts Pivot Table'!D$240/$M79),0)</f>
        <v>3564.4812600687883</v>
      </c>
      <c r="C79" s="555">
        <f>IF($M79&gt;0,('Amounts Pivot Table'!D$243/$M79),0)</f>
        <v>0</v>
      </c>
      <c r="D79" s="555">
        <f>IF($M79&gt;0,('Amounts Pivot Table'!D$249/$M79),0)</f>
        <v>6614.4533584684496</v>
      </c>
      <c r="E79" s="555">
        <f>SUM(B79:D79)</f>
        <v>10178.934618537238</v>
      </c>
      <c r="F79" s="556">
        <f t="shared" si="7"/>
        <v>10</v>
      </c>
      <c r="G79" s="557">
        <f t="shared" si="8"/>
        <v>0</v>
      </c>
      <c r="H79" s="557">
        <f t="shared" si="9"/>
        <v>9</v>
      </c>
      <c r="I79" s="557">
        <f t="shared" si="10"/>
        <v>10</v>
      </c>
      <c r="J79" s="555"/>
      <c r="L79" s="648"/>
      <c r="M79" s="825">
        <f>+'[1]NEW-Tables 80-86'!R79</f>
        <v>30855.458333333336</v>
      </c>
    </row>
    <row r="80" spans="1:13" s="490" customFormat="1">
      <c r="A80" s="406" t="s">
        <v>333</v>
      </c>
      <c r="B80" s="555">
        <f>IF($M80&gt;0,('Amounts Pivot Table'!D$279/$M80),0)</f>
        <v>9603.5841859312495</v>
      </c>
      <c r="C80" s="555">
        <f>IF($M80&gt;0,('Amounts Pivot Table'!D$282/$M80),0)</f>
        <v>0</v>
      </c>
      <c r="D80" s="555">
        <f>IF($M80&gt;0,('Amounts Pivot Table'!D$288/$M80),0)</f>
        <v>9091.651184196553</v>
      </c>
      <c r="E80" s="555">
        <f>SUM(B80:D80)</f>
        <v>18695.235370127804</v>
      </c>
      <c r="F80" s="556">
        <f t="shared" si="7"/>
        <v>1</v>
      </c>
      <c r="G80" s="557">
        <f t="shared" si="8"/>
        <v>0</v>
      </c>
      <c r="H80" s="557">
        <f t="shared" si="9"/>
        <v>6</v>
      </c>
      <c r="I80" s="557">
        <f t="shared" si="10"/>
        <v>2</v>
      </c>
      <c r="J80" s="555"/>
      <c r="L80" s="648"/>
      <c r="M80" s="825">
        <f>+'[1]NEW-Tables 80-86'!R80</f>
        <v>18831.333333333332</v>
      </c>
    </row>
    <row r="81" spans="1:13" s="490" customFormat="1" ht="6.75" customHeight="1">
      <c r="A81" s="406"/>
      <c r="B81" s="555"/>
      <c r="C81" s="555"/>
      <c r="D81" s="555"/>
      <c r="E81" s="555"/>
      <c r="F81" s="556"/>
      <c r="G81" s="557"/>
      <c r="H81" s="557"/>
      <c r="I81" s="557"/>
      <c r="J81" s="555"/>
      <c r="L81" s="648"/>
      <c r="M81" s="825"/>
    </row>
    <row r="82" spans="1:13" s="490" customFormat="1">
      <c r="A82" s="406" t="s">
        <v>323</v>
      </c>
      <c r="B82" s="555">
        <f>IF($M82&gt;0,('Amounts Pivot Table'!D$318/$M82),0)</f>
        <v>5023.3089565573218</v>
      </c>
      <c r="C82" s="555">
        <f>IF($M82&gt;0,('Amounts Pivot Table'!D$321/$M82),0)</f>
        <v>289.94571145493563</v>
      </c>
      <c r="D82" s="555">
        <f>IF($M82&gt;0,('Amounts Pivot Table'!D$327/$M82),0)</f>
        <v>10061.295280475466</v>
      </c>
      <c r="E82" s="555">
        <f>SUM(B82:D82)</f>
        <v>15374.549948487724</v>
      </c>
      <c r="F82" s="556">
        <f t="shared" si="7"/>
        <v>5</v>
      </c>
      <c r="G82" s="557">
        <f t="shared" si="8"/>
        <v>5</v>
      </c>
      <c r="H82" s="557">
        <f t="shared" si="9"/>
        <v>4</v>
      </c>
      <c r="I82" s="557">
        <f t="shared" si="10"/>
        <v>6</v>
      </c>
      <c r="J82" s="555"/>
      <c r="L82" s="648"/>
      <c r="M82" s="825">
        <f>+'[1]NEW-Tables 80-86'!R82</f>
        <v>25333.766666666666</v>
      </c>
    </row>
    <row r="83" spans="1:13" s="490" customFormat="1">
      <c r="A83" s="406" t="s">
        <v>324</v>
      </c>
      <c r="B83" s="555">
        <f>IF($M83&gt;0,('Amounts Pivot Table'!D$357/$M83),0)</f>
        <v>9108.9350951393371</v>
      </c>
      <c r="C83" s="555">
        <f>IF($M83&gt;0,('Amounts Pivot Table'!D$360/$M83),0)</f>
        <v>0</v>
      </c>
      <c r="D83" s="555">
        <f>IF($M83&gt;0,('Amounts Pivot Table'!D$366/$M83),0)</f>
        <v>6806.0019308620958</v>
      </c>
      <c r="E83" s="555">
        <f>SUM(B83:D83)</f>
        <v>15914.937026001433</v>
      </c>
      <c r="F83" s="556">
        <f t="shared" si="7"/>
        <v>2</v>
      </c>
      <c r="G83" s="557">
        <f t="shared" si="8"/>
        <v>0</v>
      </c>
      <c r="H83" s="557">
        <f t="shared" si="9"/>
        <v>8</v>
      </c>
      <c r="I83" s="557">
        <f t="shared" si="10"/>
        <v>5</v>
      </c>
      <c r="J83" s="555"/>
      <c r="L83" s="648"/>
      <c r="M83" s="825">
        <f>+'[1]NEW-Tables 80-86'!R83</f>
        <v>23003.541666666664</v>
      </c>
    </row>
    <row r="84" spans="1:13" s="490" customFormat="1">
      <c r="A84" s="406" t="s">
        <v>331</v>
      </c>
      <c r="B84" s="555">
        <f>IF($M84&gt;0,('Amounts Pivot Table'!D$396/$M84),0)</f>
        <v>0</v>
      </c>
      <c r="C84" s="555">
        <f>IF($M84&gt;0,('Amounts Pivot Table'!D$399/$M84),0)</f>
        <v>0</v>
      </c>
      <c r="D84" s="555">
        <f>IF($M84&gt;0,('Amounts Pivot Table'!D$405/$M84),0)</f>
        <v>0</v>
      </c>
      <c r="E84" s="555">
        <f>SUM(B84:D84)</f>
        <v>0</v>
      </c>
      <c r="F84" s="556">
        <f t="shared" si="7"/>
        <v>0</v>
      </c>
      <c r="G84" s="557">
        <f t="shared" si="8"/>
        <v>0</v>
      </c>
      <c r="H84" s="557">
        <f t="shared" si="9"/>
        <v>0</v>
      </c>
      <c r="I84" s="557">
        <f t="shared" si="10"/>
        <v>0</v>
      </c>
      <c r="J84" s="555"/>
      <c r="L84" s="648"/>
      <c r="M84" s="825">
        <f>+'[1]NEW-Tables 80-86'!R84</f>
        <v>0</v>
      </c>
    </row>
    <row r="85" spans="1:13" s="490" customFormat="1">
      <c r="A85" s="406" t="s">
        <v>325</v>
      </c>
      <c r="B85" s="555">
        <f>IF($M85&gt;0,('Amounts Pivot Table'!D$435/$M85),0)</f>
        <v>0</v>
      </c>
      <c r="C85" s="555">
        <f>IF($M85&gt;0,('Amounts Pivot Table'!D$438/$M85),0)</f>
        <v>0</v>
      </c>
      <c r="D85" s="555">
        <f>IF($M85&gt;0,('Amounts Pivot Table'!D$444/$M85),0)</f>
        <v>0</v>
      </c>
      <c r="E85" s="555">
        <f>SUM(B85:D85)</f>
        <v>0</v>
      </c>
      <c r="F85" s="556">
        <f t="shared" si="7"/>
        <v>0</v>
      </c>
      <c r="G85" s="557">
        <f t="shared" si="8"/>
        <v>0</v>
      </c>
      <c r="H85" s="557">
        <f t="shared" si="9"/>
        <v>0</v>
      </c>
      <c r="I85" s="557">
        <f t="shared" si="10"/>
        <v>0</v>
      </c>
      <c r="J85" s="555"/>
      <c r="L85" s="648"/>
      <c r="M85" s="825">
        <f>+'[1]NEW-Tables 80-86'!R85</f>
        <v>0</v>
      </c>
    </row>
    <row r="86" spans="1:13" s="490" customFormat="1" ht="7.5" customHeight="1">
      <c r="A86" s="406"/>
      <c r="B86" s="555"/>
      <c r="C86" s="555"/>
      <c r="D86" s="555"/>
      <c r="E86" s="555"/>
      <c r="F86" s="556"/>
      <c r="G86" s="557"/>
      <c r="H86" s="557"/>
      <c r="I86" s="557"/>
      <c r="J86" s="565"/>
      <c r="K86" s="565"/>
      <c r="L86" s="648"/>
      <c r="M86" s="825"/>
    </row>
    <row r="87" spans="1:13" s="490" customFormat="1">
      <c r="A87" s="406" t="s">
        <v>90</v>
      </c>
      <c r="B87" s="555">
        <f>IF($M87&gt;0,('Amounts Pivot Table'!D$474/$M87),0)</f>
        <v>4806.7789638450813</v>
      </c>
      <c r="C87" s="555">
        <f>IF($M87&gt;0,('Amounts Pivot Table'!D$477/$M87),0)</f>
        <v>817.90470007270562</v>
      </c>
      <c r="D87" s="555">
        <f>IF($M87&gt;0,('Amounts Pivot Table'!D$483/$M87),0)</f>
        <v>9259.1854748876613</v>
      </c>
      <c r="E87" s="555">
        <f>SUM(B87:D87)</f>
        <v>14883.869138805449</v>
      </c>
      <c r="F87" s="556">
        <f t="shared" si="7"/>
        <v>7</v>
      </c>
      <c r="G87" s="557">
        <f t="shared" si="8"/>
        <v>1</v>
      </c>
      <c r="H87" s="557">
        <f t="shared" si="9"/>
        <v>5</v>
      </c>
      <c r="I87" s="557">
        <f t="shared" si="10"/>
        <v>7</v>
      </c>
      <c r="J87" s="565"/>
      <c r="K87" s="565"/>
      <c r="L87" s="648"/>
      <c r="M87" s="825">
        <f>+'[1]NEW-Tables 80-86'!R87</f>
        <v>7495.9833333333336</v>
      </c>
    </row>
    <row r="88" spans="1:13" s="490" customFormat="1">
      <c r="A88" s="406" t="s">
        <v>326</v>
      </c>
      <c r="B88" s="555">
        <f>IF($M88&gt;0,('Amounts Pivot Table'!D$513/$M88),0)</f>
        <v>4956.3849446895656</v>
      </c>
      <c r="C88" s="555">
        <f>IF($M88&gt;0,('Amounts Pivot Table'!D$516/$M88),0)</f>
        <v>4.1825513797733223</v>
      </c>
      <c r="D88" s="555">
        <f>IF($M88&gt;0,('Amounts Pivot Table'!D$522/$M88),0)</f>
        <v>5711.4757868937349</v>
      </c>
      <c r="E88" s="555">
        <f>SUM(B88:D88)</f>
        <v>10672.043282963074</v>
      </c>
      <c r="F88" s="556">
        <f t="shared" si="7"/>
        <v>6</v>
      </c>
      <c r="G88" s="557">
        <f t="shared" si="8"/>
        <v>7</v>
      </c>
      <c r="H88" s="557">
        <f t="shared" si="9"/>
        <v>10</v>
      </c>
      <c r="I88" s="557">
        <f t="shared" si="10"/>
        <v>9</v>
      </c>
      <c r="J88" s="565"/>
      <c r="K88" s="565"/>
      <c r="L88" s="648"/>
      <c r="M88" s="825">
        <f>+'[1]NEW-Tables 80-86'!R88</f>
        <v>53346.625</v>
      </c>
    </row>
    <row r="89" spans="1:13" s="76" customFormat="1" ht="14.25" customHeight="1">
      <c r="A89" s="406" t="s">
        <v>327</v>
      </c>
      <c r="B89" s="555">
        <f>IF($M89&gt;0,('Amounts Pivot Table'!D$552/$M89),0)</f>
        <v>4346.3325070113733</v>
      </c>
      <c r="C89" s="555">
        <f>IF($M89&gt;0,('Amounts Pivot Table'!D$555/$M89),0)</f>
        <v>776.73511096779771</v>
      </c>
      <c r="D89" s="555">
        <f>IF($M89&gt;0,('Amounts Pivot Table'!D$561/$M89),0)</f>
        <v>11937.115046178411</v>
      </c>
      <c r="E89" s="555">
        <f>SUM(B89:D89)</f>
        <v>17060.182664157583</v>
      </c>
      <c r="F89" s="556">
        <f t="shared" si="7"/>
        <v>9</v>
      </c>
      <c r="G89" s="557">
        <f t="shared" si="8"/>
        <v>2</v>
      </c>
      <c r="H89" s="557">
        <f t="shared" si="9"/>
        <v>2</v>
      </c>
      <c r="I89" s="557">
        <f t="shared" si="10"/>
        <v>3</v>
      </c>
      <c r="J89" s="565"/>
      <c r="K89" s="565"/>
      <c r="L89" s="169"/>
      <c r="M89" s="825">
        <f>+'[1]NEW-Tables 80-86'!R89</f>
        <v>35700.034166666665</v>
      </c>
    </row>
    <row r="90" spans="1:13" s="490" customFormat="1">
      <c r="A90" s="407" t="s">
        <v>332</v>
      </c>
      <c r="B90" s="561">
        <f>IF($M90&gt;0,('Amounts Pivot Table'!D$591/$M90),0)</f>
        <v>0</v>
      </c>
      <c r="C90" s="561">
        <f>IF($M90&gt;0,('Amounts Pivot Table'!D$594/$M90),0)</f>
        <v>0</v>
      </c>
      <c r="D90" s="561">
        <f>IF($M90&gt;0,('Amounts Pivot Table'!D$600/$M90),0)</f>
        <v>0</v>
      </c>
      <c r="E90" s="562">
        <f>SUM(B90:D90)</f>
        <v>0</v>
      </c>
      <c r="F90" s="563">
        <f t="shared" si="7"/>
        <v>0</v>
      </c>
      <c r="G90" s="564">
        <f t="shared" si="8"/>
        <v>0</v>
      </c>
      <c r="H90" s="564">
        <f t="shared" si="9"/>
        <v>0</v>
      </c>
      <c r="I90" s="564">
        <f t="shared" si="10"/>
        <v>0</v>
      </c>
      <c r="J90" s="565"/>
      <c r="K90" s="565"/>
      <c r="L90" s="649"/>
      <c r="M90" s="825">
        <f>+'[1]NEW-Tables 80-86'!R90</f>
        <v>0</v>
      </c>
    </row>
    <row r="91" spans="1:13" s="490" customFormat="1" ht="39" customHeight="1">
      <c r="A91" s="1505" t="s">
        <v>17</v>
      </c>
      <c r="B91" s="1541"/>
      <c r="C91" s="1541"/>
      <c r="D91" s="1541"/>
      <c r="E91" s="1541"/>
      <c r="F91" s="1541"/>
      <c r="G91" s="1542"/>
      <c r="H91" s="1542"/>
      <c r="I91" s="1542"/>
      <c r="J91" s="565"/>
      <c r="K91" s="565"/>
      <c r="L91" s="652"/>
      <c r="M91" s="657"/>
    </row>
    <row r="92" spans="1:13" s="76" customFormat="1" ht="22.5" customHeight="1">
      <c r="A92" s="1505" t="s">
        <v>54</v>
      </c>
      <c r="B92" s="1547"/>
      <c r="C92" s="1547"/>
      <c r="D92" s="1547"/>
      <c r="E92" s="1547"/>
      <c r="F92" s="1547"/>
      <c r="G92" s="1547"/>
      <c r="H92" s="1547"/>
      <c r="I92" s="1547"/>
      <c r="J92" s="651"/>
      <c r="L92" s="169"/>
      <c r="M92" s="643"/>
    </row>
    <row r="93" spans="1:13" s="490" customFormat="1">
      <c r="A93" s="189" t="s">
        <v>233</v>
      </c>
      <c r="B93" s="406"/>
      <c r="C93" s="406"/>
      <c r="D93" s="406"/>
      <c r="E93" s="406"/>
      <c r="F93" s="406"/>
      <c r="L93" s="652"/>
      <c r="M93" s="643"/>
    </row>
    <row r="94" spans="1:13" s="490" customFormat="1">
      <c r="A94" s="189"/>
      <c r="B94" s="406"/>
      <c r="C94" s="406"/>
      <c r="D94" s="406"/>
      <c r="E94" s="406"/>
      <c r="F94" s="406"/>
      <c r="L94" s="652"/>
      <c r="M94" s="643"/>
    </row>
    <row r="95" spans="1:13" s="490" customFormat="1">
      <c r="A95" s="189"/>
      <c r="B95" s="406"/>
      <c r="C95" s="406"/>
      <c r="D95" s="406"/>
      <c r="E95" s="406"/>
      <c r="F95" s="406"/>
      <c r="I95" s="534" t="s">
        <v>1927</v>
      </c>
      <c r="L95" s="652"/>
      <c r="M95" s="643"/>
    </row>
    <row r="96" spans="1:13" s="490" customFormat="1" ht="15.75">
      <c r="A96" s="1504" t="s">
        <v>361</v>
      </c>
      <c r="B96" s="1504"/>
      <c r="C96" s="1504"/>
      <c r="D96" s="1504"/>
      <c r="E96" s="1504"/>
      <c r="F96" s="1504"/>
      <c r="G96" s="1504"/>
      <c r="H96" s="1504"/>
      <c r="I96" s="1504"/>
      <c r="J96" s="565"/>
      <c r="K96" s="565"/>
      <c r="L96" s="649"/>
      <c r="M96" s="643"/>
    </row>
    <row r="97" spans="1:13" s="490" customFormat="1" ht="18.75">
      <c r="A97" s="1504" t="s">
        <v>18</v>
      </c>
      <c r="B97" s="1504"/>
      <c r="C97" s="1504"/>
      <c r="D97" s="1504"/>
      <c r="E97" s="1504"/>
      <c r="F97" s="1504"/>
      <c r="G97" s="1504"/>
      <c r="H97" s="1504"/>
      <c r="I97" s="1504"/>
      <c r="J97" s="565"/>
      <c r="K97" s="565"/>
      <c r="L97" s="649"/>
      <c r="M97" s="643"/>
    </row>
    <row r="98" spans="1:13" s="490" customFormat="1" ht="15.75">
      <c r="A98" s="1504" t="s">
        <v>439</v>
      </c>
      <c r="B98" s="1504"/>
      <c r="C98" s="1504"/>
      <c r="D98" s="1504"/>
      <c r="E98" s="1504"/>
      <c r="F98" s="1504"/>
      <c r="G98" s="1504"/>
      <c r="H98" s="1504"/>
      <c r="I98" s="1504"/>
      <c r="J98" s="91"/>
      <c r="K98" s="91"/>
      <c r="L98" s="165"/>
      <c r="M98" s="643"/>
    </row>
    <row r="99" spans="1:13" s="490" customFormat="1" ht="9" customHeight="1">
      <c r="A99" s="91"/>
      <c r="B99" s="91"/>
      <c r="C99" s="91"/>
      <c r="D99" s="91"/>
      <c r="E99" s="91"/>
      <c r="F99" s="91"/>
      <c r="G99" s="108"/>
      <c r="H99" s="91"/>
      <c r="I99" s="91"/>
      <c r="J99" s="91"/>
      <c r="K99" s="91"/>
      <c r="L99" s="165"/>
      <c r="M99" s="643"/>
    </row>
    <row r="100" spans="1:13" s="490" customFormat="1" ht="15.75" customHeight="1">
      <c r="A100" s="60"/>
      <c r="B100" s="109" t="s">
        <v>55</v>
      </c>
      <c r="C100" s="656"/>
      <c r="D100" s="656"/>
      <c r="E100" s="656"/>
      <c r="F100" s="57" t="s">
        <v>119</v>
      </c>
      <c r="G100" s="58"/>
      <c r="H100" s="58"/>
      <c r="I100" s="58"/>
      <c r="L100" s="165"/>
      <c r="M100" s="643"/>
    </row>
    <row r="101" spans="1:13" s="378" customFormat="1" ht="45">
      <c r="A101" s="659"/>
      <c r="B101" s="51" t="s">
        <v>87</v>
      </c>
      <c r="C101" s="52" t="s">
        <v>89</v>
      </c>
      <c r="D101" s="52" t="s">
        <v>306</v>
      </c>
      <c r="E101" s="52" t="s">
        <v>97</v>
      </c>
      <c r="F101" s="53" t="s">
        <v>87</v>
      </c>
      <c r="G101" s="52" t="s">
        <v>89</v>
      </c>
      <c r="H101" s="52" t="s">
        <v>306</v>
      </c>
      <c r="I101" s="52" t="s">
        <v>97</v>
      </c>
      <c r="L101" s="172"/>
      <c r="M101" s="643" t="s">
        <v>260</v>
      </c>
    </row>
    <row r="102" spans="1:13" s="490" customFormat="1" ht="16.5" customHeight="1">
      <c r="A102" s="406" t="s">
        <v>56</v>
      </c>
      <c r="B102" s="552">
        <f>IF($M102&gt;0,('Amounts Pivot Table'!E$630/$M102),0)</f>
        <v>4857.4178667367787</v>
      </c>
      <c r="C102" s="552">
        <f>IF($M102&gt;0,('Amounts Pivot Table'!E$633/$M102),0)</f>
        <v>75.207893988551916</v>
      </c>
      <c r="D102" s="552">
        <f>IF($M102&gt;0,('Amounts Pivot Table'!E$639/$M102),0)</f>
        <v>6995.0233981973342</v>
      </c>
      <c r="E102" s="552">
        <f>SUM(B102:D102)</f>
        <v>11927.649158922664</v>
      </c>
      <c r="F102" s="553"/>
      <c r="G102" s="554"/>
      <c r="H102" s="554"/>
      <c r="I102" s="554"/>
      <c r="J102" s="552"/>
      <c r="L102" s="648"/>
      <c r="M102" s="825">
        <f>+'[1]NEW-Tables 80-86'!S70</f>
        <v>670168.18750000023</v>
      </c>
    </row>
    <row r="103" spans="1:13" s="112" customFormat="1">
      <c r="A103" s="110"/>
      <c r="B103" s="111"/>
      <c r="C103" s="111"/>
      <c r="D103" s="111"/>
      <c r="E103" s="111"/>
      <c r="F103" s="119"/>
      <c r="G103" s="120"/>
      <c r="H103" s="120"/>
      <c r="I103" s="120"/>
      <c r="J103" s="111"/>
      <c r="L103" s="175"/>
      <c r="M103" s="825"/>
    </row>
    <row r="104" spans="1:13" s="490" customFormat="1" ht="12.75" customHeight="1">
      <c r="A104" s="406" t="s">
        <v>320</v>
      </c>
      <c r="B104" s="555">
        <f>IF($M104&gt;0,('Amounts Pivot Table'!E$6/$M104),0)</f>
        <v>4095.3681468158393</v>
      </c>
      <c r="C104" s="555">
        <f>IF($M104&gt;0,('Amounts Pivot Table'!E$9/$M104),0)</f>
        <v>284.02838706284541</v>
      </c>
      <c r="D104" s="555">
        <f>IF($M104&gt;0,('Amounts Pivot Table'!E$15/$M104),0)</f>
        <v>7415.514356327295</v>
      </c>
      <c r="E104" s="555">
        <f>SUM(B104:D104)</f>
        <v>11794.91089020598</v>
      </c>
      <c r="F104" s="556">
        <f>IF(B104&gt;0,RANK(B104,$B$104:$B$122),)</f>
        <v>12</v>
      </c>
      <c r="G104" s="557">
        <f>IF(C104&gt;0,RANK(C104,$C$104:$C$122),)</f>
        <v>2</v>
      </c>
      <c r="H104" s="557">
        <f>IF(D104&gt;0,RANK(D104,$D$104:$D$122),)</f>
        <v>8</v>
      </c>
      <c r="I104" s="557">
        <f>IF(E104&gt;0,RANK(E104,$E$104:$E$122),)</f>
        <v>10</v>
      </c>
      <c r="J104" s="555"/>
      <c r="L104" s="648"/>
      <c r="M104" s="825">
        <f>+'[1]NEW-Tables 80-86'!S72</f>
        <v>32325.758333333331</v>
      </c>
    </row>
    <row r="105" spans="1:13" s="490" customFormat="1" ht="12.75" customHeight="1">
      <c r="A105" s="406" t="s">
        <v>334</v>
      </c>
      <c r="B105" s="555">
        <f>IF($M105&gt;0,('Amounts Pivot Table'!E$45/$M105),0)</f>
        <v>4915.7563289952159</v>
      </c>
      <c r="C105" s="555">
        <f>IF($M105&gt;0,('Amounts Pivot Table'!E$48/$M105),0)</f>
        <v>104.02394001188411</v>
      </c>
      <c r="D105" s="555">
        <f>IF($M105&gt;0,('Amounts Pivot Table'!E$54/$M105),0)</f>
        <v>7257.0352462255987</v>
      </c>
      <c r="E105" s="555">
        <f>SUM(B105:D105)</f>
        <v>12276.815515232698</v>
      </c>
      <c r="F105" s="556">
        <f t="shared" ref="F105:F122" si="11">IF(B105&gt;0,RANK(B105,$B$104:$B$122),)</f>
        <v>4</v>
      </c>
      <c r="G105" s="557">
        <f t="shared" ref="G105:G122" si="12">IF(C105&gt;0,RANK(C105,$C$104:$C$122),)</f>
        <v>8</v>
      </c>
      <c r="H105" s="557">
        <f t="shared" ref="H105:H122" si="13">IF(D105&gt;0,RANK(D105,$D$104:$D$122),)</f>
        <v>9</v>
      </c>
      <c r="I105" s="557">
        <f t="shared" ref="I105:I122" si="14">IF(E105&gt;0,RANK(E105,$E$104:$E$122),)</f>
        <v>9</v>
      </c>
      <c r="J105" s="555"/>
      <c r="L105" s="648"/>
      <c r="M105" s="825">
        <f>+'[1]NEW-Tables 80-86'!S73</f>
        <v>30657.183333333334</v>
      </c>
    </row>
    <row r="106" spans="1:13" s="490" customFormat="1" ht="12.75" customHeight="1">
      <c r="A106" s="406" t="s">
        <v>321</v>
      </c>
      <c r="B106" s="555">
        <f>IF($M106&gt;0,('Amounts Pivot Table'!E$84/$M106),0)</f>
        <v>8340.9656021447026</v>
      </c>
      <c r="C106" s="555">
        <f>IF($M106&gt;0,('Amounts Pivot Table'!E$87/$M106),0)</f>
        <v>0</v>
      </c>
      <c r="D106" s="555">
        <f>IF($M106&gt;0,('Amounts Pivot Table'!E$93/$M106),0)</f>
        <v>11929.92969781399</v>
      </c>
      <c r="E106" s="555">
        <f>SUM(B106:D106)</f>
        <v>20270.895299958691</v>
      </c>
      <c r="F106" s="556">
        <f t="shared" si="11"/>
        <v>1</v>
      </c>
      <c r="G106" s="557">
        <f t="shared" si="12"/>
        <v>0</v>
      </c>
      <c r="H106" s="557">
        <f t="shared" si="13"/>
        <v>2</v>
      </c>
      <c r="I106" s="557">
        <f t="shared" si="14"/>
        <v>1</v>
      </c>
      <c r="J106" s="555"/>
      <c r="L106" s="648"/>
      <c r="M106" s="825">
        <f>+'[1]NEW-Tables 80-86'!S74</f>
        <v>4115.5666666666666</v>
      </c>
    </row>
    <row r="107" spans="1:13" s="490" customFormat="1" ht="12.75" customHeight="1">
      <c r="A107" s="406" t="s">
        <v>328</v>
      </c>
      <c r="B107" s="555">
        <f>IF($M107&gt;0,('Amounts Pivot Table'!E$123/$M107),0)</f>
        <v>7036.0302125916087</v>
      </c>
      <c r="C107" s="555">
        <f>IF($M107&gt;0,('Amounts Pivot Table'!E$126/$M107),0)</f>
        <v>210.56315935601194</v>
      </c>
      <c r="D107" s="555">
        <f>IF($M107&gt;0,('Amounts Pivot Table'!E$132/$M107),0)</f>
        <v>5555.2898319731703</v>
      </c>
      <c r="E107" s="555">
        <f>SUM(B107:D107)</f>
        <v>12801.883203920792</v>
      </c>
      <c r="F107" s="556">
        <f t="shared" si="11"/>
        <v>3</v>
      </c>
      <c r="G107" s="557">
        <f t="shared" si="12"/>
        <v>4</v>
      </c>
      <c r="H107" s="557">
        <f t="shared" si="13"/>
        <v>13</v>
      </c>
      <c r="I107" s="557">
        <f t="shared" si="14"/>
        <v>6</v>
      </c>
      <c r="J107" s="555"/>
      <c r="L107" s="648"/>
      <c r="M107" s="825">
        <f>+'[1]NEW-Tables 80-86'!S75</f>
        <v>35207.175000000003</v>
      </c>
    </row>
    <row r="108" spans="1:13" s="112" customFormat="1">
      <c r="A108" s="110"/>
      <c r="B108" s="111"/>
      <c r="C108" s="111"/>
      <c r="D108" s="111"/>
      <c r="E108" s="111"/>
      <c r="F108" s="556"/>
      <c r="G108" s="557"/>
      <c r="H108" s="557"/>
      <c r="I108" s="557"/>
      <c r="J108" s="111"/>
      <c r="L108" s="175"/>
      <c r="M108" s="825"/>
    </row>
    <row r="109" spans="1:13" s="490" customFormat="1" ht="12.75" customHeight="1">
      <c r="A109" s="406" t="s">
        <v>329</v>
      </c>
      <c r="B109" s="555">
        <f>IF($M109&gt;0,('Amounts Pivot Table'!E$162/$M109),0)</f>
        <v>4202.1020449172011</v>
      </c>
      <c r="C109" s="555">
        <f>IF($M109&gt;0,('Amounts Pivot Table'!E$165/$M109),0)</f>
        <v>0</v>
      </c>
      <c r="D109" s="555">
        <f>IF($M109&gt;0,('Amounts Pivot Table'!E$171/$M109),0)</f>
        <v>6211.2400163751399</v>
      </c>
      <c r="E109" s="555">
        <f>SUM(B109:D109)</f>
        <v>10413.34206129234</v>
      </c>
      <c r="F109" s="556">
        <f t="shared" si="11"/>
        <v>10</v>
      </c>
      <c r="G109" s="557">
        <f t="shared" si="12"/>
        <v>0</v>
      </c>
      <c r="H109" s="557">
        <f t="shared" si="13"/>
        <v>11</v>
      </c>
      <c r="I109" s="557">
        <f t="shared" si="14"/>
        <v>13</v>
      </c>
      <c r="J109" s="555"/>
      <c r="L109" s="648"/>
      <c r="M109" s="825">
        <f>+'[1]NEW-Tables 80-86'!S77</f>
        <v>61169.958333333336</v>
      </c>
    </row>
    <row r="110" spans="1:13" s="490" customFormat="1" ht="12.75" customHeight="1">
      <c r="A110" s="406" t="s">
        <v>322</v>
      </c>
      <c r="B110" s="555">
        <f>IF($M110&gt;0,('Amounts Pivot Table'!E$201/$M110),0)</f>
        <v>4531.0540301151459</v>
      </c>
      <c r="C110" s="555">
        <f>IF($M110&gt;0,('Amounts Pivot Table'!E$204/$M110),0)</f>
        <v>127.04542578767557</v>
      </c>
      <c r="D110" s="555">
        <f>IF($M110&gt;0,('Amounts Pivot Table'!E$210/$M110),0)</f>
        <v>10745.273642920411</v>
      </c>
      <c r="E110" s="555">
        <f>SUM(B110:D110)</f>
        <v>15403.373098823231</v>
      </c>
      <c r="F110" s="556">
        <f t="shared" si="11"/>
        <v>7</v>
      </c>
      <c r="G110" s="557">
        <f t="shared" si="12"/>
        <v>7</v>
      </c>
      <c r="H110" s="557">
        <f t="shared" si="13"/>
        <v>3</v>
      </c>
      <c r="I110" s="557">
        <f t="shared" si="14"/>
        <v>2</v>
      </c>
      <c r="J110" s="555"/>
      <c r="L110" s="648"/>
      <c r="M110" s="825">
        <f>+'[1]NEW-Tables 80-86'!S78</f>
        <v>59272.5</v>
      </c>
    </row>
    <row r="111" spans="1:13" s="490" customFormat="1" ht="12.75" customHeight="1">
      <c r="A111" s="406" t="s">
        <v>330</v>
      </c>
      <c r="B111" s="555">
        <f>IF($M111&gt;0,('Amounts Pivot Table'!E$240/$M111),0)</f>
        <v>3281.5779157539364</v>
      </c>
      <c r="C111" s="555">
        <f>IF($M111&gt;0,('Amounts Pivot Table'!E$243/$M111),0)</f>
        <v>197.04896012514206</v>
      </c>
      <c r="D111" s="555">
        <f>IF($M111&gt;0,('Amounts Pivot Table'!E$249/$M111),0)</f>
        <v>6047.5297198189746</v>
      </c>
      <c r="E111" s="555">
        <f>SUM(B111:D111)</f>
        <v>9526.1565956980521</v>
      </c>
      <c r="F111" s="556">
        <f t="shared" si="11"/>
        <v>14</v>
      </c>
      <c r="G111" s="557">
        <f t="shared" si="12"/>
        <v>5</v>
      </c>
      <c r="H111" s="557">
        <f t="shared" si="13"/>
        <v>12</v>
      </c>
      <c r="I111" s="557">
        <f t="shared" si="14"/>
        <v>15</v>
      </c>
      <c r="J111" s="555"/>
      <c r="L111" s="648"/>
      <c r="M111" s="825">
        <f>+'[1]NEW-Tables 80-86'!S79</f>
        <v>26465.924999999999</v>
      </c>
    </row>
    <row r="112" spans="1:13" s="490" customFormat="1" ht="12.75" customHeight="1">
      <c r="A112" s="406" t="s">
        <v>333</v>
      </c>
      <c r="B112" s="555">
        <f>IF($M112&gt;0,('Amounts Pivot Table'!E$279/$M112),0)</f>
        <v>4830.0396701428153</v>
      </c>
      <c r="C112" s="555">
        <f>IF($M112&gt;0,('Amounts Pivot Table'!E$282/$M112),0)</f>
        <v>0</v>
      </c>
      <c r="D112" s="555">
        <f>IF($M112&gt;0,('Amounts Pivot Table'!E$288/$M112),0)</f>
        <v>8666.4435107378249</v>
      </c>
      <c r="E112" s="555">
        <f>SUM(B112:D112)</f>
        <v>13496.483180880641</v>
      </c>
      <c r="F112" s="556">
        <f t="shared" si="11"/>
        <v>5</v>
      </c>
      <c r="G112" s="557">
        <f t="shared" si="12"/>
        <v>0</v>
      </c>
      <c r="H112" s="557">
        <f t="shared" si="13"/>
        <v>4</v>
      </c>
      <c r="I112" s="557">
        <f t="shared" si="14"/>
        <v>5</v>
      </c>
      <c r="J112" s="555"/>
      <c r="L112" s="648"/>
      <c r="M112" s="825">
        <f>+'[1]NEW-Tables 80-86'!S80</f>
        <v>19992.995833333331</v>
      </c>
    </row>
    <row r="113" spans="1:13" s="112" customFormat="1">
      <c r="A113" s="110"/>
      <c r="B113" s="111"/>
      <c r="C113" s="111"/>
      <c r="D113" s="111"/>
      <c r="E113" s="111"/>
      <c r="F113" s="556"/>
      <c r="G113" s="557"/>
      <c r="H113" s="557"/>
      <c r="I113" s="557"/>
      <c r="J113" s="111"/>
      <c r="L113" s="175"/>
      <c r="M113" s="825"/>
    </row>
    <row r="114" spans="1:13" s="490" customFormat="1" ht="12.75" customHeight="1">
      <c r="A114" s="406" t="s">
        <v>323</v>
      </c>
      <c r="B114" s="555">
        <f>IF($M114&gt;0,('Amounts Pivot Table'!E$318/$M114),0)</f>
        <v>0</v>
      </c>
      <c r="C114" s="555">
        <f>IF($M114&gt;0,('Amounts Pivot Table'!E$321/$M114),0)</f>
        <v>0</v>
      </c>
      <c r="D114" s="555">
        <f>IF($M114&gt;0,('Amounts Pivot Table'!E$327/$M114),0)</f>
        <v>0</v>
      </c>
      <c r="E114" s="555">
        <f>SUM(B114:D114)</f>
        <v>0</v>
      </c>
      <c r="F114" s="556">
        <f t="shared" si="11"/>
        <v>0</v>
      </c>
      <c r="G114" s="557">
        <f t="shared" si="12"/>
        <v>0</v>
      </c>
      <c r="H114" s="557">
        <f t="shared" si="13"/>
        <v>0</v>
      </c>
      <c r="I114" s="557">
        <f t="shared" si="14"/>
        <v>0</v>
      </c>
      <c r="J114" s="555"/>
      <c r="L114" s="648"/>
      <c r="M114" s="825">
        <f>+'[1]NEW-Tables 80-86'!S82</f>
        <v>0</v>
      </c>
    </row>
    <row r="115" spans="1:13" s="490" customFormat="1" ht="12.75" customHeight="1">
      <c r="A115" s="406" t="s">
        <v>324</v>
      </c>
      <c r="B115" s="555">
        <f>IF($M115&gt;0,('Amounts Pivot Table'!E$357/$M115),0)</f>
        <v>8307.0422121313604</v>
      </c>
      <c r="C115" s="555">
        <f>IF($M115&gt;0,('Amounts Pivot Table'!E$360/$M115),0)</f>
        <v>0</v>
      </c>
      <c r="D115" s="555">
        <f>IF($M115&gt;0,('Amounts Pivot Table'!E$366/$M115),0)</f>
        <v>5425.5384285892933</v>
      </c>
      <c r="E115" s="555">
        <f>SUM(B115:D115)</f>
        <v>13732.580640720655</v>
      </c>
      <c r="F115" s="556">
        <f t="shared" si="11"/>
        <v>2</v>
      </c>
      <c r="G115" s="557">
        <f t="shared" si="12"/>
        <v>0</v>
      </c>
      <c r="H115" s="557">
        <f t="shared" si="13"/>
        <v>14</v>
      </c>
      <c r="I115" s="557">
        <f t="shared" si="14"/>
        <v>4</v>
      </c>
      <c r="J115" s="555"/>
      <c r="L115" s="648"/>
      <c r="M115" s="825">
        <f>+'[1]NEW-Tables 80-86'!S83</f>
        <v>57508.941666666666</v>
      </c>
    </row>
    <row r="116" spans="1:13" s="490" customFormat="1" ht="12.75" customHeight="1">
      <c r="A116" s="406" t="s">
        <v>331</v>
      </c>
      <c r="B116" s="555">
        <f>IF($M116&gt;0,('Amounts Pivot Table'!E$396/$M116),0)</f>
        <v>4242.0742335294872</v>
      </c>
      <c r="C116" s="555">
        <f>IF($M116&gt;0,('Amounts Pivot Table'!E$399/$M116),0)</f>
        <v>0</v>
      </c>
      <c r="D116" s="555">
        <f>IF($M116&gt;0,('Amounts Pivot Table'!E$405/$M116),0)</f>
        <v>6303.6074676721737</v>
      </c>
      <c r="E116" s="555">
        <f>SUM(B116:D116)</f>
        <v>10545.681701201662</v>
      </c>
      <c r="F116" s="556">
        <f t="shared" si="11"/>
        <v>9</v>
      </c>
      <c r="G116" s="557">
        <f t="shared" si="12"/>
        <v>0</v>
      </c>
      <c r="H116" s="557">
        <f t="shared" si="13"/>
        <v>10</v>
      </c>
      <c r="I116" s="557">
        <f t="shared" si="14"/>
        <v>12</v>
      </c>
      <c r="J116" s="555"/>
      <c r="L116" s="648"/>
      <c r="M116" s="825">
        <f>+'[1]NEW-Tables 80-86'!S84</f>
        <v>21322.575000000001</v>
      </c>
    </row>
    <row r="117" spans="1:13" s="490" customFormat="1" ht="12.75" customHeight="1">
      <c r="A117" s="406" t="s">
        <v>325</v>
      </c>
      <c r="B117" s="555">
        <f>IF($M117&gt;0,('Amounts Pivot Table'!E$435/$M117),0)</f>
        <v>2060.4489780784329</v>
      </c>
      <c r="C117" s="555">
        <f>IF($M117&gt;0,('Amounts Pivot Table'!E$438/$M117),0)</f>
        <v>348.40291848110439</v>
      </c>
      <c r="D117" s="555">
        <f>IF($M117&gt;0,('Amounts Pivot Table'!E$444/$M117),0)</f>
        <v>12089.944110510074</v>
      </c>
      <c r="E117" s="555">
        <f>SUM(B117:D117)</f>
        <v>14498.796007069612</v>
      </c>
      <c r="F117" s="556">
        <f t="shared" si="11"/>
        <v>15</v>
      </c>
      <c r="G117" s="557">
        <f t="shared" si="12"/>
        <v>1</v>
      </c>
      <c r="H117" s="557">
        <f t="shared" si="13"/>
        <v>1</v>
      </c>
      <c r="I117" s="557">
        <f t="shared" si="14"/>
        <v>3</v>
      </c>
      <c r="J117" s="555"/>
      <c r="L117" s="648"/>
      <c r="M117" s="825">
        <f>+'[1]NEW-Tables 80-86'!S85</f>
        <v>20227.416666666668</v>
      </c>
    </row>
    <row r="118" spans="1:13" s="112" customFormat="1">
      <c r="A118" s="110"/>
      <c r="B118" s="111"/>
      <c r="C118" s="111"/>
      <c r="D118" s="111"/>
      <c r="E118" s="111"/>
      <c r="F118" s="556"/>
      <c r="G118" s="557"/>
      <c r="H118" s="557"/>
      <c r="I118" s="557"/>
      <c r="J118" s="111"/>
      <c r="L118" s="175"/>
      <c r="M118" s="825"/>
    </row>
    <row r="119" spans="1:13" s="490" customFormat="1" ht="12.75" customHeight="1">
      <c r="A119" s="406" t="s">
        <v>90</v>
      </c>
      <c r="B119" s="555">
        <f>IF($M119&gt;0,('Amounts Pivot Table'!E$474/$M119),0)</f>
        <v>3988.6646009326091</v>
      </c>
      <c r="C119" s="555">
        <f>IF($M119&gt;0,('Amounts Pivot Table'!E$477/$M119),0)</f>
        <v>0</v>
      </c>
      <c r="D119" s="555">
        <f>IF($M119&gt;0,('Amounts Pivot Table'!E$483/$M119),0)</f>
        <v>7648.814592496642</v>
      </c>
      <c r="E119" s="555">
        <f>SUM(B119:D119)</f>
        <v>11637.479193429252</v>
      </c>
      <c r="F119" s="556">
        <f t="shared" si="11"/>
        <v>13</v>
      </c>
      <c r="G119" s="557">
        <f t="shared" si="12"/>
        <v>0</v>
      </c>
      <c r="H119" s="557">
        <f t="shared" si="13"/>
        <v>7</v>
      </c>
      <c r="I119" s="557">
        <f t="shared" si="14"/>
        <v>11</v>
      </c>
      <c r="J119" s="555"/>
      <c r="L119" s="648"/>
      <c r="M119" s="825">
        <f>+'[1]NEW-Tables 80-86'!S87</f>
        <v>62808.991666666669</v>
      </c>
    </row>
    <row r="120" spans="1:13" s="490" customFormat="1" ht="12.75" customHeight="1">
      <c r="A120" s="406" t="s">
        <v>326</v>
      </c>
      <c r="B120" s="555">
        <f>IF($M120&gt;0,('Amounts Pivot Table'!E$513/$M120),0)</f>
        <v>4770.5187174190214</v>
      </c>
      <c r="C120" s="555">
        <f>IF($M120&gt;0,('Amounts Pivot Table'!E$516/$M120),0)</f>
        <v>5.7153738476983733</v>
      </c>
      <c r="D120" s="555">
        <f>IF($M120&gt;0,('Amounts Pivot Table'!E$522/$M120),0)</f>
        <v>5416.5714632791305</v>
      </c>
      <c r="E120" s="555">
        <f>SUM(B120:D120)</f>
        <v>10192.80555454585</v>
      </c>
      <c r="F120" s="556">
        <f t="shared" si="11"/>
        <v>6</v>
      </c>
      <c r="G120" s="557">
        <f t="shared" si="12"/>
        <v>9</v>
      </c>
      <c r="H120" s="557">
        <f t="shared" si="13"/>
        <v>15</v>
      </c>
      <c r="I120" s="557">
        <f t="shared" si="14"/>
        <v>14</v>
      </c>
      <c r="J120" s="555"/>
      <c r="K120" s="555"/>
      <c r="L120" s="648"/>
      <c r="M120" s="825">
        <f>+'[1]NEW-Tables 80-86'!S88</f>
        <v>177674.29166666672</v>
      </c>
    </row>
    <row r="121" spans="1:13" s="76" customFormat="1" ht="12.75" customHeight="1">
      <c r="A121" s="406" t="s">
        <v>327</v>
      </c>
      <c r="B121" s="555">
        <f>IF($M121&gt;0,('Amounts Pivot Table'!E$552/$M121),0)</f>
        <v>4525.3382087734353</v>
      </c>
      <c r="C121" s="555">
        <f>IF($M121&gt;0,('Amounts Pivot Table'!E$555/$M121),0)</f>
        <v>140.62090196194879</v>
      </c>
      <c r="D121" s="555">
        <f>IF($M121&gt;0,('Amounts Pivot Table'!E$561/$M121),0)</f>
        <v>8115.9230442679745</v>
      </c>
      <c r="E121" s="555">
        <f>SUM(B121:D121)</f>
        <v>12781.882155003359</v>
      </c>
      <c r="F121" s="556">
        <f t="shared" si="11"/>
        <v>8</v>
      </c>
      <c r="G121" s="557">
        <f t="shared" si="12"/>
        <v>6</v>
      </c>
      <c r="H121" s="557">
        <f t="shared" si="13"/>
        <v>5</v>
      </c>
      <c r="I121" s="557">
        <f t="shared" si="14"/>
        <v>7</v>
      </c>
      <c r="J121" s="555"/>
      <c r="K121" s="555"/>
      <c r="L121" s="169"/>
      <c r="M121" s="825">
        <f>+'[1]NEW-Tables 80-86'!S89</f>
        <v>50233.641666666677</v>
      </c>
    </row>
    <row r="122" spans="1:13" s="490" customFormat="1" ht="12.75" customHeight="1">
      <c r="A122" s="407" t="s">
        <v>332</v>
      </c>
      <c r="B122" s="561">
        <f>IF($M122&gt;0,('Amounts Pivot Table'!E$591/$M122),0)</f>
        <v>4096.4178472872054</v>
      </c>
      <c r="C122" s="561">
        <f>IF($M122&gt;0,('Amounts Pivot Table'!E$594/$M122),0)</f>
        <v>245.50518837279995</v>
      </c>
      <c r="D122" s="561">
        <f>IF($M122&gt;0,('Amounts Pivot Table'!E$600/$M122),0)</f>
        <v>7986.9772140732748</v>
      </c>
      <c r="E122" s="562">
        <f>SUM(B122:D122)</f>
        <v>12328.90024973328</v>
      </c>
      <c r="F122" s="563">
        <f t="shared" si="11"/>
        <v>11</v>
      </c>
      <c r="G122" s="564">
        <f t="shared" si="12"/>
        <v>3</v>
      </c>
      <c r="H122" s="564">
        <f t="shared" si="13"/>
        <v>6</v>
      </c>
      <c r="I122" s="564">
        <f t="shared" si="14"/>
        <v>8</v>
      </c>
      <c r="J122" s="555"/>
      <c r="K122" s="555"/>
      <c r="L122" s="649"/>
      <c r="M122" s="825">
        <f>+'[1]NEW-Tables 80-86'!S90</f>
        <v>11185.266666666666</v>
      </c>
    </row>
    <row r="123" spans="1:13" s="490" customFormat="1" ht="41.25" customHeight="1">
      <c r="A123" s="1505" t="s">
        <v>17</v>
      </c>
      <c r="B123" s="1541"/>
      <c r="C123" s="1541"/>
      <c r="D123" s="1541"/>
      <c r="E123" s="1541"/>
      <c r="F123" s="1541"/>
      <c r="G123" s="1542"/>
      <c r="H123" s="1542"/>
      <c r="I123" s="1542"/>
      <c r="J123" s="555"/>
      <c r="K123" s="555"/>
      <c r="L123" s="652"/>
      <c r="M123" s="657"/>
    </row>
    <row r="124" spans="1:13" s="76" customFormat="1" ht="22.5" customHeight="1">
      <c r="A124" s="1505" t="s">
        <v>54</v>
      </c>
      <c r="B124" s="1547"/>
      <c r="C124" s="1547"/>
      <c r="D124" s="1547"/>
      <c r="E124" s="1547"/>
      <c r="F124" s="1547"/>
      <c r="G124" s="1547"/>
      <c r="H124" s="1547"/>
      <c r="I124" s="1547"/>
      <c r="J124" s="651"/>
      <c r="L124" s="169"/>
      <c r="M124" s="643"/>
    </row>
    <row r="125" spans="1:13" s="490" customFormat="1">
      <c r="A125" s="189" t="s">
        <v>233</v>
      </c>
      <c r="B125" s="406"/>
      <c r="C125" s="406"/>
      <c r="D125" s="406"/>
      <c r="E125" s="406"/>
      <c r="F125" s="406"/>
      <c r="L125" s="652"/>
      <c r="M125" s="643"/>
    </row>
    <row r="126" spans="1:13" s="490" customFormat="1" ht="17.25" customHeight="1">
      <c r="A126" s="638"/>
      <c r="B126" s="651"/>
      <c r="C126" s="651"/>
      <c r="D126" s="651"/>
      <c r="E126" s="651"/>
      <c r="F126" s="651"/>
      <c r="G126" s="653"/>
      <c r="H126" s="653"/>
      <c r="I126" s="534" t="s">
        <v>1927</v>
      </c>
      <c r="J126" s="653"/>
      <c r="K126" s="653"/>
      <c r="L126" s="652"/>
      <c r="M126" s="643"/>
    </row>
    <row r="127" spans="1:13" s="490" customFormat="1" ht="15.75">
      <c r="A127" s="1504" t="s">
        <v>362</v>
      </c>
      <c r="B127" s="1504"/>
      <c r="C127" s="1504"/>
      <c r="D127" s="1504"/>
      <c r="E127" s="1504"/>
      <c r="F127" s="1504"/>
      <c r="G127" s="1504"/>
      <c r="H127" s="1504"/>
      <c r="I127" s="1504"/>
      <c r="J127" s="565"/>
      <c r="K127" s="565"/>
      <c r="L127" s="649"/>
      <c r="M127" s="643"/>
    </row>
    <row r="128" spans="1:13" s="490" customFormat="1" ht="18.75">
      <c r="A128" s="1504" t="s">
        <v>18</v>
      </c>
      <c r="B128" s="1504"/>
      <c r="C128" s="1504"/>
      <c r="D128" s="1504"/>
      <c r="E128" s="1504"/>
      <c r="F128" s="1504"/>
      <c r="G128" s="1504"/>
      <c r="H128" s="1504"/>
      <c r="I128" s="1504"/>
      <c r="J128" s="565"/>
      <c r="K128" s="565"/>
      <c r="L128" s="165"/>
      <c r="M128" s="643"/>
    </row>
    <row r="129" spans="1:13" s="490" customFormat="1" ht="15.75">
      <c r="A129" s="1504" t="s">
        <v>440</v>
      </c>
      <c r="B129" s="1504"/>
      <c r="C129" s="1504"/>
      <c r="D129" s="1504"/>
      <c r="E129" s="1504"/>
      <c r="F129" s="1504"/>
      <c r="G129" s="1504"/>
      <c r="H129" s="1504"/>
      <c r="I129" s="1504"/>
      <c r="J129" s="91"/>
      <c r="K129" s="91"/>
      <c r="L129" s="165"/>
      <c r="M129" s="643"/>
    </row>
    <row r="130" spans="1:13" s="490" customFormat="1" ht="15" customHeight="1">
      <c r="A130" s="91"/>
      <c r="B130" s="91"/>
      <c r="C130" s="91"/>
      <c r="D130" s="91"/>
      <c r="E130" s="91"/>
      <c r="F130" s="91"/>
      <c r="G130" s="108"/>
      <c r="H130" s="91"/>
      <c r="I130" s="91"/>
      <c r="J130" s="91"/>
      <c r="K130" s="91"/>
      <c r="L130" s="165"/>
      <c r="M130" s="654"/>
    </row>
    <row r="131" spans="1:13" s="490" customFormat="1" ht="15.75">
      <c r="A131" s="60"/>
      <c r="B131" s="109" t="s">
        <v>55</v>
      </c>
      <c r="C131" s="656"/>
      <c r="D131" s="656"/>
      <c r="E131" s="656"/>
      <c r="F131" s="57" t="s">
        <v>119</v>
      </c>
      <c r="G131" s="58"/>
      <c r="H131" s="58"/>
      <c r="I131" s="58"/>
      <c r="L131" s="173"/>
      <c r="M131" s="643"/>
    </row>
    <row r="132" spans="1:13" s="378" customFormat="1" ht="45">
      <c r="A132" s="644"/>
      <c r="B132" s="51" t="s">
        <v>87</v>
      </c>
      <c r="C132" s="52" t="s">
        <v>89</v>
      </c>
      <c r="D132" s="52" t="s">
        <v>306</v>
      </c>
      <c r="E132" s="52" t="s">
        <v>97</v>
      </c>
      <c r="F132" s="53" t="s">
        <v>87</v>
      </c>
      <c r="G132" s="52" t="s">
        <v>89</v>
      </c>
      <c r="H132" s="52" t="s">
        <v>306</v>
      </c>
      <c r="I132" s="52" t="s">
        <v>97</v>
      </c>
      <c r="L132" s="646"/>
      <c r="M132" s="655" t="s">
        <v>260</v>
      </c>
    </row>
    <row r="133" spans="1:13" s="490" customFormat="1" ht="14.25">
      <c r="A133" s="406" t="s">
        <v>56</v>
      </c>
      <c r="B133" s="552">
        <f>IF($M133&gt;0,('Amounts Pivot Table'!F$630/$M133),0)</f>
        <v>5200.3823677077244</v>
      </c>
      <c r="C133" s="552">
        <f>IF($M133&gt;0,('Amounts Pivot Table'!F$633/$M133),0)</f>
        <v>67.774688934841151</v>
      </c>
      <c r="D133" s="552">
        <f>IF($M133&gt;0,('Amounts Pivot Table'!F$639/$M133),0)</f>
        <v>6638.7319884775579</v>
      </c>
      <c r="E133" s="552">
        <f>SUM(B133:D133)</f>
        <v>11906.889045120122</v>
      </c>
      <c r="F133" s="553"/>
      <c r="G133" s="554"/>
      <c r="H133" s="554"/>
      <c r="I133" s="554"/>
      <c r="J133" s="552"/>
      <c r="L133" s="648"/>
      <c r="M133" s="825">
        <f>+'[1]NEW-Tables 80-86'!T70</f>
        <v>163517.12083333332</v>
      </c>
    </row>
    <row r="134" spans="1:13" s="490" customFormat="1" ht="9.75" customHeight="1">
      <c r="A134" s="406"/>
      <c r="B134" s="552"/>
      <c r="C134" s="552"/>
      <c r="D134" s="552"/>
      <c r="E134" s="552"/>
      <c r="F134" s="553"/>
      <c r="G134" s="554"/>
      <c r="H134" s="554"/>
      <c r="I134" s="554"/>
      <c r="J134" s="552"/>
      <c r="L134" s="648"/>
      <c r="M134" s="825"/>
    </row>
    <row r="135" spans="1:13" s="490" customFormat="1" ht="12.75" customHeight="1">
      <c r="A135" s="406" t="s">
        <v>320</v>
      </c>
      <c r="B135" s="555">
        <f>IF($M135&gt;0,('Amounts Pivot Table'!F$6/$M135),0)</f>
        <v>5644.8226142091235</v>
      </c>
      <c r="C135" s="555">
        <f>IF($M135&gt;0,('Amounts Pivot Table'!F$9/$M135),0)</f>
        <v>52.533835367600531</v>
      </c>
      <c r="D135" s="555">
        <f>IF($M135&gt;0,('Amounts Pivot Table'!F$15/$M135),0)</f>
        <v>8097.6506811148438</v>
      </c>
      <c r="E135" s="555">
        <f>SUM(B135:D135)</f>
        <v>13795.007130691567</v>
      </c>
      <c r="F135" s="556">
        <f>IF(B135&gt;0,RANK(B135,$B$135:$B$153),)</f>
        <v>8</v>
      </c>
      <c r="G135" s="557">
        <f>IF(C135&gt;0,RANK(C135,$C$135:$C$153),)</f>
        <v>4</v>
      </c>
      <c r="H135" s="557">
        <f>IF(D135&gt;0,RANK(D135,$D$135:$D$153),)</f>
        <v>4</v>
      </c>
      <c r="I135" s="557">
        <f>IF(E135&gt;0,RANK(E135,$E$135:$E$153),)</f>
        <v>5</v>
      </c>
      <c r="J135" s="555"/>
      <c r="L135" s="648"/>
      <c r="M135" s="825">
        <f>+'[1]NEW-Tables 80-86'!T72</f>
        <v>15882.05</v>
      </c>
    </row>
    <row r="136" spans="1:13" s="490" customFormat="1" ht="12.75" customHeight="1">
      <c r="A136" s="406" t="s">
        <v>334</v>
      </c>
      <c r="B136" s="555">
        <f>IF($M136&gt;0,('Amounts Pivot Table'!F$45/$M136),0)</f>
        <v>5715.3935629804282</v>
      </c>
      <c r="C136" s="555">
        <f>IF($M136&gt;0,('Amounts Pivot Table'!F$48/$M136),0)</f>
        <v>32.29397895221117</v>
      </c>
      <c r="D136" s="555">
        <f>IF($M136&gt;0,('Amounts Pivot Table'!F$54/$M136),0)</f>
        <v>7530.9854889106136</v>
      </c>
      <c r="E136" s="555">
        <f>SUM(B136:D136)</f>
        <v>13278.673030843252</v>
      </c>
      <c r="F136" s="556">
        <f t="shared" ref="F136:F153" si="15">IF(B136&gt;0,RANK(B136,$B$135:$B$153),)</f>
        <v>7</v>
      </c>
      <c r="G136" s="557">
        <f t="shared" ref="G136:G153" si="16">IF(C136&gt;0,RANK(C136,$C$135:$C$153),)</f>
        <v>5</v>
      </c>
      <c r="H136" s="557">
        <f t="shared" ref="H136:H153" si="17">IF(D136&gt;0,RANK(D136,$D$135:$D$153),)</f>
        <v>5</v>
      </c>
      <c r="I136" s="557">
        <f t="shared" ref="I136:I153" si="18">IF(E136&gt;0,RANK(E136,$E$135:$E$153),)</f>
        <v>6</v>
      </c>
      <c r="J136" s="555"/>
      <c r="L136" s="648"/>
      <c r="M136" s="825">
        <f>+'[1]NEW-Tables 80-86'!T73</f>
        <v>6520.875</v>
      </c>
    </row>
    <row r="137" spans="1:13" s="490" customFormat="1" ht="12.75" customHeight="1">
      <c r="A137" s="406" t="s">
        <v>321</v>
      </c>
      <c r="B137" s="555">
        <f>IF($M137&gt;0,('Amounts Pivot Table'!F$84/$M137),0)</f>
        <v>0</v>
      </c>
      <c r="C137" s="555">
        <f>IF($M137&gt;0,('Amounts Pivot Table'!F$87/$M137),0)</f>
        <v>0</v>
      </c>
      <c r="D137" s="555">
        <f>IF($M137&gt;0,('Amounts Pivot Table'!F$93/$M137),0)</f>
        <v>0</v>
      </c>
      <c r="E137" s="555">
        <f>SUM(B137:D137)</f>
        <v>0</v>
      </c>
      <c r="F137" s="556">
        <f>IF(B137&gt;0,RANK(B137,$B$135:$B$153),)</f>
        <v>0</v>
      </c>
      <c r="G137" s="557">
        <f>IF(C137&gt;0,RANK(C137,$C$135:$C$153),)</f>
        <v>0</v>
      </c>
      <c r="H137" s="557">
        <f>IF(D137&gt;0,RANK(D137,$D$135:$D$153),)</f>
        <v>0</v>
      </c>
      <c r="I137" s="557">
        <f>IF(E137&gt;0,RANK(E137,$E$135:$E$153),)</f>
        <v>0</v>
      </c>
      <c r="J137" s="555"/>
      <c r="L137" s="648"/>
      <c r="M137" s="825">
        <f>+'[1]NEW-Tables 80-86'!T74</f>
        <v>0</v>
      </c>
    </row>
    <row r="138" spans="1:13" s="490" customFormat="1" ht="12.75" customHeight="1">
      <c r="A138" s="406" t="s">
        <v>328</v>
      </c>
      <c r="B138" s="555">
        <f>IF($M138&gt;0,('Amounts Pivot Table'!F$123/$M138),0)</f>
        <v>5097.7395502547151</v>
      </c>
      <c r="C138" s="555">
        <f>IF($M138&gt;0,('Amounts Pivot Table'!F$126/$M138),0)</f>
        <v>55.681501047086023</v>
      </c>
      <c r="D138" s="555">
        <f>IF($M138&gt;0,('Amounts Pivot Table'!F$132/$M138),0)</f>
        <v>5359.5488028713471</v>
      </c>
      <c r="E138" s="555">
        <f>SUM(B138:D138)</f>
        <v>10512.969854173149</v>
      </c>
      <c r="F138" s="556">
        <f t="shared" si="15"/>
        <v>9</v>
      </c>
      <c r="G138" s="557">
        <f t="shared" si="16"/>
        <v>3</v>
      </c>
      <c r="H138" s="557">
        <f t="shared" si="17"/>
        <v>9</v>
      </c>
      <c r="I138" s="557">
        <f t="shared" si="18"/>
        <v>9</v>
      </c>
      <c r="J138" s="555"/>
      <c r="L138" s="648"/>
      <c r="M138" s="825">
        <f>+'[1]NEW-Tables 80-86'!T75</f>
        <v>11543.941666666668</v>
      </c>
    </row>
    <row r="139" spans="1:13" s="490" customFormat="1" ht="9.75" customHeight="1">
      <c r="A139" s="406"/>
      <c r="B139" s="555"/>
      <c r="C139" s="555"/>
      <c r="D139" s="555"/>
      <c r="E139" s="555"/>
      <c r="F139" s="556"/>
      <c r="G139" s="557"/>
      <c r="H139" s="557"/>
      <c r="I139" s="557"/>
      <c r="J139" s="555"/>
      <c r="L139" s="648"/>
      <c r="M139" s="825"/>
    </row>
    <row r="140" spans="1:13" s="490" customFormat="1" ht="12.75" customHeight="1">
      <c r="A140" s="406" t="s">
        <v>329</v>
      </c>
      <c r="B140" s="555">
        <f>IF($M140&gt;0,('Amounts Pivot Table'!F$162/$M140),0)</f>
        <v>4208.8679507503903</v>
      </c>
      <c r="C140" s="555">
        <f>IF($M140&gt;0,('Amounts Pivot Table'!F$165/$M140),0)</f>
        <v>0</v>
      </c>
      <c r="D140" s="555">
        <f>IF($M140&gt;0,('Amounts Pivot Table'!F$171/$M140),0)</f>
        <v>5809.0202668566599</v>
      </c>
      <c r="E140" s="555">
        <f>SUM(B140:D140)</f>
        <v>10017.888217607051</v>
      </c>
      <c r="F140" s="556">
        <f t="shared" si="15"/>
        <v>10</v>
      </c>
      <c r="G140" s="557">
        <f t="shared" si="16"/>
        <v>0</v>
      </c>
      <c r="H140" s="557">
        <f t="shared" si="17"/>
        <v>8</v>
      </c>
      <c r="I140" s="557">
        <f t="shared" si="18"/>
        <v>10</v>
      </c>
      <c r="J140" s="555"/>
      <c r="L140" s="648"/>
      <c r="M140" s="825">
        <f>+'[1]NEW-Tables 80-86'!T77</f>
        <v>48329.316666666666</v>
      </c>
    </row>
    <row r="141" spans="1:13" s="490" customFormat="1" ht="12.75" customHeight="1">
      <c r="A141" s="406" t="s">
        <v>322</v>
      </c>
      <c r="B141" s="555">
        <f>IF($M141&gt;0,('Amounts Pivot Table'!F$201/$M141),0)</f>
        <v>9484.2152274616947</v>
      </c>
      <c r="C141" s="555">
        <f>IF($M141&gt;0,('Amounts Pivot Table'!F$204/$M141),0)</f>
        <v>1698.7756265589737</v>
      </c>
      <c r="D141" s="555">
        <f>IF($M141&gt;0,('Amounts Pivot Table'!F$210/$M141),0)</f>
        <v>10160.922199786199</v>
      </c>
      <c r="E141" s="555">
        <f>SUM(B141:D141)</f>
        <v>21343.913053806868</v>
      </c>
      <c r="F141" s="556">
        <f t="shared" si="15"/>
        <v>1</v>
      </c>
      <c r="G141" s="557">
        <f t="shared" si="16"/>
        <v>1</v>
      </c>
      <c r="H141" s="557">
        <f t="shared" si="17"/>
        <v>1</v>
      </c>
      <c r="I141" s="557">
        <f t="shared" si="18"/>
        <v>1</v>
      </c>
      <c r="J141" s="555"/>
      <c r="L141" s="648"/>
      <c r="M141" s="825">
        <f>+'[1]NEW-Tables 80-86'!T78</f>
        <v>2104.75</v>
      </c>
    </row>
    <row r="142" spans="1:13" s="490" customFormat="1" ht="12.75" customHeight="1">
      <c r="A142" s="406" t="s">
        <v>330</v>
      </c>
      <c r="B142" s="555">
        <f>IF($M142&gt;0,('Amounts Pivot Table'!F$240/$M142),0)</f>
        <v>2820.261155171032</v>
      </c>
      <c r="C142" s="555">
        <f>IF($M142&gt;0,('Amounts Pivot Table'!F$243/$M142),0)</f>
        <v>0</v>
      </c>
      <c r="D142" s="555">
        <f>IF($M142&gt;0,('Amounts Pivot Table'!F$249/$M142),0)</f>
        <v>6092.7825358971704</v>
      </c>
      <c r="E142" s="555">
        <f>SUM(B142:D142)</f>
        <v>8913.043691068202</v>
      </c>
      <c r="F142" s="556">
        <f t="shared" si="15"/>
        <v>11</v>
      </c>
      <c r="G142" s="557">
        <f t="shared" si="16"/>
        <v>0</v>
      </c>
      <c r="H142" s="557">
        <f t="shared" si="17"/>
        <v>7</v>
      </c>
      <c r="I142" s="557">
        <f t="shared" si="18"/>
        <v>11</v>
      </c>
      <c r="J142" s="555"/>
      <c r="L142" s="648"/>
      <c r="M142" s="825">
        <f>+'[1]NEW-Tables 80-86'!T79</f>
        <v>28398.825000000004</v>
      </c>
    </row>
    <row r="143" spans="1:13" s="490" customFormat="1" ht="12.75" customHeight="1">
      <c r="A143" s="406" t="s">
        <v>333</v>
      </c>
      <c r="B143" s="555">
        <f>IF($M143&gt;0,('Amounts Pivot Table'!F$279/$M143),0)</f>
        <v>6774.1767634089829</v>
      </c>
      <c r="C143" s="555">
        <f>IF($M143&gt;0,('Amounts Pivot Table'!F$282/$M143),0)</f>
        <v>0</v>
      </c>
      <c r="D143" s="555">
        <f>IF($M143&gt;0,('Amounts Pivot Table'!F$288/$M143),0)</f>
        <v>8639.6799139816685</v>
      </c>
      <c r="E143" s="555">
        <f>SUM(B143:D143)</f>
        <v>15413.856677390651</v>
      </c>
      <c r="F143" s="556">
        <f t="shared" si="15"/>
        <v>5</v>
      </c>
      <c r="G143" s="557">
        <f t="shared" si="16"/>
        <v>0</v>
      </c>
      <c r="H143" s="557">
        <f t="shared" si="17"/>
        <v>2</v>
      </c>
      <c r="I143" s="557">
        <f t="shared" si="18"/>
        <v>2</v>
      </c>
      <c r="J143" s="555"/>
      <c r="L143" s="648"/>
      <c r="M143" s="825">
        <f>+'[1]NEW-Tables 80-86'!T80</f>
        <v>26986.495833333334</v>
      </c>
    </row>
    <row r="144" spans="1:13" s="490" customFormat="1" ht="9.75" customHeight="1">
      <c r="A144" s="406"/>
      <c r="B144" s="555"/>
      <c r="C144" s="555"/>
      <c r="D144" s="555"/>
      <c r="E144" s="555"/>
      <c r="F144" s="556"/>
      <c r="G144" s="557"/>
      <c r="H144" s="557"/>
      <c r="I144" s="557"/>
      <c r="J144" s="555"/>
      <c r="L144" s="648"/>
      <c r="M144" s="825"/>
    </row>
    <row r="145" spans="1:13" s="490" customFormat="1" ht="12.75" customHeight="1">
      <c r="A145" s="406" t="s">
        <v>323</v>
      </c>
      <c r="B145" s="555">
        <f>IF($M145&gt;0,('Amounts Pivot Table'!F$318/$M145),0)</f>
        <v>7192.7364740574321</v>
      </c>
      <c r="C145" s="555">
        <f>IF($M145&gt;0,('Amounts Pivot Table'!F$321/$M145),0)</f>
        <v>653.69486765428633</v>
      </c>
      <c r="D145" s="555">
        <f>IF($M145&gt;0,('Amounts Pivot Table'!F$327/$M145),0)</f>
        <v>6828.5427508249668</v>
      </c>
      <c r="E145" s="555">
        <f>SUM(B145:D145)</f>
        <v>14674.974092536686</v>
      </c>
      <c r="F145" s="556">
        <f t="shared" si="15"/>
        <v>4</v>
      </c>
      <c r="G145" s="557">
        <f t="shared" si="16"/>
        <v>2</v>
      </c>
      <c r="H145" s="557">
        <f t="shared" si="17"/>
        <v>6</v>
      </c>
      <c r="I145" s="557">
        <f t="shared" si="18"/>
        <v>3</v>
      </c>
      <c r="J145" s="555"/>
      <c r="L145" s="648"/>
      <c r="M145" s="825">
        <f>+'[1]NEW-Tables 80-86'!T82</f>
        <v>8901.875</v>
      </c>
    </row>
    <row r="146" spans="1:13" s="490" customFormat="1" ht="12.75" customHeight="1">
      <c r="A146" s="406" t="s">
        <v>324</v>
      </c>
      <c r="B146" s="555">
        <f>IF($M146&gt;0,('Amounts Pivot Table'!F$357/$M146),0)</f>
        <v>9001.2606962788032</v>
      </c>
      <c r="C146" s="555">
        <f>IF($M146&gt;0,('Amounts Pivot Table'!F$360/$M146),0)</f>
        <v>0</v>
      </c>
      <c r="D146" s="555">
        <f>IF($M146&gt;0,('Amounts Pivot Table'!F$366/$M146),0)</f>
        <v>3475.1912505274149</v>
      </c>
      <c r="E146" s="555">
        <f>SUM(B146:D146)</f>
        <v>12476.451946806217</v>
      </c>
      <c r="F146" s="556">
        <f t="shared" si="15"/>
        <v>2</v>
      </c>
      <c r="G146" s="557">
        <f t="shared" si="16"/>
        <v>0</v>
      </c>
      <c r="H146" s="557">
        <f t="shared" si="17"/>
        <v>11</v>
      </c>
      <c r="I146" s="557">
        <f t="shared" si="18"/>
        <v>8</v>
      </c>
      <c r="J146" s="555"/>
      <c r="L146" s="648"/>
      <c r="M146" s="825">
        <f>+'[1]NEW-Tables 80-86'!T83</f>
        <v>5490.6166666666668</v>
      </c>
    </row>
    <row r="147" spans="1:13" s="490" customFormat="1" ht="12.75" customHeight="1">
      <c r="A147" s="406" t="s">
        <v>331</v>
      </c>
      <c r="B147" s="555">
        <f>IF($M147&gt;0,('Amounts Pivot Table'!F$396/$M147),0)</f>
        <v>5831.3465173430159</v>
      </c>
      <c r="C147" s="555">
        <f>IF($M147&gt;0,('Amounts Pivot Table'!F$399/$M147),0)</f>
        <v>0</v>
      </c>
      <c r="D147" s="555">
        <f>IF($M147&gt;0,('Amounts Pivot Table'!F$405/$M147),0)</f>
        <v>8162.91186277215</v>
      </c>
      <c r="E147" s="555">
        <f>SUM(B147:D147)</f>
        <v>13994.258380115167</v>
      </c>
      <c r="F147" s="556">
        <f t="shared" si="15"/>
        <v>6</v>
      </c>
      <c r="G147" s="557">
        <f t="shared" si="16"/>
        <v>0</v>
      </c>
      <c r="H147" s="557">
        <f t="shared" si="17"/>
        <v>3</v>
      </c>
      <c r="I147" s="557">
        <f t="shared" si="18"/>
        <v>4</v>
      </c>
      <c r="J147" s="555"/>
      <c r="L147" s="648"/>
      <c r="M147" s="825">
        <f>+'[1]NEW-Tables 80-86'!T84</f>
        <v>3231.6083333333331</v>
      </c>
    </row>
    <row r="148" spans="1:13" s="490" customFormat="1" ht="12.75" customHeight="1">
      <c r="A148" s="406" t="s">
        <v>325</v>
      </c>
      <c r="B148" s="555">
        <f>IF($M148&gt;0,('Amounts Pivot Table'!F$435/$M148),0)</f>
        <v>0</v>
      </c>
      <c r="C148" s="555">
        <f>IF($M148&gt;0,('Amounts Pivot Table'!F$438/$M148),0)</f>
        <v>0</v>
      </c>
      <c r="D148" s="555">
        <f>IF($M148&gt;0,('Amounts Pivot Table'!F$444/$M148),0)</f>
        <v>0</v>
      </c>
      <c r="E148" s="555">
        <f>SUM(B148:D148)</f>
        <v>0</v>
      </c>
      <c r="F148" s="556">
        <f>IF(B148&gt;0,RANK(B148,$B$135:$B$153),)</f>
        <v>0</v>
      </c>
      <c r="G148" s="557">
        <f t="shared" si="16"/>
        <v>0</v>
      </c>
      <c r="H148" s="557">
        <f t="shared" si="17"/>
        <v>0</v>
      </c>
      <c r="I148" s="557">
        <f t="shared" si="18"/>
        <v>0</v>
      </c>
      <c r="J148" s="555"/>
      <c r="L148" s="648"/>
      <c r="M148" s="825">
        <f>+'[1]NEW-Tables 80-86'!T85</f>
        <v>0</v>
      </c>
    </row>
    <row r="149" spans="1:13" s="490" customFormat="1" ht="9.75" customHeight="1">
      <c r="A149" s="406"/>
      <c r="B149" s="555"/>
      <c r="C149" s="555"/>
      <c r="D149" s="555"/>
      <c r="E149" s="555"/>
      <c r="F149" s="556"/>
      <c r="G149" s="557"/>
      <c r="H149" s="557"/>
      <c r="I149" s="557"/>
      <c r="J149" s="555"/>
      <c r="L149" s="648"/>
      <c r="M149" s="825"/>
    </row>
    <row r="150" spans="1:13" s="490" customFormat="1" ht="12.75" customHeight="1">
      <c r="A150" s="406" t="s">
        <v>90</v>
      </c>
      <c r="B150" s="555">
        <f>IF($M150&gt;0,('Amounts Pivot Table'!F$474/$M150),0)</f>
        <v>0</v>
      </c>
      <c r="C150" s="555">
        <f>IF($M150&gt;0,('Amounts Pivot Table'!F$477/$M150),0)</f>
        <v>0</v>
      </c>
      <c r="D150" s="555">
        <f>IF($M150&gt;0,('Amounts Pivot Table'!F$483/$M150),0)</f>
        <v>0</v>
      </c>
      <c r="E150" s="555">
        <f>SUM(B150:D150)</f>
        <v>0</v>
      </c>
      <c r="F150" s="556">
        <f t="shared" si="15"/>
        <v>0</v>
      </c>
      <c r="G150" s="557">
        <f t="shared" si="16"/>
        <v>0</v>
      </c>
      <c r="H150" s="557">
        <f t="shared" si="17"/>
        <v>0</v>
      </c>
      <c r="I150" s="557">
        <f t="shared" si="18"/>
        <v>0</v>
      </c>
      <c r="J150" s="555"/>
      <c r="L150" s="650"/>
      <c r="M150" s="825">
        <f>+'[1]NEW-Tables 80-86'!T87</f>
        <v>0</v>
      </c>
    </row>
    <row r="151" spans="1:13" s="76" customFormat="1" ht="12.75" customHeight="1">
      <c r="A151" s="406" t="s">
        <v>326</v>
      </c>
      <c r="B151" s="555">
        <f>IF($M151&gt;0,('Amounts Pivot Table'!F$513/$M151),0)</f>
        <v>7509.649624870106</v>
      </c>
      <c r="C151" s="555">
        <f>IF($M151&gt;0,('Amounts Pivot Table'!F$516/$M151),0)</f>
        <v>0</v>
      </c>
      <c r="D151" s="555">
        <f>IF($M151&gt;0,('Amounts Pivot Table'!F$522/$M151),0)</f>
        <v>5124.77016153164</v>
      </c>
      <c r="E151" s="555">
        <f>SUM(B151:D151)</f>
        <v>12634.419786401746</v>
      </c>
      <c r="F151" s="556">
        <f t="shared" si="15"/>
        <v>3</v>
      </c>
      <c r="G151" s="557">
        <f t="shared" si="16"/>
        <v>0</v>
      </c>
      <c r="H151" s="557">
        <f t="shared" si="17"/>
        <v>10</v>
      </c>
      <c r="I151" s="557">
        <f t="shared" si="18"/>
        <v>7</v>
      </c>
      <c r="J151" s="555"/>
      <c r="K151" s="555"/>
      <c r="L151" s="650"/>
      <c r="M151" s="825">
        <f>+'[1]NEW-Tables 80-86'!T88</f>
        <v>6126.7666666666664</v>
      </c>
    </row>
    <row r="152" spans="1:13" s="490" customFormat="1" ht="12.75" customHeight="1">
      <c r="A152" s="406" t="s">
        <v>327</v>
      </c>
      <c r="B152" s="555">
        <f>IF($M152&gt;0,('Amounts Pivot Table'!F$552/$M152),0)</f>
        <v>0</v>
      </c>
      <c r="C152" s="555">
        <f>IF($M152&gt;0,('Amounts Pivot Table'!F$555/$M152),0)</f>
        <v>0</v>
      </c>
      <c r="D152" s="555">
        <f>IF($M152&gt;0,('Amounts Pivot Table'!F$561/$M152),0)</f>
        <v>0</v>
      </c>
      <c r="E152" s="555">
        <f>SUM(B152:D152)</f>
        <v>0</v>
      </c>
      <c r="F152" s="556">
        <f t="shared" si="15"/>
        <v>0</v>
      </c>
      <c r="G152" s="557">
        <f t="shared" si="16"/>
        <v>0</v>
      </c>
      <c r="H152" s="557">
        <f t="shared" si="17"/>
        <v>0</v>
      </c>
      <c r="I152" s="557">
        <f t="shared" si="18"/>
        <v>0</v>
      </c>
      <c r="J152" s="555"/>
      <c r="K152" s="555"/>
      <c r="L152" s="650"/>
      <c r="M152" s="825">
        <f>+'[1]NEW-Tables 80-86'!T89</f>
        <v>0</v>
      </c>
    </row>
    <row r="153" spans="1:13" s="490" customFormat="1" ht="13.5" customHeight="1">
      <c r="A153" s="407" t="s">
        <v>332</v>
      </c>
      <c r="B153" s="561">
        <f>IF($M153&gt;0,('Amounts Pivot Table'!F$591/$M153),0)</f>
        <v>0</v>
      </c>
      <c r="C153" s="561">
        <f>IF($M153&gt;0,('Amounts Pivot Table'!F$594/$M153),0)</f>
        <v>0</v>
      </c>
      <c r="D153" s="561">
        <f>IF($M153&gt;0,('Amounts Pivot Table'!F$600/$M153),0)</f>
        <v>0</v>
      </c>
      <c r="E153" s="562">
        <f>SUM(B153:D153)</f>
        <v>0</v>
      </c>
      <c r="F153" s="563">
        <f t="shared" si="15"/>
        <v>0</v>
      </c>
      <c r="G153" s="564">
        <f t="shared" si="16"/>
        <v>0</v>
      </c>
      <c r="H153" s="564">
        <f t="shared" si="17"/>
        <v>0</v>
      </c>
      <c r="I153" s="564">
        <f t="shared" si="18"/>
        <v>0</v>
      </c>
      <c r="J153" s="555"/>
      <c r="K153" s="555"/>
      <c r="L153" s="650"/>
      <c r="M153" s="825">
        <f>+'[1]NEW-Tables 80-86'!T90</f>
        <v>0</v>
      </c>
    </row>
    <row r="154" spans="1:13" s="76" customFormat="1" ht="40.5" customHeight="1">
      <c r="A154" s="1505" t="s">
        <v>17</v>
      </c>
      <c r="B154" s="1541"/>
      <c r="C154" s="1541"/>
      <c r="D154" s="1541"/>
      <c r="E154" s="1541"/>
      <c r="F154" s="1541"/>
      <c r="G154" s="1542"/>
      <c r="H154" s="1542"/>
      <c r="I154" s="1542"/>
      <c r="J154" s="555"/>
      <c r="K154" s="555"/>
      <c r="L154" s="169"/>
      <c r="M154" s="657"/>
    </row>
    <row r="155" spans="1:13" s="76" customFormat="1" ht="22.5" customHeight="1">
      <c r="A155" s="1505" t="s">
        <v>54</v>
      </c>
      <c r="B155" s="1547"/>
      <c r="C155" s="1547"/>
      <c r="D155" s="1547"/>
      <c r="E155" s="1547"/>
      <c r="F155" s="1547"/>
      <c r="G155" s="1547"/>
      <c r="H155" s="1547"/>
      <c r="I155" s="1547"/>
      <c r="J155" s="651"/>
      <c r="L155" s="169"/>
      <c r="M155" s="643"/>
    </row>
    <row r="156" spans="1:13" s="490" customFormat="1" ht="21" customHeight="1">
      <c r="A156" s="1505" t="s">
        <v>233</v>
      </c>
      <c r="B156" s="1541"/>
      <c r="C156" s="1541"/>
      <c r="D156" s="1541"/>
      <c r="E156" s="1541"/>
      <c r="F156" s="1541"/>
      <c r="G156" s="1542"/>
      <c r="H156" s="1542"/>
      <c r="I156" s="1542"/>
      <c r="L156" s="652"/>
      <c r="M156" s="643"/>
    </row>
    <row r="157" spans="1:13" s="490" customFormat="1" ht="17.25" customHeight="1">
      <c r="A157" s="638"/>
      <c r="B157" s="651"/>
      <c r="C157" s="651"/>
      <c r="D157" s="651"/>
      <c r="E157" s="651"/>
      <c r="F157" s="651"/>
      <c r="G157" s="653"/>
      <c r="H157" s="653"/>
      <c r="I157" s="534" t="s">
        <v>1927</v>
      </c>
      <c r="J157" s="653"/>
      <c r="K157" s="653"/>
      <c r="L157" s="652"/>
      <c r="M157" s="643"/>
    </row>
    <row r="158" spans="1:13" s="490" customFormat="1" ht="15.75">
      <c r="A158" s="1504" t="s">
        <v>363</v>
      </c>
      <c r="B158" s="1504"/>
      <c r="C158" s="1504"/>
      <c r="D158" s="1504"/>
      <c r="E158" s="1504"/>
      <c r="F158" s="1504"/>
      <c r="G158" s="1504"/>
      <c r="H158" s="1504"/>
      <c r="I158" s="1504"/>
      <c r="J158" s="565"/>
      <c r="K158" s="565"/>
      <c r="L158" s="649"/>
      <c r="M158" s="643"/>
    </row>
    <row r="159" spans="1:13" s="490" customFormat="1" ht="18.75">
      <c r="A159" s="1504" t="s">
        <v>18</v>
      </c>
      <c r="B159" s="1504"/>
      <c r="C159" s="1504"/>
      <c r="D159" s="1504"/>
      <c r="E159" s="1504"/>
      <c r="F159" s="1504"/>
      <c r="G159" s="1504"/>
      <c r="H159" s="1504"/>
      <c r="I159" s="1504"/>
      <c r="J159" s="565"/>
      <c r="K159" s="565"/>
      <c r="L159" s="165"/>
      <c r="M159" s="643"/>
    </row>
    <row r="160" spans="1:13" s="490" customFormat="1" ht="16.5" customHeight="1">
      <c r="A160" s="1504" t="s">
        <v>441</v>
      </c>
      <c r="B160" s="1504"/>
      <c r="C160" s="1504"/>
      <c r="D160" s="1504"/>
      <c r="E160" s="1504"/>
      <c r="F160" s="1504"/>
      <c r="G160" s="1504"/>
      <c r="H160" s="1504"/>
      <c r="I160" s="1504"/>
      <c r="J160" s="91"/>
      <c r="K160" s="91"/>
      <c r="L160" s="165"/>
      <c r="M160" s="643"/>
    </row>
    <row r="161" spans="1:13" s="112" customFormat="1" ht="8.25">
      <c r="A161" s="194"/>
      <c r="B161" s="194"/>
      <c r="C161" s="194"/>
      <c r="D161" s="194"/>
      <c r="E161" s="194"/>
      <c r="F161" s="194"/>
      <c r="G161" s="195"/>
      <c r="H161" s="194"/>
      <c r="I161" s="194"/>
      <c r="J161" s="194"/>
      <c r="K161" s="194"/>
      <c r="L161" s="196"/>
      <c r="M161" s="660"/>
    </row>
    <row r="162" spans="1:13" s="490" customFormat="1" ht="15.75">
      <c r="A162" s="60"/>
      <c r="B162" s="109" t="s">
        <v>55</v>
      </c>
      <c r="C162" s="656"/>
      <c r="D162" s="656"/>
      <c r="E162" s="656"/>
      <c r="F162" s="57" t="s">
        <v>119</v>
      </c>
      <c r="G162" s="58"/>
      <c r="H162" s="58"/>
      <c r="I162" s="58"/>
      <c r="L162" s="173"/>
      <c r="M162" s="654"/>
    </row>
    <row r="163" spans="1:13" s="378" customFormat="1" ht="45">
      <c r="A163" s="644"/>
      <c r="B163" s="51" t="s">
        <v>87</v>
      </c>
      <c r="C163" s="52" t="s">
        <v>89</v>
      </c>
      <c r="D163" s="52" t="s">
        <v>306</v>
      </c>
      <c r="E163" s="52" t="s">
        <v>97</v>
      </c>
      <c r="F163" s="53" t="s">
        <v>87</v>
      </c>
      <c r="G163" s="52" t="s">
        <v>89</v>
      </c>
      <c r="H163" s="52" t="s">
        <v>306</v>
      </c>
      <c r="I163" s="52" t="s">
        <v>97</v>
      </c>
      <c r="L163" s="646"/>
      <c r="M163" s="655" t="s">
        <v>260</v>
      </c>
    </row>
    <row r="164" spans="1:13" s="490" customFormat="1" ht="14.25">
      <c r="A164" s="406" t="s">
        <v>56</v>
      </c>
      <c r="B164" s="552">
        <f>IF($M164&gt;0,('Amounts Pivot Table'!G$630/$M164),0)</f>
        <v>5198.0677002355314</v>
      </c>
      <c r="C164" s="552">
        <f>IF($M164&gt;0,('Amounts Pivot Table'!G$633/$M164),0)</f>
        <v>157.11461979677864</v>
      </c>
      <c r="D164" s="552">
        <f>IF($M164&gt;0,('Amounts Pivot Table'!G$639/$M164),0)</f>
        <v>6842.1959383284684</v>
      </c>
      <c r="E164" s="552">
        <f>SUM(B164:D164)</f>
        <v>12197.378258360779</v>
      </c>
      <c r="F164" s="553"/>
      <c r="G164" s="554"/>
      <c r="H164" s="554"/>
      <c r="I164" s="554"/>
      <c r="L164" s="648"/>
      <c r="M164" s="825">
        <f>+'[1]NEW-Tables 80-86'!U70</f>
        <v>102818.91666666667</v>
      </c>
    </row>
    <row r="165" spans="1:13" s="490" customFormat="1" ht="12.75" customHeight="1">
      <c r="A165" s="406"/>
      <c r="B165" s="552"/>
      <c r="C165" s="552"/>
      <c r="D165" s="552"/>
      <c r="E165" s="552"/>
      <c r="F165" s="553"/>
      <c r="G165" s="554"/>
      <c r="H165" s="554"/>
      <c r="I165" s="554"/>
      <c r="L165" s="648"/>
      <c r="M165" s="825"/>
    </row>
    <row r="166" spans="1:13" s="490" customFormat="1" ht="12.75" customHeight="1">
      <c r="A166" s="406" t="s">
        <v>320</v>
      </c>
      <c r="B166" s="555">
        <f>IF($M166&gt;0,('Amounts Pivot Table'!G$6/$M166),0)</f>
        <v>4944.1633994026606</v>
      </c>
      <c r="C166" s="555">
        <f>IF($M166&gt;0,('Amounts Pivot Table'!G$9/$M166),0)</f>
        <v>192.86521857181643</v>
      </c>
      <c r="D166" s="555">
        <f>IF($M166&gt;0,('Amounts Pivot Table'!G$15/$M166),0)</f>
        <v>7325.228455063806</v>
      </c>
      <c r="E166" s="555">
        <f>SUM(B166:D166)</f>
        <v>12462.257073038283</v>
      </c>
      <c r="F166" s="556">
        <f>IF(B166&gt;0,RANK(B166,$B$166:$B$184),)</f>
        <v>7</v>
      </c>
      <c r="G166" s="557">
        <f>IF(C166&gt;0,RANK(C166,$C$166:$C$184),)</f>
        <v>3</v>
      </c>
      <c r="H166" s="557">
        <f>IF(D166&gt;0,RANK(D166,$D$166:$D$184),)</f>
        <v>4</v>
      </c>
      <c r="I166" s="557">
        <f>IF(E166&gt;0,RANK(E166,$E$166:$E$184),)</f>
        <v>6</v>
      </c>
      <c r="L166" s="648"/>
      <c r="M166" s="825">
        <f>+'[1]NEW-Tables 80-86'!U72</f>
        <v>6138.3333333333339</v>
      </c>
    </row>
    <row r="167" spans="1:13" s="490" customFormat="1" ht="12.75" customHeight="1">
      <c r="A167" s="406" t="s">
        <v>334</v>
      </c>
      <c r="B167" s="555">
        <f>IF($M167&gt;0,('Amounts Pivot Table'!G$45/$M167),0)</f>
        <v>5831.9911798968214</v>
      </c>
      <c r="C167" s="555">
        <f>IF($M167&gt;0,('Amounts Pivot Table'!G$48/$M167),0)</f>
        <v>1764.5781328007988</v>
      </c>
      <c r="D167" s="555">
        <f>IF($M167&gt;0,('Amounts Pivot Table'!G$54/$M167),0)</f>
        <v>6814.7033616242306</v>
      </c>
      <c r="E167" s="555">
        <f>SUM(B167:D167)</f>
        <v>14411.272674321852</v>
      </c>
      <c r="F167" s="556">
        <f t="shared" ref="F167:F184" si="19">IF(B167&gt;0,RANK(B167,$B$166:$B$184),)</f>
        <v>4</v>
      </c>
      <c r="G167" s="557">
        <f t="shared" ref="G167:G184" si="20">IF(C167&gt;0,RANK(C167,$C$166:$C$184),)</f>
        <v>1</v>
      </c>
      <c r="H167" s="557">
        <f t="shared" ref="H167:H184" si="21">IF(D167&gt;0,RANK(D167,$D$166:$D$184),)</f>
        <v>6</v>
      </c>
      <c r="I167" s="557">
        <f t="shared" ref="I167:I184" si="22">IF(E167&gt;0,RANK(E167,$E$166:$E$184),)</f>
        <v>4</v>
      </c>
      <c r="L167" s="648"/>
      <c r="M167" s="825">
        <f>+'[1]NEW-Tables 80-86'!U73</f>
        <v>2403.6</v>
      </c>
    </row>
    <row r="168" spans="1:13" s="490" customFormat="1" ht="12.75" customHeight="1">
      <c r="A168" s="406" t="s">
        <v>321</v>
      </c>
      <c r="B168" s="555">
        <f>IF($M168&gt;0,('Amounts Pivot Table'!G$84/$M168),0)</f>
        <v>0</v>
      </c>
      <c r="C168" s="555">
        <f>IF($M168&gt;0,('Amounts Pivot Table'!G$87/$M168),0)</f>
        <v>0</v>
      </c>
      <c r="D168" s="555">
        <f>IF($M168&gt;0,('Amounts Pivot Table'!G$93/$M168),0)</f>
        <v>0</v>
      </c>
      <c r="E168" s="555">
        <f>SUM(B168:D168)</f>
        <v>0</v>
      </c>
      <c r="F168" s="556">
        <f t="shared" si="19"/>
        <v>0</v>
      </c>
      <c r="G168" s="557">
        <f t="shared" si="20"/>
        <v>0</v>
      </c>
      <c r="H168" s="557">
        <f t="shared" si="21"/>
        <v>0</v>
      </c>
      <c r="I168" s="557">
        <f t="shared" si="22"/>
        <v>0</v>
      </c>
      <c r="L168" s="648"/>
      <c r="M168" s="825">
        <f>+'[1]NEW-Tables 80-86'!U74</f>
        <v>0</v>
      </c>
    </row>
    <row r="169" spans="1:13" s="490" customFormat="1" ht="12.75" customHeight="1">
      <c r="A169" s="406" t="s">
        <v>328</v>
      </c>
      <c r="B169" s="555">
        <f>IF($M169&gt;0,('Amounts Pivot Table'!G$123/$M169),0)</f>
        <v>0</v>
      </c>
      <c r="C169" s="555">
        <f>IF($M169&gt;0,('Amounts Pivot Table'!G$126/$M169),0)</f>
        <v>0</v>
      </c>
      <c r="D169" s="555">
        <f>IF($M169&gt;0,('Amounts Pivot Table'!G$132/$M169),0)</f>
        <v>0</v>
      </c>
      <c r="E169" s="555">
        <f>SUM(B169:D169)</f>
        <v>0</v>
      </c>
      <c r="F169" s="556">
        <f t="shared" si="19"/>
        <v>0</v>
      </c>
      <c r="G169" s="557">
        <f t="shared" si="20"/>
        <v>0</v>
      </c>
      <c r="H169" s="557">
        <f t="shared" si="21"/>
        <v>0</v>
      </c>
      <c r="I169" s="557">
        <f t="shared" si="22"/>
        <v>0</v>
      </c>
      <c r="L169" s="648"/>
      <c r="M169" s="825">
        <f>+'[1]NEW-Tables 80-86'!U75</f>
        <v>0</v>
      </c>
    </row>
    <row r="170" spans="1:13" s="490" customFormat="1" ht="12.75" customHeight="1">
      <c r="A170" s="406"/>
      <c r="B170" s="555"/>
      <c r="C170" s="555"/>
      <c r="D170" s="555"/>
      <c r="E170" s="555"/>
      <c r="F170" s="556"/>
      <c r="G170" s="557"/>
      <c r="H170" s="557"/>
      <c r="I170" s="557"/>
      <c r="L170" s="648"/>
      <c r="M170" s="825"/>
    </row>
    <row r="171" spans="1:13" s="490" customFormat="1" ht="12.75" customHeight="1">
      <c r="A171" s="406" t="s">
        <v>329</v>
      </c>
      <c r="B171" s="555">
        <f>IF($M171&gt;0,('Amounts Pivot Table'!G$162/$M171),0)</f>
        <v>5492.7729163100284</v>
      </c>
      <c r="C171" s="555">
        <f>IF($M171&gt;0,('Amounts Pivot Table'!G$165/$M171),0)</f>
        <v>0</v>
      </c>
      <c r="D171" s="555">
        <f>IF($M171&gt;0,('Amounts Pivot Table'!G$171/$M171),0)</f>
        <v>5372.3995287341268</v>
      </c>
      <c r="E171" s="555">
        <f>SUM(B171:D171)</f>
        <v>10865.172445044154</v>
      </c>
      <c r="F171" s="556">
        <f t="shared" si="19"/>
        <v>5</v>
      </c>
      <c r="G171" s="557">
        <f t="shared" si="20"/>
        <v>0</v>
      </c>
      <c r="H171" s="557">
        <f t="shared" si="21"/>
        <v>11</v>
      </c>
      <c r="I171" s="557">
        <f t="shared" si="22"/>
        <v>10</v>
      </c>
      <c r="L171" s="648"/>
      <c r="M171" s="825">
        <f>+'[1]NEW-Tables 80-86'!U77</f>
        <v>9930.7000000000007</v>
      </c>
    </row>
    <row r="172" spans="1:13" s="490" customFormat="1" ht="12.75" customHeight="1">
      <c r="A172" s="406" t="s">
        <v>322</v>
      </c>
      <c r="B172" s="555">
        <f>IF($M172&gt;0,('Amounts Pivot Table'!G$201/$M172),0)</f>
        <v>0</v>
      </c>
      <c r="C172" s="555">
        <f>IF($M172&gt;0,('Amounts Pivot Table'!G$204/$M172),0)</f>
        <v>0</v>
      </c>
      <c r="D172" s="555">
        <f>IF($M172&gt;0,('Amounts Pivot Table'!G$210/$M172),0)</f>
        <v>0</v>
      </c>
      <c r="E172" s="555">
        <f>SUM(B172:D172)</f>
        <v>0</v>
      </c>
      <c r="F172" s="556">
        <f t="shared" si="19"/>
        <v>0</v>
      </c>
      <c r="G172" s="557">
        <f t="shared" si="20"/>
        <v>0</v>
      </c>
      <c r="H172" s="557">
        <f t="shared" si="21"/>
        <v>0</v>
      </c>
      <c r="I172" s="557">
        <f t="shared" si="22"/>
        <v>0</v>
      </c>
      <c r="L172" s="648"/>
      <c r="M172" s="825">
        <f>+'[1]NEW-Tables 80-86'!U78</f>
        <v>0</v>
      </c>
    </row>
    <row r="173" spans="1:13" s="490" customFormat="1" ht="12.75" customHeight="1">
      <c r="A173" s="406" t="s">
        <v>330</v>
      </c>
      <c r="B173" s="555">
        <f>IF($M173&gt;0,('Amounts Pivot Table'!G$240/$M173),0)</f>
        <v>3304.0884242831112</v>
      </c>
      <c r="C173" s="555">
        <f>IF($M173&gt;0,('Amounts Pivot Table'!G$243/$M173),0)</f>
        <v>0</v>
      </c>
      <c r="D173" s="555">
        <f>IF($M173&gt;0,('Amounts Pivot Table'!G$249/$M173),0)</f>
        <v>4794.8647056405762</v>
      </c>
      <c r="E173" s="555">
        <f>SUM(B173:D173)</f>
        <v>8098.9531299236878</v>
      </c>
      <c r="F173" s="556">
        <f t="shared" si="19"/>
        <v>12</v>
      </c>
      <c r="G173" s="557">
        <f t="shared" si="20"/>
        <v>0</v>
      </c>
      <c r="H173" s="557">
        <f t="shared" si="21"/>
        <v>12</v>
      </c>
      <c r="I173" s="557">
        <f t="shared" si="22"/>
        <v>13</v>
      </c>
      <c r="L173" s="648"/>
      <c r="M173" s="825">
        <f>+'[1]NEW-Tables 80-86'!U79</f>
        <v>2432.9666666666667</v>
      </c>
    </row>
    <row r="174" spans="1:13" s="490" customFormat="1" ht="12.75" customHeight="1">
      <c r="A174" s="406" t="s">
        <v>333</v>
      </c>
      <c r="B174" s="555">
        <f>IF($M174&gt;0,('Amounts Pivot Table'!G$279/$M174),0)</f>
        <v>13806.169393104072</v>
      </c>
      <c r="C174" s="555">
        <f>IF($M174&gt;0,('Amounts Pivot Table'!G$282/$M174),0)</f>
        <v>0</v>
      </c>
      <c r="D174" s="555">
        <f>IF($M174&gt;0,('Amounts Pivot Table'!G$288/$M174),0)</f>
        <v>5579.257083465136</v>
      </c>
      <c r="E174" s="555">
        <f>SUM(B174:D174)</f>
        <v>19385.426476569206</v>
      </c>
      <c r="F174" s="556">
        <f t="shared" si="19"/>
        <v>1</v>
      </c>
      <c r="G174" s="557">
        <f t="shared" si="20"/>
        <v>0</v>
      </c>
      <c r="H174" s="557">
        <f t="shared" si="21"/>
        <v>10</v>
      </c>
      <c r="I174" s="557">
        <f t="shared" si="22"/>
        <v>1</v>
      </c>
      <c r="L174" s="648"/>
      <c r="M174" s="825">
        <f>+'[1]NEW-Tables 80-86'!U80</f>
        <v>2950.5333333333333</v>
      </c>
    </row>
    <row r="175" spans="1:13" s="490" customFormat="1" ht="12.75" customHeight="1">
      <c r="A175" s="406"/>
      <c r="B175" s="555"/>
      <c r="C175" s="555"/>
      <c r="D175" s="555"/>
      <c r="E175" s="555"/>
      <c r="F175" s="556"/>
      <c r="G175" s="557"/>
      <c r="H175" s="557"/>
      <c r="I175" s="557"/>
      <c r="L175" s="648"/>
      <c r="M175" s="825"/>
    </row>
    <row r="176" spans="1:13" s="490" customFormat="1" ht="12.75" customHeight="1">
      <c r="A176" s="406" t="s">
        <v>323</v>
      </c>
      <c r="B176" s="555">
        <f>IF($M176&gt;0,('Amounts Pivot Table'!G$318/$M176),0)</f>
        <v>6280.5417514858264</v>
      </c>
      <c r="C176" s="555">
        <f>IF($M176&gt;0,('Amounts Pivot Table'!G$321/$M176),0)</f>
        <v>0</v>
      </c>
      <c r="D176" s="555">
        <f>IF($M176&gt;0,('Amounts Pivot Table'!G$327/$M176),0)</f>
        <v>7479.0441605204733</v>
      </c>
      <c r="E176" s="555">
        <f>SUM(B176:D176)</f>
        <v>13759.5859120063</v>
      </c>
      <c r="F176" s="556">
        <f t="shared" si="19"/>
        <v>3</v>
      </c>
      <c r="G176" s="557">
        <f t="shared" si="20"/>
        <v>0</v>
      </c>
      <c r="H176" s="557">
        <f t="shared" si="21"/>
        <v>3</v>
      </c>
      <c r="I176" s="557">
        <f t="shared" si="22"/>
        <v>5</v>
      </c>
      <c r="L176" s="648"/>
      <c r="M176" s="825">
        <f>+'[1]NEW-Tables 80-86'!U82</f>
        <v>2443.9250000000002</v>
      </c>
    </row>
    <row r="177" spans="1:13" s="490" customFormat="1" ht="12.75" customHeight="1">
      <c r="A177" s="406" t="s">
        <v>324</v>
      </c>
      <c r="B177" s="555">
        <f>IF($M177&gt;0,('Amounts Pivot Table'!G$357/$M177),0)</f>
        <v>10857.537426810219</v>
      </c>
      <c r="C177" s="555">
        <f>IF($M177&gt;0,('Amounts Pivot Table'!G$360/$M177),0)</f>
        <v>0</v>
      </c>
      <c r="D177" s="555">
        <f>IF($M177&gt;0,('Amounts Pivot Table'!G$366/$M177),0)</f>
        <v>3957.6513481301513</v>
      </c>
      <c r="E177" s="555">
        <f>SUM(B177:D177)</f>
        <v>14815.18877494037</v>
      </c>
      <c r="F177" s="556">
        <f t="shared" si="19"/>
        <v>2</v>
      </c>
      <c r="G177" s="557">
        <f t="shared" si="20"/>
        <v>0</v>
      </c>
      <c r="H177" s="557">
        <f t="shared" si="21"/>
        <v>13</v>
      </c>
      <c r="I177" s="557">
        <f t="shared" si="22"/>
        <v>2</v>
      </c>
      <c r="L177" s="648"/>
      <c r="M177" s="825">
        <f>+'[1]NEW-Tables 80-86'!U83</f>
        <v>10893.483333333334</v>
      </c>
    </row>
    <row r="178" spans="1:13" s="490" customFormat="1" ht="12.75" customHeight="1">
      <c r="A178" s="406" t="s">
        <v>331</v>
      </c>
      <c r="B178" s="555">
        <f>IF($M178&gt;0,('Amounts Pivot Table'!G$396/$M178),0)</f>
        <v>5259.9094235173279</v>
      </c>
      <c r="C178" s="555">
        <f>IF($M178&gt;0,('Amounts Pivot Table'!G$399/$M178),0)</f>
        <v>0</v>
      </c>
      <c r="D178" s="555">
        <f>IF($M178&gt;0,('Amounts Pivot Table'!G$405/$M178),0)</f>
        <v>5783.3685596552887</v>
      </c>
      <c r="E178" s="555">
        <f>SUM(B178:D178)</f>
        <v>11043.277983172617</v>
      </c>
      <c r="F178" s="556">
        <f t="shared" si="19"/>
        <v>6</v>
      </c>
      <c r="G178" s="557">
        <f t="shared" si="20"/>
        <v>0</v>
      </c>
      <c r="H178" s="557">
        <f t="shared" si="21"/>
        <v>9</v>
      </c>
      <c r="I178" s="557">
        <f t="shared" si="22"/>
        <v>9</v>
      </c>
      <c r="L178" s="648"/>
      <c r="M178" s="825">
        <f>+'[1]NEW-Tables 80-86'!U84</f>
        <v>17353.658333333333</v>
      </c>
    </row>
    <row r="179" spans="1:13" s="490" customFormat="1" ht="12.75" customHeight="1">
      <c r="A179" s="406" t="s">
        <v>325</v>
      </c>
      <c r="B179" s="555">
        <f>IF($M179&gt;0,('Amounts Pivot Table'!G$435/$M179),0)</f>
        <v>2039.1676337816011</v>
      </c>
      <c r="C179" s="555">
        <f>IF($M179&gt;0,('Amounts Pivot Table'!G$438/$M179),0)</f>
        <v>671.32107110544791</v>
      </c>
      <c r="D179" s="555">
        <f>IF($M179&gt;0,('Amounts Pivot Table'!G$444/$M179),0)</f>
        <v>11784.168178523891</v>
      </c>
      <c r="E179" s="555">
        <f>SUM(B179:D179)</f>
        <v>14494.65688341094</v>
      </c>
      <c r="F179" s="556">
        <f t="shared" si="19"/>
        <v>13</v>
      </c>
      <c r="G179" s="557">
        <f t="shared" si="20"/>
        <v>2</v>
      </c>
      <c r="H179" s="557">
        <f t="shared" si="21"/>
        <v>1</v>
      </c>
      <c r="I179" s="557">
        <f t="shared" si="22"/>
        <v>3</v>
      </c>
      <c r="L179" s="648"/>
      <c r="M179" s="825">
        <f>+'[1]NEW-Tables 80-86'!U85</f>
        <v>15833.174999999999</v>
      </c>
    </row>
    <row r="180" spans="1:13" s="490" customFormat="1" ht="12.75" customHeight="1">
      <c r="A180" s="406"/>
      <c r="B180" s="555"/>
      <c r="C180" s="555"/>
      <c r="D180" s="555"/>
      <c r="E180" s="555"/>
      <c r="F180" s="556"/>
      <c r="G180" s="557"/>
      <c r="H180" s="557"/>
      <c r="I180" s="557"/>
      <c r="L180" s="648"/>
      <c r="M180" s="825"/>
    </row>
    <row r="181" spans="1:13" s="490" customFormat="1" ht="12.75" customHeight="1">
      <c r="A181" s="406" t="s">
        <v>90</v>
      </c>
      <c r="B181" s="555">
        <f>IF($M181&gt;0,('Amounts Pivot Table'!G$474/$M181),0)</f>
        <v>3892.0430903462197</v>
      </c>
      <c r="C181" s="555">
        <f>IF($M181&gt;0,('Amounts Pivot Table'!G$477/$M181),0)</f>
        <v>0</v>
      </c>
      <c r="D181" s="555">
        <f>IF($M181&gt;0,('Amounts Pivot Table'!G$483/$M181),0)</f>
        <v>7683.1350777883545</v>
      </c>
      <c r="E181" s="555">
        <f>SUM(B181:D181)</f>
        <v>11575.178168134575</v>
      </c>
      <c r="F181" s="556">
        <f t="shared" si="19"/>
        <v>10</v>
      </c>
      <c r="G181" s="557">
        <f t="shared" si="20"/>
        <v>0</v>
      </c>
      <c r="H181" s="557">
        <f t="shared" si="21"/>
        <v>2</v>
      </c>
      <c r="I181" s="557">
        <f t="shared" si="22"/>
        <v>8</v>
      </c>
      <c r="L181" s="648"/>
      <c r="M181" s="825">
        <f>+'[1]NEW-Tables 80-86'!U87</f>
        <v>6880.85</v>
      </c>
    </row>
    <row r="182" spans="1:13" s="76" customFormat="1" ht="12.75" customHeight="1">
      <c r="A182" s="406" t="s">
        <v>326</v>
      </c>
      <c r="B182" s="555">
        <f>IF($M182&gt;0,('Amounts Pivot Table'!G$513/$M182),0)</f>
        <v>4077.3140798171321</v>
      </c>
      <c r="C182" s="555">
        <f>IF($M182&gt;0,('Amounts Pivot Table'!G$516/$M182),0)</f>
        <v>0</v>
      </c>
      <c r="D182" s="555">
        <f>IF($M182&gt;0,('Amounts Pivot Table'!G$522/$M182),0)</f>
        <v>5841.2334451956895</v>
      </c>
      <c r="E182" s="555">
        <f>SUM(B182:D182)</f>
        <v>9918.547525012822</v>
      </c>
      <c r="F182" s="556">
        <f t="shared" si="19"/>
        <v>9</v>
      </c>
      <c r="G182" s="557">
        <f t="shared" si="20"/>
        <v>0</v>
      </c>
      <c r="H182" s="557">
        <f t="shared" si="21"/>
        <v>8</v>
      </c>
      <c r="I182" s="557">
        <f t="shared" si="22"/>
        <v>12</v>
      </c>
      <c r="J182" s="490"/>
      <c r="K182" s="490"/>
      <c r="L182" s="169"/>
      <c r="M182" s="825">
        <f>+'[1]NEW-Tables 80-86'!U88</f>
        <v>12803.433333333334</v>
      </c>
    </row>
    <row r="183" spans="1:13" s="490" customFormat="1" ht="12.75" customHeight="1">
      <c r="A183" s="406" t="s">
        <v>327</v>
      </c>
      <c r="B183" s="555">
        <f>IF($M183&gt;0,('Amounts Pivot Table'!G$552/$M183),0)</f>
        <v>4805.4564549532306</v>
      </c>
      <c r="C183" s="555">
        <f>IF($M183&gt;0,('Amounts Pivot Table'!G$555/$M183),0)</f>
        <v>0</v>
      </c>
      <c r="D183" s="555">
        <f>IF($M183&gt;0,('Amounts Pivot Table'!G$561/$M183),0)</f>
        <v>6830.2600041223759</v>
      </c>
      <c r="E183" s="555">
        <f>SUM(B183:D183)</f>
        <v>11635.716459075607</v>
      </c>
      <c r="F183" s="556">
        <f t="shared" si="19"/>
        <v>8</v>
      </c>
      <c r="G183" s="557">
        <f t="shared" si="20"/>
        <v>0</v>
      </c>
      <c r="H183" s="557">
        <f t="shared" si="21"/>
        <v>5</v>
      </c>
      <c r="I183" s="557">
        <f t="shared" si="22"/>
        <v>7</v>
      </c>
      <c r="J183" s="76"/>
      <c r="K183" s="76"/>
      <c r="L183" s="649"/>
      <c r="M183" s="825">
        <f>+'[1]NEW-Tables 80-86'!U89</f>
        <v>5094.1499999999996</v>
      </c>
    </row>
    <row r="184" spans="1:13" s="490" customFormat="1" ht="15.75" customHeight="1">
      <c r="A184" s="407" t="s">
        <v>332</v>
      </c>
      <c r="B184" s="561">
        <f>IF($M184&gt;0,('Amounts Pivot Table'!G$591/$M184),0)</f>
        <v>3409.4776292328329</v>
      </c>
      <c r="C184" s="561">
        <f>IF($M184&gt;0,('Amounts Pivot Table'!G$594/$M184),0)</f>
        <v>13.054645658840769</v>
      </c>
      <c r="D184" s="561">
        <f>IF($M184&gt;0,('Amounts Pivot Table'!G$600/$M184),0)</f>
        <v>6514.3331958969247</v>
      </c>
      <c r="E184" s="562">
        <f>SUM(B184:D184)</f>
        <v>9936.865470788598</v>
      </c>
      <c r="F184" s="563">
        <f t="shared" si="19"/>
        <v>11</v>
      </c>
      <c r="G184" s="564">
        <f t="shared" si="20"/>
        <v>4</v>
      </c>
      <c r="H184" s="564">
        <f t="shared" si="21"/>
        <v>7</v>
      </c>
      <c r="I184" s="564">
        <f t="shared" si="22"/>
        <v>11</v>
      </c>
      <c r="J184" s="76"/>
      <c r="K184" s="76"/>
      <c r="L184" s="652"/>
      <c r="M184" s="825">
        <f>+'[1]NEW-Tables 80-86'!U90</f>
        <v>7660.1083333333336</v>
      </c>
    </row>
    <row r="185" spans="1:13" s="76" customFormat="1" ht="36.75" customHeight="1">
      <c r="A185" s="1505" t="s">
        <v>17</v>
      </c>
      <c r="B185" s="1541"/>
      <c r="C185" s="1541"/>
      <c r="D185" s="1541"/>
      <c r="E185" s="1541"/>
      <c r="F185" s="1541"/>
      <c r="G185" s="1542"/>
      <c r="H185" s="1542"/>
      <c r="I185" s="1542"/>
      <c r="L185" s="169"/>
      <c r="M185" s="657"/>
    </row>
    <row r="186" spans="1:13" s="76" customFormat="1" ht="22.5" customHeight="1">
      <c r="A186" s="1505" t="s">
        <v>54</v>
      </c>
      <c r="B186" s="1547"/>
      <c r="C186" s="1547"/>
      <c r="D186" s="1547"/>
      <c r="E186" s="1547"/>
      <c r="F186" s="1547"/>
      <c r="G186" s="1547"/>
      <c r="H186" s="1547"/>
      <c r="I186" s="1547"/>
      <c r="J186" s="651"/>
      <c r="L186" s="169"/>
      <c r="M186" s="643"/>
    </row>
    <row r="187" spans="1:13" s="490" customFormat="1">
      <c r="A187" s="1505" t="s">
        <v>233</v>
      </c>
      <c r="B187" s="1541"/>
      <c r="C187" s="1541"/>
      <c r="D187" s="1541"/>
      <c r="E187" s="1541"/>
      <c r="F187" s="1541"/>
      <c r="G187" s="1542"/>
      <c r="H187" s="1542"/>
      <c r="I187" s="1542"/>
      <c r="J187" s="1542"/>
      <c r="K187" s="1542"/>
      <c r="L187" s="652"/>
      <c r="M187" s="643"/>
    </row>
    <row r="188" spans="1:13" s="490" customFormat="1">
      <c r="A188" s="638"/>
      <c r="B188" s="651"/>
      <c r="C188" s="651"/>
      <c r="D188" s="651"/>
      <c r="E188" s="651"/>
      <c r="F188" s="651"/>
      <c r="G188" s="653"/>
      <c r="H188" s="653"/>
      <c r="I188" s="534" t="s">
        <v>1927</v>
      </c>
      <c r="J188" s="653"/>
      <c r="K188" s="653"/>
      <c r="L188" s="652"/>
      <c r="M188" s="643"/>
    </row>
    <row r="189" spans="1:13" s="490" customFormat="1" ht="15.75">
      <c r="A189" s="1504" t="s">
        <v>364</v>
      </c>
      <c r="B189" s="1504"/>
      <c r="C189" s="1504"/>
      <c r="D189" s="1504"/>
      <c r="E189" s="1504"/>
      <c r="F189" s="1504"/>
      <c r="G189" s="1504"/>
      <c r="H189" s="1504"/>
      <c r="I189" s="1504"/>
      <c r="J189" s="565"/>
      <c r="K189" s="565"/>
      <c r="L189" s="649"/>
      <c r="M189" s="643"/>
    </row>
    <row r="190" spans="1:13" s="490" customFormat="1" ht="18.75">
      <c r="A190" s="1504" t="s">
        <v>18</v>
      </c>
      <c r="B190" s="1504"/>
      <c r="C190" s="1504"/>
      <c r="D190" s="1504"/>
      <c r="E190" s="1504"/>
      <c r="F190" s="1504"/>
      <c r="G190" s="1504"/>
      <c r="H190" s="1504"/>
      <c r="I190" s="1504"/>
      <c r="J190" s="565"/>
      <c r="K190" s="565"/>
      <c r="L190" s="165"/>
      <c r="M190" s="643"/>
    </row>
    <row r="191" spans="1:13" s="490" customFormat="1" ht="15.75">
      <c r="A191" s="1504" t="s">
        <v>442</v>
      </c>
      <c r="B191" s="1504"/>
      <c r="C191" s="1504"/>
      <c r="D191" s="1504"/>
      <c r="E191" s="1504"/>
      <c r="F191" s="1504"/>
      <c r="G191" s="1504"/>
      <c r="H191" s="1504"/>
      <c r="I191" s="1504"/>
      <c r="J191" s="91"/>
      <c r="K191" s="91"/>
      <c r="L191" s="165"/>
      <c r="M191" s="643"/>
    </row>
    <row r="192" spans="1:13" s="490" customFormat="1" ht="15.75" customHeight="1">
      <c r="A192" s="91"/>
      <c r="B192" s="91"/>
      <c r="C192" s="91"/>
      <c r="D192" s="91"/>
      <c r="E192" s="91"/>
      <c r="F192" s="91"/>
      <c r="G192" s="108"/>
      <c r="H192" s="91"/>
      <c r="I192" s="91"/>
      <c r="J192" s="91"/>
      <c r="K192" s="91"/>
      <c r="L192" s="165"/>
      <c r="M192" s="654"/>
    </row>
    <row r="193" spans="1:13" s="490" customFormat="1" ht="15.75">
      <c r="A193" s="60"/>
      <c r="B193" s="109" t="s">
        <v>55</v>
      </c>
      <c r="C193" s="656"/>
      <c r="D193" s="656"/>
      <c r="E193" s="656"/>
      <c r="F193" s="57" t="s">
        <v>119</v>
      </c>
      <c r="G193" s="58"/>
      <c r="H193" s="58"/>
      <c r="I193" s="58"/>
      <c r="L193" s="173"/>
      <c r="M193" s="655"/>
    </row>
    <row r="194" spans="1:13" s="378" customFormat="1" ht="45">
      <c r="A194" s="644"/>
      <c r="B194" s="51" t="s">
        <v>87</v>
      </c>
      <c r="C194" s="52" t="s">
        <v>89</v>
      </c>
      <c r="D194" s="52" t="s">
        <v>306</v>
      </c>
      <c r="E194" s="52" t="s">
        <v>97</v>
      </c>
      <c r="F194" s="53" t="s">
        <v>87</v>
      </c>
      <c r="G194" s="52" t="s">
        <v>89</v>
      </c>
      <c r="H194" s="52" t="s">
        <v>306</v>
      </c>
      <c r="I194" s="52" t="s">
        <v>97</v>
      </c>
      <c r="L194" s="646"/>
      <c r="M194" s="661" t="s">
        <v>260</v>
      </c>
    </row>
    <row r="195" spans="1:13" s="490" customFormat="1" ht="14.25">
      <c r="A195" s="406" t="s">
        <v>56</v>
      </c>
      <c r="B195" s="552">
        <f>IF($M195&gt;0,('Amounts Pivot Table'!H$630/$M195),0)</f>
        <v>5374.9679340750426</v>
      </c>
      <c r="C195" s="552">
        <f>IF($M195&gt;0,('Amounts Pivot Table'!H$633/$M195),0)</f>
        <v>124.24653025732951</v>
      </c>
      <c r="D195" s="552">
        <f>IF($M195&gt;0,('Amounts Pivot Table'!H$639/$M195),0)</f>
        <v>6406.861512609019</v>
      </c>
      <c r="E195" s="552">
        <f>SUM(B195:D195)</f>
        <v>11906.075976941391</v>
      </c>
      <c r="F195" s="553"/>
      <c r="G195" s="554"/>
      <c r="H195" s="554"/>
      <c r="I195" s="554"/>
      <c r="L195" s="648"/>
      <c r="M195" s="825">
        <f>+'[1]NEW-Tables 80-86'!V70</f>
        <v>73118.895000000004</v>
      </c>
    </row>
    <row r="196" spans="1:13" s="112" customFormat="1">
      <c r="A196" s="110"/>
      <c r="B196" s="111"/>
      <c r="C196" s="111"/>
      <c r="D196" s="111"/>
      <c r="E196" s="111"/>
      <c r="F196" s="119"/>
      <c r="G196" s="120"/>
      <c r="H196" s="120"/>
      <c r="I196" s="120"/>
      <c r="L196" s="175"/>
      <c r="M196" s="825"/>
    </row>
    <row r="197" spans="1:13" s="490" customFormat="1" ht="12.75" customHeight="1">
      <c r="A197" s="406" t="s">
        <v>320</v>
      </c>
      <c r="B197" s="555">
        <f>IF($M197&gt;0,('Amounts Pivot Table'!H$6/$M197),0)</f>
        <v>4238.6253433505999</v>
      </c>
      <c r="C197" s="555">
        <f>IF($M197&gt;0,('Amounts Pivot Table'!H$9/$M197),0)</f>
        <v>80.703006434296185</v>
      </c>
      <c r="D197" s="555">
        <f>IF($M197&gt;0,('Amounts Pivot Table'!H$15/$M197),0)</f>
        <v>5962.8406226090883</v>
      </c>
      <c r="E197" s="555">
        <f>SUM(B197:D197)</f>
        <v>10282.168972393985</v>
      </c>
      <c r="F197" s="556">
        <f>IF(B197&gt;0,RANK(B197,$B$197:$B$215),)</f>
        <v>10</v>
      </c>
      <c r="G197" s="557">
        <f>IF(C197&gt;0,RANK(C197,$C$197:$C$215),)</f>
        <v>3</v>
      </c>
      <c r="H197" s="557">
        <f>IF(D197&gt;0,RANK(D197,$D$197:$D$215),)</f>
        <v>7</v>
      </c>
      <c r="I197" s="557">
        <f>IF(E197&gt;0,RANK(E197,$E$197:$E$215),)</f>
        <v>10</v>
      </c>
      <c r="L197" s="648"/>
      <c r="M197" s="825">
        <f>+'[1]NEW-Tables 80-86'!V72</f>
        <v>2657.6333333333332</v>
      </c>
    </row>
    <row r="198" spans="1:13" s="490" customFormat="1" ht="12.75" customHeight="1">
      <c r="A198" s="406" t="s">
        <v>334</v>
      </c>
      <c r="B198" s="555">
        <f>IF($M198&gt;0,('Amounts Pivot Table'!H$45/$M198),0)</f>
        <v>5923.7278412215055</v>
      </c>
      <c r="C198" s="555">
        <f>IF($M198&gt;0,('Amounts Pivot Table'!H$48/$M198),0)</f>
        <v>0</v>
      </c>
      <c r="D198" s="555">
        <f>IF($M198&gt;0,('Amounts Pivot Table'!H$54/$M198),0)</f>
        <v>5500.7983264268496</v>
      </c>
      <c r="E198" s="555">
        <f>SUM(B198:D198)</f>
        <v>11424.526167648355</v>
      </c>
      <c r="F198" s="556">
        <f>IF(B198&gt;0,RANK(B198,$B$197:$B$215),)</f>
        <v>6</v>
      </c>
      <c r="G198" s="557">
        <f t="shared" ref="G198:G215" si="23">IF(C198&gt;0,RANK(C198,$C$197:$C$215),)</f>
        <v>0</v>
      </c>
      <c r="H198" s="557">
        <f t="shared" ref="H198:H215" si="24">IF(D198&gt;0,RANK(D198,$D$197:$D$215),)</f>
        <v>9</v>
      </c>
      <c r="I198" s="557">
        <f t="shared" ref="I198:I215" si="25">IF(E198&gt;0,RANK(E198,$E$197:$E$215),)</f>
        <v>7</v>
      </c>
      <c r="L198" s="648"/>
      <c r="M198" s="825">
        <f>+'[1]NEW-Tables 80-86'!V73</f>
        <v>8532.6416666666664</v>
      </c>
    </row>
    <row r="199" spans="1:13" s="490" customFormat="1" ht="12.75" customHeight="1">
      <c r="A199" s="406" t="s">
        <v>321</v>
      </c>
      <c r="B199" s="555">
        <f>IF($M199&gt;0,('Amounts Pivot Table'!H$84/$M199),0)</f>
        <v>0</v>
      </c>
      <c r="C199" s="555">
        <f>IF($M199&gt;0,('Amounts Pivot Table'!H$87/$M199),0)</f>
        <v>0</v>
      </c>
      <c r="D199" s="555">
        <f>IF($M199&gt;0,('Amounts Pivot Table'!H$93/$M199),0)</f>
        <v>0</v>
      </c>
      <c r="E199" s="555">
        <f>SUM(B199:D199)</f>
        <v>0</v>
      </c>
      <c r="F199" s="556">
        <f>IF(B199&gt;0,RANK(B199,$B$197:$B$215),)</f>
        <v>0</v>
      </c>
      <c r="G199" s="557">
        <f t="shared" si="23"/>
        <v>0</v>
      </c>
      <c r="H199" s="557">
        <f t="shared" si="24"/>
        <v>0</v>
      </c>
      <c r="I199" s="557">
        <f t="shared" si="25"/>
        <v>0</v>
      </c>
      <c r="L199" s="648"/>
      <c r="M199" s="825">
        <f>+'[1]NEW-Tables 80-86'!V74</f>
        <v>0</v>
      </c>
    </row>
    <row r="200" spans="1:13" s="490" customFormat="1" ht="12.75" customHeight="1">
      <c r="A200" s="406" t="s">
        <v>328</v>
      </c>
      <c r="B200" s="555">
        <f>IF($M200&gt;0,('Amounts Pivot Table'!H$123/$M200),0)</f>
        <v>18944.181798530048</v>
      </c>
      <c r="C200" s="555">
        <f>IF($M200&gt;0,('Amounts Pivot Table'!H$126/$M200),0)</f>
        <v>466.40510159965413</v>
      </c>
      <c r="D200" s="555">
        <f>IF($M200&gt;0,('Amounts Pivot Table'!H$132/$M200),0)</f>
        <v>6726.4496541288363</v>
      </c>
      <c r="E200" s="555">
        <f>SUM(B200:D200)</f>
        <v>26137.036554258539</v>
      </c>
      <c r="F200" s="556">
        <f>IF(B200&gt;0,RANK(B200,$B$197:$B$215),)</f>
        <v>1</v>
      </c>
      <c r="G200" s="557">
        <f t="shared" si="23"/>
        <v>2</v>
      </c>
      <c r="H200" s="557">
        <f t="shared" si="24"/>
        <v>5</v>
      </c>
      <c r="I200" s="557">
        <f t="shared" si="25"/>
        <v>1</v>
      </c>
      <c r="L200" s="648"/>
      <c r="M200" s="825">
        <f>+'[1]NEW-Tables 80-86'!V75</f>
        <v>925.2</v>
      </c>
    </row>
    <row r="201" spans="1:13" s="112" customFormat="1">
      <c r="A201" s="110"/>
      <c r="B201" s="111"/>
      <c r="C201" s="111"/>
      <c r="D201" s="111"/>
      <c r="E201" s="111"/>
      <c r="F201" s="119"/>
      <c r="G201" s="120"/>
      <c r="H201" s="120"/>
      <c r="I201" s="120"/>
      <c r="L201" s="175"/>
      <c r="M201" s="825"/>
    </row>
    <row r="202" spans="1:13" s="490" customFormat="1" ht="12.75" customHeight="1">
      <c r="A202" s="406" t="s">
        <v>329</v>
      </c>
      <c r="B202" s="555">
        <f>IF($M202&gt;0,('Amounts Pivot Table'!H$162/$M202),0)</f>
        <v>4738.2279901826523</v>
      </c>
      <c r="C202" s="555">
        <f>IF($M202&gt;0,('Amounts Pivot Table'!H$165/$M202),0)</f>
        <v>0</v>
      </c>
      <c r="D202" s="555">
        <f>IF($M202&gt;0,('Amounts Pivot Table'!H$171/$M202),0)</f>
        <v>3953.3402613304979</v>
      </c>
      <c r="E202" s="555">
        <f>SUM(B202:D202)</f>
        <v>8691.5682515131502</v>
      </c>
      <c r="F202" s="556">
        <f t="shared" ref="F202:F215" si="26">IF(B202&gt;0,RANK(B202,$B$197:$B$215),)</f>
        <v>8</v>
      </c>
      <c r="G202" s="557">
        <f t="shared" si="23"/>
        <v>0</v>
      </c>
      <c r="H202" s="557">
        <f t="shared" si="24"/>
        <v>12</v>
      </c>
      <c r="I202" s="557">
        <f t="shared" si="25"/>
        <v>12</v>
      </c>
      <c r="L202" s="648"/>
      <c r="M202" s="825">
        <f>+'[1]NEW-Tables 80-86'!V77</f>
        <v>18620.099999999999</v>
      </c>
    </row>
    <row r="203" spans="1:13" s="490" customFormat="1" ht="12.75" customHeight="1">
      <c r="A203" s="406" t="s">
        <v>322</v>
      </c>
      <c r="B203" s="555">
        <f>IF($M203&gt;0,('Amounts Pivot Table'!H$201/$M203),0)</f>
        <v>0</v>
      </c>
      <c r="C203" s="555">
        <f>IF($M203&gt;0,('Amounts Pivot Table'!H$204/$M203),0)</f>
        <v>0</v>
      </c>
      <c r="D203" s="555">
        <f>IF($M203&gt;0,('Amounts Pivot Table'!H$210/$M203),0)</f>
        <v>0</v>
      </c>
      <c r="E203" s="555">
        <f>SUM(B203:D203)</f>
        <v>0</v>
      </c>
      <c r="F203" s="556">
        <f t="shared" si="26"/>
        <v>0</v>
      </c>
      <c r="G203" s="557">
        <f t="shared" si="23"/>
        <v>0</v>
      </c>
      <c r="H203" s="557">
        <f t="shared" si="24"/>
        <v>0</v>
      </c>
      <c r="I203" s="557">
        <f t="shared" si="25"/>
        <v>0</v>
      </c>
      <c r="L203" s="648"/>
      <c r="M203" s="825">
        <f>+'[1]NEW-Tables 80-86'!V78</f>
        <v>0</v>
      </c>
    </row>
    <row r="204" spans="1:13" s="490" customFormat="1" ht="12.75" customHeight="1">
      <c r="A204" s="406" t="s">
        <v>330</v>
      </c>
      <c r="B204" s="555">
        <f>IF($M204&gt;0,('Amounts Pivot Table'!H$240/$M204),0)</f>
        <v>3365.5280967381364</v>
      </c>
      <c r="C204" s="555">
        <f>IF($M204&gt;0,('Amounts Pivot Table'!H$243/$M204),0)</f>
        <v>0</v>
      </c>
      <c r="D204" s="555">
        <f>IF($M204&gt;0,('Amounts Pivot Table'!H$249/$M204),0)</f>
        <v>5998.4440605629507</v>
      </c>
      <c r="E204" s="555">
        <f>SUM(B204:D204)</f>
        <v>9363.9721573010866</v>
      </c>
      <c r="F204" s="556">
        <f t="shared" si="26"/>
        <v>11</v>
      </c>
      <c r="G204" s="557">
        <f t="shared" si="23"/>
        <v>0</v>
      </c>
      <c r="H204" s="557">
        <f t="shared" si="24"/>
        <v>6</v>
      </c>
      <c r="I204" s="557">
        <f t="shared" si="25"/>
        <v>11</v>
      </c>
      <c r="L204" s="648"/>
      <c r="M204" s="825">
        <f>+'[1]NEW-Tables 80-86'!V79</f>
        <v>1640.1666666666667</v>
      </c>
    </row>
    <row r="205" spans="1:13" s="490" customFormat="1" ht="12.75" customHeight="1">
      <c r="A205" s="406" t="s">
        <v>333</v>
      </c>
      <c r="B205" s="555">
        <f>IF($M205&gt;0,('Amounts Pivot Table'!H$279/$M205),0)</f>
        <v>10309.249466378606</v>
      </c>
      <c r="C205" s="555">
        <f>IF($M205&gt;0,('Amounts Pivot Table'!H$282/$M205),0)</f>
        <v>0</v>
      </c>
      <c r="D205" s="555">
        <f>IF($M205&gt;0,('Amounts Pivot Table'!H$288/$M205),0)</f>
        <v>14670.281466343969</v>
      </c>
      <c r="E205" s="555">
        <f>SUM(B205:D205)</f>
        <v>24979.530932722577</v>
      </c>
      <c r="F205" s="556">
        <f t="shared" si="26"/>
        <v>3</v>
      </c>
      <c r="G205" s="557">
        <f t="shared" si="23"/>
        <v>0</v>
      </c>
      <c r="H205" s="557">
        <f t="shared" si="24"/>
        <v>1</v>
      </c>
      <c r="I205" s="557">
        <f t="shared" si="25"/>
        <v>2</v>
      </c>
      <c r="L205" s="648"/>
      <c r="M205" s="825">
        <f>+'[1]NEW-Tables 80-86'!V80</f>
        <v>1924.7416666666666</v>
      </c>
    </row>
    <row r="206" spans="1:13" s="112" customFormat="1">
      <c r="A206" s="110"/>
      <c r="B206" s="111"/>
      <c r="C206" s="111"/>
      <c r="D206" s="111"/>
      <c r="E206" s="111"/>
      <c r="F206" s="119"/>
      <c r="G206" s="120"/>
      <c r="H206" s="120"/>
      <c r="I206" s="120"/>
      <c r="L206" s="175"/>
      <c r="M206" s="825"/>
    </row>
    <row r="207" spans="1:13" s="490" customFormat="1" ht="12.75" customHeight="1">
      <c r="A207" s="406" t="s">
        <v>323</v>
      </c>
      <c r="B207" s="555">
        <f>IF($M207&gt;0,('Amounts Pivot Table'!H$318/$M207),0)</f>
        <v>0</v>
      </c>
      <c r="C207" s="555">
        <f>IF($M207&gt;0,('Amounts Pivot Table'!H$321/$M207),0)</f>
        <v>0</v>
      </c>
      <c r="D207" s="555">
        <f>IF($M207&gt;0,('Amounts Pivot Table'!H$327/$M207),0)</f>
        <v>0</v>
      </c>
      <c r="E207" s="555">
        <f>SUM(B207:D207)</f>
        <v>0</v>
      </c>
      <c r="F207" s="556">
        <f t="shared" si="26"/>
        <v>0</v>
      </c>
      <c r="G207" s="557">
        <f t="shared" si="23"/>
        <v>0</v>
      </c>
      <c r="H207" s="557">
        <f t="shared" si="24"/>
        <v>0</v>
      </c>
      <c r="I207" s="557">
        <f t="shared" si="25"/>
        <v>0</v>
      </c>
      <c r="L207" s="648"/>
      <c r="M207" s="825">
        <f>+'[1]NEW-Tables 80-86'!V82</f>
        <v>0</v>
      </c>
    </row>
    <row r="208" spans="1:13" s="490" customFormat="1" ht="12.75" customHeight="1">
      <c r="A208" s="406" t="s">
        <v>324</v>
      </c>
      <c r="B208" s="555">
        <f>IF($M208&gt;0,('Amounts Pivot Table'!H$357/$M208),0)</f>
        <v>11906.198416980706</v>
      </c>
      <c r="C208" s="555">
        <f>IF($M208&gt;0,('Amounts Pivot Table'!H$360/$M208),0)</f>
        <v>0</v>
      </c>
      <c r="D208" s="555">
        <f>IF($M208&gt;0,('Amounts Pivot Table'!H$366/$M208),0)</f>
        <v>4838.9125345727834</v>
      </c>
      <c r="E208" s="555">
        <f>SUM(B208:D208)</f>
        <v>16745.110951553488</v>
      </c>
      <c r="F208" s="556">
        <f t="shared" si="26"/>
        <v>2</v>
      </c>
      <c r="G208" s="557">
        <f t="shared" si="23"/>
        <v>0</v>
      </c>
      <c r="H208" s="557">
        <f t="shared" si="24"/>
        <v>10</v>
      </c>
      <c r="I208" s="557">
        <f t="shared" si="25"/>
        <v>3</v>
      </c>
      <c r="L208" s="648"/>
      <c r="M208" s="825">
        <f>+'[1]NEW-Tables 80-86'!V83</f>
        <v>5884.3250000000007</v>
      </c>
    </row>
    <row r="209" spans="1:13" s="490" customFormat="1" ht="12.75" customHeight="1">
      <c r="A209" s="406" t="s">
        <v>331</v>
      </c>
      <c r="B209" s="555">
        <f>IF($M209&gt;0,('Amounts Pivot Table'!H$396/$M209),0)</f>
        <v>5294.7913545901984</v>
      </c>
      <c r="C209" s="555">
        <f>IF($M209&gt;0,('Amounts Pivot Table'!H$399/$M209),0)</f>
        <v>0</v>
      </c>
      <c r="D209" s="555">
        <f>IF($M209&gt;0,('Amounts Pivot Table'!H$405/$M209),0)</f>
        <v>5876.2570389165721</v>
      </c>
      <c r="E209" s="555">
        <f>SUM(B209:D209)</f>
        <v>11171.048393506771</v>
      </c>
      <c r="F209" s="556">
        <f t="shared" si="26"/>
        <v>7</v>
      </c>
      <c r="G209" s="557">
        <f t="shared" si="23"/>
        <v>0</v>
      </c>
      <c r="H209" s="557">
        <f t="shared" si="24"/>
        <v>8</v>
      </c>
      <c r="I209" s="557">
        <f t="shared" si="25"/>
        <v>9</v>
      </c>
      <c r="L209" s="648"/>
      <c r="M209" s="825">
        <f>+'[1]NEW-Tables 80-86'!V84</f>
        <v>5451.8333333333339</v>
      </c>
    </row>
    <row r="210" spans="1:13" s="490" customFormat="1" ht="12.75" customHeight="1">
      <c r="A210" s="406" t="s">
        <v>325</v>
      </c>
      <c r="B210" s="555">
        <f>IF($M210&gt;0,('Amounts Pivot Table'!H$435/$M210),0)</f>
        <v>1822.5559521538921</v>
      </c>
      <c r="C210" s="555">
        <f>IF($M210&gt;0,('Amounts Pivot Table'!H$438/$M210),0)</f>
        <v>632.57992970218788</v>
      </c>
      <c r="D210" s="555">
        <f>IF($M210&gt;0,('Amounts Pivot Table'!H$444/$M210),0)</f>
        <v>10200.603907250483</v>
      </c>
      <c r="E210" s="555">
        <f>SUM(B210:D210)</f>
        <v>12655.739789106563</v>
      </c>
      <c r="F210" s="556">
        <f t="shared" si="26"/>
        <v>12</v>
      </c>
      <c r="G210" s="557">
        <f t="shared" si="23"/>
        <v>1</v>
      </c>
      <c r="H210" s="557">
        <f t="shared" si="24"/>
        <v>2</v>
      </c>
      <c r="I210" s="557">
        <f t="shared" si="25"/>
        <v>5</v>
      </c>
      <c r="L210" s="648"/>
      <c r="M210" s="825">
        <f>+'[1]NEW-Tables 80-86'!V85</f>
        <v>12233.666666666668</v>
      </c>
    </row>
    <row r="211" spans="1:13" s="112" customFormat="1">
      <c r="A211" s="110"/>
      <c r="B211" s="111"/>
      <c r="C211" s="111"/>
      <c r="D211" s="111"/>
      <c r="E211" s="111"/>
      <c r="F211" s="119"/>
      <c r="G211" s="120"/>
      <c r="H211" s="120"/>
      <c r="I211" s="120"/>
      <c r="L211" s="175"/>
      <c r="M211" s="825"/>
    </row>
    <row r="212" spans="1:13" s="490" customFormat="1" ht="12.75" customHeight="1">
      <c r="A212" s="406" t="s">
        <v>90</v>
      </c>
      <c r="B212" s="555">
        <f>IF($M212&gt;0,('Amounts Pivot Table'!H$474/$M212),0)</f>
        <v>0</v>
      </c>
      <c r="C212" s="555">
        <f>IF($M212&gt;0,('Amounts Pivot Table'!H$477/$M212),0)</f>
        <v>0</v>
      </c>
      <c r="D212" s="555">
        <f>IF($M212&gt;0,('Amounts Pivot Table'!H$483/$M212),0)</f>
        <v>0</v>
      </c>
      <c r="E212" s="555">
        <f>SUM(B212:D212)</f>
        <v>0</v>
      </c>
      <c r="F212" s="556">
        <f t="shared" si="26"/>
        <v>0</v>
      </c>
      <c r="G212" s="557">
        <f t="shared" si="23"/>
        <v>0</v>
      </c>
      <c r="H212" s="557">
        <f t="shared" si="24"/>
        <v>0</v>
      </c>
      <c r="I212" s="557">
        <f t="shared" si="25"/>
        <v>0</v>
      </c>
      <c r="L212" s="648"/>
      <c r="M212" s="825">
        <f>+'[1]NEW-Tables 80-86'!V87</f>
        <v>0</v>
      </c>
    </row>
    <row r="213" spans="1:13" s="76" customFormat="1" ht="12.75" customHeight="1">
      <c r="A213" s="406" t="s">
        <v>326</v>
      </c>
      <c r="B213" s="555">
        <f>IF($M213&gt;0,('Amounts Pivot Table'!H$513/$M213),0)</f>
        <v>8104.3900047309799</v>
      </c>
      <c r="C213" s="555">
        <f>IF($M213&gt;0,('Amounts Pivot Table'!H$516/$M213),0)</f>
        <v>0</v>
      </c>
      <c r="D213" s="555">
        <f>IF($M213&gt;0,('Amounts Pivot Table'!H$522/$M213),0)</f>
        <v>8259.4775278482648</v>
      </c>
      <c r="E213" s="555">
        <f>SUM(B213:D213)</f>
        <v>16363.867532579245</v>
      </c>
      <c r="F213" s="556">
        <f t="shared" si="26"/>
        <v>4</v>
      </c>
      <c r="G213" s="557">
        <f t="shared" si="23"/>
        <v>0</v>
      </c>
      <c r="H213" s="557">
        <f t="shared" si="24"/>
        <v>3</v>
      </c>
      <c r="I213" s="557">
        <f t="shared" si="25"/>
        <v>4</v>
      </c>
      <c r="J213" s="490"/>
      <c r="K213" s="490"/>
      <c r="L213" s="169"/>
      <c r="M213" s="825">
        <f>+'[1]NEW-Tables 80-86'!V88</f>
        <v>1937.5833333333333</v>
      </c>
    </row>
    <row r="214" spans="1:13" s="490" customFormat="1" ht="12.75" customHeight="1">
      <c r="A214" s="406" t="s">
        <v>327</v>
      </c>
      <c r="B214" s="555">
        <f>IF($M214&gt;0,('Amounts Pivot Table'!H$552/$M214),0)</f>
        <v>7115.8934071575241</v>
      </c>
      <c r="C214" s="555">
        <f>IF($M214&gt;0,('Amounts Pivot Table'!H$555/$M214),0)</f>
        <v>0</v>
      </c>
      <c r="D214" s="555">
        <f>IF($M214&gt;0,('Amounts Pivot Table'!H$561/$M214),0)</f>
        <v>4395.3333088882364</v>
      </c>
      <c r="E214" s="555">
        <f>SUM(B214:D214)</f>
        <v>11511.22671604576</v>
      </c>
      <c r="F214" s="556">
        <f t="shared" si="26"/>
        <v>5</v>
      </c>
      <c r="G214" s="557">
        <f t="shared" si="23"/>
        <v>0</v>
      </c>
      <c r="H214" s="557">
        <f t="shared" si="24"/>
        <v>11</v>
      </c>
      <c r="I214" s="557">
        <f t="shared" si="25"/>
        <v>6</v>
      </c>
      <c r="L214" s="649"/>
      <c r="M214" s="825">
        <f>+'[1]NEW-Tables 80-86'!V89</f>
        <v>1818.1333333333334</v>
      </c>
    </row>
    <row r="215" spans="1:13" s="490" customFormat="1" ht="15" customHeight="1">
      <c r="A215" s="407" t="s">
        <v>332</v>
      </c>
      <c r="B215" s="561">
        <f>IF($M215&gt;0,('Amounts Pivot Table'!H$591/$M215),0)</f>
        <v>4369.8810653909768</v>
      </c>
      <c r="C215" s="561">
        <f>IF($M215&gt;0,('Amounts Pivot Table'!H$594/$M215),0)</f>
        <v>60.907327760602875</v>
      </c>
      <c r="D215" s="561">
        <f>IF($M215&gt;0,('Amounts Pivot Table'!H$600/$M215),0)</f>
        <v>6828.0397324602118</v>
      </c>
      <c r="E215" s="562">
        <f>SUM(B215:D215)</f>
        <v>11258.828125611792</v>
      </c>
      <c r="F215" s="563">
        <f t="shared" si="26"/>
        <v>9</v>
      </c>
      <c r="G215" s="564">
        <f t="shared" si="23"/>
        <v>4</v>
      </c>
      <c r="H215" s="564">
        <f t="shared" si="24"/>
        <v>4</v>
      </c>
      <c r="I215" s="564">
        <f t="shared" si="25"/>
        <v>8</v>
      </c>
      <c r="L215" s="649"/>
      <c r="M215" s="825">
        <f>+'[1]NEW-Tables 80-86'!V90</f>
        <v>11492.87</v>
      </c>
    </row>
    <row r="216" spans="1:13" s="76" customFormat="1" ht="36" customHeight="1">
      <c r="A216" s="1505" t="s">
        <v>17</v>
      </c>
      <c r="B216" s="1541"/>
      <c r="C216" s="1541"/>
      <c r="D216" s="1541"/>
      <c r="E216" s="1541"/>
      <c r="F216" s="1541"/>
      <c r="G216" s="1542"/>
      <c r="H216" s="1542"/>
      <c r="I216" s="1542"/>
      <c r="J216" s="490"/>
      <c r="K216" s="490"/>
      <c r="L216" s="169"/>
      <c r="M216" s="657"/>
    </row>
    <row r="217" spans="1:13" s="76" customFormat="1" ht="22.5" customHeight="1">
      <c r="A217" s="1505" t="s">
        <v>54</v>
      </c>
      <c r="B217" s="1547"/>
      <c r="C217" s="1547"/>
      <c r="D217" s="1547"/>
      <c r="E217" s="1547"/>
      <c r="F217" s="1547"/>
      <c r="G217" s="1547"/>
      <c r="H217" s="1547"/>
      <c r="I217" s="1547"/>
      <c r="J217" s="651"/>
      <c r="L217" s="169"/>
      <c r="M217" s="643"/>
    </row>
    <row r="218" spans="1:13" s="490" customFormat="1">
      <c r="A218" s="189" t="s">
        <v>233</v>
      </c>
      <c r="B218" s="406"/>
      <c r="C218" s="406"/>
      <c r="D218" s="406"/>
      <c r="E218" s="406"/>
      <c r="F218" s="406"/>
      <c r="L218" s="652"/>
      <c r="M218" s="643"/>
    </row>
    <row r="219" spans="1:13" s="490" customFormat="1" ht="17.25" customHeight="1">
      <c r="A219" s="638"/>
      <c r="B219" s="651"/>
      <c r="C219" s="651"/>
      <c r="D219" s="651"/>
      <c r="E219" s="651"/>
      <c r="F219" s="651"/>
      <c r="G219" s="653"/>
      <c r="H219" s="653"/>
      <c r="I219" s="534" t="s">
        <v>1927</v>
      </c>
      <c r="J219" s="653"/>
      <c r="K219" s="653"/>
      <c r="L219" s="652"/>
      <c r="M219" s="643"/>
    </row>
    <row r="220" spans="1:13" s="490" customFormat="1" ht="15.75">
      <c r="A220" s="1504" t="s">
        <v>365</v>
      </c>
      <c r="B220" s="1504"/>
      <c r="C220" s="1504"/>
      <c r="D220" s="1504"/>
      <c r="E220" s="1504"/>
      <c r="F220" s="1504"/>
      <c r="G220" s="1504"/>
      <c r="H220" s="1504"/>
      <c r="I220" s="1504"/>
      <c r="J220" s="1504"/>
      <c r="K220" s="1504"/>
      <c r="L220" s="649"/>
      <c r="M220" s="643"/>
    </row>
    <row r="221" spans="1:13" s="490" customFormat="1" ht="18.75">
      <c r="A221" s="1504" t="s">
        <v>18</v>
      </c>
      <c r="B221" s="1504"/>
      <c r="C221" s="1504"/>
      <c r="D221" s="1504"/>
      <c r="E221" s="1504"/>
      <c r="F221" s="1504"/>
      <c r="G221" s="1504"/>
      <c r="H221" s="1504"/>
      <c r="I221" s="1504"/>
      <c r="J221" s="1504"/>
      <c r="K221" s="1504"/>
      <c r="L221" s="165"/>
      <c r="M221" s="643"/>
    </row>
    <row r="222" spans="1:13" s="490" customFormat="1" ht="15.75">
      <c r="A222" s="1504" t="s">
        <v>433</v>
      </c>
      <c r="B222" s="1504"/>
      <c r="C222" s="1504"/>
      <c r="D222" s="1504"/>
      <c r="E222" s="1504"/>
      <c r="F222" s="1504"/>
      <c r="G222" s="1504"/>
      <c r="H222" s="1504"/>
      <c r="I222" s="1504"/>
      <c r="J222" s="1504"/>
      <c r="K222" s="1504"/>
      <c r="L222" s="165"/>
      <c r="M222" s="643"/>
    </row>
    <row r="223" spans="1:13" s="490" customFormat="1" ht="6.75" customHeight="1">
      <c r="A223" s="91"/>
      <c r="B223" s="91"/>
      <c r="C223" s="91"/>
      <c r="D223" s="91"/>
      <c r="E223" s="91"/>
      <c r="F223" s="91"/>
      <c r="G223" s="108"/>
      <c r="H223" s="91"/>
      <c r="I223" s="91"/>
      <c r="J223" s="91"/>
      <c r="K223" s="91"/>
      <c r="L223" s="165"/>
      <c r="M223" s="643"/>
    </row>
    <row r="224" spans="1:13" s="490" customFormat="1" ht="15" customHeight="1">
      <c r="A224" s="60"/>
      <c r="B224" s="1543" t="s">
        <v>55</v>
      </c>
      <c r="C224" s="1544"/>
      <c r="D224" s="1544"/>
      <c r="E224" s="1544"/>
      <c r="F224" s="1544"/>
      <c r="G224" s="57" t="s">
        <v>119</v>
      </c>
      <c r="H224" s="58"/>
      <c r="I224" s="58"/>
      <c r="J224" s="58"/>
      <c r="K224" s="58"/>
      <c r="L224" s="173"/>
      <c r="M224" s="643"/>
    </row>
    <row r="225" spans="1:13" s="378" customFormat="1" ht="45">
      <c r="A225" s="644"/>
      <c r="B225" s="51" t="s">
        <v>87</v>
      </c>
      <c r="C225" s="52" t="s">
        <v>89</v>
      </c>
      <c r="D225" s="52" t="s">
        <v>88</v>
      </c>
      <c r="E225" s="52" t="s">
        <v>306</v>
      </c>
      <c r="F225" s="52" t="s">
        <v>97</v>
      </c>
      <c r="G225" s="53" t="s">
        <v>87</v>
      </c>
      <c r="H225" s="52" t="s">
        <v>89</v>
      </c>
      <c r="I225" s="52" t="s">
        <v>88</v>
      </c>
      <c r="J225" s="52" t="s">
        <v>306</v>
      </c>
      <c r="K225" s="52" t="s">
        <v>97</v>
      </c>
      <c r="L225" s="646"/>
      <c r="M225" s="655" t="s">
        <v>381</v>
      </c>
    </row>
    <row r="226" spans="1:13" s="490" customFormat="1" ht="14.25">
      <c r="A226" s="406" t="s">
        <v>56</v>
      </c>
      <c r="B226" s="552">
        <f>IF($M226&gt;0,('Amounts Pivot Table'!O$630/$M226),0)</f>
        <v>3001.8860125425781</v>
      </c>
      <c r="C226" s="552">
        <f>IF($M226&gt;0,('Amounts Pivot Table'!O$633/$M226),0)</f>
        <v>115.88925011573741</v>
      </c>
      <c r="D226" s="552">
        <f>IF($M226&gt;0,('Amounts Pivot Table'!O$636/$M226),0)</f>
        <v>1295.7689189196594</v>
      </c>
      <c r="E226" s="552">
        <f>IF($M226&gt;0,('Amounts Pivot Table'!O$639/$M226),0)</f>
        <v>2879.7653886257408</v>
      </c>
      <c r="F226" s="552">
        <f>SUM(B226:E226)</f>
        <v>7293.3095702037153</v>
      </c>
      <c r="G226" s="553"/>
      <c r="H226" s="554"/>
      <c r="I226" s="554"/>
      <c r="J226" s="554"/>
      <c r="K226" s="554"/>
      <c r="L226" s="648"/>
      <c r="M226" s="825">
        <f>+'[1]NEW-Tables 80-86'!AP161</f>
        <v>1770696.7588888886</v>
      </c>
    </row>
    <row r="227" spans="1:13" s="490" customFormat="1" ht="12.75" customHeight="1">
      <c r="A227" s="406"/>
      <c r="B227" s="552"/>
      <c r="C227" s="552"/>
      <c r="D227" s="552"/>
      <c r="E227" s="552"/>
      <c r="F227" s="552"/>
      <c r="G227" s="553"/>
      <c r="H227" s="554"/>
      <c r="I227" s="554"/>
      <c r="J227" s="554"/>
      <c r="K227" s="554"/>
      <c r="L227" s="648"/>
      <c r="M227" s="825"/>
    </row>
    <row r="228" spans="1:13" s="490" customFormat="1" ht="12.75" customHeight="1">
      <c r="A228" s="406" t="s">
        <v>320</v>
      </c>
      <c r="B228" s="555">
        <f>IF($M228&gt;0,('Amounts Pivot Table'!O$6/$M228),0)</f>
        <v>4064.7520538890112</v>
      </c>
      <c r="C228" s="555">
        <f>IF($M228&gt;0,('Amounts Pivot Table'!O$9/$M228),0)</f>
        <v>248.11936179923825</v>
      </c>
      <c r="D228" s="555">
        <f>IF($M228&gt;0,('Amounts Pivot Table'!O$12/$M228),0)</f>
        <v>37.711558437470487</v>
      </c>
      <c r="E228" s="555">
        <f>IF($M228&gt;0,('Amounts Pivot Table'!O$15/$M228),0)</f>
        <v>3811.9682552173504</v>
      </c>
      <c r="F228" s="555">
        <f t="shared" ref="F228:F246" si="27">SUM(B228:E228)</f>
        <v>8162.5512293430711</v>
      </c>
      <c r="G228" s="556">
        <f>IF(B228&gt;0,RANK(B228,$B$228:$B$246),)</f>
        <v>3</v>
      </c>
      <c r="H228" s="557">
        <f>IF(C228&gt;0,RANK(C228,$C$228:$C$246),)</f>
        <v>3</v>
      </c>
      <c r="I228" s="557">
        <f>IF(D228&gt;0,RANK(D228,$D$228:$D$246),)</f>
        <v>9</v>
      </c>
      <c r="J228" s="557">
        <f>IF(E228&gt;0,RANK(E228,$E$228:$E$246),)</f>
        <v>8</v>
      </c>
      <c r="K228" s="557">
        <f>IF(F228&gt;0,RANK(F228,$F$228:$F$246),)</f>
        <v>4</v>
      </c>
      <c r="L228" s="648"/>
      <c r="M228" s="825">
        <f>+'[1]NEW-Tables 80-86'!AP163</f>
        <v>63538</v>
      </c>
    </row>
    <row r="229" spans="1:13" s="490" customFormat="1" ht="12.75" customHeight="1">
      <c r="A229" s="406" t="s">
        <v>334</v>
      </c>
      <c r="B229" s="555">
        <f>IF($M229&gt;0,('Amounts Pivot Table'!O$45/$M229),0)</f>
        <v>4204.8838804731686</v>
      </c>
      <c r="C229" s="555">
        <f>IF($M229&gt;0,('Amounts Pivot Table'!O$48/$M229),0)</f>
        <v>52.408561385397924</v>
      </c>
      <c r="D229" s="555">
        <f>IF($M229&gt;0,('Amounts Pivot Table'!O$51/$M229),0)</f>
        <v>420.25407782246083</v>
      </c>
      <c r="E229" s="555">
        <f>IF($M229&gt;0,('Amounts Pivot Table'!O$54/$M229),0)</f>
        <v>3694.3423786453759</v>
      </c>
      <c r="F229" s="555">
        <f t="shared" si="27"/>
        <v>8371.8888983264042</v>
      </c>
      <c r="G229" s="556">
        <f>IF(B229&gt;0,RANK(B229,$B$228:$B$246),)</f>
        <v>2</v>
      </c>
      <c r="H229" s="557">
        <f>IF(C229&gt;0,RANK(C229,$C$228:$C$246),)</f>
        <v>5</v>
      </c>
      <c r="I229" s="557">
        <f>IF(D229&gt;0,RANK(D229,$D$228:$D$246),)</f>
        <v>7</v>
      </c>
      <c r="J229" s="557">
        <f>IF(E229&gt;0,RANK(E229,$E$228:$E$246),)</f>
        <v>9</v>
      </c>
      <c r="K229" s="557">
        <f>IF(F229&gt;0,RANK(F229,$F$228:$F$246),)</f>
        <v>3</v>
      </c>
      <c r="L229" s="648"/>
      <c r="M229" s="825">
        <f>+'[1]NEW-Tables 80-86'!AP164</f>
        <v>40814.266666666663</v>
      </c>
    </row>
    <row r="230" spans="1:13" s="490" customFormat="1" ht="12.75" customHeight="1">
      <c r="A230" s="406" t="s">
        <v>321</v>
      </c>
      <c r="B230" s="555">
        <f>IF($M230&gt;0,('Amounts Pivot Table'!O$84/$M230),0)</f>
        <v>5928.6211308388138</v>
      </c>
      <c r="C230" s="555">
        <f>IF($M230&gt;0,('Amounts Pivot Table'!O$87/$M230),0)</f>
        <v>0</v>
      </c>
      <c r="D230" s="555">
        <f>IF($M230&gt;0,('Amounts Pivot Table'!O$90/$M230),0)</f>
        <v>0</v>
      </c>
      <c r="E230" s="555">
        <f>IF($M230&gt;0,('Amounts Pivot Table'!O$93/$M230),0)</f>
        <v>4638.3182035355949</v>
      </c>
      <c r="F230" s="555">
        <f t="shared" si="27"/>
        <v>10566.939334374409</v>
      </c>
      <c r="G230" s="556">
        <f>IF(B230&gt;0,RANK(B230,$B$228:$B$246),)</f>
        <v>1</v>
      </c>
      <c r="H230" s="557">
        <f>IF(C230&gt;0,RANK(C230,$C$228:$C$246),)</f>
        <v>0</v>
      </c>
      <c r="I230" s="557">
        <f>IF(D230&gt;0,RANK(D230,$D$228:$D$246),)</f>
        <v>0</v>
      </c>
      <c r="J230" s="557">
        <f>IF(E230&gt;0,RANK(E230,$E$228:$E$246),)</f>
        <v>3</v>
      </c>
      <c r="K230" s="557">
        <f>IF(F230&gt;0,RANK(F230,$F$228:$F$246),)</f>
        <v>2</v>
      </c>
      <c r="L230" s="648"/>
      <c r="M230" s="825">
        <f>+'[1]NEW-Tables 80-86'!AP165</f>
        <v>10395.233333333334</v>
      </c>
    </row>
    <row r="231" spans="1:13" s="490" customFormat="1" ht="12.75" customHeight="1">
      <c r="A231" s="406" t="s">
        <v>328</v>
      </c>
      <c r="B231" s="555">
        <f>IF($M231&gt;0,('Amounts Pivot Table'!O$123/$M231),0)</f>
        <v>3185.2952089205833</v>
      </c>
      <c r="C231" s="555">
        <f>IF($M231&gt;0,('Amounts Pivot Table'!O$126/$M231),0)</f>
        <v>0</v>
      </c>
      <c r="D231" s="555">
        <f>IF($M231&gt;0,('Amounts Pivot Table'!O$129/$M231),0)</f>
        <v>0</v>
      </c>
      <c r="E231" s="555">
        <f>IF($M231&gt;0,('Amounts Pivot Table'!O$132/$M231),0)</f>
        <v>2472.3709690446026</v>
      </c>
      <c r="F231" s="555">
        <f t="shared" si="27"/>
        <v>5657.6661779651859</v>
      </c>
      <c r="G231" s="556">
        <f>IF(B231&gt;0,RANK(B231,$B$228:$B$246),)</f>
        <v>10</v>
      </c>
      <c r="H231" s="557">
        <f>IF(C231&gt;0,RANK(C231,$C$228:$C$246),)</f>
        <v>0</v>
      </c>
      <c r="I231" s="557">
        <f>IF(D231&gt;0,RANK(D231,$D$228:$D$246),)</f>
        <v>0</v>
      </c>
      <c r="J231" s="557">
        <f>IF(E231&gt;0,RANK(E231,$E$228:$E$246),)</f>
        <v>14</v>
      </c>
      <c r="K231" s="557">
        <f>IF(F231&gt;0,RANK(F231,$F$228:$F$246),)</f>
        <v>16</v>
      </c>
      <c r="L231" s="648"/>
      <c r="M231" s="825">
        <f>+'[1]NEW-Tables 80-86'!AP166</f>
        <v>345458.94111111108</v>
      </c>
    </row>
    <row r="232" spans="1:13" s="490" customFormat="1" ht="12.75" customHeight="1">
      <c r="A232" s="406"/>
      <c r="B232" s="555"/>
      <c r="C232" s="555"/>
      <c r="D232" s="555"/>
      <c r="E232" s="555"/>
      <c r="F232" s="555"/>
      <c r="G232" s="556"/>
      <c r="H232" s="557"/>
      <c r="I232" s="557"/>
      <c r="J232" s="557"/>
      <c r="K232" s="557"/>
      <c r="L232" s="648"/>
      <c r="M232" s="825"/>
    </row>
    <row r="233" spans="1:13" s="490" customFormat="1" ht="12.75" customHeight="1">
      <c r="A233" s="406" t="s">
        <v>329</v>
      </c>
      <c r="B233" s="555">
        <f>IF($M233&gt;0,('Amounts Pivot Table'!O$162/$M233),0)</f>
        <v>3869.4904013409655</v>
      </c>
      <c r="C233" s="555">
        <f>IF($M233&gt;0,('Amounts Pivot Table'!O$165/$M233),0)</f>
        <v>0</v>
      </c>
      <c r="D233" s="555">
        <f>IF($M233&gt;0,('Amounts Pivot Table'!O$168/$M233),0)</f>
        <v>0</v>
      </c>
      <c r="E233" s="555">
        <f>IF($M233&gt;0,('Amounts Pivot Table'!O$171/$M233),0)</f>
        <v>3469.3758262437136</v>
      </c>
      <c r="F233" s="555">
        <f t="shared" si="27"/>
        <v>7338.8662275846791</v>
      </c>
      <c r="G233" s="556">
        <f>IF(B233&gt;0,RANK(B233,$B$228:$B$246),)</f>
        <v>4</v>
      </c>
      <c r="H233" s="557">
        <f>IF(C233&gt;0,RANK(C233,$C$228:$C$246),)</f>
        <v>0</v>
      </c>
      <c r="I233" s="557">
        <f>IF(D233&gt;0,RANK(D233,$D$228:$D$246),)</f>
        <v>0</v>
      </c>
      <c r="J233" s="557">
        <f>IF(E233&gt;0,RANK(E233,$E$228:$E$246),)</f>
        <v>11</v>
      </c>
      <c r="K233" s="557">
        <f>IF(F233&gt;0,RANK(F233,$F$228:$F$246),)</f>
        <v>10</v>
      </c>
      <c r="L233" s="648"/>
      <c r="M233" s="825">
        <f>+'[1]NEW-Tables 80-86'!AP168</f>
        <v>42158.666666666672</v>
      </c>
    </row>
    <row r="234" spans="1:13" s="490" customFormat="1" ht="12.75" customHeight="1">
      <c r="A234" s="406" t="s">
        <v>322</v>
      </c>
      <c r="B234" s="555">
        <f>IF($M234&gt;0,('Amounts Pivot Table'!O$201/$M234),0)</f>
        <v>2903.3116564032725</v>
      </c>
      <c r="C234" s="555">
        <f>IF($M234&gt;0,('Amounts Pivot Table'!O$204/$M234),0)</f>
        <v>0</v>
      </c>
      <c r="D234" s="555">
        <f>IF($M234&gt;0,('Amounts Pivot Table'!O$207/$M234),0)</f>
        <v>0</v>
      </c>
      <c r="E234" s="555">
        <f>IF($M234&gt;0,('Amounts Pivot Table'!O$210/$M234),0)</f>
        <v>4160.584764630391</v>
      </c>
      <c r="F234" s="555">
        <f t="shared" si="27"/>
        <v>7063.8964210336635</v>
      </c>
      <c r="G234" s="556">
        <f>IF(B234&gt;0,RANK(B234,$B$228:$B$246),)</f>
        <v>11</v>
      </c>
      <c r="H234" s="557">
        <f>IF(C234&gt;0,RANK(C234,$C$228:$C$246),)</f>
        <v>0</v>
      </c>
      <c r="I234" s="557">
        <f>IF(D234&gt;0,RANK(D234,$D$228:$D$246),)</f>
        <v>0</v>
      </c>
      <c r="J234" s="557">
        <f>IF(E234&gt;0,RANK(E234,$E$228:$E$246),)</f>
        <v>6</v>
      </c>
      <c r="K234" s="557">
        <f>IF(F234&gt;0,RANK(F234,$F$228:$F$246),)</f>
        <v>13</v>
      </c>
      <c r="L234" s="648"/>
      <c r="M234" s="825">
        <f>+'[1]NEW-Tables 80-86'!AP169</f>
        <v>48778.6</v>
      </c>
    </row>
    <row r="235" spans="1:13" s="490" customFormat="1" ht="12.75" customHeight="1">
      <c r="A235" s="406" t="s">
        <v>330</v>
      </c>
      <c r="B235" s="555">
        <f>IF($M235&gt;0,('Amounts Pivot Table'!O$240/$M235),0)</f>
        <v>2246.3768164208695</v>
      </c>
      <c r="C235" s="555">
        <f>IF($M235&gt;0,('Amounts Pivot Table'!O$243/$M235),0)</f>
        <v>0</v>
      </c>
      <c r="D235" s="555">
        <f>IF($M235&gt;0,('Amounts Pivot Table'!O$246/$M235),0)</f>
        <v>0</v>
      </c>
      <c r="E235" s="555">
        <f>IF($M235&gt;0,('Amounts Pivot Table'!O$249/$M235),0)</f>
        <v>3581.8303044734766</v>
      </c>
      <c r="F235" s="555">
        <f t="shared" si="27"/>
        <v>5828.2071208943462</v>
      </c>
      <c r="G235" s="556">
        <f>IF(B235&gt;0,RANK(B235,$B$228:$B$246),)</f>
        <v>15</v>
      </c>
      <c r="H235" s="557">
        <f>IF(C235&gt;0,RANK(C235,$C$228:$C$246),)</f>
        <v>0</v>
      </c>
      <c r="I235" s="557">
        <f>IF(D235&gt;0,RANK(D235,$D$228:$D$246),)</f>
        <v>0</v>
      </c>
      <c r="J235" s="557">
        <f>IF(E235&gt;0,RANK(E235,$E$228:$E$246),)</f>
        <v>10</v>
      </c>
      <c r="K235" s="557">
        <f>IF(F235&gt;0,RANK(F235,$F$228:$F$246),)</f>
        <v>15</v>
      </c>
      <c r="L235" s="648"/>
      <c r="M235" s="825">
        <f>+'[1]NEW-Tables 80-86'!AP170</f>
        <v>40035.23333333333</v>
      </c>
    </row>
    <row r="236" spans="1:13" s="490" customFormat="1" ht="12.75" customHeight="1">
      <c r="A236" s="406" t="s">
        <v>333</v>
      </c>
      <c r="B236" s="555">
        <f>IF($M236&gt;0,('Amounts Pivot Table'!O$279/$M236),0)</f>
        <v>2739.2566261910465</v>
      </c>
      <c r="C236" s="555">
        <f>IF($M236&gt;0,('Amounts Pivot Table'!O$282/$M236),0)</f>
        <v>0</v>
      </c>
      <c r="D236" s="555">
        <f>IF($M236&gt;0,('Amounts Pivot Table'!O$285/$M236),0)</f>
        <v>3533.9303927177166</v>
      </c>
      <c r="E236" s="555">
        <f>IF($M236&gt;0,('Amounts Pivot Table'!O$288/$M236),0)</f>
        <v>4756.2205270246741</v>
      </c>
      <c r="F236" s="555">
        <f t="shared" si="27"/>
        <v>11029.407545933438</v>
      </c>
      <c r="G236" s="556">
        <f>IF(B236&gt;0,RANK(B236,$B$228:$B$246),)</f>
        <v>12</v>
      </c>
      <c r="H236" s="557">
        <f>IF(C236&gt;0,RANK(C236,$C$228:$C$246),)</f>
        <v>0</v>
      </c>
      <c r="I236" s="557">
        <f>IF(D236&gt;0,RANK(D236,$D$228:$D$246),)</f>
        <v>1</v>
      </c>
      <c r="J236" s="557">
        <f>IF(E236&gt;0,RANK(E236,$E$228:$E$246),)</f>
        <v>2</v>
      </c>
      <c r="K236" s="557">
        <f>IF(F236&gt;0,RANK(F236,$F$228:$F$246),)</f>
        <v>1</v>
      </c>
      <c r="L236" s="648"/>
      <c r="M236" s="825">
        <f>+'[1]NEW-Tables 80-86'!AP171</f>
        <v>93141.116666666669</v>
      </c>
    </row>
    <row r="237" spans="1:13" s="490" customFormat="1" ht="12.75" customHeight="1">
      <c r="A237" s="406"/>
      <c r="B237" s="555"/>
      <c r="C237" s="555"/>
      <c r="D237" s="555"/>
      <c r="E237" s="555"/>
      <c r="F237" s="555"/>
      <c r="G237" s="556"/>
      <c r="H237" s="557"/>
      <c r="I237" s="557"/>
      <c r="J237" s="557"/>
      <c r="K237" s="557"/>
      <c r="L237" s="648"/>
      <c r="M237" s="825"/>
    </row>
    <row r="238" spans="1:13" s="490" customFormat="1" ht="12.75" customHeight="1">
      <c r="A238" s="406" t="s">
        <v>323</v>
      </c>
      <c r="B238" s="555">
        <f>IF($M238&gt;0,('Amounts Pivot Table'!O$318/$M238),0)</f>
        <v>3735.8205069519936</v>
      </c>
      <c r="C238" s="555">
        <f>IF($M238&gt;0,('Amounts Pivot Table'!O$321/$M238),0)</f>
        <v>425.35132777682418</v>
      </c>
      <c r="D238" s="555">
        <f>IF($M238&gt;0,('Amounts Pivot Table'!O$324/$M238),0)</f>
        <v>845.56105484668728</v>
      </c>
      <c r="E238" s="555">
        <f>IF($M238&gt;0,('Amounts Pivot Table'!O$327/$M238),0)</f>
        <v>3007.673736275613</v>
      </c>
      <c r="F238" s="555">
        <f t="shared" si="27"/>
        <v>8014.4066258511184</v>
      </c>
      <c r="G238" s="556">
        <f>IF(B238&gt;0,RANK(B238,$B$228:$B$246),)</f>
        <v>5</v>
      </c>
      <c r="H238" s="557">
        <f>IF(C238&gt;0,RANK(C238,$C$228:$C$246),)</f>
        <v>2</v>
      </c>
      <c r="I238" s="557">
        <f>IF(D238&gt;0,RANK(D238,$D$228:$D$246),)</f>
        <v>5</v>
      </c>
      <c r="J238" s="557">
        <f>IF(E238&gt;0,RANK(E238,$E$228:$E$246),)</f>
        <v>13</v>
      </c>
      <c r="K238" s="557">
        <f>IF(F238&gt;0,RANK(F238,$F$228:$F$246),)</f>
        <v>5</v>
      </c>
      <c r="L238" s="648"/>
      <c r="M238" s="825">
        <f>+'[1]NEW-Tables 80-86'!AP173</f>
        <v>62917.200000000004</v>
      </c>
    </row>
    <row r="239" spans="1:13" s="490" customFormat="1" ht="12.75" customHeight="1">
      <c r="A239" s="406" t="s">
        <v>324</v>
      </c>
      <c r="B239" s="555">
        <f>IF($M239&gt;0,('Amounts Pivot Table'!O$357/$M239),0)</f>
        <v>3611.8923203821537</v>
      </c>
      <c r="C239" s="555">
        <f>IF($M239&gt;0,('Amounts Pivot Table'!O$360/$M239),0)</f>
        <v>703.68245767693975</v>
      </c>
      <c r="D239" s="555">
        <f>IF($M239&gt;0,('Amounts Pivot Table'!O$363/$M239),0)</f>
        <v>1067.7803434046448</v>
      </c>
      <c r="E239" s="555">
        <f>IF($M239&gt;0,('Amounts Pivot Table'!O$366/$M239),0)</f>
        <v>1782.4554018428578</v>
      </c>
      <c r="F239" s="555">
        <f t="shared" si="27"/>
        <v>7165.8105233065962</v>
      </c>
      <c r="G239" s="556">
        <f>IF(B239&gt;0,RANK(B239,$B$228:$B$246),)</f>
        <v>7</v>
      </c>
      <c r="H239" s="557">
        <f>IF(C239&gt;0,RANK(C239,$C$228:$C$246),)</f>
        <v>1</v>
      </c>
      <c r="I239" s="557">
        <f>IF(D239&gt;0,RANK(D239,$D$228:$D$246),)</f>
        <v>3</v>
      </c>
      <c r="J239" s="557">
        <f>IF(E239&gt;0,RANK(E239,$E$228:$E$246),)</f>
        <v>16</v>
      </c>
      <c r="K239" s="557">
        <f>IF(F239&gt;0,RANK(F239,$F$228:$F$246),)</f>
        <v>12</v>
      </c>
      <c r="L239" s="648"/>
      <c r="M239" s="825">
        <f>+'[1]NEW-Tables 80-86'!AP174</f>
        <v>205949.71555555554</v>
      </c>
    </row>
    <row r="240" spans="1:13" s="490" customFormat="1" ht="12.75" customHeight="1">
      <c r="A240" s="406" t="s">
        <v>331</v>
      </c>
      <c r="B240" s="555">
        <f>IF($M240&gt;0,('Amounts Pivot Table'!O$396/$M240),0)</f>
        <v>3487.6074496832975</v>
      </c>
      <c r="C240" s="555">
        <f>IF($M240&gt;0,('Amounts Pivot Table'!O$399/$M240),0)</f>
        <v>0</v>
      </c>
      <c r="D240" s="555">
        <f>IF($M240&gt;0,('Amounts Pivot Table'!O$402/$M240),0)</f>
        <v>940.72844381733069</v>
      </c>
      <c r="E240" s="555">
        <f>IF($M240&gt;0,('Amounts Pivot Table'!O$405/$M240),0)</f>
        <v>3284.6829069152773</v>
      </c>
      <c r="F240" s="555">
        <f t="shared" si="27"/>
        <v>7713.0188004159054</v>
      </c>
      <c r="G240" s="556">
        <f>IF(B240&gt;0,RANK(B240,$B$228:$B$246),)</f>
        <v>9</v>
      </c>
      <c r="H240" s="557">
        <f>IF(C240&gt;0,RANK(C240,$C$228:$C$246),)</f>
        <v>0</v>
      </c>
      <c r="I240" s="557">
        <f>IF(D240&gt;0,RANK(D240,$D$228:$D$246),)</f>
        <v>4</v>
      </c>
      <c r="J240" s="557">
        <f>IF(E240&gt;0,RANK(E240,$E$228:$E$246),)</f>
        <v>12</v>
      </c>
      <c r="K240" s="557">
        <f>IF(F240&gt;0,RANK(F240,$F$228:$F$246),)</f>
        <v>8</v>
      </c>
      <c r="L240" s="648"/>
      <c r="M240" s="825">
        <f>+'[1]NEW-Tables 80-86'!AP175</f>
        <v>49562.733333333323</v>
      </c>
    </row>
    <row r="241" spans="1:13" s="490" customFormat="1" ht="12.75" customHeight="1">
      <c r="A241" s="406" t="s">
        <v>325</v>
      </c>
      <c r="B241" s="555">
        <f>IF($M241&gt;0,('Amounts Pivot Table'!O$435/$M241),0)</f>
        <v>1341.459947431782</v>
      </c>
      <c r="C241" s="555">
        <f>IF($M241&gt;0,('Amounts Pivot Table'!O$438/$M241),0)</f>
        <v>188.97313906694575</v>
      </c>
      <c r="D241" s="555">
        <f>IF($M241&gt;0,('Amounts Pivot Table'!O$441/$M241),0)</f>
        <v>777.04060090983774</v>
      </c>
      <c r="E241" s="555">
        <f>IF($M241&gt;0,('Amounts Pivot Table'!O$444/$M241),0)</f>
        <v>4865.1737962329616</v>
      </c>
      <c r="F241" s="555">
        <f t="shared" si="27"/>
        <v>7172.6474836415273</v>
      </c>
      <c r="G241" s="556">
        <f>IF(B241&gt;0,RANK(B241,$B$228:$B$246),)</f>
        <v>16</v>
      </c>
      <c r="H241" s="557">
        <f>IF(C241&gt;0,RANK(C241,$C$228:$C$246),)</f>
        <v>4</v>
      </c>
      <c r="I241" s="557">
        <f>IF(D241&gt;0,RANK(D241,$D$228:$D$246),)</f>
        <v>6</v>
      </c>
      <c r="J241" s="557">
        <f>IF(E241&gt;0,RANK(E241,$E$228:$E$246),)</f>
        <v>1</v>
      </c>
      <c r="K241" s="557">
        <f>IF(F241&gt;0,RANK(F241,$F$228:$F$246),)</f>
        <v>11</v>
      </c>
      <c r="L241" s="648"/>
      <c r="M241" s="825">
        <f>+'[1]NEW-Tables 80-86'!AP176</f>
        <v>78995.766666666677</v>
      </c>
    </row>
    <row r="242" spans="1:13" s="490" customFormat="1" ht="12.75" customHeight="1">
      <c r="A242" s="406"/>
      <c r="B242" s="555"/>
      <c r="C242" s="555"/>
      <c r="D242" s="555"/>
      <c r="E242" s="555"/>
      <c r="F242" s="555"/>
      <c r="G242" s="556"/>
      <c r="H242" s="557"/>
      <c r="I242" s="557"/>
      <c r="J242" s="557"/>
      <c r="K242" s="557"/>
      <c r="L242" s="648"/>
      <c r="M242" s="825"/>
    </row>
    <row r="243" spans="1:13" s="490" customFormat="1" ht="12.75" customHeight="1">
      <c r="A243" s="406" t="s">
        <v>90</v>
      </c>
      <c r="B243" s="555">
        <f>IF($M243&gt;0,('Amounts Pivot Table'!O$474/$M243),0)</f>
        <v>3578.3831887160786</v>
      </c>
      <c r="C243" s="555">
        <f>IF($M243&gt;0,('Amounts Pivot Table'!O$477/$M243),0)</f>
        <v>0</v>
      </c>
      <c r="D243" s="555">
        <f>IF($M243&gt;0,('Amounts Pivot Table'!O$480/$M243),0)</f>
        <v>0</v>
      </c>
      <c r="E243" s="555">
        <f>IF($M243&gt;0,('Amounts Pivot Table'!O$483/$M243),0)</f>
        <v>4432.308464495668</v>
      </c>
      <c r="F243" s="555">
        <f t="shared" si="27"/>
        <v>8010.6916532117466</v>
      </c>
      <c r="G243" s="556">
        <f>IF(B243&gt;0,RANK(B243,$B$228:$B$246),)</f>
        <v>8</v>
      </c>
      <c r="H243" s="557">
        <f>IF(C243&gt;0,RANK(C243,$C$228:$C$246),)</f>
        <v>0</v>
      </c>
      <c r="I243" s="557">
        <f>IF(D243&gt;0,RANK(D243,$D$228:$D$246),)</f>
        <v>0</v>
      </c>
      <c r="J243" s="557">
        <f>IF(E243&gt;0,RANK(E243,$E$228:$E$246),)</f>
        <v>4</v>
      </c>
      <c r="K243" s="557">
        <f>IF(F243&gt;0,RANK(F243,$F$228:$F$246),)</f>
        <v>6</v>
      </c>
      <c r="L243" s="648"/>
      <c r="M243" s="825">
        <f>+'[1]NEW-Tables 80-86'!AP178</f>
        <v>60035.866666666669</v>
      </c>
    </row>
    <row r="244" spans="1:13" s="76" customFormat="1" ht="12.75" customHeight="1">
      <c r="A244" s="406" t="s">
        <v>326</v>
      </c>
      <c r="B244" s="555">
        <f>IF($M244&gt;0,('Amounts Pivot Table'!O$513/$M244),0)</f>
        <v>2475.4028337910222</v>
      </c>
      <c r="C244" s="555">
        <f>IF($M244&gt;0,('Amounts Pivot Table'!O$516/$M244),0)</f>
        <v>0</v>
      </c>
      <c r="D244" s="555">
        <f>IF($M244&gt;0,('Amounts Pivot Table'!O$519/$M244),0)</f>
        <v>3185.2806401426178</v>
      </c>
      <c r="E244" s="555">
        <f>IF($M244&gt;0,('Amounts Pivot Table'!O$522/$M244),0)</f>
        <v>1839.8883559163432</v>
      </c>
      <c r="F244" s="555">
        <f t="shared" si="27"/>
        <v>7500.5718298499833</v>
      </c>
      <c r="G244" s="556">
        <f>IF(B244&gt;0,RANK(B244,$B$228:$B$246),)</f>
        <v>14</v>
      </c>
      <c r="H244" s="557">
        <f>IF(C244&gt;0,RANK(C244,$C$228:$C$246),)</f>
        <v>0</v>
      </c>
      <c r="I244" s="557">
        <f>IF(D244&gt;0,RANK(D244,$D$228:$D$246),)</f>
        <v>2</v>
      </c>
      <c r="J244" s="557">
        <f>IF(E244&gt;0,RANK(E244,$E$228:$E$246),)</f>
        <v>15</v>
      </c>
      <c r="K244" s="557">
        <f>IF(F244&gt;0,RANK(F244,$F$228:$F$246),)</f>
        <v>9</v>
      </c>
      <c r="L244" s="169"/>
      <c r="M244" s="825">
        <f>+'[1]NEW-Tables 80-86'!AP179</f>
        <v>487766.30555555562</v>
      </c>
    </row>
    <row r="245" spans="1:13" s="490" customFormat="1" ht="12.75" customHeight="1">
      <c r="A245" s="406" t="s">
        <v>327</v>
      </c>
      <c r="B245" s="555">
        <f>IF($M245&gt;0,('Amounts Pivot Table'!O$552/$M245),0)</f>
        <v>2671.1522885717882</v>
      </c>
      <c r="C245" s="555">
        <f>IF($M245&gt;0,('Amounts Pivot Table'!O$555/$M245),0)</f>
        <v>0</v>
      </c>
      <c r="D245" s="555">
        <f>IF($M245&gt;0,('Amounts Pivot Table'!O$558/$M245),0)</f>
        <v>88.296282601917255</v>
      </c>
      <c r="E245" s="555">
        <f>IF($M245&gt;0,('Amounts Pivot Table'!O$561/$M245),0)</f>
        <v>4274.8685925016025</v>
      </c>
      <c r="F245" s="555">
        <f t="shared" si="27"/>
        <v>7034.3171636753077</v>
      </c>
      <c r="G245" s="556">
        <f>IF(B245&gt;0,RANK(B245,$B$228:$B$246),)</f>
        <v>13</v>
      </c>
      <c r="H245" s="557">
        <f>IF(C245&gt;0,RANK(C245,$C$228:$C$246),)</f>
        <v>0</v>
      </c>
      <c r="I245" s="557">
        <f>IF(D245&gt;0,RANK(D245,$D$228:$D$246),)</f>
        <v>8</v>
      </c>
      <c r="J245" s="557">
        <f>IF(E245&gt;0,RANK(E245,$E$228:$E$246),)</f>
        <v>5</v>
      </c>
      <c r="K245" s="557">
        <f>IF(F245&gt;0,RANK(F245,$F$228:$F$246),)</f>
        <v>14</v>
      </c>
      <c r="L245" s="649"/>
      <c r="M245" s="825">
        <f>+'[1]NEW-Tables 80-86'!AP180</f>
        <v>123687.76666666666</v>
      </c>
    </row>
    <row r="246" spans="1:13" s="490" customFormat="1" ht="13.5" customHeight="1">
      <c r="A246" s="407" t="s">
        <v>332</v>
      </c>
      <c r="B246" s="561">
        <f>IF($M246&gt;0,('Amounts Pivot Table'!O$591/$M246),0)</f>
        <v>3626.5078638455534</v>
      </c>
      <c r="C246" s="561">
        <f>IF($M246&gt;0,('Amounts Pivot Table'!O$594/$M246),0)</f>
        <v>39.372679159530271</v>
      </c>
      <c r="D246" s="561">
        <f>IF($M246&gt;0,('Amounts Pivot Table'!O$597/$M246),0)</f>
        <v>0</v>
      </c>
      <c r="E246" s="561">
        <f>IF($M246&gt;0,('Amounts Pivot Table'!O$600/$M246),0)</f>
        <v>4154.0920860628548</v>
      </c>
      <c r="F246" s="562">
        <f t="shared" si="27"/>
        <v>7819.9726290679391</v>
      </c>
      <c r="G246" s="563">
        <f>IF(B246&gt;0,RANK(B246,$B$228:$B$246),)</f>
        <v>6</v>
      </c>
      <c r="H246" s="564">
        <f>IF(C246&gt;0,RANK(C246,$C$228:$C$246),)</f>
        <v>6</v>
      </c>
      <c r="I246" s="564">
        <f>IF(D246&gt;0,RANK(D246,$D$228:$D$246),)</f>
        <v>0</v>
      </c>
      <c r="J246" s="564">
        <f>IF(E246&gt;0,RANK(E246,$E$228:$E$246),)</f>
        <v>7</v>
      </c>
      <c r="K246" s="564">
        <f>IF(F246&gt;0,RANK(F246,$F$228:$F$246),)</f>
        <v>7</v>
      </c>
      <c r="L246" s="652"/>
      <c r="M246" s="825">
        <f>+'[1]NEW-Tables 80-86'!AP181</f>
        <v>17461.346666666665</v>
      </c>
    </row>
    <row r="247" spans="1:13" s="76" customFormat="1" ht="34.5" customHeight="1">
      <c r="A247" s="1505" t="s">
        <v>17</v>
      </c>
      <c r="B247" s="1529"/>
      <c r="C247" s="1529"/>
      <c r="D247" s="1529"/>
      <c r="E247" s="1529"/>
      <c r="F247" s="1529"/>
      <c r="G247" s="1529"/>
      <c r="H247" s="1529"/>
      <c r="I247" s="1529"/>
      <c r="J247" s="1529"/>
      <c r="K247" s="1529"/>
      <c r="L247" s="169"/>
      <c r="M247" s="643"/>
    </row>
    <row r="248" spans="1:13" s="205" customFormat="1" ht="13.5" customHeight="1">
      <c r="A248" s="1505" t="s">
        <v>54</v>
      </c>
      <c r="B248" s="1529"/>
      <c r="C248" s="1529"/>
      <c r="D248" s="1529"/>
      <c r="E248" s="1529"/>
      <c r="F248" s="1529"/>
      <c r="G248" s="1529"/>
      <c r="H248" s="1529"/>
      <c r="I248" s="1529"/>
      <c r="J248" s="1529"/>
      <c r="K248" s="1529"/>
      <c r="L248" s="204"/>
      <c r="M248" s="643"/>
    </row>
    <row r="249" spans="1:13" s="490" customFormat="1" ht="13.5" customHeight="1">
      <c r="A249" s="1505" t="s">
        <v>233</v>
      </c>
      <c r="B249" s="1541"/>
      <c r="C249" s="1541"/>
      <c r="D249" s="1541"/>
      <c r="E249" s="1541"/>
      <c r="F249" s="1541"/>
      <c r="G249" s="1542"/>
      <c r="H249" s="1542"/>
      <c r="I249" s="1542"/>
      <c r="J249" s="1542"/>
      <c r="K249" s="1542"/>
      <c r="L249" s="652"/>
      <c r="M249" s="657"/>
    </row>
    <row r="250" spans="1:13" s="490" customFormat="1">
      <c r="A250" s="638"/>
      <c r="B250" s="651"/>
      <c r="C250" s="651"/>
      <c r="D250" s="651"/>
      <c r="E250" s="651"/>
      <c r="F250" s="651"/>
      <c r="G250" s="653"/>
      <c r="H250" s="653"/>
      <c r="I250" s="653"/>
      <c r="J250" s="653"/>
      <c r="K250" s="534" t="s">
        <v>1927</v>
      </c>
      <c r="L250" s="652"/>
      <c r="M250" s="657"/>
    </row>
    <row r="251" spans="1:13" s="490" customFormat="1" ht="15.75">
      <c r="A251" s="1504" t="s">
        <v>366</v>
      </c>
      <c r="B251" s="1504"/>
      <c r="C251" s="1504"/>
      <c r="D251" s="1504"/>
      <c r="E251" s="1504"/>
      <c r="F251" s="1504"/>
      <c r="G251" s="1504"/>
      <c r="H251" s="1504"/>
      <c r="I251" s="1504"/>
      <c r="J251" s="1504"/>
      <c r="K251" s="1504"/>
      <c r="L251" s="649"/>
      <c r="M251" s="657"/>
    </row>
    <row r="252" spans="1:13" s="490" customFormat="1" ht="18.75">
      <c r="A252" s="1504" t="s">
        <v>18</v>
      </c>
      <c r="B252" s="1504"/>
      <c r="C252" s="1504"/>
      <c r="D252" s="1504"/>
      <c r="E252" s="1504"/>
      <c r="F252" s="1504"/>
      <c r="G252" s="1504"/>
      <c r="H252" s="1504"/>
      <c r="I252" s="1504"/>
      <c r="J252" s="1504"/>
      <c r="K252" s="1504"/>
      <c r="L252" s="165"/>
      <c r="M252" s="657"/>
    </row>
    <row r="253" spans="1:13" s="490" customFormat="1" ht="15.75">
      <c r="A253" s="1504" t="s">
        <v>443</v>
      </c>
      <c r="B253" s="1504"/>
      <c r="C253" s="1504"/>
      <c r="D253" s="1504"/>
      <c r="E253" s="1504"/>
      <c r="F253" s="1504"/>
      <c r="G253" s="1504"/>
      <c r="H253" s="1504"/>
      <c r="I253" s="1504"/>
      <c r="J253" s="1504"/>
      <c r="K253" s="1504"/>
      <c r="L253" s="165"/>
      <c r="M253" s="643"/>
    </row>
    <row r="254" spans="1:13" s="490" customFormat="1" ht="9.75" customHeight="1">
      <c r="A254" s="91"/>
      <c r="B254" s="91"/>
      <c r="C254" s="91"/>
      <c r="D254" s="91"/>
      <c r="E254" s="91"/>
      <c r="F254" s="91"/>
      <c r="G254" s="108"/>
      <c r="H254" s="91"/>
      <c r="I254" s="91"/>
      <c r="J254" s="91"/>
      <c r="K254" s="91"/>
      <c r="L254" s="165"/>
      <c r="M254" s="643"/>
    </row>
    <row r="255" spans="1:13" s="662" customFormat="1" ht="13.5" customHeight="1">
      <c r="A255" s="56"/>
      <c r="B255" s="1543" t="s">
        <v>55</v>
      </c>
      <c r="C255" s="1544"/>
      <c r="D255" s="1544"/>
      <c r="E255" s="1544"/>
      <c r="F255" s="1544"/>
      <c r="G255" s="57" t="s">
        <v>119</v>
      </c>
      <c r="H255" s="58"/>
      <c r="I255" s="58"/>
      <c r="J255" s="58"/>
      <c r="K255" s="58"/>
      <c r="L255" s="173"/>
      <c r="M255" s="643"/>
    </row>
    <row r="256" spans="1:13" s="378" customFormat="1" ht="45">
      <c r="A256" s="644"/>
      <c r="B256" s="51" t="s">
        <v>87</v>
      </c>
      <c r="C256" s="52" t="s">
        <v>89</v>
      </c>
      <c r="D256" s="52" t="s">
        <v>88</v>
      </c>
      <c r="E256" s="52" t="s">
        <v>306</v>
      </c>
      <c r="F256" s="52" t="s">
        <v>97</v>
      </c>
      <c r="G256" s="53" t="s">
        <v>87</v>
      </c>
      <c r="H256" s="52" t="s">
        <v>89</v>
      </c>
      <c r="I256" s="52" t="s">
        <v>88</v>
      </c>
      <c r="J256" s="52" t="s">
        <v>306</v>
      </c>
      <c r="K256" s="52" t="s">
        <v>97</v>
      </c>
      <c r="L256" s="646"/>
      <c r="M256" s="655" t="s">
        <v>260</v>
      </c>
    </row>
    <row r="257" spans="1:13" s="490" customFormat="1" ht="14.25">
      <c r="A257" s="406" t="s">
        <v>56</v>
      </c>
      <c r="B257" s="552">
        <f>IF($M257&gt;0,('Amounts Pivot Table'!J$630/$M257),0)</f>
        <v>3171.2406333343502</v>
      </c>
      <c r="C257" s="552">
        <f>IF($M257&gt;0,('Amounts Pivot Table'!J$633/$M257),0)</f>
        <v>0.69503320155925619</v>
      </c>
      <c r="D257" s="552">
        <f>IF($M257&gt;0,('Amounts Pivot Table'!J$636/$M257),0)</f>
        <v>277.59445194166409</v>
      </c>
      <c r="E257" s="552">
        <f>IF($M257&gt;0,('Amounts Pivot Table'!J$639/$M257),0)</f>
        <v>2466.0602886872039</v>
      </c>
      <c r="F257" s="552">
        <f>SUM(B257:E257)</f>
        <v>5915.5904071647774</v>
      </c>
      <c r="G257" s="553"/>
      <c r="H257" s="554"/>
      <c r="I257" s="554"/>
      <c r="J257" s="554"/>
      <c r="K257" s="554"/>
      <c r="L257" s="648"/>
      <c r="M257" s="825">
        <f>+'[1]NEW-Tables 80-86'!AK161</f>
        <v>298546.88888888893</v>
      </c>
    </row>
    <row r="258" spans="1:13" s="490" customFormat="1" ht="12.75" customHeight="1">
      <c r="A258" s="406"/>
      <c r="B258" s="552"/>
      <c r="C258" s="552"/>
      <c r="D258" s="552"/>
      <c r="E258" s="552"/>
      <c r="F258" s="552"/>
      <c r="G258" s="553"/>
      <c r="H258" s="554"/>
      <c r="I258" s="554"/>
      <c r="J258" s="554"/>
      <c r="K258" s="554"/>
      <c r="L258" s="648"/>
      <c r="M258" s="825"/>
    </row>
    <row r="259" spans="1:13" s="490" customFormat="1" ht="12.75" customHeight="1">
      <c r="A259" s="406" t="s">
        <v>320</v>
      </c>
      <c r="B259" s="555">
        <f>IF($M259&gt;0,('Amounts Pivot Table'!J$6/$M259),0)</f>
        <v>0</v>
      </c>
      <c r="C259" s="555">
        <f>IF($M259&gt;0,('Amounts Pivot Table'!J$9/$M259),0)</f>
        <v>0</v>
      </c>
      <c r="D259" s="555">
        <f>IF($M259&gt;0,('Amounts Pivot Table'!J$12/$M259),0)</f>
        <v>0</v>
      </c>
      <c r="E259" s="555">
        <f>IF($M259&gt;0,('Amounts Pivot Table'!J$15/$M259),0)</f>
        <v>0</v>
      </c>
      <c r="F259" s="555">
        <f t="shared" ref="F259:F277" si="28">SUM(B259:E259)</f>
        <v>0</v>
      </c>
      <c r="G259" s="556">
        <f>IF(B259&gt;0,RANK(B259,$B$259:$B$277),)</f>
        <v>0</v>
      </c>
      <c r="H259" s="557">
        <f>IF(C259&gt;0,RANK(C259,$C$259:$C$277),)</f>
        <v>0</v>
      </c>
      <c r="I259" s="557">
        <f>IF(D259&gt;0,RANK(D259,$D$259:$D$277),)</f>
        <v>0</v>
      </c>
      <c r="J259" s="557">
        <f>IF(E259&gt;0,RANK(E259,$E$259:$E$277),)</f>
        <v>0</v>
      </c>
      <c r="K259" s="557">
        <f>IF(F259&gt;0,RANK(F259,$F$259:$F$277),)</f>
        <v>0</v>
      </c>
      <c r="L259" s="648"/>
      <c r="M259" s="825">
        <f>+'[1]NEW-Tables 80-86'!AK163</f>
        <v>0</v>
      </c>
    </row>
    <row r="260" spans="1:13" s="490" customFormat="1" ht="12.75" customHeight="1">
      <c r="A260" s="406" t="s">
        <v>334</v>
      </c>
      <c r="B260" s="555">
        <f>IF($M260&gt;0,('Amounts Pivot Table'!J$45/$M260),0)</f>
        <v>0</v>
      </c>
      <c r="C260" s="555">
        <f>IF($M260&gt;0,('Amounts Pivot Table'!J$48/$M260),0)</f>
        <v>0</v>
      </c>
      <c r="D260" s="555">
        <f>IF($M260&gt;0,('Amounts Pivot Table'!J$51/$M260),0)</f>
        <v>0</v>
      </c>
      <c r="E260" s="555">
        <f>IF($M260&gt;0,('Amounts Pivot Table'!J$54/$M260),0)</f>
        <v>0</v>
      </c>
      <c r="F260" s="555">
        <f t="shared" si="28"/>
        <v>0</v>
      </c>
      <c r="G260" s="556">
        <f>IF(B260&gt;0,RANK(B260,$B$259:$B$277),)</f>
        <v>0</v>
      </c>
      <c r="H260" s="557">
        <f>IF(C260&gt;0,RANK(C260,$C$259:$C$277),)</f>
        <v>0</v>
      </c>
      <c r="I260" s="557">
        <f>IF(D260&gt;0,RANK(D260,$D$259:$D$277),)</f>
        <v>0</v>
      </c>
      <c r="J260" s="557">
        <f>IF(E260&gt;0,RANK(E260,$E$259:$E$277),)</f>
        <v>0</v>
      </c>
      <c r="K260" s="557">
        <f>IF(F260&gt;0,RANK(F260,$F$259:$F$277),)</f>
        <v>0</v>
      </c>
      <c r="L260" s="648"/>
      <c r="M260" s="825">
        <f>+'[1]NEW-Tables 80-86'!AK164</f>
        <v>0</v>
      </c>
    </row>
    <row r="261" spans="1:13" s="490" customFormat="1" ht="12.75" customHeight="1">
      <c r="A261" s="406" t="s">
        <v>321</v>
      </c>
      <c r="B261" s="555">
        <f>IF($M261&gt;0,('Amounts Pivot Table'!J$84/$M261),0)</f>
        <v>0</v>
      </c>
      <c r="C261" s="555">
        <f>IF($M261&gt;0,('Amounts Pivot Table'!J$87/$M261),0)</f>
        <v>0</v>
      </c>
      <c r="D261" s="555">
        <f>IF($M261&gt;0,('Amounts Pivot Table'!J$90/$M261),0)</f>
        <v>0</v>
      </c>
      <c r="E261" s="555">
        <f>IF($M261&gt;0,('Amounts Pivot Table'!J$93/$M261),0)</f>
        <v>0</v>
      </c>
      <c r="F261" s="555">
        <f t="shared" si="28"/>
        <v>0</v>
      </c>
      <c r="G261" s="556">
        <f>IF(B261&gt;0,RANK(B261,$B$259:$B$277),)</f>
        <v>0</v>
      </c>
      <c r="H261" s="557">
        <f>IF(C261&gt;0,RANK(C261,$C$259:$C$277),)</f>
        <v>0</v>
      </c>
      <c r="I261" s="557">
        <f>IF(D261&gt;0,RANK(D261,$D$259:$D$277),)</f>
        <v>0</v>
      </c>
      <c r="J261" s="557">
        <f>IF(E261&gt;0,RANK(E261,$E$259:$E$277),)</f>
        <v>0</v>
      </c>
      <c r="K261" s="557">
        <f>IF(F261&gt;0,RANK(F261,$F$259:$F$277),)</f>
        <v>0</v>
      </c>
      <c r="L261" s="648"/>
      <c r="M261" s="825">
        <f>+'[1]NEW-Tables 80-86'!AK165</f>
        <v>0</v>
      </c>
    </row>
    <row r="262" spans="1:13" s="490" customFormat="1" ht="12.75" customHeight="1">
      <c r="A262" s="406" t="s">
        <v>328</v>
      </c>
      <c r="B262" s="555">
        <f>IF($M262&gt;0,('Amounts Pivot Table'!J$123/$M262),0)</f>
        <v>3205.4470982068269</v>
      </c>
      <c r="C262" s="555">
        <f>IF($M262&gt;0,('Amounts Pivot Table'!J$126/$M262),0)</f>
        <v>0</v>
      </c>
      <c r="D262" s="555">
        <f>IF($M262&gt;0,('Amounts Pivot Table'!J$129/$M262),0)</f>
        <v>0</v>
      </c>
      <c r="E262" s="555">
        <f>IF($M262&gt;0,('Amounts Pivot Table'!J$132/$M262),0)</f>
        <v>2461.5383486020746</v>
      </c>
      <c r="F262" s="555">
        <f t="shared" si="28"/>
        <v>5666.9854468089015</v>
      </c>
      <c r="G262" s="556">
        <f>IF(B262&gt;0,RANK(B262,$B$259:$B$277),)</f>
        <v>3</v>
      </c>
      <c r="H262" s="557">
        <f>IF(C262&gt;0,RANK(C262,$C$259:$C$277),)</f>
        <v>0</v>
      </c>
      <c r="I262" s="557">
        <f>IF(D262&gt;0,RANK(D262,$D$259:$D$277),)</f>
        <v>0</v>
      </c>
      <c r="J262" s="557">
        <f>IF(E262&gt;0,RANK(E262,$E$259:$E$277),)</f>
        <v>4</v>
      </c>
      <c r="K262" s="557">
        <f>IF(F262&gt;0,RANK(F262,$F$259:$F$277),)</f>
        <v>5</v>
      </c>
      <c r="L262" s="648"/>
      <c r="M262" s="825">
        <f>+'[1]NEW-Tables 80-86'!AK166</f>
        <v>251484.13444444447</v>
      </c>
    </row>
    <row r="263" spans="1:13" s="490" customFormat="1" ht="12.75" customHeight="1">
      <c r="A263" s="406"/>
      <c r="B263" s="555"/>
      <c r="C263" s="555"/>
      <c r="D263" s="555"/>
      <c r="E263" s="555"/>
      <c r="F263" s="555"/>
      <c r="G263" s="556"/>
      <c r="H263" s="557"/>
      <c r="I263" s="557"/>
      <c r="J263" s="557"/>
      <c r="K263" s="557"/>
      <c r="L263" s="648"/>
      <c r="M263" s="825"/>
    </row>
    <row r="264" spans="1:13" s="490" customFormat="1" ht="12.75" customHeight="1">
      <c r="A264" s="406" t="s">
        <v>329</v>
      </c>
      <c r="B264" s="555">
        <f>IF($M264&gt;0,('Amounts Pivot Table'!J$162/$M264),0)</f>
        <v>4644.6969884992131</v>
      </c>
      <c r="C264" s="555">
        <f>IF($M264&gt;0,('Amounts Pivot Table'!J$165/$M264),0)</f>
        <v>0</v>
      </c>
      <c r="D264" s="555">
        <f>IF($M264&gt;0,('Amounts Pivot Table'!J$168/$M264),0)</f>
        <v>0</v>
      </c>
      <c r="E264" s="555">
        <f>IF($M264&gt;0,('Amounts Pivot Table'!J$171/$M264),0)</f>
        <v>3690.6462137072722</v>
      </c>
      <c r="F264" s="555">
        <f t="shared" si="28"/>
        <v>8335.3432022064844</v>
      </c>
      <c r="G264" s="556">
        <f>IF(B264&gt;0,RANK(B264,$B$259:$B$277),)</f>
        <v>1</v>
      </c>
      <c r="H264" s="557">
        <f>IF(C264&gt;0,RANK(C264,$C$259:$C$277),)</f>
        <v>0</v>
      </c>
      <c r="I264" s="557">
        <f>IF(D264&gt;0,RANK(D264,$D$259:$D$277),)</f>
        <v>0</v>
      </c>
      <c r="J264" s="557">
        <f>IF(E264&gt;0,RANK(E264,$E$259:$E$277),)</f>
        <v>2</v>
      </c>
      <c r="K264" s="557">
        <f>IF(F264&gt;0,RANK(F264,$F$259:$F$277),)</f>
        <v>1</v>
      </c>
      <c r="L264" s="648"/>
      <c r="M264" s="825">
        <f>+'[1]NEW-Tables 80-86'!AK168</f>
        <v>8326.9666666666672</v>
      </c>
    </row>
    <row r="265" spans="1:13" s="490" customFormat="1" ht="12.75" customHeight="1">
      <c r="A265" s="406" t="s">
        <v>322</v>
      </c>
      <c r="B265" s="555">
        <f>IF($M265&gt;0,('Amounts Pivot Table'!J$201/$M265),0)</f>
        <v>0</v>
      </c>
      <c r="C265" s="555">
        <f>IF($M265&gt;0,('Amounts Pivot Table'!J$204/$M265),0)</f>
        <v>0</v>
      </c>
      <c r="D265" s="555">
        <f>IF($M265&gt;0,('Amounts Pivot Table'!J$207/$M265),0)</f>
        <v>0</v>
      </c>
      <c r="E265" s="555">
        <f>IF($M265&gt;0,('Amounts Pivot Table'!J$210/$M265),0)</f>
        <v>0</v>
      </c>
      <c r="F265" s="555">
        <f t="shared" si="28"/>
        <v>0</v>
      </c>
      <c r="G265" s="556">
        <f>IF(B265&gt;0,RANK(B265,$B$259:$B$277),)</f>
        <v>0</v>
      </c>
      <c r="H265" s="557">
        <f>IF(C265&gt;0,RANK(C265,$C$259:$C$277),)</f>
        <v>0</v>
      </c>
      <c r="I265" s="557">
        <f>IF(D265&gt;0,RANK(D265,$D$259:$D$277),)</f>
        <v>0</v>
      </c>
      <c r="J265" s="557">
        <f>IF(E265&gt;0,RANK(E265,$E$259:$E$277),)</f>
        <v>0</v>
      </c>
      <c r="K265" s="557">
        <f>IF(F265&gt;0,RANK(F265,$F$259:$F$277),)</f>
        <v>0</v>
      </c>
      <c r="L265" s="648"/>
      <c r="M265" s="825">
        <f>+'[1]NEW-Tables 80-86'!AK169</f>
        <v>0</v>
      </c>
    </row>
    <row r="266" spans="1:13" s="490" customFormat="1" ht="12.75" customHeight="1">
      <c r="A266" s="406" t="s">
        <v>330</v>
      </c>
      <c r="B266" s="555">
        <f>IF($M266&gt;0,('Amounts Pivot Table'!J$240/$M266),0)</f>
        <v>0</v>
      </c>
      <c r="C266" s="555">
        <f>IF($M266&gt;0,('Amounts Pivot Table'!J$243/$M266),0)</f>
        <v>0</v>
      </c>
      <c r="D266" s="555">
        <f>IF($M266&gt;0,('Amounts Pivot Table'!J$246/$M266),0)</f>
        <v>0</v>
      </c>
      <c r="E266" s="555">
        <f>IF($M266&gt;0,('Amounts Pivot Table'!J$249/$M266),0)</f>
        <v>0</v>
      </c>
      <c r="F266" s="555">
        <f t="shared" si="28"/>
        <v>0</v>
      </c>
      <c r="G266" s="556">
        <f>IF(B266&gt;0,RANK(B266,$B$259:$B$277),)</f>
        <v>0</v>
      </c>
      <c r="H266" s="557">
        <f>IF(C266&gt;0,RANK(C266,$C$259:$C$277),)</f>
        <v>0</v>
      </c>
      <c r="I266" s="557">
        <f>IF(D266&gt;0,RANK(D266,$D$259:$D$277),)</f>
        <v>0</v>
      </c>
      <c r="J266" s="557">
        <f>IF(E266&gt;0,RANK(E266,$E$259:$E$277),)</f>
        <v>0</v>
      </c>
      <c r="K266" s="557">
        <f>IF(F266&gt;0,RANK(F266,$F$259:$F$277),)</f>
        <v>0</v>
      </c>
      <c r="L266" s="648"/>
      <c r="M266" s="825">
        <f>+'[1]NEW-Tables 80-86'!AK170</f>
        <v>0</v>
      </c>
    </row>
    <row r="267" spans="1:13" s="490" customFormat="1" ht="12.75" customHeight="1">
      <c r="A267" s="406" t="s">
        <v>333</v>
      </c>
      <c r="B267" s="555">
        <f>IF($M267&gt;0,('Amounts Pivot Table'!J$279/$M267),0)</f>
        <v>0</v>
      </c>
      <c r="C267" s="555">
        <f>IF($M267&gt;0,('Amounts Pivot Table'!J$282/$M267),0)</f>
        <v>0</v>
      </c>
      <c r="D267" s="555">
        <f>IF($M267&gt;0,('Amounts Pivot Table'!J$285/$M267),0)</f>
        <v>0</v>
      </c>
      <c r="E267" s="555">
        <f>IF($M267&gt;0,('Amounts Pivot Table'!J$288/$M267),0)</f>
        <v>0</v>
      </c>
      <c r="F267" s="555">
        <f t="shared" si="28"/>
        <v>0</v>
      </c>
      <c r="G267" s="556">
        <f>IF(B267&gt;0,RANK(B267,$B$259:$B$277),)</f>
        <v>0</v>
      </c>
      <c r="H267" s="557">
        <f>IF(C267&gt;0,RANK(C267,$C$259:$C$277),)</f>
        <v>0</v>
      </c>
      <c r="I267" s="557">
        <f>IF(D267&gt;0,RANK(D267,$D$259:$D$277),)</f>
        <v>0</v>
      </c>
      <c r="J267" s="557">
        <f>IF(E267&gt;0,RANK(E267,$E$259:$E$277),)</f>
        <v>0</v>
      </c>
      <c r="K267" s="557">
        <f>IF(F267&gt;0,RANK(F267,$F$259:$F$277),)</f>
        <v>0</v>
      </c>
      <c r="L267" s="648"/>
      <c r="M267" s="825">
        <f>+'[1]NEW-Tables 80-86'!AK171</f>
        <v>0</v>
      </c>
    </row>
    <row r="268" spans="1:13" s="490" customFormat="1" ht="12.75" customHeight="1">
      <c r="A268" s="406"/>
      <c r="B268" s="555"/>
      <c r="C268" s="555"/>
      <c r="D268" s="555"/>
      <c r="E268" s="555"/>
      <c r="F268" s="555"/>
      <c r="G268" s="556"/>
      <c r="H268" s="557"/>
      <c r="I268" s="557"/>
      <c r="J268" s="557"/>
      <c r="K268" s="557"/>
      <c r="L268" s="648"/>
      <c r="M268" s="825"/>
    </row>
    <row r="269" spans="1:13" s="490" customFormat="1" ht="12.75" customHeight="1">
      <c r="A269" s="406" t="s">
        <v>323</v>
      </c>
      <c r="B269" s="555">
        <f>IF($M269&gt;0,('Amounts Pivot Table'!J$318/$M269),0)</f>
        <v>0</v>
      </c>
      <c r="C269" s="555">
        <f>IF($M269&gt;0,('Amounts Pivot Table'!J$321/$M269),0)</f>
        <v>0</v>
      </c>
      <c r="D269" s="555">
        <f>IF($M269&gt;0,('Amounts Pivot Table'!J$324/$M269),0)</f>
        <v>0</v>
      </c>
      <c r="E269" s="555">
        <f>IF($M269&gt;0,('Amounts Pivot Table'!J$327/$M269),0)</f>
        <v>0</v>
      </c>
      <c r="F269" s="555">
        <f t="shared" si="28"/>
        <v>0</v>
      </c>
      <c r="G269" s="556">
        <f>IF(B269&gt;0,RANK(B269,$B$259:$B$277),)</f>
        <v>0</v>
      </c>
      <c r="H269" s="557">
        <f>IF(C269&gt;0,RANK(C269,$C$259:$C$277),)</f>
        <v>0</v>
      </c>
      <c r="I269" s="557">
        <f>IF(D269&gt;0,RANK(D269,$D$259:$D$277),)</f>
        <v>0</v>
      </c>
      <c r="J269" s="557">
        <f>IF(E269&gt;0,RANK(E269,$E$259:$E$277),)</f>
        <v>0</v>
      </c>
      <c r="K269" s="557">
        <f>IF(F269&gt;0,RANK(F269,$F$259:$F$277),)</f>
        <v>0</v>
      </c>
      <c r="L269" s="648"/>
      <c r="M269" s="825">
        <f>+'[1]NEW-Tables 80-86'!AK173</f>
        <v>0</v>
      </c>
    </row>
    <row r="270" spans="1:13" s="490" customFormat="1" ht="12.75" customHeight="1">
      <c r="A270" s="406" t="s">
        <v>324</v>
      </c>
      <c r="B270" s="555">
        <f>IF($M270&gt;0,('Amounts Pivot Table'!J$357/$M270),0)</f>
        <v>0</v>
      </c>
      <c r="C270" s="555">
        <f>IF($M270&gt;0,('Amounts Pivot Table'!J$360/$M270),0)</f>
        <v>0</v>
      </c>
      <c r="D270" s="555">
        <f>IF($M270&gt;0,('Amounts Pivot Table'!J$363/$M270),0)</f>
        <v>0</v>
      </c>
      <c r="E270" s="555">
        <f>IF($M270&gt;0,('Amounts Pivot Table'!J$366/$M270),0)</f>
        <v>0</v>
      </c>
      <c r="F270" s="555">
        <f t="shared" si="28"/>
        <v>0</v>
      </c>
      <c r="G270" s="556">
        <f>IF(B270&gt;0,RANK(B270,$B$259:$B$277),)</f>
        <v>0</v>
      </c>
      <c r="H270" s="557">
        <f>IF(C270&gt;0,RANK(C270,$C$259:$C$277),)</f>
        <v>0</v>
      </c>
      <c r="I270" s="557">
        <f>IF(D270&gt;0,RANK(D270,$D$259:$D$277),)</f>
        <v>0</v>
      </c>
      <c r="J270" s="557">
        <f>IF(E270&gt;0,RANK(E270,$E$259:$E$277),)</f>
        <v>0</v>
      </c>
      <c r="K270" s="557">
        <f>IF(F270&gt;0,RANK(F270,$F$259:$F$277),)</f>
        <v>0</v>
      </c>
      <c r="L270" s="648"/>
      <c r="M270" s="825">
        <f>+'[1]NEW-Tables 80-86'!AK174</f>
        <v>0</v>
      </c>
    </row>
    <row r="271" spans="1:13" s="490" customFormat="1" ht="12.75" customHeight="1">
      <c r="A271" s="406" t="s">
        <v>331</v>
      </c>
      <c r="B271" s="555">
        <f>IF($M271&gt;0,('Amounts Pivot Table'!J$396/$M271),0)</f>
        <v>3155.1103596014054</v>
      </c>
      <c r="C271" s="555">
        <f>IF($M271&gt;0,('Amounts Pivot Table'!J$399/$M271),0)</f>
        <v>0</v>
      </c>
      <c r="D271" s="555">
        <f>IF($M271&gt;0,('Amounts Pivot Table'!J$402/$M271),0)</f>
        <v>0</v>
      </c>
      <c r="E271" s="555">
        <f>IF($M271&gt;0,('Amounts Pivot Table'!J$405/$M271),0)</f>
        <v>3430.5795985173058</v>
      </c>
      <c r="F271" s="555">
        <f t="shared" si="28"/>
        <v>6585.6899581187117</v>
      </c>
      <c r="G271" s="556">
        <f>IF(B271&gt;0,RANK(B271,$B$259:$B$277),)</f>
        <v>4</v>
      </c>
      <c r="H271" s="557">
        <f>IF(C271&gt;0,RANK(C271,$C$259:$C$277),)</f>
        <v>0</v>
      </c>
      <c r="I271" s="557">
        <f>IF(D271&gt;0,RANK(D271,$D$259:$D$277),)</f>
        <v>0</v>
      </c>
      <c r="J271" s="557">
        <f>IF(E271&gt;0,RANK(E271,$E$259:$E$277),)</f>
        <v>3</v>
      </c>
      <c r="K271" s="557">
        <f>IF(F271&gt;0,RANK(F271,$F$259:$F$277),)</f>
        <v>4</v>
      </c>
      <c r="L271" s="648"/>
      <c r="M271" s="825">
        <f>+'[1]NEW-Tables 80-86'!AK175</f>
        <v>8309.2000000000007</v>
      </c>
    </row>
    <row r="272" spans="1:13" s="490" customFormat="1" ht="12.75" customHeight="1">
      <c r="A272" s="406" t="s">
        <v>325</v>
      </c>
      <c r="B272" s="555">
        <f>IF($M272&gt;0,('Amounts Pivot Table'!J$435/$M272),0)</f>
        <v>0</v>
      </c>
      <c r="C272" s="555">
        <f>IF($M272&gt;0,('Amounts Pivot Table'!J$438/$M272),0)</f>
        <v>0</v>
      </c>
      <c r="D272" s="555">
        <f>IF($M272&gt;0,('Amounts Pivot Table'!J$441/$M272),0)</f>
        <v>0</v>
      </c>
      <c r="E272" s="555">
        <f>IF($M272&gt;0,('Amounts Pivot Table'!J$444/$M272),0)</f>
        <v>0</v>
      </c>
      <c r="F272" s="555">
        <f t="shared" si="28"/>
        <v>0</v>
      </c>
      <c r="G272" s="556">
        <f>IF(B272&gt;0,RANK(B272,$B$259:$B$277),)</f>
        <v>0</v>
      </c>
      <c r="H272" s="557">
        <f>IF(C272&gt;0,RANK(C272,$C$259:$C$277),)</f>
        <v>0</v>
      </c>
      <c r="I272" s="557">
        <f>IF(D272&gt;0,RANK(D272,$D$259:$D$277),)</f>
        <v>0</v>
      </c>
      <c r="J272" s="557">
        <f>IF(E272&gt;0,RANK(E272,$E$259:$E$277),)</f>
        <v>0</v>
      </c>
      <c r="K272" s="557">
        <f>IF(F272&gt;0,RANK(F272,$F$259:$F$277),)</f>
        <v>0</v>
      </c>
      <c r="L272" s="648"/>
      <c r="M272" s="825">
        <f>+'[1]NEW-Tables 80-86'!AK176</f>
        <v>0</v>
      </c>
    </row>
    <row r="273" spans="1:13" s="490" customFormat="1" ht="12.75" customHeight="1">
      <c r="A273" s="406"/>
      <c r="B273" s="555"/>
      <c r="C273" s="555"/>
      <c r="D273" s="555"/>
      <c r="E273" s="555"/>
      <c r="F273" s="555"/>
      <c r="G273" s="556"/>
      <c r="H273" s="557"/>
      <c r="I273" s="557"/>
      <c r="J273" s="557"/>
      <c r="K273" s="557"/>
      <c r="L273" s="648"/>
      <c r="M273" s="825"/>
    </row>
    <row r="274" spans="1:13" s="490" customFormat="1" ht="12.75" customHeight="1">
      <c r="A274" s="406" t="s">
        <v>90</v>
      </c>
      <c r="B274" s="555">
        <f>IF($M274&gt;0,('Amounts Pivot Table'!J$474/$M274),0)</f>
        <v>0</v>
      </c>
      <c r="C274" s="555">
        <f>IF($M274&gt;0,('Amounts Pivot Table'!J$477/$M274),0)</f>
        <v>0</v>
      </c>
      <c r="D274" s="555">
        <f>IF($M274&gt;0,('Amounts Pivot Table'!J$480/$M274),0)</f>
        <v>0</v>
      </c>
      <c r="E274" s="555">
        <f>IF($M274&gt;0,('Amounts Pivot Table'!J$483/$M274),0)</f>
        <v>0</v>
      </c>
      <c r="F274" s="555">
        <f t="shared" si="28"/>
        <v>0</v>
      </c>
      <c r="G274" s="556">
        <f>IF(B274&gt;0,RANK(B274,$B$259:$B$277),)</f>
        <v>0</v>
      </c>
      <c r="H274" s="557">
        <f>IF(C274&gt;0,RANK(C274,$C$259:$C$277),)</f>
        <v>0</v>
      </c>
      <c r="I274" s="557">
        <f>IF(D274&gt;0,RANK(D274,$D$259:$D$277),)</f>
        <v>0</v>
      </c>
      <c r="J274" s="557">
        <f>IF(E274&gt;0,RANK(E274,$E$259:$E$277),)</f>
        <v>0</v>
      </c>
      <c r="K274" s="557">
        <f>IF(F274&gt;0,RANK(F274,$F$259:$F$277),)</f>
        <v>0</v>
      </c>
      <c r="L274" s="648"/>
      <c r="M274" s="825">
        <f>+'[1]NEW-Tables 80-86'!AK178</f>
        <v>0</v>
      </c>
    </row>
    <row r="275" spans="1:13" s="76" customFormat="1" ht="12.75" customHeight="1">
      <c r="A275" s="406" t="s">
        <v>326</v>
      </c>
      <c r="B275" s="555">
        <f>IF($M275&gt;0,('Amounts Pivot Table'!J$513/$M275),0)</f>
        <v>2342.8042096025079</v>
      </c>
      <c r="C275" s="555">
        <f>IF($M275&gt;0,('Amounts Pivot Table'!J$516/$M275),0)</f>
        <v>0</v>
      </c>
      <c r="D275" s="555">
        <f>IF($M275&gt;0,('Amounts Pivot Table'!J$519/$M275),0)</f>
        <v>3156.794052582321</v>
      </c>
      <c r="E275" s="555">
        <f>IF($M275&gt;0,('Amounts Pivot Table'!J$522/$M275),0)</f>
        <v>1526.9631417055962</v>
      </c>
      <c r="F275" s="555">
        <f t="shared" si="28"/>
        <v>7026.561403890425</v>
      </c>
      <c r="G275" s="556">
        <f>IF(B275&gt;0,RANK(B275,$B$259:$B$277),)</f>
        <v>5</v>
      </c>
      <c r="H275" s="557">
        <f>IF(C275&gt;0,RANK(C275,$C$259:$C$277),)</f>
        <v>0</v>
      </c>
      <c r="I275" s="557">
        <f>IF(D275&gt;0,RANK(D275,$D$259:$D$277),)</f>
        <v>1</v>
      </c>
      <c r="J275" s="557">
        <f>IF(E275&gt;0,RANK(E275,$E$259:$E$277),)</f>
        <v>5</v>
      </c>
      <c r="K275" s="557">
        <f>IF(F275&gt;0,RANK(F275,$F$259:$F$277),)</f>
        <v>3</v>
      </c>
      <c r="L275" s="169"/>
      <c r="M275" s="825">
        <f>+'[1]NEW-Tables 80-86'!AK179</f>
        <v>26252.887777777778</v>
      </c>
    </row>
    <row r="276" spans="1:13" s="490" customFormat="1" ht="12.75" customHeight="1">
      <c r="A276" s="406" t="s">
        <v>327</v>
      </c>
      <c r="B276" s="555">
        <f>IF($M276&gt;0,('Amounts Pivot Table'!J$552/$M276),0)</f>
        <v>0</v>
      </c>
      <c r="C276" s="555">
        <f>IF($M276&gt;0,('Amounts Pivot Table'!J$555/$M276),0)</f>
        <v>0</v>
      </c>
      <c r="D276" s="555">
        <f>IF($M276&gt;0,('Amounts Pivot Table'!J$558/$M276),0)</f>
        <v>0</v>
      </c>
      <c r="E276" s="555">
        <f>IF($M276&gt;0,('Amounts Pivot Table'!J$561/$M276),0)</f>
        <v>0</v>
      </c>
      <c r="F276" s="555">
        <f t="shared" si="28"/>
        <v>0</v>
      </c>
      <c r="G276" s="556">
        <f>IF(B276&gt;0,RANK(B276,$B$259:$B$277),)</f>
        <v>0</v>
      </c>
      <c r="H276" s="557">
        <f>IF(C276&gt;0,RANK(C276,$C$259:$C$277),)</f>
        <v>0</v>
      </c>
      <c r="I276" s="557">
        <f>IF(D276&gt;0,RANK(D276,$D$259:$D$277),)</f>
        <v>0</v>
      </c>
      <c r="J276" s="557">
        <f>IF(E276&gt;0,RANK(E276,$E$259:$E$277),)</f>
        <v>0</v>
      </c>
      <c r="K276" s="557">
        <f>IF(F276&gt;0,RANK(F276,$F$259:$F$277),)</f>
        <v>0</v>
      </c>
      <c r="L276" s="649"/>
      <c r="M276" s="825">
        <f>+'[1]NEW-Tables 80-86'!AK180</f>
        <v>0</v>
      </c>
    </row>
    <row r="277" spans="1:13" s="490" customFormat="1" ht="15.75" customHeight="1">
      <c r="A277" s="407" t="s">
        <v>332</v>
      </c>
      <c r="B277" s="561">
        <f>IF($M277&gt;0,('Amounts Pivot Table'!J$591/$M277),0)</f>
        <v>3413.4892301794571</v>
      </c>
      <c r="C277" s="561">
        <f>IF($M277&gt;0,('Amounts Pivot Table'!J$594/$M277),0)</f>
        <v>49.71607925821214</v>
      </c>
      <c r="D277" s="561">
        <f>IF($M277&gt;0,('Amounts Pivot Table'!J$597/$M277),0)</f>
        <v>0</v>
      </c>
      <c r="E277" s="561">
        <f>IF($M277&gt;0,('Amounts Pivot Table'!J$600/$M277),0)</f>
        <v>4282.1319213168172</v>
      </c>
      <c r="F277" s="562">
        <f t="shared" si="28"/>
        <v>7745.3372307544869</v>
      </c>
      <c r="G277" s="563">
        <f>IF(B277&gt;0,RANK(B277,$B$259:$B$277),)</f>
        <v>2</v>
      </c>
      <c r="H277" s="564">
        <f>IF(C277&gt;0,RANK(C277,$C$259:$C$277),)</f>
        <v>1</v>
      </c>
      <c r="I277" s="564">
        <f>IF(D277&gt;0,RANK(D277,$D$259:$D$277),)</f>
        <v>0</v>
      </c>
      <c r="J277" s="564">
        <f>IF(E277&gt;0,RANK(E277,$E$259:$E$277),)</f>
        <v>1</v>
      </c>
      <c r="K277" s="564">
        <f>IF(F277&gt;0,RANK(F277,$F$259:$F$277),)</f>
        <v>2</v>
      </c>
      <c r="L277" s="649"/>
      <c r="M277" s="825">
        <f>+'[1]NEW-Tables 80-86'!AK181</f>
        <v>4173.7</v>
      </c>
    </row>
    <row r="278" spans="1:13" s="76" customFormat="1" ht="34.5" customHeight="1">
      <c r="A278" s="1505" t="s">
        <v>17</v>
      </c>
      <c r="B278" s="1529"/>
      <c r="C278" s="1529"/>
      <c r="D278" s="1529"/>
      <c r="E278" s="1529"/>
      <c r="F278" s="1529"/>
      <c r="G278" s="1529"/>
      <c r="H278" s="1529"/>
      <c r="I278" s="1529"/>
      <c r="J278" s="1529"/>
      <c r="K278" s="1529"/>
      <c r="L278" s="169"/>
      <c r="M278" s="643"/>
    </row>
    <row r="279" spans="1:13" s="205" customFormat="1" ht="13.5" customHeight="1">
      <c r="A279" s="1505" t="s">
        <v>54</v>
      </c>
      <c r="B279" s="1529"/>
      <c r="C279" s="1529"/>
      <c r="D279" s="1529"/>
      <c r="E279" s="1529"/>
      <c r="F279" s="1529"/>
      <c r="G279" s="1529"/>
      <c r="H279" s="1529"/>
      <c r="I279" s="1529"/>
      <c r="J279" s="1529"/>
      <c r="K279" s="1529"/>
      <c r="L279" s="204"/>
      <c r="M279" s="643"/>
    </row>
    <row r="280" spans="1:13" s="490" customFormat="1" ht="13.5" customHeight="1">
      <c r="A280" s="1505" t="s">
        <v>233</v>
      </c>
      <c r="B280" s="1541"/>
      <c r="C280" s="1541"/>
      <c r="D280" s="1541"/>
      <c r="E280" s="1541"/>
      <c r="F280" s="1541"/>
      <c r="G280" s="1542"/>
      <c r="H280" s="1542"/>
      <c r="I280" s="1542"/>
      <c r="J280" s="1542"/>
      <c r="K280" s="1542"/>
      <c r="L280" s="652"/>
      <c r="M280" s="643"/>
    </row>
    <row r="281" spans="1:13" s="490" customFormat="1">
      <c r="A281" s="638"/>
      <c r="B281" s="651"/>
      <c r="C281" s="651"/>
      <c r="D281" s="651"/>
      <c r="E281" s="651"/>
      <c r="F281" s="651"/>
      <c r="G281" s="653"/>
      <c r="H281" s="653"/>
      <c r="I281" s="653"/>
      <c r="J281" s="653"/>
      <c r="K281" s="534" t="s">
        <v>1927</v>
      </c>
      <c r="L281" s="652"/>
      <c r="M281" s="643"/>
    </row>
    <row r="282" spans="1:13" s="490" customFormat="1" ht="15.75">
      <c r="A282" s="1504" t="s">
        <v>367</v>
      </c>
      <c r="B282" s="1504"/>
      <c r="C282" s="1504"/>
      <c r="D282" s="1504"/>
      <c r="E282" s="1504"/>
      <c r="F282" s="1504"/>
      <c r="G282" s="1504"/>
      <c r="H282" s="1504"/>
      <c r="I282" s="1504"/>
      <c r="J282" s="1504"/>
      <c r="K282" s="1504"/>
      <c r="L282" s="649"/>
      <c r="M282" s="643"/>
    </row>
    <row r="283" spans="1:13" s="490" customFormat="1" ht="18.75">
      <c r="A283" s="1504" t="s">
        <v>18</v>
      </c>
      <c r="B283" s="1504"/>
      <c r="C283" s="1504"/>
      <c r="D283" s="1504"/>
      <c r="E283" s="1504"/>
      <c r="F283" s="1504"/>
      <c r="G283" s="1504"/>
      <c r="H283" s="1504"/>
      <c r="I283" s="1504"/>
      <c r="J283" s="1504"/>
      <c r="K283" s="1504"/>
      <c r="L283" s="165"/>
      <c r="M283" s="643"/>
    </row>
    <row r="284" spans="1:13" s="490" customFormat="1" ht="15.75">
      <c r="A284" s="1504" t="s">
        <v>444</v>
      </c>
      <c r="B284" s="1504"/>
      <c r="C284" s="1504"/>
      <c r="D284" s="1504"/>
      <c r="E284" s="1504"/>
      <c r="F284" s="1504"/>
      <c r="G284" s="1504"/>
      <c r="H284" s="1504"/>
      <c r="I284" s="1504"/>
      <c r="J284" s="1504"/>
      <c r="K284" s="1504"/>
      <c r="L284" s="165"/>
      <c r="M284" s="654"/>
    </row>
    <row r="285" spans="1:13" s="490" customFormat="1" ht="9" customHeight="1">
      <c r="A285" s="91"/>
      <c r="B285" s="91"/>
      <c r="C285" s="91"/>
      <c r="D285" s="91"/>
      <c r="E285" s="91"/>
      <c r="F285" s="91"/>
      <c r="G285" s="108"/>
      <c r="H285" s="91"/>
      <c r="I285" s="91"/>
      <c r="J285" s="91"/>
      <c r="K285" s="91"/>
      <c r="L285" s="165"/>
      <c r="M285" s="643"/>
    </row>
    <row r="286" spans="1:13" s="490" customFormat="1" ht="16.5" customHeight="1">
      <c r="A286" s="60"/>
      <c r="B286" s="1543" t="s">
        <v>55</v>
      </c>
      <c r="C286" s="1544"/>
      <c r="D286" s="1544"/>
      <c r="E286" s="1544"/>
      <c r="F286" s="1544"/>
      <c r="G286" s="57" t="s">
        <v>119</v>
      </c>
      <c r="H286" s="58"/>
      <c r="I286" s="58"/>
      <c r="J286" s="58"/>
      <c r="K286" s="58"/>
      <c r="L286" s="173"/>
      <c r="M286" s="643"/>
    </row>
    <row r="287" spans="1:13" s="378" customFormat="1" ht="45">
      <c r="A287" s="644"/>
      <c r="B287" s="51" t="s">
        <v>87</v>
      </c>
      <c r="C287" s="52" t="s">
        <v>89</v>
      </c>
      <c r="D287" s="52" t="s">
        <v>88</v>
      </c>
      <c r="E287" s="52" t="s">
        <v>306</v>
      </c>
      <c r="F287" s="52" t="s">
        <v>97</v>
      </c>
      <c r="G287" s="53" t="s">
        <v>87</v>
      </c>
      <c r="H287" s="52" t="s">
        <v>89</v>
      </c>
      <c r="I287" s="52" t="s">
        <v>88</v>
      </c>
      <c r="J287" s="52" t="s">
        <v>306</v>
      </c>
      <c r="K287" s="52" t="s">
        <v>97</v>
      </c>
      <c r="L287" s="646"/>
      <c r="M287" s="643" t="s">
        <v>260</v>
      </c>
    </row>
    <row r="288" spans="1:13" s="490" customFormat="1" ht="14.25">
      <c r="A288" s="406" t="s">
        <v>56</v>
      </c>
      <c r="B288" s="552">
        <f>IF($M288&gt;0,('Amounts Pivot Table'!K$630/$M288),0)</f>
        <v>2561.6550597810051</v>
      </c>
      <c r="C288" s="552">
        <f>IF($M288&gt;0,('Amounts Pivot Table'!K$633/$M288),0)</f>
        <v>87.715931345504629</v>
      </c>
      <c r="D288" s="552">
        <f>IF($M288&gt;0,('Amounts Pivot Table'!K$636/$M288),0)</f>
        <v>1841.4165191515838</v>
      </c>
      <c r="E288" s="552">
        <f>IF($M288&gt;0,('Amounts Pivot Table'!K$639/$M288),0)</f>
        <v>2862.8794047433435</v>
      </c>
      <c r="F288" s="552">
        <f>SUM(B288:E288)</f>
        <v>7353.6669150214366</v>
      </c>
      <c r="G288" s="553"/>
      <c r="H288" s="554"/>
      <c r="I288" s="554"/>
      <c r="J288" s="554"/>
      <c r="K288" s="554"/>
      <c r="L288" s="648"/>
      <c r="M288" s="825">
        <f>+'[1]NEW-Tables 80-86'!AL161</f>
        <v>767126.20111111109</v>
      </c>
    </row>
    <row r="289" spans="1:13" s="112" customFormat="1" ht="12.75" customHeight="1">
      <c r="A289" s="110"/>
      <c r="B289" s="111"/>
      <c r="C289" s="111"/>
      <c r="D289" s="111"/>
      <c r="E289" s="111"/>
      <c r="F289" s="111"/>
      <c r="G289" s="119"/>
      <c r="H289" s="120"/>
      <c r="I289" s="120"/>
      <c r="J289" s="120"/>
      <c r="K289" s="120"/>
      <c r="L289" s="175"/>
      <c r="M289" s="825"/>
    </row>
    <row r="290" spans="1:13" s="490" customFormat="1" ht="12.75" customHeight="1">
      <c r="A290" s="406" t="s">
        <v>320</v>
      </c>
      <c r="B290" s="555">
        <f>IF($M290&gt;0,('Amounts Pivot Table'!K$6/$M290),0)</f>
        <v>3453.5840947668753</v>
      </c>
      <c r="C290" s="555">
        <f>IF($M290&gt;0,('Amounts Pivot Table'!K$9/$M290),0)</f>
        <v>167.59829155982521</v>
      </c>
      <c r="D290" s="555">
        <f>IF($M290&gt;0,('Amounts Pivot Table'!K$12/$M290),0)</f>
        <v>41.229549640651527</v>
      </c>
      <c r="E290" s="555">
        <f>IF($M290&gt;0,('Amounts Pivot Table'!K$15/$M290),0)</f>
        <v>3814.3091480371268</v>
      </c>
      <c r="F290" s="555">
        <f t="shared" ref="F290:F308" si="29">SUM(B290:E290)</f>
        <v>7476.7210840044791</v>
      </c>
      <c r="G290" s="556">
        <f>IF(B290&gt;0,RANK(B290,$B$290:$B$308),)</f>
        <v>3</v>
      </c>
      <c r="H290" s="557">
        <f>IF(C290&gt;0,RANK(C290,$C$290:$C$308),)</f>
        <v>3</v>
      </c>
      <c r="I290" s="557">
        <f>IF(D290&gt;0,RANK(D290,$D$290:$D$308),)</f>
        <v>8</v>
      </c>
      <c r="J290" s="557">
        <f>IF(E290&gt;0,RANK(E290,$E$290:$E$308),)</f>
        <v>8</v>
      </c>
      <c r="K290" s="557">
        <f>IF(F290&gt;0,RANK(F290,$F$290:$F$308),)</f>
        <v>6</v>
      </c>
      <c r="L290" s="648"/>
      <c r="M290" s="825">
        <f>+'[1]NEW-Tables 80-86'!AL163</f>
        <v>18459.333333333332</v>
      </c>
    </row>
    <row r="291" spans="1:13" s="490" customFormat="1" ht="12.75" customHeight="1">
      <c r="A291" s="406" t="s">
        <v>334</v>
      </c>
      <c r="B291" s="555">
        <f>IF($M291&gt;0,('Amounts Pivot Table'!K$45/$M291),0)</f>
        <v>2159.0593011029996</v>
      </c>
      <c r="C291" s="555">
        <f>IF($M291&gt;0,('Amounts Pivot Table'!K$48/$M291),0)</f>
        <v>0</v>
      </c>
      <c r="D291" s="555">
        <f>IF($M291&gt;0,('Amounts Pivot Table'!K$51/$M291),0)</f>
        <v>442.80374642913824</v>
      </c>
      <c r="E291" s="555">
        <f>IF($M291&gt;0,('Amounts Pivot Table'!K$54/$M291),0)</f>
        <v>3942.850936359308</v>
      </c>
      <c r="F291" s="555">
        <f t="shared" si="29"/>
        <v>6544.7139838914463</v>
      </c>
      <c r="G291" s="556">
        <f>IF(B291&gt;0,RANK(B291,$B$290:$B$308),)</f>
        <v>11</v>
      </c>
      <c r="H291" s="557">
        <f>IF(C291&gt;0,RANK(C291,$C$290:$C$308),)</f>
        <v>0</v>
      </c>
      <c r="I291" s="557">
        <f>IF(D291&gt;0,RANK(D291,$D$290:$D$308),)</f>
        <v>7</v>
      </c>
      <c r="J291" s="557">
        <f>IF(E291&gt;0,RANK(E291,$E$290:$E$308),)</f>
        <v>6</v>
      </c>
      <c r="K291" s="557">
        <f>IF(F291&gt;0,RANK(F291,$F$290:$F$308),)</f>
        <v>11</v>
      </c>
      <c r="L291" s="648"/>
      <c r="M291" s="825">
        <f>+'[1]NEW-Tables 80-86'!AL164</f>
        <v>13442.133333333333</v>
      </c>
    </row>
    <row r="292" spans="1:13" s="490" customFormat="1" ht="12.75" customHeight="1">
      <c r="A292" s="406" t="s">
        <v>321</v>
      </c>
      <c r="B292" s="555">
        <f>IF($M292&gt;0,('Amounts Pivot Table'!K$84/$M292),0)</f>
        <v>6188.6467274678107</v>
      </c>
      <c r="C292" s="555">
        <f>IF($M292&gt;0,('Amounts Pivot Table'!K$87/$M292),0)</f>
        <v>0</v>
      </c>
      <c r="D292" s="555">
        <f>IF($M292&gt;0,('Amounts Pivot Table'!K$90/$M292),0)</f>
        <v>0</v>
      </c>
      <c r="E292" s="555">
        <f>IF($M292&gt;0,('Amounts Pivot Table'!K$93/$M292),0)</f>
        <v>4755.619635193133</v>
      </c>
      <c r="F292" s="555">
        <f t="shared" si="29"/>
        <v>10944.266362660943</v>
      </c>
      <c r="G292" s="556">
        <f>IF(B292&gt;0,RANK(B292,$B$290:$B$308),)</f>
        <v>1</v>
      </c>
      <c r="H292" s="557">
        <f>IF(C292&gt;0,RANK(C292,$C$290:$C$308),)</f>
        <v>0</v>
      </c>
      <c r="I292" s="557">
        <f>IF(D292&gt;0,RANK(D292,$D$290:$D$308),)</f>
        <v>0</v>
      </c>
      <c r="J292" s="557">
        <f>IF(E292&gt;0,RANK(E292,$E$290:$E$308),)</f>
        <v>3</v>
      </c>
      <c r="K292" s="557">
        <f>IF(F292&gt;0,RANK(F292,$F$290:$F$308),)</f>
        <v>1</v>
      </c>
      <c r="L292" s="648"/>
      <c r="M292" s="825">
        <f>+'[1]NEW-Tables 80-86'!AL165</f>
        <v>4970.666666666667</v>
      </c>
    </row>
    <row r="293" spans="1:13" s="490" customFormat="1" ht="12.75" customHeight="1">
      <c r="A293" s="406" t="s">
        <v>328</v>
      </c>
      <c r="B293" s="555">
        <f>IF($M293&gt;0,('Amounts Pivot Table'!K$123/$M293),0)</f>
        <v>2806.1234384924674</v>
      </c>
      <c r="C293" s="555">
        <f>IF($M293&gt;0,('Amounts Pivot Table'!K$126/$M293),0)</f>
        <v>0</v>
      </c>
      <c r="D293" s="555">
        <f>IF($M293&gt;0,('Amounts Pivot Table'!K$129/$M293),0)</f>
        <v>0</v>
      </c>
      <c r="E293" s="555">
        <f>IF($M293&gt;0,('Amounts Pivot Table'!K$132/$M293),0)</f>
        <v>2519.6450194997806</v>
      </c>
      <c r="F293" s="555">
        <f t="shared" si="29"/>
        <v>5325.7684579922479</v>
      </c>
      <c r="G293" s="556">
        <f>IF(B293&gt;0,RANK(B293,$B$290:$B$308),)</f>
        <v>8</v>
      </c>
      <c r="H293" s="557">
        <f>IF(C293&gt;0,RANK(C293,$C$290:$C$308),)</f>
        <v>0</v>
      </c>
      <c r="I293" s="557">
        <f>IF(D293&gt;0,RANK(D293,$D$290:$D$308),)</f>
        <v>0</v>
      </c>
      <c r="J293" s="557">
        <f>IF(E293&gt;0,RANK(E293,$E$290:$E$308),)</f>
        <v>12</v>
      </c>
      <c r="K293" s="557">
        <f>IF(F293&gt;0,RANK(F293,$F$290:$F$308),)</f>
        <v>14</v>
      </c>
      <c r="L293" s="648"/>
      <c r="M293" s="825">
        <f>+'[1]NEW-Tables 80-86'!AL166</f>
        <v>85130.873333333322</v>
      </c>
    </row>
    <row r="294" spans="1:13" s="490" customFormat="1" ht="12.75" customHeight="1">
      <c r="A294" s="406"/>
      <c r="B294" s="555"/>
      <c r="C294" s="555"/>
      <c r="D294" s="555"/>
      <c r="E294" s="555"/>
      <c r="F294" s="555"/>
      <c r="G294" s="556"/>
      <c r="H294" s="557"/>
      <c r="I294" s="557"/>
      <c r="J294" s="557"/>
      <c r="K294" s="557"/>
      <c r="L294" s="648"/>
      <c r="M294" s="825"/>
    </row>
    <row r="295" spans="1:13" s="490" customFormat="1" ht="12.75" customHeight="1">
      <c r="A295" s="406" t="s">
        <v>329</v>
      </c>
      <c r="B295" s="555">
        <f>IF($M295&gt;0,('Amounts Pivot Table'!K$162/$M295),0)</f>
        <v>3618.7247297509339</v>
      </c>
      <c r="C295" s="555">
        <f>IF($M295&gt;0,('Amounts Pivot Table'!K$165/$M295),0)</f>
        <v>0</v>
      </c>
      <c r="D295" s="555">
        <f>IF($M295&gt;0,('Amounts Pivot Table'!K$168/$M295),0)</f>
        <v>0</v>
      </c>
      <c r="E295" s="555">
        <f>IF($M295&gt;0,('Amounts Pivot Table'!K$171/$M295),0)</f>
        <v>3652.1918270066708</v>
      </c>
      <c r="F295" s="555">
        <f t="shared" si="29"/>
        <v>7270.9165567576047</v>
      </c>
      <c r="G295" s="556">
        <f>IF(B295&gt;0,RANK(B295,$B$290:$B$308),)</f>
        <v>2</v>
      </c>
      <c r="H295" s="557">
        <f>IF(C295&gt;0,RANK(C295,$C$290:$C$308),)</f>
        <v>0</v>
      </c>
      <c r="I295" s="557">
        <f>IF(D295&gt;0,RANK(D295,$D$290:$D$308),)</f>
        <v>0</v>
      </c>
      <c r="J295" s="557">
        <f>IF(E295&gt;0,RANK(E295,$E$290:$E$308),)</f>
        <v>9</v>
      </c>
      <c r="K295" s="557">
        <f>IF(F295&gt;0,RANK(F295,$F$290:$F$308),)</f>
        <v>8</v>
      </c>
      <c r="L295" s="648"/>
      <c r="M295" s="825">
        <f>+'[1]NEW-Tables 80-86'!AL168</f>
        <v>15720.066666666668</v>
      </c>
    </row>
    <row r="296" spans="1:13" s="490" customFormat="1" ht="12.75" customHeight="1">
      <c r="A296" s="406" t="s">
        <v>322</v>
      </c>
      <c r="B296" s="555">
        <f>IF($M296&gt;0,('Amounts Pivot Table'!K$201/$M296),0)</f>
        <v>1761.5566855452407</v>
      </c>
      <c r="C296" s="555">
        <f>IF($M296&gt;0,('Amounts Pivot Table'!K$204/$M296),0)</f>
        <v>0</v>
      </c>
      <c r="D296" s="555">
        <f>IF($M296&gt;0,('Amounts Pivot Table'!K$207/$M296),0)</f>
        <v>0</v>
      </c>
      <c r="E296" s="555">
        <f>IF($M296&gt;0,('Amounts Pivot Table'!K$210/$M296),0)</f>
        <v>4391.2016148691127</v>
      </c>
      <c r="F296" s="555">
        <f t="shared" si="29"/>
        <v>6152.7583004143535</v>
      </c>
      <c r="G296" s="556">
        <f>IF(B296&gt;0,RANK(B296,$B$290:$B$308),)</f>
        <v>13</v>
      </c>
      <c r="H296" s="557">
        <f>IF(C296&gt;0,RANK(C296,$C$290:$C$308),)</f>
        <v>0</v>
      </c>
      <c r="I296" s="557">
        <f>IF(D296&gt;0,RANK(D296,$D$290:$D$308),)</f>
        <v>0</v>
      </c>
      <c r="J296" s="557">
        <f>IF(E296&gt;0,RANK(E296,$E$290:$E$308),)</f>
        <v>5</v>
      </c>
      <c r="K296" s="557">
        <f>IF(F296&gt;0,RANK(F296,$F$290:$F$308),)</f>
        <v>12</v>
      </c>
      <c r="L296" s="648"/>
      <c r="M296" s="825">
        <f>+'[1]NEW-Tables 80-86'!AL169</f>
        <v>15588.466666666667</v>
      </c>
    </row>
    <row r="297" spans="1:13" s="490" customFormat="1" ht="12.75" customHeight="1">
      <c r="A297" s="406" t="s">
        <v>330</v>
      </c>
      <c r="B297" s="555">
        <f>IF($M297&gt;0,('Amounts Pivot Table'!K$240/$M297),0)</f>
        <v>1983.4699919272662</v>
      </c>
      <c r="C297" s="555">
        <f>IF($M297&gt;0,('Amounts Pivot Table'!K$243/$M297),0)</f>
        <v>0</v>
      </c>
      <c r="D297" s="555">
        <f>IF($M297&gt;0,('Amounts Pivot Table'!K$246/$M297),0)</f>
        <v>0</v>
      </c>
      <c r="E297" s="555">
        <f>IF($M297&gt;0,('Amounts Pivot Table'!K$249/$M297),0)</f>
        <v>3851.9154348027478</v>
      </c>
      <c r="F297" s="555">
        <f t="shared" si="29"/>
        <v>5835.3854267300139</v>
      </c>
      <c r="G297" s="556">
        <f>IF(B297&gt;0,RANK(B297,$B$290:$B$308),)</f>
        <v>12</v>
      </c>
      <c r="H297" s="557">
        <f>IF(C297&gt;0,RANK(C297,$C$290:$C$308),)</f>
        <v>0</v>
      </c>
      <c r="I297" s="557">
        <f>IF(D297&gt;0,RANK(D297,$D$290:$D$308),)</f>
        <v>0</v>
      </c>
      <c r="J297" s="557">
        <f>IF(E297&gt;0,RANK(E297,$E$290:$E$308),)</f>
        <v>7</v>
      </c>
      <c r="K297" s="557">
        <f>IF(F297&gt;0,RANK(F297,$F$290:$F$308),)</f>
        <v>13</v>
      </c>
      <c r="L297" s="648"/>
      <c r="M297" s="825">
        <f>+'[1]NEW-Tables 80-86'!AL170</f>
        <v>25187.666666666664</v>
      </c>
    </row>
    <row r="298" spans="1:13" s="490" customFormat="1" ht="12.75" customHeight="1">
      <c r="A298" s="406" t="s">
        <v>333</v>
      </c>
      <c r="B298" s="555">
        <f>IF($M298&gt;0,('Amounts Pivot Table'!K$279/$M298),0)</f>
        <v>2288.7271170131489</v>
      </c>
      <c r="C298" s="555">
        <f>IF($M298&gt;0,('Amounts Pivot Table'!K$282/$M298),0)</f>
        <v>0</v>
      </c>
      <c r="D298" s="555">
        <f>IF($M298&gt;0,('Amounts Pivot Table'!K$285/$M298),0)</f>
        <v>3716.282107674469</v>
      </c>
      <c r="E298" s="555">
        <f>IF($M298&gt;0,('Amounts Pivot Table'!K$288/$M298),0)</f>
        <v>4831.9166063458415</v>
      </c>
      <c r="F298" s="555">
        <f t="shared" si="29"/>
        <v>10836.925831033459</v>
      </c>
      <c r="G298" s="556">
        <f>IF(B298&gt;0,RANK(B298,$B$290:$B$308),)</f>
        <v>9</v>
      </c>
      <c r="H298" s="557">
        <f>IF(C298&gt;0,RANK(C298,$C$290:$C$308),)</f>
        <v>0</v>
      </c>
      <c r="I298" s="557">
        <f>IF(D298&gt;0,RANK(D298,$D$290:$D$308),)</f>
        <v>1</v>
      </c>
      <c r="J298" s="557">
        <f>IF(E298&gt;0,RANK(E298,$E$290:$E$308),)</f>
        <v>2</v>
      </c>
      <c r="K298" s="557">
        <f>IF(F298&gt;0,RANK(F298,$F$290:$F$308),)</f>
        <v>2</v>
      </c>
      <c r="L298" s="648"/>
      <c r="M298" s="825">
        <f>+'[1]NEW-Tables 80-86'!AL171</f>
        <v>67256.116666666669</v>
      </c>
    </row>
    <row r="299" spans="1:13" s="490" customFormat="1" ht="12.75" customHeight="1">
      <c r="A299" s="406"/>
      <c r="B299" s="555"/>
      <c r="C299" s="555"/>
      <c r="D299" s="555"/>
      <c r="E299" s="555"/>
      <c r="F299" s="555"/>
      <c r="G299" s="556"/>
      <c r="H299" s="557"/>
      <c r="I299" s="557"/>
      <c r="J299" s="557"/>
      <c r="K299" s="557"/>
      <c r="L299" s="648"/>
      <c r="M299" s="825"/>
    </row>
    <row r="300" spans="1:13" s="490" customFormat="1" ht="12.75" customHeight="1">
      <c r="A300" s="406" t="s">
        <v>323</v>
      </c>
      <c r="B300" s="555">
        <f>IF($M300&gt;0,('Amounts Pivot Table'!K$318/$M300),0)</f>
        <v>3426.357764296677</v>
      </c>
      <c r="C300" s="555">
        <f>IF($M300&gt;0,('Amounts Pivot Table'!K$321/$M300),0)</f>
        <v>387.52128926648084</v>
      </c>
      <c r="D300" s="555">
        <f>IF($M300&gt;0,('Amounts Pivot Table'!K$324/$M300),0)</f>
        <v>1032.2314917403032</v>
      </c>
      <c r="E300" s="555">
        <f>IF($M300&gt;0,('Amounts Pivot Table'!K$327/$M300),0)</f>
        <v>2940.1639792758347</v>
      </c>
      <c r="F300" s="555">
        <f t="shared" si="29"/>
        <v>7786.2745245792958</v>
      </c>
      <c r="G300" s="556">
        <f>IF(B300&gt;0,RANK(B300,$B$290:$B$308),)</f>
        <v>4</v>
      </c>
      <c r="H300" s="557">
        <f>IF(C300&gt;0,RANK(C300,$C$290:$C$308),)</f>
        <v>2</v>
      </c>
      <c r="I300" s="557">
        <f>IF(D300&gt;0,RANK(D300,$D$290:$D$308),)</f>
        <v>5</v>
      </c>
      <c r="J300" s="557">
        <f>IF(E300&gt;0,RANK(E300,$E$290:$E$308),)</f>
        <v>11</v>
      </c>
      <c r="K300" s="557">
        <f>IF(F300&gt;0,RANK(F300,$F$290:$F$308),)</f>
        <v>5</v>
      </c>
      <c r="L300" s="648"/>
      <c r="M300" s="825">
        <f>+'[1]NEW-Tables 80-86'!AL173</f>
        <v>29363.466666666667</v>
      </c>
    </row>
    <row r="301" spans="1:13" s="490" customFormat="1" ht="12.75" customHeight="1">
      <c r="A301" s="406" t="s">
        <v>324</v>
      </c>
      <c r="B301" s="555">
        <f>IF($M301&gt;0,('Amounts Pivot Table'!K$357/$M301),0)</f>
        <v>3240.7057314678455</v>
      </c>
      <c r="C301" s="555">
        <f>IF($M301&gt;0,('Amounts Pivot Table'!K$360/$M301),0)</f>
        <v>490.63344347073064</v>
      </c>
      <c r="D301" s="555">
        <f>IF($M301&gt;0,('Amounts Pivot Table'!K$363/$M301),0)</f>
        <v>1140.4031364632153</v>
      </c>
      <c r="E301" s="555">
        <f>IF($M301&gt;0,('Amounts Pivot Table'!K$366/$M301),0)</f>
        <v>1713.4801545929911</v>
      </c>
      <c r="F301" s="555">
        <f t="shared" si="29"/>
        <v>6585.2224659947824</v>
      </c>
      <c r="G301" s="556">
        <f>IF(B301&gt;0,RANK(B301,$B$290:$B$308),)</f>
        <v>7</v>
      </c>
      <c r="H301" s="557">
        <f>IF(C301&gt;0,RANK(C301,$C$290:$C$308),)</f>
        <v>1</v>
      </c>
      <c r="I301" s="557">
        <f>IF(D301&gt;0,RANK(D301,$D$290:$D$308),)</f>
        <v>4</v>
      </c>
      <c r="J301" s="557">
        <f>IF(E301&gt;0,RANK(E301,$E$290:$E$308),)</f>
        <v>14</v>
      </c>
      <c r="K301" s="557">
        <f>IF(F301&gt;0,RANK(F301,$F$290:$F$308),)</f>
        <v>10</v>
      </c>
      <c r="L301" s="648"/>
      <c r="M301" s="825">
        <f>+'[1]NEW-Tables 80-86'!AL174</f>
        <v>91761.814444444433</v>
      </c>
    </row>
    <row r="302" spans="1:13" s="490" customFormat="1" ht="12.75" customHeight="1">
      <c r="A302" s="406" t="s">
        <v>331</v>
      </c>
      <c r="B302" s="555">
        <f>IF($M302&gt;0,('Amounts Pivot Table'!K$396/$M302),0)</f>
        <v>3312.0291234755391</v>
      </c>
      <c r="C302" s="555">
        <f>IF($M302&gt;0,('Amounts Pivot Table'!K$399/$M302),0)</f>
        <v>0</v>
      </c>
      <c r="D302" s="555">
        <f>IF($M302&gt;0,('Amounts Pivot Table'!K$402/$M302),0)</f>
        <v>1851.996962663535</v>
      </c>
      <c r="E302" s="555">
        <f>IF($M302&gt;0,('Amounts Pivot Table'!K$405/$M302),0)</f>
        <v>3028.5573313808231</v>
      </c>
      <c r="F302" s="555">
        <f t="shared" si="29"/>
        <v>8192.5834175198979</v>
      </c>
      <c r="G302" s="556">
        <f>IF(B302&gt;0,RANK(B302,$B$290:$B$308),)</f>
        <v>6</v>
      </c>
      <c r="H302" s="557">
        <f>IF(C302&gt;0,RANK(C302,$C$290:$C$308),)</f>
        <v>0</v>
      </c>
      <c r="I302" s="557">
        <f>IF(D302&gt;0,RANK(D302,$D$290:$D$308),)</f>
        <v>3</v>
      </c>
      <c r="J302" s="557">
        <f>IF(E302&gt;0,RANK(E302,$E$290:$E$308),)</f>
        <v>10</v>
      </c>
      <c r="K302" s="557">
        <f>IF(F302&gt;0,RANK(F302,$F$290:$F$308),)</f>
        <v>3</v>
      </c>
      <c r="L302" s="648"/>
      <c r="M302" s="825">
        <f>+'[1]NEW-Tables 80-86'!AL175</f>
        <v>25175.566666666666</v>
      </c>
    </row>
    <row r="303" spans="1:13" s="490" customFormat="1" ht="12.75" customHeight="1">
      <c r="A303" s="406" t="s">
        <v>325</v>
      </c>
      <c r="B303" s="555">
        <f>IF($M303&gt;0,('Amounts Pivot Table'!K$435/$M303),0)</f>
        <v>1259.5770205089805</v>
      </c>
      <c r="C303" s="555">
        <f>IF($M303&gt;0,('Amounts Pivot Table'!K$438/$M303),0)</f>
        <v>142.13068154191748</v>
      </c>
      <c r="D303" s="555">
        <f>IF($M303&gt;0,('Amounts Pivot Table'!K$441/$M303),0)</f>
        <v>784.56113309929685</v>
      </c>
      <c r="E303" s="555">
        <f>IF($M303&gt;0,('Amounts Pivot Table'!K$444/$M303),0)</f>
        <v>4849.0687753444899</v>
      </c>
      <c r="F303" s="555">
        <f t="shared" si="29"/>
        <v>7035.3376104946847</v>
      </c>
      <c r="G303" s="556">
        <f>IF(B303&gt;0,RANK(B303,$B$290:$B$308),)</f>
        <v>14</v>
      </c>
      <c r="H303" s="557">
        <f>IF(C303&gt;0,RANK(C303,$C$290:$C$308),)</f>
        <v>4</v>
      </c>
      <c r="I303" s="557">
        <f>IF(D303&gt;0,RANK(D303,$D$290:$D$308),)</f>
        <v>6</v>
      </c>
      <c r="J303" s="557">
        <f>IF(E303&gt;0,RANK(E303,$E$290:$E$308),)</f>
        <v>1</v>
      </c>
      <c r="K303" s="557">
        <f>IF(F303&gt;0,RANK(F303,$F$290:$F$308),)</f>
        <v>9</v>
      </c>
      <c r="L303" s="648"/>
      <c r="M303" s="825">
        <f>+'[1]NEW-Tables 80-86'!AL176</f>
        <v>54844.26666666667</v>
      </c>
    </row>
    <row r="304" spans="1:13" s="490" customFormat="1" ht="12.75" customHeight="1">
      <c r="A304" s="406"/>
      <c r="B304" s="555"/>
      <c r="C304" s="555"/>
      <c r="D304" s="555"/>
      <c r="E304" s="555"/>
      <c r="F304" s="555"/>
      <c r="G304" s="556"/>
      <c r="H304" s="557"/>
      <c r="I304" s="557"/>
      <c r="J304" s="557"/>
      <c r="K304" s="557"/>
      <c r="L304" s="648"/>
      <c r="M304" s="825"/>
    </row>
    <row r="305" spans="1:13" s="490" customFormat="1" ht="12.75" customHeight="1">
      <c r="A305" s="406" t="s">
        <v>90</v>
      </c>
      <c r="B305" s="555">
        <f>IF($M305&gt;0,('Amounts Pivot Table'!K$474/$M305),0)</f>
        <v>3329.3138362536388</v>
      </c>
      <c r="C305" s="555">
        <f>IF($M305&gt;0,('Amounts Pivot Table'!K$477/$M305),0)</f>
        <v>0</v>
      </c>
      <c r="D305" s="555">
        <f>IF($M305&gt;0,('Amounts Pivot Table'!K$480/$M305),0)</f>
        <v>0</v>
      </c>
      <c r="E305" s="555">
        <f>IF($M305&gt;0,('Amounts Pivot Table'!K$483/$M305),0)</f>
        <v>4493.2224411175894</v>
      </c>
      <c r="F305" s="555">
        <f t="shared" si="29"/>
        <v>7822.5362773712277</v>
      </c>
      <c r="G305" s="556">
        <f>IF(B305&gt;0,RANK(B305,$B$290:$B$308),)</f>
        <v>5</v>
      </c>
      <c r="H305" s="557">
        <f>IF(C305&gt;0,RANK(C305,$C$290:$C$308),)</f>
        <v>0</v>
      </c>
      <c r="I305" s="557">
        <f>IF(D305&gt;0,RANK(D305,$D$290:$D$308),)</f>
        <v>0</v>
      </c>
      <c r="J305" s="557">
        <f>IF(E305&gt;0,RANK(E305,$E$290:$E$308),)</f>
        <v>4</v>
      </c>
      <c r="K305" s="557">
        <f>IF(F305&gt;0,RANK(F305,$F$290:$F$308),)</f>
        <v>4</v>
      </c>
      <c r="L305" s="648"/>
      <c r="M305" s="825">
        <f>+'[1]NEW-Tables 80-86'!AL178</f>
        <v>33433.866666666669</v>
      </c>
    </row>
    <row r="306" spans="1:13" s="76" customFormat="1" ht="12.75" customHeight="1">
      <c r="A306" s="406" t="s">
        <v>177</v>
      </c>
      <c r="B306" s="555">
        <f>IF($M306&gt;0,('Amounts Pivot Table'!K$513/$M306),0)</f>
        <v>2275.8530369448254</v>
      </c>
      <c r="C306" s="555">
        <f>IF($M306&gt;0,('Amounts Pivot Table'!K$516/$M306),0)</f>
        <v>0</v>
      </c>
      <c r="D306" s="555">
        <f>IF($M306&gt;0,('Amounts Pivot Table'!K$519/$M306),0)</f>
        <v>3247.4200311261693</v>
      </c>
      <c r="E306" s="555">
        <f>IF($M306&gt;0,('Amounts Pivot Table'!K$522/$M306),0)</f>
        <v>1920.5551635239713</v>
      </c>
      <c r="F306" s="555">
        <f t="shared" si="29"/>
        <v>7443.8282315949655</v>
      </c>
      <c r="G306" s="556">
        <f>IF(B306&gt;0,RANK(B306,$B$290:$B$308),)</f>
        <v>10</v>
      </c>
      <c r="H306" s="557">
        <f>IF(C306&gt;0,RANK(C306,$C$290:$C$308),)</f>
        <v>0</v>
      </c>
      <c r="I306" s="557">
        <f>IF(D306&gt;0,RANK(D306,$D$290:$D$308),)</f>
        <v>2</v>
      </c>
      <c r="J306" s="557">
        <f>IF(E306&gt;0,RANK(E306,$E$290:$E$308),)</f>
        <v>13</v>
      </c>
      <c r="K306" s="557">
        <f>IF(F306&gt;0,RANK(F306,$F$290:$F$308),)</f>
        <v>7</v>
      </c>
      <c r="L306" s="169"/>
      <c r="M306" s="825">
        <f>+'[1]NEW-Tables 80-86'!AL179</f>
        <v>286791.89666666673</v>
      </c>
    </row>
    <row r="307" spans="1:13" s="490" customFormat="1" ht="12.75" customHeight="1">
      <c r="A307" s="406" t="s">
        <v>327</v>
      </c>
      <c r="B307" s="555">
        <f>IF($M307&gt;0,('Amounts Pivot Table'!K$552/$M307),0)</f>
        <v>0</v>
      </c>
      <c r="C307" s="555">
        <f>IF($M307&gt;0,('Amounts Pivot Table'!K$555/$M307),0)</f>
        <v>0</v>
      </c>
      <c r="D307" s="555">
        <f>IF($M307&gt;0,('Amounts Pivot Table'!K$558/$M307),0)</f>
        <v>0</v>
      </c>
      <c r="E307" s="555">
        <f>IF($M307&gt;0,('Amounts Pivot Table'!K$561/$M307),0)</f>
        <v>0</v>
      </c>
      <c r="F307" s="555">
        <f t="shared" si="29"/>
        <v>0</v>
      </c>
      <c r="G307" s="556">
        <f>IF(B307&gt;0,RANK(B307,$B$290:$B$308),)</f>
        <v>0</v>
      </c>
      <c r="H307" s="557">
        <f>IF(C307&gt;0,RANK(C307,$C$290:$C$308),)</f>
        <v>0</v>
      </c>
      <c r="I307" s="557">
        <f>IF(D307&gt;0,RANK(D307,$D$290:$D$308),)</f>
        <v>0</v>
      </c>
      <c r="J307" s="557">
        <f>IF(E307&gt;0,RANK(E307,$E$290:$E$308),)</f>
        <v>0</v>
      </c>
      <c r="K307" s="557">
        <f>IF(F307&gt;0,RANK(F307,$F$290:$F$308),)</f>
        <v>0</v>
      </c>
      <c r="L307" s="649"/>
      <c r="M307" s="825">
        <f>+'[1]NEW-Tables 80-86'!AL180</f>
        <v>0</v>
      </c>
    </row>
    <row r="308" spans="1:13" s="490" customFormat="1" ht="15.75" customHeight="1">
      <c r="A308" s="407" t="s">
        <v>332</v>
      </c>
      <c r="B308" s="561">
        <f>IF($M308&gt;0,('Amounts Pivot Table'!K$591/$M308),0)</f>
        <v>0</v>
      </c>
      <c r="C308" s="561">
        <f>IF($M308&gt;0,('Amounts Pivot Table'!K$594/$M308),0)</f>
        <v>0</v>
      </c>
      <c r="D308" s="561">
        <f>IF($M308&gt;0,('Amounts Pivot Table'!K$597/$M308),0)</f>
        <v>0</v>
      </c>
      <c r="E308" s="561">
        <f>IF($M308&gt;0,('Amounts Pivot Table'!K$600/$M308),0)</f>
        <v>0</v>
      </c>
      <c r="F308" s="562">
        <f t="shared" si="29"/>
        <v>0</v>
      </c>
      <c r="G308" s="563">
        <f>IF(B308&gt;0,RANK(B308,$B$290:$B$308),)</f>
        <v>0</v>
      </c>
      <c r="H308" s="564">
        <f>IF(C308&gt;0,RANK(C308,$C$290:$C$308),)</f>
        <v>0</v>
      </c>
      <c r="I308" s="564">
        <f>IF(D308&gt;0,RANK(D308,$D$290:$D$308),)</f>
        <v>0</v>
      </c>
      <c r="J308" s="564">
        <f>IF(E308&gt;0,RANK(E308,$E$290:$E$308),)</f>
        <v>0</v>
      </c>
      <c r="K308" s="564">
        <f>IF(F308&gt;0,RANK(F308,$F$290:$F$308),)</f>
        <v>0</v>
      </c>
      <c r="L308" s="652"/>
      <c r="M308" s="825">
        <f>+'[1]NEW-Tables 80-86'!AL181</f>
        <v>0</v>
      </c>
    </row>
    <row r="309" spans="1:13" s="76" customFormat="1" ht="19.5" customHeight="1">
      <c r="A309" s="1534" t="s">
        <v>1953</v>
      </c>
      <c r="B309" s="1534"/>
      <c r="C309" s="1534"/>
      <c r="D309" s="1534"/>
      <c r="E309" s="1534"/>
      <c r="F309" s="1534"/>
      <c r="G309" s="1534"/>
      <c r="H309" s="1534"/>
      <c r="I309" s="1534"/>
      <c r="J309" s="1534"/>
      <c r="K309" s="1534"/>
      <c r="L309" s="169"/>
      <c r="M309" s="657"/>
    </row>
    <row r="310" spans="1:13" s="76" customFormat="1" ht="34.5" customHeight="1">
      <c r="A310" s="1505" t="s">
        <v>17</v>
      </c>
      <c r="B310" s="1529"/>
      <c r="C310" s="1529"/>
      <c r="D310" s="1529"/>
      <c r="E310" s="1529"/>
      <c r="F310" s="1529"/>
      <c r="G310" s="1529"/>
      <c r="H310" s="1529"/>
      <c r="I310" s="1529"/>
      <c r="J310" s="1529"/>
      <c r="K310" s="1529"/>
      <c r="L310" s="169"/>
      <c r="M310" s="663"/>
    </row>
    <row r="311" spans="1:13" s="205" customFormat="1" ht="13.5" customHeight="1">
      <c r="A311" s="1505" t="s">
        <v>54</v>
      </c>
      <c r="B311" s="1529"/>
      <c r="C311" s="1529"/>
      <c r="D311" s="1529"/>
      <c r="E311" s="1529"/>
      <c r="F311" s="1529"/>
      <c r="G311" s="1529"/>
      <c r="H311" s="1529"/>
      <c r="I311" s="1529"/>
      <c r="J311" s="1529"/>
      <c r="K311" s="1529"/>
      <c r="L311" s="204"/>
      <c r="M311" s="663"/>
    </row>
    <row r="312" spans="1:13" s="490" customFormat="1" ht="13.5" customHeight="1">
      <c r="A312" s="1505" t="s">
        <v>233</v>
      </c>
      <c r="B312" s="1541"/>
      <c r="C312" s="1541"/>
      <c r="D312" s="1541"/>
      <c r="E312" s="1541"/>
      <c r="F312" s="1541"/>
      <c r="G312" s="1542"/>
      <c r="H312" s="1542"/>
      <c r="I312" s="1542"/>
      <c r="J312" s="1542"/>
      <c r="K312" s="1542"/>
      <c r="L312" s="652"/>
      <c r="M312" s="663"/>
    </row>
    <row r="313" spans="1:13" s="490" customFormat="1">
      <c r="A313" s="638"/>
      <c r="B313" s="651"/>
      <c r="C313" s="651"/>
      <c r="D313" s="651"/>
      <c r="E313" s="651"/>
      <c r="F313" s="651"/>
      <c r="G313" s="653"/>
      <c r="H313" s="653"/>
      <c r="I313" s="653"/>
      <c r="J313" s="653"/>
      <c r="K313" s="534" t="s">
        <v>1927</v>
      </c>
      <c r="L313" s="193"/>
      <c r="M313" s="643"/>
    </row>
    <row r="314" spans="1:13" s="490" customFormat="1" ht="15.75">
      <c r="A314" s="1504" t="s">
        <v>368</v>
      </c>
      <c r="B314" s="1504"/>
      <c r="C314" s="1504"/>
      <c r="D314" s="1504"/>
      <c r="E314" s="1504"/>
      <c r="F314" s="1504"/>
      <c r="G314" s="1504"/>
      <c r="H314" s="1504"/>
      <c r="I314" s="1504"/>
      <c r="J314" s="1504"/>
      <c r="K314" s="1504"/>
      <c r="L314" s="649"/>
      <c r="M314" s="643"/>
    </row>
    <row r="315" spans="1:13" s="490" customFormat="1" ht="18.75">
      <c r="A315" s="1504" t="s">
        <v>18</v>
      </c>
      <c r="B315" s="1504"/>
      <c r="C315" s="1504"/>
      <c r="D315" s="1504"/>
      <c r="E315" s="1504"/>
      <c r="F315" s="1504"/>
      <c r="G315" s="1504"/>
      <c r="H315" s="1504"/>
      <c r="I315" s="1504"/>
      <c r="J315" s="1504"/>
      <c r="K315" s="1504"/>
      <c r="L315" s="165"/>
      <c r="M315" s="643"/>
    </row>
    <row r="316" spans="1:13" s="490" customFormat="1" ht="15.75">
      <c r="A316" s="1504" t="s">
        <v>1945</v>
      </c>
      <c r="B316" s="1504"/>
      <c r="C316" s="1504"/>
      <c r="D316" s="1504"/>
      <c r="E316" s="1504"/>
      <c r="F316" s="1504"/>
      <c r="G316" s="1504"/>
      <c r="H316" s="1504"/>
      <c r="I316" s="1504"/>
      <c r="J316" s="1504"/>
      <c r="K316" s="1504"/>
      <c r="L316" s="165"/>
      <c r="M316" s="654"/>
    </row>
    <row r="317" spans="1:13" s="490" customFormat="1" ht="9" customHeight="1">
      <c r="A317" s="91"/>
      <c r="B317" s="91"/>
      <c r="C317" s="91"/>
      <c r="D317" s="91"/>
      <c r="E317" s="91"/>
      <c r="F317" s="91"/>
      <c r="G317" s="108"/>
      <c r="H317" s="91"/>
      <c r="I317" s="91"/>
      <c r="J317" s="91"/>
      <c r="K317" s="91"/>
      <c r="L317" s="165"/>
      <c r="M317" s="654"/>
    </row>
    <row r="318" spans="1:13" s="490" customFormat="1" ht="14.25" customHeight="1">
      <c r="A318" s="60"/>
      <c r="B318" s="1543" t="s">
        <v>55</v>
      </c>
      <c r="C318" s="1544"/>
      <c r="D318" s="1544"/>
      <c r="E318" s="1544"/>
      <c r="F318" s="1544"/>
      <c r="G318" s="57" t="s">
        <v>119</v>
      </c>
      <c r="H318" s="58"/>
      <c r="I318" s="58"/>
      <c r="J318" s="58"/>
      <c r="K318" s="58"/>
      <c r="L318" s="173"/>
      <c r="M318" s="643"/>
    </row>
    <row r="319" spans="1:13" s="665" customFormat="1" ht="48" customHeight="1">
      <c r="A319" s="644"/>
      <c r="B319" s="51" t="s">
        <v>87</v>
      </c>
      <c r="C319" s="52" t="s">
        <v>89</v>
      </c>
      <c r="D319" s="52" t="s">
        <v>88</v>
      </c>
      <c r="E319" s="52" t="s">
        <v>306</v>
      </c>
      <c r="F319" s="52" t="s">
        <v>97</v>
      </c>
      <c r="G319" s="53" t="s">
        <v>87</v>
      </c>
      <c r="H319" s="52" t="s">
        <v>89</v>
      </c>
      <c r="I319" s="52" t="s">
        <v>88</v>
      </c>
      <c r="J319" s="52" t="s">
        <v>306</v>
      </c>
      <c r="K319" s="52" t="s">
        <v>97</v>
      </c>
      <c r="L319" s="664"/>
      <c r="M319" s="655" t="s">
        <v>260</v>
      </c>
    </row>
    <row r="320" spans="1:13" s="490" customFormat="1" ht="14.25">
      <c r="A320" s="406" t="s">
        <v>56</v>
      </c>
      <c r="B320" s="552">
        <f>IF($M320&gt;0,('Amounts Pivot Table'!L$630/$M320),0)</f>
        <v>3658.8634815956684</v>
      </c>
      <c r="C320" s="552">
        <f>IF($M320&gt;0,('Amounts Pivot Table'!L$633/$M320),0)</f>
        <v>239.79698079101874</v>
      </c>
      <c r="D320" s="552">
        <f>IF($M320&gt;0,('Amounts Pivot Table'!L$636/$M320),0)</f>
        <v>916.90528138989771</v>
      </c>
      <c r="E320" s="552">
        <f>IF($M320&gt;0,('Amounts Pivot Table'!L$639/$M320),0)</f>
        <v>3068.0174078318328</v>
      </c>
      <c r="F320" s="552">
        <f>SUM(B320:E320)</f>
        <v>7883.5831516084181</v>
      </c>
      <c r="G320" s="553"/>
      <c r="H320" s="554"/>
      <c r="I320" s="554"/>
      <c r="J320" s="554"/>
      <c r="K320" s="554"/>
      <c r="L320" s="648"/>
      <c r="M320" s="825">
        <f>+'[1]NEW-Tables 80-86'!AM161</f>
        <v>374094.45333333337</v>
      </c>
    </row>
    <row r="321" spans="1:13" s="490" customFormat="1" ht="10.5" customHeight="1">
      <c r="A321" s="406"/>
      <c r="B321" s="552"/>
      <c r="C321" s="552"/>
      <c r="D321" s="552"/>
      <c r="E321" s="552"/>
      <c r="F321" s="552"/>
      <c r="G321" s="553"/>
      <c r="H321" s="554"/>
      <c r="I321" s="554"/>
      <c r="J321" s="554"/>
      <c r="K321" s="554"/>
      <c r="L321" s="648"/>
      <c r="M321" s="825"/>
    </row>
    <row r="322" spans="1:13" s="490" customFormat="1" ht="12.75" customHeight="1">
      <c r="A322" s="406" t="s">
        <v>320</v>
      </c>
      <c r="B322" s="555">
        <f>IF($M322&gt;0,('Amounts Pivot Table'!L$6/$M322),0)</f>
        <v>4184.1213265622755</v>
      </c>
      <c r="C322" s="555">
        <f>IF($M322&gt;0,('Amounts Pivot Table'!L$9/$M322),0)</f>
        <v>283.55552444165261</v>
      </c>
      <c r="D322" s="555">
        <f>IF($M322&gt;0,('Amounts Pivot Table'!L$12/$M322),0)</f>
        <v>39.904375203396626</v>
      </c>
      <c r="E322" s="555">
        <f>IF($M322&gt;0,('Amounts Pivot Table'!L$15/$M322),0)</f>
        <v>3758.6109996897017</v>
      </c>
      <c r="F322" s="555">
        <f t="shared" ref="F322:F340" si="30">SUM(B322:E322)</f>
        <v>8266.1922258970262</v>
      </c>
      <c r="G322" s="556">
        <f>IF(B322&gt;0,RANK(B322,$B$322:$B$340),)</f>
        <v>4</v>
      </c>
      <c r="H322" s="557">
        <f>IF(C322&gt;0,RANK(C322,$C$322:$C$340),)</f>
        <v>3</v>
      </c>
      <c r="I322" s="557">
        <f>IF(D322&gt;0,RANK(D322,$D$322:$D$340),)</f>
        <v>7</v>
      </c>
      <c r="J322" s="557">
        <f>IF(E322&gt;0,RANK(E322,$E$322:$E$340),)</f>
        <v>8</v>
      </c>
      <c r="K322" s="557">
        <f>IF(F322&gt;0,RANK(F322,$F$322:$F$340),)</f>
        <v>3</v>
      </c>
      <c r="L322" s="648"/>
      <c r="M322" s="825">
        <f>+'[1]NEW-Tables 80-86'!AM163</f>
        <v>35234.933333333334</v>
      </c>
    </row>
    <row r="323" spans="1:13" s="490" customFormat="1" ht="12.75" customHeight="1">
      <c r="A323" s="406" t="s">
        <v>334</v>
      </c>
      <c r="B323" s="555">
        <f>IF($M323&gt;0,('Amounts Pivot Table'!L$45/$M323),0)</f>
        <v>4586.0522148985528</v>
      </c>
      <c r="C323" s="555">
        <f>IF($M323&gt;0,('Amounts Pivot Table'!L$48/$M323),0)</f>
        <v>0</v>
      </c>
      <c r="D323" s="555">
        <f>IF($M323&gt;0,('Amounts Pivot Table'!L$51/$M323),0)</f>
        <v>327.67684206650222</v>
      </c>
      <c r="E323" s="555">
        <f>IF($M323&gt;0,('Amounts Pivot Table'!L$54/$M323),0)</f>
        <v>3228.4342895017862</v>
      </c>
      <c r="F323" s="555">
        <f t="shared" si="30"/>
        <v>8142.1633464668412</v>
      </c>
      <c r="G323" s="556">
        <f>IF(B323&gt;0,RANK(B323,$B$322:$B$340),)</f>
        <v>3</v>
      </c>
      <c r="H323" s="557">
        <f>IF(C323&gt;0,RANK(C323,$C$322:$C$340),)</f>
        <v>0</v>
      </c>
      <c r="I323" s="557">
        <f>IF(D323&gt;0,RANK(D323,$D$322:$D$340),)</f>
        <v>6</v>
      </c>
      <c r="J323" s="557">
        <f>IF(E323&gt;0,RANK(E323,$E$322:$E$340),)</f>
        <v>9</v>
      </c>
      <c r="K323" s="557">
        <f>IF(F323&gt;0,RANK(F323,$F$322:$F$340),)</f>
        <v>5</v>
      </c>
      <c r="L323" s="648"/>
      <c r="M323" s="825">
        <f>+'[1]NEW-Tables 80-86'!AM164</f>
        <v>5431.4</v>
      </c>
    </row>
    <row r="324" spans="1:13" s="490" customFormat="1" ht="12.75" customHeight="1">
      <c r="A324" s="406" t="s">
        <v>321</v>
      </c>
      <c r="B324" s="555">
        <f>IF($M324&gt;0,('Amounts Pivot Table'!L$84/$M324),0)</f>
        <v>5690.3531464878906</v>
      </c>
      <c r="C324" s="555">
        <f>IF($M324&gt;0,('Amounts Pivot Table'!L$87/$M324),0)</f>
        <v>0</v>
      </c>
      <c r="D324" s="555">
        <f>IF($M324&gt;0,('Amounts Pivot Table'!L$90/$M324),0)</f>
        <v>0</v>
      </c>
      <c r="E324" s="555">
        <f>IF($M324&gt;0,('Amounts Pivot Table'!L$93/$M324),0)</f>
        <v>4530.831955855152</v>
      </c>
      <c r="F324" s="555">
        <f t="shared" si="30"/>
        <v>10221.185102343043</v>
      </c>
      <c r="G324" s="556">
        <f>IF(B324&gt;0,RANK(B324,$B$322:$B$340),)</f>
        <v>2</v>
      </c>
      <c r="H324" s="557">
        <f>IF(C324&gt;0,RANK(C324,$C$322:$C$340),)</f>
        <v>0</v>
      </c>
      <c r="I324" s="557">
        <f>IF(D324&gt;0,RANK(D324,$D$322:$D$340),)</f>
        <v>0</v>
      </c>
      <c r="J324" s="557">
        <f>IF(E324&gt;0,RANK(E324,$E$322:$E$340),)</f>
        <v>2</v>
      </c>
      <c r="K324" s="557">
        <f>IF(F324&gt;0,RANK(F324,$F$322:$F$340),)</f>
        <v>2</v>
      </c>
      <c r="L324" s="648"/>
      <c r="M324" s="825">
        <f>+'[1]NEW-Tables 80-86'!AM165</f>
        <v>5424.5666666666675</v>
      </c>
    </row>
    <row r="325" spans="1:13" s="490" customFormat="1" ht="12.75" customHeight="1">
      <c r="A325" s="406" t="s">
        <v>328</v>
      </c>
      <c r="B325" s="555">
        <f>IF($M325&gt;0,('Amounts Pivot Table'!L$123/$M325),0)</f>
        <v>5837.44786719069</v>
      </c>
      <c r="C325" s="555">
        <f>IF($M325&gt;0,('Amounts Pivot Table'!L$126/$M325),0)</f>
        <v>0</v>
      </c>
      <c r="D325" s="555">
        <f>IF($M325&gt;0,('Amounts Pivot Table'!L$129/$M325),0)</f>
        <v>0</v>
      </c>
      <c r="E325" s="555">
        <f>IF($M325&gt;0,('Amounts Pivot Table'!L$132/$M325),0)</f>
        <v>2301.400384142582</v>
      </c>
      <c r="F325" s="555">
        <f t="shared" si="30"/>
        <v>8138.8482513332719</v>
      </c>
      <c r="G325" s="556">
        <f>IF(B325&gt;0,RANK(B325,$B$322:$B$340),)</f>
        <v>1</v>
      </c>
      <c r="H325" s="557">
        <f>IF(C325&gt;0,RANK(C325,$C$322:$C$340),)</f>
        <v>0</v>
      </c>
      <c r="I325" s="557">
        <f>IF(D325&gt;0,RANK(D325,$D$322:$D$340),)</f>
        <v>0</v>
      </c>
      <c r="J325" s="557">
        <f>IF(E325&gt;0,RANK(E325,$E$322:$E$340),)</f>
        <v>13</v>
      </c>
      <c r="K325" s="557">
        <f>IF(F325&gt;0,RANK(F325,$F$322:$F$340),)</f>
        <v>6</v>
      </c>
      <c r="L325" s="648"/>
      <c r="M325" s="825">
        <f>+'[1]NEW-Tables 80-86'!AM166</f>
        <v>7199.2944444444438</v>
      </c>
    </row>
    <row r="326" spans="1:13" s="490" customFormat="1" ht="10.5" customHeight="1">
      <c r="A326" s="406"/>
      <c r="B326" s="555"/>
      <c r="C326" s="555"/>
      <c r="D326" s="555"/>
      <c r="E326" s="555"/>
      <c r="F326" s="555"/>
      <c r="G326" s="556"/>
      <c r="H326" s="557"/>
      <c r="I326" s="557"/>
      <c r="J326" s="557"/>
      <c r="K326" s="557"/>
      <c r="L326" s="648"/>
      <c r="M326" s="825"/>
    </row>
    <row r="327" spans="1:13" s="490" customFormat="1" ht="12.75" customHeight="1">
      <c r="A327" s="406" t="s">
        <v>329</v>
      </c>
      <c r="B327" s="555">
        <f>IF($M327&gt;0,('Amounts Pivot Table'!L$162/$M327),0)</f>
        <v>3730.7361382831291</v>
      </c>
      <c r="C327" s="555">
        <f>IF($M327&gt;0,('Amounts Pivot Table'!L$165/$M327),0)</f>
        <v>0</v>
      </c>
      <c r="D327" s="555">
        <f>IF($M327&gt;0,('Amounts Pivot Table'!L$168/$M327),0)</f>
        <v>0</v>
      </c>
      <c r="E327" s="555">
        <f>IF($M327&gt;0,('Amounts Pivot Table'!L$171/$M327),0)</f>
        <v>3208.9691156144572</v>
      </c>
      <c r="F327" s="555">
        <f t="shared" si="30"/>
        <v>6939.7052538975859</v>
      </c>
      <c r="G327" s="556">
        <f>IF(B327&gt;0,RANK(B327,$B$322:$B$340),)</f>
        <v>9</v>
      </c>
      <c r="H327" s="557">
        <f>IF(C327&gt;0,RANK(C327,$C$322:$C$340),)</f>
        <v>0</v>
      </c>
      <c r="I327" s="557">
        <f>IF(D327&gt;0,RANK(D327,$D$322:$D$340),)</f>
        <v>0</v>
      </c>
      <c r="J327" s="557">
        <f>IF(E327&gt;0,RANK(E327,$E$322:$E$340),)</f>
        <v>10</v>
      </c>
      <c r="K327" s="557">
        <f>IF(F327&gt;0,RANK(F327,$F$322:$F$340),)</f>
        <v>14</v>
      </c>
      <c r="L327" s="648"/>
      <c r="M327" s="825">
        <f>+'[1]NEW-Tables 80-86'!AM168</f>
        <v>18111.633333333335</v>
      </c>
    </row>
    <row r="328" spans="1:13" s="490" customFormat="1" ht="12.75" customHeight="1">
      <c r="A328" s="406" t="s">
        <v>322</v>
      </c>
      <c r="B328" s="555">
        <f>IF($M328&gt;0,('Amounts Pivot Table'!L$201/$M328),0)</f>
        <v>3423.9318327776823</v>
      </c>
      <c r="C328" s="555">
        <f>IF($M328&gt;0,('Amounts Pivot Table'!L$204/$M328),0)</f>
        <v>0</v>
      </c>
      <c r="D328" s="555">
        <f>IF($M328&gt;0,('Amounts Pivot Table'!L$207/$M328),0)</f>
        <v>0</v>
      </c>
      <c r="E328" s="555">
        <f>IF($M328&gt;0,('Amounts Pivot Table'!L$210/$M328),0)</f>
        <v>4058.8318309496954</v>
      </c>
      <c r="F328" s="555">
        <f t="shared" si="30"/>
        <v>7482.7636637273772</v>
      </c>
      <c r="G328" s="556">
        <f>IF(B328&gt;0,RANK(B328,$B$322:$B$340),)</f>
        <v>10</v>
      </c>
      <c r="H328" s="557">
        <f>IF(C328&gt;0,RANK(C328,$C$322:$C$340),)</f>
        <v>0</v>
      </c>
      <c r="I328" s="557">
        <f>IF(D328&gt;0,RANK(D328,$D$322:$D$340),)</f>
        <v>0</v>
      </c>
      <c r="J328" s="557">
        <f>IF(E328&gt;0,RANK(E328,$E$322:$E$340),)</f>
        <v>6</v>
      </c>
      <c r="K328" s="557">
        <f>IF(F328&gt;0,RANK(F328,$F$322:$F$340),)</f>
        <v>11</v>
      </c>
      <c r="L328" s="648"/>
      <c r="M328" s="825">
        <f>+'[1]NEW-Tables 80-86'!AM169</f>
        <v>31886.366666666665</v>
      </c>
    </row>
    <row r="329" spans="1:13" s="490" customFormat="1" ht="12.75" customHeight="1">
      <c r="A329" s="406" t="s">
        <v>330</v>
      </c>
      <c r="B329" s="555">
        <f>IF($M329&gt;0,('Amounts Pivot Table'!L$240/$M329),0)</f>
        <v>2871.9948605826571</v>
      </c>
      <c r="C329" s="555">
        <f>IF($M329&gt;0,('Amounts Pivot Table'!L$243/$M329),0)</f>
        <v>0</v>
      </c>
      <c r="D329" s="555">
        <f>IF($M329&gt;0,('Amounts Pivot Table'!L$246/$M329),0)</f>
        <v>0</v>
      </c>
      <c r="E329" s="555">
        <f>IF($M329&gt;0,('Amounts Pivot Table'!L$249/$M329),0)</f>
        <v>3176.4866829462212</v>
      </c>
      <c r="F329" s="555">
        <f t="shared" si="30"/>
        <v>6048.4815435288783</v>
      </c>
      <c r="G329" s="556">
        <f>IF(B329&gt;0,RANK(B329,$B$322:$B$340),)</f>
        <v>14</v>
      </c>
      <c r="H329" s="557">
        <f>IF(C329&gt;0,RANK(C329,$C$322:$C$340),)</f>
        <v>0</v>
      </c>
      <c r="I329" s="557">
        <f>IF(D329&gt;0,RANK(D329,$D$322:$D$340),)</f>
        <v>0</v>
      </c>
      <c r="J329" s="557">
        <f>IF(E329&gt;0,RANK(E329,$E$322:$E$340),)</f>
        <v>11</v>
      </c>
      <c r="K329" s="557">
        <f>IF(F329&gt;0,RANK(F329,$F$322:$F$340),)</f>
        <v>15</v>
      </c>
      <c r="L329" s="648"/>
      <c r="M329" s="825">
        <f>+'[1]NEW-Tables 80-86'!AM170</f>
        <v>11739.333333333332</v>
      </c>
    </row>
    <row r="330" spans="1:13" s="490" customFormat="1" ht="12.75" customHeight="1">
      <c r="A330" s="406" t="s">
        <v>333</v>
      </c>
      <c r="B330" s="555">
        <f>IF($M330&gt;0,('Amounts Pivot Table'!L$279/$M330),0)</f>
        <v>3968.2442101704178</v>
      </c>
      <c r="C330" s="555">
        <f>IF($M330&gt;0,('Amounts Pivot Table'!L$282/$M330),0)</f>
        <v>0</v>
      </c>
      <c r="D330" s="555">
        <f>IF($M330&gt;0,('Amounts Pivot Table'!L$285/$M330),0)</f>
        <v>2726.857473629078</v>
      </c>
      <c r="E330" s="555">
        <f>IF($M330&gt;0,('Amounts Pivot Table'!L$288/$M330),0)</f>
        <v>4493.0708152741163</v>
      </c>
      <c r="F330" s="555">
        <f t="shared" si="30"/>
        <v>11188.172499073611</v>
      </c>
      <c r="G330" s="556">
        <f>IF(B330&gt;0,RANK(B330,$B$322:$B$340),)</f>
        <v>5</v>
      </c>
      <c r="H330" s="557">
        <f>IF(C330&gt;0,RANK(C330,$C$322:$C$340),)</f>
        <v>0</v>
      </c>
      <c r="I330" s="557">
        <f>IF(D330&gt;0,RANK(D330,$D$322:$D$340),)</f>
        <v>1</v>
      </c>
      <c r="J330" s="557">
        <f>IF(E330&gt;0,RANK(E330,$E$322:$E$340),)</f>
        <v>3</v>
      </c>
      <c r="K330" s="557">
        <f>IF(F330&gt;0,RANK(F330,$F$322:$F$340),)</f>
        <v>1</v>
      </c>
      <c r="L330" s="648"/>
      <c r="M330" s="825">
        <f>+'[1]NEW-Tables 80-86'!AM171</f>
        <v>22083.983333333334</v>
      </c>
    </row>
    <row r="331" spans="1:13" s="490" customFormat="1" ht="10.5" customHeight="1">
      <c r="A331" s="406"/>
      <c r="B331" s="555"/>
      <c r="C331" s="555"/>
      <c r="D331" s="555"/>
      <c r="E331" s="555"/>
      <c r="F331" s="555"/>
      <c r="G331" s="556"/>
      <c r="H331" s="557"/>
      <c r="I331" s="557"/>
      <c r="J331" s="557"/>
      <c r="K331" s="557"/>
      <c r="L331" s="648"/>
      <c r="M331" s="825"/>
    </row>
    <row r="332" spans="1:13" s="490" customFormat="1" ht="12.75" customHeight="1">
      <c r="A332" s="406" t="s">
        <v>323</v>
      </c>
      <c r="B332" s="555">
        <f>IF($M332&gt;0,('Amounts Pivot Table'!L$318/$M332),0)</f>
        <v>3929.6217677641444</v>
      </c>
      <c r="C332" s="555">
        <f>IF($M332&gt;0,('Amounts Pivot Table'!L$321/$M332),0)</f>
        <v>431.01759435038514</v>
      </c>
      <c r="D332" s="555">
        <f>IF($M332&gt;0,('Amounts Pivot Table'!L$324/$M332),0)</f>
        <v>652.92114596093734</v>
      </c>
      <c r="E332" s="555">
        <f>IF($M332&gt;0,('Amounts Pivot Table'!L$327/$M332),0)</f>
        <v>3058.7997780381857</v>
      </c>
      <c r="F332" s="555">
        <f t="shared" si="30"/>
        <v>8072.3602861136524</v>
      </c>
      <c r="G332" s="556">
        <f>IF(B332&gt;0,RANK(B332,$B$322:$B$340),)</f>
        <v>6</v>
      </c>
      <c r="H332" s="557">
        <f>IF(C332&gt;0,RANK(C332,$C$322:$C$340),)</f>
        <v>2</v>
      </c>
      <c r="I332" s="557">
        <f>IF(D332&gt;0,RANK(D332,$D$322:$D$340),)</f>
        <v>5</v>
      </c>
      <c r="J332" s="557">
        <f>IF(E332&gt;0,RANK(E332,$E$322:$E$340),)</f>
        <v>12</v>
      </c>
      <c r="K332" s="557">
        <f>IF(F332&gt;0,RANK(F332,$F$322:$F$340),)</f>
        <v>7</v>
      </c>
      <c r="L332" s="648"/>
      <c r="M332" s="825">
        <f>+'[1]NEW-Tables 80-86'!AM173</f>
        <v>30095.266666666666</v>
      </c>
    </row>
    <row r="333" spans="1:13" s="490" customFormat="1" ht="12.75" customHeight="1">
      <c r="A333" s="406" t="s">
        <v>324</v>
      </c>
      <c r="B333" s="555">
        <f>IF($M333&gt;0,('Amounts Pivot Table'!L$357/$M333),0)</f>
        <v>3734.4537296394187</v>
      </c>
      <c r="C333" s="555">
        <f>IF($M333&gt;0,('Amounts Pivot Table'!L$360/$M333),0)</f>
        <v>798.22968434109191</v>
      </c>
      <c r="D333" s="555">
        <f>IF($M333&gt;0,('Amounts Pivot Table'!L$363/$M333),0)</f>
        <v>948.01125525709665</v>
      </c>
      <c r="E333" s="555">
        <f>IF($M333&gt;0,('Amounts Pivot Table'!L$366/$M333),0)</f>
        <v>1826.7055787950037</v>
      </c>
      <c r="F333" s="555">
        <f t="shared" si="30"/>
        <v>7307.4002480326108</v>
      </c>
      <c r="G333" s="556">
        <f>IF(B333&gt;0,RANK(B333,$B$322:$B$340),)</f>
        <v>8</v>
      </c>
      <c r="H333" s="557">
        <f>IF(C333&gt;0,RANK(C333,$C$322:$C$340),)</f>
        <v>1</v>
      </c>
      <c r="I333" s="557">
        <f>IF(D333&gt;0,RANK(D333,$D$322:$D$340),)</f>
        <v>3</v>
      </c>
      <c r="J333" s="557">
        <f>IF(E333&gt;0,RANK(E333,$E$322:$E$340),)</f>
        <v>15</v>
      </c>
      <c r="K333" s="557">
        <f>IF(F333&gt;0,RANK(F333,$F$322:$F$340),)</f>
        <v>12</v>
      </c>
      <c r="L333" s="648"/>
      <c r="M333" s="825">
        <f>+'[1]NEW-Tables 80-86'!AM174</f>
        <v>79433.103333333333</v>
      </c>
    </row>
    <row r="334" spans="1:13" s="490" customFormat="1" ht="12.75" customHeight="1">
      <c r="A334" s="406" t="s">
        <v>331</v>
      </c>
      <c r="B334" s="555">
        <f>IF($M334&gt;0,('Amounts Pivot Table'!L$396/$M334),0)</f>
        <v>3173.6635966488266</v>
      </c>
      <c r="C334" s="555">
        <f>IF($M334&gt;0,('Amounts Pivot Table'!L$399/$M334),0)</f>
        <v>0</v>
      </c>
      <c r="D334" s="555">
        <f>IF($M334&gt;0,('Amounts Pivot Table'!L$402/$M334),0)</f>
        <v>0</v>
      </c>
      <c r="E334" s="555">
        <f>IF($M334&gt;0,('Amounts Pivot Table'!L$405/$M334),0)</f>
        <v>3772.0835145715528</v>
      </c>
      <c r="F334" s="555">
        <f t="shared" si="30"/>
        <v>6945.7471112203793</v>
      </c>
      <c r="G334" s="556">
        <f>IF(B334&gt;0,RANK(B334,$B$322:$B$340),)</f>
        <v>13</v>
      </c>
      <c r="H334" s="557">
        <f>IF(C334&gt;0,RANK(C334,$C$322:$C$340),)</f>
        <v>0</v>
      </c>
      <c r="I334" s="557">
        <f>IF(D334&gt;0,RANK(D334,$D$322:$D$340),)</f>
        <v>0</v>
      </c>
      <c r="J334" s="557">
        <f>IF(E334&gt;0,RANK(E334,$E$322:$E$340),)</f>
        <v>7</v>
      </c>
      <c r="K334" s="557">
        <f>IF(F334&gt;0,RANK(F334,$F$322:$F$340),)</f>
        <v>13</v>
      </c>
      <c r="L334" s="648"/>
      <c r="M334" s="825">
        <f>+'[1]NEW-Tables 80-86'!AM175</f>
        <v>5287.7</v>
      </c>
    </row>
    <row r="335" spans="1:13" s="490" customFormat="1" ht="12.75" customHeight="1">
      <c r="A335" s="406" t="s">
        <v>325</v>
      </c>
      <c r="B335" s="555">
        <f>IF($M335&gt;0,('Amounts Pivot Table'!L$435/$M335),0)</f>
        <v>1460.940697053185</v>
      </c>
      <c r="C335" s="555">
        <f>IF($M335&gt;0,('Amounts Pivot Table'!L$438/$M335),0)</f>
        <v>209.8205512314187</v>
      </c>
      <c r="D335" s="555">
        <f>IF($M335&gt;0,('Amounts Pivot Table'!L$441/$M335),0)</f>
        <v>916.54800490262835</v>
      </c>
      <c r="E335" s="555">
        <f>IF($M335&gt;0,('Amounts Pivot Table'!L$444/$M335),0)</f>
        <v>4932.9429388533299</v>
      </c>
      <c r="F335" s="555">
        <f t="shared" si="30"/>
        <v>7520.2521920405616</v>
      </c>
      <c r="G335" s="556">
        <f>IF(B335&gt;0,RANK(B335,$B$322:$B$340),)</f>
        <v>15</v>
      </c>
      <c r="H335" s="557">
        <f>IF(C335&gt;0,RANK(C335,$C$322:$C$340),)</f>
        <v>4</v>
      </c>
      <c r="I335" s="557">
        <f>IF(D335&gt;0,RANK(D335,$D$322:$D$340),)</f>
        <v>4</v>
      </c>
      <c r="J335" s="557">
        <f>IF(E335&gt;0,RANK(E335,$E$322:$E$340),)</f>
        <v>1</v>
      </c>
      <c r="K335" s="557">
        <f>IF(F335&gt;0,RANK(F335,$F$322:$F$340),)</f>
        <v>10</v>
      </c>
      <c r="L335" s="648"/>
      <c r="M335" s="825">
        <f>+'[1]NEW-Tables 80-86'!AM176</f>
        <v>15909.833333333334</v>
      </c>
    </row>
    <row r="336" spans="1:13" s="490" customFormat="1" ht="10.5" customHeight="1">
      <c r="A336" s="406"/>
      <c r="B336" s="555"/>
      <c r="C336" s="555"/>
      <c r="D336" s="555"/>
      <c r="E336" s="555"/>
      <c r="F336" s="555"/>
      <c r="G336" s="556"/>
      <c r="H336" s="557"/>
      <c r="I336" s="557"/>
      <c r="J336" s="557"/>
      <c r="K336" s="557"/>
      <c r="L336" s="648"/>
      <c r="M336" s="825"/>
    </row>
    <row r="337" spans="1:13" s="490" customFormat="1" ht="12.75" customHeight="1">
      <c r="A337" s="406" t="s">
        <v>90</v>
      </c>
      <c r="B337" s="555">
        <f>IF($M337&gt;0,('Amounts Pivot Table'!L$474/$M337),0)</f>
        <v>3891.4179801220707</v>
      </c>
      <c r="C337" s="555">
        <f>IF($M337&gt;0,('Amounts Pivot Table'!L$477/$M337),0)</f>
        <v>0</v>
      </c>
      <c r="D337" s="555">
        <f>IF($M337&gt;0,('Amounts Pivot Table'!L$480/$M337),0)</f>
        <v>0</v>
      </c>
      <c r="E337" s="555">
        <f>IF($M337&gt;0,('Amounts Pivot Table'!L$483/$M337),0)</f>
        <v>4355.7506954364335</v>
      </c>
      <c r="F337" s="555">
        <f t="shared" si="30"/>
        <v>8247.1686755585033</v>
      </c>
      <c r="G337" s="556">
        <f>IF(B337&gt;0,RANK(B337,$B$322:$B$340),)</f>
        <v>7</v>
      </c>
      <c r="H337" s="557">
        <f>IF(C337&gt;0,RANK(C337,$C$322:$C$340),)</f>
        <v>0</v>
      </c>
      <c r="I337" s="557">
        <f>IF(D337&gt;0,RANK(D337,$D$322:$D$340),)</f>
        <v>0</v>
      </c>
      <c r="J337" s="557">
        <f>IF(E337&gt;0,RANK(E337,$E$322:$E$340),)</f>
        <v>4</v>
      </c>
      <c r="K337" s="557">
        <f>IF(F337&gt;0,RANK(F337,$F$322:$F$340),)</f>
        <v>4</v>
      </c>
      <c r="L337" s="648"/>
      <c r="M337" s="825">
        <f>+'[1]NEW-Tables 80-86'!AM178</f>
        <v>26602</v>
      </c>
    </row>
    <row r="338" spans="1:13" s="76" customFormat="1" ht="12.75" customHeight="1">
      <c r="A338" s="406" t="s">
        <v>177</v>
      </c>
      <c r="B338" s="555">
        <f>IF($M338&gt;0,('Amounts Pivot Table'!L$513/$M338),0)</f>
        <v>3358.6626271962441</v>
      </c>
      <c r="C338" s="555">
        <f>IF($M338&gt;0,('Amounts Pivot Table'!L$516/$M338),0)</f>
        <v>0</v>
      </c>
      <c r="D338" s="555">
        <f>IF($M338&gt;0,('Amounts Pivot Table'!L$519/$M338),0)</f>
        <v>2253.4498096707762</v>
      </c>
      <c r="E338" s="555">
        <f>IF($M338&gt;0,('Amounts Pivot Table'!L$522/$M338),0)</f>
        <v>2161.318614824605</v>
      </c>
      <c r="F338" s="555">
        <f t="shared" si="30"/>
        <v>7773.4310516916257</v>
      </c>
      <c r="G338" s="556">
        <f>IF(B338&gt;0,RANK(B338,$B$322:$B$340),)</f>
        <v>11</v>
      </c>
      <c r="H338" s="557">
        <f>IF(C338&gt;0,RANK(C338,$C$322:$C$340),)</f>
        <v>0</v>
      </c>
      <c r="I338" s="557">
        <f>IF(D338&gt;0,RANK(D338,$D$322:$D$340),)</f>
        <v>2</v>
      </c>
      <c r="J338" s="557">
        <f>IF(E338&gt;0,RANK(E338,$E$322:$E$340),)</f>
        <v>14</v>
      </c>
      <c r="K338" s="557">
        <f>IF(F338&gt;0,RANK(F338,$F$322:$F$340),)</f>
        <v>8</v>
      </c>
      <c r="L338" s="169"/>
      <c r="M338" s="825">
        <f>+'[1]NEW-Tables 80-86'!AM179</f>
        <v>75470.105555555536</v>
      </c>
    </row>
    <row r="339" spans="1:13" s="490" customFormat="1" ht="12.75" customHeight="1">
      <c r="A339" s="406" t="s">
        <v>327</v>
      </c>
      <c r="B339" s="555">
        <f>IF($M339&gt;0,('Amounts Pivot Table'!L$552/$M339),0)</f>
        <v>0</v>
      </c>
      <c r="C339" s="555">
        <f>IF($M339&gt;0,('Amounts Pivot Table'!L$555/$M339),0)</f>
        <v>0</v>
      </c>
      <c r="D339" s="555">
        <f>IF($M339&gt;0,('Amounts Pivot Table'!L$558/$M339),0)</f>
        <v>0</v>
      </c>
      <c r="E339" s="555">
        <f>IF($M339&gt;0,('Amounts Pivot Table'!L$561/$M339),0)</f>
        <v>0</v>
      </c>
      <c r="F339" s="555">
        <f t="shared" si="30"/>
        <v>0</v>
      </c>
      <c r="G339" s="556">
        <f>IF(B339&gt;0,RANK(B339,$B$322:$B$340),)</f>
        <v>0</v>
      </c>
      <c r="H339" s="557">
        <f>IF(C339&gt;0,RANK(C339,$C$322:$C$340),)</f>
        <v>0</v>
      </c>
      <c r="I339" s="557">
        <f>IF(D339&gt;0,RANK(D339,$D$322:$D$340),)</f>
        <v>0</v>
      </c>
      <c r="J339" s="557">
        <f>IF(E339&gt;0,RANK(E339,$E$322:$E$340),)</f>
        <v>0</v>
      </c>
      <c r="K339" s="557">
        <f>IF(F339&gt;0,RANK(F339,$F$322:$F$340),)</f>
        <v>0</v>
      </c>
      <c r="L339" s="649"/>
      <c r="M339" s="825">
        <f>+'[1]NEW-Tables 80-86'!AM180</f>
        <v>0</v>
      </c>
    </row>
    <row r="340" spans="1:13" s="490" customFormat="1" ht="15" customHeight="1">
      <c r="A340" s="407" t="s">
        <v>332</v>
      </c>
      <c r="B340" s="561">
        <f>IF($M340&gt;0,('Amounts Pivot Table'!L$591/$M340),0)</f>
        <v>3228.2237072673402</v>
      </c>
      <c r="C340" s="561">
        <f>IF($M340&gt;0,('Amounts Pivot Table'!L$594/$M340),0)</f>
        <v>0</v>
      </c>
      <c r="D340" s="561">
        <f>IF($M340&gt;0,('Amounts Pivot Table'!L$597/$M340),0)</f>
        <v>0</v>
      </c>
      <c r="E340" s="561">
        <f>IF($M340&gt;0,('Amounts Pivot Table'!L$600/$M340),0)</f>
        <v>4297.8087265428358</v>
      </c>
      <c r="F340" s="562">
        <f t="shared" si="30"/>
        <v>7526.0324338101764</v>
      </c>
      <c r="G340" s="563">
        <f>IF(B340&gt;0,RANK(B340,$B$322:$B$340),)</f>
        <v>12</v>
      </c>
      <c r="H340" s="564">
        <f>IF(C340&gt;0,RANK(C340,$C$322:$C$340),)</f>
        <v>0</v>
      </c>
      <c r="I340" s="564">
        <f>IF(D340&gt;0,RANK(D340,$D$322:$D$340),)</f>
        <v>0</v>
      </c>
      <c r="J340" s="564">
        <f>IF(E340&gt;0,RANK(E340,$E$322:$E$340),)</f>
        <v>5</v>
      </c>
      <c r="K340" s="564">
        <f>IF(F340&gt;0,RANK(F340,$F$322:$F$340),)</f>
        <v>9</v>
      </c>
      <c r="L340" s="652"/>
      <c r="M340" s="825">
        <f>+'[1]NEW-Tables 80-86'!AM181</f>
        <v>4184.9333333333334</v>
      </c>
    </row>
    <row r="341" spans="1:13" s="76" customFormat="1" ht="13.5" customHeight="1">
      <c r="A341" s="1534" t="s">
        <v>1953</v>
      </c>
      <c r="B341" s="1534"/>
      <c r="C341" s="1534"/>
      <c r="D341" s="1534"/>
      <c r="E341" s="1534"/>
      <c r="F341" s="1534"/>
      <c r="G341" s="1534"/>
      <c r="H341" s="1534"/>
      <c r="I341" s="1534"/>
      <c r="J341" s="1534"/>
      <c r="K341" s="1534"/>
      <c r="L341" s="169"/>
      <c r="M341" s="666"/>
    </row>
    <row r="342" spans="1:13" s="76" customFormat="1" ht="34.5" customHeight="1">
      <c r="A342" s="1505" t="s">
        <v>17</v>
      </c>
      <c r="B342" s="1529"/>
      <c r="C342" s="1529"/>
      <c r="D342" s="1529"/>
      <c r="E342" s="1529"/>
      <c r="F342" s="1529"/>
      <c r="G342" s="1529"/>
      <c r="H342" s="1529"/>
      <c r="I342" s="1529"/>
      <c r="J342" s="1529"/>
      <c r="K342" s="1529"/>
      <c r="L342" s="169"/>
      <c r="M342" s="663"/>
    </row>
    <row r="343" spans="1:13" s="205" customFormat="1" ht="13.5" customHeight="1">
      <c r="A343" s="1505" t="s">
        <v>54</v>
      </c>
      <c r="B343" s="1529"/>
      <c r="C343" s="1529"/>
      <c r="D343" s="1529"/>
      <c r="E343" s="1529"/>
      <c r="F343" s="1529"/>
      <c r="G343" s="1529"/>
      <c r="H343" s="1529"/>
      <c r="I343" s="1529"/>
      <c r="J343" s="1529"/>
      <c r="K343" s="1529"/>
      <c r="L343" s="204"/>
      <c r="M343" s="663"/>
    </row>
    <row r="344" spans="1:13" s="490" customFormat="1" ht="13.5" customHeight="1">
      <c r="A344" s="1505" t="s">
        <v>233</v>
      </c>
      <c r="B344" s="1541"/>
      <c r="C344" s="1541"/>
      <c r="D344" s="1541"/>
      <c r="E344" s="1541"/>
      <c r="F344" s="1541"/>
      <c r="G344" s="1542"/>
      <c r="H344" s="1542"/>
      <c r="I344" s="1542"/>
      <c r="J344" s="1542"/>
      <c r="K344" s="1542"/>
      <c r="L344" s="652"/>
      <c r="M344" s="663"/>
    </row>
    <row r="345" spans="1:13" s="490" customFormat="1">
      <c r="A345" s="638"/>
      <c r="B345" s="651"/>
      <c r="C345" s="651"/>
      <c r="D345" s="651"/>
      <c r="E345" s="651"/>
      <c r="F345" s="651"/>
      <c r="G345" s="653"/>
      <c r="H345" s="653"/>
      <c r="I345" s="653"/>
      <c r="J345" s="653"/>
      <c r="K345" s="534" t="s">
        <v>1927</v>
      </c>
      <c r="L345" s="193"/>
      <c r="M345" s="663"/>
    </row>
    <row r="346" spans="1:13" s="490" customFormat="1" ht="15.75">
      <c r="A346" s="1504" t="s">
        <v>369</v>
      </c>
      <c r="B346" s="1504"/>
      <c r="C346" s="1504"/>
      <c r="D346" s="1504"/>
      <c r="E346" s="1504"/>
      <c r="F346" s="1504"/>
      <c r="G346" s="1504"/>
      <c r="H346" s="1504"/>
      <c r="I346" s="1504"/>
      <c r="J346" s="1504"/>
      <c r="K346" s="1504"/>
      <c r="L346" s="649"/>
      <c r="M346" s="663"/>
    </row>
    <row r="347" spans="1:13" s="490" customFormat="1" ht="18.75">
      <c r="A347" s="1504" t="s">
        <v>18</v>
      </c>
      <c r="B347" s="1504"/>
      <c r="C347" s="1504"/>
      <c r="D347" s="1504"/>
      <c r="E347" s="1504"/>
      <c r="F347" s="1504"/>
      <c r="G347" s="1504"/>
      <c r="H347" s="1504"/>
      <c r="I347" s="1504"/>
      <c r="J347" s="1504"/>
      <c r="K347" s="1504"/>
      <c r="L347" s="165"/>
      <c r="M347" s="663"/>
    </row>
    <row r="348" spans="1:13" s="490" customFormat="1" ht="15.75">
      <c r="A348" s="1504" t="s">
        <v>1946</v>
      </c>
      <c r="B348" s="1504"/>
      <c r="C348" s="1504"/>
      <c r="D348" s="1504"/>
      <c r="E348" s="1504"/>
      <c r="F348" s="1504"/>
      <c r="G348" s="1504"/>
      <c r="H348" s="1504"/>
      <c r="I348" s="1504"/>
      <c r="J348" s="1504"/>
      <c r="K348" s="1504"/>
      <c r="L348" s="165"/>
      <c r="M348" s="663"/>
    </row>
    <row r="349" spans="1:13" s="490" customFormat="1" ht="8.25" customHeight="1">
      <c r="A349" s="91"/>
      <c r="B349" s="91"/>
      <c r="C349" s="91"/>
      <c r="D349" s="91"/>
      <c r="E349" s="91"/>
      <c r="F349" s="91"/>
      <c r="G349" s="108"/>
      <c r="H349" s="91"/>
      <c r="I349" s="91"/>
      <c r="J349" s="91"/>
      <c r="K349" s="91"/>
      <c r="L349" s="165"/>
      <c r="M349" s="663"/>
    </row>
    <row r="350" spans="1:13" s="490" customFormat="1" ht="17.25" customHeight="1">
      <c r="A350" s="60"/>
      <c r="B350" s="1543" t="s">
        <v>55</v>
      </c>
      <c r="C350" s="1544"/>
      <c r="D350" s="1544"/>
      <c r="E350" s="1544"/>
      <c r="F350" s="1544"/>
      <c r="G350" s="57" t="s">
        <v>119</v>
      </c>
      <c r="H350" s="58"/>
      <c r="I350" s="58"/>
      <c r="J350" s="58"/>
      <c r="K350" s="58"/>
      <c r="L350" s="173"/>
      <c r="M350" s="663"/>
    </row>
    <row r="351" spans="1:13" s="378" customFormat="1" ht="45">
      <c r="A351" s="644"/>
      <c r="B351" s="51" t="s">
        <v>87</v>
      </c>
      <c r="C351" s="52" t="s">
        <v>89</v>
      </c>
      <c r="D351" s="52" t="s">
        <v>88</v>
      </c>
      <c r="E351" s="52" t="s">
        <v>306</v>
      </c>
      <c r="F351" s="52" t="s">
        <v>97</v>
      </c>
      <c r="G351" s="53" t="s">
        <v>87</v>
      </c>
      <c r="H351" s="52" t="s">
        <v>89</v>
      </c>
      <c r="I351" s="52" t="s">
        <v>88</v>
      </c>
      <c r="J351" s="52" t="s">
        <v>306</v>
      </c>
      <c r="K351" s="52" t="s">
        <v>97</v>
      </c>
      <c r="L351" s="646"/>
      <c r="M351" s="655" t="s">
        <v>260</v>
      </c>
    </row>
    <row r="352" spans="1:13" s="490" customFormat="1" ht="14.25">
      <c r="A352" s="406" t="s">
        <v>56</v>
      </c>
      <c r="B352" s="552">
        <f>IF($M352&gt;0,('Amounts Pivot Table'!M$630/$M352),0)</f>
        <v>4056.7933049666585</v>
      </c>
      <c r="C352" s="552">
        <f>IF($M352&gt;0,('Amounts Pivot Table'!M$633/$M352),0)</f>
        <v>374.06838037954748</v>
      </c>
      <c r="D352" s="552">
        <f>IF($M352&gt;0,('Amounts Pivot Table'!M$636/$M352),0)</f>
        <v>778.87046433035823</v>
      </c>
      <c r="E352" s="552">
        <f>IF($M352&gt;0,('Amounts Pivot Table'!M$639/$M352),0)</f>
        <v>2901.3381437560624</v>
      </c>
      <c r="F352" s="552">
        <f>SUM(B352:E352)</f>
        <v>8111.0702934326273</v>
      </c>
      <c r="G352" s="553"/>
      <c r="H352" s="554"/>
      <c r="I352" s="554"/>
      <c r="J352" s="554"/>
      <c r="K352" s="554"/>
      <c r="L352" s="648"/>
      <c r="M352" s="825">
        <f>+'[1]NEW-Tables 80-86'!AN161</f>
        <v>128322.28666666667</v>
      </c>
    </row>
    <row r="353" spans="1:13" s="112" customFormat="1" ht="9" customHeight="1">
      <c r="A353" s="110"/>
      <c r="B353" s="111"/>
      <c r="C353" s="111"/>
      <c r="D353" s="111"/>
      <c r="E353" s="111"/>
      <c r="F353" s="111"/>
      <c r="G353" s="119"/>
      <c r="H353" s="120"/>
      <c r="I353" s="120"/>
      <c r="J353" s="120"/>
      <c r="K353" s="120"/>
      <c r="L353" s="175"/>
      <c r="M353" s="825"/>
    </row>
    <row r="354" spans="1:13" s="490" customFormat="1" ht="12.75" customHeight="1">
      <c r="A354" s="406" t="s">
        <v>320</v>
      </c>
      <c r="B354" s="555">
        <f>IF($M354&gt;0,('Amounts Pivot Table'!M$6/$M354),0)</f>
        <v>4783.563146773582</v>
      </c>
      <c r="C354" s="555">
        <f>IF($M354&gt;0,('Amounts Pivot Table'!M$9/$M354),0)</f>
        <v>272.27426721569049</v>
      </c>
      <c r="D354" s="555">
        <f>IF($M354&gt;0,('Amounts Pivot Table'!M$12/$M354),0)</f>
        <v>23.265461613479982</v>
      </c>
      <c r="E354" s="555">
        <f>IF($M354&gt;0,('Amounts Pivot Table'!M$15/$M354),0)</f>
        <v>3998.5669732350871</v>
      </c>
      <c r="F354" s="555">
        <f t="shared" ref="F354:F372" si="31">SUM(B354:E354)</f>
        <v>9077.6698488378388</v>
      </c>
      <c r="G354" s="556">
        <f>IF(B354&gt;0,RANK(B354,$B$354:$B$372),)</f>
        <v>3</v>
      </c>
      <c r="H354" s="557">
        <f>IF(C354&gt;0,RANK(C354,$C$354:$C$372),)</f>
        <v>4</v>
      </c>
      <c r="I354" s="557">
        <f>IF(D354&gt;0,RANK(D354,$D$354:$D$372),)</f>
        <v>7</v>
      </c>
      <c r="J354" s="557">
        <f>IF(E354&gt;0,RANK(E354,$E$354:$E$372),)</f>
        <v>4</v>
      </c>
      <c r="K354" s="557">
        <f>IF(F354&gt;0,RANK(F354,$F$354:$F$372),)</f>
        <v>5</v>
      </c>
      <c r="L354" s="648"/>
      <c r="M354" s="825">
        <f>+'[1]NEW-Tables 80-86'!AN163</f>
        <v>9843.7333333333336</v>
      </c>
    </row>
    <row r="355" spans="1:13" s="490" customFormat="1" ht="12.75" customHeight="1">
      <c r="A355" s="406" t="s">
        <v>334</v>
      </c>
      <c r="B355" s="555">
        <f>IF($M355&gt;0,('Amounts Pivot Table'!M$45/$M355),0)</f>
        <v>5363.9139226583138</v>
      </c>
      <c r="C355" s="555">
        <f>IF($M355&gt;0,('Amounts Pivot Table'!M$48/$M355),0)</f>
        <v>97.490679436421161</v>
      </c>
      <c r="D355" s="555">
        <f>IF($M355&gt;0,('Amounts Pivot Table'!M$51/$M355),0)</f>
        <v>429.35625062668834</v>
      </c>
      <c r="E355" s="555">
        <f>IF($M355&gt;0,('Amounts Pivot Table'!M$54/$M355),0)</f>
        <v>3657.4269319469727</v>
      </c>
      <c r="F355" s="555">
        <f t="shared" si="31"/>
        <v>9548.1877846683965</v>
      </c>
      <c r="G355" s="556">
        <f>IF(B355&gt;0,RANK(B355,$B$354:$B$372),)</f>
        <v>2</v>
      </c>
      <c r="H355" s="557">
        <f>IF(C355&gt;0,RANK(C355,$C$354:$C$372),)</f>
        <v>5</v>
      </c>
      <c r="I355" s="557">
        <f>IF(D355&gt;0,RANK(D355,$D$354:$D$372),)</f>
        <v>6</v>
      </c>
      <c r="J355" s="557">
        <f>IF(E355&gt;0,RANK(E355,$E$354:$E$372),)</f>
        <v>6</v>
      </c>
      <c r="K355" s="557">
        <f>IF(F355&gt;0,RANK(F355,$F$354:$F$372),)</f>
        <v>3</v>
      </c>
      <c r="L355" s="648"/>
      <c r="M355" s="825">
        <f>+'[1]NEW-Tables 80-86'!AN164</f>
        <v>21940.73333333333</v>
      </c>
    </row>
    <row r="356" spans="1:13" s="490" customFormat="1" ht="12.75" customHeight="1">
      <c r="A356" s="406" t="s">
        <v>321</v>
      </c>
      <c r="B356" s="555">
        <f>IF($M356&gt;0,('Amounts Pivot Table'!M$84/$M356),0)</f>
        <v>0</v>
      </c>
      <c r="C356" s="555">
        <f>IF($M356&gt;0,('Amounts Pivot Table'!M$87/$M356),0)</f>
        <v>0</v>
      </c>
      <c r="D356" s="555">
        <f>IF($M356&gt;0,('Amounts Pivot Table'!M$90/$M356),0)</f>
        <v>0</v>
      </c>
      <c r="E356" s="555">
        <f>IF($M356&gt;0,('Amounts Pivot Table'!M$93/$M356),0)</f>
        <v>0</v>
      </c>
      <c r="F356" s="555">
        <f t="shared" si="31"/>
        <v>0</v>
      </c>
      <c r="G356" s="556">
        <f>IF(B356&gt;0,RANK(B356,$B$354:$B$372),)</f>
        <v>0</v>
      </c>
      <c r="H356" s="557">
        <f>IF(C356&gt;0,RANK(C356,$C$354:$C$372),)</f>
        <v>0</v>
      </c>
      <c r="I356" s="557">
        <f>IF(D356&gt;0,RANK(D356,$D$354:$D$372),)</f>
        <v>0</v>
      </c>
      <c r="J356" s="557">
        <f>IF(E356&gt;0,RANK(E356,$E$354:$E$372),)</f>
        <v>0</v>
      </c>
      <c r="K356" s="557">
        <f>IF(F356&gt;0,RANK(F356,$F$354:$F$372),)</f>
        <v>0</v>
      </c>
      <c r="L356" s="648"/>
      <c r="M356" s="825">
        <f>+'[1]NEW-Tables 80-86'!AN165</f>
        <v>0</v>
      </c>
    </row>
    <row r="357" spans="1:13" s="490" customFormat="1" ht="12.75" customHeight="1">
      <c r="A357" s="406" t="s">
        <v>328</v>
      </c>
      <c r="B357" s="555">
        <f>IF($M357&gt;0,('Amounts Pivot Table'!M$123/$M357),0)</f>
        <v>8121.160268211529</v>
      </c>
      <c r="C357" s="555">
        <f>IF($M357&gt;0,('Amounts Pivot Table'!M$126/$M357),0)</f>
        <v>0</v>
      </c>
      <c r="D357" s="555">
        <f>IF($M357&gt;0,('Amounts Pivot Table'!M$129/$M357),0)</f>
        <v>0</v>
      </c>
      <c r="E357" s="555">
        <f>IF($M357&gt;0,('Amounts Pivot Table'!M$132/$M357),0)</f>
        <v>2430.1845389903219</v>
      </c>
      <c r="F357" s="555">
        <f t="shared" si="31"/>
        <v>10551.344807201851</v>
      </c>
      <c r="G357" s="556">
        <f>IF(B357&gt;0,RANK(B357,$B$354:$B$372),)</f>
        <v>1</v>
      </c>
      <c r="H357" s="557">
        <f>IF(C357&gt;0,RANK(C357,$C$354:$C$372),)</f>
        <v>0</v>
      </c>
      <c r="I357" s="557">
        <f>IF(D357&gt;0,RANK(D357,$D$354:$D$372),)</f>
        <v>0</v>
      </c>
      <c r="J357" s="557">
        <f>IF(E357&gt;0,RANK(E357,$E$354:$E$372),)</f>
        <v>10</v>
      </c>
      <c r="K357" s="557">
        <f>IF(F357&gt;0,RANK(F357,$F$354:$F$372),)</f>
        <v>2</v>
      </c>
      <c r="L357" s="648"/>
      <c r="M357" s="825">
        <f>+'[1]NEW-Tables 80-86'!AN166</f>
        <v>1644.6388888888889</v>
      </c>
    </row>
    <row r="358" spans="1:13" s="112" customFormat="1" ht="9" customHeight="1">
      <c r="A358" s="110"/>
      <c r="B358" s="111"/>
      <c r="C358" s="111"/>
      <c r="D358" s="111"/>
      <c r="E358" s="111"/>
      <c r="F358" s="111"/>
      <c r="G358" s="119"/>
      <c r="H358" s="120"/>
      <c r="I358" s="120"/>
      <c r="J358" s="120"/>
      <c r="K358" s="120"/>
      <c r="L358" s="175"/>
      <c r="M358" s="825"/>
    </row>
    <row r="359" spans="1:13" s="490" customFormat="1" ht="12.75" customHeight="1">
      <c r="A359" s="406" t="s">
        <v>329</v>
      </c>
      <c r="B359" s="555">
        <f>IF($M359&gt;0,('Amounts Pivot Table'!M$162/$M359),0)</f>
        <v>0</v>
      </c>
      <c r="C359" s="555">
        <f>IF($M359&gt;0,('Amounts Pivot Table'!M$165/$M359),0)</f>
        <v>0</v>
      </c>
      <c r="D359" s="555">
        <f>IF($M359&gt;0,('Amounts Pivot Table'!M$168/$M359),0)</f>
        <v>0</v>
      </c>
      <c r="E359" s="555">
        <f>IF($M359&gt;0,('Amounts Pivot Table'!M$171/$M359),0)</f>
        <v>0</v>
      </c>
      <c r="F359" s="555">
        <f t="shared" si="31"/>
        <v>0</v>
      </c>
      <c r="G359" s="556">
        <f>IF(B359&gt;0,RANK(B359,$B$354:$B$372),)</f>
        <v>0</v>
      </c>
      <c r="H359" s="557">
        <f>IF(C359&gt;0,RANK(C359,$C$354:$C$372),)</f>
        <v>0</v>
      </c>
      <c r="I359" s="557">
        <f>IF(D359&gt;0,RANK(D359,$D$354:$D$372),)</f>
        <v>0</v>
      </c>
      <c r="J359" s="557">
        <f>IF(E359&gt;0,RANK(E359,$E$354:$E$372),)</f>
        <v>0</v>
      </c>
      <c r="K359" s="557">
        <f>IF(F359&gt;0,RANK(F359,$F$354:$F$372),)</f>
        <v>0</v>
      </c>
      <c r="L359" s="648"/>
      <c r="M359" s="825">
        <f>+'[1]NEW-Tables 80-86'!AN168</f>
        <v>0</v>
      </c>
    </row>
    <row r="360" spans="1:13" s="490" customFormat="1" ht="12.75" customHeight="1">
      <c r="A360" s="406" t="s">
        <v>322</v>
      </c>
      <c r="B360" s="555">
        <f>IF($M360&gt;0,('Amounts Pivot Table'!M$201/$M360),0)</f>
        <v>3821.8222284245567</v>
      </c>
      <c r="C360" s="555">
        <f>IF($M360&gt;0,('Amounts Pivot Table'!M$204/$M360),0)</f>
        <v>0</v>
      </c>
      <c r="D360" s="555">
        <f>IF($M360&gt;0,('Amounts Pivot Table'!M$207/$M360),0)</f>
        <v>0</v>
      </c>
      <c r="E360" s="555">
        <f>IF($M360&gt;0,('Amounts Pivot Table'!M$210/$M360),0)</f>
        <v>3891.8006800807916</v>
      </c>
      <c r="F360" s="555">
        <f t="shared" si="31"/>
        <v>7713.6229085053483</v>
      </c>
      <c r="G360" s="556">
        <f>IF(B360&gt;0,RANK(B360,$B$354:$B$372),)</f>
        <v>9</v>
      </c>
      <c r="H360" s="557">
        <f>IF(C360&gt;0,RANK(C360,$C$354:$C$372),)</f>
        <v>0</v>
      </c>
      <c r="I360" s="557">
        <f>IF(D360&gt;0,RANK(D360,$D$354:$D$372),)</f>
        <v>0</v>
      </c>
      <c r="J360" s="557">
        <f>IF(E360&gt;0,RANK(E360,$E$354:$E$372),)</f>
        <v>5</v>
      </c>
      <c r="K360" s="557">
        <f>IF(F360&gt;0,RANK(F360,$F$354:$F$372),)</f>
        <v>10</v>
      </c>
      <c r="L360" s="648"/>
      <c r="M360" s="825">
        <f>+'[1]NEW-Tables 80-86'!AN169</f>
        <v>1303.7666666666667</v>
      </c>
    </row>
    <row r="361" spans="1:13" s="490" customFormat="1" ht="12.75" customHeight="1">
      <c r="A361" s="406" t="s">
        <v>330</v>
      </c>
      <c r="B361" s="555">
        <f>IF($M361&gt;0,('Amounts Pivot Table'!M$240/$M361),0)</f>
        <v>2013.984578592341</v>
      </c>
      <c r="C361" s="555">
        <f>IF($M361&gt;0,('Amounts Pivot Table'!M$243/$M361),0)</f>
        <v>0</v>
      </c>
      <c r="D361" s="555">
        <f>IF($M361&gt;0,('Amounts Pivot Table'!M$246/$M361),0)</f>
        <v>0</v>
      </c>
      <c r="E361" s="555">
        <f>IF($M361&gt;0,('Amounts Pivot Table'!M$249/$M361),0)</f>
        <v>2924.1093011035209</v>
      </c>
      <c r="F361" s="555">
        <f t="shared" si="31"/>
        <v>4938.0938796958617</v>
      </c>
      <c r="G361" s="556">
        <f>IF(B361&gt;0,RANK(B361,$B$354:$B$372),)</f>
        <v>11</v>
      </c>
      <c r="H361" s="557">
        <f>IF(C361&gt;0,RANK(C361,$C$354:$C$372),)</f>
        <v>0</v>
      </c>
      <c r="I361" s="557">
        <f>IF(D361&gt;0,RANK(D361,$D$354:$D$372),)</f>
        <v>0</v>
      </c>
      <c r="J361" s="557">
        <f>IF(E361&gt;0,RANK(E361,$E$354:$E$372),)</f>
        <v>9</v>
      </c>
      <c r="K361" s="557">
        <f>IF(F361&gt;0,RANK(F361,$F$354:$F$372),)</f>
        <v>12</v>
      </c>
      <c r="L361" s="648"/>
      <c r="M361" s="825">
        <f>+'[1]NEW-Tables 80-86'!AN170</f>
        <v>3108.2333333333331</v>
      </c>
    </row>
    <row r="362" spans="1:13" s="490" customFormat="1" ht="12.75" customHeight="1">
      <c r="A362" s="406" t="s">
        <v>333</v>
      </c>
      <c r="B362" s="555">
        <f>IF($M362&gt;0,('Amounts Pivot Table'!M$279/$M362),0)</f>
        <v>3570.5931307851847</v>
      </c>
      <c r="C362" s="555">
        <f>IF($M362&gt;0,('Amounts Pivot Table'!M$282/$M362),0)</f>
        <v>0</v>
      </c>
      <c r="D362" s="555">
        <f>IF($M362&gt;0,('Amounts Pivot Table'!M$285/$M362),0)</f>
        <v>4996.4645423812053</v>
      </c>
      <c r="E362" s="555">
        <f>IF($M362&gt;0,('Amounts Pivot Table'!M$288/$M362),0)</f>
        <v>4945.7407448007334</v>
      </c>
      <c r="F362" s="555">
        <f t="shared" si="31"/>
        <v>13512.798417967122</v>
      </c>
      <c r="G362" s="556">
        <f>IF(B362&gt;0,RANK(B362,$B$354:$B$372),)</f>
        <v>10</v>
      </c>
      <c r="H362" s="557">
        <f>IF(C362&gt;0,RANK(C362,$C$354:$C$372),)</f>
        <v>0</v>
      </c>
      <c r="I362" s="557">
        <f>IF(D362&gt;0,RANK(D362,$D$354:$D$372),)</f>
        <v>1</v>
      </c>
      <c r="J362" s="557">
        <f>IF(E362&gt;0,RANK(E362,$E$354:$E$372),)</f>
        <v>1</v>
      </c>
      <c r="K362" s="557">
        <f>IF(F362&gt;0,RANK(F362,$F$354:$F$372),)</f>
        <v>1</v>
      </c>
      <c r="L362" s="648"/>
      <c r="M362" s="825">
        <f>+'[1]NEW-Tables 80-86'!AN171</f>
        <v>3801.0166666666664</v>
      </c>
    </row>
    <row r="363" spans="1:13" s="112" customFormat="1" ht="10.5" customHeight="1">
      <c r="A363" s="110"/>
      <c r="B363" s="111"/>
      <c r="C363" s="111"/>
      <c r="D363" s="111"/>
      <c r="E363" s="111"/>
      <c r="F363" s="111"/>
      <c r="G363" s="119"/>
      <c r="H363" s="120"/>
      <c r="I363" s="120"/>
      <c r="J363" s="120"/>
      <c r="K363" s="120"/>
      <c r="L363" s="175"/>
      <c r="M363" s="825"/>
    </row>
    <row r="364" spans="1:13" s="490" customFormat="1" ht="12.75" customHeight="1">
      <c r="A364" s="406" t="s">
        <v>323</v>
      </c>
      <c r="B364" s="555">
        <f>IF($M364&gt;0,('Amounts Pivot Table'!M$318/$M364),0)</f>
        <v>4676.8150625518056</v>
      </c>
      <c r="C364" s="555">
        <f>IF($M364&gt;0,('Amounts Pivot Table'!M$321/$M364),0)</f>
        <v>697.23287584093146</v>
      </c>
      <c r="D364" s="555">
        <f>IF($M364&gt;0,('Amounts Pivot Table'!M$324/$M364),0)</f>
        <v>937.00570580411352</v>
      </c>
      <c r="E364" s="555">
        <f>IF($M364&gt;0,('Amounts Pivot Table'!M$327/$M364),0)</f>
        <v>3135.958517261985</v>
      </c>
      <c r="F364" s="555">
        <f t="shared" si="31"/>
        <v>9447.0121614588352</v>
      </c>
      <c r="G364" s="556">
        <f>IF(B364&gt;0,RANK(B364,$B$354:$B$372),)</f>
        <v>4</v>
      </c>
      <c r="H364" s="557">
        <f>IF(C364&gt;0,RANK(C364,$C$354:$C$372),)</f>
        <v>2</v>
      </c>
      <c r="I364" s="557">
        <f>IF(D364&gt;0,RANK(D364,$D$354:$D$372),)</f>
        <v>4</v>
      </c>
      <c r="J364" s="557">
        <f>IF(E364&gt;0,RANK(E364,$E$354:$E$372),)</f>
        <v>8</v>
      </c>
      <c r="K364" s="557">
        <f>IF(F364&gt;0,RANK(F364,$F$354:$F$372),)</f>
        <v>4</v>
      </c>
      <c r="L364" s="648"/>
      <c r="M364" s="825">
        <f>+'[1]NEW-Tables 80-86'!AN173</f>
        <v>3458.4666666666667</v>
      </c>
    </row>
    <row r="365" spans="1:13" s="490" customFormat="1" ht="12.75" customHeight="1">
      <c r="A365" s="406" t="s">
        <v>324</v>
      </c>
      <c r="B365" s="555">
        <f>IF($M365&gt;0,('Amounts Pivot Table'!M$357/$M365),0)</f>
        <v>4311.8049472817793</v>
      </c>
      <c r="C365" s="555">
        <f>IF($M365&gt;0,('Amounts Pivot Table'!M$360/$M365),0)</f>
        <v>1050.0974925348437</v>
      </c>
      <c r="D365" s="555">
        <f>IF($M365&gt;0,('Amounts Pivot Table'!M$363/$M365),0)</f>
        <v>1149.7727955577548</v>
      </c>
      <c r="E365" s="555">
        <f>IF($M365&gt;0,('Amounts Pivot Table'!M$366/$M365),0)</f>
        <v>1863.4331413491816</v>
      </c>
      <c r="F365" s="555">
        <f t="shared" si="31"/>
        <v>8375.1083767235596</v>
      </c>
      <c r="G365" s="556">
        <f>IF(B365&gt;0,RANK(B365,$B$354:$B$372),)</f>
        <v>6</v>
      </c>
      <c r="H365" s="557">
        <f>IF(C365&gt;0,RANK(C365,$C$354:$C$372),)</f>
        <v>1</v>
      </c>
      <c r="I365" s="557">
        <f>IF(D365&gt;0,RANK(D365,$D$354:$D$372),)</f>
        <v>3</v>
      </c>
      <c r="J365" s="557">
        <f>IF(E365&gt;0,RANK(E365,$E$354:$E$372),)</f>
        <v>11</v>
      </c>
      <c r="K365" s="557">
        <f>IF(F365&gt;0,RANK(F365,$F$354:$F$372),)</f>
        <v>6</v>
      </c>
      <c r="L365" s="648"/>
      <c r="M365" s="825">
        <f>+'[1]NEW-Tables 80-86'!AN174</f>
        <v>34754.797777777778</v>
      </c>
    </row>
    <row r="366" spans="1:13" s="490" customFormat="1" ht="12.75" customHeight="1">
      <c r="A366" s="406" t="s">
        <v>331</v>
      </c>
      <c r="B366" s="555">
        <f>IF($M366&gt;0,('Amounts Pivot Table'!M$396/$M366),0)</f>
        <v>4307.1524954588713</v>
      </c>
      <c r="C366" s="555">
        <f>IF($M366&gt;0,('Amounts Pivot Table'!M$399/$M366),0)</f>
        <v>0</v>
      </c>
      <c r="D366" s="555">
        <f>IF($M366&gt;0,('Amounts Pivot Table'!M$402/$M366),0)</f>
        <v>0</v>
      </c>
      <c r="E366" s="555">
        <f>IF($M366&gt;0,('Amounts Pivot Table'!M$405/$M366),0)</f>
        <v>3531.0710269749288</v>
      </c>
      <c r="F366" s="555">
        <f t="shared" si="31"/>
        <v>7838.2235224338001</v>
      </c>
      <c r="G366" s="556">
        <f>IF(B366&gt;0,RANK(B366,$B$354:$B$372),)</f>
        <v>7</v>
      </c>
      <c r="H366" s="557">
        <f>IF(C366&gt;0,RANK(C366,$C$354:$C$372),)</f>
        <v>0</v>
      </c>
      <c r="I366" s="557">
        <f>IF(D366&gt;0,RANK(D366,$D$354:$D$372),)</f>
        <v>0</v>
      </c>
      <c r="J366" s="557">
        <f>IF(E366&gt;0,RANK(E366,$E$354:$E$372),)</f>
        <v>7</v>
      </c>
      <c r="K366" s="557">
        <f>IF(F366&gt;0,RANK(F366,$F$354:$F$372),)</f>
        <v>9</v>
      </c>
      <c r="L366" s="648"/>
      <c r="M366" s="825">
        <f>+'[1]NEW-Tables 80-86'!AN175</f>
        <v>10790.266666666665</v>
      </c>
    </row>
    <row r="367" spans="1:13" s="490" customFormat="1" ht="12.75" customHeight="1">
      <c r="A367" s="406" t="s">
        <v>325</v>
      </c>
      <c r="B367" s="555">
        <f>IF($M367&gt;0,('Amounts Pivot Table'!M$435/$M367),0)</f>
        <v>1655.7034580384225</v>
      </c>
      <c r="C367" s="555">
        <f>IF($M367&gt;0,('Amounts Pivot Table'!M$438/$M367),0)</f>
        <v>460.44266936299283</v>
      </c>
      <c r="D367" s="555">
        <f>IF($M367&gt;0,('Amounts Pivot Table'!M$441/$M367),0)</f>
        <v>457.68800808897868</v>
      </c>
      <c r="E367" s="555">
        <f>IF($M367&gt;0,('Amounts Pivot Table'!M$444/$M367),0)</f>
        <v>4841.522305358948</v>
      </c>
      <c r="F367" s="555">
        <f t="shared" si="31"/>
        <v>7415.3564408493421</v>
      </c>
      <c r="G367" s="556">
        <f>IF(B367&gt;0,RANK(B367,$B$354:$B$372),)</f>
        <v>12</v>
      </c>
      <c r="H367" s="557">
        <f>IF(C367&gt;0,RANK(C367,$C$354:$C$372),)</f>
        <v>3</v>
      </c>
      <c r="I367" s="557">
        <f>IF(D367&gt;0,RANK(D367,$D$354:$D$372),)</f>
        <v>5</v>
      </c>
      <c r="J367" s="557">
        <f>IF(E367&gt;0,RANK(E367,$E$354:$E$372),)</f>
        <v>2</v>
      </c>
      <c r="K367" s="557">
        <f>IF(F367&gt;0,RANK(F367,$F$354:$F$372),)</f>
        <v>11</v>
      </c>
      <c r="L367" s="648"/>
      <c r="M367" s="825">
        <f>+'[1]NEW-Tables 80-86'!AN176</f>
        <v>8241.6666666666679</v>
      </c>
    </row>
    <row r="368" spans="1:13" s="112" customFormat="1" ht="10.5" customHeight="1">
      <c r="A368" s="110"/>
      <c r="B368" s="111"/>
      <c r="C368" s="111"/>
      <c r="D368" s="111"/>
      <c r="E368" s="111"/>
      <c r="F368" s="111"/>
      <c r="G368" s="119"/>
      <c r="H368" s="120"/>
      <c r="I368" s="120"/>
      <c r="J368" s="120"/>
      <c r="K368" s="120"/>
      <c r="L368" s="175"/>
      <c r="M368" s="825"/>
    </row>
    <row r="369" spans="1:13" s="490" customFormat="1" ht="12.75" customHeight="1">
      <c r="A369" s="406" t="s">
        <v>90</v>
      </c>
      <c r="B369" s="555">
        <f>IF($M369&gt;0,('Amounts Pivot Table'!M$474/$M369),0)</f>
        <v>0</v>
      </c>
      <c r="C369" s="555">
        <f>IF($M369&gt;0,('Amounts Pivot Table'!M$477/$M369),0)</f>
        <v>0</v>
      </c>
      <c r="D369" s="555">
        <f>IF($M369&gt;0,('Amounts Pivot Table'!M$480/$M369),0)</f>
        <v>0</v>
      </c>
      <c r="E369" s="555">
        <f>IF($M369&gt;0,('Amounts Pivot Table'!M$483/$M369),0)</f>
        <v>0</v>
      </c>
      <c r="F369" s="555">
        <f t="shared" si="31"/>
        <v>0</v>
      </c>
      <c r="G369" s="556">
        <f>IF(B369&gt;0,RANK(B369,$B$354:$B$372),)</f>
        <v>0</v>
      </c>
      <c r="H369" s="557">
        <f>IF(C369&gt;0,RANK(C369,$C$354:$C$372),)</f>
        <v>0</v>
      </c>
      <c r="I369" s="557">
        <f>IF(D369&gt;0,RANK(D369,$D$354:$D$372),)</f>
        <v>0</v>
      </c>
      <c r="J369" s="557">
        <f>IF(E369&gt;0,RANK(E369,$E$354:$E$372),)</f>
        <v>0</v>
      </c>
      <c r="K369" s="557">
        <f>IF(F369&gt;0,RANK(F369,$F$354:$F$372),)</f>
        <v>0</v>
      </c>
      <c r="L369" s="648"/>
      <c r="M369" s="825">
        <f>+'[1]NEW-Tables 80-86'!AN178</f>
        <v>0</v>
      </c>
    </row>
    <row r="370" spans="1:13" s="76" customFormat="1" ht="12.75" customHeight="1">
      <c r="A370" s="406" t="s">
        <v>177</v>
      </c>
      <c r="B370" s="555">
        <f>IF($M370&gt;0,('Amounts Pivot Table'!M$513/$M370),0)</f>
        <v>4344.6241159351048</v>
      </c>
      <c r="C370" s="555">
        <f>IF($M370&gt;0,('Amounts Pivot Table'!M$516/$M370),0)</f>
        <v>0</v>
      </c>
      <c r="D370" s="555">
        <f>IF($M370&gt;0,('Amounts Pivot Table'!M$519/$M370),0)</f>
        <v>2095.9614973802504</v>
      </c>
      <c r="E370" s="555">
        <f>IF($M370&gt;0,('Amounts Pivot Table'!M$522/$M370),0)</f>
        <v>1809.5068990942857</v>
      </c>
      <c r="F370" s="555">
        <f t="shared" si="31"/>
        <v>8250.0925124096411</v>
      </c>
      <c r="G370" s="556">
        <f>IF(B370&gt;0,RANK(B370,$B$354:$B$372),)</f>
        <v>5</v>
      </c>
      <c r="H370" s="557">
        <f>IF(C370&gt;0,RANK(C370,$C$354:$C$372),)</f>
        <v>0</v>
      </c>
      <c r="I370" s="557">
        <f>IF(D370&gt;0,RANK(D370,$D$354:$D$372),)</f>
        <v>2</v>
      </c>
      <c r="J370" s="557">
        <f>IF(E370&gt;0,RANK(E370,$E$354:$E$372),)</f>
        <v>12</v>
      </c>
      <c r="K370" s="557">
        <f>IF(F370&gt;0,RANK(F370,$F$354:$F$372),)</f>
        <v>7</v>
      </c>
      <c r="L370" s="169"/>
      <c r="M370" s="825">
        <f>+'[1]NEW-Tables 80-86'!AN179</f>
        <v>11609.253333333334</v>
      </c>
    </row>
    <row r="371" spans="1:13" s="490" customFormat="1" ht="12.75" customHeight="1">
      <c r="A371" s="406" t="s">
        <v>27</v>
      </c>
      <c r="B371" s="555">
        <f>IF($M371&gt;0,('Amounts Pivot Table'!M$552/$M371),0)</f>
        <v>627.4607359853261</v>
      </c>
      <c r="C371" s="555">
        <f>IF($M371&gt;0,('Amounts Pivot Table'!M$555/$M371),0)</f>
        <v>0</v>
      </c>
      <c r="D371" s="555">
        <f>IF($M371&gt;0,('Amounts Pivot Table'!M$558/$M371),0)</f>
        <v>0</v>
      </c>
      <c r="E371" s="555">
        <f>IF($M371&gt;0,('Amounts Pivot Table'!M$561/$M371),0)</f>
        <v>509.40112346669724</v>
      </c>
      <c r="F371" s="555">
        <f>SUM(B371:E371)</f>
        <v>1136.8618594520233</v>
      </c>
      <c r="G371" s="556">
        <f>IF(B371&gt;0,RANK(B371,$B$354:$B$372),)</f>
        <v>13</v>
      </c>
      <c r="H371" s="557">
        <f>IF(C371&gt;0,RANK(C371,$C$354:$C$372),)</f>
        <v>0</v>
      </c>
      <c r="I371" s="557">
        <f>IF(D371&gt;0,RANK(D371,$D$354:$D$372),)</f>
        <v>0</v>
      </c>
      <c r="J371" s="557">
        <f>IF(E371&gt;0,RANK(E371,$E$354:$E$372),)</f>
        <v>13</v>
      </c>
      <c r="K371" s="557">
        <f>IF(F371&gt;0,RANK(F371,$F$354:$F$372),)</f>
        <v>13</v>
      </c>
      <c r="L371" s="649"/>
      <c r="M371" s="825">
        <f>+'[1]NEW-Tables 80-86'!AN180</f>
        <v>8723</v>
      </c>
    </row>
    <row r="372" spans="1:13" s="490" customFormat="1" ht="13.5" customHeight="1">
      <c r="A372" s="407" t="s">
        <v>332</v>
      </c>
      <c r="B372" s="561">
        <f>IF($M372&gt;0,('Amounts Pivot Table'!M$591/$M372),0)</f>
        <v>3907.2888157157536</v>
      </c>
      <c r="C372" s="561">
        <f>IF($M372&gt;0,('Amounts Pivot Table'!M$594/$M372),0)</f>
        <v>52.73152986618642</v>
      </c>
      <c r="D372" s="561">
        <f>IF($M372&gt;0,('Amounts Pivot Table'!M$597/$M372),0)</f>
        <v>0</v>
      </c>
      <c r="E372" s="561">
        <f>IF($M372&gt;0,('Amounts Pivot Table'!M$600/$M372),0)</f>
        <v>4029.3112236864172</v>
      </c>
      <c r="F372" s="562">
        <f t="shared" si="31"/>
        <v>7989.3315692683573</v>
      </c>
      <c r="G372" s="563">
        <f>IF(B372&gt;0,RANK(B372,$B$354:$B$372),)</f>
        <v>8</v>
      </c>
      <c r="H372" s="564">
        <f>IF(C372&gt;0,RANK(C372,$C$354:$C$372),)</f>
        <v>6</v>
      </c>
      <c r="I372" s="564">
        <f>IF(D372&gt;0,RANK(D372,$D$354:$D$372),)</f>
        <v>0</v>
      </c>
      <c r="J372" s="564">
        <f>IF(E372&gt;0,RANK(E372,$E$354:$E$372),)</f>
        <v>3</v>
      </c>
      <c r="K372" s="564">
        <f>IF(F372&gt;0,RANK(F372,$F$354:$F$372),)</f>
        <v>8</v>
      </c>
      <c r="L372" s="652"/>
      <c r="M372" s="825">
        <f>+'[1]NEW-Tables 80-86'!AN181</f>
        <v>9102.7133333333331</v>
      </c>
    </row>
    <row r="373" spans="1:13" s="76" customFormat="1" ht="12" customHeight="1">
      <c r="A373" s="1534" t="s">
        <v>1953</v>
      </c>
      <c r="B373" s="1534"/>
      <c r="C373" s="1534"/>
      <c r="D373" s="1534"/>
      <c r="E373" s="1534"/>
      <c r="F373" s="1534"/>
      <c r="G373" s="1534"/>
      <c r="H373" s="1534"/>
      <c r="I373" s="1534"/>
      <c r="J373" s="1534"/>
      <c r="K373" s="1534"/>
      <c r="L373" s="169"/>
      <c r="M373" s="666"/>
    </row>
    <row r="374" spans="1:13" s="76" customFormat="1" ht="13.5" customHeight="1">
      <c r="A374" s="492" t="s">
        <v>1952</v>
      </c>
      <c r="B374" s="639"/>
      <c r="C374" s="639"/>
      <c r="D374" s="639"/>
      <c r="E374" s="639"/>
      <c r="F374" s="639"/>
      <c r="G374" s="639"/>
      <c r="H374" s="639"/>
      <c r="I374" s="639"/>
      <c r="J374" s="639"/>
      <c r="K374" s="639"/>
      <c r="L374" s="169"/>
      <c r="M374" s="666"/>
    </row>
    <row r="375" spans="1:13" s="76" customFormat="1" ht="34.5" customHeight="1">
      <c r="A375" s="1505" t="s">
        <v>17</v>
      </c>
      <c r="B375" s="1529"/>
      <c r="C375" s="1529"/>
      <c r="D375" s="1529"/>
      <c r="E375" s="1529"/>
      <c r="F375" s="1529"/>
      <c r="G375" s="1529"/>
      <c r="H375" s="1529"/>
      <c r="I375" s="1529"/>
      <c r="J375" s="1529"/>
      <c r="K375" s="1529"/>
      <c r="L375" s="169"/>
      <c r="M375" s="663"/>
    </row>
    <row r="376" spans="1:13" s="205" customFormat="1" ht="13.5" customHeight="1">
      <c r="A376" s="1505" t="s">
        <v>54</v>
      </c>
      <c r="B376" s="1529"/>
      <c r="C376" s="1529"/>
      <c r="D376" s="1529"/>
      <c r="E376" s="1529"/>
      <c r="F376" s="1529"/>
      <c r="G376" s="1529"/>
      <c r="H376" s="1529"/>
      <c r="I376" s="1529"/>
      <c r="J376" s="1529"/>
      <c r="K376" s="1529"/>
      <c r="L376" s="204"/>
      <c r="M376" s="663"/>
    </row>
    <row r="377" spans="1:13" s="490" customFormat="1" ht="13.5" customHeight="1">
      <c r="A377" s="1505" t="s">
        <v>233</v>
      </c>
      <c r="B377" s="1541"/>
      <c r="C377" s="1541"/>
      <c r="D377" s="1541"/>
      <c r="E377" s="1541"/>
      <c r="F377" s="1541"/>
      <c r="G377" s="1542"/>
      <c r="H377" s="1542"/>
      <c r="I377" s="1542"/>
      <c r="J377" s="1542"/>
      <c r="K377" s="1542"/>
      <c r="L377" s="652"/>
      <c r="M377" s="663"/>
    </row>
    <row r="378" spans="1:13" s="490" customFormat="1">
      <c r="A378" s="638"/>
      <c r="B378" s="651"/>
      <c r="C378" s="651"/>
      <c r="D378" s="651"/>
      <c r="E378" s="651"/>
      <c r="F378" s="651"/>
      <c r="G378" s="653"/>
      <c r="H378" s="653"/>
      <c r="I378" s="653"/>
      <c r="J378" s="653"/>
      <c r="K378" s="534" t="s">
        <v>1927</v>
      </c>
      <c r="L378" s="652"/>
      <c r="M378" s="663"/>
    </row>
    <row r="379" spans="1:13" s="490" customFormat="1" ht="15.75">
      <c r="A379" s="1504" t="s">
        <v>370</v>
      </c>
      <c r="B379" s="1504"/>
      <c r="C379" s="1504"/>
      <c r="D379" s="1504"/>
      <c r="E379" s="1504"/>
      <c r="F379" s="1504"/>
      <c r="G379" s="1504"/>
      <c r="H379" s="1504"/>
      <c r="I379" s="1504"/>
      <c r="J379" s="1504"/>
      <c r="K379" s="1504"/>
      <c r="M379" s="663"/>
    </row>
    <row r="380" spans="1:13" s="490" customFormat="1" ht="18.75">
      <c r="A380" s="1504" t="s">
        <v>18</v>
      </c>
      <c r="B380" s="1504"/>
      <c r="C380" s="1504"/>
      <c r="D380" s="1504"/>
      <c r="E380" s="1504"/>
      <c r="F380" s="1504"/>
      <c r="G380" s="1504"/>
      <c r="H380" s="1504"/>
      <c r="I380" s="1504"/>
      <c r="J380" s="1504"/>
      <c r="K380" s="1504"/>
      <c r="L380" s="165"/>
      <c r="M380" s="663"/>
    </row>
    <row r="381" spans="1:13" s="490" customFormat="1" ht="15.75">
      <c r="A381" s="1504" t="s">
        <v>1947</v>
      </c>
      <c r="B381" s="1504"/>
      <c r="C381" s="1504"/>
      <c r="D381" s="1504"/>
      <c r="E381" s="1504"/>
      <c r="F381" s="1504"/>
      <c r="G381" s="1504"/>
      <c r="H381" s="1504"/>
      <c r="I381" s="1504"/>
      <c r="J381" s="1504"/>
      <c r="K381" s="1504"/>
      <c r="L381" s="165"/>
      <c r="M381" s="663"/>
    </row>
    <row r="382" spans="1:13" s="490" customFormat="1" ht="10.5" customHeight="1">
      <c r="A382" s="91"/>
      <c r="B382" s="91"/>
      <c r="C382" s="91"/>
      <c r="D382" s="91"/>
      <c r="E382" s="91"/>
      <c r="F382" s="91"/>
      <c r="G382" s="108"/>
      <c r="H382" s="91"/>
      <c r="I382" s="91"/>
      <c r="J382" s="91"/>
      <c r="K382" s="91"/>
      <c r="L382" s="165"/>
      <c r="M382" s="643"/>
    </row>
    <row r="383" spans="1:13" s="490" customFormat="1" ht="17.25" customHeight="1">
      <c r="A383" s="60"/>
      <c r="B383" s="1543" t="s">
        <v>55</v>
      </c>
      <c r="C383" s="1544"/>
      <c r="D383" s="1544"/>
      <c r="E383" s="1544"/>
      <c r="F383" s="1544"/>
      <c r="G383" s="57" t="s">
        <v>119</v>
      </c>
      <c r="H383" s="58"/>
      <c r="I383" s="58"/>
      <c r="J383" s="58"/>
      <c r="K383" s="58"/>
      <c r="L383" s="173"/>
      <c r="M383" s="643"/>
    </row>
    <row r="384" spans="1:13" s="378" customFormat="1" ht="45">
      <c r="A384" s="644"/>
      <c r="B384" s="51" t="s">
        <v>87</v>
      </c>
      <c r="C384" s="52" t="s">
        <v>89</v>
      </c>
      <c r="D384" s="52" t="s">
        <v>88</v>
      </c>
      <c r="E384" s="52" t="s">
        <v>306</v>
      </c>
      <c r="F384" s="52" t="s">
        <v>97</v>
      </c>
      <c r="G384" s="53" t="s">
        <v>87</v>
      </c>
      <c r="H384" s="52" t="s">
        <v>89</v>
      </c>
      <c r="I384" s="52" t="s">
        <v>88</v>
      </c>
      <c r="J384" s="52" t="s">
        <v>306</v>
      </c>
      <c r="K384" s="52" t="s">
        <v>97</v>
      </c>
      <c r="L384" s="646"/>
      <c r="M384" s="655" t="s">
        <v>260</v>
      </c>
    </row>
    <row r="385" spans="1:13" s="490" customFormat="1" ht="14.25">
      <c r="A385" s="406" t="s">
        <v>56</v>
      </c>
      <c r="B385" s="552">
        <f>IF($M385&gt;0,('Amounts Pivot Table'!N$630/$M385),0)</f>
        <v>2445.3870288800249</v>
      </c>
      <c r="C385" s="552">
        <f>IF($M385&gt;0,('Amounts Pivot Table'!N$633/$M385),0)</f>
        <v>0</v>
      </c>
      <c r="D385" s="552">
        <f>IF($M385&gt;0,('Amounts Pivot Table'!N$636/$M385),0)</f>
        <v>1692.9079164702046</v>
      </c>
      <c r="E385" s="552">
        <f>IF($M385&gt;0,('Amounts Pivot Table'!N$639/$M385),0)</f>
        <v>3075.5787391368431</v>
      </c>
      <c r="F385" s="552">
        <f>SUM(B385:E385)</f>
        <v>7213.8736844870728</v>
      </c>
      <c r="G385" s="553"/>
      <c r="H385" s="554"/>
      <c r="I385" s="554"/>
      <c r="J385" s="554"/>
      <c r="K385" s="554"/>
      <c r="L385" s="648"/>
      <c r="M385" s="825">
        <f>+'[1]NEW-Tables 80-86'!AO161</f>
        <v>210279.82888888888</v>
      </c>
    </row>
    <row r="386" spans="1:13" s="112" customFormat="1">
      <c r="A386" s="110"/>
      <c r="B386" s="111"/>
      <c r="C386" s="111"/>
      <c r="D386" s="111"/>
      <c r="E386" s="111"/>
      <c r="F386" s="111"/>
      <c r="G386" s="119"/>
      <c r="H386" s="120"/>
      <c r="I386" s="120"/>
      <c r="J386" s="120"/>
      <c r="K386" s="120"/>
      <c r="L386" s="175"/>
      <c r="M386" s="825"/>
    </row>
    <row r="387" spans="1:13" s="490" customFormat="1" ht="12.75" customHeight="1">
      <c r="A387" s="406" t="s">
        <v>320</v>
      </c>
      <c r="B387" s="555">
        <f>IF($M387&gt;0,('Amounts Pivot Table'!N$6/$M387),0)</f>
        <v>0</v>
      </c>
      <c r="C387" s="555">
        <f>IF($M387&gt;0,('Amounts Pivot Table'!N$9/$M387),0)</f>
        <v>0</v>
      </c>
      <c r="D387" s="555">
        <f>IF($M387&gt;0,('Amounts Pivot Table'!N$12/$M387),0)</f>
        <v>0</v>
      </c>
      <c r="E387" s="555">
        <f>IF($M387&gt;0,('Amounts Pivot Table'!N$15/$M387),0)</f>
        <v>0</v>
      </c>
      <c r="F387" s="555">
        <f t="shared" ref="F387:F405" si="32">SUM(B387:E387)</f>
        <v>0</v>
      </c>
      <c r="G387" s="556">
        <f t="shared" ref="G387:G405" si="33">IF(B387&gt;0,RANK(B387,$B$387:$B$405),)</f>
        <v>0</v>
      </c>
      <c r="H387" s="557">
        <f t="shared" ref="H387:H405" si="34">IF(C387&gt;0,RANK(C387,$C$387:$C$405),)</f>
        <v>0</v>
      </c>
      <c r="I387" s="557">
        <f t="shared" ref="I387:I405" si="35">IF(D387&gt;0,RANK(D387,$D$387:$D$405),)</f>
        <v>0</v>
      </c>
      <c r="J387" s="557">
        <f t="shared" ref="J387:J405" si="36">IF(E387&gt;0,RANK(E387,$E$387:$E$405),)</f>
        <v>0</v>
      </c>
      <c r="K387" s="557">
        <f t="shared" ref="K387:K405" si="37">IF(F387&gt;0,RANK(F387,$F$387:$F$405),)</f>
        <v>0</v>
      </c>
      <c r="L387" s="648"/>
      <c r="M387" s="825">
        <f>+'[1]NEW-Tables 80-86'!AO163</f>
        <v>0</v>
      </c>
    </row>
    <row r="388" spans="1:13" s="490" customFormat="1" ht="12.75" customHeight="1">
      <c r="A388" s="406" t="s">
        <v>334</v>
      </c>
      <c r="B388" s="555">
        <f>IF($M388&gt;0,('Amounts Pivot Table'!N$45/$M388),0)</f>
        <v>0</v>
      </c>
      <c r="C388" s="555">
        <f>IF($M388&gt;0,('Amounts Pivot Table'!N$48/$M388),0)</f>
        <v>0</v>
      </c>
      <c r="D388" s="555">
        <f>IF($M388&gt;0,('Amounts Pivot Table'!N$51/$M388),0)</f>
        <v>0</v>
      </c>
      <c r="E388" s="555">
        <f>IF($M388&gt;0,('Amounts Pivot Table'!N$54/$M388),0)</f>
        <v>0</v>
      </c>
      <c r="F388" s="555">
        <f t="shared" si="32"/>
        <v>0</v>
      </c>
      <c r="G388" s="556">
        <f t="shared" si="33"/>
        <v>0</v>
      </c>
      <c r="H388" s="557">
        <f t="shared" si="34"/>
        <v>0</v>
      </c>
      <c r="I388" s="557">
        <f t="shared" si="35"/>
        <v>0</v>
      </c>
      <c r="J388" s="557">
        <f t="shared" si="36"/>
        <v>0</v>
      </c>
      <c r="K388" s="557">
        <f t="shared" si="37"/>
        <v>0</v>
      </c>
      <c r="L388" s="648"/>
      <c r="M388" s="825">
        <f>+'[1]NEW-Tables 80-86'!AO164</f>
        <v>0</v>
      </c>
    </row>
    <row r="389" spans="1:13" s="490" customFormat="1" ht="12.75" customHeight="1">
      <c r="A389" s="406" t="s">
        <v>321</v>
      </c>
      <c r="B389" s="555">
        <f>IF($M389&gt;0,('Amounts Pivot Table'!N$84/$M389),0)</f>
        <v>0</v>
      </c>
      <c r="C389" s="555">
        <f>IF($M389&gt;0,('Amounts Pivot Table'!N$87/$M389),0)</f>
        <v>0</v>
      </c>
      <c r="D389" s="555">
        <f>IF($M389&gt;0,('Amounts Pivot Table'!N$90/$M389),0)</f>
        <v>0</v>
      </c>
      <c r="E389" s="555">
        <f>IF($M389&gt;0,('Amounts Pivot Table'!N$93/$M389),0)</f>
        <v>0</v>
      </c>
      <c r="F389" s="555">
        <f t="shared" si="32"/>
        <v>0</v>
      </c>
      <c r="G389" s="556">
        <f t="shared" si="33"/>
        <v>0</v>
      </c>
      <c r="H389" s="557">
        <f t="shared" si="34"/>
        <v>0</v>
      </c>
      <c r="I389" s="557">
        <f t="shared" si="35"/>
        <v>0</v>
      </c>
      <c r="J389" s="557">
        <f t="shared" si="36"/>
        <v>0</v>
      </c>
      <c r="K389" s="557">
        <f t="shared" si="37"/>
        <v>0</v>
      </c>
      <c r="L389" s="648"/>
      <c r="M389" s="825">
        <f>+'[1]NEW-Tables 80-86'!AO165</f>
        <v>0</v>
      </c>
    </row>
    <row r="390" spans="1:13" s="490" customFormat="1" ht="12.75" customHeight="1">
      <c r="A390" s="406" t="s">
        <v>328</v>
      </c>
      <c r="B390" s="555">
        <f>IF($M390&gt;0,('Amounts Pivot Table'!N$123/$M390),0)</f>
        <v>0</v>
      </c>
      <c r="C390" s="555">
        <f>IF($M390&gt;0,('Amounts Pivot Table'!N$126/$M390),0)</f>
        <v>0</v>
      </c>
      <c r="D390" s="555">
        <f>IF($M390&gt;0,('Amounts Pivot Table'!N$129/$M390),0)</f>
        <v>0</v>
      </c>
      <c r="E390" s="555">
        <f>IF($M390&gt;0,('Amounts Pivot Table'!N$132/$M390),0)</f>
        <v>0</v>
      </c>
      <c r="F390" s="555">
        <f t="shared" si="32"/>
        <v>0</v>
      </c>
      <c r="G390" s="556">
        <f t="shared" si="33"/>
        <v>0</v>
      </c>
      <c r="H390" s="557">
        <f t="shared" si="34"/>
        <v>0</v>
      </c>
      <c r="I390" s="557">
        <f t="shared" si="35"/>
        <v>0</v>
      </c>
      <c r="J390" s="557">
        <f t="shared" si="36"/>
        <v>0</v>
      </c>
      <c r="K390" s="557">
        <f t="shared" si="37"/>
        <v>0</v>
      </c>
      <c r="L390" s="648"/>
      <c r="M390" s="825">
        <f>+'[1]NEW-Tables 80-86'!AO166</f>
        <v>0</v>
      </c>
    </row>
    <row r="391" spans="1:13" s="112" customFormat="1">
      <c r="A391" s="110"/>
      <c r="B391" s="111"/>
      <c r="C391" s="111"/>
      <c r="D391" s="111"/>
      <c r="E391" s="111"/>
      <c r="F391" s="111"/>
      <c r="G391" s="119"/>
      <c r="H391" s="120"/>
      <c r="I391" s="120"/>
      <c r="J391" s="120"/>
      <c r="K391" s="120"/>
      <c r="L391" s="175"/>
      <c r="M391" s="825"/>
    </row>
    <row r="392" spans="1:13" s="490" customFormat="1" ht="12.75" customHeight="1">
      <c r="A392" s="406" t="s">
        <v>329</v>
      </c>
      <c r="B392" s="555">
        <f>IF($M392&gt;0,('Amounts Pivot Table'!N$162/$M392),0)</f>
        <v>0</v>
      </c>
      <c r="C392" s="555">
        <f>IF($M392&gt;0,('Amounts Pivot Table'!N$165/$M392),0)</f>
        <v>0</v>
      </c>
      <c r="D392" s="555">
        <f>IF($M392&gt;0,('Amounts Pivot Table'!N$168/$M392),0)</f>
        <v>0</v>
      </c>
      <c r="E392" s="555">
        <f>IF($M392&gt;0,('Amounts Pivot Table'!N$171/$M392),0)</f>
        <v>0</v>
      </c>
      <c r="F392" s="555">
        <f t="shared" si="32"/>
        <v>0</v>
      </c>
      <c r="G392" s="556">
        <f t="shared" si="33"/>
        <v>0</v>
      </c>
      <c r="H392" s="557">
        <f t="shared" si="34"/>
        <v>0</v>
      </c>
      <c r="I392" s="557">
        <f t="shared" si="35"/>
        <v>0</v>
      </c>
      <c r="J392" s="557">
        <f t="shared" si="36"/>
        <v>0</v>
      </c>
      <c r="K392" s="557">
        <f t="shared" si="37"/>
        <v>0</v>
      </c>
      <c r="L392" s="648"/>
      <c r="M392" s="825">
        <f>+'[1]NEW-Tables 80-86'!AO168</f>
        <v>0</v>
      </c>
    </row>
    <row r="393" spans="1:13" s="490" customFormat="1" ht="12.75" customHeight="1">
      <c r="A393" s="406" t="s">
        <v>322</v>
      </c>
      <c r="B393" s="555">
        <f>IF($M393&gt;0,('Amounts Pivot Table'!N$201/$M393),0)</f>
        <v>0</v>
      </c>
      <c r="C393" s="555">
        <f>IF($M393&gt;0,('Amounts Pivot Table'!N$204/$M393),0)</f>
        <v>0</v>
      </c>
      <c r="D393" s="555">
        <f>IF($M393&gt;0,('Amounts Pivot Table'!N$207/$M393),0)</f>
        <v>0</v>
      </c>
      <c r="E393" s="555">
        <f>IF($M393&gt;0,('Amounts Pivot Table'!N$210/$M393),0)</f>
        <v>0</v>
      </c>
      <c r="F393" s="555">
        <f t="shared" si="32"/>
        <v>0</v>
      </c>
      <c r="G393" s="556">
        <f t="shared" si="33"/>
        <v>0</v>
      </c>
      <c r="H393" s="557">
        <f t="shared" si="34"/>
        <v>0</v>
      </c>
      <c r="I393" s="557">
        <f t="shared" si="35"/>
        <v>0</v>
      </c>
      <c r="J393" s="557">
        <f t="shared" si="36"/>
        <v>0</v>
      </c>
      <c r="K393" s="557">
        <f t="shared" si="37"/>
        <v>0</v>
      </c>
      <c r="L393" s="648"/>
      <c r="M393" s="825">
        <f>+'[1]NEW-Tables 80-86'!AO169</f>
        <v>0</v>
      </c>
    </row>
    <row r="394" spans="1:13" s="490" customFormat="1" ht="12.75" customHeight="1">
      <c r="A394" s="406" t="s">
        <v>330</v>
      </c>
      <c r="B394" s="555">
        <f>IF($M394&gt;0,('Amounts Pivot Table'!N$240/$M394),0)</f>
        <v>0</v>
      </c>
      <c r="C394" s="555">
        <f>IF($M394&gt;0,('Amounts Pivot Table'!N$243/$M394),0)</f>
        <v>0</v>
      </c>
      <c r="D394" s="555">
        <f>IF($M394&gt;0,('Amounts Pivot Table'!N$246/$M394),0)</f>
        <v>0</v>
      </c>
      <c r="E394" s="555">
        <f>IF($M394&gt;0,('Amounts Pivot Table'!N$249/$M394),0)</f>
        <v>0</v>
      </c>
      <c r="F394" s="555">
        <f t="shared" si="32"/>
        <v>0</v>
      </c>
      <c r="G394" s="556">
        <f t="shared" si="33"/>
        <v>0</v>
      </c>
      <c r="H394" s="557">
        <f t="shared" si="34"/>
        <v>0</v>
      </c>
      <c r="I394" s="557">
        <f t="shared" si="35"/>
        <v>0</v>
      </c>
      <c r="J394" s="557">
        <f t="shared" si="36"/>
        <v>0</v>
      </c>
      <c r="K394" s="557">
        <f t="shared" si="37"/>
        <v>0</v>
      </c>
      <c r="L394" s="648"/>
      <c r="M394" s="825">
        <f>+'[1]NEW-Tables 80-86'!AO170</f>
        <v>0</v>
      </c>
    </row>
    <row r="395" spans="1:13" s="490" customFormat="1" ht="12.75" customHeight="1">
      <c r="A395" s="406" t="s">
        <v>333</v>
      </c>
      <c r="B395" s="555">
        <f>IF($M395&gt;0,('Amounts Pivot Table'!N$279/$M395),0)</f>
        <v>0</v>
      </c>
      <c r="C395" s="555">
        <f>IF($M395&gt;0,('Amounts Pivot Table'!N$282/$M395),0)</f>
        <v>0</v>
      </c>
      <c r="D395" s="555">
        <f>IF($M395&gt;0,('Amounts Pivot Table'!N$285/$M395),0)</f>
        <v>0</v>
      </c>
      <c r="E395" s="555">
        <f>IF($M395&gt;0,('Amounts Pivot Table'!N$288/$M395),0)</f>
        <v>0</v>
      </c>
      <c r="F395" s="555">
        <f t="shared" si="32"/>
        <v>0</v>
      </c>
      <c r="G395" s="556">
        <f t="shared" si="33"/>
        <v>0</v>
      </c>
      <c r="H395" s="557">
        <f t="shared" si="34"/>
        <v>0</v>
      </c>
      <c r="I395" s="557">
        <f t="shared" si="35"/>
        <v>0</v>
      </c>
      <c r="J395" s="557">
        <f t="shared" si="36"/>
        <v>0</v>
      </c>
      <c r="K395" s="557">
        <f t="shared" si="37"/>
        <v>0</v>
      </c>
      <c r="L395" s="648"/>
      <c r="M395" s="825">
        <f>+'[1]NEW-Tables 80-86'!AO171</f>
        <v>0</v>
      </c>
    </row>
    <row r="396" spans="1:13" s="112" customFormat="1">
      <c r="A396" s="110"/>
      <c r="B396" s="111"/>
      <c r="C396" s="111"/>
      <c r="D396" s="111"/>
      <c r="E396" s="111"/>
      <c r="F396" s="111"/>
      <c r="G396" s="119"/>
      <c r="H396" s="120"/>
      <c r="I396" s="120"/>
      <c r="J396" s="120"/>
      <c r="K396" s="120"/>
      <c r="L396" s="175"/>
      <c r="M396" s="825"/>
    </row>
    <row r="397" spans="1:13" s="490" customFormat="1" ht="12.75" customHeight="1">
      <c r="A397" s="406" t="s">
        <v>323</v>
      </c>
      <c r="B397" s="555">
        <f>IF($M397&gt;0,('Amounts Pivot Table'!N$318/$M397),0)</f>
        <v>0</v>
      </c>
      <c r="C397" s="555">
        <f>IF($M397&gt;0,('Amounts Pivot Table'!N$321/$M397),0)</f>
        <v>0</v>
      </c>
      <c r="D397" s="555">
        <f>IF($M397&gt;0,('Amounts Pivot Table'!N$324/$M397),0)</f>
        <v>0</v>
      </c>
      <c r="E397" s="555">
        <f>IF($M397&gt;0,('Amounts Pivot Table'!N$327/$M397),0)</f>
        <v>0</v>
      </c>
      <c r="F397" s="555">
        <f t="shared" si="32"/>
        <v>0</v>
      </c>
      <c r="G397" s="556">
        <f t="shared" si="33"/>
        <v>0</v>
      </c>
      <c r="H397" s="557">
        <f t="shared" si="34"/>
        <v>0</v>
      </c>
      <c r="I397" s="557">
        <f t="shared" si="35"/>
        <v>0</v>
      </c>
      <c r="J397" s="557">
        <f t="shared" si="36"/>
        <v>0</v>
      </c>
      <c r="K397" s="557">
        <f t="shared" si="37"/>
        <v>0</v>
      </c>
      <c r="L397" s="648"/>
      <c r="M397" s="825">
        <f>+'[1]NEW-Tables 80-86'!AO173</f>
        <v>0</v>
      </c>
    </row>
    <row r="398" spans="1:13" s="490" customFormat="1" ht="12.75" customHeight="1">
      <c r="A398" s="406" t="s">
        <v>324</v>
      </c>
      <c r="B398" s="555">
        <f>IF($M398&gt;0,('Amounts Pivot Table'!N$357/$M398),0)</f>
        <v>0</v>
      </c>
      <c r="C398" s="555">
        <f>IF($M398&gt;0,('Amounts Pivot Table'!N$360/$M398),0)</f>
        <v>0</v>
      </c>
      <c r="D398" s="555">
        <f>IF($M398&gt;0,('Amounts Pivot Table'!N$363/$M398),0)</f>
        <v>0</v>
      </c>
      <c r="E398" s="555">
        <f>IF($M398&gt;0,('Amounts Pivot Table'!N$366/$M398),0)</f>
        <v>0</v>
      </c>
      <c r="F398" s="555">
        <f t="shared" si="32"/>
        <v>0</v>
      </c>
      <c r="G398" s="556">
        <f t="shared" si="33"/>
        <v>0</v>
      </c>
      <c r="H398" s="557">
        <f t="shared" si="34"/>
        <v>0</v>
      </c>
      <c r="I398" s="557">
        <f t="shared" si="35"/>
        <v>0</v>
      </c>
      <c r="J398" s="557">
        <f t="shared" si="36"/>
        <v>0</v>
      </c>
      <c r="K398" s="557">
        <f t="shared" si="37"/>
        <v>0</v>
      </c>
      <c r="L398" s="648"/>
      <c r="M398" s="825">
        <f>+'[1]NEW-Tables 80-86'!AO174</f>
        <v>0</v>
      </c>
    </row>
    <row r="399" spans="1:13" s="490" customFormat="1" ht="12.75" customHeight="1">
      <c r="A399" s="406" t="s">
        <v>331</v>
      </c>
      <c r="B399" s="555">
        <f>IF($M399&gt;0,('Amounts Pivot Table'!N$396/$M399),0)</f>
        <v>0</v>
      </c>
      <c r="C399" s="555">
        <f>IF($M399&gt;0,('Amounts Pivot Table'!N$399/$M399),0)</f>
        <v>0</v>
      </c>
      <c r="D399" s="555">
        <f>IF($M399&gt;0,('Amounts Pivot Table'!N$402/$M399),0)</f>
        <v>0</v>
      </c>
      <c r="E399" s="555">
        <f>IF($M399&gt;0,('Amounts Pivot Table'!N$405/$M399),0)</f>
        <v>0</v>
      </c>
      <c r="F399" s="555">
        <f t="shared" si="32"/>
        <v>0</v>
      </c>
      <c r="G399" s="556">
        <f t="shared" si="33"/>
        <v>0</v>
      </c>
      <c r="H399" s="557">
        <f t="shared" si="34"/>
        <v>0</v>
      </c>
      <c r="I399" s="557">
        <f t="shared" si="35"/>
        <v>0</v>
      </c>
      <c r="J399" s="557">
        <f t="shared" si="36"/>
        <v>0</v>
      </c>
      <c r="K399" s="557">
        <f t="shared" si="37"/>
        <v>0</v>
      </c>
      <c r="L399" s="648"/>
      <c r="M399" s="825">
        <f>+'[1]NEW-Tables 80-86'!AO175</f>
        <v>0</v>
      </c>
    </row>
    <row r="400" spans="1:13" s="490" customFormat="1" ht="12.75" customHeight="1">
      <c r="A400" s="406" t="s">
        <v>325</v>
      </c>
      <c r="B400" s="555">
        <f>IF($M400&gt;0,('Amounts Pivot Table'!N$435/$M400),0)</f>
        <v>0</v>
      </c>
      <c r="C400" s="555">
        <f>IF($M400&gt;0,('Amounts Pivot Table'!N$438/$M400),0)</f>
        <v>0</v>
      </c>
      <c r="D400" s="555">
        <f>IF($M400&gt;0,('Amounts Pivot Table'!N$441/$M400),0)</f>
        <v>0</v>
      </c>
      <c r="E400" s="555">
        <f>IF($M400&gt;0,('Amounts Pivot Table'!N$444/$M400),0)</f>
        <v>0</v>
      </c>
      <c r="F400" s="555">
        <f t="shared" si="32"/>
        <v>0</v>
      </c>
      <c r="G400" s="556">
        <f t="shared" si="33"/>
        <v>0</v>
      </c>
      <c r="H400" s="557">
        <f t="shared" si="34"/>
        <v>0</v>
      </c>
      <c r="I400" s="557">
        <f t="shared" si="35"/>
        <v>0</v>
      </c>
      <c r="J400" s="557">
        <f t="shared" si="36"/>
        <v>0</v>
      </c>
      <c r="K400" s="557">
        <f t="shared" si="37"/>
        <v>0</v>
      </c>
      <c r="L400" s="648"/>
      <c r="M400" s="825">
        <f>+'[1]NEW-Tables 80-86'!AO176</f>
        <v>0</v>
      </c>
    </row>
    <row r="401" spans="1:13" s="112" customFormat="1">
      <c r="A401" s="110"/>
      <c r="B401" s="111"/>
      <c r="C401" s="111"/>
      <c r="D401" s="111"/>
      <c r="E401" s="111"/>
      <c r="F401" s="111"/>
      <c r="G401" s="119"/>
      <c r="H401" s="120"/>
      <c r="I401" s="120"/>
      <c r="J401" s="120"/>
      <c r="K401" s="120"/>
      <c r="L401" s="175"/>
      <c r="M401" s="825"/>
    </row>
    <row r="402" spans="1:13" s="490" customFormat="1" ht="12.75" customHeight="1">
      <c r="A402" s="406" t="s">
        <v>90</v>
      </c>
      <c r="B402" s="555">
        <f>IF($M402&gt;0,('Amounts Pivot Table'!N$474/$M402),0)</f>
        <v>0</v>
      </c>
      <c r="C402" s="555">
        <f>IF($M402&gt;0,('Amounts Pivot Table'!N$477/$M402),0)</f>
        <v>0</v>
      </c>
      <c r="D402" s="555">
        <f>IF($M402&gt;0,('Amounts Pivot Table'!N$480/$M402),0)</f>
        <v>0</v>
      </c>
      <c r="E402" s="555">
        <f>IF($M402&gt;0,('Amounts Pivot Table'!N$483/$M402),0)</f>
        <v>0</v>
      </c>
      <c r="F402" s="555">
        <f t="shared" si="32"/>
        <v>0</v>
      </c>
      <c r="G402" s="556">
        <f t="shared" si="33"/>
        <v>0</v>
      </c>
      <c r="H402" s="557">
        <f t="shared" si="34"/>
        <v>0</v>
      </c>
      <c r="I402" s="557">
        <f t="shared" si="35"/>
        <v>0</v>
      </c>
      <c r="J402" s="557">
        <f t="shared" si="36"/>
        <v>0</v>
      </c>
      <c r="K402" s="557">
        <f t="shared" si="37"/>
        <v>0</v>
      </c>
      <c r="L402" s="648"/>
      <c r="M402" s="825">
        <f>+'[1]NEW-Tables 80-86'!AO178</f>
        <v>0</v>
      </c>
    </row>
    <row r="403" spans="1:13" s="76" customFormat="1" ht="12.75" customHeight="1">
      <c r="A403" s="406" t="s">
        <v>326</v>
      </c>
      <c r="B403" s="555">
        <f>IF($M403&gt;0,('Amounts Pivot Table'!N$513/$M403),0)</f>
        <v>2159.9198399512075</v>
      </c>
      <c r="C403" s="555">
        <f>IF($M403&gt;0,('Amounts Pivot Table'!N$516/$M403),0)</f>
        <v>0</v>
      </c>
      <c r="D403" s="555">
        <f>IF($M403&gt;0,('Amounts Pivot Table'!N$519/$M403),0)</f>
        <v>3937.1828381535188</v>
      </c>
      <c r="E403" s="555">
        <f>IF($M403&gt;0,('Amounts Pivot Table'!N$522/$M403),0)</f>
        <v>1396.8930580418512</v>
      </c>
      <c r="F403" s="555">
        <f t="shared" si="32"/>
        <v>7493.9957361465767</v>
      </c>
      <c r="G403" s="556">
        <f t="shared" si="33"/>
        <v>2</v>
      </c>
      <c r="H403" s="557">
        <f t="shared" si="34"/>
        <v>0</v>
      </c>
      <c r="I403" s="557">
        <f t="shared" si="35"/>
        <v>1</v>
      </c>
      <c r="J403" s="557">
        <f t="shared" si="36"/>
        <v>2</v>
      </c>
      <c r="K403" s="557">
        <f t="shared" si="37"/>
        <v>1</v>
      </c>
      <c r="L403" s="169"/>
      <c r="M403" s="825">
        <f>+'[1]NEW-Tables 80-86'!AO179</f>
        <v>87642.162222222221</v>
      </c>
    </row>
    <row r="404" spans="1:13" s="490" customFormat="1" ht="12.75" customHeight="1">
      <c r="A404" s="406" t="s">
        <v>178</v>
      </c>
      <c r="B404" s="555">
        <f>IF($M404&gt;0,('Amounts Pivot Table'!N$552/$M404),0)</f>
        <v>2649.3941855819176</v>
      </c>
      <c r="C404" s="555">
        <f>IF($M404&gt;0,('Amounts Pivot Table'!N$555/$M404),0)</f>
        <v>0</v>
      </c>
      <c r="D404" s="555">
        <f>IF($M404&gt;0,('Amounts Pivot Table'!N$558/$M404),0)</f>
        <v>89.052330306349589</v>
      </c>
      <c r="E404" s="555">
        <f>IF($M404&gt;0,('Amounts Pivot Table'!N$561/$M404),0)</f>
        <v>4275.2398773623108</v>
      </c>
      <c r="F404" s="555">
        <f t="shared" si="32"/>
        <v>7013.6863932505785</v>
      </c>
      <c r="G404" s="556">
        <f t="shared" si="33"/>
        <v>1</v>
      </c>
      <c r="H404" s="557">
        <f t="shared" si="34"/>
        <v>0</v>
      </c>
      <c r="I404" s="557">
        <f t="shared" si="35"/>
        <v>2</v>
      </c>
      <c r="J404" s="557">
        <f t="shared" si="36"/>
        <v>1</v>
      </c>
      <c r="K404" s="557">
        <f t="shared" si="37"/>
        <v>2</v>
      </c>
      <c r="L404" s="649"/>
      <c r="M404" s="825">
        <f>+'[1]NEW-Tables 80-86'!AO180</f>
        <v>122637.66666666667</v>
      </c>
    </row>
    <row r="405" spans="1:13" s="490" customFormat="1" ht="13.5" customHeight="1">
      <c r="A405" s="407" t="s">
        <v>332</v>
      </c>
      <c r="B405" s="561">
        <f>IF($M405&gt;0,('Amounts Pivot Table'!N$591/$M405),0)</f>
        <v>0</v>
      </c>
      <c r="C405" s="561">
        <f>IF($M405&gt;0,('Amounts Pivot Table'!N$594/$M405),0)</f>
        <v>0</v>
      </c>
      <c r="D405" s="561">
        <f>IF($M405&gt;0,('Amounts Pivot Table'!N$597/$M405),0)</f>
        <v>0</v>
      </c>
      <c r="E405" s="561">
        <f>IF($M405&gt;0,('Amounts Pivot Table'!N$600/$M405),0)</f>
        <v>0</v>
      </c>
      <c r="F405" s="562">
        <f t="shared" si="32"/>
        <v>0</v>
      </c>
      <c r="G405" s="563">
        <f t="shared" si="33"/>
        <v>0</v>
      </c>
      <c r="H405" s="564">
        <f t="shared" si="34"/>
        <v>0</v>
      </c>
      <c r="I405" s="564">
        <f t="shared" si="35"/>
        <v>0</v>
      </c>
      <c r="J405" s="564">
        <f t="shared" si="36"/>
        <v>0</v>
      </c>
      <c r="K405" s="564">
        <f t="shared" si="37"/>
        <v>0</v>
      </c>
      <c r="L405" s="652"/>
      <c r="M405" s="825">
        <f>+'[1]NEW-Tables 80-86'!AO181</f>
        <v>0</v>
      </c>
    </row>
    <row r="406" spans="1:13" s="76" customFormat="1" ht="17.25" customHeight="1">
      <c r="A406" s="1534" t="s">
        <v>1954</v>
      </c>
      <c r="B406" s="1534"/>
      <c r="C406" s="1534"/>
      <c r="D406" s="1534"/>
      <c r="E406" s="1534"/>
      <c r="F406" s="1534"/>
      <c r="G406" s="1534"/>
      <c r="H406" s="1534"/>
      <c r="I406" s="1534"/>
      <c r="J406" s="1534"/>
      <c r="K406" s="1534"/>
      <c r="L406" s="169"/>
      <c r="M406" s="657"/>
    </row>
    <row r="407" spans="1:13" s="76" customFormat="1" ht="34.5" customHeight="1">
      <c r="A407" s="1505" t="s">
        <v>17</v>
      </c>
      <c r="B407" s="1529"/>
      <c r="C407" s="1529"/>
      <c r="D407" s="1529"/>
      <c r="E407" s="1529"/>
      <c r="F407" s="1529"/>
      <c r="G407" s="1529"/>
      <c r="H407" s="1529"/>
      <c r="I407" s="1529"/>
      <c r="J407" s="1529"/>
      <c r="K407" s="1529"/>
      <c r="L407" s="169"/>
      <c r="M407" s="643"/>
    </row>
    <row r="408" spans="1:13" s="205" customFormat="1" ht="13.5" customHeight="1">
      <c r="A408" s="1505" t="s">
        <v>54</v>
      </c>
      <c r="B408" s="1529"/>
      <c r="C408" s="1529"/>
      <c r="D408" s="1529"/>
      <c r="E408" s="1529"/>
      <c r="F408" s="1529"/>
      <c r="G408" s="1529"/>
      <c r="H408" s="1529"/>
      <c r="I408" s="1529"/>
      <c r="J408" s="1529"/>
      <c r="K408" s="1529"/>
      <c r="L408" s="204"/>
      <c r="M408" s="643"/>
    </row>
    <row r="409" spans="1:13" s="490" customFormat="1" ht="13.5" customHeight="1">
      <c r="A409" s="1505" t="s">
        <v>233</v>
      </c>
      <c r="B409" s="1541"/>
      <c r="C409" s="1541"/>
      <c r="D409" s="1541"/>
      <c r="E409" s="1541"/>
      <c r="F409" s="1541"/>
      <c r="G409" s="1542"/>
      <c r="H409" s="1542"/>
      <c r="I409" s="1542"/>
      <c r="J409" s="1542"/>
      <c r="K409" s="1542"/>
      <c r="L409" s="652"/>
      <c r="M409" s="643"/>
    </row>
    <row r="410" spans="1:13" s="490" customFormat="1">
      <c r="A410" s="638"/>
      <c r="B410" s="651"/>
      <c r="C410" s="651"/>
      <c r="D410" s="651"/>
      <c r="E410" s="651"/>
      <c r="F410" s="651"/>
      <c r="G410" s="653"/>
      <c r="H410" s="653"/>
      <c r="I410" s="653"/>
      <c r="J410" s="653"/>
      <c r="K410" s="534" t="s">
        <v>1927</v>
      </c>
      <c r="L410" s="652"/>
      <c r="M410" s="643"/>
    </row>
    <row r="411" spans="1:13" s="490" customFormat="1" ht="18.75" customHeight="1">
      <c r="A411" s="1504" t="s">
        <v>371</v>
      </c>
      <c r="B411" s="1504"/>
      <c r="C411" s="1504"/>
      <c r="D411" s="1504"/>
      <c r="E411" s="1504"/>
      <c r="F411" s="1504"/>
      <c r="G411" s="1504"/>
      <c r="H411" s="1504"/>
      <c r="I411" s="1504"/>
      <c r="J411" s="1504"/>
      <c r="K411" s="1504"/>
      <c r="L411" s="649"/>
      <c r="M411" s="643"/>
    </row>
    <row r="412" spans="1:13" s="490" customFormat="1" ht="18.75">
      <c r="A412" s="1504" t="s">
        <v>18</v>
      </c>
      <c r="B412" s="1504"/>
      <c r="C412" s="1504"/>
      <c r="D412" s="1504"/>
      <c r="E412" s="1504"/>
      <c r="F412" s="1504"/>
      <c r="G412" s="1504"/>
      <c r="H412" s="1504"/>
      <c r="I412" s="1504"/>
      <c r="J412" s="1504"/>
      <c r="K412" s="1504"/>
      <c r="L412" s="165"/>
      <c r="M412" s="643"/>
    </row>
    <row r="413" spans="1:13" s="490" customFormat="1" ht="15.75" customHeight="1">
      <c r="A413" s="1504" t="s">
        <v>1948</v>
      </c>
      <c r="B413" s="1504"/>
      <c r="C413" s="1504"/>
      <c r="D413" s="1504"/>
      <c r="E413" s="1504"/>
      <c r="F413" s="1504"/>
      <c r="G413" s="1504"/>
      <c r="H413" s="1504"/>
      <c r="I413" s="1504"/>
      <c r="J413" s="1504"/>
      <c r="K413" s="1504"/>
      <c r="L413" s="223"/>
      <c r="M413" s="654"/>
    </row>
    <row r="414" spans="1:13" s="490" customFormat="1" ht="15.75" customHeight="1">
      <c r="A414" s="91"/>
      <c r="B414" s="91"/>
      <c r="C414" s="91"/>
      <c r="D414" s="91"/>
      <c r="E414" s="91"/>
      <c r="F414" s="91"/>
      <c r="G414" s="108"/>
      <c r="H414" s="91"/>
      <c r="I414" s="91"/>
      <c r="J414" s="91"/>
      <c r="K414" s="91"/>
      <c r="L414" s="165"/>
      <c r="M414" s="643"/>
    </row>
    <row r="415" spans="1:13" s="490" customFormat="1" ht="12" customHeight="1">
      <c r="A415" s="60"/>
      <c r="B415" s="1543" t="s">
        <v>55</v>
      </c>
      <c r="C415" s="1544"/>
      <c r="D415" s="1544"/>
      <c r="E415" s="1544"/>
      <c r="F415" s="1544"/>
      <c r="G415" s="57" t="s">
        <v>119</v>
      </c>
      <c r="H415" s="58"/>
      <c r="I415" s="58"/>
      <c r="J415" s="58"/>
      <c r="K415" s="58"/>
      <c r="L415" s="173"/>
      <c r="M415" s="643"/>
    </row>
    <row r="416" spans="1:13" s="378" customFormat="1" ht="45">
      <c r="A416" s="644"/>
      <c r="B416" s="51" t="s">
        <v>87</v>
      </c>
      <c r="C416" s="52" t="s">
        <v>89</v>
      </c>
      <c r="D416" s="52" t="s">
        <v>88</v>
      </c>
      <c r="E416" s="52" t="s">
        <v>306</v>
      </c>
      <c r="F416" s="52" t="s">
        <v>97</v>
      </c>
      <c r="G416" s="53" t="s">
        <v>87</v>
      </c>
      <c r="H416" s="52" t="s">
        <v>89</v>
      </c>
      <c r="I416" s="52" t="s">
        <v>88</v>
      </c>
      <c r="J416" s="52" t="s">
        <v>306</v>
      </c>
      <c r="K416" s="52" t="s">
        <v>97</v>
      </c>
      <c r="L416" s="646"/>
      <c r="M416" s="655" t="s">
        <v>381</v>
      </c>
    </row>
    <row r="417" spans="1:13" s="490" customFormat="1" ht="14.25">
      <c r="A417" s="406" t="s">
        <v>56</v>
      </c>
      <c r="B417" s="552">
        <f>IF(M417&gt;0,('Amounts Pivot Table'!S$630/M417),0)</f>
        <v>3818.3829556635815</v>
      </c>
      <c r="C417" s="552">
        <f>IF(M417&gt;0,('Amounts Pivot Table'!S$633/M417),0)</f>
        <v>141.8551811837406</v>
      </c>
      <c r="D417" s="667">
        <f>IF(M417&gt;0,('Amounts Pivot Table'!S$636/M417),0)</f>
        <v>0</v>
      </c>
      <c r="E417" s="552">
        <f>IF(M417&gt;0,('Amounts Pivot Table'!S$639/M417),0)</f>
        <v>2866.9731431677101</v>
      </c>
      <c r="F417" s="552">
        <f>SUM(B417:E417)</f>
        <v>6827.2112800150317</v>
      </c>
      <c r="G417" s="553"/>
      <c r="H417" s="554"/>
      <c r="I417" s="554"/>
      <c r="J417" s="554"/>
      <c r="K417" s="554"/>
      <c r="L417" s="648"/>
      <c r="M417" s="825">
        <f>+'[1]NEW-Tables 80-86'!AL191</f>
        <v>130217.58420000001</v>
      </c>
    </row>
    <row r="418" spans="1:13" s="490" customFormat="1" ht="12.75" customHeight="1">
      <c r="A418" s="406"/>
      <c r="B418" s="552"/>
      <c r="C418" s="552"/>
      <c r="D418" s="552"/>
      <c r="E418" s="552"/>
      <c r="F418" s="552"/>
      <c r="G418" s="553"/>
      <c r="H418" s="554"/>
      <c r="I418" s="554"/>
      <c r="J418" s="554"/>
      <c r="K418" s="554"/>
      <c r="L418" s="648"/>
      <c r="M418" s="825"/>
    </row>
    <row r="419" spans="1:13" s="490" customFormat="1" ht="12.75" customHeight="1">
      <c r="A419" s="406" t="s">
        <v>320</v>
      </c>
      <c r="B419" s="555">
        <f>IF($M419&gt;0,('Amounts Pivot Table'!S$6/$M419),0)</f>
        <v>7751.7332740195106</v>
      </c>
      <c r="C419" s="555">
        <f>IF($M419&gt;0,('Amounts Pivot Table'!S$9/$M419),0)</f>
        <v>565.14530162112942</v>
      </c>
      <c r="D419" s="555">
        <f>IF($M419&gt;0,('Amounts Pivot Table'!S$12/$M419),0)</f>
        <v>0</v>
      </c>
      <c r="E419" s="555">
        <f>IF($M419&gt;0,('Amounts Pivot Table'!S$15/$M419),0)</f>
        <v>3846.0415265722468</v>
      </c>
      <c r="F419" s="555">
        <f t="shared" ref="F419:F437" si="38">SUM(B419:E419)</f>
        <v>12162.920102212887</v>
      </c>
      <c r="G419" s="556">
        <f t="shared" ref="G419:G437" si="39">IF(B419&gt;0,RANK(B419,$B$419:$B$437),)</f>
        <v>1</v>
      </c>
      <c r="H419" s="557">
        <f t="shared" ref="H419:H437" si="40">IF(C419&gt;0,RANK(C419,$C$419:$C$437),)</f>
        <v>1</v>
      </c>
      <c r="I419" s="557">
        <f t="shared" ref="I419:I437" si="41">IF(D419&gt;0,RANK(D419,$D$419:$D$437),)</f>
        <v>0</v>
      </c>
      <c r="J419" s="557">
        <f t="shared" ref="J419:J437" si="42">IF(E419&gt;0,RANK(E419,$E$419:$E$437),)</f>
        <v>1</v>
      </c>
      <c r="K419" s="557">
        <f t="shared" ref="K419:K437" si="43">IF(F419&gt;0,RANK(F419,$F$419:$F$437),)</f>
        <v>1</v>
      </c>
      <c r="L419" s="648"/>
      <c r="M419" s="825">
        <f>+'[1]NEW-Tables 80-86'!AL193</f>
        <v>3222.0333333333338</v>
      </c>
    </row>
    <row r="420" spans="1:13" s="490" customFormat="1" ht="12.75" customHeight="1">
      <c r="A420" s="406" t="s">
        <v>334</v>
      </c>
      <c r="B420" s="555">
        <f>IF($M420&gt;0,('Amounts Pivot Table'!S$45/$M420),0)</f>
        <v>0</v>
      </c>
      <c r="C420" s="555">
        <f>IF($M420&gt;0,('Amounts Pivot Table'!S$48/$M420),0)</f>
        <v>0</v>
      </c>
      <c r="D420" s="555">
        <f>IF($M420&gt;0,('Amounts Pivot Table'!S$51/$M420),0)</f>
        <v>0</v>
      </c>
      <c r="E420" s="555">
        <f>IF($M420&gt;0,('Amounts Pivot Table'!S$54/$M420),0)</f>
        <v>0</v>
      </c>
      <c r="F420" s="555">
        <f t="shared" si="38"/>
        <v>0</v>
      </c>
      <c r="G420" s="556">
        <f t="shared" si="39"/>
        <v>0</v>
      </c>
      <c r="H420" s="557">
        <f t="shared" si="40"/>
        <v>0</v>
      </c>
      <c r="I420" s="557">
        <f t="shared" si="41"/>
        <v>0</v>
      </c>
      <c r="J420" s="557">
        <f t="shared" si="42"/>
        <v>0</v>
      </c>
      <c r="K420" s="557">
        <f t="shared" si="43"/>
        <v>0</v>
      </c>
      <c r="L420" s="648"/>
      <c r="M420" s="825">
        <f>+'[1]NEW-Tables 80-86'!AL194</f>
        <v>0</v>
      </c>
    </row>
    <row r="421" spans="1:13" s="490" customFormat="1" ht="12.75" customHeight="1">
      <c r="A421" s="406" t="s">
        <v>321</v>
      </c>
      <c r="B421" s="555">
        <f>IF($M421&gt;0,('Amounts Pivot Table'!S$84/$M421),0)</f>
        <v>0</v>
      </c>
      <c r="C421" s="555">
        <f>IF($M421&gt;0,('Amounts Pivot Table'!S$87/$M421),0)</f>
        <v>0</v>
      </c>
      <c r="D421" s="555">
        <f>IF($M421&gt;0,('Amounts Pivot Table'!S$90/$M421),0)</f>
        <v>0</v>
      </c>
      <c r="E421" s="555">
        <f>IF($M421&gt;0,('Amounts Pivot Table'!S$93/$M421),0)</f>
        <v>0</v>
      </c>
      <c r="F421" s="555">
        <f t="shared" si="38"/>
        <v>0</v>
      </c>
      <c r="G421" s="556">
        <f t="shared" si="39"/>
        <v>0</v>
      </c>
      <c r="H421" s="557">
        <f t="shared" si="40"/>
        <v>0</v>
      </c>
      <c r="I421" s="557">
        <f t="shared" si="41"/>
        <v>0</v>
      </c>
      <c r="J421" s="557">
        <f t="shared" si="42"/>
        <v>0</v>
      </c>
      <c r="K421" s="557">
        <f t="shared" si="43"/>
        <v>0</v>
      </c>
      <c r="L421" s="648"/>
      <c r="M421" s="825">
        <f>+'[1]NEW-Tables 80-86'!AL195</f>
        <v>0</v>
      </c>
    </row>
    <row r="422" spans="1:13" s="490" customFormat="1" ht="12.75" customHeight="1">
      <c r="A422" s="406" t="s">
        <v>328</v>
      </c>
      <c r="B422" s="555">
        <f>IF($M422&gt;0,('Amounts Pivot Table'!S$123/$M422),0)</f>
        <v>0</v>
      </c>
      <c r="C422" s="555">
        <f>IF($M422&gt;0,('Amounts Pivot Table'!S$126/$M422),0)</f>
        <v>0</v>
      </c>
      <c r="D422" s="555">
        <f>IF($M422&gt;0,('Amounts Pivot Table'!S$129/$M422),0)</f>
        <v>0</v>
      </c>
      <c r="E422" s="555">
        <f>IF($M422&gt;0,('Amounts Pivot Table'!S$132/$M422),0)</f>
        <v>0</v>
      </c>
      <c r="F422" s="555">
        <f t="shared" si="38"/>
        <v>0</v>
      </c>
      <c r="G422" s="556">
        <f t="shared" si="39"/>
        <v>0</v>
      </c>
      <c r="H422" s="557">
        <f t="shared" si="40"/>
        <v>0</v>
      </c>
      <c r="I422" s="557">
        <f t="shared" si="41"/>
        <v>0</v>
      </c>
      <c r="J422" s="557">
        <f t="shared" si="42"/>
        <v>0</v>
      </c>
      <c r="K422" s="557">
        <f t="shared" si="43"/>
        <v>0</v>
      </c>
      <c r="L422" s="648"/>
      <c r="M422" s="825">
        <f>+'[1]NEW-Tables 80-86'!AL196</f>
        <v>0</v>
      </c>
    </row>
    <row r="423" spans="1:13" s="490" customFormat="1" ht="12.75" customHeight="1">
      <c r="A423" s="406"/>
      <c r="B423" s="555"/>
      <c r="C423" s="555"/>
      <c r="D423" s="555"/>
      <c r="E423" s="555"/>
      <c r="F423" s="555"/>
      <c r="G423" s="556"/>
      <c r="H423" s="557"/>
      <c r="I423" s="557"/>
      <c r="J423" s="557"/>
      <c r="K423" s="557"/>
      <c r="L423" s="648"/>
      <c r="M423" s="825"/>
    </row>
    <row r="424" spans="1:13" s="490" customFormat="1" ht="12.75" customHeight="1">
      <c r="A424" s="406" t="s">
        <v>329</v>
      </c>
      <c r="B424" s="555">
        <f>IF($M424&gt;0,('Amounts Pivot Table'!S$162/$M424),0)</f>
        <v>3399.5429175971703</v>
      </c>
      <c r="C424" s="555">
        <f>IF($M424&gt;0,('Amounts Pivot Table'!S$165/$M424),0)</f>
        <v>217.03567921724698</v>
      </c>
      <c r="D424" s="555">
        <f>IF($M424&gt;0,('Amounts Pivot Table'!S$168/$M424),0)</f>
        <v>0</v>
      </c>
      <c r="E424" s="555">
        <f>IF($M424&gt;0,('Amounts Pivot Table'!S$171/$M424),0)</f>
        <v>3359.7059680083594</v>
      </c>
      <c r="F424" s="555">
        <f t="shared" si="38"/>
        <v>6976.2845648227767</v>
      </c>
      <c r="G424" s="556">
        <f t="shared" si="39"/>
        <v>4</v>
      </c>
      <c r="H424" s="557">
        <f t="shared" si="40"/>
        <v>2</v>
      </c>
      <c r="I424" s="557">
        <f t="shared" si="41"/>
        <v>0</v>
      </c>
      <c r="J424" s="557">
        <f t="shared" si="42"/>
        <v>3</v>
      </c>
      <c r="K424" s="560">
        <f t="shared" si="43"/>
        <v>3</v>
      </c>
      <c r="L424" s="648"/>
      <c r="M424" s="825">
        <f>+'[1]NEW-Tables 80-86'!AL198</f>
        <v>76720.666666666672</v>
      </c>
    </row>
    <row r="425" spans="1:13" s="490" customFormat="1" ht="12.75" customHeight="1">
      <c r="A425" s="406" t="s">
        <v>322</v>
      </c>
      <c r="B425" s="555">
        <f>IF($M425&gt;0,('Amounts Pivot Table'!S$201/$M425),0)</f>
        <v>2834.2486864850416</v>
      </c>
      <c r="C425" s="555">
        <f>IF($M425&gt;0,('Amounts Pivot Table'!S$204/$M425),0)</f>
        <v>0</v>
      </c>
      <c r="D425" s="555">
        <f>IF($M425&gt;0,('Amounts Pivot Table'!S$207/$M425),0)</f>
        <v>0</v>
      </c>
      <c r="E425" s="555">
        <f>IF($M425&gt;0,('Amounts Pivot Table'!S$210/$M425),0)</f>
        <v>3692.6281336011307</v>
      </c>
      <c r="F425" s="555">
        <f t="shared" si="38"/>
        <v>6526.8768200861723</v>
      </c>
      <c r="G425" s="556">
        <f t="shared" si="39"/>
        <v>5</v>
      </c>
      <c r="H425" s="557">
        <f t="shared" si="40"/>
        <v>0</v>
      </c>
      <c r="I425" s="557">
        <f t="shared" si="41"/>
        <v>0</v>
      </c>
      <c r="J425" s="557">
        <f t="shared" si="42"/>
        <v>2</v>
      </c>
      <c r="K425" s="557">
        <f t="shared" si="43"/>
        <v>4</v>
      </c>
      <c r="L425" s="648"/>
      <c r="M425" s="825">
        <f>+'[1]NEW-Tables 80-86'!AL199</f>
        <v>5377.2</v>
      </c>
    </row>
    <row r="426" spans="1:13" s="490" customFormat="1" ht="12.75" customHeight="1">
      <c r="A426" s="406" t="s">
        <v>330</v>
      </c>
      <c r="B426" s="555">
        <f>IF($M426&gt;0,('Amounts Pivot Table'!S$240/$M426),0)</f>
        <v>2290.831952962023</v>
      </c>
      <c r="C426" s="555">
        <f>IF($M426&gt;0,('Amounts Pivot Table'!S$243/$M426),0)</f>
        <v>0</v>
      </c>
      <c r="D426" s="555">
        <f>IF($M426&gt;0,('Amounts Pivot Table'!S$246/$M426),0)</f>
        <v>0</v>
      </c>
      <c r="E426" s="555">
        <f>IF($M426&gt;0,('Amounts Pivot Table'!S$249/$M426),0)</f>
        <v>1947.5487274598572</v>
      </c>
      <c r="F426" s="555">
        <f t="shared" si="38"/>
        <v>4238.3806804218802</v>
      </c>
      <c r="G426" s="556">
        <f t="shared" si="39"/>
        <v>6</v>
      </c>
      <c r="H426" s="557">
        <f t="shared" si="40"/>
        <v>0</v>
      </c>
      <c r="I426" s="557">
        <f t="shared" si="41"/>
        <v>0</v>
      </c>
      <c r="J426" s="557">
        <f t="shared" si="42"/>
        <v>5</v>
      </c>
      <c r="K426" s="557">
        <f t="shared" si="43"/>
        <v>6</v>
      </c>
      <c r="L426" s="648"/>
      <c r="M426" s="825">
        <f>+'[1]NEW-Tables 80-86'!AL200</f>
        <v>13654.404444444446</v>
      </c>
    </row>
    <row r="427" spans="1:13" s="490" customFormat="1" ht="12.75" customHeight="1">
      <c r="A427" s="406" t="s">
        <v>333</v>
      </c>
      <c r="B427" s="555">
        <f>IF($M427&gt;0,('Amounts Pivot Table'!S$279/$M427),0)</f>
        <v>0</v>
      </c>
      <c r="C427" s="555">
        <f>IF($M427&gt;0,('Amounts Pivot Table'!S$282/$M427),0)</f>
        <v>0</v>
      </c>
      <c r="D427" s="555">
        <f>IF($M427&gt;0,('Amounts Pivot Table'!S$285/$M427),0)</f>
        <v>0</v>
      </c>
      <c r="E427" s="555">
        <f>IF($M427&gt;0,('Amounts Pivot Table'!S$288/$M427),0)</f>
        <v>0</v>
      </c>
      <c r="F427" s="555">
        <f t="shared" si="38"/>
        <v>0</v>
      </c>
      <c r="G427" s="556">
        <f t="shared" si="39"/>
        <v>0</v>
      </c>
      <c r="H427" s="557">
        <f t="shared" si="40"/>
        <v>0</v>
      </c>
      <c r="I427" s="557">
        <f t="shared" si="41"/>
        <v>0</v>
      </c>
      <c r="J427" s="557">
        <f t="shared" si="42"/>
        <v>0</v>
      </c>
      <c r="K427" s="557">
        <f t="shared" si="43"/>
        <v>0</v>
      </c>
      <c r="L427" s="648"/>
      <c r="M427" s="825">
        <f>+'[1]NEW-Tables 80-86'!AL201</f>
        <v>0</v>
      </c>
    </row>
    <row r="428" spans="1:13" s="490" customFormat="1" ht="12.75" customHeight="1">
      <c r="A428" s="406"/>
      <c r="B428" s="555"/>
      <c r="C428" s="555"/>
      <c r="D428" s="555"/>
      <c r="E428" s="555"/>
      <c r="F428" s="555"/>
      <c r="G428" s="556"/>
      <c r="H428" s="557"/>
      <c r="I428" s="557"/>
      <c r="J428" s="557"/>
      <c r="K428" s="557"/>
      <c r="L428" s="648"/>
      <c r="M428" s="825"/>
    </row>
    <row r="429" spans="1:13" s="490" customFormat="1" ht="12.75" customHeight="1">
      <c r="A429" s="406" t="s">
        <v>323</v>
      </c>
      <c r="B429" s="555">
        <f>IF($M429&gt;0,('Amounts Pivot Table'!S$318/$M429),0)</f>
        <v>0</v>
      </c>
      <c r="C429" s="555">
        <f>IF($M429&gt;0,('Amounts Pivot Table'!S$321/$M429),0)</f>
        <v>0</v>
      </c>
      <c r="D429" s="555">
        <f>IF($M429&gt;0,('Amounts Pivot Table'!S$324/$M429),0)</f>
        <v>0</v>
      </c>
      <c r="E429" s="555">
        <f>IF($M429&gt;0,('Amounts Pivot Table'!S$327/$M429),0)</f>
        <v>0</v>
      </c>
      <c r="F429" s="555">
        <f t="shared" si="38"/>
        <v>0</v>
      </c>
      <c r="G429" s="556">
        <f t="shared" si="39"/>
        <v>0</v>
      </c>
      <c r="H429" s="557">
        <f t="shared" si="40"/>
        <v>0</v>
      </c>
      <c r="I429" s="557">
        <f t="shared" si="41"/>
        <v>0</v>
      </c>
      <c r="J429" s="557">
        <f t="shared" si="42"/>
        <v>0</v>
      </c>
      <c r="K429" s="557">
        <f t="shared" si="43"/>
        <v>0</v>
      </c>
      <c r="L429" s="648"/>
      <c r="M429" s="825">
        <f>+'[1]NEW-Tables 80-86'!AL203</f>
        <v>0</v>
      </c>
    </row>
    <row r="430" spans="1:13" s="490" customFormat="1" ht="12.75" customHeight="1">
      <c r="A430" s="406" t="s">
        <v>324</v>
      </c>
      <c r="B430" s="555">
        <f>IF($M430&gt;0,('Amounts Pivot Table'!S$357/$M430),0)</f>
        <v>0</v>
      </c>
      <c r="C430" s="555">
        <f>IF($M430&gt;0,('Amounts Pivot Table'!S$360/$M430),0)</f>
        <v>0</v>
      </c>
      <c r="D430" s="555">
        <f>IF($M430&gt;0,('Amounts Pivot Table'!S$363/$M430),0)</f>
        <v>0</v>
      </c>
      <c r="E430" s="555">
        <f>IF($M430&gt;0,('Amounts Pivot Table'!S$366/$M430),0)</f>
        <v>0</v>
      </c>
      <c r="F430" s="555">
        <f t="shared" si="38"/>
        <v>0</v>
      </c>
      <c r="G430" s="556">
        <f t="shared" si="39"/>
        <v>0</v>
      </c>
      <c r="H430" s="557">
        <f t="shared" si="40"/>
        <v>0</v>
      </c>
      <c r="I430" s="557">
        <f t="shared" si="41"/>
        <v>0</v>
      </c>
      <c r="J430" s="557">
        <f t="shared" si="42"/>
        <v>0</v>
      </c>
      <c r="K430" s="557">
        <f t="shared" si="43"/>
        <v>0</v>
      </c>
      <c r="L430" s="648"/>
      <c r="M430" s="825">
        <f>+'[1]NEW-Tables 80-86'!AL204</f>
        <v>0</v>
      </c>
    </row>
    <row r="431" spans="1:13" s="490" customFormat="1" ht="12.75" customHeight="1">
      <c r="A431" s="406" t="s">
        <v>331</v>
      </c>
      <c r="B431" s="555">
        <f>IF($M431&gt;0,('Amounts Pivot Table'!S$396/$M431),0)</f>
        <v>4992.4391090050012</v>
      </c>
      <c r="C431" s="555">
        <f>IF($M431&gt;0,('Amounts Pivot Table'!S$399/$M431),0)</f>
        <v>0</v>
      </c>
      <c r="D431" s="555">
        <f>IF($M431&gt;0,('Amounts Pivot Table'!S$402/$M431),0)</f>
        <v>0</v>
      </c>
      <c r="E431" s="555">
        <f>IF($M431&gt;0,('Amounts Pivot Table'!S$405/$M431),0)</f>
        <v>1402.702744792751</v>
      </c>
      <c r="F431" s="555">
        <f t="shared" si="38"/>
        <v>6395.1418537977524</v>
      </c>
      <c r="G431" s="556">
        <f t="shared" si="39"/>
        <v>3</v>
      </c>
      <c r="H431" s="557">
        <f t="shared" si="40"/>
        <v>0</v>
      </c>
      <c r="I431" s="557">
        <f t="shared" si="41"/>
        <v>0</v>
      </c>
      <c r="J431" s="557">
        <f t="shared" si="42"/>
        <v>6</v>
      </c>
      <c r="K431" s="557">
        <f t="shared" si="43"/>
        <v>5</v>
      </c>
      <c r="L431" s="648"/>
      <c r="M431" s="825">
        <f>+'[1]NEW-Tables 80-86'!AL205</f>
        <v>19918.6842</v>
      </c>
    </row>
    <row r="432" spans="1:13" s="490" customFormat="1" ht="12.75" customHeight="1">
      <c r="A432" s="406" t="s">
        <v>325</v>
      </c>
      <c r="B432" s="555">
        <f>IF($M432&gt;0,('Amounts Pivot Table'!S$435/$M432),0)</f>
        <v>0</v>
      </c>
      <c r="C432" s="555">
        <f>IF($M432&gt;0,('Amounts Pivot Table'!S$438/$M432),0)</f>
        <v>0</v>
      </c>
      <c r="D432" s="555">
        <f>IF($M432&gt;0,('Amounts Pivot Table'!S$441/$M432),0)</f>
        <v>0</v>
      </c>
      <c r="E432" s="555">
        <f>IF($M432&gt;0,('Amounts Pivot Table'!S$444/$M432),0)</f>
        <v>0</v>
      </c>
      <c r="F432" s="555">
        <f t="shared" si="38"/>
        <v>0</v>
      </c>
      <c r="G432" s="556">
        <f t="shared" si="39"/>
        <v>0</v>
      </c>
      <c r="H432" s="557">
        <f t="shared" si="40"/>
        <v>0</v>
      </c>
      <c r="I432" s="557">
        <f t="shared" si="41"/>
        <v>0</v>
      </c>
      <c r="J432" s="557">
        <f t="shared" si="42"/>
        <v>0</v>
      </c>
      <c r="K432" s="557">
        <f t="shared" si="43"/>
        <v>0</v>
      </c>
      <c r="L432" s="648"/>
      <c r="M432" s="825">
        <f>+'[1]NEW-Tables 80-86'!AL206</f>
        <v>0</v>
      </c>
    </row>
    <row r="433" spans="1:13" s="490" customFormat="1" ht="12.75" customHeight="1">
      <c r="A433" s="406"/>
      <c r="B433" s="555"/>
      <c r="C433" s="555"/>
      <c r="D433" s="555"/>
      <c r="E433" s="555"/>
      <c r="F433" s="555"/>
      <c r="G433" s="556"/>
      <c r="H433" s="557"/>
      <c r="I433" s="557"/>
      <c r="J433" s="557"/>
      <c r="K433" s="557"/>
      <c r="L433" s="648"/>
      <c r="M433" s="825"/>
    </row>
    <row r="434" spans="1:13" s="490" customFormat="1" ht="12.75" customHeight="1">
      <c r="A434" s="406" t="s">
        <v>90</v>
      </c>
      <c r="B434" s="555">
        <f>IF($M434&gt;0,('Amounts Pivot Table'!S$474/$M434),0)</f>
        <v>5084.1462476560364</v>
      </c>
      <c r="C434" s="555">
        <f>IF($M434&gt;0,('Amounts Pivot Table'!S$477/$M434),0)</f>
        <v>0</v>
      </c>
      <c r="D434" s="555">
        <f>IF($M434&gt;0,('Amounts Pivot Table'!S$480/$M434),0)</f>
        <v>0</v>
      </c>
      <c r="E434" s="555">
        <f>IF($M434&gt;0,('Amounts Pivot Table'!S$483/$M434),0)</f>
        <v>2542.3203732760244</v>
      </c>
      <c r="F434" s="555">
        <f t="shared" si="38"/>
        <v>7626.4666209320603</v>
      </c>
      <c r="G434" s="556">
        <f t="shared" si="39"/>
        <v>2</v>
      </c>
      <c r="H434" s="557">
        <f t="shared" si="40"/>
        <v>0</v>
      </c>
      <c r="I434" s="557">
        <f t="shared" si="41"/>
        <v>0</v>
      </c>
      <c r="J434" s="557">
        <f t="shared" si="42"/>
        <v>4</v>
      </c>
      <c r="K434" s="557">
        <f t="shared" si="43"/>
        <v>2</v>
      </c>
      <c r="L434" s="648"/>
      <c r="M434" s="825">
        <f>+'[1]NEW-Tables 80-86'!AL208</f>
        <v>11324.595555555554</v>
      </c>
    </row>
    <row r="435" spans="1:13" s="76" customFormat="1" ht="12.75" customHeight="1">
      <c r="A435" s="406" t="s">
        <v>326</v>
      </c>
      <c r="B435" s="555">
        <f>IF($M435&gt;0,('Amounts Pivot Table'!S$513/$M435),0)</f>
        <v>0</v>
      </c>
      <c r="C435" s="555">
        <f>IF($M435&gt;0,('Amounts Pivot Table'!S$516/$M435),0)</f>
        <v>0</v>
      </c>
      <c r="D435" s="555">
        <f>IF($M435&gt;0,('Amounts Pivot Table'!S$519/$M435),0)</f>
        <v>0</v>
      </c>
      <c r="E435" s="555">
        <f>IF($M435&gt;0,('Amounts Pivot Table'!S$522/$M435),0)</f>
        <v>0</v>
      </c>
      <c r="F435" s="555">
        <f t="shared" si="38"/>
        <v>0</v>
      </c>
      <c r="G435" s="556">
        <f t="shared" si="39"/>
        <v>0</v>
      </c>
      <c r="H435" s="557">
        <f t="shared" si="40"/>
        <v>0</v>
      </c>
      <c r="I435" s="557">
        <f t="shared" si="41"/>
        <v>0</v>
      </c>
      <c r="J435" s="557">
        <f t="shared" si="42"/>
        <v>0</v>
      </c>
      <c r="K435" s="557">
        <f t="shared" si="43"/>
        <v>0</v>
      </c>
      <c r="L435" s="169"/>
      <c r="M435" s="825">
        <f>+'[1]NEW-Tables 80-86'!AL209</f>
        <v>0</v>
      </c>
    </row>
    <row r="436" spans="1:13" s="490" customFormat="1" ht="12.75" customHeight="1">
      <c r="A436" s="406" t="s">
        <v>327</v>
      </c>
      <c r="B436" s="555">
        <f>IF($M436&gt;0,('Amounts Pivot Table'!S$552/$M436),0)</f>
        <v>0</v>
      </c>
      <c r="C436" s="555">
        <f>IF($M436&gt;0,('Amounts Pivot Table'!S$555/$M436),0)</f>
        <v>0</v>
      </c>
      <c r="D436" s="555">
        <f>IF($M436&gt;0,('Amounts Pivot Table'!S$558/$M436),0)</f>
        <v>0</v>
      </c>
      <c r="E436" s="555">
        <f>IF($M436&gt;0,('Amounts Pivot Table'!S$561/$M436),0)</f>
        <v>0</v>
      </c>
      <c r="F436" s="555">
        <f t="shared" si="38"/>
        <v>0</v>
      </c>
      <c r="G436" s="556">
        <f t="shared" si="39"/>
        <v>0</v>
      </c>
      <c r="H436" s="557">
        <f t="shared" si="40"/>
        <v>0</v>
      </c>
      <c r="I436" s="557">
        <f t="shared" si="41"/>
        <v>0</v>
      </c>
      <c r="J436" s="557">
        <f t="shared" si="42"/>
        <v>0</v>
      </c>
      <c r="K436" s="557">
        <f t="shared" si="43"/>
        <v>0</v>
      </c>
      <c r="L436" s="649"/>
      <c r="M436" s="825">
        <f>+'[1]NEW-Tables 80-86'!AL210</f>
        <v>0</v>
      </c>
    </row>
    <row r="437" spans="1:13" s="490" customFormat="1" ht="15" customHeight="1">
      <c r="A437" s="407" t="s">
        <v>332</v>
      </c>
      <c r="B437" s="561">
        <f>IF($M437&gt;0,('Amounts Pivot Table'!S$591/$M437),0)</f>
        <v>0</v>
      </c>
      <c r="C437" s="561">
        <f>IF($M437&gt;0,('Amounts Pivot Table'!S$594/$M437),0)</f>
        <v>0</v>
      </c>
      <c r="D437" s="561">
        <f>IF($M437&gt;0,('Amounts Pivot Table'!S$597/$M437),0)</f>
        <v>0</v>
      </c>
      <c r="E437" s="561">
        <f>IF($M437&gt;0,('Amounts Pivot Table'!S$600/$M437),0)</f>
        <v>0</v>
      </c>
      <c r="F437" s="562">
        <f t="shared" si="38"/>
        <v>0</v>
      </c>
      <c r="G437" s="563">
        <f t="shared" si="39"/>
        <v>0</v>
      </c>
      <c r="H437" s="564">
        <f t="shared" si="40"/>
        <v>0</v>
      </c>
      <c r="I437" s="564">
        <f t="shared" si="41"/>
        <v>0</v>
      </c>
      <c r="J437" s="564">
        <f t="shared" si="42"/>
        <v>0</v>
      </c>
      <c r="K437" s="564">
        <f t="shared" si="43"/>
        <v>0</v>
      </c>
      <c r="L437" s="652"/>
      <c r="M437" s="825">
        <f>+'[1]NEW-Tables 80-86'!AL211</f>
        <v>0</v>
      </c>
    </row>
    <row r="438" spans="1:13" s="76" customFormat="1" ht="34.5" customHeight="1">
      <c r="A438" s="1505" t="s">
        <v>17</v>
      </c>
      <c r="B438" s="1529"/>
      <c r="C438" s="1529"/>
      <c r="D438" s="1529"/>
      <c r="E438" s="1529"/>
      <c r="F438" s="1529"/>
      <c r="G438" s="1529"/>
      <c r="H438" s="1529"/>
      <c r="I438" s="1529"/>
      <c r="J438" s="1529"/>
      <c r="K438" s="1529"/>
      <c r="L438" s="169"/>
      <c r="M438" s="643"/>
    </row>
    <row r="439" spans="1:13" s="205" customFormat="1" ht="13.5" customHeight="1">
      <c r="A439" s="1505" t="s">
        <v>54</v>
      </c>
      <c r="B439" s="1529"/>
      <c r="C439" s="1529"/>
      <c r="D439" s="1529"/>
      <c r="E439" s="1529"/>
      <c r="F439" s="1529"/>
      <c r="G439" s="1529"/>
      <c r="H439" s="1529"/>
      <c r="I439" s="1529"/>
      <c r="J439" s="1529"/>
      <c r="K439" s="1529"/>
      <c r="L439" s="204"/>
      <c r="M439" s="643"/>
    </row>
    <row r="440" spans="1:13" s="490" customFormat="1" ht="13.5" customHeight="1">
      <c r="A440" s="1505" t="s">
        <v>233</v>
      </c>
      <c r="B440" s="1541"/>
      <c r="C440" s="1541"/>
      <c r="D440" s="1541"/>
      <c r="E440" s="1541"/>
      <c r="F440" s="1541"/>
      <c r="G440" s="1542"/>
      <c r="H440" s="1542"/>
      <c r="I440" s="1542"/>
      <c r="J440" s="1542"/>
      <c r="K440" s="1542"/>
      <c r="L440" s="652"/>
      <c r="M440" s="643"/>
    </row>
    <row r="441" spans="1:13" s="490" customFormat="1">
      <c r="A441" s="638"/>
      <c r="B441" s="651"/>
      <c r="C441" s="651"/>
      <c r="D441" s="651"/>
      <c r="E441" s="651"/>
      <c r="F441" s="651"/>
      <c r="G441" s="653"/>
      <c r="H441" s="653"/>
      <c r="I441" s="653"/>
      <c r="J441" s="653"/>
      <c r="K441" s="534" t="s">
        <v>1927</v>
      </c>
      <c r="L441" s="406"/>
      <c r="M441" s="643"/>
    </row>
    <row r="442" spans="1:13" s="490" customFormat="1" ht="18.75" customHeight="1">
      <c r="A442" s="1504" t="s">
        <v>372</v>
      </c>
      <c r="B442" s="1504"/>
      <c r="C442" s="1504"/>
      <c r="D442" s="1504"/>
      <c r="E442" s="1504"/>
      <c r="F442" s="1504"/>
      <c r="G442" s="1504"/>
      <c r="H442" s="1504"/>
      <c r="I442" s="1504"/>
      <c r="J442" s="1504"/>
      <c r="K442" s="1504"/>
      <c r="L442" s="649"/>
      <c r="M442" s="643"/>
    </row>
    <row r="443" spans="1:13" s="490" customFormat="1" ht="18.75">
      <c r="A443" s="1504" t="s">
        <v>18</v>
      </c>
      <c r="B443" s="1504"/>
      <c r="C443" s="1504"/>
      <c r="D443" s="1504"/>
      <c r="E443" s="1504"/>
      <c r="F443" s="1504"/>
      <c r="G443" s="1504"/>
      <c r="H443" s="1504"/>
      <c r="I443" s="1504"/>
      <c r="J443" s="1504"/>
      <c r="K443" s="1504"/>
      <c r="L443" s="165"/>
      <c r="M443" s="643"/>
    </row>
    <row r="444" spans="1:13" s="490" customFormat="1" ht="15.75" customHeight="1">
      <c r="A444" s="1504" t="s">
        <v>1949</v>
      </c>
      <c r="B444" s="1504"/>
      <c r="C444" s="1504"/>
      <c r="D444" s="1504"/>
      <c r="E444" s="1504"/>
      <c r="F444" s="1504"/>
      <c r="G444" s="1504"/>
      <c r="H444" s="1504"/>
      <c r="I444" s="1504"/>
      <c r="J444" s="1504"/>
      <c r="K444" s="1504"/>
      <c r="L444" s="165"/>
      <c r="M444" s="654"/>
    </row>
    <row r="445" spans="1:13" s="112" customFormat="1" ht="8.25">
      <c r="A445" s="194"/>
      <c r="B445" s="194"/>
      <c r="C445" s="194"/>
      <c r="D445" s="194"/>
      <c r="E445" s="194"/>
      <c r="F445" s="194"/>
      <c r="G445" s="195"/>
      <c r="H445" s="194"/>
      <c r="I445" s="194"/>
      <c r="J445" s="194"/>
      <c r="K445" s="194"/>
      <c r="L445" s="196"/>
      <c r="M445" s="668"/>
    </row>
    <row r="446" spans="1:13" s="490" customFormat="1" ht="14.25" customHeight="1">
      <c r="A446" s="60"/>
      <c r="B446" s="1543" t="s">
        <v>55</v>
      </c>
      <c r="C446" s="1544"/>
      <c r="D446" s="1544"/>
      <c r="E446" s="1544"/>
      <c r="F446" s="1544"/>
      <c r="G446" s="57" t="s">
        <v>119</v>
      </c>
      <c r="H446" s="58"/>
      <c r="I446" s="58"/>
      <c r="J446" s="58"/>
      <c r="K446" s="58"/>
      <c r="L446" s="173"/>
      <c r="M446" s="643"/>
    </row>
    <row r="447" spans="1:13" s="378" customFormat="1" ht="45">
      <c r="A447" s="644"/>
      <c r="B447" s="51" t="s">
        <v>87</v>
      </c>
      <c r="C447" s="52" t="s">
        <v>89</v>
      </c>
      <c r="D447" s="52" t="s">
        <v>88</v>
      </c>
      <c r="E447" s="52" t="s">
        <v>306</v>
      </c>
      <c r="F447" s="52" t="s">
        <v>97</v>
      </c>
      <c r="G447" s="53" t="s">
        <v>87</v>
      </c>
      <c r="H447" s="52" t="s">
        <v>89</v>
      </c>
      <c r="I447" s="52" t="s">
        <v>88</v>
      </c>
      <c r="J447" s="52" t="s">
        <v>306</v>
      </c>
      <c r="K447" s="52" t="s">
        <v>97</v>
      </c>
      <c r="L447" s="646"/>
      <c r="M447" s="655" t="s">
        <v>260</v>
      </c>
    </row>
    <row r="448" spans="1:13" s="490" customFormat="1" ht="14.25">
      <c r="A448" s="406" t="s">
        <v>56</v>
      </c>
      <c r="B448" s="552">
        <f>IF($M448&gt;0,('Amounts Pivot Table'!P$630/$M448),0)</f>
        <v>3274.6742024012083</v>
      </c>
      <c r="C448" s="552">
        <f>IF($M448&gt;0,('Amounts Pivot Table'!P$633/$M448),0)</f>
        <v>169.3439249870199</v>
      </c>
      <c r="D448" s="552">
        <f>IF($M448&gt;0,('Amounts Pivot Table'!P$636/$M448),0)</f>
        <v>0</v>
      </c>
      <c r="E448" s="552">
        <f>IF($M448&gt;0,('Amounts Pivot Table'!P$639/$M448),0)</f>
        <v>3105.3210131498995</v>
      </c>
      <c r="F448" s="552">
        <f>SUM(B448:E448)</f>
        <v>6549.339140538128</v>
      </c>
      <c r="G448" s="669"/>
      <c r="H448" s="554"/>
      <c r="I448" s="554"/>
      <c r="J448" s="554"/>
      <c r="K448" s="554"/>
      <c r="L448" s="648"/>
      <c r="M448" s="825">
        <f>+'[1]NEW-Tables 80-86'!AJ191</f>
        <v>101936.57671111111</v>
      </c>
    </row>
    <row r="449" spans="1:13" s="112" customFormat="1">
      <c r="A449" s="194"/>
      <c r="B449" s="194"/>
      <c r="C449" s="194"/>
      <c r="D449" s="194"/>
      <c r="E449" s="194"/>
      <c r="F449" s="194"/>
      <c r="G449" s="198"/>
      <c r="H449" s="194"/>
      <c r="I449" s="194"/>
      <c r="J449" s="194"/>
      <c r="K449" s="194"/>
      <c r="L449" s="196"/>
      <c r="M449" s="825"/>
    </row>
    <row r="450" spans="1:13" s="490" customFormat="1" ht="12.75" customHeight="1">
      <c r="A450" s="406" t="s">
        <v>320</v>
      </c>
      <c r="B450" s="555">
        <f>IF($M450&gt;0,('Amounts Pivot Table'!P$6/$M450),0)</f>
        <v>7424.2705771050141</v>
      </c>
      <c r="C450" s="555">
        <f>IF($M450&gt;0,('Amounts Pivot Table'!P$9/$M450),0)</f>
        <v>495.64914177591561</v>
      </c>
      <c r="D450" s="555">
        <f>IF($M450&gt;0,('Amounts Pivot Table'!P$12/$M450),0)</f>
        <v>0</v>
      </c>
      <c r="E450" s="555">
        <f>IF($M450&gt;0,('Amounts Pivot Table'!P$15/$M450),0)</f>
        <v>3628.1162319232326</v>
      </c>
      <c r="F450" s="555">
        <f t="shared" ref="F450:F468" si="44">SUM(B450:E450)</f>
        <v>11548.035950804162</v>
      </c>
      <c r="G450" s="556">
        <f>IF(B450&gt;0,RANK(B450,$B$450:$B$468),)</f>
        <v>1</v>
      </c>
      <c r="H450" s="557">
        <f>IF(C450&gt;0,RANK(C450,$C$450:$C$468),)</f>
        <v>1</v>
      </c>
      <c r="I450" s="557">
        <f>IF(D450&gt;0,RANK(D450,$D$450:$D$468),)</f>
        <v>0</v>
      </c>
      <c r="J450" s="557">
        <f>IF(E450&gt;0,RANK(E450,$E$450:$E$468),)</f>
        <v>2</v>
      </c>
      <c r="K450" s="557">
        <f>IF(F450&gt;0,RANK(F450,$F$450:$F$468),)</f>
        <v>1</v>
      </c>
      <c r="L450" s="648"/>
      <c r="M450" s="825">
        <f>+'[1]NEW-Tables 80-86'!AJ193</f>
        <v>1233.1666666666667</v>
      </c>
    </row>
    <row r="451" spans="1:13" s="490" customFormat="1" ht="12.75" customHeight="1">
      <c r="A451" s="406" t="s">
        <v>334</v>
      </c>
      <c r="B451" s="555">
        <f>IF($M451&gt;0,('Amounts Pivot Table'!P$45/$M451),0)</f>
        <v>0</v>
      </c>
      <c r="C451" s="555">
        <f>IF($M451&gt;0,('Amounts Pivot Table'!P$48/$M451),0)</f>
        <v>0</v>
      </c>
      <c r="D451" s="555">
        <f>IF($M451&gt;0,('Amounts Pivot Table'!P$51/$M451),0)</f>
        <v>0</v>
      </c>
      <c r="E451" s="555">
        <f>IF($M451&gt;0,('Amounts Pivot Table'!P$54/$M451),0)</f>
        <v>0</v>
      </c>
      <c r="F451" s="555">
        <f t="shared" si="44"/>
        <v>0</v>
      </c>
      <c r="G451" s="556">
        <f>IF(B451&gt;0,RANK(B451,$B$450:$B$468),)</f>
        <v>0</v>
      </c>
      <c r="H451" s="557">
        <f>IF(C451&gt;0,RANK(C451,$C$450:$C$468),)</f>
        <v>0</v>
      </c>
      <c r="I451" s="557">
        <f>IF(D451&gt;0,RANK(D451,$D$450:$D$468),)</f>
        <v>0</v>
      </c>
      <c r="J451" s="557">
        <f>IF(E451&gt;0,RANK(E451,$E$450:$E$468),)</f>
        <v>0</v>
      </c>
      <c r="K451" s="557">
        <f>IF(F451&gt;0,RANK(F451,$F$450:$F$468),)</f>
        <v>0</v>
      </c>
      <c r="L451" s="648"/>
      <c r="M451" s="825">
        <f>+'[1]NEW-Tables 80-86'!AJ194</f>
        <v>0</v>
      </c>
    </row>
    <row r="452" spans="1:13" s="490" customFormat="1" ht="12.75" customHeight="1">
      <c r="A452" s="406" t="s">
        <v>321</v>
      </c>
      <c r="B452" s="555">
        <f>IF($M452&gt;0,('Amounts Pivot Table'!P$84/$M452),0)</f>
        <v>0</v>
      </c>
      <c r="C452" s="555">
        <f>IF($M452&gt;0,('Amounts Pivot Table'!P$87/$M452),0)</f>
        <v>0</v>
      </c>
      <c r="D452" s="555">
        <f>IF($M452&gt;0,('Amounts Pivot Table'!P$90/$M452),0)</f>
        <v>0</v>
      </c>
      <c r="E452" s="555">
        <f>IF($M452&gt;0,('Amounts Pivot Table'!P$93/$M452),0)</f>
        <v>0</v>
      </c>
      <c r="F452" s="555">
        <f t="shared" si="44"/>
        <v>0</v>
      </c>
      <c r="G452" s="556">
        <f>IF(B452&gt;0,RANK(B452,$B$450:$B$468),)</f>
        <v>0</v>
      </c>
      <c r="H452" s="557">
        <f>IF(C452&gt;0,RANK(C452,$C$450:$C$468),)</f>
        <v>0</v>
      </c>
      <c r="I452" s="557">
        <f>IF(D452&gt;0,RANK(D452,$D$450:$D$468),)</f>
        <v>0</v>
      </c>
      <c r="J452" s="557">
        <f>IF(E452&gt;0,RANK(E452,$E$450:$E$468),)</f>
        <v>0</v>
      </c>
      <c r="K452" s="557">
        <f>IF(F452&gt;0,RANK(F452,$F$450:$F$468),)</f>
        <v>0</v>
      </c>
      <c r="L452" s="175"/>
      <c r="M452" s="825">
        <f>+'[1]NEW-Tables 80-86'!AJ195</f>
        <v>0</v>
      </c>
    </row>
    <row r="453" spans="1:13" s="490" customFormat="1" ht="12.75" customHeight="1">
      <c r="A453" s="406" t="s">
        <v>328</v>
      </c>
      <c r="B453" s="555">
        <f>IF($M453&gt;0,('Amounts Pivot Table'!P$123/$M453),0)</f>
        <v>0</v>
      </c>
      <c r="C453" s="555">
        <f>IF($M453&gt;0,('Amounts Pivot Table'!P$126/$M453),0)</f>
        <v>0</v>
      </c>
      <c r="D453" s="555">
        <f>IF($M453&gt;0,('Amounts Pivot Table'!P$129/$M453),0)</f>
        <v>0</v>
      </c>
      <c r="E453" s="555">
        <f>IF($M453&gt;0,('Amounts Pivot Table'!P$132/$M453),0)</f>
        <v>0</v>
      </c>
      <c r="F453" s="555">
        <f t="shared" si="44"/>
        <v>0</v>
      </c>
      <c r="G453" s="556">
        <f>IF(B453&gt;0,RANK(B453,$B$450:$B$468),)</f>
        <v>0</v>
      </c>
      <c r="H453" s="557">
        <f>IF(C453&gt;0,RANK(C453,$C$450:$C$468),)</f>
        <v>0</v>
      </c>
      <c r="I453" s="557">
        <f>IF(D453&gt;0,RANK(D453,$D$450:$D$468),)</f>
        <v>0</v>
      </c>
      <c r="J453" s="557">
        <f>IF(E453&gt;0,RANK(E453,$E$450:$E$468),)</f>
        <v>0</v>
      </c>
      <c r="K453" s="557">
        <f>IF(F453&gt;0,RANK(F453,$F$450:$F$468),)</f>
        <v>0</v>
      </c>
      <c r="L453" s="648"/>
      <c r="M453" s="825">
        <f>+'[1]NEW-Tables 80-86'!AJ196</f>
        <v>0</v>
      </c>
    </row>
    <row r="454" spans="1:13" s="112" customFormat="1">
      <c r="A454" s="194"/>
      <c r="B454" s="194"/>
      <c r="C454" s="194"/>
      <c r="D454" s="194"/>
      <c r="E454" s="194"/>
      <c r="F454" s="194"/>
      <c r="G454" s="198"/>
      <c r="H454" s="194"/>
      <c r="I454" s="194"/>
      <c r="J454" s="194"/>
      <c r="K454" s="194"/>
      <c r="L454" s="196"/>
      <c r="M454" s="825"/>
    </row>
    <row r="455" spans="1:13" s="490" customFormat="1" ht="12.75" customHeight="1">
      <c r="A455" s="406" t="s">
        <v>329</v>
      </c>
      <c r="B455" s="555">
        <f>IF($M455&gt;0,('Amounts Pivot Table'!P$162/$M455),0)</f>
        <v>3399.5429175971703</v>
      </c>
      <c r="C455" s="555">
        <f>IF($M455&gt;0,('Amounts Pivot Table'!P$165/$M455),0)</f>
        <v>217.03567921724698</v>
      </c>
      <c r="D455" s="555">
        <f>IF($M455&gt;0,('Amounts Pivot Table'!P$168/$M455),0)</f>
        <v>0</v>
      </c>
      <c r="E455" s="555">
        <f>IF($M455&gt;0,('Amounts Pivot Table'!P$171/$M455),0)</f>
        <v>3359.7059680083594</v>
      </c>
      <c r="F455" s="555">
        <f t="shared" si="44"/>
        <v>6976.2845648227767</v>
      </c>
      <c r="G455" s="556">
        <f>IF(B455&gt;0,RANK(B455,$B$450:$B$468),)</f>
        <v>3</v>
      </c>
      <c r="H455" s="557">
        <f>IF(C455&gt;0,RANK(C455,$C$450:$C$468),)</f>
        <v>2</v>
      </c>
      <c r="I455" s="557">
        <f>IF(D455&gt;0,RANK(D455,$D$450:$D$468),)</f>
        <v>0</v>
      </c>
      <c r="J455" s="557">
        <f>IF(E455&gt;0,RANK(E455,$E$450:$E$468),)</f>
        <v>3</v>
      </c>
      <c r="K455" s="557">
        <f>IF(F455&gt;0,RANK(F455,$F$450:$F$468),)</f>
        <v>2</v>
      </c>
      <c r="L455" s="175"/>
      <c r="M455" s="825">
        <f>+'[1]NEW-Tables 80-86'!AJ198</f>
        <v>76720.666666666672</v>
      </c>
    </row>
    <row r="456" spans="1:13" s="490" customFormat="1" ht="12.75" customHeight="1">
      <c r="A456" s="406" t="s">
        <v>322</v>
      </c>
      <c r="B456" s="555">
        <f>IF($M456&gt;0,('Amounts Pivot Table'!P$201/$M456),0)</f>
        <v>2834.2486864850416</v>
      </c>
      <c r="C456" s="555">
        <f>IF($M456&gt;0,('Amounts Pivot Table'!P$204/$M456),0)</f>
        <v>0</v>
      </c>
      <c r="D456" s="555">
        <f>IF($M456&gt;0,('Amounts Pivot Table'!P$207/$M456),0)</f>
        <v>0</v>
      </c>
      <c r="E456" s="555">
        <f>IF($M456&gt;0,('Amounts Pivot Table'!P$210/$M456),0)</f>
        <v>3692.6281336011307</v>
      </c>
      <c r="F456" s="555">
        <f t="shared" si="44"/>
        <v>6526.8768200861723</v>
      </c>
      <c r="G456" s="556">
        <f>IF(B456&gt;0,RANK(B456,$B$450:$B$468),)</f>
        <v>5</v>
      </c>
      <c r="H456" s="557">
        <f>IF(C456&gt;0,RANK(C456,$C$450:$C$468),)</f>
        <v>0</v>
      </c>
      <c r="I456" s="557">
        <f>IF(D456&gt;0,RANK(D456,$D$450:$D$468),)</f>
        <v>0</v>
      </c>
      <c r="J456" s="557">
        <f>IF(E456&gt;0,RANK(E456,$E$450:$E$468),)</f>
        <v>1</v>
      </c>
      <c r="K456" s="557">
        <f>IF(F456&gt;0,RANK(F456,$F$450:$F$468),)</f>
        <v>3</v>
      </c>
      <c r="L456" s="648"/>
      <c r="M456" s="825">
        <f>+'[1]NEW-Tables 80-86'!AJ199</f>
        <v>5377.2</v>
      </c>
    </row>
    <row r="457" spans="1:13" s="490" customFormat="1" ht="12.75" customHeight="1">
      <c r="A457" s="406" t="s">
        <v>330</v>
      </c>
      <c r="B457" s="555">
        <f>IF($M457&gt;0,('Amounts Pivot Table'!P$240/$M457),0)</f>
        <v>2290.831952962023</v>
      </c>
      <c r="C457" s="555">
        <f>IF($M457&gt;0,('Amounts Pivot Table'!P$243/$M457),0)</f>
        <v>0</v>
      </c>
      <c r="D457" s="555">
        <f>IF($M457&gt;0,('Amounts Pivot Table'!P$246/$M457),0)</f>
        <v>0</v>
      </c>
      <c r="E457" s="555">
        <f>IF($M457&gt;0,('Amounts Pivot Table'!P$249/$M457),0)</f>
        <v>1947.5487274598572</v>
      </c>
      <c r="F457" s="555">
        <f t="shared" si="44"/>
        <v>4238.3806804218802</v>
      </c>
      <c r="G457" s="556">
        <f>IF(B457&gt;0,RANK(B457,$B$450:$B$468),)</f>
        <v>6</v>
      </c>
      <c r="H457" s="557">
        <f>IF(C457&gt;0,RANK(C457,$C$450:$C$468),)</f>
        <v>0</v>
      </c>
      <c r="I457" s="557">
        <f>IF(D457&gt;0,RANK(D457,$D$450:$D$468),)</f>
        <v>0</v>
      </c>
      <c r="J457" s="557">
        <f>IF(E457&gt;0,RANK(E457,$E$450:$E$468),)</f>
        <v>5</v>
      </c>
      <c r="K457" s="557">
        <f>IF(F457&gt;0,RANK(F457,$F$450:$F$468),)</f>
        <v>6</v>
      </c>
      <c r="L457" s="648"/>
      <c r="M457" s="825">
        <f>+'[1]NEW-Tables 80-86'!AJ200</f>
        <v>13654.404444444446</v>
      </c>
    </row>
    <row r="458" spans="1:13" s="490" customFormat="1" ht="12.75" customHeight="1">
      <c r="A458" s="406" t="s">
        <v>333</v>
      </c>
      <c r="B458" s="555">
        <f>IF($M458&gt;0,('Amounts Pivot Table'!P$279/$M458),0)</f>
        <v>0</v>
      </c>
      <c r="C458" s="555">
        <f>IF($M458&gt;0,('Amounts Pivot Table'!P$282/$M458),0)</f>
        <v>0</v>
      </c>
      <c r="D458" s="555">
        <f>IF($M458&gt;0,('Amounts Pivot Table'!P$285/$M458),0)</f>
        <v>0</v>
      </c>
      <c r="E458" s="555">
        <f>IF($M458&gt;0,('Amounts Pivot Table'!P$288/$M458),0)</f>
        <v>0</v>
      </c>
      <c r="F458" s="555">
        <f t="shared" si="44"/>
        <v>0</v>
      </c>
      <c r="G458" s="556">
        <f>IF(B458&gt;0,RANK(B458,$B$450:$B$468),)</f>
        <v>0</v>
      </c>
      <c r="H458" s="557">
        <f>IF(C458&gt;0,RANK(C458,$C$450:$C$468),)</f>
        <v>0</v>
      </c>
      <c r="I458" s="557">
        <f>IF(D458&gt;0,RANK(D458,$D$450:$D$468),)</f>
        <v>0</v>
      </c>
      <c r="J458" s="557">
        <f>IF(E458&gt;0,RANK(E458,$E$450:$E$468),)</f>
        <v>0</v>
      </c>
      <c r="K458" s="557">
        <f>IF(F458&gt;0,RANK(F458,$F$450:$F$468),)</f>
        <v>0</v>
      </c>
      <c r="L458" s="175"/>
      <c r="M458" s="825">
        <f>+'[1]NEW-Tables 80-86'!AJ201</f>
        <v>0</v>
      </c>
    </row>
    <row r="459" spans="1:13" s="112" customFormat="1">
      <c r="A459" s="194"/>
      <c r="B459" s="194"/>
      <c r="C459" s="194"/>
      <c r="D459" s="194"/>
      <c r="E459" s="194"/>
      <c r="F459" s="194"/>
      <c r="G459" s="198"/>
      <c r="H459" s="194"/>
      <c r="I459" s="194"/>
      <c r="J459" s="194"/>
      <c r="K459" s="194"/>
      <c r="L459" s="196"/>
      <c r="M459" s="825"/>
    </row>
    <row r="460" spans="1:13" s="490" customFormat="1" ht="12.75" customHeight="1">
      <c r="A460" s="406" t="s">
        <v>323</v>
      </c>
      <c r="B460" s="555">
        <f>IF($M460&gt;0,('Amounts Pivot Table'!P$318/$M460),0)</f>
        <v>0</v>
      </c>
      <c r="C460" s="555">
        <f>IF($M460&gt;0,('Amounts Pivot Table'!P$321/$M460),0)</f>
        <v>0</v>
      </c>
      <c r="D460" s="555">
        <f>IF($M460&gt;0,('Amounts Pivot Table'!P$324/$M460),0)</f>
        <v>0</v>
      </c>
      <c r="E460" s="555">
        <f>IF($M460&gt;0,('Amounts Pivot Table'!P$327/$M460),0)</f>
        <v>0</v>
      </c>
      <c r="F460" s="555">
        <f t="shared" si="44"/>
        <v>0</v>
      </c>
      <c r="G460" s="556">
        <f>IF(B460&gt;0,RANK(B460,$B$450:$B$468),)</f>
        <v>0</v>
      </c>
      <c r="H460" s="557">
        <f>IF(C460&gt;0,RANK(C460,$C$450:$C$468),)</f>
        <v>0</v>
      </c>
      <c r="I460" s="557">
        <f>IF(D460&gt;0,RANK(D460,$D$450:$D$468),)</f>
        <v>0</v>
      </c>
      <c r="J460" s="557">
        <f>IF(E460&gt;0,RANK(E460,$E$450:$E$468),)</f>
        <v>0</v>
      </c>
      <c r="K460" s="557">
        <f>IF(F460&gt;0,RANK(F460,$F$450:$F$468),)</f>
        <v>0</v>
      </c>
      <c r="L460" s="648"/>
      <c r="M460" s="825">
        <f>+'[1]NEW-Tables 80-86'!AJ203</f>
        <v>0</v>
      </c>
    </row>
    <row r="461" spans="1:13" s="490" customFormat="1" ht="12.75" customHeight="1">
      <c r="A461" s="406" t="s">
        <v>324</v>
      </c>
      <c r="B461" s="555">
        <f>IF($M461&gt;0,('Amounts Pivot Table'!P$357/$M461),0)</f>
        <v>0</v>
      </c>
      <c r="C461" s="555">
        <f>IF($M461&gt;0,('Amounts Pivot Table'!P$360/$M461),0)</f>
        <v>0</v>
      </c>
      <c r="D461" s="555">
        <f>IF($M461&gt;0,('Amounts Pivot Table'!P$363/$M461),0)</f>
        <v>0</v>
      </c>
      <c r="E461" s="555">
        <f>IF($M461&gt;0,('Amounts Pivot Table'!P$366/$M461),0)</f>
        <v>0</v>
      </c>
      <c r="F461" s="555">
        <f t="shared" si="44"/>
        <v>0</v>
      </c>
      <c r="G461" s="556">
        <f>IF(B461&gt;0,RANK(B461,$B$450:$B$468),)</f>
        <v>0</v>
      </c>
      <c r="H461" s="557">
        <f>IF(C461&gt;0,RANK(C461,$C$450:$C$468),)</f>
        <v>0</v>
      </c>
      <c r="I461" s="557">
        <f>IF(D461&gt;0,RANK(D461,$D$450:$D$468),)</f>
        <v>0</v>
      </c>
      <c r="J461" s="557">
        <f>IF(E461&gt;0,RANK(E461,$E$450:$E$468),)</f>
        <v>0</v>
      </c>
      <c r="K461" s="557">
        <f>IF(F461&gt;0,RANK(F461,$F$450:$F$468),)</f>
        <v>0</v>
      </c>
      <c r="L461" s="175"/>
      <c r="M461" s="825">
        <f>+'[1]NEW-Tables 80-86'!AJ204</f>
        <v>0</v>
      </c>
    </row>
    <row r="462" spans="1:13" s="490" customFormat="1" ht="12.75" customHeight="1">
      <c r="A462" s="406" t="s">
        <v>331</v>
      </c>
      <c r="B462" s="555">
        <f>IF($M462&gt;0,('Amounts Pivot Table'!P$396/$M462),0)</f>
        <v>3604.7000487650603</v>
      </c>
      <c r="C462" s="555">
        <f>IF($M462&gt;0,('Amounts Pivot Table'!P$399/$M462),0)</f>
        <v>0</v>
      </c>
      <c r="D462" s="555">
        <f>IF($M462&gt;0,('Amounts Pivot Table'!P$402/$M462),0)</f>
        <v>0</v>
      </c>
      <c r="E462" s="555">
        <f>IF($M462&gt;0,('Amounts Pivot Table'!P$405/$M462),0)</f>
        <v>1342.496763016886</v>
      </c>
      <c r="F462" s="555">
        <f t="shared" si="44"/>
        <v>4947.1968117819461</v>
      </c>
      <c r="G462" s="556">
        <f>IF(B462&gt;0,RANK(B462,$B$450:$B$468),)</f>
        <v>2</v>
      </c>
      <c r="H462" s="557">
        <f>IF(C462&gt;0,RANK(C462,$C$450:$C$468),)</f>
        <v>0</v>
      </c>
      <c r="I462" s="557">
        <f>IF(D462&gt;0,RANK(D462,$D$450:$D$468),)</f>
        <v>0</v>
      </c>
      <c r="J462" s="557">
        <f>IF(E462&gt;0,RANK(E462,$E$450:$E$468),)</f>
        <v>6</v>
      </c>
      <c r="K462" s="557">
        <f>IF(F462&gt;0,RANK(F462,$F$450:$F$468),)</f>
        <v>5</v>
      </c>
      <c r="L462" s="648"/>
      <c r="M462" s="825">
        <f>+'[1]NEW-Tables 80-86'!AJ205</f>
        <v>3864.6067111111106</v>
      </c>
    </row>
    <row r="463" spans="1:13" s="490" customFormat="1" ht="12.75" customHeight="1">
      <c r="A463" s="406" t="s">
        <v>325</v>
      </c>
      <c r="B463" s="555">
        <f>IF($M463&gt;0,('Amounts Pivot Table'!P$435/$M463),0)</f>
        <v>0</v>
      </c>
      <c r="C463" s="555">
        <f>IF($M463&gt;0,('Amounts Pivot Table'!P$438/$M463),0)</f>
        <v>0</v>
      </c>
      <c r="D463" s="555">
        <f>IF($M463&gt;0,('Amounts Pivot Table'!P$441/$M463),0)</f>
        <v>0</v>
      </c>
      <c r="E463" s="555">
        <f>IF($M463&gt;0,('Amounts Pivot Table'!P$444/$M463),0)</f>
        <v>0</v>
      </c>
      <c r="F463" s="555">
        <f t="shared" si="44"/>
        <v>0</v>
      </c>
      <c r="G463" s="556">
        <f>IF(B463&gt;0,RANK(B463,$B$450:$B$468),)</f>
        <v>0</v>
      </c>
      <c r="H463" s="557">
        <f>IF(C463&gt;0,RANK(C463,$C$450:$C$468),)</f>
        <v>0</v>
      </c>
      <c r="I463" s="557">
        <f>IF(D463&gt;0,RANK(D463,$D$450:$D$468),)</f>
        <v>0</v>
      </c>
      <c r="J463" s="557">
        <f>IF(E463&gt;0,RANK(E463,$E$450:$E$468),)</f>
        <v>0</v>
      </c>
      <c r="K463" s="557">
        <f>IF(F463&gt;0,RANK(F463,$F$450:$F$468),)</f>
        <v>0</v>
      </c>
      <c r="L463" s="648"/>
      <c r="M463" s="825">
        <f>+'[1]NEW-Tables 80-86'!AJ206</f>
        <v>0</v>
      </c>
    </row>
    <row r="464" spans="1:13" s="112" customFormat="1">
      <c r="A464" s="194"/>
      <c r="B464" s="194"/>
      <c r="C464" s="194"/>
      <c r="D464" s="194"/>
      <c r="E464" s="194"/>
      <c r="F464" s="194"/>
      <c r="G464" s="198"/>
      <c r="H464" s="194"/>
      <c r="I464" s="194"/>
      <c r="J464" s="194"/>
      <c r="K464" s="194"/>
      <c r="L464" s="196"/>
      <c r="M464" s="825"/>
    </row>
    <row r="465" spans="1:13" s="490" customFormat="1" ht="12.75" customHeight="1">
      <c r="A465" s="406" t="s">
        <v>90</v>
      </c>
      <c r="B465" s="555">
        <f>IF($M465&gt;0,('Amounts Pivot Table'!P$474/$M465),0)</f>
        <v>3117.7170181586885</v>
      </c>
      <c r="C465" s="555">
        <f>IF($M465&gt;0,('Amounts Pivot Table'!P$477/$M465),0)</f>
        <v>0</v>
      </c>
      <c r="D465" s="555">
        <f>IF($M465&gt;0,('Amounts Pivot Table'!P$480/$M465),0)</f>
        <v>0</v>
      </c>
      <c r="E465" s="555">
        <f>IF($M465&gt;0,('Amounts Pivot Table'!P$483/$M465),0)</f>
        <v>2462.8813994369448</v>
      </c>
      <c r="F465" s="555">
        <f t="shared" si="44"/>
        <v>5580.5984175956328</v>
      </c>
      <c r="G465" s="556">
        <f>IF(B465&gt;0,RANK(B465,$B$450:$B$468),)</f>
        <v>4</v>
      </c>
      <c r="H465" s="557">
        <f>IF(C465&gt;0,RANK(C465,$C$450:$C$468),)</f>
        <v>0</v>
      </c>
      <c r="I465" s="557">
        <f>IF(D465&gt;0,RANK(D465,$D$450:$D$468),)</f>
        <v>0</v>
      </c>
      <c r="J465" s="557">
        <f>IF(E465&gt;0,RANK(E465,$E$450:$E$468),)</f>
        <v>4</v>
      </c>
      <c r="K465" s="557">
        <f>IF(F465&gt;0,RANK(F465,$F$450:$F$468),)</f>
        <v>4</v>
      </c>
      <c r="L465" s="648"/>
      <c r="M465" s="825">
        <f>+'[1]NEW-Tables 80-86'!AJ208</f>
        <v>1086.5322222222221</v>
      </c>
    </row>
    <row r="466" spans="1:13" s="76" customFormat="1" ht="12.75" customHeight="1">
      <c r="A466" s="406" t="s">
        <v>326</v>
      </c>
      <c r="B466" s="555">
        <f>IF($M466&gt;0,('Amounts Pivot Table'!P$513/$M466),0)</f>
        <v>0</v>
      </c>
      <c r="C466" s="555">
        <f>IF($M466&gt;0,('Amounts Pivot Table'!P$516/$M466),0)</f>
        <v>0</v>
      </c>
      <c r="D466" s="555">
        <f>IF($M466&gt;0,('Amounts Pivot Table'!P$519/$M466),0)</f>
        <v>0</v>
      </c>
      <c r="E466" s="555">
        <f>IF($M466&gt;0,('Amounts Pivot Table'!P$522/$M466),0)</f>
        <v>0</v>
      </c>
      <c r="F466" s="555">
        <f t="shared" si="44"/>
        <v>0</v>
      </c>
      <c r="G466" s="556">
        <f>IF(B466&gt;0,RANK(B466,$B$450:$B$468),)</f>
        <v>0</v>
      </c>
      <c r="H466" s="557">
        <f>IF(C466&gt;0,RANK(C466,$C$450:$C$468),)</f>
        <v>0</v>
      </c>
      <c r="I466" s="557">
        <f>IF(D466&gt;0,RANK(D466,$D$450:$D$468),)</f>
        <v>0</v>
      </c>
      <c r="J466" s="557">
        <f>IF(E466&gt;0,RANK(E466,$E$450:$E$468),)</f>
        <v>0</v>
      </c>
      <c r="K466" s="557">
        <f>IF(F466&gt;0,RANK(F466,$F$450:$F$468),)</f>
        <v>0</v>
      </c>
      <c r="L466" s="648"/>
      <c r="M466" s="825">
        <f>+'[1]NEW-Tables 80-86'!AJ209</f>
        <v>0</v>
      </c>
    </row>
    <row r="467" spans="1:13" s="490" customFormat="1" ht="12.75" customHeight="1">
      <c r="A467" s="406" t="s">
        <v>327</v>
      </c>
      <c r="B467" s="555">
        <f>IF($M467&gt;0,('Amounts Pivot Table'!P$552/$M467),0)</f>
        <v>0</v>
      </c>
      <c r="C467" s="555">
        <f>IF($M467&gt;0,('Amounts Pivot Table'!P$555/$M467),0)</f>
        <v>0</v>
      </c>
      <c r="D467" s="555">
        <f>IF($M467&gt;0,('Amounts Pivot Table'!P$558/$M467),0)</f>
        <v>0</v>
      </c>
      <c r="E467" s="555">
        <f>IF($M467&gt;0,('Amounts Pivot Table'!P$561/$M467),0)</f>
        <v>0</v>
      </c>
      <c r="F467" s="555">
        <f t="shared" si="44"/>
        <v>0</v>
      </c>
      <c r="G467" s="556">
        <f>IF(B467&gt;0,RANK(B467,$B$450:$B$468),)</f>
        <v>0</v>
      </c>
      <c r="H467" s="557">
        <f>IF(C467&gt;0,RANK(C467,$C$450:$C$468),)</f>
        <v>0</v>
      </c>
      <c r="I467" s="557">
        <f>IF(D467&gt;0,RANK(D467,$D$450:$D$468),)</f>
        <v>0</v>
      </c>
      <c r="J467" s="557">
        <f>IF(E467&gt;0,RANK(E467,$E$450:$E$468),)</f>
        <v>0</v>
      </c>
      <c r="K467" s="557">
        <f>IF(F467&gt;0,RANK(F467,$F$450:$F$468),)</f>
        <v>0</v>
      </c>
      <c r="L467" s="175"/>
      <c r="M467" s="825">
        <f>+'[1]NEW-Tables 80-86'!AJ210</f>
        <v>0</v>
      </c>
    </row>
    <row r="468" spans="1:13" s="490" customFormat="1" ht="17.25" customHeight="1">
      <c r="A468" s="407" t="s">
        <v>332</v>
      </c>
      <c r="B468" s="561">
        <f>IF($M468&gt;0,('Amounts Pivot Table'!P$591/$M468),0)</f>
        <v>0</v>
      </c>
      <c r="C468" s="561">
        <f>IF($M468&gt;0,('Amounts Pivot Table'!P$594/$M468),0)</f>
        <v>0</v>
      </c>
      <c r="D468" s="561">
        <f>IF($M468&gt;0,('Amounts Pivot Table'!P$597/$M468),0)</f>
        <v>0</v>
      </c>
      <c r="E468" s="561">
        <f>IF($M468&gt;0,('Amounts Pivot Table'!P$600/$M468),0)</f>
        <v>0</v>
      </c>
      <c r="F468" s="562">
        <f t="shared" si="44"/>
        <v>0</v>
      </c>
      <c r="G468" s="563">
        <f>IF(B468&gt;0,RANK(B468,$B$450:$B$468),)</f>
        <v>0</v>
      </c>
      <c r="H468" s="564">
        <f>IF(C468&gt;0,RANK(C468,$C$450:$C$468),)</f>
        <v>0</v>
      </c>
      <c r="I468" s="564">
        <f>IF(D468&gt;0,RANK(D468,$D$450:$D$468),)</f>
        <v>0</v>
      </c>
      <c r="J468" s="564">
        <f>IF(E468&gt;0,RANK(E468,$E$450:$E$468),)</f>
        <v>0</v>
      </c>
      <c r="K468" s="564">
        <f>IF(F468&gt;0,RANK(F468,$F$450:$F$468),)</f>
        <v>0</v>
      </c>
      <c r="L468" s="648"/>
      <c r="M468" s="825">
        <f>+'[1]NEW-Tables 80-86'!AJ211</f>
        <v>0</v>
      </c>
    </row>
    <row r="469" spans="1:13" s="76" customFormat="1" ht="34.5" customHeight="1">
      <c r="A469" s="1505" t="s">
        <v>17</v>
      </c>
      <c r="B469" s="1529"/>
      <c r="C469" s="1529"/>
      <c r="D469" s="1529"/>
      <c r="E469" s="1529"/>
      <c r="F469" s="1529"/>
      <c r="G469" s="1529"/>
      <c r="H469" s="1529"/>
      <c r="I469" s="1529"/>
      <c r="J469" s="1529"/>
      <c r="K469" s="1529"/>
      <c r="L469" s="169"/>
      <c r="M469" s="643"/>
    </row>
    <row r="470" spans="1:13" s="205" customFormat="1" ht="13.5" customHeight="1">
      <c r="A470" s="1505" t="s">
        <v>54</v>
      </c>
      <c r="B470" s="1529"/>
      <c r="C470" s="1529"/>
      <c r="D470" s="1529"/>
      <c r="E470" s="1529"/>
      <c r="F470" s="1529"/>
      <c r="G470" s="1529"/>
      <c r="H470" s="1529"/>
      <c r="I470" s="1529"/>
      <c r="J470" s="1529"/>
      <c r="K470" s="1529"/>
      <c r="L470" s="204"/>
      <c r="M470" s="643"/>
    </row>
    <row r="471" spans="1:13" s="490" customFormat="1" ht="13.5" customHeight="1">
      <c r="A471" s="1505" t="s">
        <v>233</v>
      </c>
      <c r="B471" s="1541"/>
      <c r="C471" s="1541"/>
      <c r="D471" s="1541"/>
      <c r="E471" s="1541"/>
      <c r="F471" s="1541"/>
      <c r="G471" s="1542"/>
      <c r="H471" s="1542"/>
      <c r="I471" s="1542"/>
      <c r="J471" s="1542"/>
      <c r="K471" s="1542"/>
      <c r="L471" s="652"/>
      <c r="M471" s="643"/>
    </row>
    <row r="472" spans="1:13" s="490" customFormat="1">
      <c r="A472" s="638"/>
      <c r="B472" s="651"/>
      <c r="C472" s="651"/>
      <c r="D472" s="651"/>
      <c r="E472" s="651"/>
      <c r="F472" s="651"/>
      <c r="G472" s="653"/>
      <c r="H472" s="653"/>
      <c r="I472" s="653"/>
      <c r="J472" s="653"/>
      <c r="K472" s="534" t="s">
        <v>1927</v>
      </c>
      <c r="L472" s="652"/>
      <c r="M472" s="643"/>
    </row>
    <row r="473" spans="1:13" s="490" customFormat="1" ht="18.75" customHeight="1">
      <c r="A473" s="1504" t="s">
        <v>373</v>
      </c>
      <c r="B473" s="1504"/>
      <c r="C473" s="1504"/>
      <c r="D473" s="1504"/>
      <c r="E473" s="1504"/>
      <c r="F473" s="1504"/>
      <c r="G473" s="1504"/>
      <c r="H473" s="1504"/>
      <c r="I473" s="1504"/>
      <c r="J473" s="1504"/>
      <c r="K473" s="1504"/>
      <c r="L473" s="649"/>
      <c r="M473" s="643"/>
    </row>
    <row r="474" spans="1:13" s="490" customFormat="1" ht="18.75">
      <c r="A474" s="1504" t="s">
        <v>18</v>
      </c>
      <c r="B474" s="1504"/>
      <c r="C474" s="1504"/>
      <c r="D474" s="1504"/>
      <c r="E474" s="1504"/>
      <c r="F474" s="1504"/>
      <c r="G474" s="1504"/>
      <c r="H474" s="1504"/>
      <c r="I474" s="1504"/>
      <c r="J474" s="1504"/>
      <c r="K474" s="1504"/>
      <c r="L474" s="165"/>
      <c r="M474" s="643"/>
    </row>
    <row r="475" spans="1:13" s="490" customFormat="1" ht="15.75" customHeight="1">
      <c r="A475" s="1504" t="s">
        <v>1950</v>
      </c>
      <c r="B475" s="1504"/>
      <c r="C475" s="1504"/>
      <c r="D475" s="1504"/>
      <c r="E475" s="1504"/>
      <c r="F475" s="1504"/>
      <c r="G475" s="1504"/>
      <c r="H475" s="1504"/>
      <c r="I475" s="1504"/>
      <c r="J475" s="1504"/>
      <c r="K475" s="1504"/>
      <c r="L475" s="165"/>
      <c r="M475" s="643"/>
    </row>
    <row r="476" spans="1:13" s="490" customFormat="1" ht="9.75" customHeight="1">
      <c r="A476" s="91"/>
      <c r="B476" s="91"/>
      <c r="C476" s="91"/>
      <c r="D476" s="91"/>
      <c r="E476" s="91"/>
      <c r="F476" s="91"/>
      <c r="G476" s="108"/>
      <c r="H476" s="91"/>
      <c r="I476" s="91"/>
      <c r="J476" s="91"/>
      <c r="K476" s="91"/>
      <c r="L476" s="165"/>
      <c r="M476" s="643"/>
    </row>
    <row r="477" spans="1:13" s="662" customFormat="1" ht="15.75" customHeight="1">
      <c r="A477" s="56"/>
      <c r="B477" s="1543" t="s">
        <v>55</v>
      </c>
      <c r="C477" s="1544"/>
      <c r="D477" s="1544"/>
      <c r="E477" s="1544"/>
      <c r="F477" s="1544"/>
      <c r="G477" s="1545" t="s">
        <v>119</v>
      </c>
      <c r="H477" s="1546"/>
      <c r="I477" s="1546"/>
      <c r="J477" s="1546"/>
      <c r="K477" s="1546"/>
      <c r="L477" s="173"/>
      <c r="M477" s="643"/>
    </row>
    <row r="478" spans="1:13" s="378" customFormat="1" ht="47.25" customHeight="1">
      <c r="A478" s="644"/>
      <c r="B478" s="51" t="s">
        <v>87</v>
      </c>
      <c r="C478" s="52" t="s">
        <v>89</v>
      </c>
      <c r="D478" s="52" t="s">
        <v>88</v>
      </c>
      <c r="E478" s="52" t="s">
        <v>306</v>
      </c>
      <c r="F478" s="52" t="s">
        <v>97</v>
      </c>
      <c r="G478" s="53" t="s">
        <v>87</v>
      </c>
      <c r="H478" s="52" t="s">
        <v>89</v>
      </c>
      <c r="I478" s="52" t="s">
        <v>88</v>
      </c>
      <c r="J478" s="52" t="s">
        <v>306</v>
      </c>
      <c r="K478" s="52" t="s">
        <v>97</v>
      </c>
      <c r="L478" s="646"/>
      <c r="M478" s="643" t="s">
        <v>260</v>
      </c>
    </row>
    <row r="479" spans="1:13" s="490" customFormat="1" ht="16.5" customHeight="1">
      <c r="A479" s="406" t="s">
        <v>56</v>
      </c>
      <c r="B479" s="552">
        <f>IF($M479&gt;0,('Amounts Pivot Table'!Q$630/$M479),0)</f>
        <v>5499.1481495523685</v>
      </c>
      <c r="C479" s="552">
        <f>IF($M479&gt;0,('Amounts Pivot Table'!Q$633/$M479),0)</f>
        <v>42.774254081127403</v>
      </c>
      <c r="D479" s="552">
        <f>IF($M479&gt;0,('Amounts Pivot Table'!Q$636/$M479),0)</f>
        <v>0</v>
      </c>
      <c r="E479" s="552">
        <f>IF($M479&gt;0,('Amounts Pivot Table'!Q$639/$M479),0)</f>
        <v>2007.8677544394291</v>
      </c>
      <c r="F479" s="552">
        <f>SUM(B479:E479)</f>
        <v>7549.7901580729249</v>
      </c>
      <c r="G479" s="553"/>
      <c r="H479" s="554"/>
      <c r="I479" s="554"/>
      <c r="J479" s="554"/>
      <c r="K479" s="554"/>
      <c r="L479" s="648"/>
      <c r="M479" s="825">
        <f>+'[1]NEW-Tables 80-86'!AK191</f>
        <v>28281.007488888885</v>
      </c>
    </row>
    <row r="480" spans="1:13" s="112" customFormat="1">
      <c r="A480" s="110"/>
      <c r="B480" s="190"/>
      <c r="C480" s="190"/>
      <c r="D480" s="190"/>
      <c r="E480" s="190"/>
      <c r="F480" s="190"/>
      <c r="G480" s="191"/>
      <c r="H480" s="192"/>
      <c r="I480" s="192"/>
      <c r="J480" s="192"/>
      <c r="K480" s="192"/>
      <c r="L480" s="175"/>
      <c r="M480" s="825"/>
    </row>
    <row r="481" spans="1:13" s="490" customFormat="1" ht="12.75" customHeight="1">
      <c r="A481" s="406" t="s">
        <v>320</v>
      </c>
      <c r="B481" s="555">
        <f>IF($M481&gt;0,('Amounts Pivot Table'!Q$6/$M481),0)</f>
        <v>7954.7715616934265</v>
      </c>
      <c r="C481" s="555">
        <f>IF($M481&gt;0,('Amounts Pivot Table'!Q$9/$M481),0)</f>
        <v>608.23534341165816</v>
      </c>
      <c r="D481" s="555">
        <f>IF($M481&gt;0,('Amounts Pivot Table'!Q$12/$M481),0)</f>
        <v>0</v>
      </c>
      <c r="E481" s="555">
        <f>IF($M481&gt;0,('Amounts Pivot Table'!Q$15/$M481),0)</f>
        <v>3981.1628062883383</v>
      </c>
      <c r="F481" s="555">
        <f t="shared" ref="F481:F499" si="45">SUM(B481:E481)</f>
        <v>12544.169711393424</v>
      </c>
      <c r="G481" s="556">
        <f>IF(B481&gt;0,RANK(B481,$B$481:$B$499),)</f>
        <v>1</v>
      </c>
      <c r="H481" s="557">
        <f>IF(C481&gt;0,RANK(C481,$C$481:$C$499),)</f>
        <v>1</v>
      </c>
      <c r="I481" s="557">
        <f>IF(D481&gt;0,RANK(D481,$D$481:$D$499),)</f>
        <v>0</v>
      </c>
      <c r="J481" s="557">
        <f>IF(E481&gt;0,RANK(E481,$E$481:$E$499),)</f>
        <v>1</v>
      </c>
      <c r="K481" s="557">
        <f>IF(F481&gt;0,RANK(F481,$F$481:$F$499),)</f>
        <v>1</v>
      </c>
      <c r="L481" s="648"/>
      <c r="M481" s="825">
        <f>+'[1]NEW-Tables 80-86'!AK193</f>
        <v>1988.8666666666668</v>
      </c>
    </row>
    <row r="482" spans="1:13" s="490" customFormat="1" ht="12.75" customHeight="1">
      <c r="A482" s="406" t="s">
        <v>334</v>
      </c>
      <c r="B482" s="555">
        <f>IF($M482&gt;0,('Amounts Pivot Table'!Q$45/$M482),0)</f>
        <v>0</v>
      </c>
      <c r="C482" s="555">
        <f>IF($M482&gt;0,('Amounts Pivot Table'!Q$48/$M482),0)</f>
        <v>0</v>
      </c>
      <c r="D482" s="555">
        <f>IF($M482&gt;0,('Amounts Pivot Table'!Q$51/$M482),0)</f>
        <v>0</v>
      </c>
      <c r="E482" s="555">
        <f>IF($M482&gt;0,('Amounts Pivot Table'!Q$54/$M482),0)</f>
        <v>0</v>
      </c>
      <c r="F482" s="555">
        <f t="shared" si="45"/>
        <v>0</v>
      </c>
      <c r="G482" s="556">
        <f>IF(B482&gt;0,RANK(B482,$B$481:$B$499),)</f>
        <v>0</v>
      </c>
      <c r="H482" s="557">
        <f>IF(C482&gt;0,RANK(C482,$C$481:$C$499),)</f>
        <v>0</v>
      </c>
      <c r="I482" s="557">
        <f>IF(D482&gt;0,RANK(D482,$D$481:$D$499),)</f>
        <v>0</v>
      </c>
      <c r="J482" s="557">
        <f>IF(E482&gt;0,RANK(E482,$E$481:$E$499),)</f>
        <v>0</v>
      </c>
      <c r="K482" s="557">
        <f>IF(F482&gt;0,RANK(F482,$F$481:$F$499),)</f>
        <v>0</v>
      </c>
      <c r="L482" s="648"/>
      <c r="M482" s="825">
        <f>+'[1]NEW-Tables 80-86'!AK194</f>
        <v>0</v>
      </c>
    </row>
    <row r="483" spans="1:13" s="490" customFormat="1" ht="12.75" customHeight="1">
      <c r="A483" s="406" t="s">
        <v>321</v>
      </c>
      <c r="B483" s="555">
        <f>IF($M483&gt;0,('Amounts Pivot Table'!Q$84/$M483),0)</f>
        <v>0</v>
      </c>
      <c r="C483" s="555">
        <f>IF($M483&gt;0,('Amounts Pivot Table'!Q$87/$M483),0)</f>
        <v>0</v>
      </c>
      <c r="D483" s="555">
        <f>IF($M483&gt;0,('Amounts Pivot Table'!Q$90/$M483),0)</f>
        <v>0</v>
      </c>
      <c r="E483" s="555">
        <f>IF($M483&gt;0,('Amounts Pivot Table'!Q$93/$M483),0)</f>
        <v>0</v>
      </c>
      <c r="F483" s="555">
        <f t="shared" si="45"/>
        <v>0</v>
      </c>
      <c r="G483" s="556">
        <f>IF(B483&gt;0,RANK(B483,$B$481:$B$499),)</f>
        <v>0</v>
      </c>
      <c r="H483" s="557">
        <f>IF(C483&gt;0,RANK(C483,$C$481:$C$499),)</f>
        <v>0</v>
      </c>
      <c r="I483" s="557">
        <f>IF(D483&gt;0,RANK(D483,$D$481:$D$499),)</f>
        <v>0</v>
      </c>
      <c r="J483" s="557">
        <f>IF(E483&gt;0,RANK(E483,$E$481:$E$499),)</f>
        <v>0</v>
      </c>
      <c r="K483" s="557">
        <f>IF(F483&gt;0,RANK(F483,$F$481:$F$499),)</f>
        <v>0</v>
      </c>
      <c r="L483" s="648"/>
      <c r="M483" s="825">
        <f>+'[1]NEW-Tables 80-86'!AK195</f>
        <v>0</v>
      </c>
    </row>
    <row r="484" spans="1:13" s="490" customFormat="1" ht="12.75" customHeight="1">
      <c r="A484" s="406" t="s">
        <v>328</v>
      </c>
      <c r="B484" s="555">
        <f>IF($M484&gt;0,('Amounts Pivot Table'!Q$123/$M484),0)</f>
        <v>0</v>
      </c>
      <c r="C484" s="555">
        <f>IF($M484&gt;0,('Amounts Pivot Table'!Q$126/$M484),0)</f>
        <v>0</v>
      </c>
      <c r="D484" s="555">
        <f>IF($M484&gt;0,('Amounts Pivot Table'!Q$129/$M484),0)</f>
        <v>0</v>
      </c>
      <c r="E484" s="555">
        <f>IF($M484&gt;0,('Amounts Pivot Table'!Q$132/$M484),0)</f>
        <v>0</v>
      </c>
      <c r="F484" s="555">
        <f t="shared" si="45"/>
        <v>0</v>
      </c>
      <c r="G484" s="556">
        <f>IF(B484&gt;0,RANK(B484,$B$481:$B$499),)</f>
        <v>0</v>
      </c>
      <c r="H484" s="557">
        <f>IF(C484&gt;0,RANK(C484,$C$481:$C$499),)</f>
        <v>0</v>
      </c>
      <c r="I484" s="557">
        <f>IF(D484&gt;0,RANK(D484,$D$481:$D$499),)</f>
        <v>0</v>
      </c>
      <c r="J484" s="557">
        <f>IF(E484&gt;0,RANK(E484,$E$481:$E$499),)</f>
        <v>0</v>
      </c>
      <c r="K484" s="557">
        <f>IF(F484&gt;0,RANK(F484,$F$481:$F$499),)</f>
        <v>0</v>
      </c>
      <c r="L484" s="648"/>
      <c r="M484" s="825">
        <f>+'[1]NEW-Tables 80-86'!AK196</f>
        <v>0</v>
      </c>
    </row>
    <row r="485" spans="1:13" s="112" customFormat="1">
      <c r="A485" s="110"/>
      <c r="B485" s="111"/>
      <c r="C485" s="111"/>
      <c r="D485" s="111"/>
      <c r="E485" s="111"/>
      <c r="F485" s="111"/>
      <c r="G485" s="119"/>
      <c r="H485" s="120"/>
      <c r="I485" s="120"/>
      <c r="J485" s="120"/>
      <c r="K485" s="120"/>
      <c r="L485" s="175"/>
      <c r="M485" s="825"/>
    </row>
    <row r="486" spans="1:13" s="490" customFormat="1" ht="12.75" customHeight="1">
      <c r="A486" s="406" t="s">
        <v>329</v>
      </c>
      <c r="B486" s="555">
        <f>IF($M486&gt;0,('Amounts Pivot Table'!Q$162/$M486),0)</f>
        <v>0</v>
      </c>
      <c r="C486" s="555">
        <f>IF($M486&gt;0,('Amounts Pivot Table'!Q$165/$M486),0)</f>
        <v>0</v>
      </c>
      <c r="D486" s="555">
        <f>IF($M486&gt;0,('Amounts Pivot Table'!Q$168/$M486),0)</f>
        <v>0</v>
      </c>
      <c r="E486" s="555">
        <f>IF($M486&gt;0,('Amounts Pivot Table'!Q$171/$M486),0)</f>
        <v>0</v>
      </c>
      <c r="F486" s="555">
        <f t="shared" si="45"/>
        <v>0</v>
      </c>
      <c r="G486" s="556">
        <f>IF(B486&gt;0,RANK(B486,$B$481:$B$499),)</f>
        <v>0</v>
      </c>
      <c r="H486" s="557">
        <f>IF(C486&gt;0,RANK(C486,$C$481:$C$499),)</f>
        <v>0</v>
      </c>
      <c r="I486" s="557">
        <f>IF(D486&gt;0,RANK(D486,$D$481:$D$499),)</f>
        <v>0</v>
      </c>
      <c r="J486" s="557">
        <f>IF(E486&gt;0,RANK(E486,$E$481:$E$499),)</f>
        <v>0</v>
      </c>
      <c r="K486" s="557">
        <f>IF(F486&gt;0,RANK(F486,$F$481:$F$499),)</f>
        <v>0</v>
      </c>
      <c r="L486" s="648"/>
      <c r="M486" s="825">
        <f>+'[1]NEW-Tables 80-86'!AK198</f>
        <v>0</v>
      </c>
    </row>
    <row r="487" spans="1:13" s="490" customFormat="1" ht="12.75" customHeight="1">
      <c r="A487" s="406" t="s">
        <v>322</v>
      </c>
      <c r="B487" s="555">
        <f>IF($M487&gt;0,('Amounts Pivot Table'!Q$201/$M487),0)</f>
        <v>0</v>
      </c>
      <c r="C487" s="555">
        <f>IF($M487&gt;0,('Amounts Pivot Table'!Q$204/$M487),0)</f>
        <v>0</v>
      </c>
      <c r="D487" s="555">
        <f>IF($M487&gt;0,('Amounts Pivot Table'!Q$207/$M487),0)</f>
        <v>0</v>
      </c>
      <c r="E487" s="555">
        <f>IF($M487&gt;0,('Amounts Pivot Table'!Q$210/$M487),0)</f>
        <v>0</v>
      </c>
      <c r="F487" s="555">
        <f t="shared" si="45"/>
        <v>0</v>
      </c>
      <c r="G487" s="556">
        <f>IF(B487&gt;0,RANK(B487,$B$481:$B$499),)</f>
        <v>0</v>
      </c>
      <c r="H487" s="557">
        <f>IF(C487&gt;0,RANK(C487,$C$481:$C$499),)</f>
        <v>0</v>
      </c>
      <c r="I487" s="557">
        <f>IF(D487&gt;0,RANK(D487,$D$481:$D$499),)</f>
        <v>0</v>
      </c>
      <c r="J487" s="557">
        <f>IF(E487&gt;0,RANK(E487,$E$481:$E$499),)</f>
        <v>0</v>
      </c>
      <c r="K487" s="557">
        <f>IF(F487&gt;0,RANK(F487,$F$481:$F$499),)</f>
        <v>0</v>
      </c>
      <c r="L487" s="648"/>
      <c r="M487" s="825">
        <f>+'[1]NEW-Tables 80-86'!AK199</f>
        <v>0</v>
      </c>
    </row>
    <row r="488" spans="1:13" s="490" customFormat="1" ht="12.75" customHeight="1">
      <c r="A488" s="406" t="s">
        <v>330</v>
      </c>
      <c r="B488" s="555">
        <f>IF($M488&gt;0,('Amounts Pivot Table'!Q$240/$M488),0)</f>
        <v>0</v>
      </c>
      <c r="C488" s="555">
        <f>IF($M488&gt;0,('Amounts Pivot Table'!Q$243/$M488),0)</f>
        <v>0</v>
      </c>
      <c r="D488" s="555">
        <f>IF($M488&gt;0,('Amounts Pivot Table'!Q$246/$M488),0)</f>
        <v>0</v>
      </c>
      <c r="E488" s="555">
        <f>IF($M488&gt;0,('Amounts Pivot Table'!Q$249/$M488),0)</f>
        <v>0</v>
      </c>
      <c r="F488" s="555">
        <f t="shared" si="45"/>
        <v>0</v>
      </c>
      <c r="G488" s="556">
        <f>IF(B488&gt;0,RANK(B488,$B$481:$B$499),)</f>
        <v>0</v>
      </c>
      <c r="H488" s="557">
        <f>IF(C488&gt;0,RANK(C488,$C$481:$C$499),)</f>
        <v>0</v>
      </c>
      <c r="I488" s="557">
        <f>IF(D488&gt;0,RANK(D488,$D$481:$D$499),)</f>
        <v>0</v>
      </c>
      <c r="J488" s="557">
        <f>IF(E488&gt;0,RANK(E488,$E$481:$E$499),)</f>
        <v>0</v>
      </c>
      <c r="K488" s="557">
        <f>IF(F488&gt;0,RANK(F488,$F$481:$F$499),)</f>
        <v>0</v>
      </c>
      <c r="L488" s="648"/>
      <c r="M488" s="825">
        <f>+'[1]NEW-Tables 80-86'!AK200</f>
        <v>0</v>
      </c>
    </row>
    <row r="489" spans="1:13" s="490" customFormat="1" ht="12.75" customHeight="1">
      <c r="A489" s="406" t="s">
        <v>333</v>
      </c>
      <c r="B489" s="555">
        <f>IF($M489&gt;0,('Amounts Pivot Table'!Q$279/$M489),0)</f>
        <v>0</v>
      </c>
      <c r="C489" s="555">
        <f>IF($M489&gt;0,('Amounts Pivot Table'!Q$282/$M489),0)</f>
        <v>0</v>
      </c>
      <c r="D489" s="555">
        <f>IF($M489&gt;0,('Amounts Pivot Table'!Q$285/$M489),0)</f>
        <v>0</v>
      </c>
      <c r="E489" s="555">
        <f>IF($M489&gt;0,('Amounts Pivot Table'!Q$288/$M489),0)</f>
        <v>0</v>
      </c>
      <c r="F489" s="555">
        <f t="shared" si="45"/>
        <v>0</v>
      </c>
      <c r="G489" s="556">
        <f>IF(B489&gt;0,RANK(B489,$B$481:$B$499),)</f>
        <v>0</v>
      </c>
      <c r="H489" s="557">
        <f>IF(C489&gt;0,RANK(C489,$C$481:$C$499),)</f>
        <v>0</v>
      </c>
      <c r="I489" s="557">
        <f>IF(D489&gt;0,RANK(D489,$D$481:$D$499),)</f>
        <v>0</v>
      </c>
      <c r="J489" s="557">
        <f>IF(E489&gt;0,RANK(E489,$E$481:$E$499),)</f>
        <v>0</v>
      </c>
      <c r="K489" s="557">
        <f>IF(F489&gt;0,RANK(F489,$F$481:$F$499),)</f>
        <v>0</v>
      </c>
      <c r="L489" s="648"/>
      <c r="M489" s="825">
        <f>+'[1]NEW-Tables 80-86'!AK201</f>
        <v>0</v>
      </c>
    </row>
    <row r="490" spans="1:13" s="112" customFormat="1">
      <c r="A490" s="110"/>
      <c r="B490" s="111"/>
      <c r="C490" s="111"/>
      <c r="D490" s="111"/>
      <c r="E490" s="111"/>
      <c r="F490" s="111"/>
      <c r="G490" s="119"/>
      <c r="H490" s="120"/>
      <c r="I490" s="120"/>
      <c r="J490" s="120"/>
      <c r="K490" s="120"/>
      <c r="L490" s="175"/>
      <c r="M490" s="825"/>
    </row>
    <row r="491" spans="1:13" s="490" customFormat="1" ht="12.75" customHeight="1">
      <c r="A491" s="406" t="s">
        <v>323</v>
      </c>
      <c r="B491" s="555">
        <f>IF($M491&gt;0,('Amounts Pivot Table'!Q$318/$M491),0)</f>
        <v>0</v>
      </c>
      <c r="C491" s="555">
        <f>IF($M491&gt;0,('Amounts Pivot Table'!Q$321/$M491),0)</f>
        <v>0</v>
      </c>
      <c r="D491" s="555">
        <f>IF($M491&gt;0,('Amounts Pivot Table'!Q$324/$M491),0)</f>
        <v>0</v>
      </c>
      <c r="E491" s="555">
        <f>IF($M491&gt;0,('Amounts Pivot Table'!Q$327/$M491),0)</f>
        <v>0</v>
      </c>
      <c r="F491" s="555">
        <f t="shared" si="45"/>
        <v>0</v>
      </c>
      <c r="G491" s="556">
        <f>IF(B491&gt;0,RANK(B491,$B$481:$B$499),)</f>
        <v>0</v>
      </c>
      <c r="H491" s="557">
        <f>IF(C491&gt;0,RANK(C491,$C$481:$C$499),)</f>
        <v>0</v>
      </c>
      <c r="I491" s="557">
        <f>IF(D491&gt;0,RANK(D491,$D$481:$D$499),)</f>
        <v>0</v>
      </c>
      <c r="J491" s="557">
        <f>IF(E491&gt;0,RANK(E491,$E$481:$E$499),)</f>
        <v>0</v>
      </c>
      <c r="K491" s="557">
        <f>IF(F491&gt;0,RANK(F491,$F$481:$F$499),)</f>
        <v>0</v>
      </c>
      <c r="L491" s="648"/>
      <c r="M491" s="825">
        <f>+'[1]NEW-Tables 80-86'!AK203</f>
        <v>0</v>
      </c>
    </row>
    <row r="492" spans="1:13" s="490" customFormat="1" ht="12.75" customHeight="1">
      <c r="A492" s="406" t="s">
        <v>324</v>
      </c>
      <c r="B492" s="555">
        <f>IF($M492&gt;0,('Amounts Pivot Table'!Q$357/$M492),0)</f>
        <v>0</v>
      </c>
      <c r="C492" s="555">
        <f>IF($M492&gt;0,('Amounts Pivot Table'!Q$360/$M492),0)</f>
        <v>0</v>
      </c>
      <c r="D492" s="555">
        <f>IF($M492&gt;0,('Amounts Pivot Table'!Q$363/$M492),0)</f>
        <v>0</v>
      </c>
      <c r="E492" s="555">
        <f>IF($M492&gt;0,('Amounts Pivot Table'!Q$366/$M492),0)</f>
        <v>0</v>
      </c>
      <c r="F492" s="555">
        <f t="shared" si="45"/>
        <v>0</v>
      </c>
      <c r="G492" s="556">
        <f>IF(B492&gt;0,RANK(B492,$B$481:$B$499),)</f>
        <v>0</v>
      </c>
      <c r="H492" s="557">
        <f>IF(C492&gt;0,RANK(C492,$C$481:$C$499),)</f>
        <v>0</v>
      </c>
      <c r="I492" s="557">
        <f>IF(D492&gt;0,RANK(D492,$D$481:$D$499),)</f>
        <v>0</v>
      </c>
      <c r="J492" s="557">
        <f>IF(E492&gt;0,RANK(E492,$E$481:$E$499),)</f>
        <v>0</v>
      </c>
      <c r="K492" s="557">
        <f>IF(F492&gt;0,RANK(F492,$F$481:$F$499),)</f>
        <v>0</v>
      </c>
      <c r="L492" s="648"/>
      <c r="M492" s="825">
        <f>+'[1]NEW-Tables 80-86'!AK204</f>
        <v>0</v>
      </c>
    </row>
    <row r="493" spans="1:13" s="490" customFormat="1" ht="12.75" customHeight="1">
      <c r="A493" s="406" t="s">
        <v>331</v>
      </c>
      <c r="B493" s="555">
        <f>IF($M493&gt;0,('Amounts Pivot Table'!Q$396/$M493),0)</f>
        <v>5326.5016354370628</v>
      </c>
      <c r="C493" s="555">
        <f>IF($M493&gt;0,('Amounts Pivot Table'!Q$399/$M493),0)</f>
        <v>0</v>
      </c>
      <c r="D493" s="555">
        <f>IF($M493&gt;0,('Amounts Pivot Table'!Q$402/$M493),0)</f>
        <v>0</v>
      </c>
      <c r="E493" s="555">
        <f>IF($M493&gt;0,('Amounts Pivot Table'!Q$405/$M493),0)</f>
        <v>1417.1957881570349</v>
      </c>
      <c r="F493" s="555">
        <f t="shared" si="45"/>
        <v>6743.6974235940979</v>
      </c>
      <c r="G493" s="556">
        <f>IF(B493&gt;0,RANK(B493,$B$481:$B$499),)</f>
        <v>2</v>
      </c>
      <c r="H493" s="557">
        <f>IF(C493&gt;0,RANK(C493,$C$481:$C$499),)</f>
        <v>0</v>
      </c>
      <c r="I493" s="557">
        <f>IF(D493&gt;0,RANK(D493,$D$481:$D$499),)</f>
        <v>0</v>
      </c>
      <c r="J493" s="557">
        <f>IF(E493&gt;0,RANK(E493,$E$481:$E$499),)</f>
        <v>3</v>
      </c>
      <c r="K493" s="557">
        <f>IF(F493&gt;0,RANK(F493,$F$481:$F$499),)</f>
        <v>3</v>
      </c>
      <c r="L493" s="648"/>
      <c r="M493" s="825">
        <f>+'[1]NEW-Tables 80-86'!AK205</f>
        <v>16054.077488888888</v>
      </c>
    </row>
    <row r="494" spans="1:13" s="490" customFormat="1" ht="12.75" customHeight="1">
      <c r="A494" s="406" t="s">
        <v>325</v>
      </c>
      <c r="B494" s="555">
        <f>IF($M494&gt;0,('Amounts Pivot Table'!Q$435/$M494),0)</f>
        <v>0</v>
      </c>
      <c r="C494" s="555">
        <f>IF($M494&gt;0,('Amounts Pivot Table'!Q$438/$M494),0)</f>
        <v>0</v>
      </c>
      <c r="D494" s="555">
        <f>IF($M494&gt;0,('Amounts Pivot Table'!Q$441/$M494),0)</f>
        <v>0</v>
      </c>
      <c r="E494" s="555">
        <f>IF($M494&gt;0,('Amounts Pivot Table'!Q$444/$M494),0)</f>
        <v>0</v>
      </c>
      <c r="F494" s="555">
        <f t="shared" si="45"/>
        <v>0</v>
      </c>
      <c r="G494" s="556">
        <f>IF(B494&gt;0,RANK(B494,$B$481:$B$499),)</f>
        <v>0</v>
      </c>
      <c r="H494" s="557">
        <f>IF(C494&gt;0,RANK(C494,$C$481:$C$499),)</f>
        <v>0</v>
      </c>
      <c r="I494" s="557">
        <f>IF(D494&gt;0,RANK(D494,$D$481:$D$499),)</f>
        <v>0</v>
      </c>
      <c r="J494" s="557">
        <f>IF(E494&gt;0,RANK(E494,$E$481:$E$499),)</f>
        <v>0</v>
      </c>
      <c r="K494" s="557">
        <f>IF(F494&gt;0,RANK(F494,$F$481:$F$499),)</f>
        <v>0</v>
      </c>
      <c r="L494" s="648"/>
      <c r="M494" s="825">
        <f>+'[1]NEW-Tables 80-86'!AK206</f>
        <v>0</v>
      </c>
    </row>
    <row r="495" spans="1:13" s="112" customFormat="1">
      <c r="A495" s="110"/>
      <c r="B495" s="111"/>
      <c r="C495" s="111"/>
      <c r="D495" s="111"/>
      <c r="E495" s="111"/>
      <c r="F495" s="111"/>
      <c r="G495" s="119"/>
      <c r="H495" s="120"/>
      <c r="I495" s="120"/>
      <c r="J495" s="120"/>
      <c r="K495" s="120"/>
      <c r="L495" s="175"/>
      <c r="M495" s="825"/>
    </row>
    <row r="496" spans="1:13" s="490" customFormat="1" ht="12.75" customHeight="1">
      <c r="A496" s="406" t="s">
        <v>90</v>
      </c>
      <c r="B496" s="555">
        <f>IF($M496&gt;0,('Amounts Pivot Table'!Q$474/$M496),0)</f>
        <v>5292.8369590733155</v>
      </c>
      <c r="C496" s="555">
        <f>IF($M496&gt;0,('Amounts Pivot Table'!Q$477/$M496),0)</f>
        <v>0</v>
      </c>
      <c r="D496" s="555">
        <f>IF($M496&gt;0,('Amounts Pivot Table'!Q$480/$M496),0)</f>
        <v>0</v>
      </c>
      <c r="E496" s="555">
        <f>IF($M496&gt;0,('Amounts Pivot Table'!Q$483/$M496),0)</f>
        <v>2550.7509721076808</v>
      </c>
      <c r="F496" s="555">
        <f t="shared" si="45"/>
        <v>7843.5879311809967</v>
      </c>
      <c r="G496" s="556">
        <f>IF(B496&gt;0,RANK(B496,$B$481:$B$499),)</f>
        <v>3</v>
      </c>
      <c r="H496" s="557">
        <f>IF(C496&gt;0,RANK(C496,$C$481:$C$499),)</f>
        <v>0</v>
      </c>
      <c r="I496" s="557">
        <f>IF(D496&gt;0,RANK(D496,$D$481:$D$499),)</f>
        <v>0</v>
      </c>
      <c r="J496" s="557">
        <f>IF(E496&gt;0,RANK(E496,$E$481:$E$499),)</f>
        <v>2</v>
      </c>
      <c r="K496" s="557">
        <f>IF(F496&gt;0,RANK(F496,$F$481:$F$499),)</f>
        <v>2</v>
      </c>
      <c r="L496" s="648"/>
      <c r="M496" s="825">
        <f>+'[1]NEW-Tables 80-86'!AK208</f>
        <v>10238.063333333332</v>
      </c>
    </row>
    <row r="497" spans="1:13" s="490" customFormat="1" ht="12.75" customHeight="1">
      <c r="A497" s="406" t="s">
        <v>326</v>
      </c>
      <c r="B497" s="555">
        <f>IF($M497&gt;0,('Amounts Pivot Table'!Q$513/$M497),0)</f>
        <v>0</v>
      </c>
      <c r="C497" s="555">
        <f>IF($M497&gt;0,('Amounts Pivot Table'!Q$516/$M497),0)</f>
        <v>0</v>
      </c>
      <c r="D497" s="555">
        <f>IF($M497&gt;0,('Amounts Pivot Table'!Q$519/$M497),0)</f>
        <v>0</v>
      </c>
      <c r="E497" s="555">
        <f>IF($M497&gt;0,('Amounts Pivot Table'!Q$522/$M497),0)</f>
        <v>0</v>
      </c>
      <c r="F497" s="555">
        <f t="shared" si="45"/>
        <v>0</v>
      </c>
      <c r="G497" s="556">
        <f>IF(B497&gt;0,RANK(B497,$B$481:$B$499),)</f>
        <v>0</v>
      </c>
      <c r="H497" s="557">
        <f>IF(C497&gt;0,RANK(C497,$C$481:$C$499),)</f>
        <v>0</v>
      </c>
      <c r="I497" s="557">
        <f>IF(D497&gt;0,RANK(D497,$D$481:$D$499),)</f>
        <v>0</v>
      </c>
      <c r="J497" s="557">
        <f>IF(E497&gt;0,RANK(E497,$E$481:$E$499),)</f>
        <v>0</v>
      </c>
      <c r="K497" s="557">
        <f>IF(F497&gt;0,RANK(F497,$F$481:$F$499),)</f>
        <v>0</v>
      </c>
      <c r="L497" s="648"/>
      <c r="M497" s="825">
        <f>+'[1]NEW-Tables 80-86'!AK209</f>
        <v>0</v>
      </c>
    </row>
    <row r="498" spans="1:13" s="490" customFormat="1" ht="12.75" customHeight="1">
      <c r="A498" s="406" t="s">
        <v>327</v>
      </c>
      <c r="B498" s="555">
        <f>IF($M498&gt;0,('Amounts Pivot Table'!Q$552/$M498),0)</f>
        <v>0</v>
      </c>
      <c r="C498" s="555">
        <f>IF($M498&gt;0,('Amounts Pivot Table'!Q$555/$M498),0)</f>
        <v>0</v>
      </c>
      <c r="D498" s="555">
        <f>IF($M498&gt;0,('Amounts Pivot Table'!Q$558/$M498),0)</f>
        <v>0</v>
      </c>
      <c r="E498" s="555">
        <f>IF($M498&gt;0,('Amounts Pivot Table'!Q$561/$M498),0)</f>
        <v>0</v>
      </c>
      <c r="F498" s="555">
        <f t="shared" si="45"/>
        <v>0</v>
      </c>
      <c r="G498" s="556">
        <f>IF(B498&gt;0,RANK(B498,$B$481:$B$499),)</f>
        <v>0</v>
      </c>
      <c r="H498" s="557">
        <f>IF(C498&gt;0,RANK(C498,$C$481:$C$499),)</f>
        <v>0</v>
      </c>
      <c r="I498" s="557">
        <f>IF(D498&gt;0,RANK(D498,$D$481:$D$499),)</f>
        <v>0</v>
      </c>
      <c r="J498" s="557">
        <f>IF(E498&gt;0,RANK(E498,$E$481:$E$499),)</f>
        <v>0</v>
      </c>
      <c r="K498" s="557">
        <f>IF(F498&gt;0,RANK(F498,$F$481:$F$499),)</f>
        <v>0</v>
      </c>
      <c r="L498" s="648"/>
      <c r="M498" s="825">
        <f>+'[1]NEW-Tables 80-86'!AK210</f>
        <v>0</v>
      </c>
    </row>
    <row r="499" spans="1:13" s="490" customFormat="1" ht="12.75" customHeight="1">
      <c r="A499" s="407" t="s">
        <v>332</v>
      </c>
      <c r="B499" s="561">
        <f>IF($M499&gt;0,('Amounts Pivot Table'!Q$591/$M499),0)</f>
        <v>0</v>
      </c>
      <c r="C499" s="561">
        <f>IF($M499&gt;0,('Amounts Pivot Table'!Q$594/$M499),0)</f>
        <v>0</v>
      </c>
      <c r="D499" s="561">
        <f>IF($M499&gt;0,('Amounts Pivot Table'!Q$597/$M499),0)</f>
        <v>0</v>
      </c>
      <c r="E499" s="561">
        <f>IF($M499&gt;0,('Amounts Pivot Table'!Q$600/$M499),0)</f>
        <v>0</v>
      </c>
      <c r="F499" s="561">
        <f t="shared" si="45"/>
        <v>0</v>
      </c>
      <c r="G499" s="563">
        <f>IF(B499&gt;0,RANK(B499,$B$481:$B$499),)</f>
        <v>0</v>
      </c>
      <c r="H499" s="564">
        <f>IF(C499&gt;0,RANK(C499,$C$481:$C$499),)</f>
        <v>0</v>
      </c>
      <c r="I499" s="564">
        <f>IF(D499&gt;0,RANK(D499,$D$481:$D$499),)</f>
        <v>0</v>
      </c>
      <c r="J499" s="564">
        <f>IF(E499&gt;0,RANK(E499,$E$481:$E$499),)</f>
        <v>0</v>
      </c>
      <c r="K499" s="564">
        <f>IF(F499&gt;0,RANK(F499,$F$481:$F$499),)</f>
        <v>0</v>
      </c>
      <c r="L499" s="648"/>
      <c r="M499" s="825">
        <f>+'[1]NEW-Tables 80-86'!AK211</f>
        <v>0</v>
      </c>
    </row>
    <row r="500" spans="1:13" s="76" customFormat="1" ht="34.5" customHeight="1">
      <c r="A500" s="1505" t="s">
        <v>17</v>
      </c>
      <c r="B500" s="1529"/>
      <c r="C500" s="1529"/>
      <c r="D500" s="1529"/>
      <c r="E500" s="1529"/>
      <c r="F500" s="1529"/>
      <c r="G500" s="1529"/>
      <c r="H500" s="1529"/>
      <c r="I500" s="1529"/>
      <c r="J500" s="1529"/>
      <c r="K500" s="1529"/>
      <c r="L500" s="169"/>
      <c r="M500" s="643"/>
    </row>
    <row r="501" spans="1:13" s="205" customFormat="1" ht="13.5" customHeight="1">
      <c r="A501" s="1505" t="s">
        <v>54</v>
      </c>
      <c r="B501" s="1529"/>
      <c r="C501" s="1529"/>
      <c r="D501" s="1529"/>
      <c r="E501" s="1529"/>
      <c r="F501" s="1529"/>
      <c r="G501" s="1529"/>
      <c r="H501" s="1529"/>
      <c r="I501" s="1529"/>
      <c r="J501" s="1529"/>
      <c r="K501" s="1529"/>
      <c r="L501" s="204"/>
      <c r="M501" s="643"/>
    </row>
    <row r="502" spans="1:13" s="490" customFormat="1" ht="13.5" customHeight="1">
      <c r="A502" s="1505" t="s">
        <v>233</v>
      </c>
      <c r="B502" s="1541"/>
      <c r="C502" s="1541"/>
      <c r="D502" s="1541"/>
      <c r="E502" s="1541"/>
      <c r="F502" s="1541"/>
      <c r="G502" s="1542"/>
      <c r="H502" s="1542"/>
      <c r="I502" s="1542"/>
      <c r="J502" s="1542"/>
      <c r="K502" s="1542"/>
      <c r="L502" s="652"/>
      <c r="M502" s="643"/>
    </row>
    <row r="503" spans="1:13" s="490" customFormat="1">
      <c r="A503" s="638"/>
      <c r="B503" s="651"/>
      <c r="C503" s="651"/>
      <c r="D503" s="651"/>
      <c r="E503" s="651"/>
      <c r="F503" s="651"/>
      <c r="G503" s="653"/>
      <c r="H503" s="653"/>
      <c r="I503" s="653"/>
      <c r="J503" s="653"/>
      <c r="K503" s="534" t="s">
        <v>1927</v>
      </c>
      <c r="L503" s="652"/>
      <c r="M503" s="643"/>
    </row>
    <row r="504" spans="1:13" s="490" customFormat="1" ht="18.75" customHeight="1">
      <c r="A504" s="1504" t="s">
        <v>446</v>
      </c>
      <c r="B504" s="1504"/>
      <c r="C504" s="1504"/>
      <c r="D504" s="1504"/>
      <c r="E504" s="1504"/>
      <c r="F504" s="1504"/>
      <c r="G504" s="1504"/>
      <c r="H504" s="1504"/>
      <c r="I504" s="1504"/>
      <c r="J504" s="1504"/>
      <c r="K504" s="1504"/>
      <c r="L504" s="649"/>
      <c r="M504" s="643"/>
    </row>
    <row r="505" spans="1:13" s="490" customFormat="1" ht="18.75">
      <c r="A505" s="1504" t="s">
        <v>18</v>
      </c>
      <c r="B505" s="1504"/>
      <c r="C505" s="1504"/>
      <c r="D505" s="1504"/>
      <c r="E505" s="1504"/>
      <c r="F505" s="1504"/>
      <c r="G505" s="1504"/>
      <c r="H505" s="1504"/>
      <c r="I505" s="1504"/>
      <c r="J505" s="1504"/>
      <c r="K505" s="1504"/>
      <c r="L505" s="165"/>
      <c r="M505" s="643"/>
    </row>
    <row r="506" spans="1:13" s="490" customFormat="1" ht="15.75" customHeight="1">
      <c r="A506" s="1504" t="s">
        <v>349</v>
      </c>
      <c r="B506" s="1504"/>
      <c r="C506" s="1504"/>
      <c r="D506" s="1504"/>
      <c r="E506" s="1504"/>
      <c r="F506" s="1504"/>
      <c r="G506" s="1504"/>
      <c r="H506" s="1504"/>
      <c r="I506" s="1504"/>
      <c r="J506" s="1504"/>
      <c r="K506" s="1504"/>
      <c r="L506" s="165"/>
      <c r="M506" s="654"/>
    </row>
    <row r="507" spans="1:13" s="490" customFormat="1" ht="15.75" customHeight="1">
      <c r="A507" s="91"/>
      <c r="B507" s="91"/>
      <c r="C507" s="91"/>
      <c r="D507" s="91"/>
      <c r="E507" s="91"/>
      <c r="F507" s="91"/>
      <c r="G507" s="108"/>
      <c r="H507" s="91"/>
      <c r="I507" s="91"/>
      <c r="J507" s="91"/>
      <c r="K507" s="91"/>
      <c r="L507" s="165"/>
      <c r="M507" s="643"/>
    </row>
    <row r="508" spans="1:13" s="662" customFormat="1" ht="15.75" customHeight="1">
      <c r="A508" s="56"/>
      <c r="B508" s="1543" t="s">
        <v>55</v>
      </c>
      <c r="C508" s="1544"/>
      <c r="D508" s="1544"/>
      <c r="E508" s="1544"/>
      <c r="F508" s="1544"/>
      <c r="G508" s="1545" t="s">
        <v>119</v>
      </c>
      <c r="H508" s="1546"/>
      <c r="I508" s="1546"/>
      <c r="J508" s="1546"/>
      <c r="K508" s="1546"/>
      <c r="L508" s="173"/>
      <c r="M508" s="643"/>
    </row>
    <row r="509" spans="1:13" s="378" customFormat="1" ht="47.25" customHeight="1">
      <c r="A509" s="644"/>
      <c r="B509" s="51" t="s">
        <v>87</v>
      </c>
      <c r="C509" s="52" t="s">
        <v>89</v>
      </c>
      <c r="D509" s="52" t="s">
        <v>88</v>
      </c>
      <c r="E509" s="52" t="s">
        <v>306</v>
      </c>
      <c r="F509" s="52" t="s">
        <v>97</v>
      </c>
      <c r="G509" s="53" t="s">
        <v>87</v>
      </c>
      <c r="H509" s="52" t="s">
        <v>89</v>
      </c>
      <c r="I509" s="52" t="s">
        <v>88</v>
      </c>
      <c r="J509" s="52" t="s">
        <v>306</v>
      </c>
      <c r="K509" s="52" t="s">
        <v>97</v>
      </c>
      <c r="L509" s="646"/>
      <c r="M509" s="655" t="s">
        <v>260</v>
      </c>
    </row>
    <row r="510" spans="1:13" s="490" customFormat="1" ht="14.25">
      <c r="A510" s="406" t="s">
        <v>56</v>
      </c>
      <c r="B510" s="552">
        <f>IF($M510&gt;0,('Amounts Pivot Table'!R$630/$M510),0)</f>
        <v>0</v>
      </c>
      <c r="C510" s="552">
        <f>IF($M510&gt;0,('Amounts Pivot Table'!R$633/$M510),0)</f>
        <v>0</v>
      </c>
      <c r="D510" s="552">
        <f>IF($M510&gt;0,('Amounts Pivot Table'!R$636/$M510),0)</f>
        <v>0</v>
      </c>
      <c r="E510" s="552">
        <f>IF($M510&gt;0,('Amounts Pivot Table'!R$639/$M510),0)</f>
        <v>0</v>
      </c>
      <c r="F510" s="552">
        <f>SUM(B510:E510)</f>
        <v>0</v>
      </c>
      <c r="G510" s="553"/>
      <c r="H510" s="554"/>
      <c r="I510" s="554"/>
      <c r="J510" s="554"/>
      <c r="K510" s="554"/>
      <c r="L510" s="648"/>
      <c r="M510" s="643"/>
    </row>
    <row r="511" spans="1:13" s="112" customFormat="1">
      <c r="A511" s="110"/>
      <c r="B511" s="111"/>
      <c r="C511" s="111"/>
      <c r="D511" s="111"/>
      <c r="E511" s="111"/>
      <c r="F511" s="111">
        <f>SUM(B511:E511)</f>
        <v>0</v>
      </c>
      <c r="G511" s="119"/>
      <c r="H511" s="120"/>
      <c r="I511" s="120"/>
      <c r="J511" s="120"/>
      <c r="K511" s="120"/>
      <c r="L511" s="175"/>
      <c r="M511" s="643">
        <f>+'[1]NEW-Tables 80-86'!AZ194</f>
        <v>0</v>
      </c>
    </row>
    <row r="512" spans="1:13" s="490" customFormat="1" ht="12.75" customHeight="1">
      <c r="A512" s="406" t="s">
        <v>320</v>
      </c>
      <c r="B512" s="555">
        <f>IF($M512&gt;0,('Amounts Pivot Table'!R$6/$M512),0)</f>
        <v>0</v>
      </c>
      <c r="C512" s="555">
        <f>IF($M512&gt;0,('Amounts Pivot Table'!R$9/$M512),0)</f>
        <v>0</v>
      </c>
      <c r="D512" s="555">
        <f>IF($M512&gt;0,('Amounts Pivot Table'!R$12/$M512),0)</f>
        <v>0</v>
      </c>
      <c r="E512" s="555">
        <f>IF($M512&gt;0,('Amounts Pivot Table'!R$15/$M512),0)</f>
        <v>0</v>
      </c>
      <c r="F512" s="555">
        <f t="shared" ref="F512:F530" si="46">SUM(B512:E512)</f>
        <v>0</v>
      </c>
      <c r="G512" s="556">
        <f>IF(B512&gt;0,RANK(B512,$B$512:$B$530),)</f>
        <v>0</v>
      </c>
      <c r="H512" s="557">
        <f>IF(C512&gt;0,RANK(C512,$C$512:$C$530),)</f>
        <v>0</v>
      </c>
      <c r="I512" s="557">
        <f>IF(D512&gt;0,RANK(D512,$D$512:$D$530),)</f>
        <v>0</v>
      </c>
      <c r="J512" s="557">
        <f>IF(E512&gt;0,RANK(E512,$E$512:$E$530),)</f>
        <v>0</v>
      </c>
      <c r="K512" s="557">
        <f>IF(F512&gt;0,RANK(F512,$F$512:$F$530),)</f>
        <v>0</v>
      </c>
      <c r="L512" s="648"/>
      <c r="M512" s="643">
        <f>+'[1]NEW-Tables 80-86'!AZ195</f>
        <v>0</v>
      </c>
    </row>
    <row r="513" spans="1:13" s="490" customFormat="1" ht="12.75" customHeight="1">
      <c r="A513" s="406" t="s">
        <v>334</v>
      </c>
      <c r="B513" s="555">
        <f>IF($M513&gt;0,('Amounts Pivot Table'!R$45/$M513),0)</f>
        <v>0</v>
      </c>
      <c r="C513" s="555">
        <f>IF($M513&gt;0,('Amounts Pivot Table'!R$48/$M513),0)</f>
        <v>0</v>
      </c>
      <c r="D513" s="555">
        <f>IF($M513&gt;0,('Amounts Pivot Table'!R$51/$M513),0)</f>
        <v>0</v>
      </c>
      <c r="E513" s="555">
        <f>IF($M513&gt;0,('Amounts Pivot Table'!R$54/$M513),0)</f>
        <v>0</v>
      </c>
      <c r="F513" s="555">
        <f t="shared" si="46"/>
        <v>0</v>
      </c>
      <c r="G513" s="556">
        <f>IF(B513&gt;0,RANK(B513,$B$512:$B$530),)</f>
        <v>0</v>
      </c>
      <c r="H513" s="557">
        <f>IF(C513&gt;0,RANK(C513,$C$512:$C$530),)</f>
        <v>0</v>
      </c>
      <c r="I513" s="557">
        <f>IF(D513&gt;0,RANK(D513,$D$512:$D$530),)</f>
        <v>0</v>
      </c>
      <c r="J513" s="557">
        <f>IF(E513&gt;0,RANK(E513,$E$512:$E$530),)</f>
        <v>0</v>
      </c>
      <c r="K513" s="557">
        <f>IF(F513&gt;0,RANK(F513,$F$512:$F$530),)</f>
        <v>0</v>
      </c>
      <c r="L513" s="648"/>
      <c r="M513" s="643">
        <f>+'[1]NEW-Tables 80-86'!AZ196</f>
        <v>0</v>
      </c>
    </row>
    <row r="514" spans="1:13" s="490" customFormat="1" ht="12.75" customHeight="1">
      <c r="A514" s="406" t="s">
        <v>321</v>
      </c>
      <c r="B514" s="555">
        <f>IF($M514&gt;0,('Amounts Pivot Table'!R$84/$M514),0)</f>
        <v>0</v>
      </c>
      <c r="C514" s="555">
        <f>IF($M514&gt;0,('Amounts Pivot Table'!R$87/$M514),0)</f>
        <v>0</v>
      </c>
      <c r="D514" s="555">
        <f>IF($M514&gt;0,('Amounts Pivot Table'!R$90/$M514),0)</f>
        <v>0</v>
      </c>
      <c r="E514" s="555">
        <f>IF($M514&gt;0,('Amounts Pivot Table'!R$93/$M514),0)</f>
        <v>0</v>
      </c>
      <c r="F514" s="555">
        <f t="shared" si="46"/>
        <v>0</v>
      </c>
      <c r="G514" s="556">
        <f>IF(B514&gt;0,RANK(B514,$B$512:$B$530),)</f>
        <v>0</v>
      </c>
      <c r="H514" s="557">
        <f>IF(C514&gt;0,RANK(C514,$C$512:$C$530),)</f>
        <v>0</v>
      </c>
      <c r="I514" s="557">
        <f>IF(D514&gt;0,RANK(D514,$D$512:$D$530),)</f>
        <v>0</v>
      </c>
      <c r="J514" s="557">
        <f>IF(E514&gt;0,RANK(E514,$E$512:$E$530),)</f>
        <v>0</v>
      </c>
      <c r="K514" s="557">
        <f>IF(F514&gt;0,RANK(F514,$F$512:$F$530),)</f>
        <v>0</v>
      </c>
      <c r="L514" s="648"/>
      <c r="M514" s="643">
        <f>+'[1]NEW-Tables 80-86'!AZ197</f>
        <v>0</v>
      </c>
    </row>
    <row r="515" spans="1:13" s="490" customFormat="1" ht="12.75" customHeight="1">
      <c r="A515" s="406" t="s">
        <v>328</v>
      </c>
      <c r="B515" s="555">
        <f>IF($M515&gt;0,('Amounts Pivot Table'!R$123/$M515),0)</f>
        <v>0</v>
      </c>
      <c r="C515" s="555">
        <f>IF($M515&gt;0,('Amounts Pivot Table'!R$126/$M515),0)</f>
        <v>0</v>
      </c>
      <c r="D515" s="555">
        <f>IF($M515&gt;0,('Amounts Pivot Table'!R$129/$M515),0)</f>
        <v>0</v>
      </c>
      <c r="E515" s="555">
        <f>IF($M515&gt;0,('Amounts Pivot Table'!R$132/$M515),0)</f>
        <v>0</v>
      </c>
      <c r="F515" s="555">
        <f t="shared" si="46"/>
        <v>0</v>
      </c>
      <c r="G515" s="556">
        <f>IF(B515&gt;0,RANK(B515,$B$512:$B$530),)</f>
        <v>0</v>
      </c>
      <c r="H515" s="557">
        <f>IF(C515&gt;0,RANK(C515,$C$512:$C$530),)</f>
        <v>0</v>
      </c>
      <c r="I515" s="557">
        <f>IF(D515&gt;0,RANK(D515,$D$512:$D$530),)</f>
        <v>0</v>
      </c>
      <c r="J515" s="557">
        <f>IF(E515&gt;0,RANK(E515,$E$512:$E$530),)</f>
        <v>0</v>
      </c>
      <c r="K515" s="557">
        <f>IF(F515&gt;0,RANK(F515,$F$512:$F$530),)</f>
        <v>0</v>
      </c>
      <c r="L515" s="648"/>
      <c r="M515" s="643">
        <f>+'[1]NEW-Tables 80-86'!AZ198</f>
        <v>0</v>
      </c>
    </row>
    <row r="516" spans="1:13" s="112" customFormat="1">
      <c r="A516" s="110"/>
      <c r="B516" s="111"/>
      <c r="C516" s="111"/>
      <c r="D516" s="111"/>
      <c r="E516" s="111"/>
      <c r="F516" s="111">
        <f t="shared" si="46"/>
        <v>0</v>
      </c>
      <c r="G516" s="119"/>
      <c r="H516" s="120"/>
      <c r="I516" s="120"/>
      <c r="J516" s="120"/>
      <c r="K516" s="120"/>
      <c r="L516" s="175"/>
      <c r="M516" s="643">
        <f>+'[1]NEW-Tables 80-86'!AZ199</f>
        <v>0</v>
      </c>
    </row>
    <row r="517" spans="1:13" s="490" customFormat="1" ht="12.75" customHeight="1">
      <c r="A517" s="406" t="s">
        <v>329</v>
      </c>
      <c r="B517" s="555">
        <f>IF($M517&gt;0,('Amounts Pivot Table'!R$162/$M517),0)</f>
        <v>0</v>
      </c>
      <c r="C517" s="555">
        <f>IF($M517&gt;0,('Amounts Pivot Table'!R$165/$M517),0)</f>
        <v>0</v>
      </c>
      <c r="D517" s="555">
        <f>IF($M517&gt;0,('Amounts Pivot Table'!R$168/$M517),0)</f>
        <v>0</v>
      </c>
      <c r="E517" s="555">
        <f>IF($M517&gt;0,('Amounts Pivot Table'!R$171/$M517),0)</f>
        <v>0</v>
      </c>
      <c r="F517" s="555">
        <f t="shared" si="46"/>
        <v>0</v>
      </c>
      <c r="G517" s="556">
        <f>IF(B517&gt;0,RANK(B517,$B$512:$B$530),)</f>
        <v>0</v>
      </c>
      <c r="H517" s="557">
        <f>IF(C517&gt;0,RANK(C517,$C$512:$C$530),)</f>
        <v>0</v>
      </c>
      <c r="I517" s="557">
        <f>IF(D517&gt;0,RANK(D517,$D$512:$D$530),)</f>
        <v>0</v>
      </c>
      <c r="J517" s="557">
        <f>IF(E517&gt;0,RANK(E517,$E$512:$E$530),)</f>
        <v>0</v>
      </c>
      <c r="K517" s="557">
        <f>IF(F517&gt;0,RANK(F517,$F$512:$F$530),)</f>
        <v>0</v>
      </c>
      <c r="L517" s="648"/>
      <c r="M517" s="643">
        <f>+'[1]NEW-Tables 80-86'!AZ200</f>
        <v>0</v>
      </c>
    </row>
    <row r="518" spans="1:13" s="490" customFormat="1" ht="12.75" customHeight="1">
      <c r="A518" s="406" t="s">
        <v>322</v>
      </c>
      <c r="B518" s="555">
        <f>IF($M518&gt;0,('Amounts Pivot Table'!R$201/$M518),0)</f>
        <v>0</v>
      </c>
      <c r="C518" s="555">
        <f>IF($M518&gt;0,('Amounts Pivot Table'!R$204/$M518),0)</f>
        <v>0</v>
      </c>
      <c r="D518" s="555">
        <f>IF($M518&gt;0,('Amounts Pivot Table'!R$207/$M518),0)</f>
        <v>0</v>
      </c>
      <c r="E518" s="555">
        <f>IF($M518&gt;0,('Amounts Pivot Table'!R$210/$M518),0)</f>
        <v>0</v>
      </c>
      <c r="F518" s="555">
        <f t="shared" si="46"/>
        <v>0</v>
      </c>
      <c r="G518" s="556">
        <f>IF(B518&gt;0,RANK(B518,$B$512:$B$530),)</f>
        <v>0</v>
      </c>
      <c r="H518" s="557">
        <f>IF(C518&gt;0,RANK(C518,$C$512:$C$530),)</f>
        <v>0</v>
      </c>
      <c r="I518" s="557">
        <f>IF(D518&gt;0,RANK(D518,$D$512:$D$530),)</f>
        <v>0</v>
      </c>
      <c r="J518" s="557">
        <f>IF(E518&gt;0,RANK(E518,$E$512:$E$530),)</f>
        <v>0</v>
      </c>
      <c r="K518" s="557">
        <f>IF(F518&gt;0,RANK(F518,$F$512:$F$530),)</f>
        <v>0</v>
      </c>
      <c r="L518" s="648"/>
      <c r="M518" s="643">
        <f>+'[1]NEW-Tables 80-86'!AZ201</f>
        <v>0</v>
      </c>
    </row>
    <row r="519" spans="1:13" s="490" customFormat="1" ht="12.75" customHeight="1">
      <c r="A519" s="406" t="s">
        <v>330</v>
      </c>
      <c r="B519" s="555">
        <f>IF($M519&gt;0,('Amounts Pivot Table'!R$240/$M519),0)</f>
        <v>0</v>
      </c>
      <c r="C519" s="555">
        <f>IF($M519&gt;0,('Amounts Pivot Table'!R$243/$M519),0)</f>
        <v>0</v>
      </c>
      <c r="D519" s="555">
        <f>IF($M519&gt;0,('Amounts Pivot Table'!R$246/$M519),0)</f>
        <v>0</v>
      </c>
      <c r="E519" s="555">
        <f>IF($M519&gt;0,('Amounts Pivot Table'!R$249/$M519),0)</f>
        <v>0</v>
      </c>
      <c r="F519" s="555">
        <f t="shared" si="46"/>
        <v>0</v>
      </c>
      <c r="G519" s="556">
        <f>IF(B519&gt;0,RANK(B519,$B$512:$B$530),)</f>
        <v>0</v>
      </c>
      <c r="H519" s="557">
        <f>IF(C519&gt;0,RANK(C519,$C$512:$C$530),)</f>
        <v>0</v>
      </c>
      <c r="I519" s="557">
        <f>IF(D519&gt;0,RANK(D519,$D$512:$D$530),)</f>
        <v>0</v>
      </c>
      <c r="J519" s="557">
        <f>IF(E519&gt;0,RANK(E519,$E$512:$E$530),)</f>
        <v>0</v>
      </c>
      <c r="K519" s="557">
        <f>IF(F519&gt;0,RANK(F519,$F$512:$F$530),)</f>
        <v>0</v>
      </c>
      <c r="L519" s="648"/>
      <c r="M519" s="643">
        <f>+'[1]NEW-Tables 80-86'!AZ202</f>
        <v>0</v>
      </c>
    </row>
    <row r="520" spans="1:13" s="490" customFormat="1" ht="12.75" customHeight="1">
      <c r="A520" s="406" t="s">
        <v>333</v>
      </c>
      <c r="B520" s="555">
        <f>IF($M520&gt;0,('Amounts Pivot Table'!R$279/$M520),0)</f>
        <v>0</v>
      </c>
      <c r="C520" s="555">
        <f>IF($M520&gt;0,('Amounts Pivot Table'!R$282/$M520),0)</f>
        <v>0</v>
      </c>
      <c r="D520" s="555">
        <f>IF($M520&gt;0,('Amounts Pivot Table'!R$285/$M520),0)</f>
        <v>0</v>
      </c>
      <c r="E520" s="555">
        <f>IF($M520&gt;0,('Amounts Pivot Table'!R$288/$M520),0)</f>
        <v>0</v>
      </c>
      <c r="F520" s="555">
        <f t="shared" si="46"/>
        <v>0</v>
      </c>
      <c r="G520" s="556">
        <f>IF(B520&gt;0,RANK(B520,$B$512:$B$530),)</f>
        <v>0</v>
      </c>
      <c r="H520" s="557">
        <f>IF(C520&gt;0,RANK(C520,$C$512:$C$530),)</f>
        <v>0</v>
      </c>
      <c r="I520" s="557">
        <f>IF(D520&gt;0,RANK(D520,$D$512:$D$530),)</f>
        <v>0</v>
      </c>
      <c r="J520" s="557">
        <f>IF(E520&gt;0,RANK(E520,$E$512:$E$530),)</f>
        <v>0</v>
      </c>
      <c r="K520" s="557">
        <f>IF(F520&gt;0,RANK(F520,$F$512:$F$530),)</f>
        <v>0</v>
      </c>
      <c r="L520" s="648"/>
      <c r="M520" s="643">
        <f>+'[1]NEW-Tables 80-86'!AZ203</f>
        <v>0</v>
      </c>
    </row>
    <row r="521" spans="1:13" s="112" customFormat="1">
      <c r="A521" s="110"/>
      <c r="B521" s="111"/>
      <c r="C521" s="111"/>
      <c r="D521" s="111"/>
      <c r="E521" s="111"/>
      <c r="F521" s="111">
        <f>SUM(B521:E521)</f>
        <v>0</v>
      </c>
      <c r="G521" s="119"/>
      <c r="H521" s="120"/>
      <c r="I521" s="120"/>
      <c r="J521" s="120"/>
      <c r="K521" s="120"/>
      <c r="L521" s="175"/>
      <c r="M521" s="643">
        <f>+'[1]NEW-Tables 80-86'!AZ204</f>
        <v>0</v>
      </c>
    </row>
    <row r="522" spans="1:13" s="490" customFormat="1" ht="12.75" customHeight="1">
      <c r="A522" s="406" t="s">
        <v>323</v>
      </c>
      <c r="B522" s="555">
        <f>IF($M522&gt;0,('Amounts Pivot Table'!R$318/$M522),0)</f>
        <v>0</v>
      </c>
      <c r="C522" s="555">
        <f>IF($M522&gt;0,('Amounts Pivot Table'!R$321/$M522),0)</f>
        <v>0</v>
      </c>
      <c r="D522" s="555">
        <f>IF($M522&gt;0,('Amounts Pivot Table'!R$324/$M522),0)</f>
        <v>0</v>
      </c>
      <c r="E522" s="555">
        <f>IF($M522&gt;0,('Amounts Pivot Table'!R$327/$M522),0)</f>
        <v>0</v>
      </c>
      <c r="F522" s="555">
        <f t="shared" si="46"/>
        <v>0</v>
      </c>
      <c r="G522" s="556">
        <f>IF(B522&gt;0,RANK(B522,$B$512:$B$530),)</f>
        <v>0</v>
      </c>
      <c r="H522" s="557">
        <f>IF(C522&gt;0,RANK(C522,$C$512:$C$530),)</f>
        <v>0</v>
      </c>
      <c r="I522" s="557">
        <f>IF(D522&gt;0,RANK(D522,$D$512:$D$530),)</f>
        <v>0</v>
      </c>
      <c r="J522" s="557">
        <f>IF(E522&gt;0,RANK(E522,$E$512:$E$530),)</f>
        <v>0</v>
      </c>
      <c r="K522" s="557">
        <f>IF(F522&gt;0,RANK(F522,$F$512:$F$530),)</f>
        <v>0</v>
      </c>
      <c r="L522" s="648"/>
      <c r="M522" s="643">
        <f>+'[1]NEW-Tables 80-86'!AZ205</f>
        <v>0</v>
      </c>
    </row>
    <row r="523" spans="1:13" s="490" customFormat="1" ht="12.75" customHeight="1">
      <c r="A523" s="406" t="s">
        <v>324</v>
      </c>
      <c r="B523" s="555">
        <f>IF($M523&gt;0,('Amounts Pivot Table'!R$357/$M523),0)</f>
        <v>0</v>
      </c>
      <c r="C523" s="555">
        <f>IF($M523&gt;0,('Amounts Pivot Table'!R$360/$M523),0)</f>
        <v>0</v>
      </c>
      <c r="D523" s="555">
        <f>IF($M523&gt;0,('Amounts Pivot Table'!R$363/$M523),0)</f>
        <v>0</v>
      </c>
      <c r="E523" s="555">
        <f>IF($M523&gt;0,('Amounts Pivot Table'!R$366/$M523),0)</f>
        <v>0</v>
      </c>
      <c r="F523" s="555">
        <f t="shared" si="46"/>
        <v>0</v>
      </c>
      <c r="G523" s="556">
        <f>IF(B523&gt;0,RANK(B523,$B$512:$B$530),)</f>
        <v>0</v>
      </c>
      <c r="H523" s="557">
        <f>IF(C523&gt;0,RANK(C523,$C$512:$C$530),)</f>
        <v>0</v>
      </c>
      <c r="I523" s="557">
        <f>IF(D523&gt;0,RANK(D523,$D$512:$D$530),)</f>
        <v>0</v>
      </c>
      <c r="J523" s="557">
        <f>IF(E523&gt;0,RANK(E523,$E$512:$E$530),)</f>
        <v>0</v>
      </c>
      <c r="K523" s="557">
        <f>IF(F523&gt;0,RANK(F523,$F$512:$F$530),)</f>
        <v>0</v>
      </c>
      <c r="L523" s="648"/>
      <c r="M523" s="643">
        <f>+'[1]NEW-Tables 80-86'!AZ206</f>
        <v>0</v>
      </c>
    </row>
    <row r="524" spans="1:13" s="490" customFormat="1" ht="12.75" customHeight="1">
      <c r="A524" s="406" t="s">
        <v>331</v>
      </c>
      <c r="B524" s="555">
        <f>IF($M524&gt;0,('Amounts Pivot Table'!R$396/$M524),0)</f>
        <v>0</v>
      </c>
      <c r="C524" s="555">
        <f>IF($M524&gt;0,('Amounts Pivot Table'!R$399/$M524),0)</f>
        <v>0</v>
      </c>
      <c r="D524" s="555">
        <f>IF($M524&gt;0,('Amounts Pivot Table'!R$402/$M524),0)</f>
        <v>0</v>
      </c>
      <c r="E524" s="555">
        <f>IF($M524&gt;0,('Amounts Pivot Table'!R$405/$M524),0)</f>
        <v>0</v>
      </c>
      <c r="F524" s="555">
        <f t="shared" si="46"/>
        <v>0</v>
      </c>
      <c r="G524" s="556">
        <f>IF(B524&gt;0,RANK(B524,$B$512:$B$530),)</f>
        <v>0</v>
      </c>
      <c r="H524" s="557">
        <f>IF(C524&gt;0,RANK(C524,$C$512:$C$530),)</f>
        <v>0</v>
      </c>
      <c r="I524" s="557">
        <f>IF(D524&gt;0,RANK(D524,$D$512:$D$530),)</f>
        <v>0</v>
      </c>
      <c r="J524" s="557">
        <f>IF(E524&gt;0,RANK(E524,$E$512:$E$530),)</f>
        <v>0</v>
      </c>
      <c r="K524" s="557">
        <f>IF(F524&gt;0,RANK(F524,$F$512:$F$530),)</f>
        <v>0</v>
      </c>
      <c r="L524" s="648"/>
      <c r="M524" s="643">
        <f>+'[1]NEW-Tables 80-86'!AZ207</f>
        <v>0</v>
      </c>
    </row>
    <row r="525" spans="1:13" s="490" customFormat="1" ht="12.75" customHeight="1">
      <c r="A525" s="406" t="s">
        <v>325</v>
      </c>
      <c r="B525" s="555">
        <f>IF($M525&gt;0,('Amounts Pivot Table'!R$435/$M525),0)</f>
        <v>0</v>
      </c>
      <c r="C525" s="555">
        <f>IF($M525&gt;0,('Amounts Pivot Table'!R$438/$M525),0)</f>
        <v>0</v>
      </c>
      <c r="D525" s="555">
        <f>IF($M525&gt;0,('Amounts Pivot Table'!R$441/$M525),0)</f>
        <v>0</v>
      </c>
      <c r="E525" s="555">
        <f>IF($M525&gt;0,('Amounts Pivot Table'!R$444/$M525),0)</f>
        <v>0</v>
      </c>
      <c r="F525" s="555">
        <f t="shared" si="46"/>
        <v>0</v>
      </c>
      <c r="G525" s="556">
        <f>IF(B525&gt;0,RANK(B525,$B$512:$B$530),)</f>
        <v>0</v>
      </c>
      <c r="H525" s="557">
        <f>IF(C525&gt;0,RANK(C525,$C$512:$C$530),)</f>
        <v>0</v>
      </c>
      <c r="I525" s="557">
        <f>IF(D525&gt;0,RANK(D525,$D$512:$D$530),)</f>
        <v>0</v>
      </c>
      <c r="J525" s="557">
        <f>IF(E525&gt;0,RANK(E525,$E$512:$E$530),)</f>
        <v>0</v>
      </c>
      <c r="K525" s="557">
        <f>IF(F525&gt;0,RANK(F525,$F$512:$F$530),)</f>
        <v>0</v>
      </c>
      <c r="L525" s="648"/>
      <c r="M525" s="643">
        <f>+'[1]NEW-Tables 80-86'!AZ208</f>
        <v>0</v>
      </c>
    </row>
    <row r="526" spans="1:13" s="112" customFormat="1">
      <c r="A526" s="110"/>
      <c r="B526" s="111"/>
      <c r="C526" s="111"/>
      <c r="D526" s="111"/>
      <c r="E526" s="111"/>
      <c r="F526" s="111">
        <f>SUM(B526:E526)</f>
        <v>0</v>
      </c>
      <c r="G526" s="119"/>
      <c r="H526" s="120"/>
      <c r="I526" s="120"/>
      <c r="J526" s="120"/>
      <c r="K526" s="120"/>
      <c r="L526" s="175"/>
      <c r="M526" s="643">
        <f>+'[1]NEW-Tables 80-86'!AZ209</f>
        <v>0</v>
      </c>
    </row>
    <row r="527" spans="1:13" s="490" customFormat="1" ht="12.75" customHeight="1">
      <c r="A527" s="406" t="s">
        <v>90</v>
      </c>
      <c r="B527" s="555">
        <f>IF($M527&gt;0,('Amounts Pivot Table'!R$474/$M527),0)</f>
        <v>0</v>
      </c>
      <c r="C527" s="555">
        <f>IF($M527&gt;0,('Amounts Pivot Table'!R$477/$M527),0)</f>
        <v>0</v>
      </c>
      <c r="D527" s="555">
        <f>IF($M527&gt;0,('Amounts Pivot Table'!R$480/$M527),0)</f>
        <v>0</v>
      </c>
      <c r="E527" s="555">
        <f>IF($M527&gt;0,('Amounts Pivot Table'!R$483/$M527),0)</f>
        <v>0</v>
      </c>
      <c r="F527" s="555">
        <f t="shared" si="46"/>
        <v>0</v>
      </c>
      <c r="G527" s="556">
        <f>IF(B527&gt;0,RANK(B527,$B$512:$B$530),)</f>
        <v>0</v>
      </c>
      <c r="H527" s="557">
        <f>IF(C527&gt;0,RANK(C527,$C$512:$C$530),)</f>
        <v>0</v>
      </c>
      <c r="I527" s="557">
        <f>IF(D527&gt;0,RANK(D527,$D$512:$D$530),)</f>
        <v>0</v>
      </c>
      <c r="J527" s="557">
        <f>IF(E527&gt;0,RANK(E527,$E$512:$E$530),)</f>
        <v>0</v>
      </c>
      <c r="K527" s="557">
        <f>IF(F527&gt;0,RANK(F527,$F$512:$F$530),)</f>
        <v>0</v>
      </c>
      <c r="L527" s="648"/>
      <c r="M527" s="643">
        <f>+'[1]NEW-Tables 80-86'!AZ210</f>
        <v>0</v>
      </c>
    </row>
    <row r="528" spans="1:13" s="76" customFormat="1" ht="12.75" customHeight="1">
      <c r="A528" s="406" t="s">
        <v>326</v>
      </c>
      <c r="B528" s="555">
        <f>IF($M528&gt;0,('Amounts Pivot Table'!R$513/$M528),0)</f>
        <v>0</v>
      </c>
      <c r="C528" s="555">
        <f>IF($M528&gt;0,('Amounts Pivot Table'!R$516/$M528),0)</f>
        <v>0</v>
      </c>
      <c r="D528" s="555">
        <f>IF($M528&gt;0,('Amounts Pivot Table'!R$519/$M528),0)</f>
        <v>0</v>
      </c>
      <c r="E528" s="555">
        <f>IF($M528&gt;0,('Amounts Pivot Table'!R$522/$M528),0)</f>
        <v>0</v>
      </c>
      <c r="F528" s="555">
        <f t="shared" si="46"/>
        <v>0</v>
      </c>
      <c r="G528" s="556">
        <f>IF(B528&gt;0,RANK(B528,$B$512:$B$530),)</f>
        <v>0</v>
      </c>
      <c r="H528" s="557">
        <f>IF(C528&gt;0,RANK(C528,$C$512:$C$530),)</f>
        <v>0</v>
      </c>
      <c r="I528" s="557">
        <f>IF(D528&gt;0,RANK(D528,$D$512:$D$530),)</f>
        <v>0</v>
      </c>
      <c r="J528" s="557">
        <f>IF(E528&gt;0,RANK(E528,$E$512:$E$530),)</f>
        <v>0</v>
      </c>
      <c r="K528" s="557">
        <f>IF(F528&gt;0,RANK(F528,$F$512:$F$530),)</f>
        <v>0</v>
      </c>
      <c r="L528" s="169"/>
      <c r="M528" s="643">
        <f>+'[1]NEW-Tables 80-86'!AZ211</f>
        <v>0</v>
      </c>
    </row>
    <row r="529" spans="1:13" s="490" customFormat="1" ht="12.75" customHeight="1">
      <c r="A529" s="406" t="s">
        <v>327</v>
      </c>
      <c r="B529" s="555">
        <f>IF($M529&gt;0,('Amounts Pivot Table'!R$552/$M529),0)</f>
        <v>0</v>
      </c>
      <c r="C529" s="555">
        <f>IF($M529&gt;0,('Amounts Pivot Table'!R$555/$M529),0)</f>
        <v>0</v>
      </c>
      <c r="D529" s="555">
        <f>IF($M529&gt;0,('Amounts Pivot Table'!R$558/$M529),0)</f>
        <v>0</v>
      </c>
      <c r="E529" s="555">
        <f>IF($M529&gt;0,('Amounts Pivot Table'!R$561/$M529),0)</f>
        <v>0</v>
      </c>
      <c r="F529" s="555">
        <f t="shared" si="46"/>
        <v>0</v>
      </c>
      <c r="G529" s="556">
        <f>IF(B529&gt;0,RANK(B529,$B$512:$B$530),)</f>
        <v>0</v>
      </c>
      <c r="H529" s="557">
        <f>IF(C529&gt;0,RANK(C529,$C$512:$C$530),)</f>
        <v>0</v>
      </c>
      <c r="I529" s="557">
        <f>IF(D529&gt;0,RANK(D529,$D$512:$D$530),)</f>
        <v>0</v>
      </c>
      <c r="J529" s="557">
        <f>IF(E529&gt;0,RANK(E529,$E$512:$E$530),)</f>
        <v>0</v>
      </c>
      <c r="K529" s="557">
        <f>IF(F529&gt;0,RANK(F529,$F$512:$F$530),)</f>
        <v>0</v>
      </c>
      <c r="L529" s="649"/>
      <c r="M529" s="643">
        <f>+'[1]NEW-Tables 80-86'!AZ212</f>
        <v>0</v>
      </c>
    </row>
    <row r="530" spans="1:13" s="490" customFormat="1" ht="15" customHeight="1">
      <c r="A530" s="407" t="s">
        <v>332</v>
      </c>
      <c r="B530" s="561">
        <f>IF($M530&gt;0,('Amounts Pivot Table'!R$591/$M530),0)</f>
        <v>0</v>
      </c>
      <c r="C530" s="561">
        <f>IF($M530&gt;0,('Amounts Pivot Table'!R$594/$M530),0)</f>
        <v>0</v>
      </c>
      <c r="D530" s="561">
        <f>IF($M530&gt;0,('Amounts Pivot Table'!R$597/$M530),0)</f>
        <v>0</v>
      </c>
      <c r="E530" s="561">
        <f>IF($M530&gt;0,('Amounts Pivot Table'!R$600/$M530),0)</f>
        <v>0</v>
      </c>
      <c r="F530" s="562">
        <f t="shared" si="46"/>
        <v>0</v>
      </c>
      <c r="G530" s="563">
        <f>IF(B530&gt;0,RANK(B530,$B$512:$B$530),)</f>
        <v>0</v>
      </c>
      <c r="H530" s="564">
        <f>IF(C530&gt;0,RANK(C530,$C$512:$C$530),)</f>
        <v>0</v>
      </c>
      <c r="I530" s="564">
        <f>IF(D530&gt;0,RANK(D530,$D$512:$D$530),)</f>
        <v>0</v>
      </c>
      <c r="J530" s="564">
        <f>IF(E530&gt;0,RANK(E530,$E$512:$E$530),)</f>
        <v>0</v>
      </c>
      <c r="K530" s="564">
        <f>IF(F530&gt;0,RANK(F530,$F$512:$F$530),)</f>
        <v>0</v>
      </c>
      <c r="L530" s="652"/>
      <c r="M530" s="643">
        <f>+'[1]NEW-Tables 80-86'!AZ213</f>
        <v>0</v>
      </c>
    </row>
    <row r="531" spans="1:13" s="76" customFormat="1" ht="34.5" customHeight="1">
      <c r="A531" s="1505" t="s">
        <v>17</v>
      </c>
      <c r="B531" s="1529"/>
      <c r="C531" s="1529"/>
      <c r="D531" s="1529"/>
      <c r="E531" s="1529"/>
      <c r="F531" s="1529"/>
      <c r="G531" s="1529"/>
      <c r="H531" s="1529"/>
      <c r="I531" s="1529"/>
      <c r="J531" s="1529"/>
      <c r="K531" s="1529"/>
      <c r="L531" s="169"/>
      <c r="M531" s="643"/>
    </row>
    <row r="532" spans="1:13" s="205" customFormat="1" ht="13.5" customHeight="1">
      <c r="A532" s="1505" t="s">
        <v>54</v>
      </c>
      <c r="B532" s="1529"/>
      <c r="C532" s="1529"/>
      <c r="D532" s="1529"/>
      <c r="E532" s="1529"/>
      <c r="F532" s="1529"/>
      <c r="G532" s="1529"/>
      <c r="H532" s="1529"/>
      <c r="I532" s="1529"/>
      <c r="J532" s="1529"/>
      <c r="K532" s="1529"/>
      <c r="L532" s="204"/>
      <c r="M532" s="670"/>
    </row>
    <row r="533" spans="1:13" s="490" customFormat="1" ht="13.5" customHeight="1">
      <c r="A533" s="1505" t="s">
        <v>233</v>
      </c>
      <c r="B533" s="1541"/>
      <c r="C533" s="1541"/>
      <c r="D533" s="1541"/>
      <c r="E533" s="1541"/>
      <c r="F533" s="1541"/>
      <c r="G533" s="1542"/>
      <c r="H533" s="1542"/>
      <c r="I533" s="1542"/>
      <c r="J533" s="1542"/>
      <c r="K533" s="1542"/>
      <c r="L533" s="652"/>
      <c r="M533" s="657"/>
    </row>
    <row r="534" spans="1:13" s="490" customFormat="1" ht="13.5" customHeight="1">
      <c r="A534" s="638"/>
      <c r="B534" s="651"/>
      <c r="C534" s="651"/>
      <c r="D534" s="651"/>
      <c r="E534" s="651"/>
      <c r="F534" s="651"/>
      <c r="G534" s="653"/>
      <c r="H534" s="653"/>
      <c r="I534" s="653"/>
      <c r="J534" s="653"/>
      <c r="K534" s="653"/>
      <c r="L534" s="652"/>
      <c r="M534" s="657"/>
    </row>
    <row r="535" spans="1:13">
      <c r="K535" s="534"/>
    </row>
  </sheetData>
  <mergeCells count="115">
    <mergeCell ref="A28:I28"/>
    <mergeCell ref="A29:I29"/>
    <mergeCell ref="A30:I30"/>
    <mergeCell ref="A2:I2"/>
    <mergeCell ref="B5:E5"/>
    <mergeCell ref="F5:I5"/>
    <mergeCell ref="A64:I64"/>
    <mergeCell ref="A65:I65"/>
    <mergeCell ref="A66:I66"/>
    <mergeCell ref="A91:I91"/>
    <mergeCell ref="A92:I92"/>
    <mergeCell ref="A96:I96"/>
    <mergeCell ref="A32:I32"/>
    <mergeCell ref="A33:I33"/>
    <mergeCell ref="A34:I34"/>
    <mergeCell ref="A59:I59"/>
    <mergeCell ref="A60:I60"/>
    <mergeCell ref="A61:K61"/>
    <mergeCell ref="A129:I129"/>
    <mergeCell ref="A154:I154"/>
    <mergeCell ref="A155:I155"/>
    <mergeCell ref="A156:I156"/>
    <mergeCell ref="A158:I158"/>
    <mergeCell ref="A159:I159"/>
    <mergeCell ref="A97:I97"/>
    <mergeCell ref="A98:I98"/>
    <mergeCell ref="A123:I123"/>
    <mergeCell ref="A124:I124"/>
    <mergeCell ref="A127:I127"/>
    <mergeCell ref="A128:I128"/>
    <mergeCell ref="A191:I191"/>
    <mergeCell ref="A216:I216"/>
    <mergeCell ref="A217:I217"/>
    <mergeCell ref="A220:K220"/>
    <mergeCell ref="A221:K221"/>
    <mergeCell ref="A222:K222"/>
    <mergeCell ref="A160:I160"/>
    <mergeCell ref="A185:I185"/>
    <mergeCell ref="A186:I186"/>
    <mergeCell ref="A187:K187"/>
    <mergeCell ref="A189:I189"/>
    <mergeCell ref="A190:I190"/>
    <mergeCell ref="A253:K253"/>
    <mergeCell ref="B255:F255"/>
    <mergeCell ref="A278:K278"/>
    <mergeCell ref="A279:K279"/>
    <mergeCell ref="A280:K280"/>
    <mergeCell ref="A282:K282"/>
    <mergeCell ref="B224:F224"/>
    <mergeCell ref="A247:K247"/>
    <mergeCell ref="A248:K248"/>
    <mergeCell ref="A249:K249"/>
    <mergeCell ref="A251:K251"/>
    <mergeCell ref="A252:K252"/>
    <mergeCell ref="A312:K312"/>
    <mergeCell ref="A314:K314"/>
    <mergeCell ref="A315:K315"/>
    <mergeCell ref="A316:K316"/>
    <mergeCell ref="B318:F318"/>
    <mergeCell ref="A341:K341"/>
    <mergeCell ref="A283:K283"/>
    <mergeCell ref="A284:K284"/>
    <mergeCell ref="B286:F286"/>
    <mergeCell ref="A309:K309"/>
    <mergeCell ref="A310:K310"/>
    <mergeCell ref="A311:K311"/>
    <mergeCell ref="B350:F350"/>
    <mergeCell ref="A373:K373"/>
    <mergeCell ref="A375:K375"/>
    <mergeCell ref="A376:K376"/>
    <mergeCell ref="A377:K377"/>
    <mergeCell ref="A379:K379"/>
    <mergeCell ref="A342:K342"/>
    <mergeCell ref="A343:K343"/>
    <mergeCell ref="A344:K344"/>
    <mergeCell ref="A346:K346"/>
    <mergeCell ref="A347:K347"/>
    <mergeCell ref="A348:K348"/>
    <mergeCell ref="A409:K409"/>
    <mergeCell ref="A411:K411"/>
    <mergeCell ref="A412:K412"/>
    <mergeCell ref="A413:K413"/>
    <mergeCell ref="B415:F415"/>
    <mergeCell ref="A438:K438"/>
    <mergeCell ref="A380:K380"/>
    <mergeCell ref="A381:K381"/>
    <mergeCell ref="B383:F383"/>
    <mergeCell ref="A406:K406"/>
    <mergeCell ref="A407:K407"/>
    <mergeCell ref="A408:K408"/>
    <mergeCell ref="A469:K469"/>
    <mergeCell ref="A470:K470"/>
    <mergeCell ref="A471:K471"/>
    <mergeCell ref="A473:K473"/>
    <mergeCell ref="A474:K474"/>
    <mergeCell ref="A475:K475"/>
    <mergeCell ref="A439:K439"/>
    <mergeCell ref="A440:K440"/>
    <mergeCell ref="A442:K442"/>
    <mergeCell ref="A443:K443"/>
    <mergeCell ref="A444:K444"/>
    <mergeCell ref="B446:F446"/>
    <mergeCell ref="A533:K533"/>
    <mergeCell ref="A505:K505"/>
    <mergeCell ref="A506:K506"/>
    <mergeCell ref="B508:F508"/>
    <mergeCell ref="G508:K508"/>
    <mergeCell ref="A531:K531"/>
    <mergeCell ref="A532:K532"/>
    <mergeCell ref="B477:F477"/>
    <mergeCell ref="G477:K477"/>
    <mergeCell ref="A500:K500"/>
    <mergeCell ref="A501:K501"/>
    <mergeCell ref="A502:K502"/>
    <mergeCell ref="A504:K504"/>
  </mergeCells>
  <printOptions horizontalCentered="1"/>
  <pageMargins left="0.5" right="0.5" top="0.85" bottom="0.42" header="0.85" footer="0.4"/>
  <pageSetup scale="93" firstPageNumber="117" orientation="landscape" useFirstPageNumber="1" r:id="rId1"/>
  <headerFooter alignWithMargins="0">
    <oddHeader>&amp;R&amp;"Arial,Regular"&amp;8SREB-State Data Exchange</oddHeader>
    <oddFooter>&amp;C&amp;"Arial,Regular"C-&amp;P</oddFooter>
  </headerFooter>
  <rowBreaks count="16" manualBreakCount="16">
    <brk id="31" max="10" man="1"/>
    <brk id="63" max="10" man="1"/>
    <brk id="95" max="10" man="1"/>
    <brk id="126" max="10" man="1"/>
    <brk id="157" max="10" man="1"/>
    <brk id="188" max="10" man="1"/>
    <brk id="219" max="10" man="1"/>
    <brk id="250" max="10" man="1"/>
    <brk id="281" max="10" man="1"/>
    <brk id="313" max="10" man="1"/>
    <brk id="345" max="10" man="1"/>
    <brk id="378" max="10" man="1"/>
    <brk id="410" max="10" man="1"/>
    <brk id="441" max="10" man="1"/>
    <brk id="472" max="10" man="1"/>
    <brk id="50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AB707"/>
  <sheetViews>
    <sheetView zoomScaleNormal="100" workbookViewId="0">
      <pane xSplit="2" ySplit="5" topLeftCell="C18" activePane="bottomRight" state="frozen"/>
      <selection pane="topRight" activeCell="C1" sqref="C1"/>
      <selection pane="bottomLeft" activeCell="A6" sqref="A6"/>
      <selection pane="bottomRight" activeCell="I162" sqref="I162"/>
    </sheetView>
  </sheetViews>
  <sheetFormatPr defaultColWidth="12.75" defaultRowHeight="12.75"/>
  <cols>
    <col min="1" max="1" width="5.375" style="587" customWidth="1"/>
    <col min="2" max="2" width="27.625" style="587" customWidth="1"/>
    <col min="3" max="3" width="12.75" style="588"/>
    <col min="4" max="9" width="12.75" style="587"/>
    <col min="10" max="14" width="12.25" style="587" customWidth="1"/>
    <col min="15" max="15" width="12.75" style="587" customWidth="1"/>
    <col min="16" max="18" width="11" style="587" customWidth="1"/>
    <col min="19" max="19" width="11.75" style="587" customWidth="1"/>
    <col min="20" max="20" width="12.125" style="587" customWidth="1"/>
    <col min="21" max="21" width="11.625" style="587" customWidth="1"/>
    <col min="22" max="22" width="13.125" style="589" customWidth="1"/>
    <col min="23" max="23" width="12.75" style="587"/>
    <col min="24" max="24" width="12.75" style="589"/>
    <col min="25" max="25" width="12.75" style="587"/>
    <col min="26" max="28" width="12.75" style="589"/>
    <col min="29" max="16384" width="12.75" style="587"/>
  </cols>
  <sheetData>
    <row r="1" spans="1:28">
      <c r="A1" s="434"/>
      <c r="B1" s="379"/>
      <c r="C1" s="587"/>
      <c r="D1" s="636"/>
      <c r="V1" s="587"/>
      <c r="X1" s="587"/>
      <c r="Z1" s="587"/>
      <c r="AA1" s="587"/>
      <c r="AB1" s="587"/>
    </row>
    <row r="2" spans="1:28">
      <c r="C2" s="587"/>
      <c r="V2" s="587"/>
      <c r="X2" s="587"/>
      <c r="Z2" s="587"/>
      <c r="AA2" s="587"/>
      <c r="AB2" s="587"/>
    </row>
    <row r="3" spans="1:28" s="214" customFormat="1">
      <c r="A3" s="382"/>
      <c r="B3" s="383"/>
      <c r="C3" s="230" t="s">
        <v>185</v>
      </c>
      <c r="D3" s="213" t="s">
        <v>125</v>
      </c>
      <c r="E3" s="213"/>
      <c r="F3" s="213"/>
      <c r="G3" s="213"/>
      <c r="H3" s="213"/>
      <c r="I3" s="213"/>
      <c r="J3" s="213"/>
      <c r="K3" s="213"/>
      <c r="L3" s="213"/>
      <c r="M3" s="213"/>
      <c r="N3" s="213"/>
      <c r="O3" s="213"/>
      <c r="P3" s="213"/>
      <c r="Q3" s="213"/>
      <c r="R3" s="213"/>
      <c r="S3" s="213"/>
      <c r="T3" s="213"/>
      <c r="U3" s="213"/>
      <c r="V3" s="231"/>
      <c r="W3" s="633"/>
      <c r="X3" s="378"/>
      <c r="Y3" s="180"/>
      <c r="Z3" s="180"/>
      <c r="AA3" s="180"/>
      <c r="AB3" s="180"/>
    </row>
    <row r="4" spans="1:28" s="214" customFormat="1">
      <c r="A4" s="381"/>
      <c r="B4" s="384"/>
      <c r="C4" s="230" t="s">
        <v>186</v>
      </c>
      <c r="D4" s="213"/>
      <c r="E4" s="213"/>
      <c r="F4" s="213"/>
      <c r="G4" s="213"/>
      <c r="H4" s="213"/>
      <c r="I4" s="748" t="s">
        <v>99</v>
      </c>
      <c r="J4" s="232" t="s">
        <v>425</v>
      </c>
      <c r="K4" s="213"/>
      <c r="L4" s="213"/>
      <c r="M4" s="213"/>
      <c r="N4" s="213"/>
      <c r="O4" s="748" t="s">
        <v>426</v>
      </c>
      <c r="P4" s="388" t="s">
        <v>423</v>
      </c>
      <c r="Q4" s="390"/>
      <c r="R4" s="390"/>
      <c r="S4" s="828" t="s">
        <v>424</v>
      </c>
      <c r="T4" s="232" t="s">
        <v>179</v>
      </c>
      <c r="U4" s="828" t="s">
        <v>191</v>
      </c>
      <c r="V4" s="230" t="s">
        <v>295</v>
      </c>
      <c r="W4" s="748" t="s">
        <v>335</v>
      </c>
      <c r="X4" s="378"/>
      <c r="Y4" s="180"/>
      <c r="Z4" s="180"/>
      <c r="AA4" s="180"/>
      <c r="AB4" s="180"/>
    </row>
    <row r="5" spans="1:28" s="214" customFormat="1" ht="13.5" thickBot="1">
      <c r="A5" s="380" t="s">
        <v>122</v>
      </c>
      <c r="B5" s="232" t="s">
        <v>118</v>
      </c>
      <c r="C5" s="230">
        <v>1</v>
      </c>
      <c r="D5" s="755">
        <v>2</v>
      </c>
      <c r="E5" s="755">
        <v>3</v>
      </c>
      <c r="F5" s="755">
        <v>4</v>
      </c>
      <c r="G5" s="755">
        <v>5</v>
      </c>
      <c r="H5" s="756">
        <v>6</v>
      </c>
      <c r="I5" s="757"/>
      <c r="J5" s="230">
        <v>7</v>
      </c>
      <c r="K5" s="755">
        <v>8</v>
      </c>
      <c r="L5" s="755">
        <v>9</v>
      </c>
      <c r="M5" s="758">
        <v>10</v>
      </c>
      <c r="N5" s="759">
        <v>11</v>
      </c>
      <c r="O5" s="757"/>
      <c r="P5" s="388">
        <v>12</v>
      </c>
      <c r="Q5" s="637">
        <v>13</v>
      </c>
      <c r="R5" s="637">
        <v>14</v>
      </c>
      <c r="S5" s="829"/>
      <c r="T5" s="760">
        <v>15</v>
      </c>
      <c r="U5" s="830"/>
      <c r="V5" s="760"/>
      <c r="W5" s="748"/>
      <c r="X5" s="378"/>
      <c r="Y5" s="180"/>
      <c r="Z5" s="180"/>
      <c r="AA5" s="180"/>
      <c r="AB5" s="180"/>
    </row>
    <row r="6" spans="1:28" ht="13.5" thickTop="1">
      <c r="A6" s="230" t="s">
        <v>142</v>
      </c>
      <c r="B6" s="764" t="s">
        <v>190</v>
      </c>
      <c r="C6" s="765">
        <v>271873459</v>
      </c>
      <c r="D6" s="765">
        <v>73555179</v>
      </c>
      <c r="E6" s="765">
        <v>132385881</v>
      </c>
      <c r="F6" s="765">
        <v>89651355</v>
      </c>
      <c r="G6" s="765">
        <v>30348923</v>
      </c>
      <c r="H6" s="765">
        <v>11264712</v>
      </c>
      <c r="I6" s="766">
        <v>609079509</v>
      </c>
      <c r="J6" s="765"/>
      <c r="K6" s="765">
        <v>63750860</v>
      </c>
      <c r="L6" s="765">
        <v>147427236</v>
      </c>
      <c r="M6" s="765">
        <v>47088120</v>
      </c>
      <c r="N6" s="765"/>
      <c r="O6" s="766">
        <v>258266216</v>
      </c>
      <c r="P6" s="765">
        <v>9155363</v>
      </c>
      <c r="Q6" s="765">
        <v>15820980</v>
      </c>
      <c r="R6" s="765"/>
      <c r="S6" s="766">
        <v>24976343</v>
      </c>
      <c r="T6" s="765"/>
      <c r="U6" s="766"/>
      <c r="V6" s="765"/>
      <c r="W6" s="766">
        <v>892322068</v>
      </c>
      <c r="X6" s="378"/>
      <c r="Y6" s="180"/>
      <c r="Z6" s="180"/>
      <c r="AA6" s="180"/>
      <c r="AB6" s="180"/>
    </row>
    <row r="7" spans="1:28" s="203" customFormat="1">
      <c r="A7" s="631"/>
      <c r="B7" s="389" t="s">
        <v>4</v>
      </c>
      <c r="C7" s="392">
        <v>272079837</v>
      </c>
      <c r="D7" s="392">
        <v>87404254</v>
      </c>
      <c r="E7" s="392">
        <v>134818488</v>
      </c>
      <c r="F7" s="392">
        <v>90530943</v>
      </c>
      <c r="G7" s="392">
        <v>30809707</v>
      </c>
      <c r="H7" s="392">
        <v>11343599</v>
      </c>
      <c r="I7" s="750">
        <v>626986828</v>
      </c>
      <c r="J7" s="392"/>
      <c r="K7" s="392">
        <v>65195804</v>
      </c>
      <c r="L7" s="392">
        <v>147793699</v>
      </c>
      <c r="M7" s="392">
        <v>48292494</v>
      </c>
      <c r="N7" s="392"/>
      <c r="O7" s="750">
        <v>261281997</v>
      </c>
      <c r="P7" s="392">
        <v>8797160</v>
      </c>
      <c r="Q7" s="392">
        <v>16012330</v>
      </c>
      <c r="R7" s="392"/>
      <c r="S7" s="750">
        <v>24809490</v>
      </c>
      <c r="T7" s="392"/>
      <c r="U7" s="750"/>
      <c r="V7" s="392"/>
      <c r="W7" s="750">
        <v>913078315</v>
      </c>
      <c r="X7" s="378"/>
      <c r="Y7" s="180"/>
      <c r="Z7" s="180"/>
      <c r="AA7" s="180"/>
      <c r="AB7" s="180"/>
    </row>
    <row r="8" spans="1:28" s="202" customFormat="1">
      <c r="A8" s="632"/>
      <c r="B8" s="634" t="s">
        <v>116</v>
      </c>
      <c r="C8" s="466">
        <v>7.5909579684275114E-2</v>
      </c>
      <c r="D8" s="1461">
        <v>18.828143970664527</v>
      </c>
      <c r="E8" s="466">
        <v>1.837512415693332</v>
      </c>
      <c r="F8" s="466">
        <v>0.98112069806418434</v>
      </c>
      <c r="G8" s="466">
        <v>1.5182878153534478</v>
      </c>
      <c r="H8" s="466">
        <v>0.70030196954879975</v>
      </c>
      <c r="I8" s="751">
        <v>2.940062624894511</v>
      </c>
      <c r="J8" s="466">
        <v>0</v>
      </c>
      <c r="K8" s="466">
        <v>2.2665482473491338</v>
      </c>
      <c r="L8" s="466">
        <v>0.24857211594199596</v>
      </c>
      <c r="M8" s="466">
        <v>2.557702452338297</v>
      </c>
      <c r="N8" s="466">
        <v>0</v>
      </c>
      <c r="O8" s="751">
        <v>1.1677024764245587</v>
      </c>
      <c r="P8" s="466">
        <v>-3.912493693587026</v>
      </c>
      <c r="Q8" s="466">
        <v>1.2094699569811731</v>
      </c>
      <c r="R8" s="466">
        <v>0</v>
      </c>
      <c r="S8" s="751">
        <v>-0.66804415682472007</v>
      </c>
      <c r="T8" s="466">
        <v>0</v>
      </c>
      <c r="U8" s="751">
        <v>0</v>
      </c>
      <c r="V8" s="466">
        <v>0</v>
      </c>
      <c r="W8" s="751">
        <v>2.3260936543373711</v>
      </c>
      <c r="X8" s="378"/>
      <c r="Y8" s="180"/>
      <c r="Z8" s="180"/>
      <c r="AA8" s="180"/>
      <c r="AB8" s="180"/>
    </row>
    <row r="9" spans="1:28">
      <c r="A9" s="631"/>
      <c r="B9" s="388" t="s">
        <v>195</v>
      </c>
      <c r="C9" s="391">
        <v>65302995</v>
      </c>
      <c r="D9" s="391">
        <v>908396</v>
      </c>
      <c r="E9" s="391">
        <v>9181433</v>
      </c>
      <c r="F9" s="391">
        <v>834345</v>
      </c>
      <c r="G9" s="391">
        <v>1183871</v>
      </c>
      <c r="H9" s="391">
        <v>214479</v>
      </c>
      <c r="I9" s="749">
        <v>77625519</v>
      </c>
      <c r="J9" s="391"/>
      <c r="K9" s="391">
        <v>3093752.73</v>
      </c>
      <c r="L9" s="391">
        <v>9991060</v>
      </c>
      <c r="M9" s="391">
        <v>2680195.2799999998</v>
      </c>
      <c r="N9" s="391"/>
      <c r="O9" s="749">
        <v>15765008.01</v>
      </c>
      <c r="P9" s="391">
        <v>611218</v>
      </c>
      <c r="Q9" s="391">
        <v>1209699</v>
      </c>
      <c r="R9" s="391"/>
      <c r="S9" s="749">
        <v>1820917</v>
      </c>
      <c r="T9" s="391"/>
      <c r="U9" s="749"/>
      <c r="V9" s="391">
        <v>26391430.670000002</v>
      </c>
      <c r="W9" s="749">
        <v>121602874.68000001</v>
      </c>
      <c r="X9" s="378"/>
      <c r="Y9" s="180"/>
      <c r="Z9" s="180"/>
      <c r="AA9" s="180"/>
      <c r="AB9" s="180"/>
    </row>
    <row r="10" spans="1:28" s="203" customFormat="1">
      <c r="A10" s="631"/>
      <c r="B10" s="389" t="s">
        <v>242</v>
      </c>
      <c r="C10" s="392">
        <v>67537148</v>
      </c>
      <c r="D10" s="392">
        <v>1508396</v>
      </c>
      <c r="E10" s="392">
        <v>9218340</v>
      </c>
      <c r="F10" s="392">
        <v>785345</v>
      </c>
      <c r="G10" s="392">
        <v>1515635</v>
      </c>
      <c r="H10" s="392">
        <v>214479</v>
      </c>
      <c r="I10" s="750">
        <v>80779343</v>
      </c>
      <c r="J10" s="392"/>
      <c r="K10" s="392">
        <v>3992473</v>
      </c>
      <c r="L10" s="392">
        <v>12287880</v>
      </c>
      <c r="M10" s="392">
        <v>3650350</v>
      </c>
      <c r="N10" s="392"/>
      <c r="O10" s="750">
        <v>19930703</v>
      </c>
      <c r="P10" s="392">
        <v>864351</v>
      </c>
      <c r="Q10" s="392">
        <v>1407599</v>
      </c>
      <c r="R10" s="392"/>
      <c r="S10" s="750">
        <v>2271950</v>
      </c>
      <c r="T10" s="392"/>
      <c r="U10" s="750"/>
      <c r="V10" s="392">
        <v>28527118</v>
      </c>
      <c r="W10" s="750">
        <v>131509114</v>
      </c>
      <c r="X10" s="378"/>
      <c r="Y10" s="180"/>
      <c r="Z10" s="180"/>
      <c r="AA10" s="180"/>
      <c r="AB10" s="180"/>
    </row>
    <row r="11" spans="1:28" s="202" customFormat="1">
      <c r="A11" s="631"/>
      <c r="B11" s="634" t="s">
        <v>244</v>
      </c>
      <c r="C11" s="466">
        <v>3.4212106198191981</v>
      </c>
      <c r="D11" s="1461">
        <v>66.050488993786843</v>
      </c>
      <c r="E11" s="466">
        <v>0.40197428876298502</v>
      </c>
      <c r="F11" s="466">
        <v>-5.8728703354128085</v>
      </c>
      <c r="G11" s="1461">
        <v>28.023661361753092</v>
      </c>
      <c r="H11" s="466">
        <v>0</v>
      </c>
      <c r="I11" s="751">
        <v>4.0628700981696495</v>
      </c>
      <c r="J11" s="466">
        <v>0</v>
      </c>
      <c r="K11" s="1461">
        <v>29.049518446808776</v>
      </c>
      <c r="L11" s="466">
        <v>22.988751944238146</v>
      </c>
      <c r="M11" s="466">
        <v>36.197165454302279</v>
      </c>
      <c r="N11" s="466">
        <v>0</v>
      </c>
      <c r="O11" s="751">
        <v>26.423678233196142</v>
      </c>
      <c r="P11" s="1461">
        <v>41.414519860344427</v>
      </c>
      <c r="Q11" s="1461">
        <v>16.359441480897313</v>
      </c>
      <c r="R11" s="466">
        <v>0</v>
      </c>
      <c r="S11" s="751">
        <v>24.769552923060196</v>
      </c>
      <c r="T11" s="466">
        <v>0</v>
      </c>
      <c r="U11" s="751">
        <v>0</v>
      </c>
      <c r="V11" s="1461">
        <v>8.0923514784202411</v>
      </c>
      <c r="W11" s="751">
        <v>8.1463858038458739</v>
      </c>
      <c r="X11" s="378"/>
      <c r="Y11" s="180"/>
      <c r="Z11" s="180"/>
      <c r="AA11" s="180"/>
      <c r="AB11" s="180"/>
    </row>
    <row r="12" spans="1:28">
      <c r="A12" s="631"/>
      <c r="B12" s="388" t="s">
        <v>5</v>
      </c>
      <c r="C12" s="391"/>
      <c r="D12" s="391"/>
      <c r="E12" s="391"/>
      <c r="F12" s="391"/>
      <c r="G12" s="391"/>
      <c r="H12" s="391"/>
      <c r="I12" s="749"/>
      <c r="J12" s="391"/>
      <c r="K12" s="391">
        <v>761070</v>
      </c>
      <c r="L12" s="391">
        <v>1406028</v>
      </c>
      <c r="M12" s="391">
        <v>229019</v>
      </c>
      <c r="N12" s="391"/>
      <c r="O12" s="749">
        <v>2396117</v>
      </c>
      <c r="P12" s="391"/>
      <c r="Q12" s="391">
        <v>0</v>
      </c>
      <c r="R12" s="391"/>
      <c r="S12" s="749">
        <v>0</v>
      </c>
      <c r="T12" s="391"/>
      <c r="U12" s="749"/>
      <c r="V12" s="391"/>
      <c r="W12" s="749">
        <v>2396117</v>
      </c>
      <c r="X12" s="378"/>
      <c r="Y12" s="180"/>
      <c r="Z12" s="180"/>
      <c r="AA12" s="180"/>
      <c r="AB12" s="180"/>
    </row>
    <row r="13" spans="1:28" s="203" customFormat="1">
      <c r="A13" s="631"/>
      <c r="B13" s="389" t="s">
        <v>6</v>
      </c>
      <c r="C13" s="392"/>
      <c r="D13" s="392"/>
      <c r="E13" s="392"/>
      <c r="F13" s="392"/>
      <c r="G13" s="392"/>
      <c r="H13" s="392"/>
      <c r="I13" s="750"/>
      <c r="J13" s="392"/>
      <c r="K13" s="392">
        <v>1610000</v>
      </c>
      <c r="L13" s="392">
        <v>1018000</v>
      </c>
      <c r="M13" s="392">
        <v>309000</v>
      </c>
      <c r="N13" s="392"/>
      <c r="O13" s="750">
        <v>2937000</v>
      </c>
      <c r="P13" s="392"/>
      <c r="Q13" s="392"/>
      <c r="R13" s="392"/>
      <c r="S13" s="750"/>
      <c r="T13" s="392"/>
      <c r="U13" s="750"/>
      <c r="V13" s="392"/>
      <c r="W13" s="750">
        <v>2937000</v>
      </c>
      <c r="X13" s="378"/>
      <c r="Y13" s="180"/>
      <c r="Z13" s="180"/>
      <c r="AA13" s="180"/>
      <c r="AB13" s="180"/>
    </row>
    <row r="14" spans="1:28" s="202" customFormat="1">
      <c r="A14" s="631"/>
      <c r="B14" s="634" t="s">
        <v>298</v>
      </c>
      <c r="C14" s="466">
        <v>0</v>
      </c>
      <c r="D14" s="466">
        <v>0</v>
      </c>
      <c r="E14" s="466">
        <v>0</v>
      </c>
      <c r="F14" s="466">
        <v>0</v>
      </c>
      <c r="G14" s="466">
        <v>0</v>
      </c>
      <c r="H14" s="466">
        <v>0</v>
      </c>
      <c r="I14" s="751">
        <v>0</v>
      </c>
      <c r="J14" s="466">
        <v>0</v>
      </c>
      <c r="K14" s="1461">
        <v>111.54427319431852</v>
      </c>
      <c r="L14" s="466">
        <v>-27.597458941073722</v>
      </c>
      <c r="M14" s="466">
        <v>34.923303306712548</v>
      </c>
      <c r="N14" s="466">
        <v>0</v>
      </c>
      <c r="O14" s="751">
        <v>22.573313406649177</v>
      </c>
      <c r="P14" s="466">
        <v>0</v>
      </c>
      <c r="Q14" s="466">
        <v>0</v>
      </c>
      <c r="R14" s="466">
        <v>0</v>
      </c>
      <c r="S14" s="751">
        <v>0</v>
      </c>
      <c r="T14" s="466">
        <v>0</v>
      </c>
      <c r="U14" s="751">
        <v>0</v>
      </c>
      <c r="V14" s="466">
        <v>0</v>
      </c>
      <c r="W14" s="751">
        <v>22.573313406649177</v>
      </c>
      <c r="X14" s="378"/>
      <c r="Y14" s="180"/>
      <c r="Z14" s="180"/>
      <c r="AA14" s="180"/>
      <c r="AB14" s="180"/>
    </row>
    <row r="15" spans="1:28">
      <c r="A15" s="631"/>
      <c r="B15" s="388" t="s">
        <v>223</v>
      </c>
      <c r="C15" s="391">
        <v>924908220</v>
      </c>
      <c r="D15" s="391">
        <v>198710033</v>
      </c>
      <c r="E15" s="391">
        <v>239712125</v>
      </c>
      <c r="F15" s="391">
        <v>128607293</v>
      </c>
      <c r="G15" s="391">
        <v>44964694</v>
      </c>
      <c r="H15" s="391">
        <v>15847044</v>
      </c>
      <c r="I15" s="749">
        <v>1552749409</v>
      </c>
      <c r="J15" s="391"/>
      <c r="K15" s="391">
        <v>70409604</v>
      </c>
      <c r="L15" s="391">
        <v>132434408</v>
      </c>
      <c r="M15" s="391">
        <v>39360827</v>
      </c>
      <c r="N15" s="391"/>
      <c r="O15" s="749">
        <v>242204839</v>
      </c>
      <c r="P15" s="391">
        <v>4474072</v>
      </c>
      <c r="Q15" s="391">
        <v>7918002</v>
      </c>
      <c r="R15" s="391"/>
      <c r="S15" s="749">
        <v>12392074</v>
      </c>
      <c r="T15" s="391"/>
      <c r="U15" s="749"/>
      <c r="V15" s="391"/>
      <c r="W15" s="749">
        <v>1807346322</v>
      </c>
      <c r="X15" s="378"/>
      <c r="Y15" s="180"/>
      <c r="Z15" s="180"/>
      <c r="AA15" s="180"/>
      <c r="AB15" s="180"/>
    </row>
    <row r="16" spans="1:28" s="590" customFormat="1">
      <c r="A16" s="631"/>
      <c r="B16" s="389" t="s">
        <v>14</v>
      </c>
      <c r="C16" s="392">
        <v>872044540</v>
      </c>
      <c r="D16" s="392">
        <v>203659893</v>
      </c>
      <c r="E16" s="392">
        <v>244071209</v>
      </c>
      <c r="F16" s="392">
        <v>116231735</v>
      </c>
      <c r="G16" s="392">
        <v>47383947</v>
      </c>
      <c r="H16" s="392">
        <v>15926145</v>
      </c>
      <c r="I16" s="750">
        <v>1499317469</v>
      </c>
      <c r="J16" s="392"/>
      <c r="K16" s="392">
        <v>70564662</v>
      </c>
      <c r="L16" s="392">
        <v>132386355</v>
      </c>
      <c r="M16" s="392">
        <v>39597151</v>
      </c>
      <c r="N16" s="392"/>
      <c r="O16" s="750">
        <v>242548168</v>
      </c>
      <c r="P16" s="392">
        <v>4682194</v>
      </c>
      <c r="Q16" s="392">
        <v>7771854</v>
      </c>
      <c r="R16" s="392"/>
      <c r="S16" s="750">
        <v>12454048</v>
      </c>
      <c r="T16" s="392"/>
      <c r="U16" s="750"/>
      <c r="V16" s="392"/>
      <c r="W16" s="750">
        <v>1754319685</v>
      </c>
      <c r="X16" s="378"/>
      <c r="Y16" s="180"/>
      <c r="Z16" s="180"/>
      <c r="AA16" s="180"/>
      <c r="AB16" s="180"/>
    </row>
    <row r="17" spans="1:28" s="202" customFormat="1">
      <c r="A17" s="631"/>
      <c r="B17" s="634" t="s">
        <v>247</v>
      </c>
      <c r="C17" s="466">
        <v>-5.7155595395184182</v>
      </c>
      <c r="D17" s="466">
        <v>2.49099651651711</v>
      </c>
      <c r="E17" s="466">
        <v>1.8184662123369852</v>
      </c>
      <c r="F17" s="1461">
        <v>-9.6227497767175603</v>
      </c>
      <c r="G17" s="466">
        <v>5.3803390722507753</v>
      </c>
      <c r="H17" s="466">
        <v>0.49915302816096174</v>
      </c>
      <c r="I17" s="751">
        <v>-3.4411180381263957</v>
      </c>
      <c r="J17" s="466">
        <v>0</v>
      </c>
      <c r="K17" s="466">
        <v>0.22022279801488445</v>
      </c>
      <c r="L17" s="466">
        <v>-3.6284377093300409E-2</v>
      </c>
      <c r="M17" s="466">
        <v>0.60040405146975184</v>
      </c>
      <c r="N17" s="466">
        <v>0</v>
      </c>
      <c r="O17" s="751">
        <v>0.14175150315638407</v>
      </c>
      <c r="P17" s="466">
        <v>4.6517356001423309</v>
      </c>
      <c r="Q17" s="466">
        <v>-1.8457686673986693</v>
      </c>
      <c r="R17" s="466">
        <v>0</v>
      </c>
      <c r="S17" s="751">
        <v>0.50010998965951947</v>
      </c>
      <c r="T17" s="466">
        <v>0</v>
      </c>
      <c r="U17" s="751">
        <v>0</v>
      </c>
      <c r="V17" s="466">
        <v>0</v>
      </c>
      <c r="W17" s="751">
        <v>-2.9339499770758377</v>
      </c>
      <c r="X17" s="378"/>
      <c r="Y17" s="180"/>
      <c r="Z17" s="180"/>
      <c r="AA17" s="180"/>
      <c r="AB17" s="180"/>
    </row>
    <row r="18" spans="1:28">
      <c r="A18" s="631"/>
      <c r="B18" s="388" t="s">
        <v>225</v>
      </c>
      <c r="C18" s="391">
        <v>29499619</v>
      </c>
      <c r="D18" s="391">
        <v>1800000</v>
      </c>
      <c r="E18" s="391">
        <v>33567526</v>
      </c>
      <c r="F18" s="391">
        <v>23492336</v>
      </c>
      <c r="G18" s="391"/>
      <c r="H18" s="391">
        <v>1153379</v>
      </c>
      <c r="I18" s="749">
        <v>89512860</v>
      </c>
      <c r="J18" s="391"/>
      <c r="K18" s="391">
        <v>8668326</v>
      </c>
      <c r="L18" s="391">
        <v>14753585</v>
      </c>
      <c r="M18" s="391">
        <v>2769216</v>
      </c>
      <c r="N18" s="391"/>
      <c r="O18" s="749">
        <v>26191127</v>
      </c>
      <c r="P18" s="391">
        <v>512611</v>
      </c>
      <c r="Q18" s="391">
        <v>433343</v>
      </c>
      <c r="R18" s="391"/>
      <c r="S18" s="749">
        <v>945954</v>
      </c>
      <c r="T18" s="391"/>
      <c r="U18" s="749"/>
      <c r="V18" s="391"/>
      <c r="W18" s="749">
        <v>116649941</v>
      </c>
      <c r="X18" s="378"/>
      <c r="Y18" s="180"/>
      <c r="Z18" s="180"/>
      <c r="AA18" s="180"/>
      <c r="AB18" s="180"/>
    </row>
    <row r="19" spans="1:28" s="590" customFormat="1">
      <c r="A19" s="631"/>
      <c r="B19" s="389" t="s">
        <v>166</v>
      </c>
      <c r="C19" s="392">
        <v>28939291</v>
      </c>
      <c r="D19" s="392">
        <v>1800000</v>
      </c>
      <c r="E19" s="392">
        <v>35217230</v>
      </c>
      <c r="F19" s="392">
        <v>24822985</v>
      </c>
      <c r="G19" s="392"/>
      <c r="H19" s="392">
        <v>1568719</v>
      </c>
      <c r="I19" s="750">
        <v>92348225</v>
      </c>
      <c r="J19" s="392"/>
      <c r="K19" s="392">
        <v>8585267</v>
      </c>
      <c r="L19" s="392">
        <v>14102046</v>
      </c>
      <c r="M19" s="392">
        <v>3252881</v>
      </c>
      <c r="N19" s="392"/>
      <c r="O19" s="750">
        <v>25940194</v>
      </c>
      <c r="P19" s="392">
        <v>506439</v>
      </c>
      <c r="Q19" s="392">
        <v>543477</v>
      </c>
      <c r="R19" s="392"/>
      <c r="S19" s="750">
        <v>1049916</v>
      </c>
      <c r="T19" s="392"/>
      <c r="U19" s="750"/>
      <c r="V19" s="392"/>
      <c r="W19" s="750">
        <v>119338335</v>
      </c>
      <c r="X19" s="378"/>
      <c r="Y19" s="180"/>
      <c r="Z19" s="180"/>
      <c r="AA19" s="180"/>
      <c r="AB19" s="180"/>
    </row>
    <row r="20" spans="1:28" s="202" customFormat="1">
      <c r="A20" s="631"/>
      <c r="B20" s="634" t="s">
        <v>175</v>
      </c>
      <c r="C20" s="466">
        <v>-1.8994414809221773</v>
      </c>
      <c r="D20" s="466">
        <v>0</v>
      </c>
      <c r="E20" s="466">
        <v>4.9145832195080441</v>
      </c>
      <c r="F20" s="466">
        <v>5.6641834170939838</v>
      </c>
      <c r="G20" s="466">
        <v>0</v>
      </c>
      <c r="H20" s="1461">
        <v>36.010712870617553</v>
      </c>
      <c r="I20" s="751">
        <v>3.1675504502928407</v>
      </c>
      <c r="J20" s="466">
        <v>0</v>
      </c>
      <c r="K20" s="466">
        <v>-0.95818962046420497</v>
      </c>
      <c r="L20" s="466">
        <v>-4.4161402127008458</v>
      </c>
      <c r="M20" s="1461">
        <v>17.465773706348656</v>
      </c>
      <c r="N20" s="466">
        <v>0</v>
      </c>
      <c r="O20" s="751">
        <v>-0.9580840106651386</v>
      </c>
      <c r="P20" s="466">
        <v>-1.2040319072357011</v>
      </c>
      <c r="Q20" s="1461">
        <v>25.414971512173963</v>
      </c>
      <c r="R20" s="466">
        <v>0</v>
      </c>
      <c r="S20" s="751">
        <v>10.990174997938588</v>
      </c>
      <c r="T20" s="466">
        <v>0</v>
      </c>
      <c r="U20" s="751">
        <v>0</v>
      </c>
      <c r="V20" s="466">
        <v>0</v>
      </c>
      <c r="W20" s="751">
        <v>2.30466811809189</v>
      </c>
      <c r="X20" s="378"/>
      <c r="Y20" s="180"/>
      <c r="Z20" s="180"/>
      <c r="AA20" s="180"/>
      <c r="AB20" s="180"/>
    </row>
    <row r="21" spans="1:28">
      <c r="A21" s="631"/>
      <c r="B21" s="752" t="s">
        <v>317</v>
      </c>
      <c r="C21" s="749">
        <v>954407839</v>
      </c>
      <c r="D21" s="749">
        <v>200510033</v>
      </c>
      <c r="E21" s="749">
        <v>273279651</v>
      </c>
      <c r="F21" s="749">
        <v>152099629</v>
      </c>
      <c r="G21" s="749">
        <v>44964694</v>
      </c>
      <c r="H21" s="749">
        <v>17000423</v>
      </c>
      <c r="I21" s="749">
        <v>1642262269</v>
      </c>
      <c r="J21" s="749"/>
      <c r="K21" s="749">
        <v>79077930</v>
      </c>
      <c r="L21" s="749">
        <v>147187993</v>
      </c>
      <c r="M21" s="749">
        <v>42130043</v>
      </c>
      <c r="N21" s="749"/>
      <c r="O21" s="749">
        <v>268395966</v>
      </c>
      <c r="P21" s="749">
        <v>4986683</v>
      </c>
      <c r="Q21" s="749">
        <v>8351345</v>
      </c>
      <c r="R21" s="749"/>
      <c r="S21" s="749">
        <v>13338028</v>
      </c>
      <c r="T21" s="749">
        <v>0</v>
      </c>
      <c r="U21" s="749">
        <v>0</v>
      </c>
      <c r="V21" s="749">
        <v>0</v>
      </c>
      <c r="W21" s="749">
        <v>1923996263</v>
      </c>
      <c r="X21" s="378"/>
      <c r="Y21" s="180"/>
      <c r="Z21" s="180"/>
      <c r="AA21" s="180"/>
      <c r="AB21" s="180"/>
    </row>
    <row r="22" spans="1:28" s="203" customFormat="1">
      <c r="A22" s="631"/>
      <c r="B22" s="753" t="s">
        <v>70</v>
      </c>
      <c r="C22" s="750">
        <v>900983831</v>
      </c>
      <c r="D22" s="750">
        <v>205459893</v>
      </c>
      <c r="E22" s="750">
        <v>279288439</v>
      </c>
      <c r="F22" s="750">
        <v>141054720</v>
      </c>
      <c r="G22" s="750">
        <v>47383947</v>
      </c>
      <c r="H22" s="750">
        <v>17494864</v>
      </c>
      <c r="I22" s="750">
        <v>1591665694</v>
      </c>
      <c r="J22" s="750"/>
      <c r="K22" s="750">
        <v>79149929</v>
      </c>
      <c r="L22" s="750">
        <v>146488401</v>
      </c>
      <c r="M22" s="750">
        <v>42850032</v>
      </c>
      <c r="N22" s="750"/>
      <c r="O22" s="750">
        <v>268488362</v>
      </c>
      <c r="P22" s="750">
        <v>5188633</v>
      </c>
      <c r="Q22" s="750">
        <v>8315331</v>
      </c>
      <c r="R22" s="750"/>
      <c r="S22" s="750">
        <v>13503964</v>
      </c>
      <c r="T22" s="750">
        <v>0</v>
      </c>
      <c r="U22" s="750">
        <v>0</v>
      </c>
      <c r="V22" s="750">
        <v>0</v>
      </c>
      <c r="W22" s="750">
        <v>1873658020</v>
      </c>
      <c r="X22" s="378"/>
      <c r="Y22" s="180"/>
      <c r="Z22" s="180"/>
      <c r="AA22" s="180"/>
      <c r="AB22" s="180"/>
    </row>
    <row r="23" spans="1:28" s="202" customFormat="1">
      <c r="A23" s="631"/>
      <c r="B23" s="754" t="s">
        <v>57</v>
      </c>
      <c r="C23" s="751">
        <v>-5.5976078377537295</v>
      </c>
      <c r="D23" s="751">
        <v>2.4686345745102938</v>
      </c>
      <c r="E23" s="751">
        <v>2.1987689087029758</v>
      </c>
      <c r="F23" s="751">
        <v>-7.2616278373696757</v>
      </c>
      <c r="G23" s="751">
        <v>5.3803390722507753</v>
      </c>
      <c r="H23" s="751">
        <v>2.9084041026508576</v>
      </c>
      <c r="I23" s="751">
        <v>-3.0809071093625668</v>
      </c>
      <c r="J23" s="751">
        <v>0</v>
      </c>
      <c r="K23" s="751">
        <v>9.1048159707771803E-2</v>
      </c>
      <c r="L23" s="751">
        <v>-0.47530507464695165</v>
      </c>
      <c r="M23" s="751">
        <v>1.708968110951133</v>
      </c>
      <c r="N23" s="751">
        <v>0</v>
      </c>
      <c r="O23" s="751">
        <v>3.4425256600168125E-2</v>
      </c>
      <c r="P23" s="751">
        <v>4.0497862005665892</v>
      </c>
      <c r="Q23" s="751">
        <v>-0.43123592666809957</v>
      </c>
      <c r="R23" s="751">
        <v>0</v>
      </c>
      <c r="S23" s="751">
        <v>1.2440819587423269</v>
      </c>
      <c r="T23" s="751">
        <v>0</v>
      </c>
      <c r="U23" s="751">
        <v>0</v>
      </c>
      <c r="V23" s="751">
        <v>0</v>
      </c>
      <c r="W23" s="751">
        <v>-2.6163378779909827</v>
      </c>
      <c r="X23" s="378"/>
      <c r="Y23" s="180"/>
      <c r="Z23" s="180"/>
      <c r="AA23" s="180"/>
      <c r="AB23" s="180"/>
    </row>
    <row r="24" spans="1:28">
      <c r="A24" s="631"/>
      <c r="B24" s="388" t="s">
        <v>72</v>
      </c>
      <c r="C24" s="391"/>
      <c r="D24" s="391"/>
      <c r="E24" s="391"/>
      <c r="F24" s="391"/>
      <c r="G24" s="391"/>
      <c r="H24" s="391"/>
      <c r="I24" s="749"/>
      <c r="J24" s="391"/>
      <c r="K24" s="391"/>
      <c r="L24" s="391"/>
      <c r="M24" s="391"/>
      <c r="N24" s="391"/>
      <c r="O24" s="749"/>
      <c r="P24" s="391"/>
      <c r="Q24" s="391"/>
      <c r="R24" s="391"/>
      <c r="S24" s="749"/>
      <c r="T24" s="391">
        <v>6125936</v>
      </c>
      <c r="U24" s="749">
        <v>6125936</v>
      </c>
      <c r="V24" s="391">
        <v>81888826</v>
      </c>
      <c r="W24" s="749">
        <v>88014762</v>
      </c>
      <c r="X24" s="378"/>
      <c r="Y24" s="180"/>
      <c r="Z24" s="180"/>
      <c r="AA24" s="180"/>
      <c r="AB24" s="180"/>
    </row>
    <row r="25" spans="1:28" s="203" customFormat="1">
      <c r="A25" s="631"/>
      <c r="B25" s="389" t="s">
        <v>74</v>
      </c>
      <c r="C25" s="392"/>
      <c r="D25" s="392"/>
      <c r="E25" s="392"/>
      <c r="F25" s="392"/>
      <c r="G25" s="392"/>
      <c r="H25" s="392"/>
      <c r="I25" s="750"/>
      <c r="J25" s="392"/>
      <c r="K25" s="392"/>
      <c r="L25" s="392"/>
      <c r="M25" s="392"/>
      <c r="N25" s="392"/>
      <c r="O25" s="750"/>
      <c r="P25" s="392"/>
      <c r="Q25" s="392"/>
      <c r="R25" s="392"/>
      <c r="S25" s="750"/>
      <c r="T25" s="392">
        <v>6343936</v>
      </c>
      <c r="U25" s="750">
        <v>6343936</v>
      </c>
      <c r="V25" s="392">
        <v>85625816</v>
      </c>
      <c r="W25" s="750">
        <v>91969752</v>
      </c>
      <c r="X25" s="378"/>
      <c r="Y25" s="180"/>
      <c r="Z25" s="180"/>
      <c r="AA25" s="180"/>
      <c r="AB25" s="180"/>
    </row>
    <row r="26" spans="1:28" s="202" customFormat="1">
      <c r="A26" s="631"/>
      <c r="B26" s="634" t="s">
        <v>76</v>
      </c>
      <c r="C26" s="466">
        <v>0</v>
      </c>
      <c r="D26" s="466">
        <v>0</v>
      </c>
      <c r="E26" s="466">
        <v>0</v>
      </c>
      <c r="F26" s="466">
        <v>0</v>
      </c>
      <c r="G26" s="466">
        <v>0</v>
      </c>
      <c r="H26" s="466">
        <v>0</v>
      </c>
      <c r="I26" s="751">
        <v>0</v>
      </c>
      <c r="J26" s="466">
        <v>0</v>
      </c>
      <c r="K26" s="466">
        <v>0</v>
      </c>
      <c r="L26" s="466">
        <v>0</v>
      </c>
      <c r="M26" s="466">
        <v>0</v>
      </c>
      <c r="N26" s="466">
        <v>0</v>
      </c>
      <c r="O26" s="751">
        <v>0</v>
      </c>
      <c r="P26" s="466">
        <v>0</v>
      </c>
      <c r="Q26" s="466">
        <v>0</v>
      </c>
      <c r="R26" s="466">
        <v>0</v>
      </c>
      <c r="S26" s="751">
        <v>0</v>
      </c>
      <c r="T26" s="466">
        <v>3.5586398551992708</v>
      </c>
      <c r="U26" s="751">
        <v>3.5586398551992708</v>
      </c>
      <c r="V26" s="466">
        <v>4.5634919714198858</v>
      </c>
      <c r="W26" s="751">
        <v>4.4935530246619306</v>
      </c>
      <c r="X26" s="378"/>
      <c r="Y26" s="180"/>
      <c r="Z26" s="180"/>
      <c r="AA26" s="180"/>
      <c r="AB26" s="180"/>
    </row>
    <row r="27" spans="1:28">
      <c r="A27" s="631"/>
      <c r="B27" s="388" t="s">
        <v>240</v>
      </c>
      <c r="C27" s="391"/>
      <c r="D27" s="391"/>
      <c r="E27" s="391"/>
      <c r="F27" s="391"/>
      <c r="G27" s="391"/>
      <c r="H27" s="391"/>
      <c r="I27" s="749"/>
      <c r="J27" s="391"/>
      <c r="K27" s="391"/>
      <c r="L27" s="391"/>
      <c r="M27" s="391"/>
      <c r="N27" s="391"/>
      <c r="O27" s="749"/>
      <c r="P27" s="391"/>
      <c r="Q27" s="391"/>
      <c r="R27" s="391"/>
      <c r="S27" s="749"/>
      <c r="T27" s="391">
        <v>4043350</v>
      </c>
      <c r="U27" s="749">
        <v>4043350</v>
      </c>
      <c r="V27" s="391"/>
      <c r="W27" s="749">
        <v>4043350</v>
      </c>
      <c r="X27" s="378"/>
      <c r="Y27" s="180"/>
      <c r="Z27" s="180"/>
      <c r="AA27" s="180"/>
      <c r="AB27" s="180"/>
    </row>
    <row r="28" spans="1:28" s="203" customFormat="1">
      <c r="A28" s="631"/>
      <c r="B28" s="389" t="s">
        <v>163</v>
      </c>
      <c r="C28" s="392"/>
      <c r="D28" s="392"/>
      <c r="E28" s="392"/>
      <c r="F28" s="392"/>
      <c r="G28" s="392"/>
      <c r="H28" s="392"/>
      <c r="I28" s="750"/>
      <c r="J28" s="392"/>
      <c r="K28" s="392"/>
      <c r="L28" s="392"/>
      <c r="M28" s="392"/>
      <c r="N28" s="392"/>
      <c r="O28" s="750"/>
      <c r="P28" s="392"/>
      <c r="Q28" s="392"/>
      <c r="R28" s="392"/>
      <c r="S28" s="750"/>
      <c r="T28" s="392">
        <v>4098700</v>
      </c>
      <c r="U28" s="750">
        <v>4098700</v>
      </c>
      <c r="V28" s="392"/>
      <c r="W28" s="750">
        <v>4098700</v>
      </c>
      <c r="X28" s="378"/>
      <c r="Y28" s="180"/>
      <c r="Z28" s="180"/>
      <c r="AA28" s="180"/>
      <c r="AB28" s="180"/>
    </row>
    <row r="29" spans="1:28" s="202" customFormat="1">
      <c r="A29" s="631"/>
      <c r="B29" s="634" t="s">
        <v>59</v>
      </c>
      <c r="C29" s="466">
        <v>0</v>
      </c>
      <c r="D29" s="466">
        <v>0</v>
      </c>
      <c r="E29" s="466">
        <v>0</v>
      </c>
      <c r="F29" s="466">
        <v>0</v>
      </c>
      <c r="G29" s="466">
        <v>0</v>
      </c>
      <c r="H29" s="466">
        <v>0</v>
      </c>
      <c r="I29" s="751">
        <v>0</v>
      </c>
      <c r="J29" s="466">
        <v>0</v>
      </c>
      <c r="K29" s="466">
        <v>0</v>
      </c>
      <c r="L29" s="466">
        <v>0</v>
      </c>
      <c r="M29" s="466">
        <v>0</v>
      </c>
      <c r="N29" s="466">
        <v>0</v>
      </c>
      <c r="O29" s="751">
        <v>0</v>
      </c>
      <c r="P29" s="466">
        <v>0</v>
      </c>
      <c r="Q29" s="466">
        <v>0</v>
      </c>
      <c r="R29" s="466">
        <v>0</v>
      </c>
      <c r="S29" s="751">
        <v>0</v>
      </c>
      <c r="T29" s="466">
        <v>1.3689143902951761</v>
      </c>
      <c r="U29" s="751">
        <v>1.3689143902951761</v>
      </c>
      <c r="V29" s="466">
        <v>0</v>
      </c>
      <c r="W29" s="751">
        <v>1.3689143902951761</v>
      </c>
      <c r="X29" s="378"/>
      <c r="Y29" s="180"/>
      <c r="Z29" s="180"/>
      <c r="AA29" s="180"/>
      <c r="AB29" s="180"/>
    </row>
    <row r="30" spans="1:28">
      <c r="A30" s="631"/>
      <c r="B30" s="388" t="s">
        <v>159</v>
      </c>
      <c r="C30" s="391"/>
      <c r="D30" s="391"/>
      <c r="E30" s="391"/>
      <c r="F30" s="391"/>
      <c r="G30" s="391"/>
      <c r="H30" s="391"/>
      <c r="I30" s="749"/>
      <c r="J30" s="391"/>
      <c r="K30" s="391"/>
      <c r="L30" s="391"/>
      <c r="M30" s="391"/>
      <c r="N30" s="391"/>
      <c r="O30" s="749"/>
      <c r="P30" s="391"/>
      <c r="Q30" s="391"/>
      <c r="R30" s="391"/>
      <c r="S30" s="749"/>
      <c r="T30" s="391">
        <v>185368</v>
      </c>
      <c r="U30" s="749">
        <v>185368</v>
      </c>
      <c r="V30" s="391"/>
      <c r="W30" s="749">
        <v>185368</v>
      </c>
      <c r="X30" s="378"/>
      <c r="Y30" s="180"/>
      <c r="Z30" s="180"/>
      <c r="AA30" s="180"/>
      <c r="AB30" s="180"/>
    </row>
    <row r="31" spans="1:28" s="203" customFormat="1">
      <c r="A31" s="631"/>
      <c r="B31" s="389" t="s">
        <v>100</v>
      </c>
      <c r="C31" s="392"/>
      <c r="D31" s="392"/>
      <c r="E31" s="392"/>
      <c r="F31" s="392"/>
      <c r="G31" s="392"/>
      <c r="H31" s="392"/>
      <c r="I31" s="750"/>
      <c r="J31" s="392"/>
      <c r="K31" s="392"/>
      <c r="L31" s="392"/>
      <c r="M31" s="392"/>
      <c r="N31" s="392"/>
      <c r="O31" s="750"/>
      <c r="P31" s="392"/>
      <c r="Q31" s="392"/>
      <c r="R31" s="392"/>
      <c r="S31" s="750"/>
      <c r="T31" s="392">
        <v>177000</v>
      </c>
      <c r="U31" s="750">
        <v>177000</v>
      </c>
      <c r="V31" s="392"/>
      <c r="W31" s="750">
        <v>177000</v>
      </c>
      <c r="X31" s="378"/>
      <c r="Y31" s="180"/>
      <c r="Z31" s="180"/>
      <c r="AA31" s="180"/>
      <c r="AB31" s="180"/>
    </row>
    <row r="32" spans="1:28" s="202" customFormat="1">
      <c r="A32" s="631"/>
      <c r="B32" s="634" t="s">
        <v>110</v>
      </c>
      <c r="C32" s="466">
        <v>0</v>
      </c>
      <c r="D32" s="466">
        <v>0</v>
      </c>
      <c r="E32" s="466">
        <v>0</v>
      </c>
      <c r="F32" s="466">
        <v>0</v>
      </c>
      <c r="G32" s="466">
        <v>0</v>
      </c>
      <c r="H32" s="466">
        <v>0</v>
      </c>
      <c r="I32" s="751">
        <v>0</v>
      </c>
      <c r="J32" s="466">
        <v>0</v>
      </c>
      <c r="K32" s="466">
        <v>0</v>
      </c>
      <c r="L32" s="466">
        <v>0</v>
      </c>
      <c r="M32" s="466">
        <v>0</v>
      </c>
      <c r="N32" s="466">
        <v>0</v>
      </c>
      <c r="O32" s="751">
        <v>0</v>
      </c>
      <c r="P32" s="466">
        <v>0</v>
      </c>
      <c r="Q32" s="466">
        <v>0</v>
      </c>
      <c r="R32" s="466">
        <v>0</v>
      </c>
      <c r="S32" s="751">
        <v>0</v>
      </c>
      <c r="T32" s="466">
        <v>-4.5142635190539897</v>
      </c>
      <c r="U32" s="751">
        <v>-4.5142635190539897</v>
      </c>
      <c r="V32" s="466">
        <v>0</v>
      </c>
      <c r="W32" s="751">
        <v>-4.5142635190539897</v>
      </c>
      <c r="X32" s="378"/>
      <c r="Y32" s="180"/>
      <c r="Z32" s="180"/>
      <c r="AA32" s="180"/>
      <c r="AB32" s="180"/>
    </row>
    <row r="33" spans="1:28">
      <c r="A33" s="631"/>
      <c r="B33" s="388" t="s">
        <v>161</v>
      </c>
      <c r="C33" s="391">
        <v>0</v>
      </c>
      <c r="D33" s="391">
        <v>0</v>
      </c>
      <c r="E33" s="391">
        <v>0</v>
      </c>
      <c r="F33" s="391">
        <v>0</v>
      </c>
      <c r="G33" s="391">
        <v>0</v>
      </c>
      <c r="H33" s="391">
        <v>0</v>
      </c>
      <c r="I33" s="749">
        <v>0</v>
      </c>
      <c r="J33" s="391"/>
      <c r="K33" s="391">
        <v>0</v>
      </c>
      <c r="L33" s="391">
        <v>0</v>
      </c>
      <c r="M33" s="391">
        <v>0</v>
      </c>
      <c r="N33" s="391"/>
      <c r="O33" s="749">
        <v>0</v>
      </c>
      <c r="P33" s="391">
        <v>0</v>
      </c>
      <c r="Q33" s="391">
        <v>0</v>
      </c>
      <c r="R33" s="391"/>
      <c r="S33" s="749">
        <v>0</v>
      </c>
      <c r="T33" s="391">
        <v>4228718</v>
      </c>
      <c r="U33" s="749">
        <v>4228718</v>
      </c>
      <c r="V33" s="391">
        <v>0</v>
      </c>
      <c r="W33" s="749">
        <v>4228718</v>
      </c>
      <c r="X33" s="378"/>
      <c r="Y33" s="180"/>
      <c r="Z33" s="180"/>
      <c r="AA33" s="180"/>
      <c r="AB33" s="180"/>
    </row>
    <row r="34" spans="1:28" s="203" customFormat="1">
      <c r="A34" s="631"/>
      <c r="B34" s="389" t="s">
        <v>102</v>
      </c>
      <c r="C34" s="392">
        <v>0</v>
      </c>
      <c r="D34" s="392">
        <v>0</v>
      </c>
      <c r="E34" s="392">
        <v>0</v>
      </c>
      <c r="F34" s="392">
        <v>0</v>
      </c>
      <c r="G34" s="392">
        <v>0</v>
      </c>
      <c r="H34" s="392">
        <v>0</v>
      </c>
      <c r="I34" s="750">
        <v>0</v>
      </c>
      <c r="J34" s="392"/>
      <c r="K34" s="392">
        <v>0</v>
      </c>
      <c r="L34" s="392">
        <v>0</v>
      </c>
      <c r="M34" s="392">
        <v>0</v>
      </c>
      <c r="N34" s="392"/>
      <c r="O34" s="750">
        <v>0</v>
      </c>
      <c r="P34" s="392">
        <v>0</v>
      </c>
      <c r="Q34" s="392">
        <v>0</v>
      </c>
      <c r="R34" s="392"/>
      <c r="S34" s="750">
        <v>0</v>
      </c>
      <c r="T34" s="392">
        <v>4275700</v>
      </c>
      <c r="U34" s="750">
        <v>4275700</v>
      </c>
      <c r="V34" s="392">
        <v>0</v>
      </c>
      <c r="W34" s="750">
        <v>4275700</v>
      </c>
      <c r="X34" s="378"/>
      <c r="Y34" s="180"/>
      <c r="Z34" s="180"/>
      <c r="AA34" s="180"/>
      <c r="AB34" s="180"/>
    </row>
    <row r="35" spans="1:28" s="202" customFormat="1">
      <c r="A35" s="631"/>
      <c r="B35" s="634" t="s">
        <v>183</v>
      </c>
      <c r="C35" s="466">
        <v>0</v>
      </c>
      <c r="D35" s="466">
        <v>0</v>
      </c>
      <c r="E35" s="466">
        <v>0</v>
      </c>
      <c r="F35" s="466">
        <v>0</v>
      </c>
      <c r="G35" s="466">
        <v>0</v>
      </c>
      <c r="H35" s="466">
        <v>0</v>
      </c>
      <c r="I35" s="751">
        <v>0</v>
      </c>
      <c r="J35" s="466">
        <v>0</v>
      </c>
      <c r="K35" s="466">
        <v>0</v>
      </c>
      <c r="L35" s="466">
        <v>0</v>
      </c>
      <c r="M35" s="466">
        <v>0</v>
      </c>
      <c r="N35" s="466">
        <v>0</v>
      </c>
      <c r="O35" s="751">
        <v>0</v>
      </c>
      <c r="P35" s="466">
        <v>0</v>
      </c>
      <c r="Q35" s="466">
        <v>0</v>
      </c>
      <c r="R35" s="466">
        <v>0</v>
      </c>
      <c r="S35" s="751">
        <v>0</v>
      </c>
      <c r="T35" s="466">
        <v>1.1110223003756694</v>
      </c>
      <c r="U35" s="751">
        <v>1.1110223003756694</v>
      </c>
      <c r="V35" s="466">
        <v>0</v>
      </c>
      <c r="W35" s="751">
        <v>1.1110223003756694</v>
      </c>
      <c r="X35" s="378"/>
      <c r="Y35" s="180"/>
      <c r="Z35" s="180"/>
      <c r="AA35" s="180"/>
      <c r="AB35" s="180"/>
    </row>
    <row r="36" spans="1:28">
      <c r="A36" s="631"/>
      <c r="B36" s="388" t="s">
        <v>78</v>
      </c>
      <c r="C36" s="391">
        <v>27686319</v>
      </c>
      <c r="D36" s="391">
        <v>231857341</v>
      </c>
      <c r="E36" s="391">
        <v>83280987</v>
      </c>
      <c r="F36" s="391"/>
      <c r="G36" s="391"/>
      <c r="H36" s="391"/>
      <c r="I36" s="749">
        <v>342824647</v>
      </c>
      <c r="J36" s="391"/>
      <c r="K36" s="391"/>
      <c r="L36" s="391"/>
      <c r="M36" s="391"/>
      <c r="N36" s="391"/>
      <c r="O36" s="749"/>
      <c r="P36" s="391"/>
      <c r="Q36" s="391"/>
      <c r="R36" s="391"/>
      <c r="S36" s="749"/>
      <c r="T36" s="391"/>
      <c r="U36" s="749"/>
      <c r="V36" s="391"/>
      <c r="W36" s="749">
        <v>342824647</v>
      </c>
      <c r="X36" s="378"/>
      <c r="Y36" s="180"/>
      <c r="Z36" s="180"/>
      <c r="AA36" s="180"/>
      <c r="AB36" s="180"/>
    </row>
    <row r="37" spans="1:28" s="203" customFormat="1">
      <c r="A37" s="631"/>
      <c r="B37" s="389" t="s">
        <v>80</v>
      </c>
      <c r="C37" s="392">
        <v>29597928</v>
      </c>
      <c r="D37" s="392">
        <v>220073057</v>
      </c>
      <c r="E37" s="392">
        <v>82175328</v>
      </c>
      <c r="F37" s="392"/>
      <c r="G37" s="392"/>
      <c r="H37" s="392"/>
      <c r="I37" s="750">
        <v>331846313</v>
      </c>
      <c r="J37" s="392"/>
      <c r="K37" s="392"/>
      <c r="L37" s="392"/>
      <c r="M37" s="392"/>
      <c r="N37" s="392"/>
      <c r="O37" s="750"/>
      <c r="P37" s="392"/>
      <c r="Q37" s="392"/>
      <c r="R37" s="392"/>
      <c r="S37" s="750"/>
      <c r="T37" s="392"/>
      <c r="U37" s="750"/>
      <c r="V37" s="392"/>
      <c r="W37" s="750">
        <v>331846313</v>
      </c>
      <c r="X37" s="378"/>
      <c r="Y37" s="180"/>
      <c r="Z37" s="180"/>
      <c r="AA37" s="180"/>
      <c r="AB37" s="180"/>
    </row>
    <row r="38" spans="1:28" s="202" customFormat="1">
      <c r="A38" s="631"/>
      <c r="B38" s="634" t="s">
        <v>215</v>
      </c>
      <c r="C38" s="466">
        <v>6.9045256612119505</v>
      </c>
      <c r="D38" s="466">
        <v>-5.0825580717756962</v>
      </c>
      <c r="E38" s="466">
        <v>-1.3276247554558882</v>
      </c>
      <c r="F38" s="466">
        <v>0</v>
      </c>
      <c r="G38" s="466">
        <v>0</v>
      </c>
      <c r="H38" s="466">
        <v>0</v>
      </c>
      <c r="I38" s="751">
        <v>-3.2023175976609406</v>
      </c>
      <c r="J38" s="466">
        <v>0</v>
      </c>
      <c r="K38" s="466">
        <v>0</v>
      </c>
      <c r="L38" s="466">
        <v>0</v>
      </c>
      <c r="M38" s="466">
        <v>0</v>
      </c>
      <c r="N38" s="466">
        <v>0</v>
      </c>
      <c r="O38" s="751">
        <v>0</v>
      </c>
      <c r="P38" s="466">
        <v>0</v>
      </c>
      <c r="Q38" s="466">
        <v>0</v>
      </c>
      <c r="R38" s="466">
        <v>0</v>
      </c>
      <c r="S38" s="751">
        <v>0</v>
      </c>
      <c r="T38" s="466">
        <v>0</v>
      </c>
      <c r="U38" s="751">
        <v>0</v>
      </c>
      <c r="V38" s="466">
        <v>0</v>
      </c>
      <c r="W38" s="751">
        <v>-3.2023175976609406</v>
      </c>
      <c r="X38" s="378"/>
      <c r="Y38" s="180"/>
      <c r="Z38" s="180"/>
      <c r="AA38" s="180"/>
      <c r="AB38" s="180"/>
    </row>
    <row r="39" spans="1:28">
      <c r="A39" s="631"/>
      <c r="B39" s="388" t="s">
        <v>81</v>
      </c>
      <c r="C39" s="391">
        <v>21465612</v>
      </c>
      <c r="D39" s="391">
        <v>85711372</v>
      </c>
      <c r="E39" s="391">
        <v>51803744</v>
      </c>
      <c r="F39" s="391"/>
      <c r="G39" s="391"/>
      <c r="H39" s="391"/>
      <c r="I39" s="749">
        <v>158980728</v>
      </c>
      <c r="J39" s="391"/>
      <c r="K39" s="391"/>
      <c r="L39" s="391"/>
      <c r="M39" s="391"/>
      <c r="N39" s="391"/>
      <c r="O39" s="749"/>
      <c r="P39" s="391"/>
      <c r="Q39" s="391"/>
      <c r="R39" s="391"/>
      <c r="S39" s="749"/>
      <c r="T39" s="391"/>
      <c r="U39" s="749"/>
      <c r="V39" s="391"/>
      <c r="W39" s="749">
        <v>158980728</v>
      </c>
      <c r="X39" s="378"/>
      <c r="Y39" s="180"/>
      <c r="Z39" s="180"/>
      <c r="AA39" s="180"/>
      <c r="AB39" s="180"/>
    </row>
    <row r="40" spans="1:28" s="203" customFormat="1">
      <c r="A40" s="631"/>
      <c r="B40" s="389" t="s">
        <v>318</v>
      </c>
      <c r="C40" s="392">
        <v>25683130</v>
      </c>
      <c r="D40" s="392">
        <v>88825904</v>
      </c>
      <c r="E40" s="392">
        <v>52246300</v>
      </c>
      <c r="F40" s="392"/>
      <c r="G40" s="392"/>
      <c r="H40" s="392"/>
      <c r="I40" s="750">
        <v>166755334</v>
      </c>
      <c r="J40" s="392"/>
      <c r="K40" s="392"/>
      <c r="L40" s="392"/>
      <c r="M40" s="392"/>
      <c r="N40" s="392"/>
      <c r="O40" s="750"/>
      <c r="P40" s="392"/>
      <c r="Q40" s="392"/>
      <c r="R40" s="392"/>
      <c r="S40" s="750"/>
      <c r="T40" s="392"/>
      <c r="U40" s="750"/>
      <c r="V40" s="392"/>
      <c r="W40" s="750">
        <v>166755334</v>
      </c>
      <c r="X40" s="378"/>
      <c r="Y40" s="180"/>
      <c r="Z40" s="180"/>
      <c r="AA40" s="180"/>
      <c r="AB40" s="180"/>
    </row>
    <row r="41" spans="1:28" s="202" customFormat="1">
      <c r="A41" s="631"/>
      <c r="B41" s="634" t="s">
        <v>236</v>
      </c>
      <c r="C41" s="1461">
        <v>19.647788285747456</v>
      </c>
      <c r="D41" s="466">
        <v>3.6337441897441565</v>
      </c>
      <c r="E41" s="466">
        <v>0.85429346573869247</v>
      </c>
      <c r="F41" s="466">
        <v>0</v>
      </c>
      <c r="G41" s="466">
        <v>0</v>
      </c>
      <c r="H41" s="466">
        <v>0</v>
      </c>
      <c r="I41" s="751">
        <v>4.8902820472680189</v>
      </c>
      <c r="J41" s="466">
        <v>0</v>
      </c>
      <c r="K41" s="466">
        <v>0</v>
      </c>
      <c r="L41" s="466">
        <v>0</v>
      </c>
      <c r="M41" s="466">
        <v>0</v>
      </c>
      <c r="N41" s="466">
        <v>0</v>
      </c>
      <c r="O41" s="751">
        <v>0</v>
      </c>
      <c r="P41" s="466">
        <v>0</v>
      </c>
      <c r="Q41" s="466">
        <v>0</v>
      </c>
      <c r="R41" s="466">
        <v>0</v>
      </c>
      <c r="S41" s="751">
        <v>0</v>
      </c>
      <c r="T41" s="466">
        <v>0</v>
      </c>
      <c r="U41" s="751">
        <v>0</v>
      </c>
      <c r="V41" s="466">
        <v>0</v>
      </c>
      <c r="W41" s="751">
        <v>4.8902820472680189</v>
      </c>
      <c r="X41" s="378"/>
      <c r="Y41" s="180"/>
      <c r="Z41" s="180"/>
      <c r="AA41" s="180"/>
      <c r="AB41" s="180"/>
    </row>
    <row r="42" spans="1:28">
      <c r="A42" s="631"/>
      <c r="B42" s="388" t="s">
        <v>19</v>
      </c>
      <c r="C42" s="391">
        <v>1262084674</v>
      </c>
      <c r="D42" s="391">
        <v>273173608</v>
      </c>
      <c r="E42" s="391">
        <v>381279439</v>
      </c>
      <c r="F42" s="391">
        <v>219092993</v>
      </c>
      <c r="G42" s="391">
        <v>76497488</v>
      </c>
      <c r="H42" s="391">
        <v>27326235</v>
      </c>
      <c r="I42" s="749">
        <v>2239454437</v>
      </c>
      <c r="J42" s="391"/>
      <c r="K42" s="391">
        <v>138015286.73000002</v>
      </c>
      <c r="L42" s="391">
        <v>291258732</v>
      </c>
      <c r="M42" s="391">
        <v>89358161.280000001</v>
      </c>
      <c r="N42" s="391"/>
      <c r="O42" s="749">
        <v>518632180.00999999</v>
      </c>
      <c r="P42" s="391">
        <v>14240653</v>
      </c>
      <c r="Q42" s="391">
        <v>24948681</v>
      </c>
      <c r="R42" s="391"/>
      <c r="S42" s="749">
        <v>39189334</v>
      </c>
      <c r="T42" s="391">
        <v>0</v>
      </c>
      <c r="U42" s="749">
        <v>0</v>
      </c>
      <c r="V42" s="391">
        <v>26391430.670000002</v>
      </c>
      <c r="W42" s="749">
        <v>2823667381.6800003</v>
      </c>
      <c r="X42" s="378"/>
      <c r="Y42" s="180"/>
      <c r="Z42" s="180"/>
      <c r="AA42" s="180"/>
      <c r="AB42" s="180"/>
    </row>
    <row r="43" spans="1:28" s="203" customFormat="1">
      <c r="A43" s="631"/>
      <c r="B43" s="389" t="s">
        <v>21</v>
      </c>
      <c r="C43" s="392">
        <v>1211661525</v>
      </c>
      <c r="D43" s="392">
        <v>292572543</v>
      </c>
      <c r="E43" s="392">
        <v>388108037</v>
      </c>
      <c r="F43" s="392">
        <v>207548023</v>
      </c>
      <c r="G43" s="392">
        <v>79709289</v>
      </c>
      <c r="H43" s="392">
        <v>27484223</v>
      </c>
      <c r="I43" s="750">
        <v>2207083640</v>
      </c>
      <c r="J43" s="392"/>
      <c r="K43" s="392">
        <v>141362939</v>
      </c>
      <c r="L43" s="392">
        <v>293485934</v>
      </c>
      <c r="M43" s="392">
        <v>91848995</v>
      </c>
      <c r="N43" s="392"/>
      <c r="O43" s="750">
        <v>526697868</v>
      </c>
      <c r="P43" s="392">
        <v>14343705</v>
      </c>
      <c r="Q43" s="392">
        <v>25191783</v>
      </c>
      <c r="R43" s="392"/>
      <c r="S43" s="750">
        <v>39535488</v>
      </c>
      <c r="T43" s="392">
        <v>0</v>
      </c>
      <c r="U43" s="750">
        <v>0</v>
      </c>
      <c r="V43" s="392">
        <v>28527118</v>
      </c>
      <c r="W43" s="750">
        <v>2801844114</v>
      </c>
      <c r="X43" s="378"/>
      <c r="Y43" s="180"/>
      <c r="Z43" s="180"/>
      <c r="AA43" s="180"/>
      <c r="AB43" s="180"/>
    </row>
    <row r="44" spans="1:28" s="215" customFormat="1" ht="13.5" thickBot="1">
      <c r="A44" s="635"/>
      <c r="B44" s="761" t="s">
        <v>23</v>
      </c>
      <c r="C44" s="762">
        <v>-3.9952271062916025</v>
      </c>
      <c r="D44" s="762">
        <v>7.1013210763757231</v>
      </c>
      <c r="E44" s="762">
        <v>1.7909693787605474</v>
      </c>
      <c r="F44" s="762">
        <v>-5.2694382608575712</v>
      </c>
      <c r="G44" s="762">
        <v>4.1985705465256578</v>
      </c>
      <c r="H44" s="762">
        <v>0.57815502208774827</v>
      </c>
      <c r="I44" s="763">
        <v>-1.4454769190733932</v>
      </c>
      <c r="J44" s="762">
        <v>0</v>
      </c>
      <c r="K44" s="762">
        <v>2.4255662900219228</v>
      </c>
      <c r="L44" s="762">
        <v>0.76468162334786238</v>
      </c>
      <c r="M44" s="762">
        <v>2.7874719939626749</v>
      </c>
      <c r="N44" s="762">
        <v>0</v>
      </c>
      <c r="O44" s="763">
        <v>1.5551846377609064</v>
      </c>
      <c r="P44" s="762">
        <v>0.72364659120617569</v>
      </c>
      <c r="Q44" s="762">
        <v>0.97440822623047696</v>
      </c>
      <c r="R44" s="762">
        <v>0</v>
      </c>
      <c r="S44" s="763">
        <v>0.88328625334638233</v>
      </c>
      <c r="T44" s="762">
        <v>0</v>
      </c>
      <c r="U44" s="763">
        <v>0</v>
      </c>
      <c r="V44" s="1462">
        <v>8.0923514784202411</v>
      </c>
      <c r="W44" s="763">
        <v>-0.77286963123171015</v>
      </c>
      <c r="X44" s="378"/>
      <c r="Y44" s="180"/>
      <c r="Z44" s="180"/>
      <c r="AA44" s="180"/>
      <c r="AB44" s="180"/>
    </row>
    <row r="45" spans="1:28" ht="13.5" thickTop="1">
      <c r="A45" s="230" t="s">
        <v>143</v>
      </c>
      <c r="B45" s="764" t="s">
        <v>190</v>
      </c>
      <c r="C45" s="765">
        <v>125527147</v>
      </c>
      <c r="D45" s="765">
        <v>61960269</v>
      </c>
      <c r="E45" s="765">
        <v>150703243</v>
      </c>
      <c r="F45" s="765">
        <v>37269367</v>
      </c>
      <c r="G45" s="765">
        <v>14017774</v>
      </c>
      <c r="H45" s="765">
        <v>50545047</v>
      </c>
      <c r="I45" s="766">
        <v>440022847</v>
      </c>
      <c r="J45" s="765"/>
      <c r="K45" s="765">
        <v>29022363</v>
      </c>
      <c r="L45" s="765">
        <v>24908684</v>
      </c>
      <c r="M45" s="765">
        <v>117688205</v>
      </c>
      <c r="N45" s="765"/>
      <c r="O45" s="766">
        <v>171619252</v>
      </c>
      <c r="P45" s="765"/>
      <c r="Q45" s="765"/>
      <c r="R45" s="765"/>
      <c r="S45" s="766"/>
      <c r="T45" s="765"/>
      <c r="U45" s="766"/>
      <c r="V45" s="765"/>
      <c r="W45" s="766">
        <v>611642099</v>
      </c>
      <c r="X45" s="378"/>
      <c r="Y45" s="180"/>
      <c r="Z45" s="180"/>
      <c r="AA45" s="180"/>
      <c r="AB45" s="180"/>
    </row>
    <row r="46" spans="1:28" s="203" customFormat="1">
      <c r="A46" s="631"/>
      <c r="B46" s="389" t="s">
        <v>4</v>
      </c>
      <c r="C46" s="392">
        <v>126883378</v>
      </c>
      <c r="D46" s="392">
        <v>62087049</v>
      </c>
      <c r="E46" s="392">
        <v>152085798</v>
      </c>
      <c r="F46" s="392">
        <v>37646372</v>
      </c>
      <c r="G46" s="392">
        <v>14156779</v>
      </c>
      <c r="H46" s="392">
        <v>51031091</v>
      </c>
      <c r="I46" s="750">
        <v>443890467</v>
      </c>
      <c r="J46" s="392"/>
      <c r="K46" s="392">
        <v>29023721</v>
      </c>
      <c r="L46" s="392">
        <v>24955435</v>
      </c>
      <c r="M46" s="392">
        <v>117587732</v>
      </c>
      <c r="N46" s="392"/>
      <c r="O46" s="750">
        <v>171566888</v>
      </c>
      <c r="P46" s="392"/>
      <c r="Q46" s="392"/>
      <c r="R46" s="392"/>
      <c r="S46" s="750"/>
      <c r="T46" s="392"/>
      <c r="U46" s="750"/>
      <c r="V46" s="392"/>
      <c r="W46" s="750">
        <v>615457355</v>
      </c>
      <c r="X46" s="378"/>
      <c r="Y46" s="180"/>
      <c r="Z46" s="180"/>
      <c r="AA46" s="180"/>
      <c r="AB46" s="180"/>
    </row>
    <row r="47" spans="1:28" s="202" customFormat="1">
      <c r="A47" s="632"/>
      <c r="B47" s="634" t="s">
        <v>116</v>
      </c>
      <c r="C47" s="466">
        <v>1.080428443100041</v>
      </c>
      <c r="D47" s="466">
        <v>0.2046149928755151</v>
      </c>
      <c r="E47" s="466">
        <v>0.91740228841658034</v>
      </c>
      <c r="F47" s="466">
        <v>1.0115680258266795</v>
      </c>
      <c r="G47" s="466">
        <v>0.9916339070668424</v>
      </c>
      <c r="H47" s="466">
        <v>0.96160559510410581</v>
      </c>
      <c r="I47" s="751">
        <v>0.87895890551337663</v>
      </c>
      <c r="J47" s="466">
        <v>0</v>
      </c>
      <c r="K47" s="466">
        <v>4.6791503503694721E-3</v>
      </c>
      <c r="L47" s="466">
        <v>0.18768956240321649</v>
      </c>
      <c r="M47" s="466">
        <v>-8.537219171623868E-2</v>
      </c>
      <c r="N47" s="466">
        <v>0</v>
      </c>
      <c r="O47" s="751">
        <v>-3.0511728369495516E-2</v>
      </c>
      <c r="P47" s="466">
        <v>0</v>
      </c>
      <c r="Q47" s="466">
        <v>0</v>
      </c>
      <c r="R47" s="466">
        <v>0</v>
      </c>
      <c r="S47" s="751">
        <v>0</v>
      </c>
      <c r="T47" s="466">
        <v>0</v>
      </c>
      <c r="U47" s="751">
        <v>0</v>
      </c>
      <c r="V47" s="466">
        <v>0</v>
      </c>
      <c r="W47" s="751">
        <v>0.62377262883600171</v>
      </c>
      <c r="X47" s="378"/>
      <c r="Y47" s="180"/>
      <c r="Z47" s="180"/>
      <c r="AA47" s="180"/>
      <c r="AB47" s="180"/>
    </row>
    <row r="48" spans="1:28">
      <c r="A48" s="631"/>
      <c r="B48" s="388" t="s">
        <v>195</v>
      </c>
      <c r="C48" s="391">
        <v>83004390</v>
      </c>
      <c r="D48" s="391">
        <v>3588916</v>
      </c>
      <c r="E48" s="391">
        <v>3189081</v>
      </c>
      <c r="F48" s="391">
        <v>210585</v>
      </c>
      <c r="G48" s="391">
        <v>4241340</v>
      </c>
      <c r="H48" s="391">
        <v>0</v>
      </c>
      <c r="I48" s="749">
        <v>94234312</v>
      </c>
      <c r="J48" s="391"/>
      <c r="K48" s="391"/>
      <c r="L48" s="391"/>
      <c r="M48" s="391">
        <v>2139017</v>
      </c>
      <c r="N48" s="391"/>
      <c r="O48" s="749">
        <v>2139017</v>
      </c>
      <c r="P48" s="391"/>
      <c r="Q48" s="391"/>
      <c r="R48" s="391"/>
      <c r="S48" s="749"/>
      <c r="T48" s="391"/>
      <c r="U48" s="749"/>
      <c r="V48" s="391">
        <v>350000</v>
      </c>
      <c r="W48" s="749">
        <v>96723329</v>
      </c>
      <c r="X48" s="378"/>
      <c r="Y48" s="180"/>
      <c r="Z48" s="180"/>
      <c r="AA48" s="180"/>
      <c r="AB48" s="180"/>
    </row>
    <row r="49" spans="1:28" s="203" customFormat="1">
      <c r="A49" s="631"/>
      <c r="B49" s="389" t="s">
        <v>242</v>
      </c>
      <c r="C49" s="392">
        <v>83307208</v>
      </c>
      <c r="D49" s="392">
        <v>4087836</v>
      </c>
      <c r="E49" s="392">
        <v>3181253</v>
      </c>
      <c r="F49" s="392">
        <v>210585</v>
      </c>
      <c r="G49" s="392">
        <v>4227909</v>
      </c>
      <c r="H49" s="392"/>
      <c r="I49" s="750">
        <v>95014791</v>
      </c>
      <c r="J49" s="392"/>
      <c r="K49" s="392"/>
      <c r="L49" s="392"/>
      <c r="M49" s="392">
        <v>2141876</v>
      </c>
      <c r="N49" s="392"/>
      <c r="O49" s="750">
        <v>2141876</v>
      </c>
      <c r="P49" s="392"/>
      <c r="Q49" s="392"/>
      <c r="R49" s="392"/>
      <c r="S49" s="750"/>
      <c r="T49" s="392"/>
      <c r="U49" s="750"/>
      <c r="V49" s="392">
        <v>350000</v>
      </c>
      <c r="W49" s="750">
        <v>97506667</v>
      </c>
      <c r="X49" s="378"/>
      <c r="Y49" s="180"/>
      <c r="Z49" s="180"/>
      <c r="AA49" s="180"/>
      <c r="AB49" s="180"/>
    </row>
    <row r="50" spans="1:28" s="202" customFormat="1">
      <c r="A50" s="631"/>
      <c r="B50" s="634" t="s">
        <v>244</v>
      </c>
      <c r="C50" s="466">
        <v>0.36482166786600079</v>
      </c>
      <c r="D50" s="1461">
        <v>13.901690649767229</v>
      </c>
      <c r="E50" s="466">
        <v>-0.24546256429360058</v>
      </c>
      <c r="F50" s="466">
        <v>0</v>
      </c>
      <c r="G50" s="466">
        <v>-0.31666878863755321</v>
      </c>
      <c r="H50" s="466">
        <v>0</v>
      </c>
      <c r="I50" s="751">
        <v>0.82823228974176621</v>
      </c>
      <c r="J50" s="466">
        <v>0</v>
      </c>
      <c r="K50" s="466">
        <v>0</v>
      </c>
      <c r="L50" s="466">
        <v>0</v>
      </c>
      <c r="M50" s="466">
        <v>0.1336595267826296</v>
      </c>
      <c r="N50" s="466">
        <v>0</v>
      </c>
      <c r="O50" s="751">
        <v>0.1336595267826296</v>
      </c>
      <c r="P50" s="466">
        <v>0</v>
      </c>
      <c r="Q50" s="466">
        <v>0</v>
      </c>
      <c r="R50" s="466">
        <v>0</v>
      </c>
      <c r="S50" s="751">
        <v>0</v>
      </c>
      <c r="T50" s="466">
        <v>0</v>
      </c>
      <c r="U50" s="751">
        <v>0</v>
      </c>
      <c r="V50" s="466">
        <v>0</v>
      </c>
      <c r="W50" s="751">
        <v>0.80987493720361925</v>
      </c>
      <c r="X50" s="378"/>
      <c r="Y50" s="180"/>
      <c r="Z50" s="180"/>
      <c r="AA50" s="180"/>
      <c r="AB50" s="180"/>
    </row>
    <row r="51" spans="1:28">
      <c r="A51" s="631"/>
      <c r="B51" s="388" t="s">
        <v>5</v>
      </c>
      <c r="C51" s="391"/>
      <c r="D51" s="391"/>
      <c r="E51" s="391"/>
      <c r="F51" s="391"/>
      <c r="G51" s="391"/>
      <c r="H51" s="391">
        <v>5654987</v>
      </c>
      <c r="I51" s="749">
        <v>5654987</v>
      </c>
      <c r="J51" s="391"/>
      <c r="K51" s="391">
        <v>5952227</v>
      </c>
      <c r="L51" s="391">
        <v>1779744</v>
      </c>
      <c r="M51" s="391">
        <v>9420391</v>
      </c>
      <c r="N51" s="391"/>
      <c r="O51" s="749">
        <v>17152362</v>
      </c>
      <c r="P51" s="391"/>
      <c r="Q51" s="391"/>
      <c r="R51" s="391"/>
      <c r="S51" s="749"/>
      <c r="T51" s="391"/>
      <c r="U51" s="749"/>
      <c r="V51" s="391"/>
      <c r="W51" s="749">
        <v>22807349</v>
      </c>
      <c r="X51" s="378"/>
      <c r="Y51" s="180"/>
      <c r="Z51" s="180"/>
      <c r="AA51" s="180"/>
      <c r="AB51" s="180"/>
    </row>
    <row r="52" spans="1:28" s="203" customFormat="1">
      <c r="A52" s="631"/>
      <c r="B52" s="389" t="s">
        <v>6</v>
      </c>
      <c r="C52" s="392"/>
      <c r="D52" s="392"/>
      <c r="E52" s="392"/>
      <c r="F52" s="392"/>
      <c r="G52" s="392"/>
      <c r="H52" s="392">
        <v>5600000</v>
      </c>
      <c r="I52" s="750">
        <v>5600000</v>
      </c>
      <c r="J52" s="392"/>
      <c r="K52" s="392">
        <v>5900000</v>
      </c>
      <c r="L52" s="392">
        <v>1700000</v>
      </c>
      <c r="M52" s="392">
        <v>9170000</v>
      </c>
      <c r="N52" s="392"/>
      <c r="O52" s="750">
        <v>16770000</v>
      </c>
      <c r="P52" s="392"/>
      <c r="Q52" s="392"/>
      <c r="R52" s="392"/>
      <c r="S52" s="750"/>
      <c r="T52" s="392"/>
      <c r="U52" s="750"/>
      <c r="V52" s="392"/>
      <c r="W52" s="750">
        <v>22370000</v>
      </c>
      <c r="X52" s="378"/>
      <c r="Y52" s="180"/>
      <c r="Z52" s="180"/>
      <c r="AA52" s="180"/>
      <c r="AB52" s="180"/>
    </row>
    <row r="53" spans="1:28" s="202" customFormat="1">
      <c r="A53" s="631"/>
      <c r="B53" s="634" t="s">
        <v>298</v>
      </c>
      <c r="C53" s="466">
        <v>0</v>
      </c>
      <c r="D53" s="466">
        <v>0</v>
      </c>
      <c r="E53" s="466">
        <v>0</v>
      </c>
      <c r="F53" s="466">
        <v>0</v>
      </c>
      <c r="G53" s="466">
        <v>0</v>
      </c>
      <c r="H53" s="466">
        <v>-0.97236297802276106</v>
      </c>
      <c r="I53" s="751">
        <v>-0.97236297802276106</v>
      </c>
      <c r="J53" s="466">
        <v>0</v>
      </c>
      <c r="K53" s="466">
        <v>-0.87743629401230827</v>
      </c>
      <c r="L53" s="466">
        <v>-4.480644407285542</v>
      </c>
      <c r="M53" s="466">
        <v>-2.6579682308303338</v>
      </c>
      <c r="N53" s="466">
        <v>0</v>
      </c>
      <c r="O53" s="751">
        <v>-2.2292090150615991</v>
      </c>
      <c r="P53" s="466">
        <v>0</v>
      </c>
      <c r="Q53" s="466">
        <v>0</v>
      </c>
      <c r="R53" s="466">
        <v>0</v>
      </c>
      <c r="S53" s="751">
        <v>0</v>
      </c>
      <c r="T53" s="466">
        <v>0</v>
      </c>
      <c r="U53" s="751">
        <v>0</v>
      </c>
      <c r="V53" s="466">
        <v>0</v>
      </c>
      <c r="W53" s="751">
        <v>-1.9175792855188913</v>
      </c>
      <c r="X53" s="378"/>
      <c r="Y53" s="180"/>
      <c r="Z53" s="180"/>
      <c r="AA53" s="180"/>
      <c r="AB53" s="180"/>
    </row>
    <row r="54" spans="1:28">
      <c r="A54" s="631"/>
      <c r="B54" s="388" t="s">
        <v>223</v>
      </c>
      <c r="C54" s="391">
        <v>221553974</v>
      </c>
      <c r="D54" s="391">
        <v>75294685</v>
      </c>
      <c r="E54" s="391">
        <v>222480260</v>
      </c>
      <c r="F54" s="391">
        <v>49108615</v>
      </c>
      <c r="G54" s="391">
        <v>16379821</v>
      </c>
      <c r="H54" s="391">
        <v>46936341</v>
      </c>
      <c r="I54" s="749">
        <v>631753696</v>
      </c>
      <c r="J54" s="391"/>
      <c r="K54" s="391">
        <v>53000328</v>
      </c>
      <c r="L54" s="391">
        <v>17534918</v>
      </c>
      <c r="M54" s="391">
        <v>80246629</v>
      </c>
      <c r="N54" s="391"/>
      <c r="O54" s="749">
        <v>150781875</v>
      </c>
      <c r="P54" s="391"/>
      <c r="Q54" s="391"/>
      <c r="R54" s="391"/>
      <c r="S54" s="749"/>
      <c r="T54" s="391"/>
      <c r="U54" s="749"/>
      <c r="V54" s="391"/>
      <c r="W54" s="749">
        <v>782535571</v>
      </c>
      <c r="X54" s="378"/>
      <c r="Y54" s="180"/>
      <c r="Z54" s="180"/>
      <c r="AA54" s="180"/>
      <c r="AB54" s="180"/>
    </row>
    <row r="55" spans="1:28" s="203" customFormat="1">
      <c r="A55" s="631"/>
      <c r="B55" s="389" t="s">
        <v>14</v>
      </c>
      <c r="C55" s="392">
        <v>185828990</v>
      </c>
      <c r="D55" s="392">
        <v>76818930</v>
      </c>
      <c r="E55" s="392">
        <v>219668625</v>
      </c>
      <c r="F55" s="392">
        <v>47817282</v>
      </c>
      <c r="G55" s="392">
        <v>16755252</v>
      </c>
      <c r="H55" s="392">
        <v>50784073</v>
      </c>
      <c r="I55" s="750">
        <v>597673152</v>
      </c>
      <c r="J55" s="392"/>
      <c r="K55" s="392">
        <v>53809037</v>
      </c>
      <c r="L55" s="392">
        <v>18451312</v>
      </c>
      <c r="M55" s="392">
        <v>74285198</v>
      </c>
      <c r="N55" s="392"/>
      <c r="O55" s="750">
        <v>146545547</v>
      </c>
      <c r="P55" s="392"/>
      <c r="Q55" s="392"/>
      <c r="R55" s="392"/>
      <c r="S55" s="750"/>
      <c r="T55" s="392"/>
      <c r="U55" s="750"/>
      <c r="V55" s="392"/>
      <c r="W55" s="750">
        <v>744218699</v>
      </c>
      <c r="X55" s="378"/>
      <c r="Y55" s="180"/>
      <c r="Z55" s="180"/>
      <c r="AA55" s="180"/>
      <c r="AB55" s="180"/>
    </row>
    <row r="56" spans="1:28" s="202" customFormat="1">
      <c r="A56" s="631"/>
      <c r="B56" s="634" t="s">
        <v>247</v>
      </c>
      <c r="C56" s="1461">
        <v>-16.124731754980843</v>
      </c>
      <c r="D56" s="466">
        <v>2.0243726366608747</v>
      </c>
      <c r="E56" s="466">
        <v>-1.2637683001628999</v>
      </c>
      <c r="F56" s="466">
        <v>-2.6295447346662089</v>
      </c>
      <c r="G56" s="466">
        <v>2.2920335942621106</v>
      </c>
      <c r="H56" s="466">
        <v>8.1977672695023251</v>
      </c>
      <c r="I56" s="751">
        <v>-5.3945935284247231</v>
      </c>
      <c r="J56" s="466">
        <v>0</v>
      </c>
      <c r="K56" s="466">
        <v>1.5258565946988103</v>
      </c>
      <c r="L56" s="466">
        <v>5.2261094120884968</v>
      </c>
      <c r="M56" s="466">
        <v>-7.4288865143481599</v>
      </c>
      <c r="N56" s="466">
        <v>0</v>
      </c>
      <c r="O56" s="751">
        <v>-2.8095737634248148</v>
      </c>
      <c r="P56" s="466">
        <v>0</v>
      </c>
      <c r="Q56" s="466">
        <v>0</v>
      </c>
      <c r="R56" s="466">
        <v>0</v>
      </c>
      <c r="S56" s="751">
        <v>0</v>
      </c>
      <c r="T56" s="466">
        <v>0</v>
      </c>
      <c r="U56" s="751">
        <v>0</v>
      </c>
      <c r="V56" s="466">
        <v>0</v>
      </c>
      <c r="W56" s="751">
        <v>-4.8965022703102141</v>
      </c>
      <c r="X56" s="378"/>
      <c r="Y56" s="180"/>
      <c r="Z56" s="180"/>
      <c r="AA56" s="180"/>
      <c r="AB56" s="180"/>
    </row>
    <row r="57" spans="1:28">
      <c r="A57" s="631"/>
      <c r="B57" s="388" t="s">
        <v>225</v>
      </c>
      <c r="C57" s="391"/>
      <c r="D57" s="391">
        <v>817280</v>
      </c>
      <c r="E57" s="391">
        <v>21632</v>
      </c>
      <c r="F57" s="391">
        <v>2047987.23</v>
      </c>
      <c r="G57" s="391"/>
      <c r="H57" s="391"/>
      <c r="I57" s="749">
        <v>2886899.23</v>
      </c>
      <c r="J57" s="391"/>
      <c r="K57" s="391"/>
      <c r="L57" s="391"/>
      <c r="M57" s="391">
        <v>974086</v>
      </c>
      <c r="N57" s="391"/>
      <c r="O57" s="749">
        <v>974086</v>
      </c>
      <c r="P57" s="391"/>
      <c r="Q57" s="391"/>
      <c r="R57" s="391"/>
      <c r="S57" s="749"/>
      <c r="T57" s="391"/>
      <c r="U57" s="749"/>
      <c r="V57" s="391"/>
      <c r="W57" s="749">
        <v>3860985.23</v>
      </c>
      <c r="X57" s="378"/>
      <c r="Y57" s="180"/>
      <c r="Z57" s="180"/>
      <c r="AA57" s="180"/>
      <c r="AB57" s="180"/>
    </row>
    <row r="58" spans="1:28" s="203" customFormat="1">
      <c r="A58" s="631"/>
      <c r="B58" s="389" t="s">
        <v>166</v>
      </c>
      <c r="C58" s="392"/>
      <c r="D58" s="392"/>
      <c r="E58" s="392"/>
      <c r="F58" s="392"/>
      <c r="G58" s="392"/>
      <c r="H58" s="392"/>
      <c r="I58" s="750"/>
      <c r="J58" s="392"/>
      <c r="K58" s="392"/>
      <c r="L58" s="392"/>
      <c r="M58" s="392"/>
      <c r="N58" s="392"/>
      <c r="O58" s="750"/>
      <c r="P58" s="392"/>
      <c r="Q58" s="392"/>
      <c r="R58" s="392"/>
      <c r="S58" s="750"/>
      <c r="T58" s="392"/>
      <c r="U58" s="750"/>
      <c r="V58" s="392"/>
      <c r="W58" s="750"/>
      <c r="X58" s="378"/>
      <c r="Y58" s="180"/>
      <c r="Z58" s="180"/>
      <c r="AA58" s="180"/>
      <c r="AB58" s="180"/>
    </row>
    <row r="59" spans="1:28" s="202" customFormat="1">
      <c r="A59" s="631"/>
      <c r="B59" s="634" t="s">
        <v>175</v>
      </c>
      <c r="C59" s="466">
        <v>0</v>
      </c>
      <c r="D59" s="1461">
        <v>-100</v>
      </c>
      <c r="E59" s="1461">
        <v>-100</v>
      </c>
      <c r="F59" s="1461">
        <v>-100</v>
      </c>
      <c r="G59" s="466">
        <v>0</v>
      </c>
      <c r="H59" s="466">
        <v>0</v>
      </c>
      <c r="I59" s="751">
        <v>-100</v>
      </c>
      <c r="J59" s="466">
        <v>0</v>
      </c>
      <c r="K59" s="466">
        <v>0</v>
      </c>
      <c r="L59" s="466">
        <v>0</v>
      </c>
      <c r="M59" s="1461">
        <v>-100</v>
      </c>
      <c r="N59" s="466">
        <v>0</v>
      </c>
      <c r="O59" s="751">
        <v>-100</v>
      </c>
      <c r="P59" s="466">
        <v>0</v>
      </c>
      <c r="Q59" s="466">
        <v>0</v>
      </c>
      <c r="R59" s="466">
        <v>0</v>
      </c>
      <c r="S59" s="751">
        <v>0</v>
      </c>
      <c r="T59" s="466">
        <v>0</v>
      </c>
      <c r="U59" s="751">
        <v>0</v>
      </c>
      <c r="V59" s="466">
        <v>0</v>
      </c>
      <c r="W59" s="751">
        <v>-100</v>
      </c>
      <c r="X59" s="378"/>
      <c r="Y59" s="180"/>
      <c r="Z59" s="180"/>
      <c r="AA59" s="180"/>
      <c r="AB59" s="180"/>
    </row>
    <row r="60" spans="1:28">
      <c r="A60" s="631"/>
      <c r="B60" s="752" t="s">
        <v>317</v>
      </c>
      <c r="C60" s="749">
        <v>221553974</v>
      </c>
      <c r="D60" s="749">
        <v>76111965</v>
      </c>
      <c r="E60" s="749">
        <v>222501892</v>
      </c>
      <c r="F60" s="749">
        <v>51156602.230000004</v>
      </c>
      <c r="G60" s="749">
        <v>16379821</v>
      </c>
      <c r="H60" s="749">
        <v>46936341</v>
      </c>
      <c r="I60" s="749">
        <v>634640595.23000002</v>
      </c>
      <c r="J60" s="749"/>
      <c r="K60" s="749">
        <v>53000328</v>
      </c>
      <c r="L60" s="749">
        <v>17534918</v>
      </c>
      <c r="M60" s="749">
        <v>81220715</v>
      </c>
      <c r="N60" s="749"/>
      <c r="O60" s="749">
        <v>151755961</v>
      </c>
      <c r="P60" s="749"/>
      <c r="Q60" s="749"/>
      <c r="R60" s="749"/>
      <c r="S60" s="749"/>
      <c r="T60" s="749">
        <v>0</v>
      </c>
      <c r="U60" s="749">
        <v>0</v>
      </c>
      <c r="V60" s="749">
        <v>0</v>
      </c>
      <c r="W60" s="749">
        <v>786396556.23000002</v>
      </c>
      <c r="X60" s="378"/>
      <c r="Y60" s="180"/>
      <c r="Z60" s="180"/>
      <c r="AA60" s="180"/>
      <c r="AB60" s="180"/>
    </row>
    <row r="61" spans="1:28" s="203" customFormat="1">
      <c r="A61" s="631"/>
      <c r="B61" s="753" t="s">
        <v>70</v>
      </c>
      <c r="C61" s="750">
        <v>185828990</v>
      </c>
      <c r="D61" s="750">
        <v>76818930</v>
      </c>
      <c r="E61" s="750">
        <v>219668625</v>
      </c>
      <c r="F61" s="750">
        <v>47817282</v>
      </c>
      <c r="G61" s="750">
        <v>16755252</v>
      </c>
      <c r="H61" s="750">
        <v>50784073</v>
      </c>
      <c r="I61" s="750">
        <v>597673152</v>
      </c>
      <c r="J61" s="750"/>
      <c r="K61" s="750">
        <v>53809037</v>
      </c>
      <c r="L61" s="750">
        <v>18451312</v>
      </c>
      <c r="M61" s="750">
        <v>74285198</v>
      </c>
      <c r="N61" s="750"/>
      <c r="O61" s="750">
        <v>146545547</v>
      </c>
      <c r="P61" s="750"/>
      <c r="Q61" s="750"/>
      <c r="R61" s="750"/>
      <c r="S61" s="750"/>
      <c r="T61" s="750">
        <v>0</v>
      </c>
      <c r="U61" s="750">
        <v>0</v>
      </c>
      <c r="V61" s="750">
        <v>0</v>
      </c>
      <c r="W61" s="750">
        <v>744218699</v>
      </c>
      <c r="X61" s="378"/>
      <c r="Y61" s="180"/>
      <c r="Z61" s="180"/>
      <c r="AA61" s="180"/>
      <c r="AB61" s="180"/>
    </row>
    <row r="62" spans="1:28" s="202" customFormat="1">
      <c r="A62" s="631"/>
      <c r="B62" s="754" t="s">
        <v>57</v>
      </c>
      <c r="C62" s="751">
        <v>-16.124731754980843</v>
      </c>
      <c r="D62" s="751">
        <v>0.92884870335432812</v>
      </c>
      <c r="E62" s="751">
        <v>-1.27336759904945</v>
      </c>
      <c r="F62" s="751">
        <v>-6.5276427370731653</v>
      </c>
      <c r="G62" s="751">
        <v>2.2920335942621106</v>
      </c>
      <c r="H62" s="751">
        <v>8.1977672695023251</v>
      </c>
      <c r="I62" s="751">
        <v>-5.8249414720472856</v>
      </c>
      <c r="J62" s="751">
        <v>0</v>
      </c>
      <c r="K62" s="751">
        <v>1.5258565946988103</v>
      </c>
      <c r="L62" s="751">
        <v>5.2261094120884968</v>
      </c>
      <c r="M62" s="751">
        <v>-8.5390986769816042</v>
      </c>
      <c r="N62" s="751">
        <v>0</v>
      </c>
      <c r="O62" s="751">
        <v>-3.4334163651073974</v>
      </c>
      <c r="P62" s="751">
        <v>0</v>
      </c>
      <c r="Q62" s="751">
        <v>0</v>
      </c>
      <c r="R62" s="751">
        <v>0</v>
      </c>
      <c r="S62" s="751">
        <v>0</v>
      </c>
      <c r="T62" s="751">
        <v>0</v>
      </c>
      <c r="U62" s="751">
        <v>0</v>
      </c>
      <c r="V62" s="751">
        <v>0</v>
      </c>
      <c r="W62" s="751">
        <v>-5.3634336132143643</v>
      </c>
      <c r="X62" s="378"/>
      <c r="Y62" s="180"/>
      <c r="Z62" s="180"/>
      <c r="AA62" s="180"/>
      <c r="AB62" s="180"/>
    </row>
    <row r="63" spans="1:28">
      <c r="A63" s="631"/>
      <c r="B63" s="388" t="s">
        <v>72</v>
      </c>
      <c r="C63" s="391"/>
      <c r="D63" s="391"/>
      <c r="E63" s="391"/>
      <c r="F63" s="391"/>
      <c r="G63" s="391"/>
      <c r="H63" s="391"/>
      <c r="I63" s="749"/>
      <c r="J63" s="391"/>
      <c r="K63" s="391"/>
      <c r="L63" s="391"/>
      <c r="M63" s="391"/>
      <c r="N63" s="391"/>
      <c r="O63" s="749"/>
      <c r="P63" s="391"/>
      <c r="Q63" s="391"/>
      <c r="R63" s="391"/>
      <c r="S63" s="749"/>
      <c r="T63" s="391"/>
      <c r="U63" s="749"/>
      <c r="V63" s="391">
        <v>150685124</v>
      </c>
      <c r="W63" s="749">
        <v>150685124</v>
      </c>
      <c r="X63" s="378"/>
      <c r="Y63" s="180"/>
      <c r="Z63" s="180"/>
      <c r="AA63" s="180"/>
      <c r="AB63" s="180"/>
    </row>
    <row r="64" spans="1:28" s="203" customFormat="1">
      <c r="A64" s="631"/>
      <c r="B64" s="389" t="s">
        <v>74</v>
      </c>
      <c r="C64" s="392"/>
      <c r="D64" s="392"/>
      <c r="E64" s="392"/>
      <c r="F64" s="392"/>
      <c r="G64" s="392"/>
      <c r="H64" s="392"/>
      <c r="I64" s="750"/>
      <c r="J64" s="392"/>
      <c r="K64" s="392"/>
      <c r="L64" s="392"/>
      <c r="M64" s="392"/>
      <c r="N64" s="392"/>
      <c r="O64" s="750"/>
      <c r="P64" s="392"/>
      <c r="Q64" s="392"/>
      <c r="R64" s="392"/>
      <c r="S64" s="750"/>
      <c r="T64" s="392"/>
      <c r="U64" s="750"/>
      <c r="V64" s="392">
        <v>141143052</v>
      </c>
      <c r="W64" s="750">
        <v>141143052</v>
      </c>
      <c r="X64" s="378"/>
      <c r="Y64" s="180"/>
      <c r="Z64" s="180"/>
      <c r="AA64" s="180"/>
      <c r="AB64" s="180"/>
    </row>
    <row r="65" spans="1:28" s="202" customFormat="1">
      <c r="A65" s="631"/>
      <c r="B65" s="634" t="s">
        <v>76</v>
      </c>
      <c r="C65" s="466">
        <v>0</v>
      </c>
      <c r="D65" s="466">
        <v>0</v>
      </c>
      <c r="E65" s="466">
        <v>0</v>
      </c>
      <c r="F65" s="466">
        <v>0</v>
      </c>
      <c r="G65" s="466">
        <v>0</v>
      </c>
      <c r="H65" s="466">
        <v>0</v>
      </c>
      <c r="I65" s="751">
        <v>0</v>
      </c>
      <c r="J65" s="466">
        <v>0</v>
      </c>
      <c r="K65" s="466">
        <v>0</v>
      </c>
      <c r="L65" s="466">
        <v>0</v>
      </c>
      <c r="M65" s="466">
        <v>0</v>
      </c>
      <c r="N65" s="466">
        <v>0</v>
      </c>
      <c r="O65" s="751">
        <v>0</v>
      </c>
      <c r="P65" s="466">
        <v>0</v>
      </c>
      <c r="Q65" s="466">
        <v>0</v>
      </c>
      <c r="R65" s="466">
        <v>0</v>
      </c>
      <c r="S65" s="751">
        <v>0</v>
      </c>
      <c r="T65" s="466">
        <v>0</v>
      </c>
      <c r="U65" s="751">
        <v>0</v>
      </c>
      <c r="V65" s="466">
        <v>-6.3324578742092683</v>
      </c>
      <c r="W65" s="751">
        <v>-6.3324578742092683</v>
      </c>
      <c r="X65" s="378"/>
      <c r="Y65" s="180"/>
      <c r="Z65" s="180"/>
      <c r="AA65" s="180"/>
      <c r="AB65" s="180"/>
    </row>
    <row r="66" spans="1:28">
      <c r="A66" s="631"/>
      <c r="B66" s="388" t="s">
        <v>240</v>
      </c>
      <c r="C66" s="391"/>
      <c r="D66" s="391"/>
      <c r="E66" s="391"/>
      <c r="F66" s="391"/>
      <c r="G66" s="391"/>
      <c r="H66" s="391"/>
      <c r="I66" s="749"/>
      <c r="J66" s="391"/>
      <c r="K66" s="391"/>
      <c r="L66" s="391"/>
      <c r="M66" s="391"/>
      <c r="N66" s="391"/>
      <c r="O66" s="749"/>
      <c r="P66" s="391"/>
      <c r="Q66" s="391"/>
      <c r="R66" s="391"/>
      <c r="S66" s="749"/>
      <c r="T66" s="391"/>
      <c r="U66" s="749"/>
      <c r="V66" s="391"/>
      <c r="W66" s="749"/>
      <c r="X66" s="378"/>
      <c r="Y66" s="180"/>
      <c r="Z66" s="180"/>
      <c r="AA66" s="180"/>
      <c r="AB66" s="180"/>
    </row>
    <row r="67" spans="1:28" s="203" customFormat="1">
      <c r="A67" s="631"/>
      <c r="B67" s="389" t="s">
        <v>163</v>
      </c>
      <c r="C67" s="392"/>
      <c r="D67" s="392"/>
      <c r="E67" s="392"/>
      <c r="F67" s="392"/>
      <c r="G67" s="392"/>
      <c r="H67" s="392"/>
      <c r="I67" s="750"/>
      <c r="J67" s="392"/>
      <c r="K67" s="392"/>
      <c r="L67" s="392"/>
      <c r="M67" s="392"/>
      <c r="N67" s="392"/>
      <c r="O67" s="750"/>
      <c r="P67" s="392"/>
      <c r="Q67" s="392"/>
      <c r="R67" s="392"/>
      <c r="S67" s="750"/>
      <c r="T67" s="392"/>
      <c r="U67" s="750"/>
      <c r="V67" s="392"/>
      <c r="W67" s="750"/>
      <c r="X67" s="378"/>
      <c r="Y67" s="180"/>
      <c r="Z67" s="180"/>
      <c r="AA67" s="180"/>
      <c r="AB67" s="180"/>
    </row>
    <row r="68" spans="1:28" s="202" customFormat="1">
      <c r="A68" s="631"/>
      <c r="B68" s="634" t="s">
        <v>59</v>
      </c>
      <c r="C68" s="466">
        <v>0</v>
      </c>
      <c r="D68" s="466">
        <v>0</v>
      </c>
      <c r="E68" s="466">
        <v>0</v>
      </c>
      <c r="F68" s="466">
        <v>0</v>
      </c>
      <c r="G68" s="466">
        <v>0</v>
      </c>
      <c r="H68" s="466">
        <v>0</v>
      </c>
      <c r="I68" s="751">
        <v>0</v>
      </c>
      <c r="J68" s="466">
        <v>0</v>
      </c>
      <c r="K68" s="466">
        <v>0</v>
      </c>
      <c r="L68" s="466">
        <v>0</v>
      </c>
      <c r="M68" s="466">
        <v>0</v>
      </c>
      <c r="N68" s="466">
        <v>0</v>
      </c>
      <c r="O68" s="751">
        <v>0</v>
      </c>
      <c r="P68" s="466">
        <v>0</v>
      </c>
      <c r="Q68" s="466">
        <v>0</v>
      </c>
      <c r="R68" s="466">
        <v>0</v>
      </c>
      <c r="S68" s="751">
        <v>0</v>
      </c>
      <c r="T68" s="466">
        <v>0</v>
      </c>
      <c r="U68" s="751">
        <v>0</v>
      </c>
      <c r="V68" s="466">
        <v>0</v>
      </c>
      <c r="W68" s="751">
        <v>0</v>
      </c>
      <c r="X68" s="378"/>
      <c r="Y68" s="180"/>
      <c r="Z68" s="180"/>
      <c r="AA68" s="180"/>
      <c r="AB68" s="180"/>
    </row>
    <row r="69" spans="1:28">
      <c r="A69" s="631"/>
      <c r="B69" s="388" t="s">
        <v>159</v>
      </c>
      <c r="C69" s="391"/>
      <c r="D69" s="391"/>
      <c r="E69" s="391"/>
      <c r="F69" s="391"/>
      <c r="G69" s="391"/>
      <c r="H69" s="391"/>
      <c r="I69" s="749"/>
      <c r="J69" s="391"/>
      <c r="K69" s="391"/>
      <c r="L69" s="391"/>
      <c r="M69" s="391"/>
      <c r="N69" s="391"/>
      <c r="O69" s="749"/>
      <c r="P69" s="391"/>
      <c r="Q69" s="391"/>
      <c r="R69" s="391"/>
      <c r="S69" s="749"/>
      <c r="T69" s="391"/>
      <c r="U69" s="749"/>
      <c r="V69" s="391"/>
      <c r="W69" s="749"/>
      <c r="X69" s="378"/>
      <c r="Y69" s="180"/>
      <c r="Z69" s="180"/>
      <c r="AA69" s="180"/>
      <c r="AB69" s="180"/>
    </row>
    <row r="70" spans="1:28" s="203" customFormat="1">
      <c r="A70" s="631"/>
      <c r="B70" s="389" t="s">
        <v>100</v>
      </c>
      <c r="C70" s="392"/>
      <c r="D70" s="392"/>
      <c r="E70" s="392"/>
      <c r="F70" s="392"/>
      <c r="G70" s="392"/>
      <c r="H70" s="392"/>
      <c r="I70" s="750"/>
      <c r="J70" s="392"/>
      <c r="K70" s="392"/>
      <c r="L70" s="392"/>
      <c r="M70" s="392"/>
      <c r="N70" s="392"/>
      <c r="O70" s="750"/>
      <c r="P70" s="392"/>
      <c r="Q70" s="392"/>
      <c r="R70" s="392"/>
      <c r="S70" s="750"/>
      <c r="T70" s="392"/>
      <c r="U70" s="750"/>
      <c r="V70" s="392"/>
      <c r="W70" s="750"/>
      <c r="X70" s="378"/>
      <c r="Y70" s="180"/>
      <c r="Z70" s="180"/>
      <c r="AA70" s="180"/>
      <c r="AB70" s="180"/>
    </row>
    <row r="71" spans="1:28" s="202" customFormat="1">
      <c r="A71" s="631"/>
      <c r="B71" s="634" t="s">
        <v>110</v>
      </c>
      <c r="C71" s="466">
        <v>0</v>
      </c>
      <c r="D71" s="466">
        <v>0</v>
      </c>
      <c r="E71" s="466">
        <v>0</v>
      </c>
      <c r="F71" s="466">
        <v>0</v>
      </c>
      <c r="G71" s="466">
        <v>0</v>
      </c>
      <c r="H71" s="466">
        <v>0</v>
      </c>
      <c r="I71" s="751">
        <v>0</v>
      </c>
      <c r="J71" s="466">
        <v>0</v>
      </c>
      <c r="K71" s="466">
        <v>0</v>
      </c>
      <c r="L71" s="466">
        <v>0</v>
      </c>
      <c r="M71" s="466">
        <v>0</v>
      </c>
      <c r="N71" s="466">
        <v>0</v>
      </c>
      <c r="O71" s="751">
        <v>0</v>
      </c>
      <c r="P71" s="466">
        <v>0</v>
      </c>
      <c r="Q71" s="466">
        <v>0</v>
      </c>
      <c r="R71" s="466">
        <v>0</v>
      </c>
      <c r="S71" s="751">
        <v>0</v>
      </c>
      <c r="T71" s="466">
        <v>0</v>
      </c>
      <c r="U71" s="751">
        <v>0</v>
      </c>
      <c r="V71" s="466">
        <v>0</v>
      </c>
      <c r="W71" s="751">
        <v>0</v>
      </c>
      <c r="X71" s="378"/>
      <c r="Y71" s="180"/>
      <c r="Z71" s="180"/>
      <c r="AA71" s="180"/>
      <c r="AB71" s="180"/>
    </row>
    <row r="72" spans="1:28">
      <c r="A72" s="631"/>
      <c r="B72" s="388" t="s">
        <v>161</v>
      </c>
      <c r="C72" s="391">
        <v>0</v>
      </c>
      <c r="D72" s="391">
        <v>0</v>
      </c>
      <c r="E72" s="391">
        <v>0</v>
      </c>
      <c r="F72" s="391">
        <v>0</v>
      </c>
      <c r="G72" s="391">
        <v>0</v>
      </c>
      <c r="H72" s="391">
        <v>0</v>
      </c>
      <c r="I72" s="749">
        <v>0</v>
      </c>
      <c r="J72" s="391"/>
      <c r="K72" s="391">
        <v>0</v>
      </c>
      <c r="L72" s="391">
        <v>0</v>
      </c>
      <c r="M72" s="391">
        <v>0</v>
      </c>
      <c r="N72" s="391"/>
      <c r="O72" s="749">
        <v>0</v>
      </c>
      <c r="P72" s="391"/>
      <c r="Q72" s="391"/>
      <c r="R72" s="391"/>
      <c r="S72" s="749"/>
      <c r="T72" s="391">
        <v>0</v>
      </c>
      <c r="U72" s="749">
        <v>0</v>
      </c>
      <c r="V72" s="391">
        <v>0</v>
      </c>
      <c r="W72" s="749">
        <v>0</v>
      </c>
      <c r="X72" s="378"/>
      <c r="Y72" s="180"/>
      <c r="Z72" s="180"/>
      <c r="AA72" s="180"/>
      <c r="AB72" s="180"/>
    </row>
    <row r="73" spans="1:28" s="203" customFormat="1">
      <c r="A73" s="631"/>
      <c r="B73" s="389" t="s">
        <v>102</v>
      </c>
      <c r="C73" s="392">
        <v>0</v>
      </c>
      <c r="D73" s="392">
        <v>0</v>
      </c>
      <c r="E73" s="392">
        <v>0</v>
      </c>
      <c r="F73" s="392">
        <v>0</v>
      </c>
      <c r="G73" s="392">
        <v>0</v>
      </c>
      <c r="H73" s="392">
        <v>0</v>
      </c>
      <c r="I73" s="750">
        <v>0</v>
      </c>
      <c r="J73" s="392"/>
      <c r="K73" s="392">
        <v>0</v>
      </c>
      <c r="L73" s="392">
        <v>0</v>
      </c>
      <c r="M73" s="392">
        <v>0</v>
      </c>
      <c r="N73" s="392"/>
      <c r="O73" s="750">
        <v>0</v>
      </c>
      <c r="P73" s="392"/>
      <c r="Q73" s="392"/>
      <c r="R73" s="392"/>
      <c r="S73" s="750"/>
      <c r="T73" s="392">
        <v>0</v>
      </c>
      <c r="U73" s="750">
        <v>0</v>
      </c>
      <c r="V73" s="392">
        <v>0</v>
      </c>
      <c r="W73" s="750">
        <v>0</v>
      </c>
      <c r="X73" s="378"/>
      <c r="Y73" s="180"/>
      <c r="Z73" s="180"/>
      <c r="AA73" s="180"/>
      <c r="AB73" s="180"/>
    </row>
    <row r="74" spans="1:28" s="202" customFormat="1">
      <c r="A74" s="631"/>
      <c r="B74" s="634" t="s">
        <v>183</v>
      </c>
      <c r="C74" s="466">
        <v>0</v>
      </c>
      <c r="D74" s="466">
        <v>0</v>
      </c>
      <c r="E74" s="466">
        <v>0</v>
      </c>
      <c r="F74" s="466">
        <v>0</v>
      </c>
      <c r="G74" s="466">
        <v>0</v>
      </c>
      <c r="H74" s="466">
        <v>0</v>
      </c>
      <c r="I74" s="751">
        <v>0</v>
      </c>
      <c r="J74" s="466">
        <v>0</v>
      </c>
      <c r="K74" s="466">
        <v>0</v>
      </c>
      <c r="L74" s="466">
        <v>0</v>
      </c>
      <c r="M74" s="466">
        <v>0</v>
      </c>
      <c r="N74" s="466">
        <v>0</v>
      </c>
      <c r="O74" s="751">
        <v>0</v>
      </c>
      <c r="P74" s="466">
        <v>0</v>
      </c>
      <c r="Q74" s="466">
        <v>0</v>
      </c>
      <c r="R74" s="466">
        <v>0</v>
      </c>
      <c r="S74" s="751">
        <v>0</v>
      </c>
      <c r="T74" s="466">
        <v>0</v>
      </c>
      <c r="U74" s="751">
        <v>0</v>
      </c>
      <c r="V74" s="466">
        <v>0</v>
      </c>
      <c r="W74" s="751">
        <v>0</v>
      </c>
      <c r="X74" s="378"/>
      <c r="Y74" s="180"/>
      <c r="Z74" s="180"/>
      <c r="AA74" s="180"/>
      <c r="AB74" s="180"/>
    </row>
    <row r="75" spans="1:28">
      <c r="A75" s="631"/>
      <c r="B75" s="388" t="s">
        <v>78</v>
      </c>
      <c r="C75" s="391"/>
      <c r="D75" s="391"/>
      <c r="E75" s="391"/>
      <c r="F75" s="391"/>
      <c r="G75" s="391"/>
      <c r="H75" s="391"/>
      <c r="I75" s="749"/>
      <c r="J75" s="391"/>
      <c r="K75" s="391"/>
      <c r="L75" s="391"/>
      <c r="M75" s="391"/>
      <c r="N75" s="391"/>
      <c r="O75" s="749"/>
      <c r="P75" s="391"/>
      <c r="Q75" s="391"/>
      <c r="R75" s="391"/>
      <c r="S75" s="749"/>
      <c r="T75" s="391">
        <v>112144733</v>
      </c>
      <c r="U75" s="749">
        <v>112144733</v>
      </c>
      <c r="V75" s="391"/>
      <c r="W75" s="749">
        <v>112144733</v>
      </c>
      <c r="X75" s="378"/>
      <c r="Y75" s="180"/>
      <c r="Z75" s="180"/>
      <c r="AA75" s="180"/>
      <c r="AB75" s="180"/>
    </row>
    <row r="76" spans="1:28" s="203" customFormat="1">
      <c r="A76" s="631"/>
      <c r="B76" s="389" t="s">
        <v>80</v>
      </c>
      <c r="C76" s="392"/>
      <c r="D76" s="392"/>
      <c r="E76" s="392"/>
      <c r="F76" s="392"/>
      <c r="G76" s="392"/>
      <c r="H76" s="392"/>
      <c r="I76" s="750"/>
      <c r="J76" s="392"/>
      <c r="K76" s="392"/>
      <c r="L76" s="392"/>
      <c r="M76" s="392"/>
      <c r="N76" s="392"/>
      <c r="O76" s="750"/>
      <c r="P76" s="392"/>
      <c r="Q76" s="392"/>
      <c r="R76" s="392"/>
      <c r="S76" s="750"/>
      <c r="T76" s="392">
        <v>104768445</v>
      </c>
      <c r="U76" s="750">
        <v>104768445</v>
      </c>
      <c r="V76" s="392"/>
      <c r="W76" s="750">
        <v>104768445</v>
      </c>
      <c r="X76" s="378"/>
      <c r="Y76" s="180"/>
      <c r="Z76" s="180"/>
      <c r="AA76" s="180"/>
      <c r="AB76" s="180"/>
    </row>
    <row r="77" spans="1:28" s="202" customFormat="1">
      <c r="A77" s="631"/>
      <c r="B77" s="634" t="s">
        <v>215</v>
      </c>
      <c r="C77" s="466">
        <v>0</v>
      </c>
      <c r="D77" s="466">
        <v>0</v>
      </c>
      <c r="E77" s="466">
        <v>0</v>
      </c>
      <c r="F77" s="466">
        <v>0</v>
      </c>
      <c r="G77" s="466">
        <v>0</v>
      </c>
      <c r="H77" s="466">
        <v>0</v>
      </c>
      <c r="I77" s="751">
        <v>0</v>
      </c>
      <c r="J77" s="466">
        <v>0</v>
      </c>
      <c r="K77" s="466">
        <v>0</v>
      </c>
      <c r="L77" s="466">
        <v>0</v>
      </c>
      <c r="M77" s="466">
        <v>0</v>
      </c>
      <c r="N77" s="466">
        <v>0</v>
      </c>
      <c r="O77" s="751">
        <v>0</v>
      </c>
      <c r="P77" s="466">
        <v>0</v>
      </c>
      <c r="Q77" s="466">
        <v>0</v>
      </c>
      <c r="R77" s="466">
        <v>0</v>
      </c>
      <c r="S77" s="751">
        <v>0</v>
      </c>
      <c r="T77" s="466">
        <v>-6.5774716321273869</v>
      </c>
      <c r="U77" s="751">
        <v>-6.5774716321273869</v>
      </c>
      <c r="V77" s="466">
        <v>0</v>
      </c>
      <c r="W77" s="751">
        <v>-6.5774716321273869</v>
      </c>
      <c r="X77" s="378"/>
      <c r="Y77" s="180"/>
      <c r="Z77" s="180"/>
      <c r="AA77" s="180"/>
      <c r="AB77" s="180"/>
    </row>
    <row r="78" spans="1:28">
      <c r="A78" s="631"/>
      <c r="B78" s="388" t="s">
        <v>81</v>
      </c>
      <c r="C78" s="391"/>
      <c r="D78" s="391"/>
      <c r="E78" s="391"/>
      <c r="F78" s="391"/>
      <c r="G78" s="391"/>
      <c r="H78" s="391"/>
      <c r="I78" s="749"/>
      <c r="J78" s="391"/>
      <c r="K78" s="391"/>
      <c r="L78" s="391"/>
      <c r="M78" s="391"/>
      <c r="N78" s="391"/>
      <c r="O78" s="749"/>
      <c r="P78" s="391"/>
      <c r="Q78" s="391"/>
      <c r="R78" s="391"/>
      <c r="S78" s="749"/>
      <c r="T78" s="391">
        <v>32220221</v>
      </c>
      <c r="U78" s="749">
        <v>32220221</v>
      </c>
      <c r="V78" s="391"/>
      <c r="W78" s="749">
        <v>32220221</v>
      </c>
      <c r="X78" s="378"/>
      <c r="Y78" s="180"/>
      <c r="Z78" s="180"/>
      <c r="AA78" s="180"/>
      <c r="AB78" s="180"/>
    </row>
    <row r="79" spans="1:28" s="203" customFormat="1">
      <c r="A79" s="631"/>
      <c r="B79" s="389" t="s">
        <v>318</v>
      </c>
      <c r="C79" s="392"/>
      <c r="D79" s="392"/>
      <c r="E79" s="392"/>
      <c r="F79" s="392"/>
      <c r="G79" s="392"/>
      <c r="H79" s="392"/>
      <c r="I79" s="750"/>
      <c r="J79" s="392"/>
      <c r="K79" s="392"/>
      <c r="L79" s="392"/>
      <c r="M79" s="392"/>
      <c r="N79" s="392"/>
      <c r="O79" s="750"/>
      <c r="P79" s="392"/>
      <c r="Q79" s="392"/>
      <c r="R79" s="392"/>
      <c r="S79" s="750"/>
      <c r="T79" s="392">
        <v>38152028</v>
      </c>
      <c r="U79" s="750">
        <v>38152028</v>
      </c>
      <c r="V79" s="392"/>
      <c r="W79" s="750">
        <v>38152028</v>
      </c>
      <c r="X79" s="378"/>
      <c r="Y79" s="180"/>
      <c r="Z79" s="180"/>
      <c r="AA79" s="180"/>
      <c r="AB79" s="180"/>
    </row>
    <row r="80" spans="1:28" s="202" customFormat="1">
      <c r="A80" s="631"/>
      <c r="B80" s="634" t="s">
        <v>236</v>
      </c>
      <c r="C80" s="466">
        <v>0</v>
      </c>
      <c r="D80" s="466">
        <v>0</v>
      </c>
      <c r="E80" s="466">
        <v>0</v>
      </c>
      <c r="F80" s="466">
        <v>0</v>
      </c>
      <c r="G80" s="466">
        <v>0</v>
      </c>
      <c r="H80" s="466">
        <v>0</v>
      </c>
      <c r="I80" s="751">
        <v>0</v>
      </c>
      <c r="J80" s="466">
        <v>0</v>
      </c>
      <c r="K80" s="466">
        <v>0</v>
      </c>
      <c r="L80" s="466">
        <v>0</v>
      </c>
      <c r="M80" s="466">
        <v>0</v>
      </c>
      <c r="N80" s="466">
        <v>0</v>
      </c>
      <c r="O80" s="751">
        <v>0</v>
      </c>
      <c r="P80" s="466">
        <v>0</v>
      </c>
      <c r="Q80" s="466">
        <v>0</v>
      </c>
      <c r="R80" s="466">
        <v>0</v>
      </c>
      <c r="S80" s="751">
        <v>0</v>
      </c>
      <c r="T80" s="1461">
        <v>18.410199607259056</v>
      </c>
      <c r="U80" s="751">
        <v>18.410199607259056</v>
      </c>
      <c r="V80" s="466">
        <v>0</v>
      </c>
      <c r="W80" s="751">
        <v>18.410199607259056</v>
      </c>
      <c r="X80" s="378"/>
      <c r="Y80" s="180"/>
      <c r="Z80" s="180"/>
      <c r="AA80" s="180"/>
      <c r="AB80" s="180"/>
    </row>
    <row r="81" spans="1:28">
      <c r="A81" s="631"/>
      <c r="B81" s="388" t="s">
        <v>19</v>
      </c>
      <c r="C81" s="391">
        <v>430085511</v>
      </c>
      <c r="D81" s="391">
        <v>140843870</v>
      </c>
      <c r="E81" s="391">
        <v>376372584</v>
      </c>
      <c r="F81" s="391">
        <v>86588567</v>
      </c>
      <c r="G81" s="391">
        <v>34638935</v>
      </c>
      <c r="H81" s="391">
        <v>103136375</v>
      </c>
      <c r="I81" s="749">
        <v>1171665842</v>
      </c>
      <c r="J81" s="391"/>
      <c r="K81" s="391">
        <v>87974918</v>
      </c>
      <c r="L81" s="391">
        <v>44223346</v>
      </c>
      <c r="M81" s="391">
        <v>209494242</v>
      </c>
      <c r="N81" s="391"/>
      <c r="O81" s="749">
        <v>341692506</v>
      </c>
      <c r="P81" s="391"/>
      <c r="Q81" s="391"/>
      <c r="R81" s="391"/>
      <c r="S81" s="749"/>
      <c r="T81" s="391">
        <v>0</v>
      </c>
      <c r="U81" s="749">
        <v>0</v>
      </c>
      <c r="V81" s="391">
        <v>350000</v>
      </c>
      <c r="W81" s="749">
        <v>1513708348</v>
      </c>
      <c r="X81" s="378"/>
      <c r="Y81" s="180"/>
      <c r="Z81" s="180"/>
      <c r="AA81" s="180"/>
      <c r="AB81" s="180"/>
    </row>
    <row r="82" spans="1:28" s="203" customFormat="1">
      <c r="A82" s="631"/>
      <c r="B82" s="389" t="s">
        <v>21</v>
      </c>
      <c r="C82" s="392">
        <v>396019576</v>
      </c>
      <c r="D82" s="392">
        <v>142993815</v>
      </c>
      <c r="E82" s="392">
        <v>374935676</v>
      </c>
      <c r="F82" s="392">
        <v>85674239</v>
      </c>
      <c r="G82" s="392">
        <v>35139940</v>
      </c>
      <c r="H82" s="392">
        <v>107415164</v>
      </c>
      <c r="I82" s="750">
        <v>1142178410</v>
      </c>
      <c r="J82" s="392"/>
      <c r="K82" s="392">
        <v>88732758</v>
      </c>
      <c r="L82" s="392">
        <v>45106747</v>
      </c>
      <c r="M82" s="392">
        <v>203184806</v>
      </c>
      <c r="N82" s="392"/>
      <c r="O82" s="750">
        <v>337024311</v>
      </c>
      <c r="P82" s="392"/>
      <c r="Q82" s="392"/>
      <c r="R82" s="392"/>
      <c r="S82" s="750"/>
      <c r="T82" s="392">
        <v>0</v>
      </c>
      <c r="U82" s="750">
        <v>0</v>
      </c>
      <c r="V82" s="392">
        <v>350000</v>
      </c>
      <c r="W82" s="750">
        <v>1479552721</v>
      </c>
      <c r="X82" s="378"/>
      <c r="Y82" s="180"/>
      <c r="Z82" s="180"/>
      <c r="AA82" s="180"/>
      <c r="AB82" s="180"/>
    </row>
    <row r="83" spans="1:28" s="212" customFormat="1" ht="13.5" thickBot="1">
      <c r="A83" s="635"/>
      <c r="B83" s="761" t="s">
        <v>23</v>
      </c>
      <c r="C83" s="762">
        <v>-7.9207353255850554</v>
      </c>
      <c r="D83" s="762">
        <v>1.5264739601375623</v>
      </c>
      <c r="E83" s="762">
        <v>-0.38177807339973518</v>
      </c>
      <c r="F83" s="762">
        <v>-1.0559454113612943</v>
      </c>
      <c r="G83" s="762">
        <v>1.4463637522342994</v>
      </c>
      <c r="H83" s="762">
        <v>4.148671116276871</v>
      </c>
      <c r="I83" s="763">
        <v>-2.5167100501680411</v>
      </c>
      <c r="J83" s="762">
        <v>0</v>
      </c>
      <c r="K83" s="762">
        <v>0.86142734455291003</v>
      </c>
      <c r="L83" s="762">
        <v>1.997589689391662</v>
      </c>
      <c r="M83" s="762">
        <v>-3.0117467381275329</v>
      </c>
      <c r="N83" s="762">
        <v>0</v>
      </c>
      <c r="O83" s="763">
        <v>-1.3661976537466116</v>
      </c>
      <c r="P83" s="762">
        <v>0</v>
      </c>
      <c r="Q83" s="762">
        <v>0</v>
      </c>
      <c r="R83" s="762">
        <v>0</v>
      </c>
      <c r="S83" s="763">
        <v>0</v>
      </c>
      <c r="T83" s="762">
        <v>0</v>
      </c>
      <c r="U83" s="763">
        <v>0</v>
      </c>
      <c r="V83" s="762">
        <v>0</v>
      </c>
      <c r="W83" s="763">
        <v>-2.2564206007800918</v>
      </c>
      <c r="X83" s="378"/>
      <c r="Y83" s="180"/>
      <c r="Z83" s="180"/>
      <c r="AA83" s="180"/>
      <c r="AB83" s="180"/>
    </row>
    <row r="84" spans="1:28" ht="13.5" thickTop="1">
      <c r="A84" s="230" t="s">
        <v>148</v>
      </c>
      <c r="B84" s="764" t="s">
        <v>190</v>
      </c>
      <c r="C84" s="765">
        <v>115946300</v>
      </c>
      <c r="D84" s="765"/>
      <c r="E84" s="765">
        <v>34327800</v>
      </c>
      <c r="F84" s="765"/>
      <c r="G84" s="765"/>
      <c r="H84" s="765"/>
      <c r="I84" s="766">
        <v>150274100</v>
      </c>
      <c r="J84" s="765"/>
      <c r="K84" s="765">
        <v>30761700</v>
      </c>
      <c r="L84" s="765">
        <v>30867700</v>
      </c>
      <c r="M84" s="765"/>
      <c r="N84" s="765"/>
      <c r="O84" s="766">
        <v>61629400</v>
      </c>
      <c r="P84" s="765"/>
      <c r="Q84" s="765"/>
      <c r="R84" s="765"/>
      <c r="S84" s="766"/>
      <c r="T84" s="765"/>
      <c r="U84" s="766"/>
      <c r="V84" s="765"/>
      <c r="W84" s="766">
        <v>211903500</v>
      </c>
      <c r="X84" s="378"/>
      <c r="Y84" s="180"/>
      <c r="Z84" s="180"/>
      <c r="AA84" s="180"/>
      <c r="AB84" s="180"/>
    </row>
    <row r="85" spans="1:28" s="203" customFormat="1">
      <c r="A85" s="631"/>
      <c r="B85" s="389" t="s">
        <v>4</v>
      </c>
      <c r="C85" s="392">
        <v>113778000</v>
      </c>
      <c r="D85" s="392"/>
      <c r="E85" s="392">
        <v>34562700</v>
      </c>
      <c r="F85" s="392"/>
      <c r="G85" s="392"/>
      <c r="H85" s="392"/>
      <c r="I85" s="750">
        <v>148340700</v>
      </c>
      <c r="J85" s="392"/>
      <c r="K85" s="392">
        <v>32458300</v>
      </c>
      <c r="L85" s="392">
        <v>32785400</v>
      </c>
      <c r="M85" s="392"/>
      <c r="N85" s="392"/>
      <c r="O85" s="750">
        <v>65243700</v>
      </c>
      <c r="P85" s="392"/>
      <c r="Q85" s="392"/>
      <c r="R85" s="392"/>
      <c r="S85" s="750"/>
      <c r="T85" s="392"/>
      <c r="U85" s="750"/>
      <c r="V85" s="392"/>
      <c r="W85" s="750">
        <v>213584400</v>
      </c>
      <c r="X85" s="378"/>
      <c r="Y85" s="180"/>
      <c r="Z85" s="180"/>
      <c r="AA85" s="180"/>
      <c r="AB85" s="180"/>
    </row>
    <row r="86" spans="1:28" s="202" customFormat="1">
      <c r="A86" s="632"/>
      <c r="B86" s="634" t="s">
        <v>116</v>
      </c>
      <c r="C86" s="466">
        <v>-1.8700898605647616</v>
      </c>
      <c r="D86" s="466">
        <v>0</v>
      </c>
      <c r="E86" s="466">
        <v>0.68428504011326097</v>
      </c>
      <c r="F86" s="466">
        <v>0</v>
      </c>
      <c r="G86" s="466">
        <v>0</v>
      </c>
      <c r="H86" s="466">
        <v>0</v>
      </c>
      <c r="I86" s="751">
        <v>-1.2865823185765213</v>
      </c>
      <c r="J86" s="466">
        <v>0</v>
      </c>
      <c r="K86" s="466">
        <v>5.515299869643095</v>
      </c>
      <c r="L86" s="466">
        <v>6.2126429892735775</v>
      </c>
      <c r="M86" s="466">
        <v>0</v>
      </c>
      <c r="N86" s="466">
        <v>0</v>
      </c>
      <c r="O86" s="751">
        <v>5.8645711300126235</v>
      </c>
      <c r="P86" s="466">
        <v>0</v>
      </c>
      <c r="Q86" s="466">
        <v>0</v>
      </c>
      <c r="R86" s="466">
        <v>0</v>
      </c>
      <c r="S86" s="751">
        <v>0</v>
      </c>
      <c r="T86" s="466">
        <v>0</v>
      </c>
      <c r="U86" s="751">
        <v>0</v>
      </c>
      <c r="V86" s="466">
        <v>0</v>
      </c>
      <c r="W86" s="751">
        <v>0.79323843164459296</v>
      </c>
      <c r="X86" s="378"/>
      <c r="Y86" s="180"/>
      <c r="Z86" s="180"/>
      <c r="AA86" s="180"/>
      <c r="AB86" s="180"/>
    </row>
    <row r="87" spans="1:28">
      <c r="A87" s="631"/>
      <c r="B87" s="388" t="s">
        <v>195</v>
      </c>
      <c r="C87" s="391">
        <v>6344461</v>
      </c>
      <c r="D87" s="391"/>
      <c r="E87" s="391"/>
      <c r="F87" s="391"/>
      <c r="G87" s="391"/>
      <c r="H87" s="391"/>
      <c r="I87" s="749">
        <v>6344461</v>
      </c>
      <c r="J87" s="391"/>
      <c r="K87" s="391"/>
      <c r="L87" s="391"/>
      <c r="M87" s="391"/>
      <c r="N87" s="391"/>
      <c r="O87" s="749"/>
      <c r="P87" s="391"/>
      <c r="Q87" s="391"/>
      <c r="R87" s="391"/>
      <c r="S87" s="749"/>
      <c r="T87" s="391"/>
      <c r="U87" s="749"/>
      <c r="V87" s="391">
        <v>1918000</v>
      </c>
      <c r="W87" s="749">
        <v>8262461</v>
      </c>
      <c r="X87" s="378"/>
      <c r="Y87" s="180"/>
      <c r="Z87" s="180"/>
      <c r="AA87" s="180"/>
      <c r="AB87" s="180"/>
    </row>
    <row r="88" spans="1:28" s="203" customFormat="1">
      <c r="A88" s="631"/>
      <c r="B88" s="389" t="s">
        <v>242</v>
      </c>
      <c r="C88" s="392">
        <v>6430356</v>
      </c>
      <c r="D88" s="392"/>
      <c r="E88" s="392"/>
      <c r="F88" s="392"/>
      <c r="G88" s="392"/>
      <c r="H88" s="392"/>
      <c r="I88" s="750">
        <v>6430356</v>
      </c>
      <c r="J88" s="392"/>
      <c r="K88" s="392"/>
      <c r="L88" s="392"/>
      <c r="M88" s="392"/>
      <c r="N88" s="392"/>
      <c r="O88" s="750"/>
      <c r="P88" s="392"/>
      <c r="Q88" s="392"/>
      <c r="R88" s="392"/>
      <c r="S88" s="750"/>
      <c r="T88" s="392"/>
      <c r="U88" s="750"/>
      <c r="V88" s="392">
        <v>1918000</v>
      </c>
      <c r="W88" s="750">
        <v>8348356</v>
      </c>
      <c r="X88" s="378"/>
      <c r="Y88" s="180"/>
      <c r="Z88" s="180"/>
      <c r="AA88" s="180"/>
      <c r="AB88" s="180"/>
    </row>
    <row r="89" spans="1:28" s="202" customFormat="1">
      <c r="A89" s="631"/>
      <c r="B89" s="634" t="s">
        <v>244</v>
      </c>
      <c r="C89" s="466">
        <v>1.3538581134000194</v>
      </c>
      <c r="D89" s="466">
        <v>0</v>
      </c>
      <c r="E89" s="466">
        <v>0</v>
      </c>
      <c r="F89" s="466">
        <v>0</v>
      </c>
      <c r="G89" s="466">
        <v>0</v>
      </c>
      <c r="H89" s="466">
        <v>0</v>
      </c>
      <c r="I89" s="751">
        <v>1.3538581134000194</v>
      </c>
      <c r="J89" s="466">
        <v>0</v>
      </c>
      <c r="K89" s="466">
        <v>0</v>
      </c>
      <c r="L89" s="466">
        <v>0</v>
      </c>
      <c r="M89" s="466">
        <v>0</v>
      </c>
      <c r="N89" s="466">
        <v>0</v>
      </c>
      <c r="O89" s="751">
        <v>0</v>
      </c>
      <c r="P89" s="466">
        <v>0</v>
      </c>
      <c r="Q89" s="466">
        <v>0</v>
      </c>
      <c r="R89" s="466">
        <v>0</v>
      </c>
      <c r="S89" s="751">
        <v>0</v>
      </c>
      <c r="T89" s="466">
        <v>0</v>
      </c>
      <c r="U89" s="751">
        <v>0</v>
      </c>
      <c r="V89" s="466">
        <v>0</v>
      </c>
      <c r="W89" s="751">
        <v>1.0395813063444415</v>
      </c>
      <c r="X89" s="378"/>
      <c r="Y89" s="180"/>
      <c r="Z89" s="180"/>
      <c r="AA89" s="180"/>
      <c r="AB89" s="180"/>
    </row>
    <row r="90" spans="1:28">
      <c r="A90" s="631"/>
      <c r="B90" s="388" t="s">
        <v>5</v>
      </c>
      <c r="C90" s="391"/>
      <c r="D90" s="391"/>
      <c r="E90" s="391"/>
      <c r="F90" s="391"/>
      <c r="G90" s="391"/>
      <c r="H90" s="391"/>
      <c r="I90" s="749"/>
      <c r="J90" s="391"/>
      <c r="K90" s="391"/>
      <c r="L90" s="391"/>
      <c r="M90" s="391"/>
      <c r="N90" s="391"/>
      <c r="O90" s="749"/>
      <c r="P90" s="391"/>
      <c r="Q90" s="391"/>
      <c r="R90" s="391"/>
      <c r="S90" s="749"/>
      <c r="T90" s="391"/>
      <c r="U90" s="749"/>
      <c r="V90" s="391"/>
      <c r="W90" s="749"/>
      <c r="X90" s="378"/>
      <c r="Y90" s="180"/>
      <c r="Z90" s="180"/>
      <c r="AA90" s="180"/>
      <c r="AB90" s="180"/>
    </row>
    <row r="91" spans="1:28" s="203" customFormat="1">
      <c r="A91" s="631"/>
      <c r="B91" s="389" t="s">
        <v>6</v>
      </c>
      <c r="C91" s="392"/>
      <c r="D91" s="392"/>
      <c r="E91" s="392"/>
      <c r="F91" s="392"/>
      <c r="G91" s="392"/>
      <c r="H91" s="392"/>
      <c r="I91" s="750"/>
      <c r="J91" s="392"/>
      <c r="K91" s="392"/>
      <c r="L91" s="392"/>
      <c r="M91" s="392"/>
      <c r="N91" s="392"/>
      <c r="O91" s="750"/>
      <c r="P91" s="392"/>
      <c r="Q91" s="392"/>
      <c r="R91" s="392"/>
      <c r="S91" s="750"/>
      <c r="T91" s="392"/>
      <c r="U91" s="750"/>
      <c r="V91" s="392"/>
      <c r="W91" s="750"/>
      <c r="X91" s="378"/>
      <c r="Y91" s="180"/>
      <c r="Z91" s="180"/>
      <c r="AA91" s="180"/>
      <c r="AB91" s="180"/>
    </row>
    <row r="92" spans="1:28" s="202" customFormat="1">
      <c r="A92" s="631"/>
      <c r="B92" s="634" t="s">
        <v>298</v>
      </c>
      <c r="C92" s="466">
        <v>0</v>
      </c>
      <c r="D92" s="466">
        <v>0</v>
      </c>
      <c r="E92" s="466">
        <v>0</v>
      </c>
      <c r="F92" s="466">
        <v>0</v>
      </c>
      <c r="G92" s="466">
        <v>0</v>
      </c>
      <c r="H92" s="466">
        <v>0</v>
      </c>
      <c r="I92" s="751">
        <v>0</v>
      </c>
      <c r="J92" s="466">
        <v>0</v>
      </c>
      <c r="K92" s="466">
        <v>0</v>
      </c>
      <c r="L92" s="466">
        <v>0</v>
      </c>
      <c r="M92" s="466">
        <v>0</v>
      </c>
      <c r="N92" s="466">
        <v>0</v>
      </c>
      <c r="O92" s="751">
        <v>0</v>
      </c>
      <c r="P92" s="466">
        <v>0</v>
      </c>
      <c r="Q92" s="466">
        <v>0</v>
      </c>
      <c r="R92" s="466">
        <v>0</v>
      </c>
      <c r="S92" s="751">
        <v>0</v>
      </c>
      <c r="T92" s="466">
        <v>0</v>
      </c>
      <c r="U92" s="751">
        <v>0</v>
      </c>
      <c r="V92" s="466">
        <v>0</v>
      </c>
      <c r="W92" s="751">
        <v>0</v>
      </c>
      <c r="X92" s="378"/>
      <c r="Y92" s="180"/>
      <c r="Z92" s="180"/>
      <c r="AA92" s="180"/>
      <c r="AB92" s="180"/>
    </row>
    <row r="93" spans="1:28">
      <c r="A93" s="631"/>
      <c r="B93" s="388" t="s">
        <v>223</v>
      </c>
      <c r="C93" s="391">
        <v>510269870</v>
      </c>
      <c r="D93" s="391"/>
      <c r="E93" s="391">
        <v>49098421</v>
      </c>
      <c r="F93" s="391"/>
      <c r="G93" s="391"/>
      <c r="H93" s="391"/>
      <c r="I93" s="749">
        <v>559368291</v>
      </c>
      <c r="J93" s="391"/>
      <c r="K93" s="391">
        <v>23638600</v>
      </c>
      <c r="L93" s="391">
        <v>24577800</v>
      </c>
      <c r="M93" s="391"/>
      <c r="N93" s="391"/>
      <c r="O93" s="749">
        <v>48216400</v>
      </c>
      <c r="P93" s="391"/>
      <c r="Q93" s="391"/>
      <c r="R93" s="391"/>
      <c r="S93" s="749"/>
      <c r="T93" s="391"/>
      <c r="U93" s="749"/>
      <c r="V93" s="391"/>
      <c r="W93" s="749">
        <v>607584691</v>
      </c>
      <c r="X93" s="378"/>
      <c r="Y93" s="180"/>
      <c r="Z93" s="180"/>
      <c r="AA93" s="180"/>
      <c r="AB93" s="180"/>
    </row>
    <row r="94" spans="1:28" s="203" customFormat="1">
      <c r="A94" s="631"/>
      <c r="B94" s="389" t="s">
        <v>14</v>
      </c>
      <c r="C94" s="392">
        <v>534137553</v>
      </c>
      <c r="D94" s="392"/>
      <c r="E94" s="392">
        <v>49098421</v>
      </c>
      <c r="F94" s="392"/>
      <c r="G94" s="392"/>
      <c r="H94" s="392"/>
      <c r="I94" s="750">
        <v>583235974</v>
      </c>
      <c r="J94" s="392"/>
      <c r="K94" s="392">
        <v>22434300</v>
      </c>
      <c r="L94" s="392">
        <v>24520600</v>
      </c>
      <c r="M94" s="392"/>
      <c r="N94" s="392"/>
      <c r="O94" s="750">
        <v>46954900</v>
      </c>
      <c r="P94" s="392"/>
      <c r="Q94" s="392"/>
      <c r="R94" s="392"/>
      <c r="S94" s="750"/>
      <c r="T94" s="392"/>
      <c r="U94" s="750"/>
      <c r="V94" s="392"/>
      <c r="W94" s="750">
        <v>630190874</v>
      </c>
      <c r="X94" s="378"/>
      <c r="Y94" s="180"/>
      <c r="Z94" s="180"/>
      <c r="AA94" s="180"/>
      <c r="AB94" s="180"/>
    </row>
    <row r="95" spans="1:28" s="202" customFormat="1">
      <c r="A95" s="631"/>
      <c r="B95" s="634" t="s">
        <v>247</v>
      </c>
      <c r="C95" s="466">
        <v>4.677462731632577</v>
      </c>
      <c r="D95" s="466">
        <v>0</v>
      </c>
      <c r="E95" s="466">
        <v>0</v>
      </c>
      <c r="F95" s="466">
        <v>0</v>
      </c>
      <c r="G95" s="466">
        <v>0</v>
      </c>
      <c r="H95" s="466">
        <v>0</v>
      </c>
      <c r="I95" s="751">
        <v>4.2668995336383846</v>
      </c>
      <c r="J95" s="466">
        <v>0</v>
      </c>
      <c r="K95" s="466">
        <v>-5.0946333539211288</v>
      </c>
      <c r="L95" s="466">
        <v>-0.23273035015339044</v>
      </c>
      <c r="M95" s="466">
        <v>0</v>
      </c>
      <c r="N95" s="466">
        <v>0</v>
      </c>
      <c r="O95" s="751">
        <v>-2.6163297135414503</v>
      </c>
      <c r="P95" s="466">
        <v>0</v>
      </c>
      <c r="Q95" s="466">
        <v>0</v>
      </c>
      <c r="R95" s="466">
        <v>0</v>
      </c>
      <c r="S95" s="751">
        <v>0</v>
      </c>
      <c r="T95" s="466">
        <v>0</v>
      </c>
      <c r="U95" s="751">
        <v>0</v>
      </c>
      <c r="V95" s="466">
        <v>0</v>
      </c>
      <c r="W95" s="751">
        <v>3.7206636926275025</v>
      </c>
      <c r="X95" s="378"/>
      <c r="Y95" s="180"/>
      <c r="Z95" s="180"/>
      <c r="AA95" s="180"/>
      <c r="AB95" s="180"/>
    </row>
    <row r="96" spans="1:28">
      <c r="A96" s="631"/>
      <c r="B96" s="388" t="s">
        <v>225</v>
      </c>
      <c r="C96" s="391">
        <v>0</v>
      </c>
      <c r="D96" s="391"/>
      <c r="E96" s="391">
        <v>1575022</v>
      </c>
      <c r="F96" s="391"/>
      <c r="G96" s="391"/>
      <c r="H96" s="391"/>
      <c r="I96" s="749">
        <v>1575022</v>
      </c>
      <c r="J96" s="391"/>
      <c r="K96" s="391"/>
      <c r="L96" s="391"/>
      <c r="M96" s="391"/>
      <c r="N96" s="391"/>
      <c r="O96" s="749"/>
      <c r="P96" s="391"/>
      <c r="Q96" s="391"/>
      <c r="R96" s="391"/>
      <c r="S96" s="749"/>
      <c r="T96" s="391"/>
      <c r="U96" s="749"/>
      <c r="V96" s="391"/>
      <c r="W96" s="749">
        <v>1575022</v>
      </c>
      <c r="X96" s="378"/>
      <c r="Y96" s="180"/>
      <c r="Z96" s="180"/>
      <c r="AA96" s="180"/>
      <c r="AB96" s="180"/>
    </row>
    <row r="97" spans="1:28" s="203" customFormat="1">
      <c r="A97" s="631"/>
      <c r="B97" s="389" t="s">
        <v>166</v>
      </c>
      <c r="C97" s="392">
        <v>0</v>
      </c>
      <c r="D97" s="392"/>
      <c r="E97" s="392">
        <v>1525250</v>
      </c>
      <c r="F97" s="392"/>
      <c r="G97" s="392"/>
      <c r="H97" s="392"/>
      <c r="I97" s="750">
        <v>1525250</v>
      </c>
      <c r="J97" s="392"/>
      <c r="K97" s="392">
        <v>0</v>
      </c>
      <c r="L97" s="392">
        <v>0</v>
      </c>
      <c r="M97" s="392"/>
      <c r="N97" s="392"/>
      <c r="O97" s="750">
        <v>0</v>
      </c>
      <c r="P97" s="392"/>
      <c r="Q97" s="392"/>
      <c r="R97" s="392"/>
      <c r="S97" s="750"/>
      <c r="T97" s="392"/>
      <c r="U97" s="750"/>
      <c r="V97" s="392"/>
      <c r="W97" s="750">
        <v>1525250</v>
      </c>
      <c r="X97" s="378"/>
      <c r="Y97" s="180"/>
      <c r="Z97" s="180"/>
      <c r="AA97" s="180"/>
      <c r="AB97" s="180"/>
    </row>
    <row r="98" spans="1:28" s="202" customFormat="1">
      <c r="A98" s="631"/>
      <c r="B98" s="634" t="s">
        <v>175</v>
      </c>
      <c r="C98" s="466">
        <v>0</v>
      </c>
      <c r="D98" s="466">
        <v>0</v>
      </c>
      <c r="E98" s="466">
        <v>-3.1600828432872685</v>
      </c>
      <c r="F98" s="466">
        <v>0</v>
      </c>
      <c r="G98" s="466">
        <v>0</v>
      </c>
      <c r="H98" s="466">
        <v>0</v>
      </c>
      <c r="I98" s="751">
        <v>-3.1600828432872685</v>
      </c>
      <c r="J98" s="466">
        <v>0</v>
      </c>
      <c r="K98" s="466">
        <v>0</v>
      </c>
      <c r="L98" s="466">
        <v>0</v>
      </c>
      <c r="M98" s="466">
        <v>0</v>
      </c>
      <c r="N98" s="466">
        <v>0</v>
      </c>
      <c r="O98" s="751">
        <v>0</v>
      </c>
      <c r="P98" s="466">
        <v>0</v>
      </c>
      <c r="Q98" s="466">
        <v>0</v>
      </c>
      <c r="R98" s="466">
        <v>0</v>
      </c>
      <c r="S98" s="751">
        <v>0</v>
      </c>
      <c r="T98" s="466">
        <v>0</v>
      </c>
      <c r="U98" s="751">
        <v>0</v>
      </c>
      <c r="V98" s="466">
        <v>0</v>
      </c>
      <c r="W98" s="751">
        <v>-3.1600828432872685</v>
      </c>
      <c r="X98" s="378"/>
      <c r="Y98" s="180"/>
      <c r="Z98" s="180"/>
      <c r="AA98" s="180"/>
      <c r="AB98" s="180"/>
    </row>
    <row r="99" spans="1:28">
      <c r="A99" s="631"/>
      <c r="B99" s="752" t="s">
        <v>317</v>
      </c>
      <c r="C99" s="749">
        <v>510269870</v>
      </c>
      <c r="D99" s="749"/>
      <c r="E99" s="749">
        <v>50673443</v>
      </c>
      <c r="F99" s="749"/>
      <c r="G99" s="749"/>
      <c r="H99" s="749"/>
      <c r="I99" s="749">
        <v>560943313</v>
      </c>
      <c r="J99" s="749"/>
      <c r="K99" s="749">
        <v>23638600</v>
      </c>
      <c r="L99" s="749">
        <v>24577800</v>
      </c>
      <c r="M99" s="749"/>
      <c r="N99" s="749"/>
      <c r="O99" s="749">
        <v>48216400</v>
      </c>
      <c r="P99" s="749"/>
      <c r="Q99" s="749"/>
      <c r="R99" s="749"/>
      <c r="S99" s="749"/>
      <c r="T99" s="749"/>
      <c r="U99" s="749"/>
      <c r="V99" s="749">
        <v>0</v>
      </c>
      <c r="W99" s="749">
        <v>609159713</v>
      </c>
      <c r="X99" s="378"/>
      <c r="Y99" s="180"/>
      <c r="Z99" s="180"/>
      <c r="AA99" s="180"/>
      <c r="AB99" s="180"/>
    </row>
    <row r="100" spans="1:28" s="203" customFormat="1">
      <c r="A100" s="631"/>
      <c r="B100" s="753" t="s">
        <v>70</v>
      </c>
      <c r="C100" s="750">
        <v>534137553</v>
      </c>
      <c r="D100" s="750"/>
      <c r="E100" s="750">
        <v>50623671</v>
      </c>
      <c r="F100" s="750"/>
      <c r="G100" s="750"/>
      <c r="H100" s="750"/>
      <c r="I100" s="750">
        <v>584761224</v>
      </c>
      <c r="J100" s="750"/>
      <c r="K100" s="750">
        <v>22434300</v>
      </c>
      <c r="L100" s="750">
        <v>24520600</v>
      </c>
      <c r="M100" s="750"/>
      <c r="N100" s="750"/>
      <c r="O100" s="750">
        <v>46954900</v>
      </c>
      <c r="P100" s="750"/>
      <c r="Q100" s="750"/>
      <c r="R100" s="750"/>
      <c r="S100" s="750"/>
      <c r="T100" s="750"/>
      <c r="U100" s="750"/>
      <c r="V100" s="750">
        <v>0</v>
      </c>
      <c r="W100" s="750">
        <v>631716124</v>
      </c>
      <c r="X100" s="378"/>
      <c r="Y100" s="180"/>
      <c r="Z100" s="180"/>
      <c r="AA100" s="180"/>
      <c r="AB100" s="180"/>
    </row>
    <row r="101" spans="1:28" s="202" customFormat="1">
      <c r="A101" s="631"/>
      <c r="B101" s="754" t="s">
        <v>57</v>
      </c>
      <c r="C101" s="751">
        <v>4.677462731632577</v>
      </c>
      <c r="D101" s="751">
        <v>0</v>
      </c>
      <c r="E101" s="751">
        <v>-9.8221074103845674E-2</v>
      </c>
      <c r="F101" s="751">
        <v>0</v>
      </c>
      <c r="G101" s="751">
        <v>0</v>
      </c>
      <c r="H101" s="751">
        <v>0</v>
      </c>
      <c r="I101" s="751">
        <v>4.2460459814769198</v>
      </c>
      <c r="J101" s="751">
        <v>0</v>
      </c>
      <c r="K101" s="751">
        <v>-5.0946333539211288</v>
      </c>
      <c r="L101" s="751">
        <v>-0.23273035015339044</v>
      </c>
      <c r="M101" s="751">
        <v>0</v>
      </c>
      <c r="N101" s="751">
        <v>0</v>
      </c>
      <c r="O101" s="751">
        <v>-2.6163297135414503</v>
      </c>
      <c r="P101" s="751">
        <v>0</v>
      </c>
      <c r="Q101" s="751">
        <v>0</v>
      </c>
      <c r="R101" s="751">
        <v>0</v>
      </c>
      <c r="S101" s="751">
        <v>0</v>
      </c>
      <c r="T101" s="751">
        <v>0</v>
      </c>
      <c r="U101" s="751">
        <v>0</v>
      </c>
      <c r="V101" s="751">
        <v>0</v>
      </c>
      <c r="W101" s="751">
        <v>3.702873075586993</v>
      </c>
      <c r="X101" s="378"/>
      <c r="Y101" s="180"/>
      <c r="Z101" s="180"/>
      <c r="AA101" s="180"/>
      <c r="AB101" s="180"/>
    </row>
    <row r="102" spans="1:28">
      <c r="A102" s="631"/>
      <c r="B102" s="388" t="s">
        <v>72</v>
      </c>
      <c r="C102" s="391"/>
      <c r="D102" s="391"/>
      <c r="E102" s="391"/>
      <c r="F102" s="391"/>
      <c r="G102" s="391"/>
      <c r="H102" s="391"/>
      <c r="I102" s="749"/>
      <c r="J102" s="391"/>
      <c r="K102" s="391"/>
      <c r="L102" s="391"/>
      <c r="M102" s="391"/>
      <c r="N102" s="391"/>
      <c r="O102" s="749"/>
      <c r="P102" s="391"/>
      <c r="Q102" s="391"/>
      <c r="R102" s="391"/>
      <c r="S102" s="749"/>
      <c r="T102" s="391"/>
      <c r="U102" s="749"/>
      <c r="V102" s="391">
        <v>22547716</v>
      </c>
      <c r="W102" s="749">
        <v>22547716</v>
      </c>
      <c r="X102" s="378"/>
      <c r="Y102" s="180"/>
      <c r="Z102" s="180"/>
      <c r="AA102" s="180"/>
      <c r="AB102" s="180"/>
    </row>
    <row r="103" spans="1:28" s="203" customFormat="1">
      <c r="A103" s="631"/>
      <c r="B103" s="389" t="s">
        <v>74</v>
      </c>
      <c r="C103" s="392"/>
      <c r="D103" s="392"/>
      <c r="E103" s="392"/>
      <c r="F103" s="392"/>
      <c r="G103" s="392"/>
      <c r="H103" s="392"/>
      <c r="I103" s="750"/>
      <c r="J103" s="392"/>
      <c r="K103" s="392"/>
      <c r="L103" s="392"/>
      <c r="M103" s="392"/>
      <c r="N103" s="392"/>
      <c r="O103" s="750"/>
      <c r="P103" s="392"/>
      <c r="Q103" s="392"/>
      <c r="R103" s="392"/>
      <c r="S103" s="750"/>
      <c r="T103" s="392"/>
      <c r="U103" s="750"/>
      <c r="V103" s="392">
        <v>20787506.649999999</v>
      </c>
      <c r="W103" s="750">
        <v>20787506.649999999</v>
      </c>
      <c r="X103" s="378"/>
      <c r="Y103" s="180"/>
      <c r="Z103" s="180"/>
      <c r="AA103" s="180"/>
      <c r="AB103" s="180"/>
    </row>
    <row r="104" spans="1:28" s="202" customFormat="1">
      <c r="A104" s="631"/>
      <c r="B104" s="634" t="s">
        <v>76</v>
      </c>
      <c r="C104" s="466">
        <v>0</v>
      </c>
      <c r="D104" s="466">
        <v>0</v>
      </c>
      <c r="E104" s="466">
        <v>0</v>
      </c>
      <c r="F104" s="466">
        <v>0</v>
      </c>
      <c r="G104" s="466">
        <v>0</v>
      </c>
      <c r="H104" s="466">
        <v>0</v>
      </c>
      <c r="I104" s="751">
        <v>0</v>
      </c>
      <c r="J104" s="466">
        <v>0</v>
      </c>
      <c r="K104" s="466">
        <v>0</v>
      </c>
      <c r="L104" s="466">
        <v>0</v>
      </c>
      <c r="M104" s="466">
        <v>0</v>
      </c>
      <c r="N104" s="466">
        <v>0</v>
      </c>
      <c r="O104" s="751">
        <v>0</v>
      </c>
      <c r="P104" s="466">
        <v>0</v>
      </c>
      <c r="Q104" s="466">
        <v>0</v>
      </c>
      <c r="R104" s="466">
        <v>0</v>
      </c>
      <c r="S104" s="751">
        <v>0</v>
      </c>
      <c r="T104" s="466">
        <v>0</v>
      </c>
      <c r="U104" s="751">
        <v>0</v>
      </c>
      <c r="V104" s="466">
        <v>-7.8065971293943974</v>
      </c>
      <c r="W104" s="751">
        <v>-7.8065971293943974</v>
      </c>
      <c r="X104" s="378"/>
      <c r="Y104" s="180"/>
      <c r="Z104" s="180"/>
      <c r="AA104" s="180"/>
      <c r="AB104" s="180"/>
    </row>
    <row r="105" spans="1:28">
      <c r="A105" s="631"/>
      <c r="B105" s="388" t="s">
        <v>240</v>
      </c>
      <c r="C105" s="391"/>
      <c r="D105" s="391"/>
      <c r="E105" s="391"/>
      <c r="F105" s="391"/>
      <c r="G105" s="391"/>
      <c r="H105" s="391"/>
      <c r="I105" s="749"/>
      <c r="J105" s="391"/>
      <c r="K105" s="391"/>
      <c r="L105" s="391"/>
      <c r="M105" s="391"/>
      <c r="N105" s="391"/>
      <c r="O105" s="749"/>
      <c r="P105" s="391"/>
      <c r="Q105" s="391"/>
      <c r="R105" s="391"/>
      <c r="S105" s="749"/>
      <c r="T105" s="391"/>
      <c r="U105" s="749"/>
      <c r="V105" s="391"/>
      <c r="W105" s="749"/>
      <c r="X105" s="378"/>
      <c r="Y105" s="180"/>
      <c r="Z105" s="180"/>
      <c r="AA105" s="180"/>
      <c r="AB105" s="180"/>
    </row>
    <row r="106" spans="1:28" s="203" customFormat="1">
      <c r="A106" s="631"/>
      <c r="B106" s="389" t="s">
        <v>163</v>
      </c>
      <c r="C106" s="392"/>
      <c r="D106" s="392"/>
      <c r="E106" s="392"/>
      <c r="F106" s="392"/>
      <c r="G106" s="392"/>
      <c r="H106" s="392"/>
      <c r="I106" s="750"/>
      <c r="J106" s="392"/>
      <c r="K106" s="392"/>
      <c r="L106" s="392"/>
      <c r="M106" s="392"/>
      <c r="N106" s="392"/>
      <c r="O106" s="750"/>
      <c r="P106" s="392"/>
      <c r="Q106" s="392"/>
      <c r="R106" s="392"/>
      <c r="S106" s="750"/>
      <c r="T106" s="392"/>
      <c r="U106" s="750"/>
      <c r="V106" s="392"/>
      <c r="W106" s="750"/>
      <c r="X106" s="378"/>
      <c r="Y106" s="180"/>
      <c r="Z106" s="180"/>
      <c r="AA106" s="180"/>
      <c r="AB106" s="180"/>
    </row>
    <row r="107" spans="1:28" s="202" customFormat="1">
      <c r="A107" s="631"/>
      <c r="B107" s="634" t="s">
        <v>59</v>
      </c>
      <c r="C107" s="466">
        <v>0</v>
      </c>
      <c r="D107" s="466">
        <v>0</v>
      </c>
      <c r="E107" s="466">
        <v>0</v>
      </c>
      <c r="F107" s="466">
        <v>0</v>
      </c>
      <c r="G107" s="466">
        <v>0</v>
      </c>
      <c r="H107" s="466">
        <v>0</v>
      </c>
      <c r="I107" s="751">
        <v>0</v>
      </c>
      <c r="J107" s="466">
        <v>0</v>
      </c>
      <c r="K107" s="466">
        <v>0</v>
      </c>
      <c r="L107" s="466">
        <v>0</v>
      </c>
      <c r="M107" s="466">
        <v>0</v>
      </c>
      <c r="N107" s="466">
        <v>0</v>
      </c>
      <c r="O107" s="751">
        <v>0</v>
      </c>
      <c r="P107" s="466">
        <v>0</v>
      </c>
      <c r="Q107" s="466">
        <v>0</v>
      </c>
      <c r="R107" s="466">
        <v>0</v>
      </c>
      <c r="S107" s="751">
        <v>0</v>
      </c>
      <c r="T107" s="466">
        <v>0</v>
      </c>
      <c r="U107" s="751">
        <v>0</v>
      </c>
      <c r="V107" s="466">
        <v>0</v>
      </c>
      <c r="W107" s="751">
        <v>0</v>
      </c>
      <c r="X107" s="378"/>
      <c r="Y107" s="180"/>
      <c r="Z107" s="180"/>
      <c r="AA107" s="180"/>
      <c r="AB107" s="180"/>
    </row>
    <row r="108" spans="1:28">
      <c r="A108" s="631"/>
      <c r="B108" s="388" t="s">
        <v>159</v>
      </c>
      <c r="C108" s="391"/>
      <c r="D108" s="391"/>
      <c r="E108" s="391"/>
      <c r="F108" s="391"/>
      <c r="G108" s="391"/>
      <c r="H108" s="391"/>
      <c r="I108" s="749"/>
      <c r="J108" s="391"/>
      <c r="K108" s="391"/>
      <c r="L108" s="391"/>
      <c r="M108" s="391"/>
      <c r="N108" s="391"/>
      <c r="O108" s="749"/>
      <c r="P108" s="391"/>
      <c r="Q108" s="391"/>
      <c r="R108" s="391"/>
      <c r="S108" s="749"/>
      <c r="T108" s="391"/>
      <c r="U108" s="749"/>
      <c r="V108" s="391"/>
      <c r="W108" s="749"/>
      <c r="X108" s="378"/>
      <c r="Y108" s="180"/>
      <c r="Z108" s="180"/>
      <c r="AA108" s="180"/>
      <c r="AB108" s="180"/>
    </row>
    <row r="109" spans="1:28" s="203" customFormat="1">
      <c r="A109" s="631"/>
      <c r="B109" s="389" t="s">
        <v>100</v>
      </c>
      <c r="C109" s="392"/>
      <c r="D109" s="392"/>
      <c r="E109" s="392"/>
      <c r="F109" s="392"/>
      <c r="G109" s="392"/>
      <c r="H109" s="392"/>
      <c r="I109" s="750"/>
      <c r="J109" s="392"/>
      <c r="K109" s="392"/>
      <c r="L109" s="392"/>
      <c r="M109" s="392"/>
      <c r="N109" s="392"/>
      <c r="O109" s="750"/>
      <c r="P109" s="392"/>
      <c r="Q109" s="392"/>
      <c r="R109" s="392"/>
      <c r="S109" s="750"/>
      <c r="T109" s="392"/>
      <c r="U109" s="750"/>
      <c r="V109" s="392"/>
      <c r="W109" s="750"/>
      <c r="X109" s="378"/>
      <c r="Y109" s="180"/>
      <c r="Z109" s="180"/>
      <c r="AA109" s="180"/>
      <c r="AB109" s="180"/>
    </row>
    <row r="110" spans="1:28" s="202" customFormat="1">
      <c r="A110" s="631"/>
      <c r="B110" s="634" t="s">
        <v>110</v>
      </c>
      <c r="C110" s="466">
        <v>0</v>
      </c>
      <c r="D110" s="466">
        <v>0</v>
      </c>
      <c r="E110" s="466">
        <v>0</v>
      </c>
      <c r="F110" s="466">
        <v>0</v>
      </c>
      <c r="G110" s="466">
        <v>0</v>
      </c>
      <c r="H110" s="466">
        <v>0</v>
      </c>
      <c r="I110" s="751">
        <v>0</v>
      </c>
      <c r="J110" s="466">
        <v>0</v>
      </c>
      <c r="K110" s="466">
        <v>0</v>
      </c>
      <c r="L110" s="466">
        <v>0</v>
      </c>
      <c r="M110" s="466">
        <v>0</v>
      </c>
      <c r="N110" s="466">
        <v>0</v>
      </c>
      <c r="O110" s="751">
        <v>0</v>
      </c>
      <c r="P110" s="466">
        <v>0</v>
      </c>
      <c r="Q110" s="466">
        <v>0</v>
      </c>
      <c r="R110" s="466">
        <v>0</v>
      </c>
      <c r="S110" s="751">
        <v>0</v>
      </c>
      <c r="T110" s="466">
        <v>0</v>
      </c>
      <c r="U110" s="751">
        <v>0</v>
      </c>
      <c r="V110" s="466">
        <v>0</v>
      </c>
      <c r="W110" s="751">
        <v>0</v>
      </c>
      <c r="X110" s="378"/>
      <c r="Y110" s="180"/>
      <c r="Z110" s="180"/>
      <c r="AA110" s="180"/>
      <c r="AB110" s="180"/>
    </row>
    <row r="111" spans="1:28">
      <c r="A111" s="631"/>
      <c r="B111" s="388" t="s">
        <v>161</v>
      </c>
      <c r="C111" s="391">
        <v>0</v>
      </c>
      <c r="D111" s="391"/>
      <c r="E111" s="391">
        <v>0</v>
      </c>
      <c r="F111" s="391"/>
      <c r="G111" s="391"/>
      <c r="H111" s="391"/>
      <c r="I111" s="749">
        <v>0</v>
      </c>
      <c r="J111" s="391"/>
      <c r="K111" s="391">
        <v>0</v>
      </c>
      <c r="L111" s="391">
        <v>0</v>
      </c>
      <c r="M111" s="391"/>
      <c r="N111" s="391"/>
      <c r="O111" s="749">
        <v>0</v>
      </c>
      <c r="P111" s="391"/>
      <c r="Q111" s="391"/>
      <c r="R111" s="391"/>
      <c r="S111" s="749"/>
      <c r="T111" s="391"/>
      <c r="U111" s="749"/>
      <c r="V111" s="391">
        <v>0</v>
      </c>
      <c r="W111" s="749">
        <v>0</v>
      </c>
      <c r="X111" s="378"/>
      <c r="Y111" s="180"/>
      <c r="Z111" s="180"/>
      <c r="AA111" s="180"/>
      <c r="AB111" s="180"/>
    </row>
    <row r="112" spans="1:28" s="203" customFormat="1">
      <c r="A112" s="631"/>
      <c r="B112" s="389" t="s">
        <v>102</v>
      </c>
      <c r="C112" s="392">
        <v>0</v>
      </c>
      <c r="D112" s="392"/>
      <c r="E112" s="392">
        <v>0</v>
      </c>
      <c r="F112" s="392"/>
      <c r="G112" s="392"/>
      <c r="H112" s="392"/>
      <c r="I112" s="750">
        <v>0</v>
      </c>
      <c r="J112" s="392"/>
      <c r="K112" s="392">
        <v>0</v>
      </c>
      <c r="L112" s="392">
        <v>0</v>
      </c>
      <c r="M112" s="392"/>
      <c r="N112" s="392"/>
      <c r="O112" s="750">
        <v>0</v>
      </c>
      <c r="P112" s="392"/>
      <c r="Q112" s="392"/>
      <c r="R112" s="392"/>
      <c r="S112" s="750"/>
      <c r="T112" s="392"/>
      <c r="U112" s="750"/>
      <c r="V112" s="392">
        <v>0</v>
      </c>
      <c r="W112" s="750">
        <v>0</v>
      </c>
      <c r="X112" s="378"/>
      <c r="Y112" s="180"/>
      <c r="Z112" s="180"/>
      <c r="AA112" s="180"/>
      <c r="AB112" s="180"/>
    </row>
    <row r="113" spans="1:28" s="202" customFormat="1">
      <c r="A113" s="631"/>
      <c r="B113" s="634" t="s">
        <v>183</v>
      </c>
      <c r="C113" s="466">
        <v>0</v>
      </c>
      <c r="D113" s="466">
        <v>0</v>
      </c>
      <c r="E113" s="466">
        <v>0</v>
      </c>
      <c r="F113" s="466">
        <v>0</v>
      </c>
      <c r="G113" s="466">
        <v>0</v>
      </c>
      <c r="H113" s="466">
        <v>0</v>
      </c>
      <c r="I113" s="751">
        <v>0</v>
      </c>
      <c r="J113" s="466">
        <v>0</v>
      </c>
      <c r="K113" s="466">
        <v>0</v>
      </c>
      <c r="L113" s="466">
        <v>0</v>
      </c>
      <c r="M113" s="466">
        <v>0</v>
      </c>
      <c r="N113" s="466">
        <v>0</v>
      </c>
      <c r="O113" s="751">
        <v>0</v>
      </c>
      <c r="P113" s="466">
        <v>0</v>
      </c>
      <c r="Q113" s="466">
        <v>0</v>
      </c>
      <c r="R113" s="466">
        <v>0</v>
      </c>
      <c r="S113" s="751">
        <v>0</v>
      </c>
      <c r="T113" s="466">
        <v>0</v>
      </c>
      <c r="U113" s="751">
        <v>0</v>
      </c>
      <c r="V113" s="466">
        <v>0</v>
      </c>
      <c r="W113" s="751">
        <v>0</v>
      </c>
      <c r="X113" s="378"/>
      <c r="Y113" s="180"/>
      <c r="Z113" s="180"/>
      <c r="AA113" s="180"/>
      <c r="AB113" s="180"/>
    </row>
    <row r="114" spans="1:28">
      <c r="A114" s="631"/>
      <c r="B114" s="388" t="s">
        <v>78</v>
      </c>
      <c r="C114" s="391"/>
      <c r="D114" s="391"/>
      <c r="E114" s="391"/>
      <c r="F114" s="391"/>
      <c r="G114" s="391"/>
      <c r="H114" s="391"/>
      <c r="I114" s="749"/>
      <c r="J114" s="391"/>
      <c r="K114" s="391"/>
      <c r="L114" s="391"/>
      <c r="M114" s="391"/>
      <c r="N114" s="391"/>
      <c r="O114" s="749"/>
      <c r="P114" s="391"/>
      <c r="Q114" s="391"/>
      <c r="R114" s="391"/>
      <c r="S114" s="749"/>
      <c r="T114" s="391"/>
      <c r="U114" s="749"/>
      <c r="V114" s="391"/>
      <c r="W114" s="749"/>
      <c r="X114" s="378"/>
      <c r="Y114" s="180"/>
      <c r="Z114" s="180"/>
      <c r="AA114" s="180"/>
      <c r="AB114" s="180"/>
    </row>
    <row r="115" spans="1:28" s="203" customFormat="1">
      <c r="A115" s="631"/>
      <c r="B115" s="389" t="s">
        <v>80</v>
      </c>
      <c r="C115" s="392"/>
      <c r="D115" s="392"/>
      <c r="E115" s="392"/>
      <c r="F115" s="392"/>
      <c r="G115" s="392"/>
      <c r="H115" s="392"/>
      <c r="I115" s="750"/>
      <c r="J115" s="392"/>
      <c r="K115" s="392"/>
      <c r="L115" s="392"/>
      <c r="M115" s="392"/>
      <c r="N115" s="392"/>
      <c r="O115" s="750"/>
      <c r="P115" s="392"/>
      <c r="Q115" s="392"/>
      <c r="R115" s="392"/>
      <c r="S115" s="750"/>
      <c r="T115" s="392"/>
      <c r="U115" s="750"/>
      <c r="V115" s="392"/>
      <c r="W115" s="750"/>
      <c r="X115" s="378"/>
      <c r="Y115" s="180"/>
      <c r="Z115" s="180"/>
      <c r="AA115" s="180"/>
      <c r="AB115" s="180"/>
    </row>
    <row r="116" spans="1:28" s="202" customFormat="1">
      <c r="A116" s="631"/>
      <c r="B116" s="634" t="s">
        <v>215</v>
      </c>
      <c r="C116" s="466">
        <v>0</v>
      </c>
      <c r="D116" s="466">
        <v>0</v>
      </c>
      <c r="E116" s="466">
        <v>0</v>
      </c>
      <c r="F116" s="466">
        <v>0</v>
      </c>
      <c r="G116" s="466">
        <v>0</v>
      </c>
      <c r="H116" s="466">
        <v>0</v>
      </c>
      <c r="I116" s="751">
        <v>0</v>
      </c>
      <c r="J116" s="466">
        <v>0</v>
      </c>
      <c r="K116" s="466">
        <v>0</v>
      </c>
      <c r="L116" s="466">
        <v>0</v>
      </c>
      <c r="M116" s="466">
        <v>0</v>
      </c>
      <c r="N116" s="466">
        <v>0</v>
      </c>
      <c r="O116" s="751">
        <v>0</v>
      </c>
      <c r="P116" s="466">
        <v>0</v>
      </c>
      <c r="Q116" s="466">
        <v>0</v>
      </c>
      <c r="R116" s="466">
        <v>0</v>
      </c>
      <c r="S116" s="751">
        <v>0</v>
      </c>
      <c r="T116" s="466">
        <v>0</v>
      </c>
      <c r="U116" s="751">
        <v>0</v>
      </c>
      <c r="V116" s="466">
        <v>0</v>
      </c>
      <c r="W116" s="751">
        <v>0</v>
      </c>
      <c r="X116" s="378"/>
      <c r="Y116" s="180"/>
      <c r="Z116" s="180"/>
      <c r="AA116" s="180"/>
      <c r="AB116" s="180"/>
    </row>
    <row r="117" spans="1:28">
      <c r="A117" s="631"/>
      <c r="B117" s="388" t="s">
        <v>81</v>
      </c>
      <c r="C117" s="391"/>
      <c r="D117" s="391"/>
      <c r="E117" s="391"/>
      <c r="F117" s="391"/>
      <c r="G117" s="391"/>
      <c r="H117" s="391"/>
      <c r="I117" s="749"/>
      <c r="J117" s="391"/>
      <c r="K117" s="391"/>
      <c r="L117" s="391"/>
      <c r="M117" s="391"/>
      <c r="N117" s="391"/>
      <c r="O117" s="749"/>
      <c r="P117" s="391"/>
      <c r="Q117" s="391"/>
      <c r="R117" s="391"/>
      <c r="S117" s="749"/>
      <c r="T117" s="391"/>
      <c r="U117" s="749"/>
      <c r="V117" s="391"/>
      <c r="W117" s="749"/>
      <c r="X117" s="378"/>
      <c r="Y117" s="180"/>
      <c r="Z117" s="180"/>
      <c r="AA117" s="180"/>
      <c r="AB117" s="180"/>
    </row>
    <row r="118" spans="1:28" s="203" customFormat="1">
      <c r="A118" s="631"/>
      <c r="B118" s="389" t="s">
        <v>318</v>
      </c>
      <c r="C118" s="392"/>
      <c r="D118" s="392"/>
      <c r="E118" s="392"/>
      <c r="F118" s="392"/>
      <c r="G118" s="392"/>
      <c r="H118" s="392"/>
      <c r="I118" s="750"/>
      <c r="J118" s="392"/>
      <c r="K118" s="392"/>
      <c r="L118" s="392"/>
      <c r="M118" s="392"/>
      <c r="N118" s="392"/>
      <c r="O118" s="750"/>
      <c r="P118" s="392"/>
      <c r="Q118" s="392"/>
      <c r="R118" s="392"/>
      <c r="S118" s="750"/>
      <c r="T118" s="392"/>
      <c r="U118" s="750"/>
      <c r="V118" s="392"/>
      <c r="W118" s="750"/>
      <c r="X118" s="378"/>
      <c r="Y118" s="180"/>
      <c r="Z118" s="180"/>
      <c r="AA118" s="180"/>
      <c r="AB118" s="180"/>
    </row>
    <row r="119" spans="1:28" s="202" customFormat="1">
      <c r="A119" s="631"/>
      <c r="B119" s="634" t="s">
        <v>236</v>
      </c>
      <c r="C119" s="466">
        <v>0</v>
      </c>
      <c r="D119" s="466">
        <v>0</v>
      </c>
      <c r="E119" s="466">
        <v>0</v>
      </c>
      <c r="F119" s="466">
        <v>0</v>
      </c>
      <c r="G119" s="466">
        <v>0</v>
      </c>
      <c r="H119" s="466">
        <v>0</v>
      </c>
      <c r="I119" s="751">
        <v>0</v>
      </c>
      <c r="J119" s="466">
        <v>0</v>
      </c>
      <c r="K119" s="466">
        <v>0</v>
      </c>
      <c r="L119" s="466">
        <v>0</v>
      </c>
      <c r="M119" s="466">
        <v>0</v>
      </c>
      <c r="N119" s="466">
        <v>0</v>
      </c>
      <c r="O119" s="751">
        <v>0</v>
      </c>
      <c r="P119" s="466">
        <v>0</v>
      </c>
      <c r="Q119" s="466">
        <v>0</v>
      </c>
      <c r="R119" s="466">
        <v>0</v>
      </c>
      <c r="S119" s="751">
        <v>0</v>
      </c>
      <c r="T119" s="466">
        <v>0</v>
      </c>
      <c r="U119" s="751">
        <v>0</v>
      </c>
      <c r="V119" s="466">
        <v>0</v>
      </c>
      <c r="W119" s="751">
        <v>0</v>
      </c>
      <c r="X119" s="378"/>
      <c r="Y119" s="180"/>
      <c r="Z119" s="180"/>
      <c r="AA119" s="180"/>
      <c r="AB119" s="180"/>
    </row>
    <row r="120" spans="1:28">
      <c r="A120" s="631"/>
      <c r="B120" s="388" t="s">
        <v>19</v>
      </c>
      <c r="C120" s="391">
        <v>632560631</v>
      </c>
      <c r="D120" s="391"/>
      <c r="E120" s="391">
        <v>83426221</v>
      </c>
      <c r="F120" s="391"/>
      <c r="G120" s="391"/>
      <c r="H120" s="391"/>
      <c r="I120" s="749">
        <v>715986852</v>
      </c>
      <c r="J120" s="391"/>
      <c r="K120" s="391">
        <v>54400300</v>
      </c>
      <c r="L120" s="391">
        <v>55445500</v>
      </c>
      <c r="M120" s="391"/>
      <c r="N120" s="391"/>
      <c r="O120" s="749">
        <v>109845800</v>
      </c>
      <c r="P120" s="391"/>
      <c r="Q120" s="391"/>
      <c r="R120" s="391"/>
      <c r="S120" s="749"/>
      <c r="T120" s="391"/>
      <c r="U120" s="749"/>
      <c r="V120" s="391">
        <v>1918000</v>
      </c>
      <c r="W120" s="749">
        <v>827750652</v>
      </c>
      <c r="X120" s="378"/>
      <c r="Y120" s="180"/>
      <c r="Z120" s="180"/>
      <c r="AA120" s="180"/>
      <c r="AB120" s="180"/>
    </row>
    <row r="121" spans="1:28" s="203" customFormat="1">
      <c r="A121" s="631"/>
      <c r="B121" s="389" t="s">
        <v>21</v>
      </c>
      <c r="C121" s="392">
        <v>654345909</v>
      </c>
      <c r="D121" s="392"/>
      <c r="E121" s="392">
        <v>83661121</v>
      </c>
      <c r="F121" s="392"/>
      <c r="G121" s="392"/>
      <c r="H121" s="392"/>
      <c r="I121" s="750">
        <v>738007030</v>
      </c>
      <c r="J121" s="392"/>
      <c r="K121" s="392">
        <v>54892600</v>
      </c>
      <c r="L121" s="392">
        <v>57306000</v>
      </c>
      <c r="M121" s="392"/>
      <c r="N121" s="392"/>
      <c r="O121" s="750">
        <v>112198600</v>
      </c>
      <c r="P121" s="392"/>
      <c r="Q121" s="392"/>
      <c r="R121" s="392"/>
      <c r="S121" s="750"/>
      <c r="T121" s="392"/>
      <c r="U121" s="750"/>
      <c r="V121" s="392">
        <v>1918000</v>
      </c>
      <c r="W121" s="750">
        <v>852123630</v>
      </c>
      <c r="X121" s="378"/>
      <c r="Y121" s="180"/>
      <c r="Z121" s="180"/>
      <c r="AA121" s="180"/>
      <c r="AB121" s="180"/>
    </row>
    <row r="122" spans="1:28" s="212" customFormat="1" ht="13.5" thickBot="1">
      <c r="A122" s="635"/>
      <c r="B122" s="761" t="s">
        <v>23</v>
      </c>
      <c r="C122" s="762">
        <v>3.4439825895519567</v>
      </c>
      <c r="D122" s="762">
        <v>0</v>
      </c>
      <c r="E122" s="762">
        <v>0.28156615172584648</v>
      </c>
      <c r="F122" s="762">
        <v>0</v>
      </c>
      <c r="G122" s="762">
        <v>0</v>
      </c>
      <c r="H122" s="762">
        <v>0</v>
      </c>
      <c r="I122" s="763">
        <v>3.0755003305563493</v>
      </c>
      <c r="J122" s="762">
        <v>0</v>
      </c>
      <c r="K122" s="762">
        <v>0.90495824471556219</v>
      </c>
      <c r="L122" s="762">
        <v>3.355547339279112</v>
      </c>
      <c r="M122" s="762">
        <v>0</v>
      </c>
      <c r="N122" s="762">
        <v>0</v>
      </c>
      <c r="O122" s="763">
        <v>2.1419116616201985</v>
      </c>
      <c r="P122" s="762">
        <v>0</v>
      </c>
      <c r="Q122" s="762">
        <v>0</v>
      </c>
      <c r="R122" s="762">
        <v>0</v>
      </c>
      <c r="S122" s="763">
        <v>0</v>
      </c>
      <c r="T122" s="762">
        <v>0</v>
      </c>
      <c r="U122" s="763">
        <v>0</v>
      </c>
      <c r="V122" s="762">
        <v>0</v>
      </c>
      <c r="W122" s="763">
        <v>2.9444830929592549</v>
      </c>
      <c r="X122" s="378"/>
      <c r="Y122" s="180"/>
      <c r="Z122" s="180"/>
      <c r="AA122" s="180"/>
      <c r="AB122" s="180"/>
    </row>
    <row r="123" spans="1:28" ht="13.5" thickTop="1">
      <c r="A123" s="230" t="s">
        <v>149</v>
      </c>
      <c r="B123" s="764" t="s">
        <v>190</v>
      </c>
      <c r="C123" s="765">
        <v>1459240880</v>
      </c>
      <c r="D123" s="765"/>
      <c r="E123" s="765">
        <v>247718747</v>
      </c>
      <c r="F123" s="765">
        <v>58848008</v>
      </c>
      <c r="G123" s="765"/>
      <c r="H123" s="765">
        <v>17527157</v>
      </c>
      <c r="I123" s="766">
        <v>1783334792</v>
      </c>
      <c r="J123" s="765">
        <v>806119089</v>
      </c>
      <c r="K123" s="765">
        <v>238887739</v>
      </c>
      <c r="L123" s="765">
        <v>42025506</v>
      </c>
      <c r="M123" s="765">
        <v>13356376</v>
      </c>
      <c r="N123" s="765"/>
      <c r="O123" s="766">
        <v>1100388710</v>
      </c>
      <c r="P123" s="765"/>
      <c r="Q123" s="765"/>
      <c r="R123" s="765"/>
      <c r="S123" s="766"/>
      <c r="T123" s="765"/>
      <c r="U123" s="766"/>
      <c r="V123" s="765"/>
      <c r="W123" s="766">
        <v>2883723502</v>
      </c>
      <c r="X123" s="378"/>
      <c r="Y123" s="180"/>
      <c r="Z123" s="180"/>
      <c r="AA123" s="180"/>
      <c r="AB123" s="180"/>
    </row>
    <row r="124" spans="1:28" s="203" customFormat="1">
      <c r="A124" s="631"/>
      <c r="B124" s="389" t="s">
        <v>4</v>
      </c>
      <c r="C124" s="392">
        <v>1430341174</v>
      </c>
      <c r="D124" s="392"/>
      <c r="E124" s="392">
        <v>260565721</v>
      </c>
      <c r="F124" s="392">
        <v>55441539</v>
      </c>
      <c r="G124" s="392"/>
      <c r="H124" s="392">
        <v>15849884</v>
      </c>
      <c r="I124" s="750">
        <v>1762198318</v>
      </c>
      <c r="J124" s="392">
        <v>824712500</v>
      </c>
      <c r="K124" s="392">
        <v>251154710</v>
      </c>
      <c r="L124" s="392">
        <v>42710353</v>
      </c>
      <c r="M124" s="392">
        <v>13846176</v>
      </c>
      <c r="N124" s="392"/>
      <c r="O124" s="750">
        <v>1132423739</v>
      </c>
      <c r="P124" s="392"/>
      <c r="Q124" s="392"/>
      <c r="R124" s="392"/>
      <c r="S124" s="750"/>
      <c r="T124" s="392"/>
      <c r="U124" s="750"/>
      <c r="V124" s="392"/>
      <c r="W124" s="750">
        <v>2894622057</v>
      </c>
      <c r="X124" s="378"/>
      <c r="Y124" s="180"/>
      <c r="Z124" s="180"/>
      <c r="AA124" s="180"/>
      <c r="AB124" s="180"/>
    </row>
    <row r="125" spans="1:28" s="202" customFormat="1">
      <c r="A125" s="632"/>
      <c r="B125" s="634" t="s">
        <v>116</v>
      </c>
      <c r="C125" s="466">
        <v>-1.9804616493474332</v>
      </c>
      <c r="D125" s="466">
        <v>0</v>
      </c>
      <c r="E125" s="466">
        <v>5.1861129428367398</v>
      </c>
      <c r="F125" s="466">
        <v>-5.7885884599526287</v>
      </c>
      <c r="G125" s="466">
        <v>0</v>
      </c>
      <c r="H125" s="1461">
        <v>-9.5695668156564118</v>
      </c>
      <c r="I125" s="751">
        <v>-1.1852218716764653</v>
      </c>
      <c r="J125" s="466">
        <v>2.3065340163406054</v>
      </c>
      <c r="K125" s="466">
        <v>5.1350358337143458</v>
      </c>
      <c r="L125" s="466">
        <v>1.6295984633712679</v>
      </c>
      <c r="M125" s="466">
        <v>3.6671624099231708</v>
      </c>
      <c r="N125" s="466">
        <v>0</v>
      </c>
      <c r="O125" s="751">
        <v>2.911246608482561</v>
      </c>
      <c r="P125" s="466">
        <v>0</v>
      </c>
      <c r="Q125" s="466">
        <v>0</v>
      </c>
      <c r="R125" s="466">
        <v>0</v>
      </c>
      <c r="S125" s="751">
        <v>0</v>
      </c>
      <c r="T125" s="466">
        <v>0</v>
      </c>
      <c r="U125" s="751">
        <v>0</v>
      </c>
      <c r="V125" s="466">
        <v>0</v>
      </c>
      <c r="W125" s="751">
        <v>0.37793342504721172</v>
      </c>
      <c r="X125" s="378"/>
      <c r="Y125" s="180"/>
      <c r="Z125" s="180"/>
      <c r="AA125" s="180"/>
      <c r="AB125" s="180"/>
    </row>
    <row r="126" spans="1:28">
      <c r="A126" s="631"/>
      <c r="B126" s="388" t="s">
        <v>195</v>
      </c>
      <c r="C126" s="391">
        <v>206192754</v>
      </c>
      <c r="D126" s="391"/>
      <c r="E126" s="391">
        <v>7413334</v>
      </c>
      <c r="F126" s="391">
        <v>642784</v>
      </c>
      <c r="G126" s="391"/>
      <c r="H126" s="391">
        <v>431518</v>
      </c>
      <c r="I126" s="749">
        <v>214680390</v>
      </c>
      <c r="J126" s="391"/>
      <c r="K126" s="391"/>
      <c r="L126" s="391"/>
      <c r="M126" s="391"/>
      <c r="N126" s="391"/>
      <c r="O126" s="749"/>
      <c r="P126" s="391"/>
      <c r="Q126" s="391"/>
      <c r="R126" s="391"/>
      <c r="S126" s="749"/>
      <c r="T126" s="391"/>
      <c r="U126" s="749"/>
      <c r="V126" s="391">
        <v>13316114</v>
      </c>
      <c r="W126" s="749">
        <v>227996504</v>
      </c>
      <c r="X126" s="378"/>
      <c r="Y126" s="180"/>
      <c r="Z126" s="180"/>
      <c r="AA126" s="180"/>
      <c r="AB126" s="180"/>
    </row>
    <row r="127" spans="1:28" s="203" customFormat="1">
      <c r="A127" s="631"/>
      <c r="B127" s="389" t="s">
        <v>242</v>
      </c>
      <c r="C127" s="392">
        <v>216565638</v>
      </c>
      <c r="D127" s="392"/>
      <c r="E127" s="392">
        <v>7636988</v>
      </c>
      <c r="F127" s="392">
        <v>642784</v>
      </c>
      <c r="G127" s="392"/>
      <c r="H127" s="392">
        <v>431518</v>
      </c>
      <c r="I127" s="750">
        <v>225276928</v>
      </c>
      <c r="J127" s="392"/>
      <c r="K127" s="392"/>
      <c r="L127" s="392"/>
      <c r="M127" s="392"/>
      <c r="N127" s="392"/>
      <c r="O127" s="750"/>
      <c r="P127" s="392"/>
      <c r="Q127" s="392"/>
      <c r="R127" s="392"/>
      <c r="S127" s="750"/>
      <c r="T127" s="392"/>
      <c r="U127" s="750"/>
      <c r="V127" s="392">
        <v>16066114</v>
      </c>
      <c r="W127" s="750">
        <v>241343042</v>
      </c>
      <c r="X127" s="378"/>
      <c r="Y127" s="180"/>
      <c r="Z127" s="180"/>
      <c r="AA127" s="180"/>
      <c r="AB127" s="180"/>
    </row>
    <row r="128" spans="1:28" s="202" customFormat="1">
      <c r="A128" s="631"/>
      <c r="B128" s="634" t="s">
        <v>244</v>
      </c>
      <c r="C128" s="466">
        <v>5.0306733863208404</v>
      </c>
      <c r="D128" s="466">
        <v>0</v>
      </c>
      <c r="E128" s="466">
        <v>3.0169151963205758</v>
      </c>
      <c r="F128" s="466">
        <v>0</v>
      </c>
      <c r="G128" s="466">
        <v>0</v>
      </c>
      <c r="H128" s="466">
        <v>0</v>
      </c>
      <c r="I128" s="751">
        <v>4.9359599169723882</v>
      </c>
      <c r="J128" s="466">
        <v>0</v>
      </c>
      <c r="K128" s="466">
        <v>0</v>
      </c>
      <c r="L128" s="466">
        <v>0</v>
      </c>
      <c r="M128" s="466">
        <v>0</v>
      </c>
      <c r="N128" s="466">
        <v>0</v>
      </c>
      <c r="O128" s="751">
        <v>0</v>
      </c>
      <c r="P128" s="466">
        <v>0</v>
      </c>
      <c r="Q128" s="466">
        <v>0</v>
      </c>
      <c r="R128" s="466">
        <v>0</v>
      </c>
      <c r="S128" s="751">
        <v>0</v>
      </c>
      <c r="T128" s="466">
        <v>0</v>
      </c>
      <c r="U128" s="751">
        <v>0</v>
      </c>
      <c r="V128" s="1461">
        <v>20.651670599996365</v>
      </c>
      <c r="W128" s="751">
        <v>5.8538344956377051</v>
      </c>
      <c r="X128" s="378"/>
      <c r="Y128" s="180"/>
      <c r="Z128" s="180"/>
      <c r="AA128" s="180"/>
      <c r="AB128" s="180"/>
    </row>
    <row r="129" spans="1:28">
      <c r="A129" s="631"/>
      <c r="B129" s="388" t="s">
        <v>5</v>
      </c>
      <c r="C129" s="391"/>
      <c r="D129" s="391"/>
      <c r="E129" s="391"/>
      <c r="F129" s="391"/>
      <c r="G129" s="391"/>
      <c r="H129" s="391"/>
      <c r="I129" s="749"/>
      <c r="J129" s="391"/>
      <c r="K129" s="391"/>
      <c r="L129" s="391"/>
      <c r="M129" s="391"/>
      <c r="N129" s="391"/>
      <c r="O129" s="749"/>
      <c r="P129" s="391"/>
      <c r="Q129" s="391"/>
      <c r="R129" s="391"/>
      <c r="S129" s="749"/>
      <c r="T129" s="391"/>
      <c r="U129" s="749"/>
      <c r="V129" s="391"/>
      <c r="W129" s="749"/>
      <c r="X129" s="378"/>
      <c r="Y129" s="180"/>
      <c r="Z129" s="180"/>
      <c r="AA129" s="180"/>
      <c r="AB129" s="180"/>
    </row>
    <row r="130" spans="1:28" s="203" customFormat="1">
      <c r="A130" s="631"/>
      <c r="B130" s="389" t="s">
        <v>6</v>
      </c>
      <c r="C130" s="392"/>
      <c r="D130" s="392"/>
      <c r="E130" s="392"/>
      <c r="F130" s="392"/>
      <c r="G130" s="392"/>
      <c r="H130" s="392"/>
      <c r="I130" s="750"/>
      <c r="J130" s="392"/>
      <c r="K130" s="392"/>
      <c r="L130" s="392"/>
      <c r="M130" s="392"/>
      <c r="N130" s="392"/>
      <c r="O130" s="750"/>
      <c r="P130" s="392"/>
      <c r="Q130" s="392"/>
      <c r="R130" s="392"/>
      <c r="S130" s="750"/>
      <c r="T130" s="392"/>
      <c r="U130" s="750"/>
      <c r="V130" s="392"/>
      <c r="W130" s="750"/>
      <c r="X130" s="378"/>
      <c r="Y130" s="180"/>
      <c r="Z130" s="180"/>
      <c r="AA130" s="180"/>
      <c r="AB130" s="180"/>
    </row>
    <row r="131" spans="1:28" s="202" customFormat="1">
      <c r="A131" s="631"/>
      <c r="B131" s="634" t="s">
        <v>298</v>
      </c>
      <c r="C131" s="466">
        <v>0</v>
      </c>
      <c r="D131" s="466">
        <v>0</v>
      </c>
      <c r="E131" s="466">
        <v>0</v>
      </c>
      <c r="F131" s="466">
        <v>0</v>
      </c>
      <c r="G131" s="466">
        <v>0</v>
      </c>
      <c r="H131" s="466">
        <v>0</v>
      </c>
      <c r="I131" s="751">
        <v>0</v>
      </c>
      <c r="J131" s="466">
        <v>0</v>
      </c>
      <c r="K131" s="466">
        <v>0</v>
      </c>
      <c r="L131" s="466">
        <v>0</v>
      </c>
      <c r="M131" s="466">
        <v>0</v>
      </c>
      <c r="N131" s="466">
        <v>0</v>
      </c>
      <c r="O131" s="751">
        <v>0</v>
      </c>
      <c r="P131" s="466">
        <v>0</v>
      </c>
      <c r="Q131" s="466">
        <v>0</v>
      </c>
      <c r="R131" s="466">
        <v>0</v>
      </c>
      <c r="S131" s="751">
        <v>0</v>
      </c>
      <c r="T131" s="466">
        <v>0</v>
      </c>
      <c r="U131" s="751">
        <v>0</v>
      </c>
      <c r="V131" s="466">
        <v>0</v>
      </c>
      <c r="W131" s="751">
        <v>0</v>
      </c>
      <c r="X131" s="378"/>
      <c r="Y131" s="180"/>
      <c r="Z131" s="180"/>
      <c r="AA131" s="180"/>
      <c r="AB131" s="180"/>
    </row>
    <row r="132" spans="1:28">
      <c r="A132" s="631"/>
      <c r="B132" s="388" t="s">
        <v>223</v>
      </c>
      <c r="C132" s="391">
        <v>1383016528.6800001</v>
      </c>
      <c r="D132" s="391"/>
      <c r="E132" s="391">
        <v>195586061.29000002</v>
      </c>
      <c r="F132" s="391">
        <v>61870318.740000002</v>
      </c>
      <c r="G132" s="391"/>
      <c r="H132" s="391">
        <v>6223311.2199999997</v>
      </c>
      <c r="I132" s="749">
        <v>1646696219.9300001</v>
      </c>
      <c r="J132" s="391">
        <v>619037841</v>
      </c>
      <c r="K132" s="391">
        <v>214499581</v>
      </c>
      <c r="L132" s="391">
        <v>16568459</v>
      </c>
      <c r="M132" s="391">
        <v>3996776</v>
      </c>
      <c r="N132" s="391"/>
      <c r="O132" s="749">
        <v>854102657</v>
      </c>
      <c r="P132" s="391"/>
      <c r="Q132" s="391"/>
      <c r="R132" s="391"/>
      <c r="S132" s="749"/>
      <c r="T132" s="391"/>
      <c r="U132" s="749"/>
      <c r="V132" s="391"/>
      <c r="W132" s="749">
        <v>2500798876.9300003</v>
      </c>
      <c r="X132" s="378"/>
      <c r="Y132" s="180"/>
      <c r="Z132" s="180"/>
      <c r="AA132" s="180"/>
      <c r="AB132" s="180"/>
    </row>
    <row r="133" spans="1:28" s="203" customFormat="1">
      <c r="A133" s="631"/>
      <c r="B133" s="389" t="s">
        <v>14</v>
      </c>
      <c r="C133" s="392">
        <v>1424404452</v>
      </c>
      <c r="D133" s="392"/>
      <c r="E133" s="392">
        <v>200611820</v>
      </c>
      <c r="F133" s="392">
        <v>62047721</v>
      </c>
      <c r="G133" s="392"/>
      <c r="H133" s="392">
        <v>6061646.6299999999</v>
      </c>
      <c r="I133" s="750">
        <v>1693125639.6300001</v>
      </c>
      <c r="J133" s="392">
        <v>591374252</v>
      </c>
      <c r="K133" s="392">
        <v>212222650</v>
      </c>
      <c r="L133" s="392">
        <v>14295900</v>
      </c>
      <c r="M133" s="392">
        <v>3813523</v>
      </c>
      <c r="N133" s="392"/>
      <c r="O133" s="750">
        <v>821706325</v>
      </c>
      <c r="P133" s="392"/>
      <c r="Q133" s="392"/>
      <c r="R133" s="392"/>
      <c r="S133" s="750"/>
      <c r="T133" s="392"/>
      <c r="U133" s="750"/>
      <c r="V133" s="392"/>
      <c r="W133" s="750">
        <v>2514831964.6300001</v>
      </c>
      <c r="X133" s="378"/>
      <c r="Y133" s="180"/>
      <c r="Z133" s="180"/>
      <c r="AA133" s="180"/>
      <c r="AB133" s="180"/>
    </row>
    <row r="134" spans="1:28" s="202" customFormat="1">
      <c r="A134" s="631"/>
      <c r="B134" s="634" t="s">
        <v>247</v>
      </c>
      <c r="C134" s="466">
        <v>2.9925834190500984</v>
      </c>
      <c r="D134" s="466">
        <v>0</v>
      </c>
      <c r="E134" s="466">
        <v>2.5695894057338622</v>
      </c>
      <c r="F134" s="466">
        <v>0.28673241646855285</v>
      </c>
      <c r="G134" s="466">
        <v>0</v>
      </c>
      <c r="H134" s="466">
        <v>-2.5977262631580214</v>
      </c>
      <c r="I134" s="751">
        <v>2.8195497832607965</v>
      </c>
      <c r="J134" s="466">
        <v>-4.4688041938295662</v>
      </c>
      <c r="K134" s="466">
        <v>-1.0615083672354586</v>
      </c>
      <c r="L134" s="1461">
        <v>-13.716176018542219</v>
      </c>
      <c r="M134" s="466">
        <v>-4.5850205265443948</v>
      </c>
      <c r="N134" s="466">
        <v>0</v>
      </c>
      <c r="O134" s="751">
        <v>-3.7930255496207876</v>
      </c>
      <c r="P134" s="466">
        <v>0</v>
      </c>
      <c r="Q134" s="466">
        <v>0</v>
      </c>
      <c r="R134" s="466">
        <v>0</v>
      </c>
      <c r="S134" s="751">
        <v>0</v>
      </c>
      <c r="T134" s="466">
        <v>0</v>
      </c>
      <c r="U134" s="751">
        <v>0</v>
      </c>
      <c r="V134" s="466">
        <v>0</v>
      </c>
      <c r="W134" s="751">
        <v>0.56114419393961557</v>
      </c>
      <c r="X134" s="378"/>
      <c r="Y134" s="180"/>
      <c r="Z134" s="180"/>
      <c r="AA134" s="180"/>
      <c r="AB134" s="180"/>
    </row>
    <row r="135" spans="1:28">
      <c r="A135" s="631"/>
      <c r="B135" s="388" t="s">
        <v>225</v>
      </c>
      <c r="C135" s="391">
        <v>17869053.220000003</v>
      </c>
      <c r="D135" s="391"/>
      <c r="E135" s="391">
        <v>2779726.71</v>
      </c>
      <c r="F135" s="391">
        <v>933070.26</v>
      </c>
      <c r="G135" s="391"/>
      <c r="H135" s="391">
        <v>67111.78</v>
      </c>
      <c r="I135" s="749">
        <v>21648961.970000006</v>
      </c>
      <c r="J135" s="391"/>
      <c r="K135" s="391"/>
      <c r="L135" s="391"/>
      <c r="M135" s="391"/>
      <c r="N135" s="391"/>
      <c r="O135" s="749"/>
      <c r="P135" s="391"/>
      <c r="Q135" s="391"/>
      <c r="R135" s="391"/>
      <c r="S135" s="749"/>
      <c r="T135" s="391"/>
      <c r="U135" s="749"/>
      <c r="V135" s="391"/>
      <c r="W135" s="749">
        <v>21648961.970000006</v>
      </c>
      <c r="X135" s="378"/>
      <c r="Y135" s="180"/>
      <c r="Z135" s="180"/>
      <c r="AA135" s="180"/>
      <c r="AB135" s="180"/>
    </row>
    <row r="136" spans="1:28" s="203" customFormat="1">
      <c r="A136" s="631"/>
      <c r="B136" s="389" t="s">
        <v>166</v>
      </c>
      <c r="C136" s="392">
        <v>17751805.140000001</v>
      </c>
      <c r="D136" s="392"/>
      <c r="E136" s="392">
        <v>2530705.67</v>
      </c>
      <c r="F136" s="392">
        <v>1331493.81</v>
      </c>
      <c r="G136" s="392"/>
      <c r="H136" s="392">
        <v>71562</v>
      </c>
      <c r="I136" s="750">
        <v>21685566.620000001</v>
      </c>
      <c r="J136" s="392"/>
      <c r="K136" s="392"/>
      <c r="L136" s="392"/>
      <c r="M136" s="392"/>
      <c r="N136" s="392"/>
      <c r="O136" s="750"/>
      <c r="P136" s="392"/>
      <c r="Q136" s="392"/>
      <c r="R136" s="392"/>
      <c r="S136" s="750"/>
      <c r="T136" s="392"/>
      <c r="U136" s="750"/>
      <c r="V136" s="392"/>
      <c r="W136" s="750">
        <v>21685566.620000001</v>
      </c>
      <c r="X136" s="378"/>
      <c r="Y136" s="180"/>
      <c r="Z136" s="180"/>
      <c r="AA136" s="180"/>
      <c r="AB136" s="180"/>
    </row>
    <row r="137" spans="1:28" s="202" customFormat="1">
      <c r="A137" s="631"/>
      <c r="B137" s="634" t="s">
        <v>175</v>
      </c>
      <c r="C137" s="466">
        <v>-0.65615160779067794</v>
      </c>
      <c r="D137" s="466">
        <v>0</v>
      </c>
      <c r="E137" s="466">
        <v>-8.9584720362671924</v>
      </c>
      <c r="F137" s="1461">
        <v>42.700273182000252</v>
      </c>
      <c r="G137" s="466">
        <v>0</v>
      </c>
      <c r="H137" s="466">
        <v>6.6310564255634414</v>
      </c>
      <c r="I137" s="751">
        <v>0.16908270267514841</v>
      </c>
      <c r="J137" s="466">
        <v>0</v>
      </c>
      <c r="K137" s="466">
        <v>0</v>
      </c>
      <c r="L137" s="466">
        <v>0</v>
      </c>
      <c r="M137" s="466">
        <v>0</v>
      </c>
      <c r="N137" s="466">
        <v>0</v>
      </c>
      <c r="O137" s="751">
        <v>0</v>
      </c>
      <c r="P137" s="466">
        <v>0</v>
      </c>
      <c r="Q137" s="466">
        <v>0</v>
      </c>
      <c r="R137" s="466">
        <v>0</v>
      </c>
      <c r="S137" s="751">
        <v>0</v>
      </c>
      <c r="T137" s="466">
        <v>0</v>
      </c>
      <c r="U137" s="751">
        <v>0</v>
      </c>
      <c r="V137" s="466">
        <v>0</v>
      </c>
      <c r="W137" s="751">
        <v>0.16908270267514841</v>
      </c>
      <c r="X137" s="378"/>
      <c r="Y137" s="180"/>
      <c r="Z137" s="180"/>
      <c r="AA137" s="180"/>
      <c r="AB137" s="180"/>
    </row>
    <row r="138" spans="1:28">
      <c r="A138" s="631"/>
      <c r="B138" s="752" t="s">
        <v>317</v>
      </c>
      <c r="C138" s="749">
        <v>1400885581.9000001</v>
      </c>
      <c r="D138" s="749"/>
      <c r="E138" s="749">
        <v>198365788</v>
      </c>
      <c r="F138" s="749">
        <v>62803389</v>
      </c>
      <c r="G138" s="749"/>
      <c r="H138" s="749">
        <v>6290423</v>
      </c>
      <c r="I138" s="749">
        <v>1668345181.9000001</v>
      </c>
      <c r="J138" s="749">
        <v>619037841</v>
      </c>
      <c r="K138" s="749">
        <v>214499581</v>
      </c>
      <c r="L138" s="749">
        <v>16568459</v>
      </c>
      <c r="M138" s="749">
        <v>3996776</v>
      </c>
      <c r="N138" s="749"/>
      <c r="O138" s="749">
        <v>854102657</v>
      </c>
      <c r="P138" s="749"/>
      <c r="Q138" s="749"/>
      <c r="R138" s="749"/>
      <c r="S138" s="749"/>
      <c r="T138" s="749"/>
      <c r="U138" s="749"/>
      <c r="V138" s="749">
        <v>0</v>
      </c>
      <c r="W138" s="749">
        <v>2522447838.9000001</v>
      </c>
      <c r="X138" s="378"/>
      <c r="Y138" s="180"/>
      <c r="Z138" s="180"/>
      <c r="AA138" s="180"/>
      <c r="AB138" s="180"/>
    </row>
    <row r="139" spans="1:28" s="203" customFormat="1">
      <c r="A139" s="631"/>
      <c r="B139" s="753" t="s">
        <v>70</v>
      </c>
      <c r="C139" s="750">
        <v>1442156257.1399999</v>
      </c>
      <c r="D139" s="750"/>
      <c r="E139" s="750">
        <v>203142525.67000002</v>
      </c>
      <c r="F139" s="750">
        <v>63379214.810000002</v>
      </c>
      <c r="G139" s="750"/>
      <c r="H139" s="750">
        <v>6133208.6299999999</v>
      </c>
      <c r="I139" s="750">
        <v>1714811206.25</v>
      </c>
      <c r="J139" s="750">
        <v>591374252</v>
      </c>
      <c r="K139" s="750">
        <v>212222650</v>
      </c>
      <c r="L139" s="750">
        <v>14295900</v>
      </c>
      <c r="M139" s="750">
        <v>3813523</v>
      </c>
      <c r="N139" s="750"/>
      <c r="O139" s="750">
        <v>821706325</v>
      </c>
      <c r="P139" s="750"/>
      <c r="Q139" s="750"/>
      <c r="R139" s="750"/>
      <c r="S139" s="750"/>
      <c r="T139" s="750"/>
      <c r="U139" s="750"/>
      <c r="V139" s="750">
        <v>0</v>
      </c>
      <c r="W139" s="750">
        <v>2536517531.25</v>
      </c>
      <c r="X139" s="378"/>
      <c r="Y139" s="180"/>
      <c r="Z139" s="180"/>
      <c r="AA139" s="180"/>
      <c r="AB139" s="180"/>
    </row>
    <row r="140" spans="1:28" s="202" customFormat="1">
      <c r="A140" s="631"/>
      <c r="B140" s="754" t="s">
        <v>57</v>
      </c>
      <c r="C140" s="751">
        <v>2.9460418304844693</v>
      </c>
      <c r="D140" s="751">
        <v>0</v>
      </c>
      <c r="E140" s="751">
        <v>2.4080451161265857</v>
      </c>
      <c r="F140" s="751">
        <v>0.91687060072506965</v>
      </c>
      <c r="G140" s="751">
        <v>0</v>
      </c>
      <c r="H140" s="751">
        <v>-2.4992654707004616</v>
      </c>
      <c r="I140" s="751">
        <v>2.7851565044280684</v>
      </c>
      <c r="J140" s="751">
        <v>-4.4688041938295662</v>
      </c>
      <c r="K140" s="751">
        <v>-1.0615083672354586</v>
      </c>
      <c r="L140" s="751">
        <v>-13.716176018542219</v>
      </c>
      <c r="M140" s="751">
        <v>-4.5850205265443948</v>
      </c>
      <c r="N140" s="751">
        <v>0</v>
      </c>
      <c r="O140" s="751">
        <v>-3.7930255496207876</v>
      </c>
      <c r="P140" s="751">
        <v>0</v>
      </c>
      <c r="Q140" s="751">
        <v>0</v>
      </c>
      <c r="R140" s="751">
        <v>0</v>
      </c>
      <c r="S140" s="751">
        <v>0</v>
      </c>
      <c r="T140" s="751">
        <v>0</v>
      </c>
      <c r="U140" s="751">
        <v>0</v>
      </c>
      <c r="V140" s="751">
        <v>0</v>
      </c>
      <c r="W140" s="751">
        <v>0.55777931789207891</v>
      </c>
      <c r="X140" s="378"/>
      <c r="Y140" s="180"/>
      <c r="Z140" s="180"/>
      <c r="AA140" s="180"/>
      <c r="AB140" s="180"/>
    </row>
    <row r="141" spans="1:28">
      <c r="A141" s="631"/>
      <c r="B141" s="388" t="s">
        <v>72</v>
      </c>
      <c r="C141" s="391"/>
      <c r="D141" s="391"/>
      <c r="E141" s="391"/>
      <c r="F141" s="391"/>
      <c r="G141" s="391"/>
      <c r="H141" s="391"/>
      <c r="I141" s="749"/>
      <c r="J141" s="391"/>
      <c r="K141" s="391"/>
      <c r="L141" s="391"/>
      <c r="M141" s="391"/>
      <c r="N141" s="391"/>
      <c r="O141" s="749"/>
      <c r="P141" s="391"/>
      <c r="Q141" s="391"/>
      <c r="R141" s="391"/>
      <c r="S141" s="749"/>
      <c r="T141" s="391"/>
      <c r="U141" s="749"/>
      <c r="V141" s="391">
        <v>570609446</v>
      </c>
      <c r="W141" s="749">
        <v>570609446</v>
      </c>
      <c r="X141" s="378"/>
      <c r="Y141" s="180"/>
      <c r="Z141" s="180"/>
      <c r="AA141" s="180"/>
      <c r="AB141" s="180"/>
    </row>
    <row r="142" spans="1:28" s="203" customFormat="1">
      <c r="A142" s="631"/>
      <c r="B142" s="389" t="s">
        <v>74</v>
      </c>
      <c r="C142" s="392"/>
      <c r="D142" s="392"/>
      <c r="E142" s="392"/>
      <c r="F142" s="392"/>
      <c r="G142" s="392"/>
      <c r="H142" s="392"/>
      <c r="I142" s="750"/>
      <c r="J142" s="392"/>
      <c r="K142" s="392"/>
      <c r="L142" s="392"/>
      <c r="M142" s="392"/>
      <c r="N142" s="392"/>
      <c r="O142" s="750"/>
      <c r="P142" s="392"/>
      <c r="Q142" s="392"/>
      <c r="R142" s="392"/>
      <c r="S142" s="750"/>
      <c r="T142" s="392"/>
      <c r="U142" s="750"/>
      <c r="V142" s="392">
        <v>570790161</v>
      </c>
      <c r="W142" s="750">
        <v>570790161</v>
      </c>
      <c r="X142" s="378"/>
      <c r="Y142" s="180"/>
      <c r="Z142" s="180"/>
      <c r="AA142" s="180"/>
      <c r="AB142" s="180"/>
    </row>
    <row r="143" spans="1:28" s="202" customFormat="1">
      <c r="A143" s="631"/>
      <c r="B143" s="634" t="s">
        <v>76</v>
      </c>
      <c r="C143" s="466">
        <v>0</v>
      </c>
      <c r="D143" s="466">
        <v>0</v>
      </c>
      <c r="E143" s="466">
        <v>0</v>
      </c>
      <c r="F143" s="466">
        <v>0</v>
      </c>
      <c r="G143" s="466">
        <v>0</v>
      </c>
      <c r="H143" s="466">
        <v>0</v>
      </c>
      <c r="I143" s="751">
        <v>0</v>
      </c>
      <c r="J143" s="466">
        <v>0</v>
      </c>
      <c r="K143" s="466">
        <v>0</v>
      </c>
      <c r="L143" s="466">
        <v>0</v>
      </c>
      <c r="M143" s="466">
        <v>0</v>
      </c>
      <c r="N143" s="466">
        <v>0</v>
      </c>
      <c r="O143" s="751">
        <v>0</v>
      </c>
      <c r="P143" s="466">
        <v>0</v>
      </c>
      <c r="Q143" s="466">
        <v>0</v>
      </c>
      <c r="R143" s="466">
        <v>0</v>
      </c>
      <c r="S143" s="751">
        <v>0</v>
      </c>
      <c r="T143" s="466">
        <v>0</v>
      </c>
      <c r="U143" s="751">
        <v>0</v>
      </c>
      <c r="V143" s="466">
        <v>3.1670523729815714E-2</v>
      </c>
      <c r="W143" s="751">
        <v>3.1670523729815714E-2</v>
      </c>
      <c r="X143" s="378"/>
      <c r="Y143" s="180"/>
      <c r="Z143" s="180"/>
      <c r="AA143" s="180"/>
      <c r="AB143" s="180"/>
    </row>
    <row r="144" spans="1:28">
      <c r="A144" s="631"/>
      <c r="B144" s="388" t="s">
        <v>240</v>
      </c>
      <c r="C144" s="391"/>
      <c r="D144" s="391"/>
      <c r="E144" s="391"/>
      <c r="F144" s="391"/>
      <c r="G144" s="391"/>
      <c r="H144" s="391"/>
      <c r="I144" s="749"/>
      <c r="J144" s="391"/>
      <c r="K144" s="391"/>
      <c r="L144" s="391"/>
      <c r="M144" s="391"/>
      <c r="N144" s="391"/>
      <c r="O144" s="749"/>
      <c r="P144" s="391"/>
      <c r="Q144" s="391"/>
      <c r="R144" s="391"/>
      <c r="S144" s="749"/>
      <c r="T144" s="391"/>
      <c r="U144" s="749"/>
      <c r="V144" s="391"/>
      <c r="W144" s="749"/>
      <c r="X144" s="378"/>
      <c r="Y144" s="180"/>
      <c r="Z144" s="180"/>
      <c r="AA144" s="180"/>
      <c r="AB144" s="180"/>
    </row>
    <row r="145" spans="1:28" s="203" customFormat="1">
      <c r="A145" s="631"/>
      <c r="B145" s="389" t="s">
        <v>163</v>
      </c>
      <c r="C145" s="392"/>
      <c r="D145" s="392"/>
      <c r="E145" s="392"/>
      <c r="F145" s="392"/>
      <c r="G145" s="392"/>
      <c r="H145" s="392"/>
      <c r="I145" s="750"/>
      <c r="J145" s="392"/>
      <c r="K145" s="392"/>
      <c r="L145" s="392"/>
      <c r="M145" s="392"/>
      <c r="N145" s="392"/>
      <c r="O145" s="750"/>
      <c r="P145" s="392"/>
      <c r="Q145" s="392"/>
      <c r="R145" s="392"/>
      <c r="S145" s="750"/>
      <c r="T145" s="392"/>
      <c r="U145" s="750"/>
      <c r="V145" s="392"/>
      <c r="W145" s="750"/>
      <c r="X145" s="378"/>
      <c r="Y145" s="180"/>
      <c r="Z145" s="180"/>
      <c r="AA145" s="180"/>
      <c r="AB145" s="180"/>
    </row>
    <row r="146" spans="1:28" s="202" customFormat="1">
      <c r="A146" s="631"/>
      <c r="B146" s="634" t="s">
        <v>59</v>
      </c>
      <c r="C146" s="466">
        <v>0</v>
      </c>
      <c r="D146" s="466">
        <v>0</v>
      </c>
      <c r="E146" s="466">
        <v>0</v>
      </c>
      <c r="F146" s="466">
        <v>0</v>
      </c>
      <c r="G146" s="466">
        <v>0</v>
      </c>
      <c r="H146" s="466">
        <v>0</v>
      </c>
      <c r="I146" s="751">
        <v>0</v>
      </c>
      <c r="J146" s="466">
        <v>0</v>
      </c>
      <c r="K146" s="466">
        <v>0</v>
      </c>
      <c r="L146" s="466">
        <v>0</v>
      </c>
      <c r="M146" s="466">
        <v>0</v>
      </c>
      <c r="N146" s="466">
        <v>0</v>
      </c>
      <c r="O146" s="751">
        <v>0</v>
      </c>
      <c r="P146" s="466">
        <v>0</v>
      </c>
      <c r="Q146" s="466">
        <v>0</v>
      </c>
      <c r="R146" s="466">
        <v>0</v>
      </c>
      <c r="S146" s="751">
        <v>0</v>
      </c>
      <c r="T146" s="466">
        <v>0</v>
      </c>
      <c r="U146" s="751">
        <v>0</v>
      </c>
      <c r="V146" s="466">
        <v>0</v>
      </c>
      <c r="W146" s="751">
        <v>0</v>
      </c>
      <c r="X146" s="378"/>
      <c r="Y146" s="180"/>
      <c r="Z146" s="180"/>
      <c r="AA146" s="180"/>
      <c r="AB146" s="180"/>
    </row>
    <row r="147" spans="1:28">
      <c r="A147" s="631"/>
      <c r="B147" s="388" t="s">
        <v>159</v>
      </c>
      <c r="C147" s="391"/>
      <c r="D147" s="391"/>
      <c r="E147" s="391"/>
      <c r="F147" s="391"/>
      <c r="G147" s="391"/>
      <c r="H147" s="391"/>
      <c r="I147" s="749"/>
      <c r="J147" s="391"/>
      <c r="K147" s="391"/>
      <c r="L147" s="391"/>
      <c r="M147" s="391"/>
      <c r="N147" s="391"/>
      <c r="O147" s="749"/>
      <c r="P147" s="391"/>
      <c r="Q147" s="391"/>
      <c r="R147" s="391"/>
      <c r="S147" s="749"/>
      <c r="T147" s="391"/>
      <c r="U147" s="749"/>
      <c r="V147" s="391"/>
      <c r="W147" s="749"/>
      <c r="X147" s="378"/>
      <c r="Y147" s="180"/>
      <c r="Z147" s="180"/>
      <c r="AA147" s="180"/>
      <c r="AB147" s="180"/>
    </row>
    <row r="148" spans="1:28" s="203" customFormat="1">
      <c r="A148" s="631"/>
      <c r="B148" s="389" t="s">
        <v>100</v>
      </c>
      <c r="C148" s="392"/>
      <c r="D148" s="392"/>
      <c r="E148" s="392"/>
      <c r="F148" s="392"/>
      <c r="G148" s="392"/>
      <c r="H148" s="392"/>
      <c r="I148" s="750"/>
      <c r="J148" s="392"/>
      <c r="K148" s="392"/>
      <c r="L148" s="392"/>
      <c r="M148" s="392"/>
      <c r="N148" s="392"/>
      <c r="O148" s="750"/>
      <c r="P148" s="392"/>
      <c r="Q148" s="392"/>
      <c r="R148" s="392"/>
      <c r="S148" s="750"/>
      <c r="T148" s="392"/>
      <c r="U148" s="750"/>
      <c r="V148" s="392"/>
      <c r="W148" s="750"/>
      <c r="X148" s="378"/>
      <c r="Y148" s="180"/>
      <c r="Z148" s="180"/>
      <c r="AA148" s="180"/>
      <c r="AB148" s="180"/>
    </row>
    <row r="149" spans="1:28" s="202" customFormat="1">
      <c r="A149" s="631"/>
      <c r="B149" s="634" t="s">
        <v>110</v>
      </c>
      <c r="C149" s="466">
        <v>0</v>
      </c>
      <c r="D149" s="466">
        <v>0</v>
      </c>
      <c r="E149" s="466">
        <v>0</v>
      </c>
      <c r="F149" s="466">
        <v>0</v>
      </c>
      <c r="G149" s="466">
        <v>0</v>
      </c>
      <c r="H149" s="466">
        <v>0</v>
      </c>
      <c r="I149" s="751">
        <v>0</v>
      </c>
      <c r="J149" s="466">
        <v>0</v>
      </c>
      <c r="K149" s="466">
        <v>0</v>
      </c>
      <c r="L149" s="466">
        <v>0</v>
      </c>
      <c r="M149" s="466">
        <v>0</v>
      </c>
      <c r="N149" s="466">
        <v>0</v>
      </c>
      <c r="O149" s="751">
        <v>0</v>
      </c>
      <c r="P149" s="466">
        <v>0</v>
      </c>
      <c r="Q149" s="466">
        <v>0</v>
      </c>
      <c r="R149" s="466">
        <v>0</v>
      </c>
      <c r="S149" s="751">
        <v>0</v>
      </c>
      <c r="T149" s="466">
        <v>0</v>
      </c>
      <c r="U149" s="751">
        <v>0</v>
      </c>
      <c r="V149" s="466">
        <v>0</v>
      </c>
      <c r="W149" s="751">
        <v>0</v>
      </c>
      <c r="X149" s="378"/>
      <c r="Y149" s="180"/>
      <c r="Z149" s="180"/>
      <c r="AA149" s="180"/>
      <c r="AB149" s="180"/>
    </row>
    <row r="150" spans="1:28">
      <c r="A150" s="631"/>
      <c r="B150" s="388" t="s">
        <v>161</v>
      </c>
      <c r="C150" s="391">
        <v>0</v>
      </c>
      <c r="D150" s="391"/>
      <c r="E150" s="391">
        <v>0</v>
      </c>
      <c r="F150" s="391">
        <v>0</v>
      </c>
      <c r="G150" s="391"/>
      <c r="H150" s="391">
        <v>0</v>
      </c>
      <c r="I150" s="749">
        <v>0</v>
      </c>
      <c r="J150" s="391">
        <v>0</v>
      </c>
      <c r="K150" s="391">
        <v>0</v>
      </c>
      <c r="L150" s="391">
        <v>0</v>
      </c>
      <c r="M150" s="391">
        <v>0</v>
      </c>
      <c r="N150" s="391"/>
      <c r="O150" s="749">
        <v>0</v>
      </c>
      <c r="P150" s="391"/>
      <c r="Q150" s="391"/>
      <c r="R150" s="391"/>
      <c r="S150" s="749"/>
      <c r="T150" s="391"/>
      <c r="U150" s="749"/>
      <c r="V150" s="391">
        <v>0</v>
      </c>
      <c r="W150" s="749">
        <v>0</v>
      </c>
      <c r="X150" s="378"/>
      <c r="Y150" s="180"/>
      <c r="Z150" s="180"/>
      <c r="AA150" s="180"/>
      <c r="AB150" s="180"/>
    </row>
    <row r="151" spans="1:28" s="203" customFormat="1">
      <c r="A151" s="631"/>
      <c r="B151" s="389" t="s">
        <v>102</v>
      </c>
      <c r="C151" s="392">
        <v>0</v>
      </c>
      <c r="D151" s="392"/>
      <c r="E151" s="392">
        <v>0</v>
      </c>
      <c r="F151" s="392">
        <v>0</v>
      </c>
      <c r="G151" s="392"/>
      <c r="H151" s="392">
        <v>0</v>
      </c>
      <c r="I151" s="750">
        <v>0</v>
      </c>
      <c r="J151" s="392">
        <v>0</v>
      </c>
      <c r="K151" s="392">
        <v>0</v>
      </c>
      <c r="L151" s="392">
        <v>0</v>
      </c>
      <c r="M151" s="392">
        <v>0</v>
      </c>
      <c r="N151" s="392"/>
      <c r="O151" s="750">
        <v>0</v>
      </c>
      <c r="P151" s="392"/>
      <c r="Q151" s="392"/>
      <c r="R151" s="392"/>
      <c r="S151" s="750"/>
      <c r="T151" s="392"/>
      <c r="U151" s="750"/>
      <c r="V151" s="392">
        <v>0</v>
      </c>
      <c r="W151" s="750">
        <v>0</v>
      </c>
      <c r="X151" s="378"/>
      <c r="Y151" s="180"/>
      <c r="Z151" s="180"/>
      <c r="AA151" s="180"/>
      <c r="AB151" s="180"/>
    </row>
    <row r="152" spans="1:28" s="202" customFormat="1">
      <c r="A152" s="631"/>
      <c r="B152" s="634" t="s">
        <v>183</v>
      </c>
      <c r="C152" s="466">
        <v>0</v>
      </c>
      <c r="D152" s="466">
        <v>0</v>
      </c>
      <c r="E152" s="466">
        <v>0</v>
      </c>
      <c r="F152" s="466">
        <v>0</v>
      </c>
      <c r="G152" s="466">
        <v>0</v>
      </c>
      <c r="H152" s="466">
        <v>0</v>
      </c>
      <c r="I152" s="751">
        <v>0</v>
      </c>
      <c r="J152" s="466">
        <v>0</v>
      </c>
      <c r="K152" s="466">
        <v>0</v>
      </c>
      <c r="L152" s="466">
        <v>0</v>
      </c>
      <c r="M152" s="466">
        <v>0</v>
      </c>
      <c r="N152" s="466">
        <v>0</v>
      </c>
      <c r="O152" s="751">
        <v>0</v>
      </c>
      <c r="P152" s="466">
        <v>0</v>
      </c>
      <c r="Q152" s="466">
        <v>0</v>
      </c>
      <c r="R152" s="466">
        <v>0</v>
      </c>
      <c r="S152" s="751">
        <v>0</v>
      </c>
      <c r="T152" s="466">
        <v>0</v>
      </c>
      <c r="U152" s="751">
        <v>0</v>
      </c>
      <c r="V152" s="466">
        <v>0</v>
      </c>
      <c r="W152" s="751">
        <v>0</v>
      </c>
      <c r="X152" s="378"/>
      <c r="Y152" s="180"/>
      <c r="Z152" s="180"/>
      <c r="AA152" s="180"/>
      <c r="AB152" s="180"/>
    </row>
    <row r="153" spans="1:28">
      <c r="A153" s="631"/>
      <c r="B153" s="388" t="s">
        <v>78</v>
      </c>
      <c r="C153" s="391">
        <v>291229660</v>
      </c>
      <c r="D153" s="391"/>
      <c r="E153" s="391"/>
      <c r="F153" s="391"/>
      <c r="G153" s="391"/>
      <c r="H153" s="391"/>
      <c r="I153" s="749">
        <v>291229660</v>
      </c>
      <c r="J153" s="391"/>
      <c r="K153" s="391"/>
      <c r="L153" s="391"/>
      <c r="M153" s="391"/>
      <c r="N153" s="391"/>
      <c r="O153" s="749"/>
      <c r="P153" s="391"/>
      <c r="Q153" s="391"/>
      <c r="R153" s="391"/>
      <c r="S153" s="749"/>
      <c r="T153" s="391"/>
      <c r="U153" s="749"/>
      <c r="V153" s="391"/>
      <c r="W153" s="749">
        <v>291229660</v>
      </c>
      <c r="X153" s="378"/>
      <c r="Y153" s="180"/>
      <c r="Z153" s="180"/>
      <c r="AA153" s="180"/>
      <c r="AB153" s="180"/>
    </row>
    <row r="154" spans="1:28" s="203" customFormat="1">
      <c r="A154" s="631"/>
      <c r="B154" s="389" t="s">
        <v>80</v>
      </c>
      <c r="C154" s="392">
        <v>297712853</v>
      </c>
      <c r="D154" s="392"/>
      <c r="E154" s="392"/>
      <c r="F154" s="392"/>
      <c r="G154" s="392"/>
      <c r="H154" s="392"/>
      <c r="I154" s="750">
        <v>297712853</v>
      </c>
      <c r="J154" s="392"/>
      <c r="K154" s="392"/>
      <c r="L154" s="392"/>
      <c r="M154" s="392"/>
      <c r="N154" s="392"/>
      <c r="O154" s="750"/>
      <c r="P154" s="392"/>
      <c r="Q154" s="392"/>
      <c r="R154" s="392"/>
      <c r="S154" s="750"/>
      <c r="T154" s="392"/>
      <c r="U154" s="750"/>
      <c r="V154" s="392"/>
      <c r="W154" s="750">
        <v>297712853</v>
      </c>
      <c r="X154" s="378"/>
      <c r="Y154" s="180"/>
      <c r="Z154" s="180"/>
      <c r="AA154" s="180"/>
      <c r="AB154" s="180"/>
    </row>
    <row r="155" spans="1:28" s="202" customFormat="1">
      <c r="A155" s="631"/>
      <c r="B155" s="634" t="s">
        <v>215</v>
      </c>
      <c r="C155" s="466">
        <v>2.2261444799269414</v>
      </c>
      <c r="D155" s="466">
        <v>0</v>
      </c>
      <c r="E155" s="466">
        <v>0</v>
      </c>
      <c r="F155" s="466">
        <v>0</v>
      </c>
      <c r="G155" s="466">
        <v>0</v>
      </c>
      <c r="H155" s="466">
        <v>0</v>
      </c>
      <c r="I155" s="751">
        <v>2.2261444799269414</v>
      </c>
      <c r="J155" s="466">
        <v>0</v>
      </c>
      <c r="K155" s="466">
        <v>0</v>
      </c>
      <c r="L155" s="466">
        <v>0</v>
      </c>
      <c r="M155" s="466">
        <v>0</v>
      </c>
      <c r="N155" s="466">
        <v>0</v>
      </c>
      <c r="O155" s="751">
        <v>0</v>
      </c>
      <c r="P155" s="466">
        <v>0</v>
      </c>
      <c r="Q155" s="466">
        <v>0</v>
      </c>
      <c r="R155" s="466">
        <v>0</v>
      </c>
      <c r="S155" s="751">
        <v>0</v>
      </c>
      <c r="T155" s="466">
        <v>0</v>
      </c>
      <c r="U155" s="751">
        <v>0</v>
      </c>
      <c r="V155" s="466">
        <v>0</v>
      </c>
      <c r="W155" s="751">
        <v>2.2261444799269414</v>
      </c>
      <c r="X155" s="378"/>
      <c r="Y155" s="180"/>
      <c r="Z155" s="180"/>
      <c r="AA155" s="180"/>
      <c r="AB155" s="180"/>
    </row>
    <row r="156" spans="1:28">
      <c r="A156" s="631"/>
      <c r="B156" s="388" t="s">
        <v>81</v>
      </c>
      <c r="C156" s="391">
        <v>134298935</v>
      </c>
      <c r="D156" s="391"/>
      <c r="E156" s="391"/>
      <c r="F156" s="391"/>
      <c r="G156" s="391"/>
      <c r="H156" s="391"/>
      <c r="I156" s="749">
        <v>134298935</v>
      </c>
      <c r="J156" s="391"/>
      <c r="K156" s="391"/>
      <c r="L156" s="391"/>
      <c r="M156" s="391"/>
      <c r="N156" s="391"/>
      <c r="O156" s="749"/>
      <c r="P156" s="391"/>
      <c r="Q156" s="391"/>
      <c r="R156" s="391"/>
      <c r="S156" s="749"/>
      <c r="T156" s="391"/>
      <c r="U156" s="749"/>
      <c r="V156" s="391"/>
      <c r="W156" s="749">
        <v>134298935</v>
      </c>
      <c r="X156" s="378"/>
      <c r="Y156" s="180"/>
      <c r="Z156" s="180"/>
      <c r="AA156" s="180"/>
      <c r="AB156" s="180"/>
    </row>
    <row r="157" spans="1:28" s="203" customFormat="1">
      <c r="A157" s="631"/>
      <c r="B157" s="389" t="s">
        <v>318</v>
      </c>
      <c r="C157" s="392">
        <v>144115450</v>
      </c>
      <c r="D157" s="392"/>
      <c r="E157" s="392"/>
      <c r="F157" s="392"/>
      <c r="G157" s="392"/>
      <c r="H157" s="392"/>
      <c r="I157" s="750">
        <v>144115450</v>
      </c>
      <c r="J157" s="392"/>
      <c r="K157" s="392"/>
      <c r="L157" s="392"/>
      <c r="M157" s="392"/>
      <c r="N157" s="392"/>
      <c r="O157" s="750"/>
      <c r="P157" s="392"/>
      <c r="Q157" s="392"/>
      <c r="R157" s="392"/>
      <c r="S157" s="750"/>
      <c r="T157" s="392"/>
      <c r="U157" s="750"/>
      <c r="V157" s="392"/>
      <c r="W157" s="750">
        <v>144115450</v>
      </c>
      <c r="X157" s="378"/>
      <c r="Y157" s="180"/>
      <c r="Z157" s="180"/>
      <c r="AA157" s="180"/>
      <c r="AB157" s="180"/>
    </row>
    <row r="158" spans="1:28" s="202" customFormat="1">
      <c r="A158" s="631"/>
      <c r="B158" s="634" t="s">
        <v>236</v>
      </c>
      <c r="C158" s="466">
        <v>7.3094511136666878</v>
      </c>
      <c r="D158" s="466">
        <v>0</v>
      </c>
      <c r="E158" s="466">
        <v>0</v>
      </c>
      <c r="F158" s="466">
        <v>0</v>
      </c>
      <c r="G158" s="466">
        <v>0</v>
      </c>
      <c r="H158" s="466">
        <v>0</v>
      </c>
      <c r="I158" s="751">
        <v>7.3094511136666878</v>
      </c>
      <c r="J158" s="466">
        <v>0</v>
      </c>
      <c r="K158" s="466">
        <v>0</v>
      </c>
      <c r="L158" s="466">
        <v>0</v>
      </c>
      <c r="M158" s="466">
        <v>0</v>
      </c>
      <c r="N158" s="466">
        <v>0</v>
      </c>
      <c r="O158" s="751">
        <v>0</v>
      </c>
      <c r="P158" s="466">
        <v>0</v>
      </c>
      <c r="Q158" s="466">
        <v>0</v>
      </c>
      <c r="R158" s="466">
        <v>0</v>
      </c>
      <c r="S158" s="751">
        <v>0</v>
      </c>
      <c r="T158" s="466">
        <v>0</v>
      </c>
      <c r="U158" s="751">
        <v>0</v>
      </c>
      <c r="V158" s="466">
        <v>0</v>
      </c>
      <c r="W158" s="751">
        <v>7.3094511136666878</v>
      </c>
      <c r="X158" s="378"/>
      <c r="Y158" s="180"/>
      <c r="Z158" s="180"/>
      <c r="AA158" s="180"/>
      <c r="AB158" s="180"/>
    </row>
    <row r="159" spans="1:28">
      <c r="A159" s="631"/>
      <c r="B159" s="388" t="s">
        <v>19</v>
      </c>
      <c r="C159" s="391">
        <v>3048450162.6800003</v>
      </c>
      <c r="D159" s="391"/>
      <c r="E159" s="391">
        <v>450718142.29000002</v>
      </c>
      <c r="F159" s="391">
        <v>121361110.74000001</v>
      </c>
      <c r="G159" s="391"/>
      <c r="H159" s="391">
        <v>24181986.219999999</v>
      </c>
      <c r="I159" s="749">
        <v>3644711401.9299998</v>
      </c>
      <c r="J159" s="391">
        <v>1425156930</v>
      </c>
      <c r="K159" s="391">
        <v>453387320</v>
      </c>
      <c r="L159" s="391">
        <v>58593965</v>
      </c>
      <c r="M159" s="391">
        <v>17353152</v>
      </c>
      <c r="N159" s="391"/>
      <c r="O159" s="749">
        <v>1954491367</v>
      </c>
      <c r="P159" s="391"/>
      <c r="Q159" s="391"/>
      <c r="R159" s="391"/>
      <c r="S159" s="749"/>
      <c r="T159" s="391"/>
      <c r="U159" s="749"/>
      <c r="V159" s="391">
        <v>13316114</v>
      </c>
      <c r="W159" s="749">
        <v>5612518882.9300003</v>
      </c>
      <c r="X159" s="378"/>
      <c r="Y159" s="180"/>
      <c r="Z159" s="180"/>
      <c r="AA159" s="180"/>
      <c r="AB159" s="180"/>
    </row>
    <row r="160" spans="1:28" s="203" customFormat="1">
      <c r="A160" s="631"/>
      <c r="B160" s="389" t="s">
        <v>21</v>
      </c>
      <c r="C160" s="392">
        <v>3071311264</v>
      </c>
      <c r="D160" s="392"/>
      <c r="E160" s="392">
        <v>468814529</v>
      </c>
      <c r="F160" s="392">
        <v>118132044</v>
      </c>
      <c r="G160" s="392"/>
      <c r="H160" s="392">
        <v>22343048.629999999</v>
      </c>
      <c r="I160" s="750">
        <v>3680600885.6300001</v>
      </c>
      <c r="J160" s="392">
        <v>1416086752</v>
      </c>
      <c r="K160" s="392">
        <v>463377360</v>
      </c>
      <c r="L160" s="392">
        <v>57006253</v>
      </c>
      <c r="M160" s="392">
        <v>17659699</v>
      </c>
      <c r="N160" s="392"/>
      <c r="O160" s="750">
        <v>1954130064</v>
      </c>
      <c r="P160" s="392"/>
      <c r="Q160" s="392"/>
      <c r="R160" s="392"/>
      <c r="S160" s="750"/>
      <c r="T160" s="392"/>
      <c r="U160" s="750"/>
      <c r="V160" s="392">
        <v>16066114</v>
      </c>
      <c r="W160" s="750">
        <v>5650797063.6300001</v>
      </c>
      <c r="X160" s="378"/>
      <c r="Y160" s="180"/>
      <c r="Z160" s="180"/>
      <c r="AA160" s="180"/>
      <c r="AB160" s="180"/>
    </row>
    <row r="161" spans="1:28" s="212" customFormat="1" ht="13.5" thickBot="1">
      <c r="A161" s="635"/>
      <c r="B161" s="761" t="s">
        <v>23</v>
      </c>
      <c r="C161" s="762">
        <v>0.7499253751913626</v>
      </c>
      <c r="D161" s="762">
        <v>0</v>
      </c>
      <c r="E161" s="762">
        <v>4.0150118249192737</v>
      </c>
      <c r="F161" s="762">
        <v>-2.6607096130801358</v>
      </c>
      <c r="G161" s="762">
        <v>0</v>
      </c>
      <c r="H161" s="762">
        <v>-7.6045762877785634</v>
      </c>
      <c r="I161" s="763">
        <v>0.98470028877994487</v>
      </c>
      <c r="J161" s="762">
        <v>-0.63643363120719632</v>
      </c>
      <c r="K161" s="762">
        <v>2.2034228923737875</v>
      </c>
      <c r="L161" s="762">
        <v>-2.7096852039284252</v>
      </c>
      <c r="M161" s="762">
        <v>1.7665205721704047</v>
      </c>
      <c r="N161" s="762">
        <v>0</v>
      </c>
      <c r="O161" s="763">
        <v>-1.8485781318879572E-2</v>
      </c>
      <c r="P161" s="762">
        <v>0</v>
      </c>
      <c r="Q161" s="762">
        <v>0</v>
      </c>
      <c r="R161" s="762">
        <v>0</v>
      </c>
      <c r="S161" s="763">
        <v>0</v>
      </c>
      <c r="T161" s="762">
        <v>0</v>
      </c>
      <c r="U161" s="763">
        <v>0</v>
      </c>
      <c r="V161" s="762">
        <v>20.651670599996365</v>
      </c>
      <c r="W161" s="763">
        <v>0.6820142880306318</v>
      </c>
      <c r="X161" s="378"/>
      <c r="Y161" s="180"/>
      <c r="Z161" s="180"/>
      <c r="AA161" s="180"/>
      <c r="AB161" s="180"/>
    </row>
    <row r="162" spans="1:28" ht="13.5" thickTop="1">
      <c r="A162" s="230" t="s">
        <v>144</v>
      </c>
      <c r="B162" s="764" t="s">
        <v>190</v>
      </c>
      <c r="C162" s="765">
        <v>487449185</v>
      </c>
      <c r="D162" s="765">
        <v>209550458</v>
      </c>
      <c r="E162" s="765">
        <v>257042407</v>
      </c>
      <c r="F162" s="765">
        <v>203411712</v>
      </c>
      <c r="G162" s="765">
        <v>54547080</v>
      </c>
      <c r="H162" s="765">
        <v>88226279</v>
      </c>
      <c r="I162" s="766">
        <v>1300227121</v>
      </c>
      <c r="J162" s="765">
        <v>38676237</v>
      </c>
      <c r="K162" s="765">
        <v>56886594</v>
      </c>
      <c r="L162" s="765">
        <v>67569725</v>
      </c>
      <c r="M162" s="765"/>
      <c r="N162" s="765"/>
      <c r="O162" s="766">
        <v>163132556</v>
      </c>
      <c r="P162" s="765">
        <v>260815199</v>
      </c>
      <c r="Q162" s="765"/>
      <c r="R162" s="765"/>
      <c r="S162" s="766">
        <v>260815199</v>
      </c>
      <c r="T162" s="765"/>
      <c r="U162" s="766"/>
      <c r="V162" s="765"/>
      <c r="W162" s="766">
        <v>1724174876</v>
      </c>
      <c r="X162" s="378"/>
      <c r="Y162" s="180"/>
      <c r="Z162" s="180"/>
      <c r="AA162" s="180"/>
      <c r="AB162" s="180"/>
    </row>
    <row r="163" spans="1:28" s="203" customFormat="1">
      <c r="A163" s="631"/>
      <c r="B163" s="389" t="s">
        <v>4</v>
      </c>
      <c r="C163" s="392">
        <v>495510003</v>
      </c>
      <c r="D163" s="392">
        <v>214351028</v>
      </c>
      <c r="E163" s="392">
        <v>267986462</v>
      </c>
      <c r="F163" s="392">
        <v>212431791</v>
      </c>
      <c r="G163" s="392">
        <v>54986054</v>
      </c>
      <c r="H163" s="392">
        <v>92037173</v>
      </c>
      <c r="I163" s="750">
        <v>1337302511</v>
      </c>
      <c r="J163" s="392">
        <v>39839901</v>
      </c>
      <c r="K163" s="392">
        <v>52238491</v>
      </c>
      <c r="L163" s="392">
        <v>67655119</v>
      </c>
      <c r="M163" s="392"/>
      <c r="N163" s="392"/>
      <c r="O163" s="750">
        <v>159733511</v>
      </c>
      <c r="P163" s="392">
        <v>273776182.05000001</v>
      </c>
      <c r="Q163" s="392"/>
      <c r="R163" s="392"/>
      <c r="S163" s="750">
        <v>273776182.05000001</v>
      </c>
      <c r="T163" s="392"/>
      <c r="U163" s="750"/>
      <c r="V163" s="392"/>
      <c r="W163" s="750">
        <v>1770812204.05</v>
      </c>
      <c r="X163" s="378"/>
      <c r="Y163" s="180"/>
      <c r="Z163" s="180"/>
      <c r="AA163" s="180"/>
      <c r="AB163" s="180"/>
    </row>
    <row r="164" spans="1:28" s="202" customFormat="1">
      <c r="A164" s="632"/>
      <c r="B164" s="634" t="s">
        <v>116</v>
      </c>
      <c r="C164" s="466">
        <v>1.6536735003465026</v>
      </c>
      <c r="D164" s="466">
        <v>2.2908897674659339</v>
      </c>
      <c r="E164" s="466">
        <v>4.2576846084389492</v>
      </c>
      <c r="F164" s="466">
        <v>4.4343951050370194</v>
      </c>
      <c r="G164" s="466">
        <v>0.80476168476846055</v>
      </c>
      <c r="H164" s="466">
        <v>4.3194545244280329</v>
      </c>
      <c r="I164" s="751">
        <v>2.8514549036237185</v>
      </c>
      <c r="J164" s="466">
        <v>3.0087311751657744</v>
      </c>
      <c r="K164" s="466">
        <v>-8.1708231644172606</v>
      </c>
      <c r="L164" s="466">
        <v>0.12637908471582504</v>
      </c>
      <c r="M164" s="466">
        <v>0</v>
      </c>
      <c r="N164" s="466">
        <v>0</v>
      </c>
      <c r="O164" s="751">
        <v>-2.0836092337080774</v>
      </c>
      <c r="P164" s="466">
        <v>4.969412480443677</v>
      </c>
      <c r="Q164" s="466">
        <v>0</v>
      </c>
      <c r="R164" s="466">
        <v>0</v>
      </c>
      <c r="S164" s="751">
        <v>4.969412480443677</v>
      </c>
      <c r="T164" s="466">
        <v>0</v>
      </c>
      <c r="U164" s="751">
        <v>0</v>
      </c>
      <c r="V164" s="466">
        <v>0</v>
      </c>
      <c r="W164" s="751">
        <v>2.7049070659349956</v>
      </c>
      <c r="X164" s="378"/>
      <c r="Y164" s="180"/>
      <c r="Z164" s="180"/>
      <c r="AA164" s="180"/>
      <c r="AB164" s="180"/>
    </row>
    <row r="165" spans="1:28">
      <c r="A165" s="631"/>
      <c r="B165" s="388" t="s">
        <v>195</v>
      </c>
      <c r="C165" s="391">
        <v>74922966</v>
      </c>
      <c r="D165" s="391">
        <v>12776132</v>
      </c>
      <c r="E165" s="391"/>
      <c r="F165" s="391"/>
      <c r="G165" s="391"/>
      <c r="H165" s="391"/>
      <c r="I165" s="749">
        <v>87699098</v>
      </c>
      <c r="J165" s="391"/>
      <c r="K165" s="391"/>
      <c r="L165" s="391"/>
      <c r="M165" s="391"/>
      <c r="N165" s="391"/>
      <c r="O165" s="749"/>
      <c r="P165" s="391">
        <v>16651122</v>
      </c>
      <c r="Q165" s="391"/>
      <c r="R165" s="391"/>
      <c r="S165" s="749">
        <v>16651122</v>
      </c>
      <c r="T165" s="391"/>
      <c r="U165" s="749"/>
      <c r="V165" s="391">
        <v>98079458</v>
      </c>
      <c r="W165" s="749">
        <v>202429678</v>
      </c>
      <c r="X165" s="378"/>
      <c r="Y165" s="180"/>
      <c r="Z165" s="180"/>
      <c r="AA165" s="180"/>
      <c r="AB165" s="180"/>
    </row>
    <row r="166" spans="1:28" s="203" customFormat="1">
      <c r="A166" s="631"/>
      <c r="B166" s="389" t="s">
        <v>242</v>
      </c>
      <c r="C166" s="392">
        <v>77894129</v>
      </c>
      <c r="D166" s="392">
        <v>12904650</v>
      </c>
      <c r="E166" s="392"/>
      <c r="F166" s="392"/>
      <c r="G166" s="392"/>
      <c r="H166" s="392"/>
      <c r="I166" s="750">
        <v>90798779</v>
      </c>
      <c r="J166" s="392"/>
      <c r="K166" s="392"/>
      <c r="L166" s="392"/>
      <c r="M166" s="392"/>
      <c r="N166" s="392"/>
      <c r="O166" s="750"/>
      <c r="P166" s="392"/>
      <c r="Q166" s="392"/>
      <c r="R166" s="392"/>
      <c r="S166" s="750"/>
      <c r="T166" s="392"/>
      <c r="U166" s="750"/>
      <c r="V166" s="392">
        <v>101560203</v>
      </c>
      <c r="W166" s="750">
        <v>192358982</v>
      </c>
      <c r="X166" s="378"/>
      <c r="Y166" s="180"/>
      <c r="Z166" s="180"/>
      <c r="AA166" s="180"/>
      <c r="AB166" s="180"/>
    </row>
    <row r="167" spans="1:28" s="202" customFormat="1">
      <c r="A167" s="631"/>
      <c r="B167" s="634" t="s">
        <v>244</v>
      </c>
      <c r="C167" s="466">
        <v>3.9656238382233826</v>
      </c>
      <c r="D167" s="466">
        <v>1.0059226063099536</v>
      </c>
      <c r="E167" s="466">
        <v>0</v>
      </c>
      <c r="F167" s="466">
        <v>0</v>
      </c>
      <c r="G167" s="466">
        <v>0</v>
      </c>
      <c r="H167" s="466">
        <v>0</v>
      </c>
      <c r="I167" s="751">
        <v>3.5344502631030479</v>
      </c>
      <c r="J167" s="466">
        <v>0</v>
      </c>
      <c r="K167" s="466">
        <v>0</v>
      </c>
      <c r="L167" s="466">
        <v>0</v>
      </c>
      <c r="M167" s="466">
        <v>0</v>
      </c>
      <c r="N167" s="466">
        <v>0</v>
      </c>
      <c r="O167" s="751">
        <v>0</v>
      </c>
      <c r="P167" s="1461">
        <v>-100</v>
      </c>
      <c r="Q167" s="466">
        <v>0</v>
      </c>
      <c r="R167" s="466">
        <v>0</v>
      </c>
      <c r="S167" s="751">
        <v>-100</v>
      </c>
      <c r="T167" s="466">
        <v>0</v>
      </c>
      <c r="U167" s="751">
        <v>0</v>
      </c>
      <c r="V167" s="466">
        <v>3.5489031760350875</v>
      </c>
      <c r="W167" s="751">
        <v>-4.9749108428656399</v>
      </c>
      <c r="X167" s="378"/>
      <c r="Y167" s="180"/>
      <c r="Z167" s="180"/>
      <c r="AA167" s="180"/>
      <c r="AB167" s="180"/>
    </row>
    <row r="168" spans="1:28">
      <c r="A168" s="631"/>
      <c r="B168" s="388" t="s">
        <v>5</v>
      </c>
      <c r="C168" s="391"/>
      <c r="D168" s="391"/>
      <c r="E168" s="391"/>
      <c r="F168" s="391"/>
      <c r="G168" s="391"/>
      <c r="H168" s="391"/>
      <c r="I168" s="749"/>
      <c r="J168" s="391"/>
      <c r="K168" s="391"/>
      <c r="L168" s="391"/>
      <c r="M168" s="391"/>
      <c r="N168" s="391"/>
      <c r="O168" s="749"/>
      <c r="P168" s="391"/>
      <c r="Q168" s="391"/>
      <c r="R168" s="391"/>
      <c r="S168" s="749"/>
      <c r="T168" s="391"/>
      <c r="U168" s="749"/>
      <c r="V168" s="391"/>
      <c r="W168" s="749"/>
      <c r="X168" s="378"/>
      <c r="Y168" s="180"/>
      <c r="Z168" s="180"/>
      <c r="AA168" s="180"/>
      <c r="AB168" s="180"/>
    </row>
    <row r="169" spans="1:28" s="203" customFormat="1">
      <c r="A169" s="631"/>
      <c r="B169" s="389" t="s">
        <v>6</v>
      </c>
      <c r="C169" s="392"/>
      <c r="D169" s="392"/>
      <c r="E169" s="392"/>
      <c r="F169" s="392"/>
      <c r="G169" s="392"/>
      <c r="H169" s="392"/>
      <c r="I169" s="750"/>
      <c r="J169" s="392"/>
      <c r="K169" s="392"/>
      <c r="L169" s="392"/>
      <c r="M169" s="392"/>
      <c r="N169" s="392"/>
      <c r="O169" s="750"/>
      <c r="P169" s="392"/>
      <c r="Q169" s="392"/>
      <c r="R169" s="392"/>
      <c r="S169" s="750"/>
      <c r="T169" s="392"/>
      <c r="U169" s="750"/>
      <c r="V169" s="392"/>
      <c r="W169" s="750"/>
      <c r="X169" s="378"/>
      <c r="Y169" s="180"/>
      <c r="Z169" s="180"/>
      <c r="AA169" s="180"/>
      <c r="AB169" s="180"/>
    </row>
    <row r="170" spans="1:28" s="202" customFormat="1">
      <c r="A170" s="631"/>
      <c r="B170" s="634" t="s">
        <v>298</v>
      </c>
      <c r="C170" s="466">
        <v>0</v>
      </c>
      <c r="D170" s="466">
        <v>0</v>
      </c>
      <c r="E170" s="466">
        <v>0</v>
      </c>
      <c r="F170" s="466">
        <v>0</v>
      </c>
      <c r="G170" s="466">
        <v>0</v>
      </c>
      <c r="H170" s="466">
        <v>0</v>
      </c>
      <c r="I170" s="751">
        <v>0</v>
      </c>
      <c r="J170" s="466">
        <v>0</v>
      </c>
      <c r="K170" s="466">
        <v>0</v>
      </c>
      <c r="L170" s="466">
        <v>0</v>
      </c>
      <c r="M170" s="466">
        <v>0</v>
      </c>
      <c r="N170" s="466">
        <v>0</v>
      </c>
      <c r="O170" s="751">
        <v>0</v>
      </c>
      <c r="P170" s="466">
        <v>0</v>
      </c>
      <c r="Q170" s="466">
        <v>0</v>
      </c>
      <c r="R170" s="466">
        <v>0</v>
      </c>
      <c r="S170" s="751">
        <v>0</v>
      </c>
      <c r="T170" s="466">
        <v>0</v>
      </c>
      <c r="U170" s="751">
        <v>0</v>
      </c>
      <c r="V170" s="466">
        <v>0</v>
      </c>
      <c r="W170" s="751">
        <v>0</v>
      </c>
      <c r="X170" s="378"/>
      <c r="Y170" s="180"/>
      <c r="Z170" s="180"/>
      <c r="AA170" s="180"/>
      <c r="AB170" s="180"/>
    </row>
    <row r="171" spans="1:28">
      <c r="A171" s="631"/>
      <c r="B171" s="388" t="s">
        <v>223</v>
      </c>
      <c r="C171" s="391">
        <v>607681265</v>
      </c>
      <c r="D171" s="391">
        <v>329757719</v>
      </c>
      <c r="E171" s="391">
        <v>379941293</v>
      </c>
      <c r="F171" s="391">
        <v>280745980</v>
      </c>
      <c r="G171" s="391">
        <v>53351688</v>
      </c>
      <c r="H171" s="391">
        <v>73611591</v>
      </c>
      <c r="I171" s="749">
        <v>1725089536</v>
      </c>
      <c r="J171" s="391">
        <v>30731888</v>
      </c>
      <c r="K171" s="391">
        <v>57412699</v>
      </c>
      <c r="L171" s="391">
        <v>58119672</v>
      </c>
      <c r="M171" s="391"/>
      <c r="N171" s="391"/>
      <c r="O171" s="749">
        <v>146264259</v>
      </c>
      <c r="P171" s="391">
        <v>257758881.66958001</v>
      </c>
      <c r="Q171" s="391"/>
      <c r="R171" s="391"/>
      <c r="S171" s="749">
        <v>257758881.66958001</v>
      </c>
      <c r="T171" s="391"/>
      <c r="U171" s="749"/>
      <c r="V171" s="391"/>
      <c r="W171" s="749">
        <v>2129112676.66958</v>
      </c>
      <c r="X171" s="378"/>
      <c r="Y171" s="180"/>
      <c r="Z171" s="180"/>
      <c r="AA171" s="180"/>
      <c r="AB171" s="180"/>
    </row>
    <row r="172" spans="1:28" s="203" customFormat="1">
      <c r="A172" s="631"/>
      <c r="B172" s="389" t="s">
        <v>14</v>
      </c>
      <c r="C172" s="392">
        <v>612469847</v>
      </c>
      <c r="D172" s="392">
        <v>362089377</v>
      </c>
      <c r="E172" s="392">
        <v>398318393</v>
      </c>
      <c r="F172" s="392">
        <v>282795970</v>
      </c>
      <c r="G172" s="392">
        <v>50520270</v>
      </c>
      <c r="H172" s="392">
        <v>77212880</v>
      </c>
      <c r="I172" s="750">
        <v>1783406737</v>
      </c>
      <c r="J172" s="392">
        <v>30833472</v>
      </c>
      <c r="K172" s="392">
        <v>63302890</v>
      </c>
      <c r="L172" s="392">
        <v>57857466</v>
      </c>
      <c r="M172" s="392"/>
      <c r="N172" s="392"/>
      <c r="O172" s="750">
        <v>151993828</v>
      </c>
      <c r="P172" s="392">
        <v>272127511.62259996</v>
      </c>
      <c r="Q172" s="392"/>
      <c r="R172" s="392"/>
      <c r="S172" s="750">
        <v>272127511.62259996</v>
      </c>
      <c r="T172" s="392"/>
      <c r="U172" s="750"/>
      <c r="V172" s="392"/>
      <c r="W172" s="750">
        <v>2207528076.6226001</v>
      </c>
      <c r="X172" s="378"/>
      <c r="Y172" s="180"/>
      <c r="Z172" s="180"/>
      <c r="AA172" s="180"/>
      <c r="AB172" s="180"/>
    </row>
    <row r="173" spans="1:28" s="202" customFormat="1">
      <c r="A173" s="631"/>
      <c r="B173" s="634" t="s">
        <v>247</v>
      </c>
      <c r="C173" s="466">
        <v>0.78800882564645136</v>
      </c>
      <c r="D173" s="466">
        <v>9.8046705617829666</v>
      </c>
      <c r="E173" s="466">
        <v>4.8368261988306704</v>
      </c>
      <c r="F173" s="466">
        <v>0.73019389271397583</v>
      </c>
      <c r="G173" s="466">
        <v>-5.3070823176203907</v>
      </c>
      <c r="H173" s="466">
        <v>4.89228523806801</v>
      </c>
      <c r="I173" s="751">
        <v>3.3805318380877365</v>
      </c>
      <c r="J173" s="466">
        <v>0.33054916769187759</v>
      </c>
      <c r="K173" s="466">
        <v>10.259387039093912</v>
      </c>
      <c r="L173" s="466">
        <v>-0.45114845107866403</v>
      </c>
      <c r="M173" s="466">
        <v>0</v>
      </c>
      <c r="N173" s="466">
        <v>0</v>
      </c>
      <c r="O173" s="751">
        <v>3.9172720931092266</v>
      </c>
      <c r="P173" s="466">
        <v>5.574446110236865</v>
      </c>
      <c r="Q173" s="466">
        <v>0</v>
      </c>
      <c r="R173" s="466">
        <v>0</v>
      </c>
      <c r="S173" s="751">
        <v>5.574446110236865</v>
      </c>
      <c r="T173" s="466">
        <v>0</v>
      </c>
      <c r="U173" s="751">
        <v>0</v>
      </c>
      <c r="V173" s="466">
        <v>0</v>
      </c>
      <c r="W173" s="751">
        <v>3.683008457573933</v>
      </c>
      <c r="X173" s="378"/>
      <c r="Y173" s="180"/>
      <c r="Z173" s="180"/>
      <c r="AA173" s="180"/>
      <c r="AB173" s="180"/>
    </row>
    <row r="174" spans="1:28">
      <c r="A174" s="631"/>
      <c r="B174" s="388" t="s">
        <v>225</v>
      </c>
      <c r="C174" s="391"/>
      <c r="D174" s="391"/>
      <c r="E174" s="391"/>
      <c r="F174" s="391"/>
      <c r="G174" s="391"/>
      <c r="H174" s="391"/>
      <c r="I174" s="749"/>
      <c r="J174" s="391"/>
      <c r="K174" s="391"/>
      <c r="L174" s="391"/>
      <c r="M174" s="391"/>
      <c r="N174" s="391"/>
      <c r="O174" s="749"/>
      <c r="P174" s="391"/>
      <c r="Q174" s="391"/>
      <c r="R174" s="391"/>
      <c r="S174" s="749"/>
      <c r="T174" s="391"/>
      <c r="U174" s="749"/>
      <c r="V174" s="391"/>
      <c r="W174" s="749"/>
      <c r="X174" s="378"/>
      <c r="Y174" s="180"/>
      <c r="Z174" s="180"/>
      <c r="AA174" s="180"/>
      <c r="AB174" s="180"/>
    </row>
    <row r="175" spans="1:28" s="203" customFormat="1">
      <c r="A175" s="631"/>
      <c r="B175" s="389" t="s">
        <v>166</v>
      </c>
      <c r="C175" s="392"/>
      <c r="D175" s="392"/>
      <c r="E175" s="392"/>
      <c r="F175" s="392"/>
      <c r="G175" s="392"/>
      <c r="H175" s="392"/>
      <c r="I175" s="750"/>
      <c r="J175" s="392"/>
      <c r="K175" s="392"/>
      <c r="L175" s="392"/>
      <c r="M175" s="392"/>
      <c r="N175" s="392"/>
      <c r="O175" s="750"/>
      <c r="P175" s="392"/>
      <c r="Q175" s="392"/>
      <c r="R175" s="392"/>
      <c r="S175" s="750"/>
      <c r="T175" s="392"/>
      <c r="U175" s="750"/>
      <c r="V175" s="392"/>
      <c r="W175" s="750"/>
      <c r="X175" s="378"/>
      <c r="Y175" s="180"/>
      <c r="Z175" s="180"/>
      <c r="AA175" s="180"/>
      <c r="AB175" s="180"/>
    </row>
    <row r="176" spans="1:28" s="202" customFormat="1">
      <c r="A176" s="631"/>
      <c r="B176" s="634" t="s">
        <v>175</v>
      </c>
      <c r="C176" s="466">
        <v>0</v>
      </c>
      <c r="D176" s="466">
        <v>0</v>
      </c>
      <c r="E176" s="466">
        <v>0</v>
      </c>
      <c r="F176" s="466">
        <v>0</v>
      </c>
      <c r="G176" s="466">
        <v>0</v>
      </c>
      <c r="H176" s="466">
        <v>0</v>
      </c>
      <c r="I176" s="751">
        <v>0</v>
      </c>
      <c r="J176" s="466">
        <v>0</v>
      </c>
      <c r="K176" s="466">
        <v>0</v>
      </c>
      <c r="L176" s="466">
        <v>0</v>
      </c>
      <c r="M176" s="466">
        <v>0</v>
      </c>
      <c r="N176" s="466">
        <v>0</v>
      </c>
      <c r="O176" s="751">
        <v>0</v>
      </c>
      <c r="P176" s="466">
        <v>0</v>
      </c>
      <c r="Q176" s="466">
        <v>0</v>
      </c>
      <c r="R176" s="466">
        <v>0</v>
      </c>
      <c r="S176" s="751">
        <v>0</v>
      </c>
      <c r="T176" s="466">
        <v>0</v>
      </c>
      <c r="U176" s="751">
        <v>0</v>
      </c>
      <c r="V176" s="466">
        <v>0</v>
      </c>
      <c r="W176" s="751">
        <v>0</v>
      </c>
      <c r="X176" s="378"/>
      <c r="Y176" s="180"/>
      <c r="Z176" s="180"/>
      <c r="AA176" s="180"/>
      <c r="AB176" s="180"/>
    </row>
    <row r="177" spans="1:28">
      <c r="A177" s="631"/>
      <c r="B177" s="752" t="s">
        <v>317</v>
      </c>
      <c r="C177" s="749">
        <v>607681265</v>
      </c>
      <c r="D177" s="749">
        <v>329757719</v>
      </c>
      <c r="E177" s="749">
        <v>379941293</v>
      </c>
      <c r="F177" s="749">
        <v>280745980</v>
      </c>
      <c r="G177" s="749">
        <v>53351688</v>
      </c>
      <c r="H177" s="749">
        <v>73611591</v>
      </c>
      <c r="I177" s="749">
        <v>1725089536</v>
      </c>
      <c r="J177" s="749">
        <v>30731888</v>
      </c>
      <c r="K177" s="749">
        <v>57412699</v>
      </c>
      <c r="L177" s="749">
        <v>58119672</v>
      </c>
      <c r="M177" s="749"/>
      <c r="N177" s="749"/>
      <c r="O177" s="749">
        <v>146264259</v>
      </c>
      <c r="P177" s="749">
        <v>257758881.66958001</v>
      </c>
      <c r="Q177" s="749"/>
      <c r="R177" s="749"/>
      <c r="S177" s="749">
        <v>257758881.66958001</v>
      </c>
      <c r="T177" s="749">
        <v>0</v>
      </c>
      <c r="U177" s="749">
        <v>0</v>
      </c>
      <c r="V177" s="749">
        <v>0</v>
      </c>
      <c r="W177" s="749">
        <v>2129112676.66958</v>
      </c>
      <c r="X177" s="378"/>
      <c r="Y177" s="180"/>
      <c r="Z177" s="180"/>
      <c r="AA177" s="180"/>
      <c r="AB177" s="180"/>
    </row>
    <row r="178" spans="1:28" s="203" customFormat="1">
      <c r="A178" s="631"/>
      <c r="B178" s="753" t="s">
        <v>70</v>
      </c>
      <c r="C178" s="750">
        <v>612469847</v>
      </c>
      <c r="D178" s="750">
        <v>362089377</v>
      </c>
      <c r="E178" s="750">
        <v>398318393</v>
      </c>
      <c r="F178" s="750">
        <v>282795970</v>
      </c>
      <c r="G178" s="750">
        <v>50520270</v>
      </c>
      <c r="H178" s="750">
        <v>77212880</v>
      </c>
      <c r="I178" s="750">
        <v>1783406737</v>
      </c>
      <c r="J178" s="750">
        <v>30833472</v>
      </c>
      <c r="K178" s="750">
        <v>63302890</v>
      </c>
      <c r="L178" s="750">
        <v>57857466</v>
      </c>
      <c r="M178" s="750"/>
      <c r="N178" s="750"/>
      <c r="O178" s="750">
        <v>151993828</v>
      </c>
      <c r="P178" s="750">
        <v>272127511.62259996</v>
      </c>
      <c r="Q178" s="750"/>
      <c r="R178" s="750"/>
      <c r="S178" s="750">
        <v>272127511.62259996</v>
      </c>
      <c r="T178" s="750">
        <v>0</v>
      </c>
      <c r="U178" s="750">
        <v>0</v>
      </c>
      <c r="V178" s="750">
        <v>0</v>
      </c>
      <c r="W178" s="750">
        <v>2207528076.6226001</v>
      </c>
      <c r="X178" s="378"/>
      <c r="Y178" s="180"/>
      <c r="Z178" s="180"/>
      <c r="AA178" s="180"/>
      <c r="AB178" s="180"/>
    </row>
    <row r="179" spans="1:28" s="202" customFormat="1">
      <c r="A179" s="631"/>
      <c r="B179" s="754" t="s">
        <v>57</v>
      </c>
      <c r="C179" s="751">
        <v>0.78800882564645136</v>
      </c>
      <c r="D179" s="751">
        <v>9.8046705617829666</v>
      </c>
      <c r="E179" s="751">
        <v>4.8368261988306704</v>
      </c>
      <c r="F179" s="751">
        <v>0.73019389271397583</v>
      </c>
      <c r="G179" s="751">
        <v>-5.3070823176203907</v>
      </c>
      <c r="H179" s="751">
        <v>4.89228523806801</v>
      </c>
      <c r="I179" s="751">
        <v>3.3805318380877365</v>
      </c>
      <c r="J179" s="751">
        <v>0.33054916769187759</v>
      </c>
      <c r="K179" s="751">
        <v>10.259387039093912</v>
      </c>
      <c r="L179" s="751">
        <v>-0.45114845107866403</v>
      </c>
      <c r="M179" s="751">
        <v>0</v>
      </c>
      <c r="N179" s="751">
        <v>0</v>
      </c>
      <c r="O179" s="751">
        <v>3.9172720931092266</v>
      </c>
      <c r="P179" s="751">
        <v>5.574446110236865</v>
      </c>
      <c r="Q179" s="751">
        <v>0</v>
      </c>
      <c r="R179" s="751">
        <v>0</v>
      </c>
      <c r="S179" s="751">
        <v>5.574446110236865</v>
      </c>
      <c r="T179" s="751">
        <v>0</v>
      </c>
      <c r="U179" s="751">
        <v>0</v>
      </c>
      <c r="V179" s="751">
        <v>0</v>
      </c>
      <c r="W179" s="751">
        <v>3.683008457573933</v>
      </c>
      <c r="X179" s="378"/>
      <c r="Y179" s="180"/>
      <c r="Z179" s="180"/>
      <c r="AA179" s="180"/>
      <c r="AB179" s="180"/>
    </row>
    <row r="180" spans="1:28">
      <c r="A180" s="631"/>
      <c r="B180" s="388" t="s">
        <v>72</v>
      </c>
      <c r="C180" s="391"/>
      <c r="D180" s="391"/>
      <c r="E180" s="391"/>
      <c r="F180" s="391"/>
      <c r="G180" s="391"/>
      <c r="H180" s="391"/>
      <c r="I180" s="749"/>
      <c r="J180" s="391"/>
      <c r="K180" s="391"/>
      <c r="L180" s="391"/>
      <c r="M180" s="391"/>
      <c r="N180" s="391"/>
      <c r="O180" s="749"/>
      <c r="P180" s="391"/>
      <c r="Q180" s="391"/>
      <c r="R180" s="391"/>
      <c r="S180" s="749"/>
      <c r="T180" s="391">
        <v>21375236</v>
      </c>
      <c r="U180" s="749">
        <v>21375236</v>
      </c>
      <c r="V180" s="391">
        <v>489560369</v>
      </c>
      <c r="W180" s="749">
        <v>510935605</v>
      </c>
      <c r="X180" s="378"/>
      <c r="Y180" s="180"/>
      <c r="Z180" s="180"/>
      <c r="AA180" s="180"/>
      <c r="AB180" s="180"/>
    </row>
    <row r="181" spans="1:28" s="203" customFormat="1">
      <c r="A181" s="631"/>
      <c r="B181" s="389" t="s">
        <v>74</v>
      </c>
      <c r="C181" s="392"/>
      <c r="D181" s="392"/>
      <c r="E181" s="392"/>
      <c r="F181" s="392"/>
      <c r="G181" s="392"/>
      <c r="H181" s="392"/>
      <c r="I181" s="750"/>
      <c r="J181" s="392"/>
      <c r="K181" s="392"/>
      <c r="L181" s="392"/>
      <c r="M181" s="392"/>
      <c r="N181" s="392"/>
      <c r="O181" s="750"/>
      <c r="P181" s="392"/>
      <c r="Q181" s="392"/>
      <c r="R181" s="392"/>
      <c r="S181" s="750"/>
      <c r="T181" s="392">
        <v>23520748</v>
      </c>
      <c r="U181" s="750">
        <v>23520748</v>
      </c>
      <c r="V181" s="392">
        <v>525106693</v>
      </c>
      <c r="W181" s="750">
        <v>548627441</v>
      </c>
      <c r="X181" s="378"/>
      <c r="Y181" s="180"/>
      <c r="Z181" s="180"/>
      <c r="AA181" s="180"/>
      <c r="AB181" s="180"/>
    </row>
    <row r="182" spans="1:28" s="202" customFormat="1">
      <c r="A182" s="631"/>
      <c r="B182" s="634" t="s">
        <v>76</v>
      </c>
      <c r="C182" s="466">
        <v>0</v>
      </c>
      <c r="D182" s="466">
        <v>0</v>
      </c>
      <c r="E182" s="466">
        <v>0</v>
      </c>
      <c r="F182" s="466">
        <v>0</v>
      </c>
      <c r="G182" s="466">
        <v>0</v>
      </c>
      <c r="H182" s="466">
        <v>0</v>
      </c>
      <c r="I182" s="751">
        <v>0</v>
      </c>
      <c r="J182" s="466">
        <v>0</v>
      </c>
      <c r="K182" s="466">
        <v>0</v>
      </c>
      <c r="L182" s="466">
        <v>0</v>
      </c>
      <c r="M182" s="466">
        <v>0</v>
      </c>
      <c r="N182" s="466">
        <v>0</v>
      </c>
      <c r="O182" s="751">
        <v>0</v>
      </c>
      <c r="P182" s="466">
        <v>0</v>
      </c>
      <c r="Q182" s="466">
        <v>0</v>
      </c>
      <c r="R182" s="466">
        <v>0</v>
      </c>
      <c r="S182" s="751">
        <v>0</v>
      </c>
      <c r="T182" s="466">
        <v>10.037372218954681</v>
      </c>
      <c r="U182" s="751">
        <v>10.037372218954681</v>
      </c>
      <c r="V182" s="466">
        <v>7.260866330460666</v>
      </c>
      <c r="W182" s="751">
        <v>7.3770227854838968</v>
      </c>
      <c r="X182" s="378"/>
      <c r="Y182" s="180"/>
      <c r="Z182" s="180"/>
      <c r="AA182" s="180"/>
      <c r="AB182" s="180"/>
    </row>
    <row r="183" spans="1:28">
      <c r="A183" s="631"/>
      <c r="B183" s="388" t="s">
        <v>240</v>
      </c>
      <c r="C183" s="391"/>
      <c r="D183" s="391"/>
      <c r="E183" s="391"/>
      <c r="F183" s="391"/>
      <c r="G183" s="391"/>
      <c r="H183" s="391"/>
      <c r="I183" s="749"/>
      <c r="J183" s="391"/>
      <c r="K183" s="391"/>
      <c r="L183" s="391"/>
      <c r="M183" s="391"/>
      <c r="N183" s="391"/>
      <c r="O183" s="749"/>
      <c r="P183" s="391"/>
      <c r="Q183" s="391"/>
      <c r="R183" s="391"/>
      <c r="S183" s="749"/>
      <c r="T183" s="391">
        <v>36426718</v>
      </c>
      <c r="U183" s="749">
        <v>36426718</v>
      </c>
      <c r="V183" s="391"/>
      <c r="W183" s="749">
        <v>36426718</v>
      </c>
      <c r="X183" s="378"/>
      <c r="Y183" s="180"/>
      <c r="Z183" s="180"/>
      <c r="AA183" s="180"/>
      <c r="AB183" s="180"/>
    </row>
    <row r="184" spans="1:28" s="203" customFormat="1">
      <c r="A184" s="631"/>
      <c r="B184" s="389" t="s">
        <v>163</v>
      </c>
      <c r="C184" s="392"/>
      <c r="D184" s="392"/>
      <c r="E184" s="392"/>
      <c r="F184" s="392"/>
      <c r="G184" s="392"/>
      <c r="H184" s="392"/>
      <c r="I184" s="750"/>
      <c r="J184" s="392"/>
      <c r="K184" s="392"/>
      <c r="L184" s="392"/>
      <c r="M184" s="392"/>
      <c r="N184" s="392"/>
      <c r="O184" s="750"/>
      <c r="P184" s="392"/>
      <c r="Q184" s="392"/>
      <c r="R184" s="392"/>
      <c r="S184" s="750"/>
      <c r="T184" s="392">
        <v>39108709</v>
      </c>
      <c r="U184" s="750">
        <v>39108709</v>
      </c>
      <c r="V184" s="392"/>
      <c r="W184" s="750">
        <v>39108709</v>
      </c>
      <c r="X184" s="378"/>
      <c r="Y184" s="180"/>
      <c r="Z184" s="180"/>
      <c r="AA184" s="180"/>
      <c r="AB184" s="180"/>
    </row>
    <row r="185" spans="1:28" s="202" customFormat="1">
      <c r="A185" s="631"/>
      <c r="B185" s="634" t="s">
        <v>59</v>
      </c>
      <c r="C185" s="466">
        <v>0</v>
      </c>
      <c r="D185" s="466">
        <v>0</v>
      </c>
      <c r="E185" s="466">
        <v>0</v>
      </c>
      <c r="F185" s="466">
        <v>0</v>
      </c>
      <c r="G185" s="466">
        <v>0</v>
      </c>
      <c r="H185" s="466">
        <v>0</v>
      </c>
      <c r="I185" s="751">
        <v>0</v>
      </c>
      <c r="J185" s="466">
        <v>0</v>
      </c>
      <c r="K185" s="466">
        <v>0</v>
      </c>
      <c r="L185" s="466">
        <v>0</v>
      </c>
      <c r="M185" s="466">
        <v>0</v>
      </c>
      <c r="N185" s="466">
        <v>0</v>
      </c>
      <c r="O185" s="751">
        <v>0</v>
      </c>
      <c r="P185" s="466">
        <v>0</v>
      </c>
      <c r="Q185" s="466">
        <v>0</v>
      </c>
      <c r="R185" s="466">
        <v>0</v>
      </c>
      <c r="S185" s="751">
        <v>0</v>
      </c>
      <c r="T185" s="466">
        <v>7.3627028380651813</v>
      </c>
      <c r="U185" s="751">
        <v>7.3627028380651813</v>
      </c>
      <c r="V185" s="466">
        <v>0</v>
      </c>
      <c r="W185" s="751">
        <v>7.3627028380651813</v>
      </c>
      <c r="X185" s="378"/>
      <c r="Y185" s="180"/>
      <c r="Z185" s="180"/>
      <c r="AA185" s="180"/>
      <c r="AB185" s="180"/>
    </row>
    <row r="186" spans="1:28">
      <c r="A186" s="631"/>
      <c r="B186" s="388" t="s">
        <v>159</v>
      </c>
      <c r="C186" s="391"/>
      <c r="D186" s="391"/>
      <c r="E186" s="391"/>
      <c r="F186" s="391"/>
      <c r="G186" s="391"/>
      <c r="H186" s="391"/>
      <c r="I186" s="749"/>
      <c r="J186" s="391"/>
      <c r="K186" s="391"/>
      <c r="L186" s="391"/>
      <c r="M186" s="391"/>
      <c r="N186" s="391"/>
      <c r="O186" s="749"/>
      <c r="P186" s="391"/>
      <c r="Q186" s="391"/>
      <c r="R186" s="391"/>
      <c r="S186" s="749"/>
      <c r="T186" s="391"/>
      <c r="U186" s="749"/>
      <c r="V186" s="391"/>
      <c r="W186" s="749"/>
      <c r="X186" s="378"/>
      <c r="Y186" s="180"/>
      <c r="Z186" s="180"/>
      <c r="AA186" s="180"/>
      <c r="AB186" s="180"/>
    </row>
    <row r="187" spans="1:28" s="203" customFormat="1">
      <c r="A187" s="631"/>
      <c r="B187" s="389" t="s">
        <v>100</v>
      </c>
      <c r="C187" s="392"/>
      <c r="D187" s="392"/>
      <c r="E187" s="392"/>
      <c r="F187" s="392"/>
      <c r="G187" s="392"/>
      <c r="H187" s="392"/>
      <c r="I187" s="750"/>
      <c r="J187" s="392"/>
      <c r="K187" s="392"/>
      <c r="L187" s="392"/>
      <c r="M187" s="392"/>
      <c r="N187" s="392"/>
      <c r="O187" s="750"/>
      <c r="P187" s="392"/>
      <c r="Q187" s="392"/>
      <c r="R187" s="392"/>
      <c r="S187" s="750"/>
      <c r="T187" s="392"/>
      <c r="U187" s="750"/>
      <c r="V187" s="392"/>
      <c r="W187" s="750"/>
      <c r="X187" s="378"/>
      <c r="Y187" s="180"/>
      <c r="Z187" s="180"/>
      <c r="AA187" s="180"/>
      <c r="AB187" s="180"/>
    </row>
    <row r="188" spans="1:28" s="202" customFormat="1">
      <c r="A188" s="631"/>
      <c r="B188" s="634" t="s">
        <v>110</v>
      </c>
      <c r="C188" s="466">
        <v>0</v>
      </c>
      <c r="D188" s="466">
        <v>0</v>
      </c>
      <c r="E188" s="466">
        <v>0</v>
      </c>
      <c r="F188" s="466">
        <v>0</v>
      </c>
      <c r="G188" s="466">
        <v>0</v>
      </c>
      <c r="H188" s="466">
        <v>0</v>
      </c>
      <c r="I188" s="751">
        <v>0</v>
      </c>
      <c r="J188" s="466">
        <v>0</v>
      </c>
      <c r="K188" s="466">
        <v>0</v>
      </c>
      <c r="L188" s="466">
        <v>0</v>
      </c>
      <c r="M188" s="466">
        <v>0</v>
      </c>
      <c r="N188" s="466">
        <v>0</v>
      </c>
      <c r="O188" s="751">
        <v>0</v>
      </c>
      <c r="P188" s="466">
        <v>0</v>
      </c>
      <c r="Q188" s="466">
        <v>0</v>
      </c>
      <c r="R188" s="466">
        <v>0</v>
      </c>
      <c r="S188" s="751">
        <v>0</v>
      </c>
      <c r="T188" s="466">
        <v>0</v>
      </c>
      <c r="U188" s="751">
        <v>0</v>
      </c>
      <c r="V188" s="466">
        <v>0</v>
      </c>
      <c r="W188" s="751">
        <v>0</v>
      </c>
      <c r="X188" s="378"/>
      <c r="Y188" s="180"/>
      <c r="Z188" s="180"/>
      <c r="AA188" s="180"/>
      <c r="AB188" s="180"/>
    </row>
    <row r="189" spans="1:28">
      <c r="A189" s="631"/>
      <c r="B189" s="388" t="s">
        <v>161</v>
      </c>
      <c r="C189" s="391">
        <v>0</v>
      </c>
      <c r="D189" s="391">
        <v>0</v>
      </c>
      <c r="E189" s="391">
        <v>0</v>
      </c>
      <c r="F189" s="391">
        <v>0</v>
      </c>
      <c r="G189" s="391">
        <v>0</v>
      </c>
      <c r="H189" s="391">
        <v>0</v>
      </c>
      <c r="I189" s="749">
        <v>0</v>
      </c>
      <c r="J189" s="391">
        <v>0</v>
      </c>
      <c r="K189" s="391">
        <v>0</v>
      </c>
      <c r="L189" s="391">
        <v>0</v>
      </c>
      <c r="M189" s="391"/>
      <c r="N189" s="391"/>
      <c r="O189" s="749">
        <v>0</v>
      </c>
      <c r="P189" s="391">
        <v>0</v>
      </c>
      <c r="Q189" s="391"/>
      <c r="R189" s="391"/>
      <c r="S189" s="749">
        <v>0</v>
      </c>
      <c r="T189" s="391">
        <v>36426718</v>
      </c>
      <c r="U189" s="749">
        <v>36426718</v>
      </c>
      <c r="V189" s="391">
        <v>0</v>
      </c>
      <c r="W189" s="749">
        <v>36426718</v>
      </c>
      <c r="X189" s="378"/>
      <c r="Y189" s="180"/>
      <c r="Z189" s="180"/>
      <c r="AA189" s="180"/>
      <c r="AB189" s="180"/>
    </row>
    <row r="190" spans="1:28" s="203" customFormat="1">
      <c r="A190" s="631"/>
      <c r="B190" s="389" t="s">
        <v>102</v>
      </c>
      <c r="C190" s="392">
        <v>0</v>
      </c>
      <c r="D190" s="392">
        <v>0</v>
      </c>
      <c r="E190" s="392">
        <v>0</v>
      </c>
      <c r="F190" s="392">
        <v>0</v>
      </c>
      <c r="G190" s="392">
        <v>0</v>
      </c>
      <c r="H190" s="392">
        <v>0</v>
      </c>
      <c r="I190" s="750">
        <v>0</v>
      </c>
      <c r="J190" s="392">
        <v>0</v>
      </c>
      <c r="K190" s="392">
        <v>0</v>
      </c>
      <c r="L190" s="392">
        <v>0</v>
      </c>
      <c r="M190" s="392"/>
      <c r="N190" s="392"/>
      <c r="O190" s="750">
        <v>0</v>
      </c>
      <c r="P190" s="392">
        <v>0</v>
      </c>
      <c r="Q190" s="392"/>
      <c r="R190" s="392"/>
      <c r="S190" s="750">
        <v>0</v>
      </c>
      <c r="T190" s="392">
        <v>39108709</v>
      </c>
      <c r="U190" s="750">
        <v>39108709</v>
      </c>
      <c r="V190" s="392">
        <v>0</v>
      </c>
      <c r="W190" s="750">
        <v>39108709</v>
      </c>
      <c r="X190" s="378"/>
      <c r="Y190" s="180"/>
      <c r="Z190" s="180"/>
      <c r="AA190" s="180"/>
      <c r="AB190" s="180"/>
    </row>
    <row r="191" spans="1:28" s="202" customFormat="1">
      <c r="A191" s="631"/>
      <c r="B191" s="634" t="s">
        <v>183</v>
      </c>
      <c r="C191" s="466">
        <v>0</v>
      </c>
      <c r="D191" s="466">
        <v>0</v>
      </c>
      <c r="E191" s="466">
        <v>0</v>
      </c>
      <c r="F191" s="466">
        <v>0</v>
      </c>
      <c r="G191" s="466">
        <v>0</v>
      </c>
      <c r="H191" s="466">
        <v>0</v>
      </c>
      <c r="I191" s="751">
        <v>0</v>
      </c>
      <c r="J191" s="466">
        <v>0</v>
      </c>
      <c r="K191" s="466">
        <v>0</v>
      </c>
      <c r="L191" s="466">
        <v>0</v>
      </c>
      <c r="M191" s="466">
        <v>0</v>
      </c>
      <c r="N191" s="466">
        <v>0</v>
      </c>
      <c r="O191" s="751">
        <v>0</v>
      </c>
      <c r="P191" s="466">
        <v>0</v>
      </c>
      <c r="Q191" s="466">
        <v>0</v>
      </c>
      <c r="R191" s="466">
        <v>0</v>
      </c>
      <c r="S191" s="751">
        <v>0</v>
      </c>
      <c r="T191" s="466">
        <v>7.3627028380651813</v>
      </c>
      <c r="U191" s="751">
        <v>7.3627028380651813</v>
      </c>
      <c r="V191" s="466">
        <v>0</v>
      </c>
      <c r="W191" s="751">
        <v>7.3627028380651813</v>
      </c>
      <c r="X191" s="378"/>
      <c r="Y191" s="180"/>
      <c r="Z191" s="180"/>
      <c r="AA191" s="180"/>
      <c r="AB191" s="180"/>
    </row>
    <row r="192" spans="1:28">
      <c r="A192" s="631"/>
      <c r="B192" s="388" t="s">
        <v>78</v>
      </c>
      <c r="C192" s="391">
        <v>13431532</v>
      </c>
      <c r="D192" s="391"/>
      <c r="E192" s="391"/>
      <c r="F192" s="391">
        <v>177232939</v>
      </c>
      <c r="G192" s="391"/>
      <c r="H192" s="391"/>
      <c r="I192" s="749">
        <v>190664471</v>
      </c>
      <c r="J192" s="391"/>
      <c r="K192" s="391"/>
      <c r="L192" s="391"/>
      <c r="M192" s="391"/>
      <c r="N192" s="391"/>
      <c r="O192" s="749"/>
      <c r="P192" s="391"/>
      <c r="Q192" s="391"/>
      <c r="R192" s="391"/>
      <c r="S192" s="749"/>
      <c r="T192" s="391"/>
      <c r="U192" s="749"/>
      <c r="V192" s="391"/>
      <c r="W192" s="749">
        <v>190664471</v>
      </c>
      <c r="X192" s="378"/>
      <c r="Y192" s="180"/>
      <c r="Z192" s="180"/>
      <c r="AA192" s="180"/>
      <c r="AB192" s="180"/>
    </row>
    <row r="193" spans="1:28" s="203" customFormat="1">
      <c r="A193" s="631"/>
      <c r="B193" s="389" t="s">
        <v>80</v>
      </c>
      <c r="C193" s="392">
        <v>14592771</v>
      </c>
      <c r="D193" s="392"/>
      <c r="E193" s="392"/>
      <c r="F193" s="392">
        <v>189614274</v>
      </c>
      <c r="G193" s="392"/>
      <c r="H193" s="392"/>
      <c r="I193" s="750">
        <v>204207045</v>
      </c>
      <c r="J193" s="392"/>
      <c r="K193" s="392"/>
      <c r="L193" s="392"/>
      <c r="M193" s="392"/>
      <c r="N193" s="392"/>
      <c r="O193" s="750"/>
      <c r="P193" s="392"/>
      <c r="Q193" s="392"/>
      <c r="R193" s="392"/>
      <c r="S193" s="750"/>
      <c r="T193" s="392"/>
      <c r="U193" s="750"/>
      <c r="V193" s="392"/>
      <c r="W193" s="750">
        <v>204207045</v>
      </c>
      <c r="X193" s="378"/>
      <c r="Y193" s="180"/>
      <c r="Z193" s="180"/>
      <c r="AA193" s="180"/>
      <c r="AB193" s="180"/>
    </row>
    <row r="194" spans="1:28" s="202" customFormat="1">
      <c r="A194" s="631"/>
      <c r="B194" s="634" t="s">
        <v>215</v>
      </c>
      <c r="C194" s="466">
        <v>8.6456183851551707</v>
      </c>
      <c r="D194" s="466">
        <v>0</v>
      </c>
      <c r="E194" s="466">
        <v>0</v>
      </c>
      <c r="F194" s="466">
        <v>6.9859107849021234</v>
      </c>
      <c r="G194" s="466">
        <v>0</v>
      </c>
      <c r="H194" s="466">
        <v>0</v>
      </c>
      <c r="I194" s="751">
        <v>7.102830395705972</v>
      </c>
      <c r="J194" s="466">
        <v>0</v>
      </c>
      <c r="K194" s="466">
        <v>0</v>
      </c>
      <c r="L194" s="466">
        <v>0</v>
      </c>
      <c r="M194" s="466">
        <v>0</v>
      </c>
      <c r="N194" s="466">
        <v>0</v>
      </c>
      <c r="O194" s="751">
        <v>0</v>
      </c>
      <c r="P194" s="466">
        <v>0</v>
      </c>
      <c r="Q194" s="466">
        <v>0</v>
      </c>
      <c r="R194" s="466">
        <v>0</v>
      </c>
      <c r="S194" s="751">
        <v>0</v>
      </c>
      <c r="T194" s="466">
        <v>0</v>
      </c>
      <c r="U194" s="751">
        <v>0</v>
      </c>
      <c r="V194" s="466">
        <v>0</v>
      </c>
      <c r="W194" s="751">
        <v>7.102830395705972</v>
      </c>
      <c r="X194" s="378"/>
      <c r="Y194" s="180"/>
      <c r="Z194" s="180"/>
      <c r="AA194" s="180"/>
      <c r="AB194" s="180"/>
    </row>
    <row r="195" spans="1:28">
      <c r="A195" s="631"/>
      <c r="B195" s="388" t="s">
        <v>81</v>
      </c>
      <c r="C195" s="391">
        <v>7067460</v>
      </c>
      <c r="D195" s="391"/>
      <c r="E195" s="391"/>
      <c r="F195" s="391">
        <v>43211088</v>
      </c>
      <c r="G195" s="391"/>
      <c r="H195" s="391"/>
      <c r="I195" s="749">
        <v>50278548</v>
      </c>
      <c r="J195" s="391"/>
      <c r="K195" s="391"/>
      <c r="L195" s="391"/>
      <c r="M195" s="391"/>
      <c r="N195" s="391"/>
      <c r="O195" s="749"/>
      <c r="P195" s="391"/>
      <c r="Q195" s="391"/>
      <c r="R195" s="391"/>
      <c r="S195" s="749"/>
      <c r="T195" s="391"/>
      <c r="U195" s="749"/>
      <c r="V195" s="391"/>
      <c r="W195" s="749">
        <v>50278548</v>
      </c>
      <c r="X195" s="378"/>
      <c r="Y195" s="180"/>
      <c r="Z195" s="180"/>
      <c r="AA195" s="180"/>
      <c r="AB195" s="180"/>
    </row>
    <row r="196" spans="1:28" s="203" customFormat="1">
      <c r="A196" s="631"/>
      <c r="B196" s="389" t="s">
        <v>318</v>
      </c>
      <c r="C196" s="392">
        <v>7873360</v>
      </c>
      <c r="D196" s="392"/>
      <c r="E196" s="392"/>
      <c r="F196" s="392">
        <v>55494799</v>
      </c>
      <c r="G196" s="392"/>
      <c r="H196" s="392"/>
      <c r="I196" s="750">
        <v>63368159</v>
      </c>
      <c r="J196" s="392"/>
      <c r="K196" s="392"/>
      <c r="L196" s="392"/>
      <c r="M196" s="392"/>
      <c r="N196" s="392"/>
      <c r="O196" s="750"/>
      <c r="P196" s="392"/>
      <c r="Q196" s="392"/>
      <c r="R196" s="392"/>
      <c r="S196" s="750"/>
      <c r="T196" s="392"/>
      <c r="U196" s="750"/>
      <c r="V196" s="392"/>
      <c r="W196" s="750">
        <v>63368159</v>
      </c>
      <c r="X196" s="378"/>
      <c r="Y196" s="180"/>
      <c r="Z196" s="180"/>
      <c r="AA196" s="180"/>
      <c r="AB196" s="180"/>
    </row>
    <row r="197" spans="1:28" s="202" customFormat="1">
      <c r="A197" s="631"/>
      <c r="B197" s="634" t="s">
        <v>236</v>
      </c>
      <c r="C197" s="1461">
        <v>11.402965138819321</v>
      </c>
      <c r="D197" s="466">
        <v>0</v>
      </c>
      <c r="E197" s="466">
        <v>0</v>
      </c>
      <c r="F197" s="1461">
        <v>28.427219883933496</v>
      </c>
      <c r="G197" s="466">
        <v>0</v>
      </c>
      <c r="H197" s="466">
        <v>0</v>
      </c>
      <c r="I197" s="751">
        <v>26.034186587886349</v>
      </c>
      <c r="J197" s="466">
        <v>0</v>
      </c>
      <c r="K197" s="466">
        <v>0</v>
      </c>
      <c r="L197" s="466">
        <v>0</v>
      </c>
      <c r="M197" s="466">
        <v>0</v>
      </c>
      <c r="N197" s="466">
        <v>0</v>
      </c>
      <c r="O197" s="751">
        <v>0</v>
      </c>
      <c r="P197" s="466">
        <v>0</v>
      </c>
      <c r="Q197" s="466">
        <v>0</v>
      </c>
      <c r="R197" s="466">
        <v>0</v>
      </c>
      <c r="S197" s="751">
        <v>0</v>
      </c>
      <c r="T197" s="466">
        <v>0</v>
      </c>
      <c r="U197" s="751">
        <v>0</v>
      </c>
      <c r="V197" s="466">
        <v>0</v>
      </c>
      <c r="W197" s="751">
        <v>26.034186587886349</v>
      </c>
      <c r="X197" s="378"/>
      <c r="Y197" s="180"/>
      <c r="Z197" s="180"/>
      <c r="AA197" s="180"/>
      <c r="AB197" s="180"/>
    </row>
    <row r="198" spans="1:28">
      <c r="A198" s="631"/>
      <c r="B198" s="388" t="s">
        <v>19</v>
      </c>
      <c r="C198" s="391">
        <v>1170053416</v>
      </c>
      <c r="D198" s="391">
        <v>552084309</v>
      </c>
      <c r="E198" s="391">
        <v>636983700</v>
      </c>
      <c r="F198" s="391">
        <v>484157692</v>
      </c>
      <c r="G198" s="391">
        <v>107898768</v>
      </c>
      <c r="H198" s="391">
        <v>161837870</v>
      </c>
      <c r="I198" s="749">
        <v>3113015755</v>
      </c>
      <c r="J198" s="391">
        <v>69408125</v>
      </c>
      <c r="K198" s="391">
        <v>114299293</v>
      </c>
      <c r="L198" s="391">
        <v>125689397</v>
      </c>
      <c r="M198" s="391"/>
      <c r="N198" s="391"/>
      <c r="O198" s="749">
        <v>309396815</v>
      </c>
      <c r="P198" s="391">
        <v>535225202.66958004</v>
      </c>
      <c r="Q198" s="391"/>
      <c r="R198" s="391"/>
      <c r="S198" s="749">
        <v>535225202.66958004</v>
      </c>
      <c r="T198" s="391">
        <v>0</v>
      </c>
      <c r="U198" s="749">
        <v>0</v>
      </c>
      <c r="V198" s="391">
        <v>98079458</v>
      </c>
      <c r="W198" s="749">
        <v>4055717230.66958</v>
      </c>
      <c r="X198" s="378"/>
      <c r="Y198" s="180"/>
      <c r="Z198" s="180"/>
      <c r="AA198" s="180"/>
      <c r="AB198" s="180"/>
    </row>
    <row r="199" spans="1:28" s="203" customFormat="1">
      <c r="A199" s="631"/>
      <c r="B199" s="389" t="s">
        <v>21</v>
      </c>
      <c r="C199" s="392">
        <v>1185873979</v>
      </c>
      <c r="D199" s="392">
        <v>589345055</v>
      </c>
      <c r="E199" s="392">
        <v>666304855</v>
      </c>
      <c r="F199" s="392">
        <v>495227761</v>
      </c>
      <c r="G199" s="392">
        <v>105506324</v>
      </c>
      <c r="H199" s="392">
        <v>169250053</v>
      </c>
      <c r="I199" s="750">
        <v>3211508027</v>
      </c>
      <c r="J199" s="392">
        <v>70673373</v>
      </c>
      <c r="K199" s="392">
        <v>115541381</v>
      </c>
      <c r="L199" s="392">
        <v>125512585</v>
      </c>
      <c r="M199" s="392"/>
      <c r="N199" s="392"/>
      <c r="O199" s="750">
        <v>311727339</v>
      </c>
      <c r="P199" s="392">
        <v>545903693.67260003</v>
      </c>
      <c r="Q199" s="392"/>
      <c r="R199" s="392"/>
      <c r="S199" s="750">
        <v>545903693.67260003</v>
      </c>
      <c r="T199" s="392">
        <v>0</v>
      </c>
      <c r="U199" s="750">
        <v>0</v>
      </c>
      <c r="V199" s="392">
        <v>101560203</v>
      </c>
      <c r="W199" s="750">
        <v>4170699262.6725998</v>
      </c>
      <c r="X199" s="378"/>
      <c r="Y199" s="180"/>
      <c r="Z199" s="180"/>
      <c r="AA199" s="180"/>
      <c r="AB199" s="180"/>
    </row>
    <row r="200" spans="1:28" s="212" customFormat="1" ht="13.5" thickBot="1">
      <c r="A200" s="635"/>
      <c r="B200" s="761" t="s">
        <v>23</v>
      </c>
      <c r="C200" s="762">
        <v>1.35212314101735</v>
      </c>
      <c r="D200" s="762">
        <v>6.7491043292809829</v>
      </c>
      <c r="E200" s="762">
        <v>4.6031248523313861</v>
      </c>
      <c r="F200" s="762">
        <v>2.2864593876988324</v>
      </c>
      <c r="G200" s="762">
        <v>-2.2173042791369038</v>
      </c>
      <c r="H200" s="762">
        <v>4.580005285536692</v>
      </c>
      <c r="I200" s="763">
        <v>3.1638860754818121</v>
      </c>
      <c r="J200" s="762">
        <v>1.8229105021926466</v>
      </c>
      <c r="K200" s="762">
        <v>1.0866978853491245</v>
      </c>
      <c r="L200" s="762">
        <v>-0.14067375945800742</v>
      </c>
      <c r="M200" s="762">
        <v>0</v>
      </c>
      <c r="N200" s="762">
        <v>0</v>
      </c>
      <c r="O200" s="763">
        <v>0.75324757302365897</v>
      </c>
      <c r="P200" s="762">
        <v>1.9951397934473443</v>
      </c>
      <c r="Q200" s="762">
        <v>0</v>
      </c>
      <c r="R200" s="762">
        <v>0</v>
      </c>
      <c r="S200" s="763">
        <v>1.9951397934473443</v>
      </c>
      <c r="T200" s="762">
        <v>0</v>
      </c>
      <c r="U200" s="763">
        <v>0</v>
      </c>
      <c r="V200" s="762">
        <v>3.5489031760350875</v>
      </c>
      <c r="W200" s="763">
        <v>2.8350603718996537</v>
      </c>
      <c r="X200" s="378"/>
      <c r="Y200" s="180"/>
      <c r="Z200" s="180"/>
      <c r="AA200" s="180"/>
      <c r="AB200" s="180"/>
    </row>
    <row r="201" spans="1:28" ht="13.5" thickTop="1">
      <c r="A201" s="230" t="s">
        <v>150</v>
      </c>
      <c r="B201" s="764" t="s">
        <v>190</v>
      </c>
      <c r="C201" s="765">
        <v>288230573.77999997</v>
      </c>
      <c r="D201" s="765"/>
      <c r="E201" s="765">
        <v>268566900</v>
      </c>
      <c r="F201" s="765">
        <v>19961902</v>
      </c>
      <c r="G201" s="765"/>
      <c r="H201" s="765"/>
      <c r="I201" s="766">
        <v>576759375.77999997</v>
      </c>
      <c r="J201" s="765"/>
      <c r="K201" s="765">
        <v>27459967.674065802</v>
      </c>
      <c r="L201" s="765">
        <v>109176745.86162119</v>
      </c>
      <c r="M201" s="765">
        <v>4982764.4273456559</v>
      </c>
      <c r="N201" s="765"/>
      <c r="O201" s="766">
        <v>141619477.96303266</v>
      </c>
      <c r="P201" s="765">
        <v>15240322.036967365</v>
      </c>
      <c r="Q201" s="765"/>
      <c r="R201" s="765"/>
      <c r="S201" s="766">
        <v>15240322.036967365</v>
      </c>
      <c r="T201" s="765"/>
      <c r="U201" s="766"/>
      <c r="V201" s="765"/>
      <c r="W201" s="766">
        <v>733619175.77999997</v>
      </c>
      <c r="X201" s="378"/>
      <c r="Y201" s="180"/>
      <c r="Z201" s="180"/>
      <c r="AA201" s="180"/>
      <c r="AB201" s="180"/>
    </row>
    <row r="202" spans="1:28" s="203" customFormat="1">
      <c r="A202" s="631"/>
      <c r="B202" s="389" t="s">
        <v>4</v>
      </c>
      <c r="C202" s="392">
        <v>279486140.87</v>
      </c>
      <c r="D202" s="392"/>
      <c r="E202" s="392">
        <v>270284991</v>
      </c>
      <c r="F202" s="392">
        <v>19854100</v>
      </c>
      <c r="G202" s="392"/>
      <c r="H202" s="392"/>
      <c r="I202" s="750">
        <v>569625231.87</v>
      </c>
      <c r="J202" s="392"/>
      <c r="K202" s="392">
        <v>27993621.946922295</v>
      </c>
      <c r="L202" s="392">
        <v>103363289.88717917</v>
      </c>
      <c r="M202" s="392">
        <v>4921657.454140529</v>
      </c>
      <c r="N202" s="392"/>
      <c r="O202" s="750">
        <v>136278569.28824198</v>
      </c>
      <c r="P202" s="392">
        <v>14478330.711758016</v>
      </c>
      <c r="Q202" s="392"/>
      <c r="R202" s="392"/>
      <c r="S202" s="750">
        <v>14478330.711758016</v>
      </c>
      <c r="T202" s="392"/>
      <c r="U202" s="750"/>
      <c r="V202" s="392"/>
      <c r="W202" s="750">
        <v>720382131.87</v>
      </c>
      <c r="X202" s="378"/>
      <c r="Y202" s="180"/>
      <c r="Z202" s="180"/>
      <c r="AA202" s="180"/>
      <c r="AB202" s="180"/>
    </row>
    <row r="203" spans="1:28" s="202" customFormat="1">
      <c r="A203" s="632"/>
      <c r="B203" s="634" t="s">
        <v>116</v>
      </c>
      <c r="C203" s="466">
        <v>-3.0338325304359972</v>
      </c>
      <c r="D203" s="466">
        <v>0</v>
      </c>
      <c r="E203" s="466">
        <v>0.63972552090373014</v>
      </c>
      <c r="F203" s="466">
        <v>-0.54003871975726569</v>
      </c>
      <c r="G203" s="466">
        <v>0</v>
      </c>
      <c r="H203" s="466">
        <v>0</v>
      </c>
      <c r="I203" s="751">
        <v>-1.2369359232958921</v>
      </c>
      <c r="J203" s="466">
        <v>0</v>
      </c>
      <c r="K203" s="466">
        <v>1.9433900257664731</v>
      </c>
      <c r="L203" s="466">
        <v>-5.3248115508136049</v>
      </c>
      <c r="M203" s="466">
        <v>-1.2263668912334837</v>
      </c>
      <c r="N203" s="466">
        <v>0</v>
      </c>
      <c r="O203" s="751">
        <v>-3.7713093930376114</v>
      </c>
      <c r="P203" s="466">
        <v>-4.9998374270638202</v>
      </c>
      <c r="Q203" s="466">
        <v>0</v>
      </c>
      <c r="R203" s="466">
        <v>0</v>
      </c>
      <c r="S203" s="751">
        <v>-4.9998374270638202</v>
      </c>
      <c r="T203" s="466">
        <v>0</v>
      </c>
      <c r="U203" s="751">
        <v>0</v>
      </c>
      <c r="V203" s="466">
        <v>0</v>
      </c>
      <c r="W203" s="751">
        <v>-1.8043481341564134</v>
      </c>
      <c r="X203" s="378"/>
      <c r="Y203" s="180"/>
      <c r="Z203" s="180"/>
      <c r="AA203" s="180"/>
      <c r="AB203" s="180"/>
    </row>
    <row r="204" spans="1:28">
      <c r="A204" s="631"/>
      <c r="B204" s="388" t="s">
        <v>195</v>
      </c>
      <c r="C204" s="391">
        <v>79405726.219999999</v>
      </c>
      <c r="D204" s="391"/>
      <c r="E204" s="391">
        <v>7530300</v>
      </c>
      <c r="F204" s="391">
        <v>3575498</v>
      </c>
      <c r="G204" s="391"/>
      <c r="H204" s="391"/>
      <c r="I204" s="749">
        <v>90511524.219999999</v>
      </c>
      <c r="J204" s="391"/>
      <c r="K204" s="391"/>
      <c r="L204" s="391"/>
      <c r="M204" s="391"/>
      <c r="N204" s="391"/>
      <c r="O204" s="749"/>
      <c r="P204" s="391"/>
      <c r="Q204" s="391"/>
      <c r="R204" s="391"/>
      <c r="S204" s="749"/>
      <c r="T204" s="391"/>
      <c r="U204" s="749"/>
      <c r="V204" s="391">
        <v>48314106</v>
      </c>
      <c r="W204" s="749">
        <v>138825630.22</v>
      </c>
      <c r="X204" s="378"/>
      <c r="Y204" s="180"/>
      <c r="Z204" s="180"/>
      <c r="AA204" s="180"/>
      <c r="AB204" s="180"/>
    </row>
    <row r="205" spans="1:28" s="203" customFormat="1">
      <c r="A205" s="631"/>
      <c r="B205" s="389" t="s">
        <v>242</v>
      </c>
      <c r="C205" s="392">
        <v>81968859.129999995</v>
      </c>
      <c r="D205" s="392"/>
      <c r="E205" s="392">
        <v>8141409</v>
      </c>
      <c r="F205" s="392">
        <v>3575500</v>
      </c>
      <c r="G205" s="392"/>
      <c r="H205" s="392"/>
      <c r="I205" s="750">
        <v>93685768.129999995</v>
      </c>
      <c r="J205" s="392"/>
      <c r="K205" s="392"/>
      <c r="L205" s="392"/>
      <c r="M205" s="392"/>
      <c r="N205" s="392"/>
      <c r="O205" s="750"/>
      <c r="P205" s="392"/>
      <c r="Q205" s="392"/>
      <c r="R205" s="392"/>
      <c r="S205" s="750"/>
      <c r="T205" s="392"/>
      <c r="U205" s="750"/>
      <c r="V205" s="392">
        <v>46994600</v>
      </c>
      <c r="W205" s="750">
        <v>140680368.13</v>
      </c>
      <c r="X205" s="378"/>
      <c r="Y205" s="180"/>
      <c r="Z205" s="180"/>
      <c r="AA205" s="180"/>
      <c r="AB205" s="180"/>
    </row>
    <row r="206" spans="1:28" s="202" customFormat="1">
      <c r="A206" s="631"/>
      <c r="B206" s="634" t="s">
        <v>244</v>
      </c>
      <c r="C206" s="466">
        <v>3.2278942993338151</v>
      </c>
      <c r="D206" s="466">
        <v>0</v>
      </c>
      <c r="E206" s="466">
        <v>8.1153340504362372</v>
      </c>
      <c r="F206" s="466">
        <v>5.593626398336679E-5</v>
      </c>
      <c r="G206" s="466">
        <v>0</v>
      </c>
      <c r="H206" s="466">
        <v>0</v>
      </c>
      <c r="I206" s="751">
        <v>3.5070052541426491</v>
      </c>
      <c r="J206" s="466">
        <v>0</v>
      </c>
      <c r="K206" s="466">
        <v>0</v>
      </c>
      <c r="L206" s="466">
        <v>0</v>
      </c>
      <c r="M206" s="466">
        <v>0</v>
      </c>
      <c r="N206" s="466">
        <v>0</v>
      </c>
      <c r="O206" s="751">
        <v>0</v>
      </c>
      <c r="P206" s="466">
        <v>0</v>
      </c>
      <c r="Q206" s="466">
        <v>0</v>
      </c>
      <c r="R206" s="466">
        <v>0</v>
      </c>
      <c r="S206" s="751">
        <v>0</v>
      </c>
      <c r="T206" s="466">
        <v>0</v>
      </c>
      <c r="U206" s="751">
        <v>0</v>
      </c>
      <c r="V206" s="466">
        <v>-2.7310988637562703</v>
      </c>
      <c r="W206" s="751">
        <v>1.3360198020068432</v>
      </c>
      <c r="X206" s="378"/>
      <c r="Y206" s="180"/>
      <c r="Z206" s="180"/>
      <c r="AA206" s="180"/>
      <c r="AB206" s="180"/>
    </row>
    <row r="207" spans="1:28">
      <c r="A207" s="631"/>
      <c r="B207" s="388" t="s">
        <v>5</v>
      </c>
      <c r="C207" s="391"/>
      <c r="D207" s="391"/>
      <c r="E207" s="391"/>
      <c r="F207" s="391"/>
      <c r="G207" s="391"/>
      <c r="H207" s="391"/>
      <c r="I207" s="749"/>
      <c r="J207" s="391"/>
      <c r="K207" s="391"/>
      <c r="L207" s="391"/>
      <c r="M207" s="391"/>
      <c r="N207" s="391"/>
      <c r="O207" s="749"/>
      <c r="P207" s="391"/>
      <c r="Q207" s="391"/>
      <c r="R207" s="391"/>
      <c r="S207" s="749"/>
      <c r="T207" s="391"/>
      <c r="U207" s="749"/>
      <c r="V207" s="391"/>
      <c r="W207" s="749"/>
      <c r="X207" s="378"/>
      <c r="Y207" s="180"/>
      <c r="Z207" s="180"/>
      <c r="AA207" s="180"/>
      <c r="AB207" s="180"/>
    </row>
    <row r="208" spans="1:28" s="203" customFormat="1">
      <c r="A208" s="631"/>
      <c r="B208" s="389" t="s">
        <v>6</v>
      </c>
      <c r="C208" s="392"/>
      <c r="D208" s="392"/>
      <c r="E208" s="392"/>
      <c r="F208" s="392"/>
      <c r="G208" s="392"/>
      <c r="H208" s="392"/>
      <c r="I208" s="750"/>
      <c r="J208" s="392"/>
      <c r="K208" s="392"/>
      <c r="L208" s="392"/>
      <c r="M208" s="392"/>
      <c r="N208" s="392"/>
      <c r="O208" s="750"/>
      <c r="P208" s="392"/>
      <c r="Q208" s="392"/>
      <c r="R208" s="392"/>
      <c r="S208" s="750"/>
      <c r="T208" s="392"/>
      <c r="U208" s="750"/>
      <c r="V208" s="392"/>
      <c r="W208" s="750"/>
      <c r="X208" s="378"/>
      <c r="Y208" s="180"/>
      <c r="Z208" s="180"/>
      <c r="AA208" s="180"/>
      <c r="AB208" s="180"/>
    </row>
    <row r="209" spans="1:28" s="202" customFormat="1">
      <c r="A209" s="631"/>
      <c r="B209" s="634" t="s">
        <v>298</v>
      </c>
      <c r="C209" s="466">
        <v>0</v>
      </c>
      <c r="D209" s="466">
        <v>0</v>
      </c>
      <c r="E209" s="466">
        <v>0</v>
      </c>
      <c r="F209" s="466">
        <v>0</v>
      </c>
      <c r="G209" s="466">
        <v>0</v>
      </c>
      <c r="H209" s="466">
        <v>0</v>
      </c>
      <c r="I209" s="751">
        <v>0</v>
      </c>
      <c r="J209" s="466">
        <v>0</v>
      </c>
      <c r="K209" s="466">
        <v>0</v>
      </c>
      <c r="L209" s="466">
        <v>0</v>
      </c>
      <c r="M209" s="466">
        <v>0</v>
      </c>
      <c r="N209" s="466">
        <v>0</v>
      </c>
      <c r="O209" s="751">
        <v>0</v>
      </c>
      <c r="P209" s="466">
        <v>0</v>
      </c>
      <c r="Q209" s="466">
        <v>0</v>
      </c>
      <c r="R209" s="466">
        <v>0</v>
      </c>
      <c r="S209" s="751">
        <v>0</v>
      </c>
      <c r="T209" s="466">
        <v>0</v>
      </c>
      <c r="U209" s="751">
        <v>0</v>
      </c>
      <c r="V209" s="466">
        <v>0</v>
      </c>
      <c r="W209" s="751">
        <v>0</v>
      </c>
      <c r="X209" s="378"/>
      <c r="Y209" s="180"/>
      <c r="Z209" s="180"/>
      <c r="AA209" s="180"/>
      <c r="AB209" s="180"/>
    </row>
    <row r="210" spans="1:28">
      <c r="A210" s="631"/>
      <c r="B210" s="388" t="s">
        <v>223</v>
      </c>
      <c r="C210" s="391">
        <v>590390011.04540253</v>
      </c>
      <c r="D210" s="391"/>
      <c r="E210" s="391">
        <v>636899232</v>
      </c>
      <c r="F210" s="391">
        <v>21386201</v>
      </c>
      <c r="G210" s="391"/>
      <c r="H210" s="391"/>
      <c r="I210" s="749">
        <v>1248675444.0454025</v>
      </c>
      <c r="J210" s="391"/>
      <c r="K210" s="391">
        <v>68452100</v>
      </c>
      <c r="L210" s="391">
        <v>129421400</v>
      </c>
      <c r="M210" s="391">
        <v>5074000</v>
      </c>
      <c r="N210" s="391"/>
      <c r="O210" s="749">
        <v>202947500</v>
      </c>
      <c r="P210" s="391">
        <v>19856000</v>
      </c>
      <c r="Q210" s="391"/>
      <c r="R210" s="391"/>
      <c r="S210" s="749">
        <v>19856000</v>
      </c>
      <c r="T210" s="391"/>
      <c r="U210" s="749"/>
      <c r="V210" s="391"/>
      <c r="W210" s="749">
        <v>1471478944.0454025</v>
      </c>
      <c r="X210" s="378"/>
      <c r="Y210" s="180"/>
      <c r="Z210" s="180"/>
      <c r="AA210" s="180"/>
      <c r="AB210" s="180"/>
    </row>
    <row r="211" spans="1:28" s="203" customFormat="1">
      <c r="A211" s="631"/>
      <c r="B211" s="389" t="s">
        <v>14</v>
      </c>
      <c r="C211" s="392">
        <v>617643754.39236593</v>
      </c>
      <c r="D211" s="392"/>
      <c r="E211" s="392">
        <v>669164369</v>
      </c>
      <c r="F211" s="392">
        <v>21386201</v>
      </c>
      <c r="G211" s="392"/>
      <c r="H211" s="392"/>
      <c r="I211" s="750">
        <v>1308194324.3923659</v>
      </c>
      <c r="J211" s="392"/>
      <c r="K211" s="392">
        <v>65276000</v>
      </c>
      <c r="L211" s="392">
        <v>126756900</v>
      </c>
      <c r="M211" s="392">
        <v>4561000</v>
      </c>
      <c r="N211" s="392"/>
      <c r="O211" s="750">
        <v>196593900</v>
      </c>
      <c r="P211" s="392">
        <v>21605200</v>
      </c>
      <c r="Q211" s="392"/>
      <c r="R211" s="392"/>
      <c r="S211" s="750">
        <v>21605200</v>
      </c>
      <c r="T211" s="392"/>
      <c r="U211" s="750"/>
      <c r="V211" s="392"/>
      <c r="W211" s="750">
        <v>1526393424.3923659</v>
      </c>
      <c r="X211" s="378"/>
      <c r="Y211" s="180"/>
      <c r="Z211" s="180"/>
      <c r="AA211" s="180"/>
      <c r="AB211" s="180"/>
    </row>
    <row r="212" spans="1:28" s="202" customFormat="1">
      <c r="A212" s="631"/>
      <c r="B212" s="634" t="s">
        <v>247</v>
      </c>
      <c r="C212" s="466">
        <v>4.6162270426468179</v>
      </c>
      <c r="D212" s="466">
        <v>0</v>
      </c>
      <c r="E212" s="466">
        <v>5.0659720374729549</v>
      </c>
      <c r="F212" s="466">
        <v>0</v>
      </c>
      <c r="G212" s="466">
        <v>0</v>
      </c>
      <c r="H212" s="466">
        <v>0</v>
      </c>
      <c r="I212" s="751">
        <v>4.766561289468207</v>
      </c>
      <c r="J212" s="466">
        <v>0</v>
      </c>
      <c r="K212" s="466">
        <v>-4.6398868697965439</v>
      </c>
      <c r="L212" s="466">
        <v>-2.0587785327619699</v>
      </c>
      <c r="M212" s="466">
        <v>-10.11036657469452</v>
      </c>
      <c r="N212" s="466">
        <v>0</v>
      </c>
      <c r="O212" s="751">
        <v>-3.1306618706808411</v>
      </c>
      <c r="P212" s="466">
        <v>8.8094278807413371</v>
      </c>
      <c r="Q212" s="466">
        <v>0</v>
      </c>
      <c r="R212" s="466">
        <v>0</v>
      </c>
      <c r="S212" s="751">
        <v>8.8094278807413371</v>
      </c>
      <c r="T212" s="466">
        <v>0</v>
      </c>
      <c r="U212" s="751">
        <v>0</v>
      </c>
      <c r="V212" s="466">
        <v>0</v>
      </c>
      <c r="W212" s="751">
        <v>3.7319243044003096</v>
      </c>
      <c r="X212" s="378"/>
      <c r="Y212" s="180"/>
      <c r="Z212" s="180"/>
      <c r="AA212" s="180"/>
      <c r="AB212" s="180"/>
    </row>
    <row r="213" spans="1:28">
      <c r="A213" s="631"/>
      <c r="B213" s="388" t="s">
        <v>225</v>
      </c>
      <c r="C213" s="391">
        <v>2891575</v>
      </c>
      <c r="D213" s="391"/>
      <c r="E213" s="391">
        <v>2948768</v>
      </c>
      <c r="F213" s="391"/>
      <c r="G213" s="391"/>
      <c r="H213" s="391"/>
      <c r="I213" s="749">
        <v>5840343</v>
      </c>
      <c r="J213" s="391"/>
      <c r="K213" s="391">
        <v>0</v>
      </c>
      <c r="L213" s="391">
        <v>0</v>
      </c>
      <c r="M213" s="391">
        <v>0</v>
      </c>
      <c r="N213" s="391"/>
      <c r="O213" s="749">
        <v>0</v>
      </c>
      <c r="P213" s="391">
        <v>0</v>
      </c>
      <c r="Q213" s="391"/>
      <c r="R213" s="391"/>
      <c r="S213" s="749">
        <v>0</v>
      </c>
      <c r="T213" s="391"/>
      <c r="U213" s="749"/>
      <c r="V213" s="391"/>
      <c r="W213" s="749">
        <v>5840343</v>
      </c>
      <c r="X213" s="378"/>
      <c r="Y213" s="180"/>
      <c r="Z213" s="180"/>
      <c r="AA213" s="180"/>
      <c r="AB213" s="180"/>
    </row>
    <row r="214" spans="1:28" s="203" customFormat="1">
      <c r="A214" s="631"/>
      <c r="B214" s="389" t="s">
        <v>166</v>
      </c>
      <c r="C214" s="392">
        <v>3312283</v>
      </c>
      <c r="D214" s="392"/>
      <c r="E214" s="392">
        <v>5754831</v>
      </c>
      <c r="F214" s="392"/>
      <c r="G214" s="392"/>
      <c r="H214" s="392"/>
      <c r="I214" s="750">
        <v>9067114</v>
      </c>
      <c r="J214" s="392"/>
      <c r="K214" s="392">
        <v>1674080.6</v>
      </c>
      <c r="L214" s="392">
        <v>3397128.38</v>
      </c>
      <c r="M214" s="392">
        <v>121266.8</v>
      </c>
      <c r="N214" s="392"/>
      <c r="O214" s="750">
        <v>5192475.78</v>
      </c>
      <c r="P214" s="392">
        <v>574648</v>
      </c>
      <c r="Q214" s="392"/>
      <c r="R214" s="392"/>
      <c r="S214" s="750">
        <v>574648</v>
      </c>
      <c r="T214" s="392"/>
      <c r="U214" s="750"/>
      <c r="V214" s="392"/>
      <c r="W214" s="750">
        <v>14834237.780000001</v>
      </c>
      <c r="X214" s="378"/>
      <c r="Y214" s="180"/>
      <c r="Z214" s="180"/>
      <c r="AA214" s="180"/>
      <c r="AB214" s="180"/>
    </row>
    <row r="215" spans="1:28" s="202" customFormat="1">
      <c r="A215" s="631"/>
      <c r="B215" s="634" t="s">
        <v>175</v>
      </c>
      <c r="C215" s="1461">
        <v>14.5494410485635</v>
      </c>
      <c r="D215" s="466">
        <v>0</v>
      </c>
      <c r="E215" s="1461">
        <v>95.16052127532582</v>
      </c>
      <c r="F215" s="466">
        <v>0</v>
      </c>
      <c r="G215" s="466">
        <v>0</v>
      </c>
      <c r="H215" s="466">
        <v>0</v>
      </c>
      <c r="I215" s="751">
        <v>55.249683109365321</v>
      </c>
      <c r="J215" s="466">
        <v>0</v>
      </c>
      <c r="K215" s="466">
        <v>0</v>
      </c>
      <c r="L215" s="466">
        <v>0</v>
      </c>
      <c r="M215" s="466">
        <v>0</v>
      </c>
      <c r="N215" s="466">
        <v>0</v>
      </c>
      <c r="O215" s="751">
        <v>0</v>
      </c>
      <c r="P215" s="466">
        <v>0</v>
      </c>
      <c r="Q215" s="466">
        <v>0</v>
      </c>
      <c r="R215" s="466">
        <v>0</v>
      </c>
      <c r="S215" s="751">
        <v>0</v>
      </c>
      <c r="T215" s="466">
        <v>0</v>
      </c>
      <c r="U215" s="751">
        <v>0</v>
      </c>
      <c r="V215" s="466">
        <v>0</v>
      </c>
      <c r="W215" s="751">
        <v>153.99600297448288</v>
      </c>
      <c r="X215" s="378"/>
      <c r="Y215" s="180"/>
      <c r="Z215" s="180"/>
      <c r="AA215" s="180"/>
      <c r="AB215" s="180"/>
    </row>
    <row r="216" spans="1:28">
      <c r="A216" s="631"/>
      <c r="B216" s="752" t="s">
        <v>317</v>
      </c>
      <c r="C216" s="749">
        <v>593281586.04540253</v>
      </c>
      <c r="D216" s="749"/>
      <c r="E216" s="749">
        <v>639848000</v>
      </c>
      <c r="F216" s="749">
        <v>21386201</v>
      </c>
      <c r="G216" s="749"/>
      <c r="H216" s="749"/>
      <c r="I216" s="749">
        <v>1254515787.0454025</v>
      </c>
      <c r="J216" s="749"/>
      <c r="K216" s="749">
        <v>68452100</v>
      </c>
      <c r="L216" s="749">
        <v>129421400</v>
      </c>
      <c r="M216" s="749">
        <v>5074000</v>
      </c>
      <c r="N216" s="749"/>
      <c r="O216" s="749">
        <v>202947500</v>
      </c>
      <c r="P216" s="749">
        <v>19856000</v>
      </c>
      <c r="Q216" s="749"/>
      <c r="R216" s="749"/>
      <c r="S216" s="749">
        <v>19856000</v>
      </c>
      <c r="T216" s="749"/>
      <c r="U216" s="749"/>
      <c r="V216" s="749">
        <v>0</v>
      </c>
      <c r="W216" s="749">
        <v>1477319287.0454025</v>
      </c>
      <c r="X216" s="378"/>
      <c r="Y216" s="180"/>
      <c r="Z216" s="180"/>
      <c r="AA216" s="180"/>
      <c r="AB216" s="180"/>
    </row>
    <row r="217" spans="1:28" s="203" customFormat="1">
      <c r="A217" s="631"/>
      <c r="B217" s="753" t="s">
        <v>70</v>
      </c>
      <c r="C217" s="750">
        <v>620956037.39236593</v>
      </c>
      <c r="D217" s="750"/>
      <c r="E217" s="750">
        <v>674919200</v>
      </c>
      <c r="F217" s="750">
        <v>21386201</v>
      </c>
      <c r="G217" s="750"/>
      <c r="H217" s="750"/>
      <c r="I217" s="750">
        <v>1317261438.3923659</v>
      </c>
      <c r="J217" s="750"/>
      <c r="K217" s="750">
        <v>66950080.600000001</v>
      </c>
      <c r="L217" s="750">
        <v>130154028.38</v>
      </c>
      <c r="M217" s="750">
        <v>4682266.8</v>
      </c>
      <c r="N217" s="750"/>
      <c r="O217" s="750">
        <v>201786375.78</v>
      </c>
      <c r="P217" s="750">
        <v>22179848</v>
      </c>
      <c r="Q217" s="750"/>
      <c r="R217" s="750"/>
      <c r="S217" s="750">
        <v>22179848</v>
      </c>
      <c r="T217" s="750"/>
      <c r="U217" s="750"/>
      <c r="V217" s="750">
        <v>0</v>
      </c>
      <c r="W217" s="750">
        <v>1541227662.1723659</v>
      </c>
      <c r="X217" s="378"/>
      <c r="Y217" s="180"/>
      <c r="Z217" s="180"/>
      <c r="AA217" s="180"/>
      <c r="AB217" s="180"/>
    </row>
    <row r="218" spans="1:28" s="202" customFormat="1">
      <c r="A218" s="631"/>
      <c r="B218" s="754" t="s">
        <v>57</v>
      </c>
      <c r="C218" s="751">
        <v>4.6646401974871914</v>
      </c>
      <c r="D218" s="751">
        <v>0</v>
      </c>
      <c r="E218" s="751">
        <v>5.4811767794851276</v>
      </c>
      <c r="F218" s="751">
        <v>0</v>
      </c>
      <c r="G218" s="751">
        <v>0</v>
      </c>
      <c r="H218" s="751">
        <v>0</v>
      </c>
      <c r="I218" s="751">
        <v>5.0015832399160205</v>
      </c>
      <c r="J218" s="751">
        <v>0</v>
      </c>
      <c r="K218" s="751">
        <v>-2.1942634338464395</v>
      </c>
      <c r="L218" s="751">
        <v>0.56607978278707793</v>
      </c>
      <c r="M218" s="751">
        <v>-7.7204020496649619</v>
      </c>
      <c r="N218" s="751">
        <v>0</v>
      </c>
      <c r="O218" s="751">
        <v>-0.57213033912709887</v>
      </c>
      <c r="P218" s="751">
        <v>11.703505237711523</v>
      </c>
      <c r="Q218" s="751">
        <v>0</v>
      </c>
      <c r="R218" s="751">
        <v>0</v>
      </c>
      <c r="S218" s="751">
        <v>11.703505237711523</v>
      </c>
      <c r="T218" s="751">
        <v>0</v>
      </c>
      <c r="U218" s="751">
        <v>0</v>
      </c>
      <c r="V218" s="751">
        <v>0</v>
      </c>
      <c r="W218" s="751">
        <v>4.3259690499795829</v>
      </c>
      <c r="X218" s="378"/>
      <c r="Y218" s="180"/>
      <c r="Z218" s="180"/>
      <c r="AA218" s="180"/>
      <c r="AB218" s="180"/>
    </row>
    <row r="219" spans="1:28">
      <c r="A219" s="631"/>
      <c r="B219" s="388" t="s">
        <v>72</v>
      </c>
      <c r="C219" s="391"/>
      <c r="D219" s="391"/>
      <c r="E219" s="391"/>
      <c r="F219" s="391"/>
      <c r="G219" s="391"/>
      <c r="H219" s="391"/>
      <c r="I219" s="749"/>
      <c r="J219" s="391"/>
      <c r="K219" s="391"/>
      <c r="L219" s="391"/>
      <c r="M219" s="391"/>
      <c r="N219" s="391"/>
      <c r="O219" s="749"/>
      <c r="P219" s="391"/>
      <c r="Q219" s="391"/>
      <c r="R219" s="391"/>
      <c r="S219" s="749"/>
      <c r="T219" s="391"/>
      <c r="U219" s="749"/>
      <c r="V219" s="391">
        <v>233743706</v>
      </c>
      <c r="W219" s="749">
        <v>233743706</v>
      </c>
      <c r="X219" s="378"/>
      <c r="Y219" s="180"/>
      <c r="Z219" s="180"/>
      <c r="AA219" s="180"/>
      <c r="AB219" s="180"/>
    </row>
    <row r="220" spans="1:28" s="203" customFormat="1">
      <c r="A220" s="631"/>
      <c r="B220" s="389" t="s">
        <v>74</v>
      </c>
      <c r="C220" s="392"/>
      <c r="D220" s="392"/>
      <c r="E220" s="392"/>
      <c r="F220" s="392"/>
      <c r="G220" s="392"/>
      <c r="H220" s="392"/>
      <c r="I220" s="750"/>
      <c r="J220" s="392"/>
      <c r="K220" s="392"/>
      <c r="L220" s="392"/>
      <c r="M220" s="392"/>
      <c r="N220" s="392"/>
      <c r="O220" s="750"/>
      <c r="P220" s="392"/>
      <c r="Q220" s="392"/>
      <c r="R220" s="392"/>
      <c r="S220" s="750"/>
      <c r="T220" s="392"/>
      <c r="U220" s="750"/>
      <c r="V220" s="392">
        <v>238509563</v>
      </c>
      <c r="W220" s="750">
        <v>238509563</v>
      </c>
      <c r="X220" s="378"/>
      <c r="Y220" s="180"/>
      <c r="Z220" s="180"/>
      <c r="AA220" s="180"/>
      <c r="AB220" s="180"/>
    </row>
    <row r="221" spans="1:28" s="202" customFormat="1">
      <c r="A221" s="631"/>
      <c r="B221" s="634" t="s">
        <v>76</v>
      </c>
      <c r="C221" s="466">
        <v>0</v>
      </c>
      <c r="D221" s="466">
        <v>0</v>
      </c>
      <c r="E221" s="466">
        <v>0</v>
      </c>
      <c r="F221" s="466">
        <v>0</v>
      </c>
      <c r="G221" s="466">
        <v>0</v>
      </c>
      <c r="H221" s="466">
        <v>0</v>
      </c>
      <c r="I221" s="751">
        <v>0</v>
      </c>
      <c r="J221" s="466">
        <v>0</v>
      </c>
      <c r="K221" s="466">
        <v>0</v>
      </c>
      <c r="L221" s="466">
        <v>0</v>
      </c>
      <c r="M221" s="466">
        <v>0</v>
      </c>
      <c r="N221" s="466">
        <v>0</v>
      </c>
      <c r="O221" s="751">
        <v>0</v>
      </c>
      <c r="P221" s="466">
        <v>0</v>
      </c>
      <c r="Q221" s="466">
        <v>0</v>
      </c>
      <c r="R221" s="466">
        <v>0</v>
      </c>
      <c r="S221" s="751">
        <v>0</v>
      </c>
      <c r="T221" s="466">
        <v>0</v>
      </c>
      <c r="U221" s="751">
        <v>0</v>
      </c>
      <c r="V221" s="466">
        <v>2.0389242053003134</v>
      </c>
      <c r="W221" s="751">
        <v>2.0389242053003134</v>
      </c>
      <c r="X221" s="378"/>
      <c r="Y221" s="180"/>
      <c r="Z221" s="180"/>
      <c r="AA221" s="180"/>
      <c r="AB221" s="180"/>
    </row>
    <row r="222" spans="1:28">
      <c r="A222" s="631"/>
      <c r="B222" s="388" t="s">
        <v>240</v>
      </c>
      <c r="C222" s="391"/>
      <c r="D222" s="391"/>
      <c r="E222" s="391"/>
      <c r="F222" s="391"/>
      <c r="G222" s="391"/>
      <c r="H222" s="391"/>
      <c r="I222" s="749"/>
      <c r="J222" s="391"/>
      <c r="K222" s="391"/>
      <c r="L222" s="391"/>
      <c r="M222" s="391"/>
      <c r="N222" s="391"/>
      <c r="O222" s="749"/>
      <c r="P222" s="391"/>
      <c r="Q222" s="391"/>
      <c r="R222" s="391"/>
      <c r="S222" s="749"/>
      <c r="T222" s="391"/>
      <c r="U222" s="749"/>
      <c r="V222" s="391"/>
      <c r="W222" s="749"/>
      <c r="X222" s="378"/>
      <c r="Y222" s="180"/>
      <c r="Z222" s="180"/>
      <c r="AA222" s="180"/>
      <c r="AB222" s="180"/>
    </row>
    <row r="223" spans="1:28" s="203" customFormat="1">
      <c r="A223" s="631"/>
      <c r="B223" s="389" t="s">
        <v>163</v>
      </c>
      <c r="C223" s="392"/>
      <c r="D223" s="392"/>
      <c r="E223" s="392"/>
      <c r="F223" s="392"/>
      <c r="G223" s="392"/>
      <c r="H223" s="392"/>
      <c r="I223" s="750"/>
      <c r="J223" s="392"/>
      <c r="K223" s="392"/>
      <c r="L223" s="392"/>
      <c r="M223" s="392"/>
      <c r="N223" s="392"/>
      <c r="O223" s="750"/>
      <c r="P223" s="392"/>
      <c r="Q223" s="392"/>
      <c r="R223" s="392"/>
      <c r="S223" s="750"/>
      <c r="T223" s="392"/>
      <c r="U223" s="750"/>
      <c r="V223" s="392"/>
      <c r="W223" s="750"/>
      <c r="X223" s="378"/>
      <c r="Y223" s="180"/>
      <c r="Z223" s="180"/>
      <c r="AA223" s="180"/>
      <c r="AB223" s="180"/>
    </row>
    <row r="224" spans="1:28" s="202" customFormat="1">
      <c r="A224" s="631"/>
      <c r="B224" s="634" t="s">
        <v>59</v>
      </c>
      <c r="C224" s="466">
        <v>0</v>
      </c>
      <c r="D224" s="466">
        <v>0</v>
      </c>
      <c r="E224" s="466">
        <v>0</v>
      </c>
      <c r="F224" s="466">
        <v>0</v>
      </c>
      <c r="G224" s="466">
        <v>0</v>
      </c>
      <c r="H224" s="466">
        <v>0</v>
      </c>
      <c r="I224" s="751">
        <v>0</v>
      </c>
      <c r="J224" s="466">
        <v>0</v>
      </c>
      <c r="K224" s="466">
        <v>0</v>
      </c>
      <c r="L224" s="466">
        <v>0</v>
      </c>
      <c r="M224" s="466">
        <v>0</v>
      </c>
      <c r="N224" s="466">
        <v>0</v>
      </c>
      <c r="O224" s="751">
        <v>0</v>
      </c>
      <c r="P224" s="466">
        <v>0</v>
      </c>
      <c r="Q224" s="466">
        <v>0</v>
      </c>
      <c r="R224" s="466">
        <v>0</v>
      </c>
      <c r="S224" s="751">
        <v>0</v>
      </c>
      <c r="T224" s="466">
        <v>0</v>
      </c>
      <c r="U224" s="751">
        <v>0</v>
      </c>
      <c r="V224" s="466">
        <v>0</v>
      </c>
      <c r="W224" s="751">
        <v>0</v>
      </c>
      <c r="X224" s="378"/>
      <c r="Y224" s="180"/>
      <c r="Z224" s="180"/>
      <c r="AA224" s="180"/>
      <c r="AB224" s="180"/>
    </row>
    <row r="225" spans="1:28">
      <c r="A225" s="631"/>
      <c r="B225" s="388" t="s">
        <v>159</v>
      </c>
      <c r="C225" s="391"/>
      <c r="D225" s="391"/>
      <c r="E225" s="391"/>
      <c r="F225" s="391"/>
      <c r="G225" s="391"/>
      <c r="H225" s="391"/>
      <c r="I225" s="749"/>
      <c r="J225" s="391"/>
      <c r="K225" s="391"/>
      <c r="L225" s="391"/>
      <c r="M225" s="391"/>
      <c r="N225" s="391"/>
      <c r="O225" s="749"/>
      <c r="P225" s="391"/>
      <c r="Q225" s="391"/>
      <c r="R225" s="391"/>
      <c r="S225" s="749"/>
      <c r="T225" s="391"/>
      <c r="U225" s="749"/>
      <c r="V225" s="391"/>
      <c r="W225" s="749"/>
      <c r="X225" s="378"/>
      <c r="Y225" s="180"/>
      <c r="Z225" s="180"/>
      <c r="AA225" s="180"/>
      <c r="AB225" s="180"/>
    </row>
    <row r="226" spans="1:28" s="203" customFormat="1">
      <c r="A226" s="631"/>
      <c r="B226" s="389" t="s">
        <v>100</v>
      </c>
      <c r="C226" s="392"/>
      <c r="D226" s="392"/>
      <c r="E226" s="392"/>
      <c r="F226" s="392"/>
      <c r="G226" s="392"/>
      <c r="H226" s="392"/>
      <c r="I226" s="750"/>
      <c r="J226" s="392"/>
      <c r="K226" s="392"/>
      <c r="L226" s="392"/>
      <c r="M226" s="392"/>
      <c r="N226" s="392"/>
      <c r="O226" s="750"/>
      <c r="P226" s="392"/>
      <c r="Q226" s="392"/>
      <c r="R226" s="392"/>
      <c r="S226" s="750"/>
      <c r="T226" s="392"/>
      <c r="U226" s="750"/>
      <c r="V226" s="392"/>
      <c r="W226" s="750"/>
      <c r="X226" s="378"/>
      <c r="Y226" s="180"/>
      <c r="Z226" s="180"/>
      <c r="AA226" s="180"/>
      <c r="AB226" s="180"/>
    </row>
    <row r="227" spans="1:28" s="202" customFormat="1">
      <c r="A227" s="631"/>
      <c r="B227" s="634" t="s">
        <v>110</v>
      </c>
      <c r="C227" s="466">
        <v>0</v>
      </c>
      <c r="D227" s="466">
        <v>0</v>
      </c>
      <c r="E227" s="466">
        <v>0</v>
      </c>
      <c r="F227" s="466">
        <v>0</v>
      </c>
      <c r="G227" s="466">
        <v>0</v>
      </c>
      <c r="H227" s="466">
        <v>0</v>
      </c>
      <c r="I227" s="751">
        <v>0</v>
      </c>
      <c r="J227" s="466">
        <v>0</v>
      </c>
      <c r="K227" s="466">
        <v>0</v>
      </c>
      <c r="L227" s="466">
        <v>0</v>
      </c>
      <c r="M227" s="466">
        <v>0</v>
      </c>
      <c r="N227" s="466">
        <v>0</v>
      </c>
      <c r="O227" s="751">
        <v>0</v>
      </c>
      <c r="P227" s="466">
        <v>0</v>
      </c>
      <c r="Q227" s="466">
        <v>0</v>
      </c>
      <c r="R227" s="466">
        <v>0</v>
      </c>
      <c r="S227" s="751">
        <v>0</v>
      </c>
      <c r="T227" s="466">
        <v>0</v>
      </c>
      <c r="U227" s="751">
        <v>0</v>
      </c>
      <c r="V227" s="466">
        <v>0</v>
      </c>
      <c r="W227" s="751">
        <v>0</v>
      </c>
      <c r="X227" s="378"/>
      <c r="Y227" s="180"/>
      <c r="Z227" s="180"/>
      <c r="AA227" s="180"/>
      <c r="AB227" s="180"/>
    </row>
    <row r="228" spans="1:28">
      <c r="A228" s="631"/>
      <c r="B228" s="388" t="s">
        <v>161</v>
      </c>
      <c r="C228" s="391">
        <v>0</v>
      </c>
      <c r="D228" s="391"/>
      <c r="E228" s="391">
        <v>0</v>
      </c>
      <c r="F228" s="391">
        <v>0</v>
      </c>
      <c r="G228" s="391"/>
      <c r="H228" s="391"/>
      <c r="I228" s="749">
        <v>0</v>
      </c>
      <c r="J228" s="391"/>
      <c r="K228" s="391">
        <v>0</v>
      </c>
      <c r="L228" s="391">
        <v>0</v>
      </c>
      <c r="M228" s="391">
        <v>0</v>
      </c>
      <c r="N228" s="391"/>
      <c r="O228" s="749">
        <v>0</v>
      </c>
      <c r="P228" s="391">
        <v>0</v>
      </c>
      <c r="Q228" s="391"/>
      <c r="R228" s="391"/>
      <c r="S228" s="749">
        <v>0</v>
      </c>
      <c r="T228" s="391"/>
      <c r="U228" s="749"/>
      <c r="V228" s="391">
        <v>0</v>
      </c>
      <c r="W228" s="749">
        <v>0</v>
      </c>
      <c r="X228" s="378"/>
      <c r="Y228" s="180"/>
      <c r="Z228" s="180"/>
      <c r="AA228" s="180"/>
      <c r="AB228" s="180"/>
    </row>
    <row r="229" spans="1:28" s="203" customFormat="1">
      <c r="A229" s="631"/>
      <c r="B229" s="389" t="s">
        <v>102</v>
      </c>
      <c r="C229" s="392">
        <v>0</v>
      </c>
      <c r="D229" s="392"/>
      <c r="E229" s="392">
        <v>0</v>
      </c>
      <c r="F229" s="392">
        <v>0</v>
      </c>
      <c r="G229" s="392"/>
      <c r="H229" s="392"/>
      <c r="I229" s="750">
        <v>0</v>
      </c>
      <c r="J229" s="392"/>
      <c r="K229" s="392">
        <v>0</v>
      </c>
      <c r="L229" s="392">
        <v>0</v>
      </c>
      <c r="M229" s="392">
        <v>0</v>
      </c>
      <c r="N229" s="392"/>
      <c r="O229" s="750">
        <v>0</v>
      </c>
      <c r="P229" s="392">
        <v>0</v>
      </c>
      <c r="Q229" s="392"/>
      <c r="R229" s="392"/>
      <c r="S229" s="750">
        <v>0</v>
      </c>
      <c r="T229" s="392"/>
      <c r="U229" s="750"/>
      <c r="V229" s="392">
        <v>0</v>
      </c>
      <c r="W229" s="750">
        <v>0</v>
      </c>
      <c r="X229" s="378"/>
      <c r="Y229" s="180"/>
      <c r="Z229" s="180"/>
      <c r="AA229" s="180"/>
      <c r="AB229" s="180"/>
    </row>
    <row r="230" spans="1:28" s="202" customFormat="1">
      <c r="A230" s="631"/>
      <c r="B230" s="634" t="s">
        <v>183</v>
      </c>
      <c r="C230" s="466">
        <v>0</v>
      </c>
      <c r="D230" s="466">
        <v>0</v>
      </c>
      <c r="E230" s="466">
        <v>0</v>
      </c>
      <c r="F230" s="466">
        <v>0</v>
      </c>
      <c r="G230" s="466">
        <v>0</v>
      </c>
      <c r="H230" s="466">
        <v>0</v>
      </c>
      <c r="I230" s="751">
        <v>0</v>
      </c>
      <c r="J230" s="466">
        <v>0</v>
      </c>
      <c r="K230" s="466">
        <v>0</v>
      </c>
      <c r="L230" s="466">
        <v>0</v>
      </c>
      <c r="M230" s="466">
        <v>0</v>
      </c>
      <c r="N230" s="466">
        <v>0</v>
      </c>
      <c r="O230" s="751">
        <v>0</v>
      </c>
      <c r="P230" s="466">
        <v>0</v>
      </c>
      <c r="Q230" s="466">
        <v>0</v>
      </c>
      <c r="R230" s="466">
        <v>0</v>
      </c>
      <c r="S230" s="751">
        <v>0</v>
      </c>
      <c r="T230" s="466">
        <v>0</v>
      </c>
      <c r="U230" s="751">
        <v>0</v>
      </c>
      <c r="V230" s="466">
        <v>0</v>
      </c>
      <c r="W230" s="751">
        <v>0</v>
      </c>
      <c r="X230" s="378"/>
      <c r="Y230" s="180"/>
      <c r="Z230" s="180"/>
      <c r="AA230" s="180"/>
      <c r="AB230" s="180"/>
    </row>
    <row r="231" spans="1:28">
      <c r="A231" s="631"/>
      <c r="B231" s="388" t="s">
        <v>78</v>
      </c>
      <c r="C231" s="391">
        <v>78517400</v>
      </c>
      <c r="D231" s="391"/>
      <c r="E231" s="391"/>
      <c r="F231" s="391"/>
      <c r="G231" s="391"/>
      <c r="H231" s="391"/>
      <c r="I231" s="749">
        <v>78517400</v>
      </c>
      <c r="J231" s="391"/>
      <c r="K231" s="391"/>
      <c r="L231" s="391"/>
      <c r="M231" s="391"/>
      <c r="N231" s="391"/>
      <c r="O231" s="749"/>
      <c r="P231" s="391"/>
      <c r="Q231" s="391"/>
      <c r="R231" s="391"/>
      <c r="S231" s="749"/>
      <c r="T231" s="391"/>
      <c r="U231" s="749"/>
      <c r="V231" s="391"/>
      <c r="W231" s="749">
        <v>78517400</v>
      </c>
      <c r="X231" s="378"/>
      <c r="Y231" s="180"/>
      <c r="Z231" s="180"/>
      <c r="AA231" s="180"/>
      <c r="AB231" s="180"/>
    </row>
    <row r="232" spans="1:28" s="203" customFormat="1">
      <c r="A232" s="631"/>
      <c r="B232" s="389" t="s">
        <v>80</v>
      </c>
      <c r="C232" s="392">
        <v>57233200</v>
      </c>
      <c r="D232" s="392"/>
      <c r="E232" s="392"/>
      <c r="F232" s="392"/>
      <c r="G232" s="392"/>
      <c r="H232" s="392"/>
      <c r="I232" s="750">
        <v>57233200</v>
      </c>
      <c r="J232" s="392"/>
      <c r="K232" s="392"/>
      <c r="L232" s="392"/>
      <c r="M232" s="392"/>
      <c r="N232" s="392"/>
      <c r="O232" s="750"/>
      <c r="P232" s="392"/>
      <c r="Q232" s="392"/>
      <c r="R232" s="392"/>
      <c r="S232" s="750"/>
      <c r="T232" s="392"/>
      <c r="U232" s="750"/>
      <c r="V232" s="392"/>
      <c r="W232" s="750">
        <v>57233200</v>
      </c>
      <c r="X232" s="378"/>
      <c r="Y232" s="180"/>
      <c r="Z232" s="180"/>
      <c r="AA232" s="180"/>
      <c r="AB232" s="180"/>
    </row>
    <row r="233" spans="1:28" s="202" customFormat="1">
      <c r="A233" s="631"/>
      <c r="B233" s="634" t="s">
        <v>215</v>
      </c>
      <c r="C233" s="1461">
        <v>-27.107622004804032</v>
      </c>
      <c r="D233" s="466">
        <v>0</v>
      </c>
      <c r="E233" s="466">
        <v>0</v>
      </c>
      <c r="F233" s="466">
        <v>0</v>
      </c>
      <c r="G233" s="466">
        <v>0</v>
      </c>
      <c r="H233" s="466">
        <v>0</v>
      </c>
      <c r="I233" s="751">
        <v>-27.107622004804032</v>
      </c>
      <c r="J233" s="466">
        <v>0</v>
      </c>
      <c r="K233" s="466">
        <v>0</v>
      </c>
      <c r="L233" s="466">
        <v>0</v>
      </c>
      <c r="M233" s="466">
        <v>0</v>
      </c>
      <c r="N233" s="466">
        <v>0</v>
      </c>
      <c r="O233" s="751">
        <v>0</v>
      </c>
      <c r="P233" s="466">
        <v>0</v>
      </c>
      <c r="Q233" s="466">
        <v>0</v>
      </c>
      <c r="R233" s="466">
        <v>0</v>
      </c>
      <c r="S233" s="751">
        <v>0</v>
      </c>
      <c r="T233" s="466">
        <v>0</v>
      </c>
      <c r="U233" s="751">
        <v>0</v>
      </c>
      <c r="V233" s="466">
        <v>0</v>
      </c>
      <c r="W233" s="751">
        <v>-27.107622004804032</v>
      </c>
      <c r="X233" s="378"/>
      <c r="Y233" s="180"/>
      <c r="Z233" s="180"/>
      <c r="AA233" s="180"/>
      <c r="AB233" s="180"/>
    </row>
    <row r="234" spans="1:28">
      <c r="A234" s="631"/>
      <c r="B234" s="388" t="s">
        <v>81</v>
      </c>
      <c r="C234" s="391">
        <v>74562763.954597384</v>
      </c>
      <c r="D234" s="391"/>
      <c r="E234" s="391"/>
      <c r="F234" s="391"/>
      <c r="G234" s="391"/>
      <c r="H234" s="391"/>
      <c r="I234" s="749">
        <v>74562763.954597384</v>
      </c>
      <c r="J234" s="391"/>
      <c r="K234" s="391"/>
      <c r="L234" s="391"/>
      <c r="M234" s="391"/>
      <c r="N234" s="391"/>
      <c r="O234" s="749"/>
      <c r="P234" s="391"/>
      <c r="Q234" s="391"/>
      <c r="R234" s="391"/>
      <c r="S234" s="749"/>
      <c r="T234" s="391"/>
      <c r="U234" s="749"/>
      <c r="V234" s="391"/>
      <c r="W234" s="749">
        <v>74562763.954597384</v>
      </c>
      <c r="X234" s="378"/>
      <c r="Y234" s="180"/>
      <c r="Z234" s="180"/>
      <c r="AA234" s="180"/>
      <c r="AB234" s="180"/>
    </row>
    <row r="235" spans="1:28" s="203" customFormat="1">
      <c r="A235" s="631"/>
      <c r="B235" s="389" t="s">
        <v>318</v>
      </c>
      <c r="C235" s="392">
        <v>78984562.607634008</v>
      </c>
      <c r="D235" s="392"/>
      <c r="E235" s="392"/>
      <c r="F235" s="392"/>
      <c r="G235" s="392"/>
      <c r="H235" s="392"/>
      <c r="I235" s="750">
        <v>78984562.607634008</v>
      </c>
      <c r="J235" s="392"/>
      <c r="K235" s="392"/>
      <c r="L235" s="392"/>
      <c r="M235" s="392"/>
      <c r="N235" s="392"/>
      <c r="O235" s="750"/>
      <c r="P235" s="392"/>
      <c r="Q235" s="392"/>
      <c r="R235" s="392"/>
      <c r="S235" s="750"/>
      <c r="T235" s="392"/>
      <c r="U235" s="750"/>
      <c r="V235" s="392"/>
      <c r="W235" s="750">
        <v>78984562.607634008</v>
      </c>
      <c r="X235" s="378"/>
      <c r="Y235" s="180"/>
      <c r="Z235" s="180"/>
      <c r="AA235" s="180"/>
      <c r="AB235" s="180"/>
    </row>
    <row r="236" spans="1:28" s="202" customFormat="1">
      <c r="A236" s="631"/>
      <c r="B236" s="634" t="s">
        <v>236</v>
      </c>
      <c r="C236" s="466">
        <v>5.9303041069254592</v>
      </c>
      <c r="D236" s="466">
        <v>0</v>
      </c>
      <c r="E236" s="466">
        <v>0</v>
      </c>
      <c r="F236" s="466">
        <v>0</v>
      </c>
      <c r="G236" s="466">
        <v>0</v>
      </c>
      <c r="H236" s="466">
        <v>0</v>
      </c>
      <c r="I236" s="751">
        <v>5.9303041069254592</v>
      </c>
      <c r="J236" s="466">
        <v>0</v>
      </c>
      <c r="K236" s="466">
        <v>0</v>
      </c>
      <c r="L236" s="466">
        <v>0</v>
      </c>
      <c r="M236" s="466">
        <v>0</v>
      </c>
      <c r="N236" s="466">
        <v>0</v>
      </c>
      <c r="O236" s="751">
        <v>0</v>
      </c>
      <c r="P236" s="466">
        <v>0</v>
      </c>
      <c r="Q236" s="466">
        <v>0</v>
      </c>
      <c r="R236" s="466">
        <v>0</v>
      </c>
      <c r="S236" s="751">
        <v>0</v>
      </c>
      <c r="T236" s="466">
        <v>0</v>
      </c>
      <c r="U236" s="751">
        <v>0</v>
      </c>
      <c r="V236" s="466">
        <v>0</v>
      </c>
      <c r="W236" s="751">
        <v>5.9303041069254592</v>
      </c>
      <c r="X236" s="378"/>
      <c r="Y236" s="180"/>
      <c r="Z236" s="180"/>
      <c r="AA236" s="180"/>
      <c r="AB236" s="180"/>
    </row>
    <row r="237" spans="1:28">
      <c r="A237" s="631"/>
      <c r="B237" s="388" t="s">
        <v>19</v>
      </c>
      <c r="C237" s="391">
        <v>958026311.04540253</v>
      </c>
      <c r="D237" s="391"/>
      <c r="E237" s="391">
        <v>912996432</v>
      </c>
      <c r="F237" s="391">
        <v>44923601</v>
      </c>
      <c r="G237" s="391"/>
      <c r="H237" s="391"/>
      <c r="I237" s="749">
        <v>1915946344.0454025</v>
      </c>
      <c r="J237" s="391"/>
      <c r="K237" s="391">
        <v>95912067.674065799</v>
      </c>
      <c r="L237" s="391">
        <v>238598145.8616212</v>
      </c>
      <c r="M237" s="391">
        <v>10056764.427345656</v>
      </c>
      <c r="N237" s="391"/>
      <c r="O237" s="749">
        <v>344566977.9630326</v>
      </c>
      <c r="P237" s="391">
        <v>35096322.036967367</v>
      </c>
      <c r="Q237" s="391"/>
      <c r="R237" s="391"/>
      <c r="S237" s="749">
        <v>35096322.036967367</v>
      </c>
      <c r="T237" s="391"/>
      <c r="U237" s="749"/>
      <c r="V237" s="391">
        <v>48314106</v>
      </c>
      <c r="W237" s="749">
        <v>2343923750.0454025</v>
      </c>
      <c r="X237" s="378"/>
      <c r="Y237" s="180"/>
      <c r="Z237" s="180"/>
      <c r="AA237" s="180"/>
      <c r="AB237" s="180"/>
    </row>
    <row r="238" spans="1:28" s="203" customFormat="1">
      <c r="A238" s="631"/>
      <c r="B238" s="389" t="s">
        <v>21</v>
      </c>
      <c r="C238" s="392">
        <v>979098754.39236605</v>
      </c>
      <c r="D238" s="392"/>
      <c r="E238" s="392">
        <v>947590769</v>
      </c>
      <c r="F238" s="392">
        <v>44815801</v>
      </c>
      <c r="G238" s="392"/>
      <c r="H238" s="392"/>
      <c r="I238" s="750">
        <v>1971505324.3923659</v>
      </c>
      <c r="J238" s="392"/>
      <c r="K238" s="392">
        <v>93269621.946922302</v>
      </c>
      <c r="L238" s="392">
        <v>230120189.88717914</v>
      </c>
      <c r="M238" s="392">
        <v>9482657.454140529</v>
      </c>
      <c r="N238" s="392"/>
      <c r="O238" s="750">
        <v>332872469.28824198</v>
      </c>
      <c r="P238" s="392">
        <v>36083530.711758018</v>
      </c>
      <c r="Q238" s="392"/>
      <c r="R238" s="392"/>
      <c r="S238" s="750">
        <v>36083530.711758018</v>
      </c>
      <c r="T238" s="392"/>
      <c r="U238" s="750"/>
      <c r="V238" s="392">
        <v>46994600</v>
      </c>
      <c r="W238" s="750">
        <v>2387455924.3923659</v>
      </c>
      <c r="X238" s="378"/>
      <c r="Y238" s="180"/>
      <c r="Z238" s="180"/>
      <c r="AA238" s="180"/>
      <c r="AB238" s="180"/>
    </row>
    <row r="239" spans="1:28" s="212" customFormat="1" ht="13.5" thickBot="1">
      <c r="A239" s="635"/>
      <c r="B239" s="761" t="s">
        <v>23</v>
      </c>
      <c r="C239" s="762">
        <v>2.1995683316848766</v>
      </c>
      <c r="D239" s="762">
        <v>0</v>
      </c>
      <c r="E239" s="762">
        <v>3.7890988165438961</v>
      </c>
      <c r="F239" s="762">
        <v>-0.23996295399382611</v>
      </c>
      <c r="G239" s="762">
        <v>0</v>
      </c>
      <c r="H239" s="762">
        <v>0</v>
      </c>
      <c r="I239" s="763">
        <v>2.8998192209106466</v>
      </c>
      <c r="J239" s="762">
        <v>0</v>
      </c>
      <c r="K239" s="762">
        <v>-2.7550711721941137</v>
      </c>
      <c r="L239" s="762">
        <v>-3.5532363186757494</v>
      </c>
      <c r="M239" s="762">
        <v>-5.7086648230921559</v>
      </c>
      <c r="N239" s="762">
        <v>0</v>
      </c>
      <c r="O239" s="763">
        <v>-3.3939725576503812</v>
      </c>
      <c r="P239" s="762">
        <v>2.8128550728216255</v>
      </c>
      <c r="Q239" s="762">
        <v>0</v>
      </c>
      <c r="R239" s="762">
        <v>0</v>
      </c>
      <c r="S239" s="763">
        <v>2.8128550728216255</v>
      </c>
      <c r="T239" s="762">
        <v>0</v>
      </c>
      <c r="U239" s="763">
        <v>0</v>
      </c>
      <c r="V239" s="762">
        <v>-2.7310988637562703</v>
      </c>
      <c r="W239" s="763">
        <v>1.857235089073211</v>
      </c>
      <c r="X239" s="378"/>
      <c r="Y239" s="180"/>
      <c r="Z239" s="180"/>
      <c r="AA239" s="180"/>
      <c r="AB239" s="180"/>
    </row>
    <row r="240" spans="1:28" ht="13.5" thickTop="1">
      <c r="A240" s="230" t="s">
        <v>145</v>
      </c>
      <c r="B240" s="764" t="s">
        <v>190</v>
      </c>
      <c r="C240" s="765">
        <v>101941968</v>
      </c>
      <c r="D240" s="765">
        <v>109983703</v>
      </c>
      <c r="E240" s="765">
        <v>86849995</v>
      </c>
      <c r="F240" s="765">
        <v>80092103</v>
      </c>
      <c r="G240" s="765">
        <v>8038737</v>
      </c>
      <c r="H240" s="765">
        <v>5520027</v>
      </c>
      <c r="I240" s="766">
        <v>392426533</v>
      </c>
      <c r="J240" s="765"/>
      <c r="K240" s="765">
        <v>49958981</v>
      </c>
      <c r="L240" s="765">
        <v>33715305</v>
      </c>
      <c r="M240" s="765">
        <v>6259934</v>
      </c>
      <c r="N240" s="765"/>
      <c r="O240" s="766">
        <v>89934220</v>
      </c>
      <c r="P240" s="765">
        <v>31279946</v>
      </c>
      <c r="Q240" s="765"/>
      <c r="R240" s="765"/>
      <c r="S240" s="766">
        <v>31279946</v>
      </c>
      <c r="T240" s="765"/>
      <c r="U240" s="766"/>
      <c r="V240" s="765"/>
      <c r="W240" s="766">
        <v>513640699</v>
      </c>
      <c r="X240" s="378"/>
      <c r="Y240" s="180"/>
      <c r="Z240" s="180"/>
      <c r="AA240" s="180"/>
      <c r="AB240" s="180"/>
    </row>
    <row r="241" spans="1:28" s="203" customFormat="1">
      <c r="A241" s="631"/>
      <c r="B241" s="389" t="s">
        <v>4</v>
      </c>
      <c r="C241" s="392">
        <v>103484871</v>
      </c>
      <c r="D241" s="392">
        <v>110112523</v>
      </c>
      <c r="E241" s="392">
        <v>86751035</v>
      </c>
      <c r="F241" s="392">
        <v>79644176</v>
      </c>
      <c r="G241" s="392">
        <v>7058553</v>
      </c>
      <c r="H241" s="392">
        <v>5569131</v>
      </c>
      <c r="I241" s="750">
        <v>392620289</v>
      </c>
      <c r="J241" s="392"/>
      <c r="K241" s="392">
        <v>53749834</v>
      </c>
      <c r="L241" s="392">
        <v>33455851</v>
      </c>
      <c r="M241" s="392">
        <v>7048739</v>
      </c>
      <c r="N241" s="392"/>
      <c r="O241" s="750">
        <v>94254424</v>
      </c>
      <c r="P241" s="392">
        <v>34800518</v>
      </c>
      <c r="Q241" s="392"/>
      <c r="R241" s="392"/>
      <c r="S241" s="750">
        <v>34800518</v>
      </c>
      <c r="T241" s="392"/>
      <c r="U241" s="750"/>
      <c r="V241" s="392"/>
      <c r="W241" s="750">
        <v>521675231</v>
      </c>
      <c r="X241" s="378"/>
      <c r="Y241" s="180"/>
      <c r="Z241" s="180"/>
      <c r="AA241" s="180"/>
      <c r="AB241" s="180"/>
    </row>
    <row r="242" spans="1:28" s="202" customFormat="1">
      <c r="A242" s="632"/>
      <c r="B242" s="634" t="s">
        <v>116</v>
      </c>
      <c r="C242" s="466">
        <v>1.5135110987851441</v>
      </c>
      <c r="D242" s="466">
        <v>0.11712644372412157</v>
      </c>
      <c r="E242" s="466">
        <v>-0.1139435874463781</v>
      </c>
      <c r="F242" s="466">
        <v>-0.55926487533983216</v>
      </c>
      <c r="G242" s="1461">
        <v>-12.193258717134297</v>
      </c>
      <c r="H242" s="466">
        <v>0.88956086627837139</v>
      </c>
      <c r="I242" s="751">
        <v>4.9373827635655815E-2</v>
      </c>
      <c r="J242" s="466">
        <v>0</v>
      </c>
      <c r="K242" s="466">
        <v>7.5879309868229701</v>
      </c>
      <c r="L242" s="466">
        <v>-0.76954368349922986</v>
      </c>
      <c r="M242" s="466">
        <v>12.600851702270344</v>
      </c>
      <c r="N242" s="466">
        <v>0</v>
      </c>
      <c r="O242" s="751">
        <v>4.8037376651512629</v>
      </c>
      <c r="P242" s="1461">
        <v>11.255045005512478</v>
      </c>
      <c r="Q242" s="466">
        <v>0</v>
      </c>
      <c r="R242" s="466">
        <v>0</v>
      </c>
      <c r="S242" s="751">
        <v>11.255045005512478</v>
      </c>
      <c r="T242" s="466">
        <v>0</v>
      </c>
      <c r="U242" s="751">
        <v>0</v>
      </c>
      <c r="V242" s="466">
        <v>0</v>
      </c>
      <c r="W242" s="751">
        <v>1.5642319651932408</v>
      </c>
      <c r="X242" s="378"/>
      <c r="Y242" s="180"/>
      <c r="Z242" s="180"/>
      <c r="AA242" s="180"/>
      <c r="AB242" s="180"/>
    </row>
    <row r="243" spans="1:28">
      <c r="A243" s="631"/>
      <c r="B243" s="388" t="s">
        <v>195</v>
      </c>
      <c r="C243" s="391">
        <v>70504842</v>
      </c>
      <c r="D243" s="391"/>
      <c r="E243" s="391">
        <v>5215083</v>
      </c>
      <c r="F243" s="391"/>
      <c r="G243" s="391"/>
      <c r="H243" s="391"/>
      <c r="I243" s="749">
        <v>75719925</v>
      </c>
      <c r="J243" s="391"/>
      <c r="K243" s="391"/>
      <c r="L243" s="391"/>
      <c r="M243" s="391"/>
      <c r="N243" s="391"/>
      <c r="O243" s="749"/>
      <c r="P243" s="391"/>
      <c r="Q243" s="391"/>
      <c r="R243" s="391"/>
      <c r="S243" s="749"/>
      <c r="T243" s="391"/>
      <c r="U243" s="749"/>
      <c r="V243" s="391">
        <v>27059776</v>
      </c>
      <c r="W243" s="749">
        <v>102779701</v>
      </c>
      <c r="X243" s="378"/>
      <c r="Y243" s="180"/>
      <c r="Z243" s="180"/>
      <c r="AA243" s="180"/>
      <c r="AB243" s="180"/>
    </row>
    <row r="244" spans="1:28" s="203" customFormat="1">
      <c r="A244" s="631"/>
      <c r="B244" s="389" t="s">
        <v>242</v>
      </c>
      <c r="C244" s="392">
        <v>70244262</v>
      </c>
      <c r="D244" s="392"/>
      <c r="E244" s="392">
        <v>4218706</v>
      </c>
      <c r="F244" s="392"/>
      <c r="G244" s="392"/>
      <c r="H244" s="392"/>
      <c r="I244" s="750">
        <v>74462968</v>
      </c>
      <c r="J244" s="392"/>
      <c r="K244" s="392"/>
      <c r="L244" s="392"/>
      <c r="M244" s="392"/>
      <c r="N244" s="392"/>
      <c r="O244" s="750"/>
      <c r="P244" s="392"/>
      <c r="Q244" s="392"/>
      <c r="R244" s="392"/>
      <c r="S244" s="750"/>
      <c r="T244" s="392"/>
      <c r="U244" s="750"/>
      <c r="V244" s="392">
        <v>27648710</v>
      </c>
      <c r="W244" s="750">
        <v>102111678</v>
      </c>
      <c r="X244" s="378"/>
      <c r="Y244" s="180"/>
      <c r="Z244" s="180"/>
      <c r="AA244" s="180"/>
      <c r="AB244" s="180"/>
    </row>
    <row r="245" spans="1:28" s="202" customFormat="1">
      <c r="A245" s="631"/>
      <c r="B245" s="634" t="s">
        <v>244</v>
      </c>
      <c r="C245" s="466">
        <v>-0.36959163740839246</v>
      </c>
      <c r="D245" s="466">
        <v>0</v>
      </c>
      <c r="E245" s="1461">
        <v>-19.105678663215905</v>
      </c>
      <c r="F245" s="466">
        <v>0</v>
      </c>
      <c r="G245" s="466">
        <v>0</v>
      </c>
      <c r="H245" s="466">
        <v>0</v>
      </c>
      <c r="I245" s="751">
        <v>-1.6600082474989244</v>
      </c>
      <c r="J245" s="466">
        <v>0</v>
      </c>
      <c r="K245" s="466">
        <v>0</v>
      </c>
      <c r="L245" s="466">
        <v>0</v>
      </c>
      <c r="M245" s="466">
        <v>0</v>
      </c>
      <c r="N245" s="466">
        <v>0</v>
      </c>
      <c r="O245" s="751">
        <v>0</v>
      </c>
      <c r="P245" s="466">
        <v>0</v>
      </c>
      <c r="Q245" s="466">
        <v>0</v>
      </c>
      <c r="R245" s="466">
        <v>0</v>
      </c>
      <c r="S245" s="751">
        <v>0</v>
      </c>
      <c r="T245" s="466">
        <v>0</v>
      </c>
      <c r="U245" s="751">
        <v>0</v>
      </c>
      <c r="V245" s="466">
        <v>2.1764186074563217</v>
      </c>
      <c r="W245" s="751">
        <v>-0.64995616206355766</v>
      </c>
      <c r="X245" s="378"/>
      <c r="Y245" s="180"/>
      <c r="Z245" s="180"/>
      <c r="AA245" s="180"/>
      <c r="AB245" s="180"/>
    </row>
    <row r="246" spans="1:28">
      <c r="A246" s="631"/>
      <c r="B246" s="388" t="s">
        <v>5</v>
      </c>
      <c r="C246" s="391"/>
      <c r="D246" s="391"/>
      <c r="E246" s="391"/>
      <c r="F246" s="391"/>
      <c r="G246" s="391"/>
      <c r="H246" s="391"/>
      <c r="I246" s="749"/>
      <c r="J246" s="391"/>
      <c r="K246" s="391"/>
      <c r="L246" s="391"/>
      <c r="M246" s="391"/>
      <c r="N246" s="391"/>
      <c r="O246" s="749"/>
      <c r="P246" s="391"/>
      <c r="Q246" s="391"/>
      <c r="R246" s="391"/>
      <c r="S246" s="749"/>
      <c r="T246" s="391"/>
      <c r="U246" s="749"/>
      <c r="V246" s="391"/>
      <c r="W246" s="749"/>
      <c r="X246" s="378"/>
      <c r="Y246" s="180"/>
      <c r="Z246" s="180"/>
      <c r="AA246" s="180"/>
      <c r="AB246" s="180"/>
    </row>
    <row r="247" spans="1:28" s="203" customFormat="1">
      <c r="A247" s="631"/>
      <c r="B247" s="389" t="s">
        <v>6</v>
      </c>
      <c r="C247" s="392"/>
      <c r="D247" s="392"/>
      <c r="E247" s="392"/>
      <c r="F247" s="392"/>
      <c r="G247" s="392"/>
      <c r="H247" s="392"/>
      <c r="I247" s="750"/>
      <c r="J247" s="392"/>
      <c r="K247" s="392"/>
      <c r="L247" s="392"/>
      <c r="M247" s="392"/>
      <c r="N247" s="392"/>
      <c r="O247" s="750"/>
      <c r="P247" s="392"/>
      <c r="Q247" s="392"/>
      <c r="R247" s="392"/>
      <c r="S247" s="750"/>
      <c r="T247" s="392"/>
      <c r="U247" s="750"/>
      <c r="V247" s="392"/>
      <c r="W247" s="750"/>
      <c r="X247" s="378"/>
      <c r="Y247" s="180"/>
      <c r="Z247" s="180"/>
      <c r="AA247" s="180"/>
      <c r="AB247" s="180"/>
    </row>
    <row r="248" spans="1:28" s="202" customFormat="1">
      <c r="A248" s="631"/>
      <c r="B248" s="634" t="s">
        <v>298</v>
      </c>
      <c r="C248" s="466">
        <v>0</v>
      </c>
      <c r="D248" s="466">
        <v>0</v>
      </c>
      <c r="E248" s="466">
        <v>0</v>
      </c>
      <c r="F248" s="466">
        <v>0</v>
      </c>
      <c r="G248" s="466">
        <v>0</v>
      </c>
      <c r="H248" s="466">
        <v>0</v>
      </c>
      <c r="I248" s="751">
        <v>0</v>
      </c>
      <c r="J248" s="466">
        <v>0</v>
      </c>
      <c r="K248" s="466">
        <v>0</v>
      </c>
      <c r="L248" s="466">
        <v>0</v>
      </c>
      <c r="M248" s="466">
        <v>0</v>
      </c>
      <c r="N248" s="466">
        <v>0</v>
      </c>
      <c r="O248" s="751">
        <v>0</v>
      </c>
      <c r="P248" s="466">
        <v>0</v>
      </c>
      <c r="Q248" s="466">
        <v>0</v>
      </c>
      <c r="R248" s="466">
        <v>0</v>
      </c>
      <c r="S248" s="751">
        <v>0</v>
      </c>
      <c r="T248" s="466">
        <v>0</v>
      </c>
      <c r="U248" s="751">
        <v>0</v>
      </c>
      <c r="V248" s="466">
        <v>0</v>
      </c>
      <c r="W248" s="751">
        <v>0</v>
      </c>
      <c r="X248" s="378"/>
      <c r="Y248" s="180"/>
      <c r="Z248" s="180"/>
      <c r="AA248" s="180"/>
      <c r="AB248" s="180"/>
    </row>
    <row r="249" spans="1:28">
      <c r="A249" s="631"/>
      <c r="B249" s="388" t="s">
        <v>223</v>
      </c>
      <c r="C249" s="391">
        <v>307892089</v>
      </c>
      <c r="D249" s="391">
        <v>204091990</v>
      </c>
      <c r="E249" s="391">
        <v>160053468</v>
      </c>
      <c r="F249" s="391">
        <v>173027865</v>
      </c>
      <c r="G249" s="391">
        <v>11665746</v>
      </c>
      <c r="H249" s="391">
        <v>9838448</v>
      </c>
      <c r="I249" s="749">
        <v>866569606</v>
      </c>
      <c r="J249" s="391"/>
      <c r="K249" s="391">
        <v>97020762</v>
      </c>
      <c r="L249" s="391">
        <v>37289836</v>
      </c>
      <c r="M249" s="391">
        <v>9088814</v>
      </c>
      <c r="N249" s="391"/>
      <c r="O249" s="749">
        <v>143399412</v>
      </c>
      <c r="P249" s="391">
        <v>26592618</v>
      </c>
      <c r="Q249" s="391"/>
      <c r="R249" s="391"/>
      <c r="S249" s="749">
        <v>26592618</v>
      </c>
      <c r="T249" s="391"/>
      <c r="U249" s="749"/>
      <c r="V249" s="391"/>
      <c r="W249" s="749">
        <v>1036561636</v>
      </c>
      <c r="X249" s="378"/>
      <c r="Y249" s="180"/>
      <c r="Z249" s="180"/>
      <c r="AA249" s="180"/>
      <c r="AB249" s="180"/>
    </row>
    <row r="250" spans="1:28" s="203" customFormat="1">
      <c r="A250" s="631"/>
      <c r="B250" s="389" t="s">
        <v>14</v>
      </c>
      <c r="C250" s="392">
        <v>331323123</v>
      </c>
      <c r="D250" s="392">
        <v>221359006</v>
      </c>
      <c r="E250" s="392">
        <v>168313250</v>
      </c>
      <c r="F250" s="392">
        <v>185684366</v>
      </c>
      <c r="G250" s="392">
        <v>11315135</v>
      </c>
      <c r="H250" s="392">
        <v>10650851</v>
      </c>
      <c r="I250" s="750">
        <v>928645731</v>
      </c>
      <c r="J250" s="392"/>
      <c r="K250" s="392">
        <v>105208600</v>
      </c>
      <c r="L250" s="392">
        <v>41245163</v>
      </c>
      <c r="M250" s="392">
        <v>10871500</v>
      </c>
      <c r="N250" s="392"/>
      <c r="O250" s="750">
        <v>157325263</v>
      </c>
      <c r="P250" s="392">
        <v>30922180</v>
      </c>
      <c r="Q250" s="392"/>
      <c r="R250" s="392"/>
      <c r="S250" s="750">
        <v>30922180</v>
      </c>
      <c r="T250" s="392"/>
      <c r="U250" s="750"/>
      <c r="V250" s="392"/>
      <c r="W250" s="750">
        <v>1116893174</v>
      </c>
      <c r="X250" s="378"/>
      <c r="Y250" s="180"/>
      <c r="Z250" s="180"/>
      <c r="AA250" s="180"/>
      <c r="AB250" s="180"/>
    </row>
    <row r="251" spans="1:28" s="202" customFormat="1">
      <c r="A251" s="631"/>
      <c r="B251" s="634" t="s">
        <v>247</v>
      </c>
      <c r="C251" s="466">
        <v>7.610144864748376</v>
      </c>
      <c r="D251" s="466">
        <v>8.4604084658099517</v>
      </c>
      <c r="E251" s="466">
        <v>5.1606391933975457</v>
      </c>
      <c r="F251" s="466">
        <v>7.3147183547574839</v>
      </c>
      <c r="G251" s="466">
        <v>-3.0054743177161578</v>
      </c>
      <c r="H251" s="466">
        <v>8.2574304402482994</v>
      </c>
      <c r="I251" s="751">
        <v>7.1634320624903154</v>
      </c>
      <c r="J251" s="466">
        <v>0</v>
      </c>
      <c r="K251" s="466">
        <v>8.4392637526388423</v>
      </c>
      <c r="L251" s="1461">
        <v>10.606984165872973</v>
      </c>
      <c r="M251" s="1461">
        <v>19.614066257709752</v>
      </c>
      <c r="N251" s="466">
        <v>0</v>
      </c>
      <c r="O251" s="751">
        <v>9.7112329860878361</v>
      </c>
      <c r="P251" s="1461">
        <v>16.28106717435643</v>
      </c>
      <c r="Q251" s="466">
        <v>0</v>
      </c>
      <c r="R251" s="466">
        <v>0</v>
      </c>
      <c r="S251" s="751">
        <v>16.28106717435643</v>
      </c>
      <c r="T251" s="466">
        <v>0</v>
      </c>
      <c r="U251" s="751">
        <v>0</v>
      </c>
      <c r="V251" s="466">
        <v>0</v>
      </c>
      <c r="W251" s="751">
        <v>7.7498081358666067</v>
      </c>
      <c r="X251" s="378"/>
      <c r="Y251" s="180"/>
      <c r="Z251" s="180"/>
      <c r="AA251" s="180"/>
      <c r="AB251" s="180"/>
    </row>
    <row r="252" spans="1:28">
      <c r="A252" s="631"/>
      <c r="B252" s="388" t="s">
        <v>225</v>
      </c>
      <c r="C252" s="391"/>
      <c r="D252" s="391"/>
      <c r="E252" s="391"/>
      <c r="F252" s="391"/>
      <c r="G252" s="391"/>
      <c r="H252" s="391"/>
      <c r="I252" s="749"/>
      <c r="J252" s="391"/>
      <c r="K252" s="391"/>
      <c r="L252" s="391"/>
      <c r="M252" s="391"/>
      <c r="N252" s="391"/>
      <c r="O252" s="749"/>
      <c r="P252" s="391"/>
      <c r="Q252" s="391"/>
      <c r="R252" s="391"/>
      <c r="S252" s="749"/>
      <c r="T252" s="391"/>
      <c r="U252" s="749"/>
      <c r="V252" s="391"/>
      <c r="W252" s="749"/>
      <c r="X252" s="378"/>
      <c r="Y252" s="180"/>
      <c r="Z252" s="180"/>
      <c r="AA252" s="180"/>
      <c r="AB252" s="180"/>
    </row>
    <row r="253" spans="1:28" s="203" customFormat="1">
      <c r="A253" s="631"/>
      <c r="B253" s="389" t="s">
        <v>166</v>
      </c>
      <c r="C253" s="392"/>
      <c r="D253" s="392"/>
      <c r="E253" s="392"/>
      <c r="F253" s="392"/>
      <c r="G253" s="392"/>
      <c r="H253" s="392"/>
      <c r="I253" s="750"/>
      <c r="J253" s="392"/>
      <c r="K253" s="392"/>
      <c r="L253" s="392"/>
      <c r="M253" s="392"/>
      <c r="N253" s="392"/>
      <c r="O253" s="750"/>
      <c r="P253" s="392"/>
      <c r="Q253" s="392"/>
      <c r="R253" s="392"/>
      <c r="S253" s="750"/>
      <c r="T253" s="392"/>
      <c r="U253" s="750"/>
      <c r="V253" s="392"/>
      <c r="W253" s="750"/>
      <c r="X253" s="378"/>
      <c r="Y253" s="180"/>
      <c r="Z253" s="180"/>
      <c r="AA253" s="180"/>
      <c r="AB253" s="180"/>
    </row>
    <row r="254" spans="1:28" s="202" customFormat="1">
      <c r="A254" s="631"/>
      <c r="B254" s="634" t="s">
        <v>175</v>
      </c>
      <c r="C254" s="466">
        <v>0</v>
      </c>
      <c r="D254" s="466">
        <v>0</v>
      </c>
      <c r="E254" s="466">
        <v>0</v>
      </c>
      <c r="F254" s="466">
        <v>0</v>
      </c>
      <c r="G254" s="466">
        <v>0</v>
      </c>
      <c r="H254" s="466">
        <v>0</v>
      </c>
      <c r="I254" s="751">
        <v>0</v>
      </c>
      <c r="J254" s="466">
        <v>0</v>
      </c>
      <c r="K254" s="466">
        <v>0</v>
      </c>
      <c r="L254" s="466">
        <v>0</v>
      </c>
      <c r="M254" s="466">
        <v>0</v>
      </c>
      <c r="N254" s="466">
        <v>0</v>
      </c>
      <c r="O254" s="751">
        <v>0</v>
      </c>
      <c r="P254" s="466">
        <v>0</v>
      </c>
      <c r="Q254" s="466">
        <v>0</v>
      </c>
      <c r="R254" s="466">
        <v>0</v>
      </c>
      <c r="S254" s="751">
        <v>0</v>
      </c>
      <c r="T254" s="466">
        <v>0</v>
      </c>
      <c r="U254" s="751">
        <v>0</v>
      </c>
      <c r="V254" s="466">
        <v>0</v>
      </c>
      <c r="W254" s="751">
        <v>0</v>
      </c>
      <c r="X254" s="378"/>
      <c r="Y254" s="180"/>
      <c r="Z254" s="180"/>
      <c r="AA254" s="180"/>
      <c r="AB254" s="180"/>
    </row>
    <row r="255" spans="1:28">
      <c r="A255" s="631"/>
      <c r="B255" s="752" t="s">
        <v>317</v>
      </c>
      <c r="C255" s="749">
        <v>307892089</v>
      </c>
      <c r="D255" s="749">
        <v>204091990</v>
      </c>
      <c r="E255" s="749">
        <v>160053468</v>
      </c>
      <c r="F255" s="749">
        <v>173027865</v>
      </c>
      <c r="G255" s="749">
        <v>11665746</v>
      </c>
      <c r="H255" s="749">
        <v>9838448</v>
      </c>
      <c r="I255" s="749">
        <v>866569606</v>
      </c>
      <c r="J255" s="749"/>
      <c r="K255" s="749">
        <v>97020762</v>
      </c>
      <c r="L255" s="749">
        <v>37289836</v>
      </c>
      <c r="M255" s="749">
        <v>9088814</v>
      </c>
      <c r="N255" s="749"/>
      <c r="O255" s="749">
        <v>143399412</v>
      </c>
      <c r="P255" s="749">
        <v>26592618</v>
      </c>
      <c r="Q255" s="749"/>
      <c r="R255" s="749"/>
      <c r="S255" s="749">
        <v>26592618</v>
      </c>
      <c r="T255" s="749">
        <v>0</v>
      </c>
      <c r="U255" s="749">
        <v>0</v>
      </c>
      <c r="V255" s="749">
        <v>0</v>
      </c>
      <c r="W255" s="749">
        <v>1036561636</v>
      </c>
      <c r="X255" s="378"/>
      <c r="Y255" s="180"/>
      <c r="Z255" s="180"/>
      <c r="AA255" s="180"/>
      <c r="AB255" s="180"/>
    </row>
    <row r="256" spans="1:28" s="203" customFormat="1">
      <c r="A256" s="631"/>
      <c r="B256" s="753" t="s">
        <v>70</v>
      </c>
      <c r="C256" s="750">
        <v>331323123</v>
      </c>
      <c r="D256" s="750">
        <v>221359006</v>
      </c>
      <c r="E256" s="750">
        <v>168313250</v>
      </c>
      <c r="F256" s="750">
        <v>185684366</v>
      </c>
      <c r="G256" s="750">
        <v>11315135</v>
      </c>
      <c r="H256" s="750">
        <v>10650851</v>
      </c>
      <c r="I256" s="750">
        <v>928645731</v>
      </c>
      <c r="J256" s="750"/>
      <c r="K256" s="750">
        <v>105208600</v>
      </c>
      <c r="L256" s="750">
        <v>41245163</v>
      </c>
      <c r="M256" s="750">
        <v>10871500</v>
      </c>
      <c r="N256" s="750"/>
      <c r="O256" s="750">
        <v>157325263</v>
      </c>
      <c r="P256" s="750">
        <v>30922180</v>
      </c>
      <c r="Q256" s="750"/>
      <c r="R256" s="750"/>
      <c r="S256" s="750">
        <v>30922180</v>
      </c>
      <c r="T256" s="750">
        <v>0</v>
      </c>
      <c r="U256" s="750">
        <v>0</v>
      </c>
      <c r="V256" s="750">
        <v>0</v>
      </c>
      <c r="W256" s="750">
        <v>1116893174</v>
      </c>
      <c r="X256" s="378"/>
      <c r="Y256" s="180"/>
      <c r="Z256" s="180"/>
      <c r="AA256" s="180"/>
      <c r="AB256" s="180"/>
    </row>
    <row r="257" spans="1:28" s="202" customFormat="1">
      <c r="A257" s="631"/>
      <c r="B257" s="754" t="s">
        <v>57</v>
      </c>
      <c r="C257" s="751">
        <v>7.610144864748376</v>
      </c>
      <c r="D257" s="751">
        <v>8.4604084658099517</v>
      </c>
      <c r="E257" s="751">
        <v>5.1606391933975457</v>
      </c>
      <c r="F257" s="751">
        <v>7.3147183547574839</v>
      </c>
      <c r="G257" s="751">
        <v>-3.0054743177161578</v>
      </c>
      <c r="H257" s="751">
        <v>8.2574304402482994</v>
      </c>
      <c r="I257" s="751">
        <v>7.1634320624903154</v>
      </c>
      <c r="J257" s="751">
        <v>0</v>
      </c>
      <c r="K257" s="751">
        <v>8.4392637526388423</v>
      </c>
      <c r="L257" s="751">
        <v>10.606984165872973</v>
      </c>
      <c r="M257" s="751">
        <v>19.614066257709752</v>
      </c>
      <c r="N257" s="751">
        <v>0</v>
      </c>
      <c r="O257" s="751">
        <v>9.7112329860878361</v>
      </c>
      <c r="P257" s="751">
        <v>16.28106717435643</v>
      </c>
      <c r="Q257" s="751">
        <v>0</v>
      </c>
      <c r="R257" s="751">
        <v>0</v>
      </c>
      <c r="S257" s="751">
        <v>16.28106717435643</v>
      </c>
      <c r="T257" s="751">
        <v>0</v>
      </c>
      <c r="U257" s="751">
        <v>0</v>
      </c>
      <c r="V257" s="751">
        <v>0</v>
      </c>
      <c r="W257" s="751">
        <v>7.7498081358666067</v>
      </c>
      <c r="X257" s="378"/>
      <c r="Y257" s="180"/>
      <c r="Z257" s="180"/>
      <c r="AA257" s="180"/>
      <c r="AB257" s="180"/>
    </row>
    <row r="258" spans="1:28">
      <c r="A258" s="631"/>
      <c r="B258" s="388" t="s">
        <v>72</v>
      </c>
      <c r="C258" s="391"/>
      <c r="D258" s="391"/>
      <c r="E258" s="391"/>
      <c r="F258" s="391"/>
      <c r="G258" s="391"/>
      <c r="H258" s="391"/>
      <c r="I258" s="749"/>
      <c r="J258" s="391"/>
      <c r="K258" s="391"/>
      <c r="L258" s="391"/>
      <c r="M258" s="391"/>
      <c r="N258" s="391"/>
      <c r="O258" s="749"/>
      <c r="P258" s="391"/>
      <c r="Q258" s="391"/>
      <c r="R258" s="391"/>
      <c r="S258" s="749"/>
      <c r="T258" s="391"/>
      <c r="U258" s="749"/>
      <c r="V258" s="391">
        <v>313584571</v>
      </c>
      <c r="W258" s="749">
        <v>313584571</v>
      </c>
      <c r="X258" s="378"/>
      <c r="Y258" s="180"/>
      <c r="Z258" s="180"/>
      <c r="AA258" s="180"/>
      <c r="AB258" s="180"/>
    </row>
    <row r="259" spans="1:28" s="203" customFormat="1">
      <c r="A259" s="631"/>
      <c r="B259" s="389" t="s">
        <v>74</v>
      </c>
      <c r="C259" s="392"/>
      <c r="D259" s="392"/>
      <c r="E259" s="392"/>
      <c r="F259" s="392"/>
      <c r="G259" s="392"/>
      <c r="H259" s="392"/>
      <c r="I259" s="750"/>
      <c r="J259" s="392"/>
      <c r="K259" s="392"/>
      <c r="L259" s="392"/>
      <c r="M259" s="392"/>
      <c r="N259" s="392"/>
      <c r="O259" s="750"/>
      <c r="P259" s="392"/>
      <c r="Q259" s="392"/>
      <c r="R259" s="392"/>
      <c r="S259" s="750"/>
      <c r="T259" s="392"/>
      <c r="U259" s="750"/>
      <c r="V259" s="392">
        <v>326784653</v>
      </c>
      <c r="W259" s="750">
        <v>326784653</v>
      </c>
      <c r="X259" s="378"/>
      <c r="Y259" s="180"/>
      <c r="Z259" s="180"/>
      <c r="AA259" s="180"/>
      <c r="AB259" s="180"/>
    </row>
    <row r="260" spans="1:28" s="202" customFormat="1">
      <c r="A260" s="631"/>
      <c r="B260" s="634" t="s">
        <v>76</v>
      </c>
      <c r="C260" s="466">
        <v>0</v>
      </c>
      <c r="D260" s="466">
        <v>0</v>
      </c>
      <c r="E260" s="466">
        <v>0</v>
      </c>
      <c r="F260" s="466">
        <v>0</v>
      </c>
      <c r="G260" s="466">
        <v>0</v>
      </c>
      <c r="H260" s="466">
        <v>0</v>
      </c>
      <c r="I260" s="751">
        <v>0</v>
      </c>
      <c r="J260" s="466">
        <v>0</v>
      </c>
      <c r="K260" s="466">
        <v>0</v>
      </c>
      <c r="L260" s="466">
        <v>0</v>
      </c>
      <c r="M260" s="466">
        <v>0</v>
      </c>
      <c r="N260" s="466">
        <v>0</v>
      </c>
      <c r="O260" s="751">
        <v>0</v>
      </c>
      <c r="P260" s="466">
        <v>0</v>
      </c>
      <c r="Q260" s="466">
        <v>0</v>
      </c>
      <c r="R260" s="466">
        <v>0</v>
      </c>
      <c r="S260" s="751">
        <v>0</v>
      </c>
      <c r="T260" s="466">
        <v>0</v>
      </c>
      <c r="U260" s="751">
        <v>0</v>
      </c>
      <c r="V260" s="466">
        <v>4.2094169231304432</v>
      </c>
      <c r="W260" s="751">
        <v>4.2094169231304432</v>
      </c>
      <c r="X260" s="378"/>
      <c r="Y260" s="180"/>
      <c r="Z260" s="180"/>
      <c r="AA260" s="180"/>
      <c r="AB260" s="180"/>
    </row>
    <row r="261" spans="1:28">
      <c r="A261" s="631"/>
      <c r="B261" s="388" t="s">
        <v>240</v>
      </c>
      <c r="C261" s="391"/>
      <c r="D261" s="391"/>
      <c r="E261" s="391"/>
      <c r="F261" s="391"/>
      <c r="G261" s="391"/>
      <c r="H261" s="391"/>
      <c r="I261" s="749"/>
      <c r="J261" s="391"/>
      <c r="K261" s="391"/>
      <c r="L261" s="391"/>
      <c r="M261" s="391"/>
      <c r="N261" s="391"/>
      <c r="O261" s="749"/>
      <c r="P261" s="391"/>
      <c r="Q261" s="391"/>
      <c r="R261" s="391"/>
      <c r="S261" s="749"/>
      <c r="T261" s="391"/>
      <c r="U261" s="749"/>
      <c r="V261" s="391"/>
      <c r="W261" s="749"/>
      <c r="X261" s="378"/>
      <c r="Y261" s="180"/>
      <c r="Z261" s="180"/>
      <c r="AA261" s="180"/>
      <c r="AB261" s="180"/>
    </row>
    <row r="262" spans="1:28" s="203" customFormat="1">
      <c r="A262" s="631"/>
      <c r="B262" s="389" t="s">
        <v>163</v>
      </c>
      <c r="C262" s="392"/>
      <c r="D262" s="392"/>
      <c r="E262" s="392"/>
      <c r="F262" s="392"/>
      <c r="G262" s="392"/>
      <c r="H262" s="392"/>
      <c r="I262" s="750"/>
      <c r="J262" s="392"/>
      <c r="K262" s="392"/>
      <c r="L262" s="392"/>
      <c r="M262" s="392"/>
      <c r="N262" s="392"/>
      <c r="O262" s="750"/>
      <c r="P262" s="392"/>
      <c r="Q262" s="392"/>
      <c r="R262" s="392"/>
      <c r="S262" s="750"/>
      <c r="T262" s="392"/>
      <c r="U262" s="750"/>
      <c r="V262" s="392"/>
      <c r="W262" s="750"/>
      <c r="X262" s="378"/>
      <c r="Y262" s="180"/>
      <c r="Z262" s="180"/>
      <c r="AA262" s="180"/>
      <c r="AB262" s="180"/>
    </row>
    <row r="263" spans="1:28" s="202" customFormat="1">
      <c r="A263" s="631"/>
      <c r="B263" s="634" t="s">
        <v>59</v>
      </c>
      <c r="C263" s="466">
        <v>0</v>
      </c>
      <c r="D263" s="466">
        <v>0</v>
      </c>
      <c r="E263" s="466">
        <v>0</v>
      </c>
      <c r="F263" s="466">
        <v>0</v>
      </c>
      <c r="G263" s="466">
        <v>0</v>
      </c>
      <c r="H263" s="466">
        <v>0</v>
      </c>
      <c r="I263" s="751">
        <v>0</v>
      </c>
      <c r="J263" s="466">
        <v>0</v>
      </c>
      <c r="K263" s="466">
        <v>0</v>
      </c>
      <c r="L263" s="466">
        <v>0</v>
      </c>
      <c r="M263" s="466">
        <v>0</v>
      </c>
      <c r="N263" s="466">
        <v>0</v>
      </c>
      <c r="O263" s="751">
        <v>0</v>
      </c>
      <c r="P263" s="466">
        <v>0</v>
      </c>
      <c r="Q263" s="466">
        <v>0</v>
      </c>
      <c r="R263" s="466">
        <v>0</v>
      </c>
      <c r="S263" s="751">
        <v>0</v>
      </c>
      <c r="T263" s="466">
        <v>0</v>
      </c>
      <c r="U263" s="751">
        <v>0</v>
      </c>
      <c r="V263" s="466">
        <v>0</v>
      </c>
      <c r="W263" s="751">
        <v>0</v>
      </c>
      <c r="X263" s="378"/>
      <c r="Y263" s="180"/>
      <c r="Z263" s="180"/>
      <c r="AA263" s="180"/>
      <c r="AB263" s="180"/>
    </row>
    <row r="264" spans="1:28">
      <c r="A264" s="631"/>
      <c r="B264" s="388" t="s">
        <v>159</v>
      </c>
      <c r="C264" s="391"/>
      <c r="D264" s="391"/>
      <c r="E264" s="391"/>
      <c r="F264" s="391"/>
      <c r="G264" s="391"/>
      <c r="H264" s="391"/>
      <c r="I264" s="749"/>
      <c r="J264" s="391"/>
      <c r="K264" s="391"/>
      <c r="L264" s="391"/>
      <c r="M264" s="391"/>
      <c r="N264" s="391"/>
      <c r="O264" s="749"/>
      <c r="P264" s="391"/>
      <c r="Q264" s="391"/>
      <c r="R264" s="391"/>
      <c r="S264" s="749"/>
      <c r="T264" s="391"/>
      <c r="U264" s="749"/>
      <c r="V264" s="391"/>
      <c r="W264" s="749"/>
      <c r="X264" s="378"/>
      <c r="Y264" s="180"/>
      <c r="Z264" s="180"/>
      <c r="AA264" s="180"/>
      <c r="AB264" s="180"/>
    </row>
    <row r="265" spans="1:28" s="203" customFormat="1">
      <c r="A265" s="631"/>
      <c r="B265" s="389" t="s">
        <v>100</v>
      </c>
      <c r="C265" s="392"/>
      <c r="D265" s="392"/>
      <c r="E265" s="392"/>
      <c r="F265" s="392"/>
      <c r="G265" s="392"/>
      <c r="H265" s="392"/>
      <c r="I265" s="750"/>
      <c r="J265" s="392"/>
      <c r="K265" s="392"/>
      <c r="L265" s="392"/>
      <c r="M265" s="392"/>
      <c r="N265" s="392"/>
      <c r="O265" s="750"/>
      <c r="P265" s="392"/>
      <c r="Q265" s="392"/>
      <c r="R265" s="392"/>
      <c r="S265" s="750"/>
      <c r="T265" s="392"/>
      <c r="U265" s="750"/>
      <c r="V265" s="392"/>
      <c r="W265" s="750"/>
      <c r="X265" s="378"/>
      <c r="Y265" s="180"/>
      <c r="Z265" s="180"/>
      <c r="AA265" s="180"/>
      <c r="AB265" s="180"/>
    </row>
    <row r="266" spans="1:28" s="202" customFormat="1">
      <c r="A266" s="631"/>
      <c r="B266" s="634" t="s">
        <v>110</v>
      </c>
      <c r="C266" s="466">
        <v>0</v>
      </c>
      <c r="D266" s="466">
        <v>0</v>
      </c>
      <c r="E266" s="466">
        <v>0</v>
      </c>
      <c r="F266" s="466">
        <v>0</v>
      </c>
      <c r="G266" s="466">
        <v>0</v>
      </c>
      <c r="H266" s="466">
        <v>0</v>
      </c>
      <c r="I266" s="751">
        <v>0</v>
      </c>
      <c r="J266" s="466">
        <v>0</v>
      </c>
      <c r="K266" s="466">
        <v>0</v>
      </c>
      <c r="L266" s="466">
        <v>0</v>
      </c>
      <c r="M266" s="466">
        <v>0</v>
      </c>
      <c r="N266" s="466">
        <v>0</v>
      </c>
      <c r="O266" s="751">
        <v>0</v>
      </c>
      <c r="P266" s="466">
        <v>0</v>
      </c>
      <c r="Q266" s="466">
        <v>0</v>
      </c>
      <c r="R266" s="466">
        <v>0</v>
      </c>
      <c r="S266" s="751">
        <v>0</v>
      </c>
      <c r="T266" s="466">
        <v>0</v>
      </c>
      <c r="U266" s="751">
        <v>0</v>
      </c>
      <c r="V266" s="466">
        <v>0</v>
      </c>
      <c r="W266" s="751">
        <v>0</v>
      </c>
      <c r="X266" s="378"/>
      <c r="Y266" s="180"/>
      <c r="Z266" s="180"/>
      <c r="AA266" s="180"/>
      <c r="AB266" s="180"/>
    </row>
    <row r="267" spans="1:28">
      <c r="A267" s="631"/>
      <c r="B267" s="388" t="s">
        <v>161</v>
      </c>
      <c r="C267" s="391">
        <v>0</v>
      </c>
      <c r="D267" s="391">
        <v>0</v>
      </c>
      <c r="E267" s="391">
        <v>0</v>
      </c>
      <c r="F267" s="391">
        <v>0</v>
      </c>
      <c r="G267" s="391">
        <v>0</v>
      </c>
      <c r="H267" s="391">
        <v>0</v>
      </c>
      <c r="I267" s="749">
        <v>0</v>
      </c>
      <c r="J267" s="391"/>
      <c r="K267" s="391">
        <v>0</v>
      </c>
      <c r="L267" s="391">
        <v>0</v>
      </c>
      <c r="M267" s="391">
        <v>0</v>
      </c>
      <c r="N267" s="391"/>
      <c r="O267" s="749">
        <v>0</v>
      </c>
      <c r="P267" s="391">
        <v>0</v>
      </c>
      <c r="Q267" s="391"/>
      <c r="R267" s="391"/>
      <c r="S267" s="749">
        <v>0</v>
      </c>
      <c r="T267" s="391">
        <v>0</v>
      </c>
      <c r="U267" s="749">
        <v>0</v>
      </c>
      <c r="V267" s="391">
        <v>0</v>
      </c>
      <c r="W267" s="749">
        <v>0</v>
      </c>
      <c r="X267" s="378"/>
      <c r="Y267" s="180"/>
      <c r="Z267" s="180"/>
      <c r="AA267" s="180"/>
      <c r="AB267" s="180"/>
    </row>
    <row r="268" spans="1:28" s="203" customFormat="1">
      <c r="A268" s="631"/>
      <c r="B268" s="389" t="s">
        <v>102</v>
      </c>
      <c r="C268" s="392">
        <v>0</v>
      </c>
      <c r="D268" s="392">
        <v>0</v>
      </c>
      <c r="E268" s="392">
        <v>0</v>
      </c>
      <c r="F268" s="392">
        <v>0</v>
      </c>
      <c r="G268" s="392">
        <v>0</v>
      </c>
      <c r="H268" s="392">
        <v>0</v>
      </c>
      <c r="I268" s="750">
        <v>0</v>
      </c>
      <c r="J268" s="392"/>
      <c r="K268" s="392">
        <v>0</v>
      </c>
      <c r="L268" s="392">
        <v>0</v>
      </c>
      <c r="M268" s="392">
        <v>0</v>
      </c>
      <c r="N268" s="392"/>
      <c r="O268" s="750">
        <v>0</v>
      </c>
      <c r="P268" s="392">
        <v>0</v>
      </c>
      <c r="Q268" s="392"/>
      <c r="R268" s="392"/>
      <c r="S268" s="750">
        <v>0</v>
      </c>
      <c r="T268" s="392">
        <v>0</v>
      </c>
      <c r="U268" s="750">
        <v>0</v>
      </c>
      <c r="V268" s="392">
        <v>0</v>
      </c>
      <c r="W268" s="750">
        <v>0</v>
      </c>
      <c r="X268" s="378"/>
      <c r="Y268" s="180"/>
      <c r="Z268" s="180"/>
      <c r="AA268" s="180"/>
      <c r="AB268" s="180"/>
    </row>
    <row r="269" spans="1:28" s="202" customFormat="1">
      <c r="A269" s="631"/>
      <c r="B269" s="634" t="s">
        <v>183</v>
      </c>
      <c r="C269" s="466">
        <v>0</v>
      </c>
      <c r="D269" s="466">
        <v>0</v>
      </c>
      <c r="E269" s="466">
        <v>0</v>
      </c>
      <c r="F269" s="466">
        <v>0</v>
      </c>
      <c r="G269" s="466">
        <v>0</v>
      </c>
      <c r="H269" s="466">
        <v>0</v>
      </c>
      <c r="I269" s="751">
        <v>0</v>
      </c>
      <c r="J269" s="466">
        <v>0</v>
      </c>
      <c r="K269" s="466">
        <v>0</v>
      </c>
      <c r="L269" s="466">
        <v>0</v>
      </c>
      <c r="M269" s="466">
        <v>0</v>
      </c>
      <c r="N269" s="466">
        <v>0</v>
      </c>
      <c r="O269" s="751">
        <v>0</v>
      </c>
      <c r="P269" s="466">
        <v>0</v>
      </c>
      <c r="Q269" s="466">
        <v>0</v>
      </c>
      <c r="R269" s="466">
        <v>0</v>
      </c>
      <c r="S269" s="751">
        <v>0</v>
      </c>
      <c r="T269" s="466">
        <v>0</v>
      </c>
      <c r="U269" s="751">
        <v>0</v>
      </c>
      <c r="V269" s="466">
        <v>0</v>
      </c>
      <c r="W269" s="751">
        <v>0</v>
      </c>
      <c r="X269" s="378"/>
      <c r="Y269" s="180"/>
      <c r="Z269" s="180"/>
      <c r="AA269" s="180"/>
      <c r="AB269" s="180"/>
    </row>
    <row r="270" spans="1:28">
      <c r="A270" s="631"/>
      <c r="B270" s="388" t="s">
        <v>78</v>
      </c>
      <c r="C270" s="391">
        <v>19901821</v>
      </c>
      <c r="D270" s="391"/>
      <c r="E270" s="391"/>
      <c r="F270" s="391"/>
      <c r="G270" s="391"/>
      <c r="H270" s="391"/>
      <c r="I270" s="749">
        <v>19901821</v>
      </c>
      <c r="J270" s="391"/>
      <c r="K270" s="391"/>
      <c r="L270" s="391"/>
      <c r="M270" s="391"/>
      <c r="N270" s="391"/>
      <c r="O270" s="749"/>
      <c r="P270" s="391"/>
      <c r="Q270" s="391"/>
      <c r="R270" s="391"/>
      <c r="S270" s="749"/>
      <c r="T270" s="391">
        <v>139713545</v>
      </c>
      <c r="U270" s="749">
        <v>139713545</v>
      </c>
      <c r="V270" s="391"/>
      <c r="W270" s="749">
        <v>159615366</v>
      </c>
      <c r="X270" s="378"/>
      <c r="Y270" s="180"/>
      <c r="Z270" s="180"/>
      <c r="AA270" s="180"/>
      <c r="AB270" s="180"/>
    </row>
    <row r="271" spans="1:28" s="203" customFormat="1">
      <c r="A271" s="631"/>
      <c r="B271" s="389" t="s">
        <v>80</v>
      </c>
      <c r="C271" s="392">
        <v>19391821</v>
      </c>
      <c r="D271" s="392"/>
      <c r="E271" s="392"/>
      <c r="F271" s="392"/>
      <c r="G271" s="392"/>
      <c r="H271" s="392"/>
      <c r="I271" s="750">
        <v>19391821</v>
      </c>
      <c r="J271" s="392"/>
      <c r="K271" s="392"/>
      <c r="L271" s="392"/>
      <c r="M271" s="392"/>
      <c r="N271" s="392"/>
      <c r="O271" s="750"/>
      <c r="P271" s="392"/>
      <c r="Q271" s="392"/>
      <c r="R271" s="392"/>
      <c r="S271" s="750"/>
      <c r="T271" s="392">
        <v>136168750</v>
      </c>
      <c r="U271" s="750">
        <v>136168750</v>
      </c>
      <c r="V271" s="392"/>
      <c r="W271" s="750">
        <v>155560571</v>
      </c>
      <c r="X271" s="378"/>
      <c r="Y271" s="180"/>
      <c r="Z271" s="180"/>
      <c r="AA271" s="180"/>
      <c r="AB271" s="180"/>
    </row>
    <row r="272" spans="1:28" s="202" customFormat="1">
      <c r="A272" s="631"/>
      <c r="B272" s="634" t="s">
        <v>215</v>
      </c>
      <c r="C272" s="466">
        <v>-2.5625795750047193</v>
      </c>
      <c r="D272" s="466">
        <v>0</v>
      </c>
      <c r="E272" s="466">
        <v>0</v>
      </c>
      <c r="F272" s="466">
        <v>0</v>
      </c>
      <c r="G272" s="466">
        <v>0</v>
      </c>
      <c r="H272" s="466">
        <v>0</v>
      </c>
      <c r="I272" s="751">
        <v>-2.5625795750047193</v>
      </c>
      <c r="J272" s="466">
        <v>0</v>
      </c>
      <c r="K272" s="466">
        <v>0</v>
      </c>
      <c r="L272" s="466">
        <v>0</v>
      </c>
      <c r="M272" s="466">
        <v>0</v>
      </c>
      <c r="N272" s="466">
        <v>0</v>
      </c>
      <c r="O272" s="751">
        <v>0</v>
      </c>
      <c r="P272" s="466">
        <v>0</v>
      </c>
      <c r="Q272" s="466">
        <v>0</v>
      </c>
      <c r="R272" s="466">
        <v>0</v>
      </c>
      <c r="S272" s="751">
        <v>0</v>
      </c>
      <c r="T272" s="466">
        <v>-2.5371877866244104</v>
      </c>
      <c r="U272" s="751">
        <v>-2.5371877866244104</v>
      </c>
      <c r="V272" s="466">
        <v>0</v>
      </c>
      <c r="W272" s="751">
        <v>-2.5403537902484903</v>
      </c>
      <c r="X272" s="378"/>
      <c r="Y272" s="180"/>
      <c r="Z272" s="180"/>
      <c r="AA272" s="180"/>
      <c r="AB272" s="180"/>
    </row>
    <row r="273" spans="1:28">
      <c r="A273" s="631"/>
      <c r="B273" s="388" t="s">
        <v>81</v>
      </c>
      <c r="C273" s="391">
        <v>12462470</v>
      </c>
      <c r="D273" s="391"/>
      <c r="E273" s="391"/>
      <c r="F273" s="391"/>
      <c r="G273" s="391"/>
      <c r="H273" s="391"/>
      <c r="I273" s="749">
        <v>12462470</v>
      </c>
      <c r="J273" s="391"/>
      <c r="K273" s="391"/>
      <c r="L273" s="391"/>
      <c r="M273" s="391"/>
      <c r="N273" s="391"/>
      <c r="O273" s="749"/>
      <c r="P273" s="391"/>
      <c r="Q273" s="391"/>
      <c r="R273" s="391"/>
      <c r="S273" s="749"/>
      <c r="T273" s="391">
        <v>52237092</v>
      </c>
      <c r="U273" s="749">
        <v>52237092</v>
      </c>
      <c r="V273" s="391"/>
      <c r="W273" s="749">
        <v>64699562</v>
      </c>
      <c r="X273" s="378"/>
      <c r="Y273" s="180"/>
      <c r="Z273" s="180"/>
      <c r="AA273" s="180"/>
      <c r="AB273" s="180"/>
    </row>
    <row r="274" spans="1:28" s="203" customFormat="1">
      <c r="A274" s="631"/>
      <c r="B274" s="389" t="s">
        <v>318</v>
      </c>
      <c r="C274" s="392">
        <v>13968209</v>
      </c>
      <c r="D274" s="392"/>
      <c r="E274" s="392"/>
      <c r="F274" s="392"/>
      <c r="G274" s="392"/>
      <c r="H274" s="392"/>
      <c r="I274" s="750">
        <v>13968209</v>
      </c>
      <c r="J274" s="392"/>
      <c r="K274" s="392"/>
      <c r="L274" s="392"/>
      <c r="M274" s="392"/>
      <c r="N274" s="392"/>
      <c r="O274" s="750"/>
      <c r="P274" s="392"/>
      <c r="Q274" s="392"/>
      <c r="R274" s="392"/>
      <c r="S274" s="750"/>
      <c r="T274" s="392">
        <v>60295854</v>
      </c>
      <c r="U274" s="750">
        <v>60295854</v>
      </c>
      <c r="V274" s="392"/>
      <c r="W274" s="750">
        <v>74264063</v>
      </c>
      <c r="X274" s="378"/>
      <c r="Y274" s="180"/>
      <c r="Z274" s="180"/>
      <c r="AA274" s="180"/>
      <c r="AB274" s="180"/>
    </row>
    <row r="275" spans="1:28" s="202" customFormat="1">
      <c r="A275" s="631"/>
      <c r="B275" s="634" t="s">
        <v>236</v>
      </c>
      <c r="C275" s="1461">
        <v>12.082187559929935</v>
      </c>
      <c r="D275" s="466">
        <v>0</v>
      </c>
      <c r="E275" s="466">
        <v>0</v>
      </c>
      <c r="F275" s="466">
        <v>0</v>
      </c>
      <c r="G275" s="466">
        <v>0</v>
      </c>
      <c r="H275" s="466">
        <v>0</v>
      </c>
      <c r="I275" s="751">
        <v>12.082187559929935</v>
      </c>
      <c r="J275" s="466">
        <v>0</v>
      </c>
      <c r="K275" s="466">
        <v>0</v>
      </c>
      <c r="L275" s="466">
        <v>0</v>
      </c>
      <c r="M275" s="466">
        <v>0</v>
      </c>
      <c r="N275" s="466">
        <v>0</v>
      </c>
      <c r="O275" s="751">
        <v>0</v>
      </c>
      <c r="P275" s="466">
        <v>0</v>
      </c>
      <c r="Q275" s="466">
        <v>0</v>
      </c>
      <c r="R275" s="466">
        <v>0</v>
      </c>
      <c r="S275" s="751">
        <v>0</v>
      </c>
      <c r="T275" s="466">
        <v>15.427279144865109</v>
      </c>
      <c r="U275" s="751">
        <v>15.427279144865109</v>
      </c>
      <c r="V275" s="466">
        <v>0</v>
      </c>
      <c r="W275" s="751">
        <v>14.782945516694534</v>
      </c>
      <c r="X275" s="378"/>
      <c r="Y275" s="180"/>
      <c r="Z275" s="180"/>
      <c r="AA275" s="180"/>
      <c r="AB275" s="180"/>
    </row>
    <row r="276" spans="1:28">
      <c r="A276" s="631"/>
      <c r="B276" s="388" t="s">
        <v>19</v>
      </c>
      <c r="C276" s="391">
        <v>480338899</v>
      </c>
      <c r="D276" s="391">
        <v>314075693</v>
      </c>
      <c r="E276" s="391">
        <v>252118546</v>
      </c>
      <c r="F276" s="391">
        <v>253119968</v>
      </c>
      <c r="G276" s="391">
        <v>19704483</v>
      </c>
      <c r="H276" s="391">
        <v>15358475</v>
      </c>
      <c r="I276" s="749">
        <v>1334716064</v>
      </c>
      <c r="J276" s="391"/>
      <c r="K276" s="391">
        <v>146979743</v>
      </c>
      <c r="L276" s="391">
        <v>71005141</v>
      </c>
      <c r="M276" s="391">
        <v>15348748</v>
      </c>
      <c r="N276" s="391"/>
      <c r="O276" s="749">
        <v>233333632</v>
      </c>
      <c r="P276" s="391">
        <v>57872564</v>
      </c>
      <c r="Q276" s="391"/>
      <c r="R276" s="391"/>
      <c r="S276" s="749">
        <v>57872564</v>
      </c>
      <c r="T276" s="391">
        <v>0</v>
      </c>
      <c r="U276" s="749">
        <v>0</v>
      </c>
      <c r="V276" s="391">
        <v>27059776</v>
      </c>
      <c r="W276" s="749">
        <v>1652982036</v>
      </c>
      <c r="X276" s="378"/>
      <c r="Y276" s="180"/>
      <c r="Z276" s="180"/>
      <c r="AA276" s="180"/>
      <c r="AB276" s="180"/>
    </row>
    <row r="277" spans="1:28" s="203" customFormat="1">
      <c r="A277" s="631"/>
      <c r="B277" s="389" t="s">
        <v>21</v>
      </c>
      <c r="C277" s="392">
        <v>505052256</v>
      </c>
      <c r="D277" s="392">
        <v>331471529</v>
      </c>
      <c r="E277" s="392">
        <v>259282991</v>
      </c>
      <c r="F277" s="392">
        <v>265328542</v>
      </c>
      <c r="G277" s="392">
        <v>18373688</v>
      </c>
      <c r="H277" s="392">
        <v>16219982</v>
      </c>
      <c r="I277" s="750">
        <v>1395728988</v>
      </c>
      <c r="J277" s="392"/>
      <c r="K277" s="392">
        <v>158958434</v>
      </c>
      <c r="L277" s="392">
        <v>74701014</v>
      </c>
      <c r="M277" s="392">
        <v>17920239</v>
      </c>
      <c r="N277" s="392"/>
      <c r="O277" s="750">
        <v>251579687</v>
      </c>
      <c r="P277" s="392">
        <v>65722698</v>
      </c>
      <c r="Q277" s="392"/>
      <c r="R277" s="392"/>
      <c r="S277" s="750">
        <v>65722698</v>
      </c>
      <c r="T277" s="392">
        <v>0</v>
      </c>
      <c r="U277" s="750">
        <v>0</v>
      </c>
      <c r="V277" s="392">
        <v>27648710</v>
      </c>
      <c r="W277" s="750">
        <v>1740680083</v>
      </c>
      <c r="X277" s="378"/>
      <c r="Y277" s="180"/>
      <c r="Z277" s="180"/>
      <c r="AA277" s="180"/>
      <c r="AB277" s="180"/>
    </row>
    <row r="278" spans="1:28" s="212" customFormat="1" ht="13.5" thickBot="1">
      <c r="A278" s="635"/>
      <c r="B278" s="761" t="s">
        <v>23</v>
      </c>
      <c r="C278" s="762">
        <v>5.1449834796744209</v>
      </c>
      <c r="D278" s="762">
        <v>5.5387399877519332</v>
      </c>
      <c r="E278" s="762">
        <v>2.8416969372812422</v>
      </c>
      <c r="F278" s="762">
        <v>4.8232362292334043</v>
      </c>
      <c r="G278" s="762">
        <v>-6.7537676578472015</v>
      </c>
      <c r="H278" s="762">
        <v>5.6093264467989172</v>
      </c>
      <c r="I278" s="763">
        <v>4.5712287164021124</v>
      </c>
      <c r="J278" s="762">
        <v>0</v>
      </c>
      <c r="K278" s="762">
        <v>8.1498924651133731</v>
      </c>
      <c r="L278" s="762">
        <v>5.2050780379409431</v>
      </c>
      <c r="M278" s="1462">
        <v>16.75375085967924</v>
      </c>
      <c r="N278" s="762">
        <v>0</v>
      </c>
      <c r="O278" s="763">
        <v>7.8197278478912118</v>
      </c>
      <c r="P278" s="1462">
        <v>13.564517376489487</v>
      </c>
      <c r="Q278" s="762">
        <v>0</v>
      </c>
      <c r="R278" s="762">
        <v>0</v>
      </c>
      <c r="S278" s="763">
        <v>13.564517376489487</v>
      </c>
      <c r="T278" s="762">
        <v>0</v>
      </c>
      <c r="U278" s="763">
        <v>0</v>
      </c>
      <c r="V278" s="762">
        <v>2.1764186074563217</v>
      </c>
      <c r="W278" s="763">
        <v>5.3054446503373853</v>
      </c>
      <c r="X278" s="378"/>
      <c r="Y278" s="180"/>
      <c r="Z278" s="180"/>
      <c r="AA278" s="180"/>
      <c r="AB278" s="180"/>
    </row>
    <row r="279" spans="1:28" ht="13.5" thickTop="1">
      <c r="A279" s="230" t="s">
        <v>151</v>
      </c>
      <c r="B279" s="764" t="s">
        <v>190</v>
      </c>
      <c r="C279" s="765">
        <v>438112113</v>
      </c>
      <c r="D279" s="765">
        <v>180848295</v>
      </c>
      <c r="E279" s="765">
        <v>96566963</v>
      </c>
      <c r="F279" s="765">
        <v>182811293</v>
      </c>
      <c r="G279" s="765">
        <v>40735563</v>
      </c>
      <c r="H279" s="765">
        <v>19842642</v>
      </c>
      <c r="I279" s="766">
        <v>958916869</v>
      </c>
      <c r="J279" s="765"/>
      <c r="K279" s="765">
        <v>153930898</v>
      </c>
      <c r="L279" s="765">
        <v>87634639</v>
      </c>
      <c r="M279" s="765">
        <v>13571884</v>
      </c>
      <c r="N279" s="765"/>
      <c r="O279" s="766">
        <v>255137421</v>
      </c>
      <c r="P279" s="765"/>
      <c r="Q279" s="765"/>
      <c r="R279" s="765"/>
      <c r="S279" s="766"/>
      <c r="T279" s="765"/>
      <c r="U279" s="766"/>
      <c r="V279" s="765"/>
      <c r="W279" s="766">
        <v>1214054290</v>
      </c>
      <c r="X279" s="378"/>
      <c r="Y279" s="180"/>
      <c r="Z279" s="180"/>
      <c r="AA279" s="180"/>
      <c r="AB279" s="180"/>
    </row>
    <row r="280" spans="1:28" s="203" customFormat="1">
      <c r="A280" s="631"/>
      <c r="B280" s="389" t="s">
        <v>4</v>
      </c>
      <c r="C280" s="392">
        <v>481965257</v>
      </c>
      <c r="D280" s="392">
        <v>198207801</v>
      </c>
      <c r="E280" s="392">
        <v>106438718</v>
      </c>
      <c r="F280" s="392">
        <v>199354564</v>
      </c>
      <c r="G280" s="392">
        <v>43738571</v>
      </c>
      <c r="H280" s="392">
        <v>22748058</v>
      </c>
      <c r="I280" s="750">
        <v>1052452969</v>
      </c>
      <c r="J280" s="392"/>
      <c r="K280" s="392">
        <v>159138154</v>
      </c>
      <c r="L280" s="392">
        <v>87925851</v>
      </c>
      <c r="M280" s="392">
        <v>13809864</v>
      </c>
      <c r="N280" s="392"/>
      <c r="O280" s="750">
        <v>260873869</v>
      </c>
      <c r="P280" s="392"/>
      <c r="Q280" s="392"/>
      <c r="R280" s="392"/>
      <c r="S280" s="750"/>
      <c r="T280" s="392"/>
      <c r="U280" s="750"/>
      <c r="V280" s="392"/>
      <c r="W280" s="750">
        <v>1313326838</v>
      </c>
      <c r="X280" s="378"/>
      <c r="Y280" s="180"/>
      <c r="Z280" s="180"/>
      <c r="AA280" s="180"/>
      <c r="AB280" s="180"/>
    </row>
    <row r="281" spans="1:28" s="202" customFormat="1">
      <c r="A281" s="632"/>
      <c r="B281" s="634" t="s">
        <v>116</v>
      </c>
      <c r="C281" s="466">
        <v>10.009571225893039</v>
      </c>
      <c r="D281" s="466">
        <v>9.5989326302468054</v>
      </c>
      <c r="E281" s="466">
        <v>10.222704218211771</v>
      </c>
      <c r="F281" s="466">
        <v>9.0493703799797522</v>
      </c>
      <c r="G281" s="466">
        <v>7.3719565383200916</v>
      </c>
      <c r="H281" s="1461">
        <v>14.642284026492035</v>
      </c>
      <c r="I281" s="751">
        <v>9.7543492062605495</v>
      </c>
      <c r="J281" s="466">
        <v>0</v>
      </c>
      <c r="K281" s="466">
        <v>3.3828529994023677</v>
      </c>
      <c r="L281" s="466">
        <v>0.3323023901541946</v>
      </c>
      <c r="M281" s="466">
        <v>1.7534779990751468</v>
      </c>
      <c r="N281" s="466">
        <v>0</v>
      </c>
      <c r="O281" s="751">
        <v>2.248375788042476</v>
      </c>
      <c r="P281" s="466">
        <v>0</v>
      </c>
      <c r="Q281" s="466">
        <v>0</v>
      </c>
      <c r="R281" s="466">
        <v>0</v>
      </c>
      <c r="S281" s="751">
        <v>0</v>
      </c>
      <c r="T281" s="466">
        <v>0</v>
      </c>
      <c r="U281" s="751">
        <v>0</v>
      </c>
      <c r="V281" s="466">
        <v>0</v>
      </c>
      <c r="W281" s="751">
        <v>8.1769447064842549</v>
      </c>
      <c r="X281" s="378"/>
      <c r="Y281" s="180"/>
      <c r="Z281" s="180"/>
      <c r="AA281" s="180"/>
      <c r="AB281" s="180"/>
    </row>
    <row r="282" spans="1:28">
      <c r="A282" s="631"/>
      <c r="B282" s="388" t="s">
        <v>195</v>
      </c>
      <c r="C282" s="391">
        <v>57112297</v>
      </c>
      <c r="D282" s="391"/>
      <c r="E282" s="391"/>
      <c r="F282" s="391"/>
      <c r="G282" s="391"/>
      <c r="H282" s="391"/>
      <c r="I282" s="749">
        <v>57112297</v>
      </c>
      <c r="J282" s="391"/>
      <c r="K282" s="391"/>
      <c r="L282" s="391"/>
      <c r="M282" s="391"/>
      <c r="N282" s="391"/>
      <c r="O282" s="749"/>
      <c r="P282" s="391"/>
      <c r="Q282" s="391"/>
      <c r="R282" s="391"/>
      <c r="S282" s="749"/>
      <c r="T282" s="391"/>
      <c r="U282" s="749"/>
      <c r="V282" s="391">
        <v>6000000</v>
      </c>
      <c r="W282" s="749">
        <v>63112297</v>
      </c>
      <c r="X282" s="378"/>
      <c r="Y282" s="180"/>
      <c r="Z282" s="180"/>
      <c r="AA282" s="180"/>
      <c r="AB282" s="180"/>
    </row>
    <row r="283" spans="1:28" s="203" customFormat="1">
      <c r="A283" s="631"/>
      <c r="B283" s="389" t="s">
        <v>242</v>
      </c>
      <c r="C283" s="392">
        <v>63324297</v>
      </c>
      <c r="D283" s="392"/>
      <c r="E283" s="392"/>
      <c r="F283" s="392"/>
      <c r="G283" s="392"/>
      <c r="H283" s="392"/>
      <c r="I283" s="750">
        <v>63324297</v>
      </c>
      <c r="J283" s="392"/>
      <c r="K283" s="392"/>
      <c r="L283" s="392"/>
      <c r="M283" s="392"/>
      <c r="N283" s="392"/>
      <c r="O283" s="750"/>
      <c r="P283" s="392"/>
      <c r="Q283" s="392"/>
      <c r="R283" s="392"/>
      <c r="S283" s="750"/>
      <c r="T283" s="392"/>
      <c r="U283" s="750"/>
      <c r="V283" s="392">
        <v>6000000</v>
      </c>
      <c r="W283" s="750">
        <v>69324297</v>
      </c>
      <c r="X283" s="378"/>
      <c r="Y283" s="180"/>
      <c r="Z283" s="180"/>
      <c r="AA283" s="180"/>
      <c r="AB283" s="180"/>
    </row>
    <row r="284" spans="1:28" s="202" customFormat="1">
      <c r="A284" s="631"/>
      <c r="B284" s="634" t="s">
        <v>244</v>
      </c>
      <c r="C284" s="1461">
        <v>10.876816948896312</v>
      </c>
      <c r="D284" s="466">
        <v>0</v>
      </c>
      <c r="E284" s="466">
        <v>0</v>
      </c>
      <c r="F284" s="466">
        <v>0</v>
      </c>
      <c r="G284" s="466">
        <v>0</v>
      </c>
      <c r="H284" s="466">
        <v>0</v>
      </c>
      <c r="I284" s="751">
        <v>10.876816948896312</v>
      </c>
      <c r="J284" s="466">
        <v>0</v>
      </c>
      <c r="K284" s="466">
        <v>0</v>
      </c>
      <c r="L284" s="466">
        <v>0</v>
      </c>
      <c r="M284" s="466">
        <v>0</v>
      </c>
      <c r="N284" s="466">
        <v>0</v>
      </c>
      <c r="O284" s="751">
        <v>0</v>
      </c>
      <c r="P284" s="466">
        <v>0</v>
      </c>
      <c r="Q284" s="466">
        <v>0</v>
      </c>
      <c r="R284" s="466">
        <v>0</v>
      </c>
      <c r="S284" s="751">
        <v>0</v>
      </c>
      <c r="T284" s="466">
        <v>0</v>
      </c>
      <c r="U284" s="751">
        <v>0</v>
      </c>
      <c r="V284" s="466">
        <v>0</v>
      </c>
      <c r="W284" s="751">
        <v>9.842772795925967</v>
      </c>
      <c r="X284" s="378"/>
      <c r="Y284" s="180"/>
      <c r="Z284" s="180"/>
      <c r="AA284" s="180"/>
      <c r="AB284" s="180"/>
    </row>
    <row r="285" spans="1:28">
      <c r="A285" s="631"/>
      <c r="B285" s="388" t="s">
        <v>5</v>
      </c>
      <c r="C285" s="391"/>
      <c r="D285" s="391"/>
      <c r="E285" s="391"/>
      <c r="F285" s="391"/>
      <c r="G285" s="391"/>
      <c r="H285" s="391"/>
      <c r="I285" s="749"/>
      <c r="J285" s="391"/>
      <c r="K285" s="391">
        <v>249942703</v>
      </c>
      <c r="L285" s="391">
        <v>60219875</v>
      </c>
      <c r="M285" s="391">
        <v>18991645</v>
      </c>
      <c r="N285" s="391"/>
      <c r="O285" s="749">
        <v>329154223</v>
      </c>
      <c r="P285" s="391"/>
      <c r="Q285" s="391"/>
      <c r="R285" s="391"/>
      <c r="S285" s="749"/>
      <c r="T285" s="391"/>
      <c r="U285" s="749"/>
      <c r="V285" s="391"/>
      <c r="W285" s="749">
        <v>329154223</v>
      </c>
      <c r="X285" s="378"/>
      <c r="Y285" s="180"/>
      <c r="Z285" s="180"/>
      <c r="AA285" s="180"/>
      <c r="AB285" s="180"/>
    </row>
    <row r="286" spans="1:28" s="203" customFormat="1">
      <c r="A286" s="631"/>
      <c r="B286" s="389" t="s">
        <v>6</v>
      </c>
      <c r="C286" s="392"/>
      <c r="D286" s="392"/>
      <c r="E286" s="392"/>
      <c r="F286" s="392"/>
      <c r="G286" s="392"/>
      <c r="H286" s="392"/>
      <c r="I286" s="750"/>
      <c r="J286" s="392"/>
      <c r="K286" s="392">
        <v>278643552</v>
      </c>
      <c r="L286" s="392">
        <v>60865473</v>
      </c>
      <c r="M286" s="392">
        <v>19362672</v>
      </c>
      <c r="N286" s="392"/>
      <c r="O286" s="750">
        <v>358871697</v>
      </c>
      <c r="P286" s="392"/>
      <c r="Q286" s="392"/>
      <c r="R286" s="392"/>
      <c r="S286" s="750"/>
      <c r="T286" s="392"/>
      <c r="U286" s="750"/>
      <c r="V286" s="392"/>
      <c r="W286" s="750">
        <v>358871697</v>
      </c>
      <c r="X286" s="378"/>
      <c r="Y286" s="180"/>
      <c r="Z286" s="180"/>
      <c r="AA286" s="180"/>
      <c r="AB286" s="180"/>
    </row>
    <row r="287" spans="1:28" s="202" customFormat="1">
      <c r="A287" s="631"/>
      <c r="B287" s="634" t="s">
        <v>298</v>
      </c>
      <c r="C287" s="466">
        <v>0</v>
      </c>
      <c r="D287" s="466">
        <v>0</v>
      </c>
      <c r="E287" s="466">
        <v>0</v>
      </c>
      <c r="F287" s="466">
        <v>0</v>
      </c>
      <c r="G287" s="466">
        <v>0</v>
      </c>
      <c r="H287" s="466">
        <v>0</v>
      </c>
      <c r="I287" s="751">
        <v>0</v>
      </c>
      <c r="J287" s="466">
        <v>0</v>
      </c>
      <c r="K287" s="1461">
        <v>11.482971359239881</v>
      </c>
      <c r="L287" s="466">
        <v>1.0720679841995686</v>
      </c>
      <c r="M287" s="466">
        <v>1.9536327685147865</v>
      </c>
      <c r="N287" s="466">
        <v>0</v>
      </c>
      <c r="O287" s="751">
        <v>9.0284346739187971</v>
      </c>
      <c r="P287" s="466">
        <v>0</v>
      </c>
      <c r="Q287" s="466">
        <v>0</v>
      </c>
      <c r="R287" s="466">
        <v>0</v>
      </c>
      <c r="S287" s="751">
        <v>0</v>
      </c>
      <c r="T287" s="466">
        <v>0</v>
      </c>
      <c r="U287" s="751">
        <v>0</v>
      </c>
      <c r="V287" s="466">
        <v>0</v>
      </c>
      <c r="W287" s="751">
        <v>9.0284346739187971</v>
      </c>
      <c r="X287" s="378"/>
      <c r="Y287" s="180"/>
      <c r="Z287" s="180"/>
      <c r="AA287" s="180"/>
      <c r="AB287" s="180"/>
    </row>
    <row r="288" spans="1:28">
      <c r="A288" s="631"/>
      <c r="B288" s="388" t="s">
        <v>223</v>
      </c>
      <c r="C288" s="391">
        <v>486211696</v>
      </c>
      <c r="D288" s="391">
        <v>171207914</v>
      </c>
      <c r="E288" s="391">
        <v>173268169</v>
      </c>
      <c r="F288" s="391">
        <v>233154686</v>
      </c>
      <c r="G288" s="391">
        <v>16461784</v>
      </c>
      <c r="H288" s="391">
        <v>28236502</v>
      </c>
      <c r="I288" s="749">
        <v>1108540751</v>
      </c>
      <c r="J288" s="391"/>
      <c r="K288" s="391">
        <v>324975947</v>
      </c>
      <c r="L288" s="391">
        <v>99224901</v>
      </c>
      <c r="M288" s="391">
        <v>18798843</v>
      </c>
      <c r="N288" s="391"/>
      <c r="O288" s="749">
        <v>442999691</v>
      </c>
      <c r="P288" s="391"/>
      <c r="Q288" s="391"/>
      <c r="R288" s="391"/>
      <c r="S288" s="749"/>
      <c r="T288" s="391"/>
      <c r="U288" s="749"/>
      <c r="V288" s="391"/>
      <c r="W288" s="749">
        <v>1551540442</v>
      </c>
      <c r="X288" s="378"/>
      <c r="Y288" s="180"/>
      <c r="Z288" s="180"/>
      <c r="AA288" s="180"/>
      <c r="AB288" s="180"/>
    </row>
    <row r="289" spans="1:28" s="203" customFormat="1">
      <c r="A289" s="631"/>
      <c r="B289" s="389" t="s">
        <v>14</v>
      </c>
      <c r="C289" s="392">
        <v>501034829</v>
      </c>
      <c r="D289" s="392">
        <v>170803497</v>
      </c>
      <c r="E289" s="392">
        <v>177110609</v>
      </c>
      <c r="F289" s="392">
        <v>242067296</v>
      </c>
      <c r="G289" s="392">
        <v>16664769</v>
      </c>
      <c r="H289" s="392">
        <v>25081307</v>
      </c>
      <c r="I289" s="750">
        <v>1132762307</v>
      </c>
      <c r="J289" s="392"/>
      <c r="K289" s="392">
        <v>337444161</v>
      </c>
      <c r="L289" s="392">
        <v>104240062</v>
      </c>
      <c r="M289" s="392">
        <v>20264498</v>
      </c>
      <c r="N289" s="392"/>
      <c r="O289" s="750">
        <v>461948721</v>
      </c>
      <c r="P289" s="392"/>
      <c r="Q289" s="392"/>
      <c r="R289" s="392"/>
      <c r="S289" s="750"/>
      <c r="T289" s="392"/>
      <c r="U289" s="750"/>
      <c r="V289" s="392"/>
      <c r="W289" s="750">
        <v>1594711028</v>
      </c>
      <c r="X289" s="378"/>
      <c r="Y289" s="180"/>
      <c r="Z289" s="180"/>
      <c r="AA289" s="180"/>
      <c r="AB289" s="180"/>
    </row>
    <row r="290" spans="1:28" s="202" customFormat="1">
      <c r="A290" s="631"/>
      <c r="B290" s="634" t="s">
        <v>247</v>
      </c>
      <c r="C290" s="466">
        <v>3.048699387930808</v>
      </c>
      <c r="D290" s="466">
        <v>-0.23621396380076215</v>
      </c>
      <c r="E290" s="466">
        <v>2.2176260199298348</v>
      </c>
      <c r="F290" s="466">
        <v>3.8226167154967667</v>
      </c>
      <c r="G290" s="466">
        <v>1.2330680562932912</v>
      </c>
      <c r="H290" s="1461">
        <v>-11.174170936612473</v>
      </c>
      <c r="I290" s="751">
        <v>2.1849946407608427</v>
      </c>
      <c r="J290" s="466">
        <v>0</v>
      </c>
      <c r="K290" s="466">
        <v>3.8366574865308416</v>
      </c>
      <c r="L290" s="466">
        <v>5.0543371164462032</v>
      </c>
      <c r="M290" s="466">
        <v>7.7965170516079096</v>
      </c>
      <c r="N290" s="466">
        <v>0</v>
      </c>
      <c r="O290" s="751">
        <v>4.277436392162179</v>
      </c>
      <c r="P290" s="466">
        <v>0</v>
      </c>
      <c r="Q290" s="466">
        <v>0</v>
      </c>
      <c r="R290" s="466">
        <v>0</v>
      </c>
      <c r="S290" s="751">
        <v>0</v>
      </c>
      <c r="T290" s="466">
        <v>0</v>
      </c>
      <c r="U290" s="751">
        <v>0</v>
      </c>
      <c r="V290" s="466">
        <v>0</v>
      </c>
      <c r="W290" s="751">
        <v>2.7824338206970181</v>
      </c>
      <c r="X290" s="378"/>
      <c r="Y290" s="180"/>
      <c r="Z290" s="180"/>
      <c r="AA290" s="180"/>
      <c r="AB290" s="180"/>
    </row>
    <row r="291" spans="1:28">
      <c r="A291" s="631"/>
      <c r="B291" s="388" t="s">
        <v>225</v>
      </c>
      <c r="C291" s="391"/>
      <c r="D291" s="391"/>
      <c r="E291" s="391"/>
      <c r="F291" s="391"/>
      <c r="G291" s="391"/>
      <c r="H291" s="391"/>
      <c r="I291" s="749"/>
      <c r="J291" s="391"/>
      <c r="K291" s="391"/>
      <c r="L291" s="391"/>
      <c r="M291" s="391"/>
      <c r="N291" s="391"/>
      <c r="O291" s="749"/>
      <c r="P291" s="391"/>
      <c r="Q291" s="391"/>
      <c r="R291" s="391"/>
      <c r="S291" s="749"/>
      <c r="T291" s="391"/>
      <c r="U291" s="749"/>
      <c r="V291" s="391"/>
      <c r="W291" s="749"/>
      <c r="X291" s="378"/>
      <c r="Y291" s="180"/>
      <c r="Z291" s="180"/>
      <c r="AA291" s="180"/>
      <c r="AB291" s="180"/>
    </row>
    <row r="292" spans="1:28" s="203" customFormat="1">
      <c r="A292" s="631"/>
      <c r="B292" s="389" t="s">
        <v>166</v>
      </c>
      <c r="C292" s="392"/>
      <c r="D292" s="392"/>
      <c r="E292" s="392"/>
      <c r="F292" s="392"/>
      <c r="G292" s="392"/>
      <c r="H292" s="392"/>
      <c r="I292" s="750"/>
      <c r="J292" s="392"/>
      <c r="K292" s="392"/>
      <c r="L292" s="392"/>
      <c r="M292" s="392"/>
      <c r="N292" s="392"/>
      <c r="O292" s="750"/>
      <c r="P292" s="392"/>
      <c r="Q292" s="392"/>
      <c r="R292" s="392"/>
      <c r="S292" s="750"/>
      <c r="T292" s="392"/>
      <c r="U292" s="750"/>
      <c r="V292" s="392"/>
      <c r="W292" s="750"/>
      <c r="X292" s="378"/>
      <c r="Y292" s="180"/>
      <c r="Z292" s="180"/>
      <c r="AA292" s="180"/>
      <c r="AB292" s="180"/>
    </row>
    <row r="293" spans="1:28" s="202" customFormat="1">
      <c r="A293" s="631"/>
      <c r="B293" s="634" t="s">
        <v>175</v>
      </c>
      <c r="C293" s="466">
        <v>0</v>
      </c>
      <c r="D293" s="466">
        <v>0</v>
      </c>
      <c r="E293" s="466">
        <v>0</v>
      </c>
      <c r="F293" s="466">
        <v>0</v>
      </c>
      <c r="G293" s="466">
        <v>0</v>
      </c>
      <c r="H293" s="466">
        <v>0</v>
      </c>
      <c r="I293" s="751">
        <v>0</v>
      </c>
      <c r="J293" s="466">
        <v>0</v>
      </c>
      <c r="K293" s="466">
        <v>0</v>
      </c>
      <c r="L293" s="466">
        <v>0</v>
      </c>
      <c r="M293" s="466">
        <v>0</v>
      </c>
      <c r="N293" s="466">
        <v>0</v>
      </c>
      <c r="O293" s="751">
        <v>0</v>
      </c>
      <c r="P293" s="466">
        <v>0</v>
      </c>
      <c r="Q293" s="466">
        <v>0</v>
      </c>
      <c r="R293" s="466">
        <v>0</v>
      </c>
      <c r="S293" s="751">
        <v>0</v>
      </c>
      <c r="T293" s="466">
        <v>0</v>
      </c>
      <c r="U293" s="751">
        <v>0</v>
      </c>
      <c r="V293" s="466">
        <v>0</v>
      </c>
      <c r="W293" s="751">
        <v>0</v>
      </c>
      <c r="X293" s="378"/>
      <c r="Y293" s="180"/>
      <c r="Z293" s="180"/>
      <c r="AA293" s="180"/>
      <c r="AB293" s="180"/>
    </row>
    <row r="294" spans="1:28">
      <c r="A294" s="631"/>
      <c r="B294" s="752" t="s">
        <v>317</v>
      </c>
      <c r="C294" s="749">
        <v>486211696</v>
      </c>
      <c r="D294" s="749">
        <v>171207914</v>
      </c>
      <c r="E294" s="749">
        <v>173268169</v>
      </c>
      <c r="F294" s="749">
        <v>233154686</v>
      </c>
      <c r="G294" s="749">
        <v>16461784</v>
      </c>
      <c r="H294" s="749">
        <v>28236502</v>
      </c>
      <c r="I294" s="749">
        <v>1108540751</v>
      </c>
      <c r="J294" s="749"/>
      <c r="K294" s="749">
        <v>324975947</v>
      </c>
      <c r="L294" s="749">
        <v>99224901</v>
      </c>
      <c r="M294" s="749">
        <v>18798843</v>
      </c>
      <c r="N294" s="749"/>
      <c r="O294" s="749">
        <v>442999691</v>
      </c>
      <c r="P294" s="749"/>
      <c r="Q294" s="749"/>
      <c r="R294" s="749"/>
      <c r="S294" s="749"/>
      <c r="T294" s="749">
        <v>0</v>
      </c>
      <c r="U294" s="749">
        <v>0</v>
      </c>
      <c r="V294" s="749">
        <v>0</v>
      </c>
      <c r="W294" s="749">
        <v>1551540442</v>
      </c>
      <c r="X294" s="378"/>
      <c r="Y294" s="180"/>
      <c r="Z294" s="180"/>
      <c r="AA294" s="180"/>
      <c r="AB294" s="180"/>
    </row>
    <row r="295" spans="1:28" s="203" customFormat="1">
      <c r="A295" s="631"/>
      <c r="B295" s="753" t="s">
        <v>70</v>
      </c>
      <c r="C295" s="750">
        <v>501034829</v>
      </c>
      <c r="D295" s="750">
        <v>170803497</v>
      </c>
      <c r="E295" s="750">
        <v>177110609</v>
      </c>
      <c r="F295" s="750">
        <v>242067296</v>
      </c>
      <c r="G295" s="750">
        <v>16664769</v>
      </c>
      <c r="H295" s="750">
        <v>25081307</v>
      </c>
      <c r="I295" s="750">
        <v>1132762307</v>
      </c>
      <c r="J295" s="750"/>
      <c r="K295" s="750">
        <v>337444161</v>
      </c>
      <c r="L295" s="750">
        <v>104240062</v>
      </c>
      <c r="M295" s="750">
        <v>20264498</v>
      </c>
      <c r="N295" s="750"/>
      <c r="O295" s="750">
        <v>461948721</v>
      </c>
      <c r="P295" s="750"/>
      <c r="Q295" s="750"/>
      <c r="R295" s="750"/>
      <c r="S295" s="750"/>
      <c r="T295" s="750">
        <v>0</v>
      </c>
      <c r="U295" s="750">
        <v>0</v>
      </c>
      <c r="V295" s="750">
        <v>0</v>
      </c>
      <c r="W295" s="750">
        <v>1594711028</v>
      </c>
      <c r="X295" s="378"/>
      <c r="Y295" s="180"/>
      <c r="Z295" s="180"/>
      <c r="AA295" s="180"/>
      <c r="AB295" s="180"/>
    </row>
    <row r="296" spans="1:28" s="202" customFormat="1">
      <c r="A296" s="631"/>
      <c r="B296" s="754" t="s">
        <v>57</v>
      </c>
      <c r="C296" s="751">
        <v>3.048699387930808</v>
      </c>
      <c r="D296" s="751">
        <v>-0.23621396380076215</v>
      </c>
      <c r="E296" s="751">
        <v>2.2176260199298348</v>
      </c>
      <c r="F296" s="751">
        <v>3.8226167154967667</v>
      </c>
      <c r="G296" s="751">
        <v>1.2330680562932912</v>
      </c>
      <c r="H296" s="751">
        <v>-11.174170936612473</v>
      </c>
      <c r="I296" s="751">
        <v>2.1849946407608427</v>
      </c>
      <c r="J296" s="751">
        <v>0</v>
      </c>
      <c r="K296" s="751">
        <v>3.8366574865308416</v>
      </c>
      <c r="L296" s="751">
        <v>5.0543371164462032</v>
      </c>
      <c r="M296" s="751">
        <v>7.7965170516079096</v>
      </c>
      <c r="N296" s="751">
        <v>0</v>
      </c>
      <c r="O296" s="751">
        <v>4.277436392162179</v>
      </c>
      <c r="P296" s="751">
        <v>0</v>
      </c>
      <c r="Q296" s="751">
        <v>0</v>
      </c>
      <c r="R296" s="751">
        <v>0</v>
      </c>
      <c r="S296" s="751">
        <v>0</v>
      </c>
      <c r="T296" s="751">
        <v>0</v>
      </c>
      <c r="U296" s="751">
        <v>0</v>
      </c>
      <c r="V296" s="751">
        <v>0</v>
      </c>
      <c r="W296" s="751">
        <v>2.7824338206970181</v>
      </c>
      <c r="X296" s="378"/>
      <c r="Y296" s="180"/>
      <c r="Z296" s="180"/>
      <c r="AA296" s="180"/>
      <c r="AB296" s="180"/>
    </row>
    <row r="297" spans="1:28">
      <c r="A297" s="631"/>
      <c r="B297" s="388" t="s">
        <v>72</v>
      </c>
      <c r="C297" s="391"/>
      <c r="D297" s="391"/>
      <c r="E297" s="391"/>
      <c r="F297" s="391"/>
      <c r="G297" s="391"/>
      <c r="H297" s="391"/>
      <c r="I297" s="749"/>
      <c r="J297" s="391"/>
      <c r="K297" s="391"/>
      <c r="L297" s="391"/>
      <c r="M297" s="391"/>
      <c r="N297" s="391"/>
      <c r="O297" s="749"/>
      <c r="P297" s="391"/>
      <c r="Q297" s="391"/>
      <c r="R297" s="391"/>
      <c r="S297" s="749"/>
      <c r="T297" s="391">
        <v>35703567</v>
      </c>
      <c r="U297" s="749">
        <v>35703567</v>
      </c>
      <c r="V297" s="391">
        <v>161272070</v>
      </c>
      <c r="W297" s="749">
        <v>196975637</v>
      </c>
      <c r="X297" s="378"/>
      <c r="Y297" s="180"/>
      <c r="Z297" s="180"/>
      <c r="AA297" s="180"/>
      <c r="AB297" s="180"/>
    </row>
    <row r="298" spans="1:28" s="203" customFormat="1">
      <c r="A298" s="631"/>
      <c r="B298" s="389" t="s">
        <v>74</v>
      </c>
      <c r="C298" s="392"/>
      <c r="D298" s="392"/>
      <c r="E298" s="392"/>
      <c r="F298" s="392"/>
      <c r="G298" s="392"/>
      <c r="H298" s="392"/>
      <c r="I298" s="750"/>
      <c r="J298" s="392"/>
      <c r="K298" s="392"/>
      <c r="L298" s="392"/>
      <c r="M298" s="392"/>
      <c r="N298" s="392"/>
      <c r="O298" s="750"/>
      <c r="P298" s="392"/>
      <c r="Q298" s="392"/>
      <c r="R298" s="392"/>
      <c r="S298" s="750"/>
      <c r="T298" s="392">
        <v>39990223</v>
      </c>
      <c r="U298" s="750">
        <v>39990223</v>
      </c>
      <c r="V298" s="392">
        <v>222639876</v>
      </c>
      <c r="W298" s="750">
        <v>262630099</v>
      </c>
      <c r="X298" s="378"/>
      <c r="Y298" s="180"/>
      <c r="Z298" s="180"/>
      <c r="AA298" s="180"/>
      <c r="AB298" s="180"/>
    </row>
    <row r="299" spans="1:28" s="202" customFormat="1">
      <c r="A299" s="631"/>
      <c r="B299" s="634" t="s">
        <v>76</v>
      </c>
      <c r="C299" s="466">
        <v>0</v>
      </c>
      <c r="D299" s="466">
        <v>0</v>
      </c>
      <c r="E299" s="466">
        <v>0</v>
      </c>
      <c r="F299" s="466">
        <v>0</v>
      </c>
      <c r="G299" s="466">
        <v>0</v>
      </c>
      <c r="H299" s="466">
        <v>0</v>
      </c>
      <c r="I299" s="751">
        <v>0</v>
      </c>
      <c r="J299" s="466">
        <v>0</v>
      </c>
      <c r="K299" s="466">
        <v>0</v>
      </c>
      <c r="L299" s="466">
        <v>0</v>
      </c>
      <c r="M299" s="466">
        <v>0</v>
      </c>
      <c r="N299" s="466">
        <v>0</v>
      </c>
      <c r="O299" s="751">
        <v>0</v>
      </c>
      <c r="P299" s="466">
        <v>0</v>
      </c>
      <c r="Q299" s="466">
        <v>0</v>
      </c>
      <c r="R299" s="466">
        <v>0</v>
      </c>
      <c r="S299" s="751">
        <v>0</v>
      </c>
      <c r="T299" s="466">
        <v>12.006240160822026</v>
      </c>
      <c r="U299" s="751">
        <v>12.006240160822026</v>
      </c>
      <c r="V299" s="466">
        <v>38.05234595178198</v>
      </c>
      <c r="W299" s="751">
        <v>33.331260149700647</v>
      </c>
      <c r="X299" s="378"/>
      <c r="Y299" s="180"/>
      <c r="Z299" s="180"/>
      <c r="AA299" s="180"/>
      <c r="AB299" s="180"/>
    </row>
    <row r="300" spans="1:28">
      <c r="A300" s="631"/>
      <c r="B300" s="388" t="s">
        <v>240</v>
      </c>
      <c r="C300" s="391"/>
      <c r="D300" s="391"/>
      <c r="E300" s="391"/>
      <c r="F300" s="391"/>
      <c r="G300" s="391"/>
      <c r="H300" s="391"/>
      <c r="I300" s="749"/>
      <c r="J300" s="391"/>
      <c r="K300" s="391"/>
      <c r="L300" s="391"/>
      <c r="M300" s="391"/>
      <c r="N300" s="391"/>
      <c r="O300" s="749"/>
      <c r="P300" s="391"/>
      <c r="Q300" s="391"/>
      <c r="R300" s="391"/>
      <c r="S300" s="749"/>
      <c r="T300" s="391">
        <v>295554884</v>
      </c>
      <c r="U300" s="749">
        <v>295554884</v>
      </c>
      <c r="V300" s="391"/>
      <c r="W300" s="749">
        <v>295554884</v>
      </c>
      <c r="X300" s="378"/>
      <c r="Y300" s="180"/>
      <c r="Z300" s="180"/>
      <c r="AA300" s="180"/>
      <c r="AB300" s="180"/>
    </row>
    <row r="301" spans="1:28" s="203" customFormat="1">
      <c r="A301" s="631"/>
      <c r="B301" s="389" t="s">
        <v>163</v>
      </c>
      <c r="C301" s="392"/>
      <c r="D301" s="392"/>
      <c r="E301" s="392"/>
      <c r="F301" s="392"/>
      <c r="G301" s="392"/>
      <c r="H301" s="392"/>
      <c r="I301" s="750"/>
      <c r="J301" s="392"/>
      <c r="K301" s="392"/>
      <c r="L301" s="392"/>
      <c r="M301" s="392"/>
      <c r="N301" s="392"/>
      <c r="O301" s="750"/>
      <c r="P301" s="392"/>
      <c r="Q301" s="392"/>
      <c r="R301" s="392"/>
      <c r="S301" s="750"/>
      <c r="T301" s="392">
        <v>293418178</v>
      </c>
      <c r="U301" s="750">
        <v>293418178</v>
      </c>
      <c r="V301" s="392"/>
      <c r="W301" s="750">
        <v>293418178</v>
      </c>
      <c r="X301" s="378"/>
      <c r="Y301" s="180"/>
      <c r="Z301" s="180"/>
      <c r="AA301" s="180"/>
      <c r="AB301" s="180"/>
    </row>
    <row r="302" spans="1:28" s="202" customFormat="1">
      <c r="A302" s="631"/>
      <c r="B302" s="634" t="s">
        <v>59</v>
      </c>
      <c r="C302" s="466">
        <v>0</v>
      </c>
      <c r="D302" s="466">
        <v>0</v>
      </c>
      <c r="E302" s="466">
        <v>0</v>
      </c>
      <c r="F302" s="466">
        <v>0</v>
      </c>
      <c r="G302" s="466">
        <v>0</v>
      </c>
      <c r="H302" s="466">
        <v>0</v>
      </c>
      <c r="I302" s="751">
        <v>0</v>
      </c>
      <c r="J302" s="466">
        <v>0</v>
      </c>
      <c r="K302" s="466">
        <v>0</v>
      </c>
      <c r="L302" s="466">
        <v>0</v>
      </c>
      <c r="M302" s="466">
        <v>0</v>
      </c>
      <c r="N302" s="466">
        <v>0</v>
      </c>
      <c r="O302" s="751">
        <v>0</v>
      </c>
      <c r="P302" s="466">
        <v>0</v>
      </c>
      <c r="Q302" s="466">
        <v>0</v>
      </c>
      <c r="R302" s="466">
        <v>0</v>
      </c>
      <c r="S302" s="751">
        <v>0</v>
      </c>
      <c r="T302" s="466">
        <v>-0.72294728176442513</v>
      </c>
      <c r="U302" s="751">
        <v>-0.72294728176442513</v>
      </c>
      <c r="V302" s="466">
        <v>0</v>
      </c>
      <c r="W302" s="751">
        <v>-0.72294728176442513</v>
      </c>
      <c r="X302" s="378"/>
      <c r="Y302" s="180"/>
      <c r="Z302" s="180"/>
      <c r="AA302" s="180"/>
      <c r="AB302" s="180"/>
    </row>
    <row r="303" spans="1:28">
      <c r="A303" s="631"/>
      <c r="B303" s="388" t="s">
        <v>159</v>
      </c>
      <c r="C303" s="391"/>
      <c r="D303" s="391"/>
      <c r="E303" s="391"/>
      <c r="F303" s="391"/>
      <c r="G303" s="391"/>
      <c r="H303" s="391"/>
      <c r="I303" s="749"/>
      <c r="J303" s="391"/>
      <c r="K303" s="391"/>
      <c r="L303" s="391"/>
      <c r="M303" s="391"/>
      <c r="N303" s="391"/>
      <c r="O303" s="749"/>
      <c r="P303" s="391"/>
      <c r="Q303" s="391"/>
      <c r="R303" s="391"/>
      <c r="S303" s="749"/>
      <c r="T303" s="391"/>
      <c r="U303" s="749"/>
      <c r="V303" s="391"/>
      <c r="W303" s="749"/>
      <c r="X303" s="378"/>
      <c r="Y303" s="180"/>
      <c r="Z303" s="180"/>
      <c r="AA303" s="180"/>
      <c r="AB303" s="180"/>
    </row>
    <row r="304" spans="1:28" s="203" customFormat="1">
      <c r="A304" s="631"/>
      <c r="B304" s="389" t="s">
        <v>100</v>
      </c>
      <c r="C304" s="392"/>
      <c r="D304" s="392"/>
      <c r="E304" s="392"/>
      <c r="F304" s="392"/>
      <c r="G304" s="392"/>
      <c r="H304" s="392"/>
      <c r="I304" s="750"/>
      <c r="J304" s="392"/>
      <c r="K304" s="392"/>
      <c r="L304" s="392"/>
      <c r="M304" s="392"/>
      <c r="N304" s="392"/>
      <c r="O304" s="750"/>
      <c r="P304" s="392"/>
      <c r="Q304" s="392"/>
      <c r="R304" s="392"/>
      <c r="S304" s="750"/>
      <c r="T304" s="392"/>
      <c r="U304" s="750"/>
      <c r="V304" s="392"/>
      <c r="W304" s="750"/>
      <c r="X304" s="378"/>
      <c r="Y304" s="180"/>
      <c r="Z304" s="180"/>
      <c r="AA304" s="180"/>
      <c r="AB304" s="180"/>
    </row>
    <row r="305" spans="1:28" s="202" customFormat="1">
      <c r="A305" s="631"/>
      <c r="B305" s="634" t="s">
        <v>110</v>
      </c>
      <c r="C305" s="466">
        <v>0</v>
      </c>
      <c r="D305" s="466">
        <v>0</v>
      </c>
      <c r="E305" s="466">
        <v>0</v>
      </c>
      <c r="F305" s="466">
        <v>0</v>
      </c>
      <c r="G305" s="466">
        <v>0</v>
      </c>
      <c r="H305" s="466">
        <v>0</v>
      </c>
      <c r="I305" s="751">
        <v>0</v>
      </c>
      <c r="J305" s="466">
        <v>0</v>
      </c>
      <c r="K305" s="466">
        <v>0</v>
      </c>
      <c r="L305" s="466">
        <v>0</v>
      </c>
      <c r="M305" s="466">
        <v>0</v>
      </c>
      <c r="N305" s="466">
        <v>0</v>
      </c>
      <c r="O305" s="751">
        <v>0</v>
      </c>
      <c r="P305" s="466">
        <v>0</v>
      </c>
      <c r="Q305" s="466">
        <v>0</v>
      </c>
      <c r="R305" s="466">
        <v>0</v>
      </c>
      <c r="S305" s="751">
        <v>0</v>
      </c>
      <c r="T305" s="466">
        <v>0</v>
      </c>
      <c r="U305" s="751">
        <v>0</v>
      </c>
      <c r="V305" s="466">
        <v>0</v>
      </c>
      <c r="W305" s="751">
        <v>0</v>
      </c>
      <c r="X305" s="378"/>
      <c r="Y305" s="180"/>
      <c r="Z305" s="180"/>
      <c r="AA305" s="180"/>
      <c r="AB305" s="180"/>
    </row>
    <row r="306" spans="1:28">
      <c r="A306" s="631"/>
      <c r="B306" s="388" t="s">
        <v>161</v>
      </c>
      <c r="C306" s="391">
        <v>0</v>
      </c>
      <c r="D306" s="391">
        <v>0</v>
      </c>
      <c r="E306" s="391">
        <v>0</v>
      </c>
      <c r="F306" s="391">
        <v>0</v>
      </c>
      <c r="G306" s="391">
        <v>0</v>
      </c>
      <c r="H306" s="391">
        <v>0</v>
      </c>
      <c r="I306" s="749">
        <v>0</v>
      </c>
      <c r="J306" s="391"/>
      <c r="K306" s="391">
        <v>0</v>
      </c>
      <c r="L306" s="391">
        <v>0</v>
      </c>
      <c r="M306" s="391">
        <v>0</v>
      </c>
      <c r="N306" s="391"/>
      <c r="O306" s="749">
        <v>0</v>
      </c>
      <c r="P306" s="391"/>
      <c r="Q306" s="391"/>
      <c r="R306" s="391"/>
      <c r="S306" s="749"/>
      <c r="T306" s="391">
        <v>295554884</v>
      </c>
      <c r="U306" s="749">
        <v>295554884</v>
      </c>
      <c r="V306" s="391">
        <v>0</v>
      </c>
      <c r="W306" s="749">
        <v>295554884</v>
      </c>
      <c r="X306" s="378"/>
      <c r="Y306" s="180"/>
      <c r="Z306" s="180"/>
      <c r="AA306" s="180"/>
      <c r="AB306" s="180"/>
    </row>
    <row r="307" spans="1:28" s="203" customFormat="1">
      <c r="A307" s="631"/>
      <c r="B307" s="389" t="s">
        <v>102</v>
      </c>
      <c r="C307" s="392">
        <v>0</v>
      </c>
      <c r="D307" s="392">
        <v>0</v>
      </c>
      <c r="E307" s="392">
        <v>0</v>
      </c>
      <c r="F307" s="392">
        <v>0</v>
      </c>
      <c r="G307" s="392">
        <v>0</v>
      </c>
      <c r="H307" s="392">
        <v>0</v>
      </c>
      <c r="I307" s="750">
        <v>0</v>
      </c>
      <c r="J307" s="392"/>
      <c r="K307" s="392">
        <v>0</v>
      </c>
      <c r="L307" s="392">
        <v>0</v>
      </c>
      <c r="M307" s="392">
        <v>0</v>
      </c>
      <c r="N307" s="392"/>
      <c r="O307" s="750">
        <v>0</v>
      </c>
      <c r="P307" s="392"/>
      <c r="Q307" s="392"/>
      <c r="R307" s="392"/>
      <c r="S307" s="750"/>
      <c r="T307" s="392">
        <v>293418178</v>
      </c>
      <c r="U307" s="750">
        <v>293418178</v>
      </c>
      <c r="V307" s="392">
        <v>0</v>
      </c>
      <c r="W307" s="750">
        <v>293418178</v>
      </c>
      <c r="X307" s="378"/>
      <c r="Y307" s="180"/>
      <c r="Z307" s="180"/>
      <c r="AA307" s="180"/>
      <c r="AB307" s="180"/>
    </row>
    <row r="308" spans="1:28" s="202" customFormat="1">
      <c r="A308" s="631"/>
      <c r="B308" s="634" t="s">
        <v>183</v>
      </c>
      <c r="C308" s="466">
        <v>0</v>
      </c>
      <c r="D308" s="466">
        <v>0</v>
      </c>
      <c r="E308" s="466">
        <v>0</v>
      </c>
      <c r="F308" s="466">
        <v>0</v>
      </c>
      <c r="G308" s="466">
        <v>0</v>
      </c>
      <c r="H308" s="466">
        <v>0</v>
      </c>
      <c r="I308" s="751">
        <v>0</v>
      </c>
      <c r="J308" s="466">
        <v>0</v>
      </c>
      <c r="K308" s="466">
        <v>0</v>
      </c>
      <c r="L308" s="466">
        <v>0</v>
      </c>
      <c r="M308" s="466">
        <v>0</v>
      </c>
      <c r="N308" s="466">
        <v>0</v>
      </c>
      <c r="O308" s="751">
        <v>0</v>
      </c>
      <c r="P308" s="466">
        <v>0</v>
      </c>
      <c r="Q308" s="466">
        <v>0</v>
      </c>
      <c r="R308" s="466">
        <v>0</v>
      </c>
      <c r="S308" s="751">
        <v>0</v>
      </c>
      <c r="T308" s="466">
        <v>-0.72294728176442513</v>
      </c>
      <c r="U308" s="751">
        <v>-0.72294728176442513</v>
      </c>
      <c r="V308" s="466">
        <v>0</v>
      </c>
      <c r="W308" s="751">
        <v>-0.72294728176442513</v>
      </c>
      <c r="X308" s="378"/>
      <c r="Y308" s="180"/>
      <c r="Z308" s="180"/>
      <c r="AA308" s="180"/>
      <c r="AB308" s="180"/>
    </row>
    <row r="309" spans="1:28">
      <c r="A309" s="631"/>
      <c r="B309" s="388" t="s">
        <v>78</v>
      </c>
      <c r="C309" s="391"/>
      <c r="D309" s="391"/>
      <c r="E309" s="391"/>
      <c r="F309" s="391"/>
      <c r="G309" s="391"/>
      <c r="H309" s="391"/>
      <c r="I309" s="749"/>
      <c r="J309" s="391"/>
      <c r="K309" s="391"/>
      <c r="L309" s="391"/>
      <c r="M309" s="391"/>
      <c r="N309" s="391"/>
      <c r="O309" s="749"/>
      <c r="P309" s="391"/>
      <c r="Q309" s="391"/>
      <c r="R309" s="391"/>
      <c r="S309" s="749"/>
      <c r="T309" s="391">
        <v>196668425</v>
      </c>
      <c r="U309" s="749">
        <v>196668425</v>
      </c>
      <c r="V309" s="391"/>
      <c r="W309" s="749">
        <v>196668425</v>
      </c>
      <c r="X309" s="378"/>
      <c r="Y309" s="180"/>
      <c r="Z309" s="180"/>
      <c r="AA309" s="180"/>
      <c r="AB309" s="180"/>
    </row>
    <row r="310" spans="1:28" s="203" customFormat="1">
      <c r="A310" s="631"/>
      <c r="B310" s="389" t="s">
        <v>80</v>
      </c>
      <c r="C310" s="392"/>
      <c r="D310" s="392"/>
      <c r="E310" s="392"/>
      <c r="F310" s="392"/>
      <c r="G310" s="392"/>
      <c r="H310" s="392"/>
      <c r="I310" s="750"/>
      <c r="J310" s="392"/>
      <c r="K310" s="392"/>
      <c r="L310" s="392"/>
      <c r="M310" s="392"/>
      <c r="N310" s="392"/>
      <c r="O310" s="750"/>
      <c r="P310" s="392"/>
      <c r="Q310" s="392"/>
      <c r="R310" s="392"/>
      <c r="S310" s="750"/>
      <c r="T310" s="392">
        <v>215444453</v>
      </c>
      <c r="U310" s="750">
        <v>215444453</v>
      </c>
      <c r="V310" s="392"/>
      <c r="W310" s="750">
        <v>215444453</v>
      </c>
      <c r="X310" s="378"/>
      <c r="Y310" s="180"/>
      <c r="Z310" s="180"/>
      <c r="AA310" s="180"/>
      <c r="AB310" s="180"/>
    </row>
    <row r="311" spans="1:28" s="202" customFormat="1">
      <c r="A311" s="631"/>
      <c r="B311" s="634" t="s">
        <v>215</v>
      </c>
      <c r="C311" s="466">
        <v>0</v>
      </c>
      <c r="D311" s="466">
        <v>0</v>
      </c>
      <c r="E311" s="466">
        <v>0</v>
      </c>
      <c r="F311" s="466">
        <v>0</v>
      </c>
      <c r="G311" s="466">
        <v>0</v>
      </c>
      <c r="H311" s="466">
        <v>0</v>
      </c>
      <c r="I311" s="751">
        <v>0</v>
      </c>
      <c r="J311" s="466">
        <v>0</v>
      </c>
      <c r="K311" s="466">
        <v>0</v>
      </c>
      <c r="L311" s="466">
        <v>0</v>
      </c>
      <c r="M311" s="466">
        <v>0</v>
      </c>
      <c r="N311" s="466">
        <v>0</v>
      </c>
      <c r="O311" s="751">
        <v>0</v>
      </c>
      <c r="P311" s="466">
        <v>0</v>
      </c>
      <c r="Q311" s="466">
        <v>0</v>
      </c>
      <c r="R311" s="466">
        <v>0</v>
      </c>
      <c r="S311" s="751">
        <v>0</v>
      </c>
      <c r="T311" s="466">
        <v>9.54704752427849</v>
      </c>
      <c r="U311" s="751">
        <v>9.54704752427849</v>
      </c>
      <c r="V311" s="466">
        <v>0</v>
      </c>
      <c r="W311" s="751">
        <v>9.54704752427849</v>
      </c>
      <c r="X311" s="378"/>
      <c r="Y311" s="180"/>
      <c r="Z311" s="180"/>
      <c r="AA311" s="180"/>
      <c r="AB311" s="180"/>
    </row>
    <row r="312" spans="1:28">
      <c r="A312" s="631"/>
      <c r="B312" s="388" t="s">
        <v>81</v>
      </c>
      <c r="C312" s="391"/>
      <c r="D312" s="391"/>
      <c r="E312" s="391"/>
      <c r="F312" s="391"/>
      <c r="G312" s="391"/>
      <c r="H312" s="391"/>
      <c r="I312" s="749"/>
      <c r="J312" s="391"/>
      <c r="K312" s="391"/>
      <c r="L312" s="391"/>
      <c r="M312" s="391"/>
      <c r="N312" s="391"/>
      <c r="O312" s="749"/>
      <c r="P312" s="391"/>
      <c r="Q312" s="391"/>
      <c r="R312" s="391"/>
      <c r="S312" s="749"/>
      <c r="T312" s="391">
        <v>116721059</v>
      </c>
      <c r="U312" s="749">
        <v>116721059</v>
      </c>
      <c r="V312" s="391"/>
      <c r="W312" s="749">
        <v>116721059</v>
      </c>
      <c r="X312" s="378"/>
      <c r="Y312" s="180"/>
      <c r="Z312" s="180"/>
      <c r="AA312" s="180"/>
      <c r="AB312" s="180"/>
    </row>
    <row r="313" spans="1:28" s="203" customFormat="1">
      <c r="A313" s="631"/>
      <c r="B313" s="389" t="s">
        <v>318</v>
      </c>
      <c r="C313" s="392"/>
      <c r="D313" s="392"/>
      <c r="E313" s="392"/>
      <c r="F313" s="392"/>
      <c r="G313" s="392"/>
      <c r="H313" s="392"/>
      <c r="I313" s="750"/>
      <c r="J313" s="392"/>
      <c r="K313" s="392"/>
      <c r="L313" s="392"/>
      <c r="M313" s="392"/>
      <c r="N313" s="392"/>
      <c r="O313" s="750"/>
      <c r="P313" s="392"/>
      <c r="Q313" s="392"/>
      <c r="R313" s="392"/>
      <c r="S313" s="750"/>
      <c r="T313" s="392">
        <v>119524902</v>
      </c>
      <c r="U313" s="750">
        <v>119524902</v>
      </c>
      <c r="V313" s="392"/>
      <c r="W313" s="750">
        <v>119524902</v>
      </c>
      <c r="X313" s="378"/>
      <c r="Y313" s="180"/>
      <c r="Z313" s="180"/>
      <c r="AA313" s="180"/>
      <c r="AB313" s="180"/>
    </row>
    <row r="314" spans="1:28" s="202" customFormat="1">
      <c r="A314" s="631"/>
      <c r="B314" s="634" t="s">
        <v>236</v>
      </c>
      <c r="C314" s="466">
        <v>0</v>
      </c>
      <c r="D314" s="466">
        <v>0</v>
      </c>
      <c r="E314" s="466">
        <v>0</v>
      </c>
      <c r="F314" s="466">
        <v>0</v>
      </c>
      <c r="G314" s="466">
        <v>0</v>
      </c>
      <c r="H314" s="466">
        <v>0</v>
      </c>
      <c r="I314" s="751">
        <v>0</v>
      </c>
      <c r="J314" s="466">
        <v>0</v>
      </c>
      <c r="K314" s="466">
        <v>0</v>
      </c>
      <c r="L314" s="466">
        <v>0</v>
      </c>
      <c r="M314" s="466">
        <v>0</v>
      </c>
      <c r="N314" s="466">
        <v>0</v>
      </c>
      <c r="O314" s="751">
        <v>0</v>
      </c>
      <c r="P314" s="466">
        <v>0</v>
      </c>
      <c r="Q314" s="466">
        <v>0</v>
      </c>
      <c r="R314" s="466">
        <v>0</v>
      </c>
      <c r="S314" s="751">
        <v>0</v>
      </c>
      <c r="T314" s="466">
        <v>2.402174058410488</v>
      </c>
      <c r="U314" s="751">
        <v>2.402174058410488</v>
      </c>
      <c r="V314" s="466">
        <v>0</v>
      </c>
      <c r="W314" s="751">
        <v>2.402174058410488</v>
      </c>
      <c r="X314" s="378"/>
      <c r="Y314" s="180"/>
      <c r="Z314" s="180"/>
      <c r="AA314" s="180"/>
      <c r="AB314" s="180"/>
    </row>
    <row r="315" spans="1:28">
      <c r="A315" s="631"/>
      <c r="B315" s="388" t="s">
        <v>19</v>
      </c>
      <c r="C315" s="391">
        <v>981436106</v>
      </c>
      <c r="D315" s="391">
        <v>352056209</v>
      </c>
      <c r="E315" s="391">
        <v>269835132</v>
      </c>
      <c r="F315" s="391">
        <v>415965979</v>
      </c>
      <c r="G315" s="391">
        <v>57197347</v>
      </c>
      <c r="H315" s="391">
        <v>48079144</v>
      </c>
      <c r="I315" s="749">
        <v>2124569917</v>
      </c>
      <c r="J315" s="391"/>
      <c r="K315" s="391">
        <v>728849548</v>
      </c>
      <c r="L315" s="391">
        <v>247079415</v>
      </c>
      <c r="M315" s="391">
        <v>51362372</v>
      </c>
      <c r="N315" s="391"/>
      <c r="O315" s="749">
        <v>1027291335</v>
      </c>
      <c r="P315" s="391"/>
      <c r="Q315" s="391"/>
      <c r="R315" s="391"/>
      <c r="S315" s="749"/>
      <c r="T315" s="391">
        <v>0</v>
      </c>
      <c r="U315" s="749">
        <v>0</v>
      </c>
      <c r="V315" s="391">
        <v>6000000</v>
      </c>
      <c r="W315" s="749">
        <v>3157861252</v>
      </c>
      <c r="X315" s="378"/>
      <c r="Y315" s="180"/>
      <c r="Z315" s="180"/>
      <c r="AA315" s="180"/>
      <c r="AB315" s="180"/>
    </row>
    <row r="316" spans="1:28" s="203" customFormat="1">
      <c r="A316" s="631"/>
      <c r="B316" s="389" t="s">
        <v>21</v>
      </c>
      <c r="C316" s="392">
        <v>1046324383</v>
      </c>
      <c r="D316" s="392">
        <v>369011298</v>
      </c>
      <c r="E316" s="392">
        <v>283549327</v>
      </c>
      <c r="F316" s="392">
        <v>441421860</v>
      </c>
      <c r="G316" s="392">
        <v>60403340</v>
      </c>
      <c r="H316" s="392">
        <v>47829365</v>
      </c>
      <c r="I316" s="750">
        <v>2248539573</v>
      </c>
      <c r="J316" s="392"/>
      <c r="K316" s="392">
        <v>775225867</v>
      </c>
      <c r="L316" s="392">
        <v>253031386</v>
      </c>
      <c r="M316" s="392">
        <v>53437034</v>
      </c>
      <c r="N316" s="392"/>
      <c r="O316" s="750">
        <v>1081694287</v>
      </c>
      <c r="P316" s="392"/>
      <c r="Q316" s="392"/>
      <c r="R316" s="392"/>
      <c r="S316" s="750"/>
      <c r="T316" s="392">
        <v>0</v>
      </c>
      <c r="U316" s="750">
        <v>0</v>
      </c>
      <c r="V316" s="392">
        <v>6000000</v>
      </c>
      <c r="W316" s="750">
        <v>3336233860</v>
      </c>
      <c r="X316" s="378"/>
      <c r="Y316" s="180"/>
      <c r="Z316" s="180"/>
      <c r="AA316" s="180"/>
      <c r="AB316" s="180"/>
    </row>
    <row r="317" spans="1:28" s="212" customFormat="1" ht="13.5" thickBot="1">
      <c r="A317" s="635"/>
      <c r="B317" s="761" t="s">
        <v>23</v>
      </c>
      <c r="C317" s="762">
        <v>6.6115640746561244</v>
      </c>
      <c r="D317" s="762">
        <v>4.8160176035980662</v>
      </c>
      <c r="E317" s="762">
        <v>5.082434929192245</v>
      </c>
      <c r="F317" s="762">
        <v>6.1197026403930979</v>
      </c>
      <c r="G317" s="762">
        <v>5.6051428399292718</v>
      </c>
      <c r="H317" s="762">
        <v>-0.51951632083965549</v>
      </c>
      <c r="I317" s="763">
        <v>5.8350471315649344</v>
      </c>
      <c r="J317" s="762">
        <v>0</v>
      </c>
      <c r="K317" s="762">
        <v>6.3629481732216151</v>
      </c>
      <c r="L317" s="762">
        <v>2.4089303433068272</v>
      </c>
      <c r="M317" s="762">
        <v>4.0392643859983721</v>
      </c>
      <c r="N317" s="762">
        <v>0</v>
      </c>
      <c r="O317" s="763">
        <v>5.295766658053239</v>
      </c>
      <c r="P317" s="762">
        <v>0</v>
      </c>
      <c r="Q317" s="762">
        <v>0</v>
      </c>
      <c r="R317" s="762">
        <v>0</v>
      </c>
      <c r="S317" s="763">
        <v>0</v>
      </c>
      <c r="T317" s="762">
        <v>0</v>
      </c>
      <c r="U317" s="763">
        <v>0</v>
      </c>
      <c r="V317" s="762">
        <v>0</v>
      </c>
      <c r="W317" s="763">
        <v>5.648525814331756</v>
      </c>
      <c r="X317" s="378"/>
      <c r="Y317" s="180"/>
      <c r="Z317" s="180"/>
      <c r="AA317" s="180"/>
      <c r="AB317" s="180"/>
    </row>
    <row r="318" spans="1:28" ht="13.5" thickTop="1">
      <c r="A318" s="230" t="s">
        <v>152</v>
      </c>
      <c r="B318" s="764" t="s">
        <v>190</v>
      </c>
      <c r="C318" s="765">
        <v>173444521</v>
      </c>
      <c r="D318" s="765">
        <v>127259337</v>
      </c>
      <c r="E318" s="765"/>
      <c r="F318" s="765">
        <v>64028841</v>
      </c>
      <c r="G318" s="765">
        <v>15349173</v>
      </c>
      <c r="H318" s="765"/>
      <c r="I318" s="766">
        <v>380081872</v>
      </c>
      <c r="J318" s="765"/>
      <c r="K318" s="765">
        <v>100609742</v>
      </c>
      <c r="L318" s="765">
        <v>118263015</v>
      </c>
      <c r="M318" s="765">
        <v>16174609</v>
      </c>
      <c r="N318" s="765"/>
      <c r="O318" s="766">
        <v>235047366</v>
      </c>
      <c r="P318" s="765"/>
      <c r="Q318" s="765"/>
      <c r="R318" s="765"/>
      <c r="S318" s="766"/>
      <c r="T318" s="765"/>
      <c r="U318" s="766"/>
      <c r="V318" s="765"/>
      <c r="W318" s="766">
        <v>615129238</v>
      </c>
      <c r="X318" s="378"/>
      <c r="Y318" s="180"/>
      <c r="Z318" s="180"/>
      <c r="AA318" s="180"/>
      <c r="AB318" s="180"/>
    </row>
    <row r="319" spans="1:28" s="203" customFormat="1">
      <c r="A319" s="631"/>
      <c r="B319" s="389" t="s">
        <v>4</v>
      </c>
      <c r="C319" s="392">
        <v>180345246</v>
      </c>
      <c r="D319" s="392">
        <v>141336649</v>
      </c>
      <c r="E319" s="392"/>
      <c r="F319" s="392">
        <v>64620575</v>
      </c>
      <c r="G319" s="392">
        <v>17159512</v>
      </c>
      <c r="H319" s="392"/>
      <c r="I319" s="750">
        <v>403461982</v>
      </c>
      <c r="J319" s="392"/>
      <c r="K319" s="392">
        <v>105970806</v>
      </c>
      <c r="L319" s="392">
        <v>123268429</v>
      </c>
      <c r="M319" s="392">
        <v>16908379</v>
      </c>
      <c r="N319" s="392"/>
      <c r="O319" s="750">
        <v>246147614</v>
      </c>
      <c r="P319" s="392"/>
      <c r="Q319" s="392"/>
      <c r="R319" s="392"/>
      <c r="S319" s="750"/>
      <c r="T319" s="392"/>
      <c r="U319" s="750"/>
      <c r="V319" s="392"/>
      <c r="W319" s="750">
        <v>649609596</v>
      </c>
      <c r="X319" s="378"/>
      <c r="Y319" s="180"/>
      <c r="Z319" s="180"/>
      <c r="AA319" s="180"/>
      <c r="AB319" s="180"/>
    </row>
    <row r="320" spans="1:28" s="202" customFormat="1">
      <c r="A320" s="632"/>
      <c r="B320" s="634" t="s">
        <v>116</v>
      </c>
      <c r="C320" s="466">
        <v>3.9786353355030455</v>
      </c>
      <c r="D320" s="1461">
        <v>11.061908958397293</v>
      </c>
      <c r="E320" s="466">
        <v>0</v>
      </c>
      <c r="F320" s="466">
        <v>0.92416790739660581</v>
      </c>
      <c r="G320" s="1461">
        <v>11.794374850032636</v>
      </c>
      <c r="H320" s="466">
        <v>0</v>
      </c>
      <c r="I320" s="751">
        <v>6.1513352049581567</v>
      </c>
      <c r="J320" s="466">
        <v>0</v>
      </c>
      <c r="K320" s="466">
        <v>5.3285734496764734</v>
      </c>
      <c r="L320" s="466">
        <v>4.2324424081357979</v>
      </c>
      <c r="M320" s="466">
        <v>4.5365547939984205</v>
      </c>
      <c r="N320" s="466">
        <v>0</v>
      </c>
      <c r="O320" s="751">
        <v>4.7225579205171782</v>
      </c>
      <c r="P320" s="466">
        <v>0</v>
      </c>
      <c r="Q320" s="466">
        <v>0</v>
      </c>
      <c r="R320" s="466">
        <v>0</v>
      </c>
      <c r="S320" s="751">
        <v>0</v>
      </c>
      <c r="T320" s="466">
        <v>0</v>
      </c>
      <c r="U320" s="751">
        <v>0</v>
      </c>
      <c r="V320" s="466">
        <v>0</v>
      </c>
      <c r="W320" s="751">
        <v>5.6053843436393445</v>
      </c>
      <c r="X320" s="378"/>
      <c r="Y320" s="180"/>
      <c r="Z320" s="180"/>
      <c r="AA320" s="180"/>
      <c r="AB320" s="180"/>
    </row>
    <row r="321" spans="1:28">
      <c r="A321" s="631"/>
      <c r="B321" s="388" t="s">
        <v>195</v>
      </c>
      <c r="C321" s="391">
        <v>68936863</v>
      </c>
      <c r="D321" s="391">
        <v>7345417</v>
      </c>
      <c r="E321" s="391"/>
      <c r="F321" s="391">
        <v>5819110</v>
      </c>
      <c r="G321" s="391"/>
      <c r="H321" s="391"/>
      <c r="I321" s="749">
        <v>82101390</v>
      </c>
      <c r="J321" s="391"/>
      <c r="K321" s="391">
        <v>11378968.460000001</v>
      </c>
      <c r="L321" s="391">
        <v>12971589.440000001</v>
      </c>
      <c r="M321" s="391">
        <v>2411356.66</v>
      </c>
      <c r="N321" s="391"/>
      <c r="O321" s="749">
        <v>26761914.560000002</v>
      </c>
      <c r="P321" s="391"/>
      <c r="Q321" s="391"/>
      <c r="R321" s="391"/>
      <c r="S321" s="749"/>
      <c r="T321" s="391"/>
      <c r="U321" s="749"/>
      <c r="V321" s="391">
        <v>6941891.1600000001</v>
      </c>
      <c r="W321" s="749">
        <v>115805195.72</v>
      </c>
      <c r="X321" s="378"/>
      <c r="Y321" s="180"/>
      <c r="Z321" s="180"/>
      <c r="AA321" s="180"/>
      <c r="AB321" s="180"/>
    </row>
    <row r="322" spans="1:28" s="203" customFormat="1">
      <c r="A322" s="631"/>
      <c r="B322" s="389" t="s">
        <v>242</v>
      </c>
      <c r="C322" s="392">
        <v>72333838</v>
      </c>
      <c r="D322" s="392">
        <v>7843683</v>
      </c>
      <c r="E322" s="392"/>
      <c r="F322" s="392">
        <v>6110066</v>
      </c>
      <c r="G322" s="392"/>
      <c r="H322" s="392"/>
      <c r="I322" s="750">
        <v>86287587</v>
      </c>
      <c r="J322" s="392"/>
      <c r="K322" s="392">
        <v>11358077</v>
      </c>
      <c r="L322" s="392">
        <v>13060097</v>
      </c>
      <c r="M322" s="392">
        <v>2325299</v>
      </c>
      <c r="N322" s="392"/>
      <c r="O322" s="750">
        <v>26743473</v>
      </c>
      <c r="P322" s="392"/>
      <c r="Q322" s="392"/>
      <c r="R322" s="392"/>
      <c r="S322" s="750"/>
      <c r="T322" s="392"/>
      <c r="U322" s="750"/>
      <c r="V322" s="392">
        <v>9142442.3000000007</v>
      </c>
      <c r="W322" s="750">
        <v>122173502.3</v>
      </c>
      <c r="X322" s="378"/>
      <c r="Y322" s="180"/>
      <c r="Z322" s="180"/>
      <c r="AA322" s="180"/>
      <c r="AB322" s="180"/>
    </row>
    <row r="323" spans="1:28" s="202" customFormat="1">
      <c r="A323" s="631"/>
      <c r="B323" s="634" t="s">
        <v>244</v>
      </c>
      <c r="C323" s="466">
        <v>4.9276611266747077</v>
      </c>
      <c r="D323" s="466">
        <v>6.7833589297925485</v>
      </c>
      <c r="E323" s="466">
        <v>0</v>
      </c>
      <c r="F323" s="466">
        <v>5.0000085923792472</v>
      </c>
      <c r="G323" s="466">
        <v>0</v>
      </c>
      <c r="H323" s="466">
        <v>0</v>
      </c>
      <c r="I323" s="751">
        <v>5.0988137959661826</v>
      </c>
      <c r="J323" s="466">
        <v>0</v>
      </c>
      <c r="K323" s="466">
        <v>-0.18359713425201718</v>
      </c>
      <c r="L323" s="466">
        <v>0.68231854245302603</v>
      </c>
      <c r="M323" s="466">
        <v>-3.5688482515896318</v>
      </c>
      <c r="N323" s="466">
        <v>0</v>
      </c>
      <c r="O323" s="751">
        <v>-6.8909718542942172E-2</v>
      </c>
      <c r="P323" s="466">
        <v>0</v>
      </c>
      <c r="Q323" s="466">
        <v>0</v>
      </c>
      <c r="R323" s="466">
        <v>0</v>
      </c>
      <c r="S323" s="751">
        <v>0</v>
      </c>
      <c r="T323" s="466">
        <v>0</v>
      </c>
      <c r="U323" s="751">
        <v>0</v>
      </c>
      <c r="V323" s="466">
        <v>31.699591498637105</v>
      </c>
      <c r="W323" s="751">
        <v>5.4991544553818175</v>
      </c>
      <c r="X323" s="378"/>
      <c r="Y323" s="180"/>
      <c r="Z323" s="180"/>
      <c r="AA323" s="180"/>
      <c r="AB323" s="180"/>
    </row>
    <row r="324" spans="1:28">
      <c r="A324" s="631"/>
      <c r="B324" s="388" t="s">
        <v>5</v>
      </c>
      <c r="C324" s="391"/>
      <c r="D324" s="391"/>
      <c r="E324" s="391"/>
      <c r="F324" s="391"/>
      <c r="G324" s="391"/>
      <c r="H324" s="391"/>
      <c r="I324" s="749"/>
      <c r="J324" s="391"/>
      <c r="K324" s="391">
        <v>30309895</v>
      </c>
      <c r="L324" s="391">
        <v>19649836</v>
      </c>
      <c r="M324" s="391">
        <v>3240603</v>
      </c>
      <c r="N324" s="391"/>
      <c r="O324" s="749">
        <v>53200334</v>
      </c>
      <c r="P324" s="391"/>
      <c r="Q324" s="391"/>
      <c r="R324" s="391"/>
      <c r="S324" s="749"/>
      <c r="T324" s="391"/>
      <c r="U324" s="749"/>
      <c r="V324" s="391"/>
      <c r="W324" s="749">
        <v>53200334</v>
      </c>
      <c r="X324" s="378"/>
      <c r="Y324" s="180"/>
      <c r="Z324" s="180"/>
      <c r="AA324" s="180"/>
      <c r="AB324" s="180"/>
    </row>
    <row r="325" spans="1:28" s="203" customFormat="1">
      <c r="A325" s="631"/>
      <c r="B325" s="389" t="s">
        <v>6</v>
      </c>
      <c r="C325" s="392"/>
      <c r="D325" s="392"/>
      <c r="E325" s="392"/>
      <c r="F325" s="392"/>
      <c r="G325" s="392"/>
      <c r="H325" s="392"/>
      <c r="I325" s="750"/>
      <c r="J325" s="392"/>
      <c r="K325" s="392">
        <v>31226125</v>
      </c>
      <c r="L325" s="392">
        <v>19816904</v>
      </c>
      <c r="M325" s="392">
        <v>3275615</v>
      </c>
      <c r="N325" s="392"/>
      <c r="O325" s="750">
        <v>54318644</v>
      </c>
      <c r="P325" s="392"/>
      <c r="Q325" s="392"/>
      <c r="R325" s="392"/>
      <c r="S325" s="750"/>
      <c r="T325" s="392"/>
      <c r="U325" s="750"/>
      <c r="V325" s="392"/>
      <c r="W325" s="750">
        <v>54318644</v>
      </c>
      <c r="X325" s="378"/>
      <c r="Y325" s="180"/>
      <c r="Z325" s="180"/>
      <c r="AA325" s="180"/>
      <c r="AB325" s="180"/>
    </row>
    <row r="326" spans="1:28" s="202" customFormat="1">
      <c r="A326" s="631"/>
      <c r="B326" s="634" t="s">
        <v>298</v>
      </c>
      <c r="C326" s="466">
        <v>0</v>
      </c>
      <c r="D326" s="466">
        <v>0</v>
      </c>
      <c r="E326" s="466">
        <v>0</v>
      </c>
      <c r="F326" s="466">
        <v>0</v>
      </c>
      <c r="G326" s="466">
        <v>0</v>
      </c>
      <c r="H326" s="466">
        <v>0</v>
      </c>
      <c r="I326" s="751">
        <v>0</v>
      </c>
      <c r="J326" s="466">
        <v>0</v>
      </c>
      <c r="K326" s="466">
        <v>3.0228742131901147</v>
      </c>
      <c r="L326" s="466">
        <v>0.85022592554970933</v>
      </c>
      <c r="M326" s="466">
        <v>1.0804162064899649</v>
      </c>
      <c r="N326" s="466">
        <v>0</v>
      </c>
      <c r="O326" s="751">
        <v>2.1020732689384993</v>
      </c>
      <c r="P326" s="466">
        <v>0</v>
      </c>
      <c r="Q326" s="466">
        <v>0</v>
      </c>
      <c r="R326" s="466">
        <v>0</v>
      </c>
      <c r="S326" s="751">
        <v>0</v>
      </c>
      <c r="T326" s="466">
        <v>0</v>
      </c>
      <c r="U326" s="751">
        <v>0</v>
      </c>
      <c r="V326" s="466">
        <v>0</v>
      </c>
      <c r="W326" s="751">
        <v>2.1020732689384993</v>
      </c>
      <c r="X326" s="378"/>
      <c r="Y326" s="180"/>
      <c r="Z326" s="180"/>
      <c r="AA326" s="180"/>
      <c r="AB326" s="180"/>
    </row>
    <row r="327" spans="1:28">
      <c r="A327" s="631"/>
      <c r="B327" s="388" t="s">
        <v>223</v>
      </c>
      <c r="C327" s="391">
        <v>278952159</v>
      </c>
      <c r="D327" s="391">
        <v>254890507</v>
      </c>
      <c r="E327" s="391"/>
      <c r="F327" s="391">
        <v>60786834</v>
      </c>
      <c r="G327" s="391">
        <v>18278223</v>
      </c>
      <c r="H327" s="391"/>
      <c r="I327" s="749">
        <v>612907723</v>
      </c>
      <c r="J327" s="391"/>
      <c r="K327" s="391">
        <v>86333407</v>
      </c>
      <c r="L327" s="391">
        <v>92055395</v>
      </c>
      <c r="M327" s="391">
        <v>10845608</v>
      </c>
      <c r="N327" s="391"/>
      <c r="O327" s="749">
        <v>189234410</v>
      </c>
      <c r="P327" s="391"/>
      <c r="Q327" s="391"/>
      <c r="R327" s="391"/>
      <c r="S327" s="749"/>
      <c r="T327" s="391"/>
      <c r="U327" s="749"/>
      <c r="V327" s="391"/>
      <c r="W327" s="749">
        <v>802142133</v>
      </c>
      <c r="X327" s="378"/>
      <c r="Y327" s="180"/>
      <c r="Z327" s="180"/>
      <c r="AA327" s="180"/>
      <c r="AB327" s="180"/>
    </row>
    <row r="328" spans="1:28" s="203" customFormat="1">
      <c r="A328" s="631"/>
      <c r="B328" s="389" t="s">
        <v>14</v>
      </c>
      <c r="C328" s="392">
        <v>294852558</v>
      </c>
      <c r="D328" s="392">
        <v>285864969</v>
      </c>
      <c r="E328" s="392"/>
      <c r="F328" s="392">
        <v>59977432</v>
      </c>
      <c r="G328" s="392">
        <v>18019223</v>
      </c>
      <c r="H328" s="392"/>
      <c r="I328" s="750">
        <v>658714182</v>
      </c>
      <c r="J328" s="392"/>
      <c r="K328" s="392">
        <v>91704664</v>
      </c>
      <c r="L328" s="392">
        <v>90810017</v>
      </c>
      <c r="M328" s="392">
        <v>10479618</v>
      </c>
      <c r="N328" s="392"/>
      <c r="O328" s="750">
        <v>192994299</v>
      </c>
      <c r="P328" s="392"/>
      <c r="Q328" s="392"/>
      <c r="R328" s="392"/>
      <c r="S328" s="750"/>
      <c r="T328" s="392"/>
      <c r="U328" s="750"/>
      <c r="V328" s="392"/>
      <c r="W328" s="750">
        <v>851708481</v>
      </c>
      <c r="X328" s="378"/>
      <c r="Y328" s="180"/>
      <c r="Z328" s="180"/>
      <c r="AA328" s="180"/>
      <c r="AB328" s="180"/>
    </row>
    <row r="329" spans="1:28" s="202" customFormat="1">
      <c r="A329" s="631"/>
      <c r="B329" s="634" t="s">
        <v>247</v>
      </c>
      <c r="C329" s="466">
        <v>5.70004514645108</v>
      </c>
      <c r="D329" s="466">
        <v>12.152065749549472</v>
      </c>
      <c r="E329" s="466">
        <v>0</v>
      </c>
      <c r="F329" s="466">
        <v>-1.3315416295574796</v>
      </c>
      <c r="G329" s="466">
        <v>-1.4169867606933124</v>
      </c>
      <c r="H329" s="466">
        <v>0</v>
      </c>
      <c r="I329" s="751">
        <v>7.473630577828434</v>
      </c>
      <c r="J329" s="466">
        <v>0</v>
      </c>
      <c r="K329" s="466">
        <v>6.2215278959163509</v>
      </c>
      <c r="L329" s="466">
        <v>-1.3528571573670398</v>
      </c>
      <c r="M329" s="466">
        <v>-3.3745457147261821</v>
      </c>
      <c r="N329" s="466">
        <v>0</v>
      </c>
      <c r="O329" s="751">
        <v>1.9868949838456971</v>
      </c>
      <c r="P329" s="466">
        <v>0</v>
      </c>
      <c r="Q329" s="466">
        <v>0</v>
      </c>
      <c r="R329" s="466">
        <v>0</v>
      </c>
      <c r="S329" s="751">
        <v>0</v>
      </c>
      <c r="T329" s="466">
        <v>0</v>
      </c>
      <c r="U329" s="751">
        <v>0</v>
      </c>
      <c r="V329" s="466">
        <v>0</v>
      </c>
      <c r="W329" s="751">
        <v>6.1792475374186582</v>
      </c>
      <c r="X329" s="378"/>
      <c r="Y329" s="180"/>
      <c r="Z329" s="180"/>
      <c r="AA329" s="180"/>
      <c r="AB329" s="180"/>
    </row>
    <row r="330" spans="1:28">
      <c r="A330" s="631"/>
      <c r="B330" s="388" t="s">
        <v>225</v>
      </c>
      <c r="C330" s="391"/>
      <c r="D330" s="391"/>
      <c r="E330" s="391"/>
      <c r="F330" s="391"/>
      <c r="G330" s="391"/>
      <c r="H330" s="391"/>
      <c r="I330" s="749"/>
      <c r="J330" s="391"/>
      <c r="K330" s="391"/>
      <c r="L330" s="391"/>
      <c r="M330" s="391"/>
      <c r="N330" s="391"/>
      <c r="O330" s="749"/>
      <c r="P330" s="391"/>
      <c r="Q330" s="391"/>
      <c r="R330" s="391"/>
      <c r="S330" s="749"/>
      <c r="T330" s="391"/>
      <c r="U330" s="749"/>
      <c r="V330" s="391"/>
      <c r="W330" s="749"/>
      <c r="X330" s="378"/>
      <c r="Y330" s="180"/>
      <c r="Z330" s="180"/>
      <c r="AA330" s="180"/>
      <c r="AB330" s="180"/>
    </row>
    <row r="331" spans="1:28" s="203" customFormat="1">
      <c r="A331" s="631"/>
      <c r="B331" s="389" t="s">
        <v>166</v>
      </c>
      <c r="C331" s="392"/>
      <c r="D331" s="392"/>
      <c r="E331" s="392"/>
      <c r="F331" s="392"/>
      <c r="G331" s="392"/>
      <c r="H331" s="392"/>
      <c r="I331" s="750"/>
      <c r="J331" s="392"/>
      <c r="K331" s="392"/>
      <c r="L331" s="392"/>
      <c r="M331" s="392"/>
      <c r="N331" s="392"/>
      <c r="O331" s="750"/>
      <c r="P331" s="392"/>
      <c r="Q331" s="392"/>
      <c r="R331" s="392"/>
      <c r="S331" s="750"/>
      <c r="T331" s="392"/>
      <c r="U331" s="750"/>
      <c r="V331" s="392"/>
      <c r="W331" s="750"/>
      <c r="X331" s="378"/>
      <c r="Y331" s="180"/>
      <c r="Z331" s="180"/>
      <c r="AA331" s="180"/>
      <c r="AB331" s="180"/>
    </row>
    <row r="332" spans="1:28" s="202" customFormat="1">
      <c r="A332" s="631"/>
      <c r="B332" s="634" t="s">
        <v>175</v>
      </c>
      <c r="C332" s="466">
        <v>0</v>
      </c>
      <c r="D332" s="466">
        <v>0</v>
      </c>
      <c r="E332" s="466">
        <v>0</v>
      </c>
      <c r="F332" s="466">
        <v>0</v>
      </c>
      <c r="G332" s="466">
        <v>0</v>
      </c>
      <c r="H332" s="466">
        <v>0</v>
      </c>
      <c r="I332" s="751">
        <v>0</v>
      </c>
      <c r="J332" s="466">
        <v>0</v>
      </c>
      <c r="K332" s="466">
        <v>0</v>
      </c>
      <c r="L332" s="466">
        <v>0</v>
      </c>
      <c r="M332" s="466">
        <v>0</v>
      </c>
      <c r="N332" s="466">
        <v>0</v>
      </c>
      <c r="O332" s="751">
        <v>0</v>
      </c>
      <c r="P332" s="466">
        <v>0</v>
      </c>
      <c r="Q332" s="466">
        <v>0</v>
      </c>
      <c r="R332" s="466">
        <v>0</v>
      </c>
      <c r="S332" s="751">
        <v>0</v>
      </c>
      <c r="T332" s="466">
        <v>0</v>
      </c>
      <c r="U332" s="751">
        <v>0</v>
      </c>
      <c r="V332" s="466">
        <v>0</v>
      </c>
      <c r="W332" s="751">
        <v>0</v>
      </c>
      <c r="X332" s="378"/>
      <c r="Y332" s="180"/>
      <c r="Z332" s="180"/>
      <c r="AA332" s="180"/>
      <c r="AB332" s="180"/>
    </row>
    <row r="333" spans="1:28">
      <c r="A333" s="631"/>
      <c r="B333" s="752" t="s">
        <v>317</v>
      </c>
      <c r="C333" s="749">
        <v>278952159</v>
      </c>
      <c r="D333" s="749">
        <v>254890507</v>
      </c>
      <c r="E333" s="749"/>
      <c r="F333" s="749">
        <v>60786834</v>
      </c>
      <c r="G333" s="749">
        <v>18278223</v>
      </c>
      <c r="H333" s="749"/>
      <c r="I333" s="749">
        <v>612907723</v>
      </c>
      <c r="J333" s="749"/>
      <c r="K333" s="749">
        <v>86333407</v>
      </c>
      <c r="L333" s="749">
        <v>92055395</v>
      </c>
      <c r="M333" s="749">
        <v>10845608</v>
      </c>
      <c r="N333" s="749"/>
      <c r="O333" s="749">
        <v>189234410</v>
      </c>
      <c r="P333" s="749"/>
      <c r="Q333" s="749"/>
      <c r="R333" s="749"/>
      <c r="S333" s="749"/>
      <c r="T333" s="749">
        <v>0</v>
      </c>
      <c r="U333" s="749">
        <v>0</v>
      </c>
      <c r="V333" s="749">
        <v>0</v>
      </c>
      <c r="W333" s="749">
        <v>802142133</v>
      </c>
      <c r="X333" s="378"/>
      <c r="Y333" s="180"/>
      <c r="Z333" s="180"/>
      <c r="AA333" s="180"/>
      <c r="AB333" s="180"/>
    </row>
    <row r="334" spans="1:28" s="203" customFormat="1">
      <c r="A334" s="631"/>
      <c r="B334" s="753" t="s">
        <v>70</v>
      </c>
      <c r="C334" s="750">
        <v>294852558</v>
      </c>
      <c r="D334" s="750">
        <v>285864969</v>
      </c>
      <c r="E334" s="750"/>
      <c r="F334" s="750">
        <v>59977432</v>
      </c>
      <c r="G334" s="750">
        <v>18019223</v>
      </c>
      <c r="H334" s="750"/>
      <c r="I334" s="750">
        <v>658714182</v>
      </c>
      <c r="J334" s="750"/>
      <c r="K334" s="750">
        <v>91704664</v>
      </c>
      <c r="L334" s="750">
        <v>90810017</v>
      </c>
      <c r="M334" s="750">
        <v>10479618</v>
      </c>
      <c r="N334" s="750"/>
      <c r="O334" s="750">
        <v>192994299</v>
      </c>
      <c r="P334" s="750"/>
      <c r="Q334" s="750"/>
      <c r="R334" s="750"/>
      <c r="S334" s="750"/>
      <c r="T334" s="750">
        <v>0</v>
      </c>
      <c r="U334" s="750">
        <v>0</v>
      </c>
      <c r="V334" s="750">
        <v>0</v>
      </c>
      <c r="W334" s="750">
        <v>851708481</v>
      </c>
      <c r="X334" s="378"/>
      <c r="Y334" s="180"/>
      <c r="Z334" s="180"/>
      <c r="AA334" s="180"/>
      <c r="AB334" s="180"/>
    </row>
    <row r="335" spans="1:28" s="202" customFormat="1">
      <c r="A335" s="631"/>
      <c r="B335" s="754" t="s">
        <v>57</v>
      </c>
      <c r="C335" s="751">
        <v>5.70004514645108</v>
      </c>
      <c r="D335" s="751">
        <v>12.152065749549472</v>
      </c>
      <c r="E335" s="751">
        <v>0</v>
      </c>
      <c r="F335" s="751">
        <v>-1.3315416295574796</v>
      </c>
      <c r="G335" s="751">
        <v>-1.4169867606933124</v>
      </c>
      <c r="H335" s="751">
        <v>0</v>
      </c>
      <c r="I335" s="751">
        <v>7.473630577828434</v>
      </c>
      <c r="J335" s="751">
        <v>0</v>
      </c>
      <c r="K335" s="751">
        <v>6.2215278959163509</v>
      </c>
      <c r="L335" s="751">
        <v>-1.3528571573670398</v>
      </c>
      <c r="M335" s="751">
        <v>-3.3745457147261821</v>
      </c>
      <c r="N335" s="751">
        <v>0</v>
      </c>
      <c r="O335" s="751">
        <v>1.9868949838456971</v>
      </c>
      <c r="P335" s="751">
        <v>0</v>
      </c>
      <c r="Q335" s="751">
        <v>0</v>
      </c>
      <c r="R335" s="751">
        <v>0</v>
      </c>
      <c r="S335" s="751">
        <v>0</v>
      </c>
      <c r="T335" s="751">
        <v>0</v>
      </c>
      <c r="U335" s="751">
        <v>0</v>
      </c>
      <c r="V335" s="751">
        <v>0</v>
      </c>
      <c r="W335" s="751">
        <v>6.1792475374186582</v>
      </c>
      <c r="X335" s="378"/>
      <c r="Y335" s="180"/>
      <c r="Z335" s="180"/>
      <c r="AA335" s="180"/>
      <c r="AB335" s="180"/>
    </row>
    <row r="336" spans="1:28">
      <c r="A336" s="631"/>
      <c r="B336" s="388" t="s">
        <v>72</v>
      </c>
      <c r="C336" s="391"/>
      <c r="D336" s="391"/>
      <c r="E336" s="391"/>
      <c r="F336" s="391"/>
      <c r="G336" s="391"/>
      <c r="H336" s="391"/>
      <c r="I336" s="749"/>
      <c r="J336" s="391"/>
      <c r="K336" s="391"/>
      <c r="L336" s="391"/>
      <c r="M336" s="391"/>
      <c r="N336" s="391"/>
      <c r="O336" s="749"/>
      <c r="P336" s="391"/>
      <c r="Q336" s="391"/>
      <c r="R336" s="391"/>
      <c r="S336" s="749"/>
      <c r="T336" s="391"/>
      <c r="U336" s="749"/>
      <c r="V336" s="391">
        <v>46319956</v>
      </c>
      <c r="W336" s="749">
        <v>46319956</v>
      </c>
      <c r="X336" s="378"/>
      <c r="Y336" s="180"/>
      <c r="Z336" s="180"/>
      <c r="AA336" s="180"/>
      <c r="AB336" s="180"/>
    </row>
    <row r="337" spans="1:28" s="203" customFormat="1">
      <c r="A337" s="631"/>
      <c r="B337" s="389" t="s">
        <v>74</v>
      </c>
      <c r="C337" s="392"/>
      <c r="D337" s="392"/>
      <c r="E337" s="392"/>
      <c r="F337" s="392"/>
      <c r="G337" s="392"/>
      <c r="H337" s="392"/>
      <c r="I337" s="750"/>
      <c r="J337" s="392"/>
      <c r="K337" s="392"/>
      <c r="L337" s="392"/>
      <c r="M337" s="392"/>
      <c r="N337" s="392"/>
      <c r="O337" s="750"/>
      <c r="P337" s="392"/>
      <c r="Q337" s="392"/>
      <c r="R337" s="392"/>
      <c r="S337" s="750"/>
      <c r="T337" s="392"/>
      <c r="U337" s="750"/>
      <c r="V337" s="392">
        <v>50215834.32</v>
      </c>
      <c r="W337" s="750">
        <v>50215834.32</v>
      </c>
      <c r="X337" s="378"/>
      <c r="Y337" s="180"/>
      <c r="Z337" s="180"/>
      <c r="AA337" s="180"/>
      <c r="AB337" s="180"/>
    </row>
    <row r="338" spans="1:28" s="202" customFormat="1">
      <c r="A338" s="631"/>
      <c r="B338" s="634" t="s">
        <v>76</v>
      </c>
      <c r="C338" s="466">
        <v>0</v>
      </c>
      <c r="D338" s="466">
        <v>0</v>
      </c>
      <c r="E338" s="466">
        <v>0</v>
      </c>
      <c r="F338" s="466">
        <v>0</v>
      </c>
      <c r="G338" s="466">
        <v>0</v>
      </c>
      <c r="H338" s="466">
        <v>0</v>
      </c>
      <c r="I338" s="751">
        <v>0</v>
      </c>
      <c r="J338" s="466">
        <v>0</v>
      </c>
      <c r="K338" s="466">
        <v>0</v>
      </c>
      <c r="L338" s="466">
        <v>0</v>
      </c>
      <c r="M338" s="466">
        <v>0</v>
      </c>
      <c r="N338" s="466">
        <v>0</v>
      </c>
      <c r="O338" s="751">
        <v>0</v>
      </c>
      <c r="P338" s="466">
        <v>0</v>
      </c>
      <c r="Q338" s="466">
        <v>0</v>
      </c>
      <c r="R338" s="466">
        <v>0</v>
      </c>
      <c r="S338" s="751">
        <v>0</v>
      </c>
      <c r="T338" s="466">
        <v>0</v>
      </c>
      <c r="U338" s="751">
        <v>0</v>
      </c>
      <c r="V338" s="466">
        <v>8.4107988358192749</v>
      </c>
      <c r="W338" s="751">
        <v>8.4107988358192749</v>
      </c>
      <c r="X338" s="378"/>
      <c r="Y338" s="180"/>
      <c r="Z338" s="180"/>
      <c r="AA338" s="180"/>
      <c r="AB338" s="180"/>
    </row>
    <row r="339" spans="1:28">
      <c r="A339" s="631"/>
      <c r="B339" s="388" t="s">
        <v>240</v>
      </c>
      <c r="C339" s="391"/>
      <c r="D339" s="391"/>
      <c r="E339" s="391"/>
      <c r="F339" s="391"/>
      <c r="G339" s="391"/>
      <c r="H339" s="391"/>
      <c r="I339" s="749"/>
      <c r="J339" s="391"/>
      <c r="K339" s="391"/>
      <c r="L339" s="391"/>
      <c r="M339" s="391"/>
      <c r="N339" s="391"/>
      <c r="O339" s="749"/>
      <c r="P339" s="391"/>
      <c r="Q339" s="391"/>
      <c r="R339" s="391"/>
      <c r="S339" s="749"/>
      <c r="T339" s="391"/>
      <c r="U339" s="749"/>
      <c r="V339" s="391"/>
      <c r="W339" s="749"/>
      <c r="X339" s="378"/>
      <c r="Y339" s="180"/>
      <c r="Z339" s="180"/>
      <c r="AA339" s="180"/>
      <c r="AB339" s="180"/>
    </row>
    <row r="340" spans="1:28" s="203" customFormat="1">
      <c r="A340" s="631"/>
      <c r="B340" s="389" t="s">
        <v>163</v>
      </c>
      <c r="C340" s="392"/>
      <c r="D340" s="392"/>
      <c r="E340" s="392"/>
      <c r="F340" s="392"/>
      <c r="G340" s="392"/>
      <c r="H340" s="392"/>
      <c r="I340" s="750"/>
      <c r="J340" s="392"/>
      <c r="K340" s="392"/>
      <c r="L340" s="392"/>
      <c r="M340" s="392"/>
      <c r="N340" s="392"/>
      <c r="O340" s="750"/>
      <c r="P340" s="392"/>
      <c r="Q340" s="392"/>
      <c r="R340" s="392"/>
      <c r="S340" s="750"/>
      <c r="T340" s="392"/>
      <c r="U340" s="750"/>
      <c r="V340" s="392"/>
      <c r="W340" s="750"/>
      <c r="X340" s="378"/>
      <c r="Y340" s="180"/>
      <c r="Z340" s="180"/>
      <c r="AA340" s="180"/>
      <c r="AB340" s="180"/>
    </row>
    <row r="341" spans="1:28" s="202" customFormat="1">
      <c r="A341" s="631"/>
      <c r="B341" s="634" t="s">
        <v>59</v>
      </c>
      <c r="C341" s="466">
        <v>0</v>
      </c>
      <c r="D341" s="466">
        <v>0</v>
      </c>
      <c r="E341" s="466">
        <v>0</v>
      </c>
      <c r="F341" s="466">
        <v>0</v>
      </c>
      <c r="G341" s="466">
        <v>0</v>
      </c>
      <c r="H341" s="466">
        <v>0</v>
      </c>
      <c r="I341" s="751">
        <v>0</v>
      </c>
      <c r="J341" s="466">
        <v>0</v>
      </c>
      <c r="K341" s="466">
        <v>0</v>
      </c>
      <c r="L341" s="466">
        <v>0</v>
      </c>
      <c r="M341" s="466">
        <v>0</v>
      </c>
      <c r="N341" s="466">
        <v>0</v>
      </c>
      <c r="O341" s="751">
        <v>0</v>
      </c>
      <c r="P341" s="466">
        <v>0</v>
      </c>
      <c r="Q341" s="466">
        <v>0</v>
      </c>
      <c r="R341" s="466">
        <v>0</v>
      </c>
      <c r="S341" s="751">
        <v>0</v>
      </c>
      <c r="T341" s="466">
        <v>0</v>
      </c>
      <c r="U341" s="751">
        <v>0</v>
      </c>
      <c r="V341" s="466">
        <v>0</v>
      </c>
      <c r="W341" s="751">
        <v>0</v>
      </c>
      <c r="X341" s="378"/>
      <c r="Y341" s="180"/>
      <c r="Z341" s="180"/>
      <c r="AA341" s="180"/>
      <c r="AB341" s="180"/>
    </row>
    <row r="342" spans="1:28">
      <c r="A342" s="631"/>
      <c r="B342" s="388" t="s">
        <v>159</v>
      </c>
      <c r="C342" s="391"/>
      <c r="D342" s="391"/>
      <c r="E342" s="391"/>
      <c r="F342" s="391"/>
      <c r="G342" s="391"/>
      <c r="H342" s="391"/>
      <c r="I342" s="749"/>
      <c r="J342" s="391"/>
      <c r="K342" s="391"/>
      <c r="L342" s="391"/>
      <c r="M342" s="391"/>
      <c r="N342" s="391"/>
      <c r="O342" s="749"/>
      <c r="P342" s="391"/>
      <c r="Q342" s="391"/>
      <c r="R342" s="391"/>
      <c r="S342" s="749"/>
      <c r="T342" s="391"/>
      <c r="U342" s="749"/>
      <c r="V342" s="391"/>
      <c r="W342" s="749"/>
      <c r="X342" s="378"/>
      <c r="Y342" s="180"/>
      <c r="Z342" s="180"/>
      <c r="AA342" s="180"/>
      <c r="AB342" s="180"/>
    </row>
    <row r="343" spans="1:28" s="203" customFormat="1">
      <c r="A343" s="631"/>
      <c r="B343" s="389" t="s">
        <v>100</v>
      </c>
      <c r="C343" s="392"/>
      <c r="D343" s="392"/>
      <c r="E343" s="392"/>
      <c r="F343" s="392"/>
      <c r="G343" s="392"/>
      <c r="H343" s="392"/>
      <c r="I343" s="750"/>
      <c r="J343" s="392"/>
      <c r="K343" s="392"/>
      <c r="L343" s="392"/>
      <c r="M343" s="392"/>
      <c r="N343" s="392"/>
      <c r="O343" s="750"/>
      <c r="P343" s="392"/>
      <c r="Q343" s="392"/>
      <c r="R343" s="392"/>
      <c r="S343" s="750"/>
      <c r="T343" s="392"/>
      <c r="U343" s="750"/>
      <c r="V343" s="392"/>
      <c r="W343" s="750"/>
      <c r="X343" s="378"/>
      <c r="Y343" s="180"/>
      <c r="Z343" s="180"/>
      <c r="AA343" s="180"/>
      <c r="AB343" s="180"/>
    </row>
    <row r="344" spans="1:28" s="202" customFormat="1">
      <c r="A344" s="631"/>
      <c r="B344" s="634" t="s">
        <v>110</v>
      </c>
      <c r="C344" s="466">
        <v>0</v>
      </c>
      <c r="D344" s="466">
        <v>0</v>
      </c>
      <c r="E344" s="466">
        <v>0</v>
      </c>
      <c r="F344" s="466">
        <v>0</v>
      </c>
      <c r="G344" s="466">
        <v>0</v>
      </c>
      <c r="H344" s="466">
        <v>0</v>
      </c>
      <c r="I344" s="751">
        <v>0</v>
      </c>
      <c r="J344" s="466">
        <v>0</v>
      </c>
      <c r="K344" s="466">
        <v>0</v>
      </c>
      <c r="L344" s="466">
        <v>0</v>
      </c>
      <c r="M344" s="466">
        <v>0</v>
      </c>
      <c r="N344" s="466">
        <v>0</v>
      </c>
      <c r="O344" s="751">
        <v>0</v>
      </c>
      <c r="P344" s="466">
        <v>0</v>
      </c>
      <c r="Q344" s="466">
        <v>0</v>
      </c>
      <c r="R344" s="466">
        <v>0</v>
      </c>
      <c r="S344" s="751">
        <v>0</v>
      </c>
      <c r="T344" s="466">
        <v>0</v>
      </c>
      <c r="U344" s="751">
        <v>0</v>
      </c>
      <c r="V344" s="466">
        <v>0</v>
      </c>
      <c r="W344" s="751">
        <v>0</v>
      </c>
      <c r="X344" s="378"/>
      <c r="Y344" s="180"/>
      <c r="Z344" s="180"/>
      <c r="AA344" s="180"/>
      <c r="AB344" s="180"/>
    </row>
    <row r="345" spans="1:28">
      <c r="A345" s="631"/>
      <c r="B345" s="388" t="s">
        <v>161</v>
      </c>
      <c r="C345" s="391">
        <v>0</v>
      </c>
      <c r="D345" s="391">
        <v>0</v>
      </c>
      <c r="E345" s="391"/>
      <c r="F345" s="391">
        <v>0</v>
      </c>
      <c r="G345" s="391">
        <v>0</v>
      </c>
      <c r="H345" s="391"/>
      <c r="I345" s="749">
        <v>0</v>
      </c>
      <c r="J345" s="391"/>
      <c r="K345" s="391">
        <v>0</v>
      </c>
      <c r="L345" s="391">
        <v>0</v>
      </c>
      <c r="M345" s="391">
        <v>0</v>
      </c>
      <c r="N345" s="391"/>
      <c r="O345" s="749">
        <v>0</v>
      </c>
      <c r="P345" s="391"/>
      <c r="Q345" s="391"/>
      <c r="R345" s="391"/>
      <c r="S345" s="749"/>
      <c r="T345" s="391">
        <v>0</v>
      </c>
      <c r="U345" s="749">
        <v>0</v>
      </c>
      <c r="V345" s="391">
        <v>0</v>
      </c>
      <c r="W345" s="749">
        <v>0</v>
      </c>
      <c r="X345" s="378"/>
      <c r="Y345" s="180"/>
      <c r="Z345" s="180"/>
      <c r="AA345" s="180"/>
      <c r="AB345" s="180"/>
    </row>
    <row r="346" spans="1:28" s="203" customFormat="1">
      <c r="A346" s="631"/>
      <c r="B346" s="389" t="s">
        <v>102</v>
      </c>
      <c r="C346" s="392">
        <v>0</v>
      </c>
      <c r="D346" s="392">
        <v>0</v>
      </c>
      <c r="E346" s="392"/>
      <c r="F346" s="392">
        <v>0</v>
      </c>
      <c r="G346" s="392">
        <v>0</v>
      </c>
      <c r="H346" s="392"/>
      <c r="I346" s="750">
        <v>0</v>
      </c>
      <c r="J346" s="392"/>
      <c r="K346" s="392">
        <v>0</v>
      </c>
      <c r="L346" s="392">
        <v>0</v>
      </c>
      <c r="M346" s="392">
        <v>0</v>
      </c>
      <c r="N346" s="392"/>
      <c r="O346" s="750">
        <v>0</v>
      </c>
      <c r="P346" s="392"/>
      <c r="Q346" s="392"/>
      <c r="R346" s="392"/>
      <c r="S346" s="750"/>
      <c r="T346" s="392">
        <v>0</v>
      </c>
      <c r="U346" s="750">
        <v>0</v>
      </c>
      <c r="V346" s="392">
        <v>0</v>
      </c>
      <c r="W346" s="750">
        <v>0</v>
      </c>
      <c r="X346" s="378"/>
      <c r="Y346" s="180"/>
      <c r="Z346" s="180"/>
      <c r="AA346" s="180"/>
      <c r="AB346" s="180"/>
    </row>
    <row r="347" spans="1:28" s="202" customFormat="1">
      <c r="A347" s="631"/>
      <c r="B347" s="634" t="s">
        <v>183</v>
      </c>
      <c r="C347" s="466">
        <v>0</v>
      </c>
      <c r="D347" s="466">
        <v>0</v>
      </c>
      <c r="E347" s="466">
        <v>0</v>
      </c>
      <c r="F347" s="466">
        <v>0</v>
      </c>
      <c r="G347" s="466">
        <v>0</v>
      </c>
      <c r="H347" s="466">
        <v>0</v>
      </c>
      <c r="I347" s="751">
        <v>0</v>
      </c>
      <c r="J347" s="466">
        <v>0</v>
      </c>
      <c r="K347" s="466">
        <v>0</v>
      </c>
      <c r="L347" s="466">
        <v>0</v>
      </c>
      <c r="M347" s="466">
        <v>0</v>
      </c>
      <c r="N347" s="466">
        <v>0</v>
      </c>
      <c r="O347" s="751">
        <v>0</v>
      </c>
      <c r="P347" s="466">
        <v>0</v>
      </c>
      <c r="Q347" s="466">
        <v>0</v>
      </c>
      <c r="R347" s="466">
        <v>0</v>
      </c>
      <c r="S347" s="751">
        <v>0</v>
      </c>
      <c r="T347" s="466">
        <v>0</v>
      </c>
      <c r="U347" s="751">
        <v>0</v>
      </c>
      <c r="V347" s="466">
        <v>0</v>
      </c>
      <c r="W347" s="751">
        <v>0</v>
      </c>
      <c r="X347" s="378"/>
      <c r="Y347" s="180"/>
      <c r="Z347" s="180"/>
      <c r="AA347" s="180"/>
      <c r="AB347" s="180"/>
    </row>
    <row r="348" spans="1:28">
      <c r="A348" s="631"/>
      <c r="B348" s="388" t="s">
        <v>78</v>
      </c>
      <c r="C348" s="391">
        <v>17291269</v>
      </c>
      <c r="D348" s="391"/>
      <c r="E348" s="391"/>
      <c r="F348" s="391"/>
      <c r="G348" s="391"/>
      <c r="H348" s="391"/>
      <c r="I348" s="749">
        <v>17291269</v>
      </c>
      <c r="J348" s="391"/>
      <c r="K348" s="391"/>
      <c r="L348" s="391"/>
      <c r="M348" s="391"/>
      <c r="N348" s="391"/>
      <c r="O348" s="749"/>
      <c r="P348" s="391"/>
      <c r="Q348" s="391"/>
      <c r="R348" s="391"/>
      <c r="S348" s="749"/>
      <c r="T348" s="391">
        <v>185718612</v>
      </c>
      <c r="U348" s="749">
        <v>185718612</v>
      </c>
      <c r="V348" s="391"/>
      <c r="W348" s="749">
        <v>203009881</v>
      </c>
      <c r="X348" s="378"/>
      <c r="Y348" s="180"/>
      <c r="Z348" s="180"/>
      <c r="AA348" s="180"/>
      <c r="AB348" s="180"/>
    </row>
    <row r="349" spans="1:28" s="203" customFormat="1">
      <c r="A349" s="631"/>
      <c r="B349" s="389" t="s">
        <v>80</v>
      </c>
      <c r="C349" s="392">
        <v>18155832</v>
      </c>
      <c r="D349" s="392"/>
      <c r="E349" s="392"/>
      <c r="F349" s="392"/>
      <c r="G349" s="392"/>
      <c r="H349" s="392"/>
      <c r="I349" s="750">
        <v>18155832</v>
      </c>
      <c r="J349" s="392"/>
      <c r="K349" s="392"/>
      <c r="L349" s="392"/>
      <c r="M349" s="392"/>
      <c r="N349" s="392"/>
      <c r="O349" s="750"/>
      <c r="P349" s="392"/>
      <c r="Q349" s="392"/>
      <c r="R349" s="392"/>
      <c r="S349" s="750"/>
      <c r="T349" s="392">
        <v>187918612</v>
      </c>
      <c r="U349" s="750">
        <v>187918612</v>
      </c>
      <c r="V349" s="392"/>
      <c r="W349" s="750">
        <v>206074444</v>
      </c>
      <c r="X349" s="378"/>
      <c r="Y349" s="180"/>
      <c r="Z349" s="180"/>
      <c r="AA349" s="180"/>
      <c r="AB349" s="180"/>
    </row>
    <row r="350" spans="1:28" s="202" customFormat="1">
      <c r="A350" s="631"/>
      <c r="B350" s="634" t="s">
        <v>215</v>
      </c>
      <c r="C350" s="466">
        <v>4.9999973975305112</v>
      </c>
      <c r="D350" s="466">
        <v>0</v>
      </c>
      <c r="E350" s="466">
        <v>0</v>
      </c>
      <c r="F350" s="466">
        <v>0</v>
      </c>
      <c r="G350" s="466">
        <v>0</v>
      </c>
      <c r="H350" s="466">
        <v>0</v>
      </c>
      <c r="I350" s="751">
        <v>4.9999973975305112</v>
      </c>
      <c r="J350" s="466">
        <v>0</v>
      </c>
      <c r="K350" s="466">
        <v>0</v>
      </c>
      <c r="L350" s="466">
        <v>0</v>
      </c>
      <c r="M350" s="466">
        <v>0</v>
      </c>
      <c r="N350" s="466">
        <v>0</v>
      </c>
      <c r="O350" s="751">
        <v>0</v>
      </c>
      <c r="P350" s="466">
        <v>0</v>
      </c>
      <c r="Q350" s="466">
        <v>0</v>
      </c>
      <c r="R350" s="466">
        <v>0</v>
      </c>
      <c r="S350" s="751">
        <v>0</v>
      </c>
      <c r="T350" s="466">
        <v>1.1845877891872247</v>
      </c>
      <c r="U350" s="751">
        <v>1.1845877891872247</v>
      </c>
      <c r="V350" s="466">
        <v>0</v>
      </c>
      <c r="W350" s="751">
        <v>1.5095634679969101</v>
      </c>
      <c r="X350" s="378"/>
      <c r="Y350" s="180"/>
      <c r="Z350" s="180"/>
      <c r="AA350" s="180"/>
      <c r="AB350" s="180"/>
    </row>
    <row r="351" spans="1:28">
      <c r="A351" s="631"/>
      <c r="B351" s="388" t="s">
        <v>81</v>
      </c>
      <c r="C351" s="391">
        <v>9900000</v>
      </c>
      <c r="D351" s="391"/>
      <c r="E351" s="391"/>
      <c r="F351" s="391"/>
      <c r="G351" s="391"/>
      <c r="H351" s="391"/>
      <c r="I351" s="749">
        <v>9900000</v>
      </c>
      <c r="J351" s="391"/>
      <c r="K351" s="391"/>
      <c r="L351" s="391"/>
      <c r="M351" s="391"/>
      <c r="N351" s="391"/>
      <c r="O351" s="749"/>
      <c r="P351" s="391"/>
      <c r="Q351" s="391"/>
      <c r="R351" s="391"/>
      <c r="S351" s="749"/>
      <c r="T351" s="391">
        <v>27320057</v>
      </c>
      <c r="U351" s="749">
        <v>27320057</v>
      </c>
      <c r="V351" s="391"/>
      <c r="W351" s="749">
        <v>37220057</v>
      </c>
      <c r="X351" s="378"/>
      <c r="Y351" s="180"/>
      <c r="Z351" s="180"/>
      <c r="AA351" s="180"/>
      <c r="AB351" s="180"/>
    </row>
    <row r="352" spans="1:28" s="203" customFormat="1">
      <c r="A352" s="631"/>
      <c r="B352" s="389" t="s">
        <v>318</v>
      </c>
      <c r="C352" s="392">
        <v>10100000</v>
      </c>
      <c r="D352" s="392"/>
      <c r="E352" s="392"/>
      <c r="F352" s="392"/>
      <c r="G352" s="392"/>
      <c r="H352" s="392"/>
      <c r="I352" s="750">
        <v>10100000</v>
      </c>
      <c r="J352" s="392"/>
      <c r="K352" s="392"/>
      <c r="L352" s="392"/>
      <c r="M352" s="392"/>
      <c r="N352" s="392"/>
      <c r="O352" s="750"/>
      <c r="P352" s="392"/>
      <c r="Q352" s="392"/>
      <c r="R352" s="392"/>
      <c r="S352" s="750"/>
      <c r="T352" s="392">
        <v>28181171</v>
      </c>
      <c r="U352" s="750">
        <v>28181171</v>
      </c>
      <c r="V352" s="392"/>
      <c r="W352" s="750">
        <v>38281171</v>
      </c>
      <c r="X352" s="378"/>
      <c r="Y352" s="180"/>
      <c r="Z352" s="180"/>
      <c r="AA352" s="180"/>
      <c r="AB352" s="180"/>
    </row>
    <row r="353" spans="1:28" s="202" customFormat="1">
      <c r="A353" s="631"/>
      <c r="B353" s="634" t="s">
        <v>236</v>
      </c>
      <c r="C353" s="466">
        <v>2.0202020202020203</v>
      </c>
      <c r="D353" s="466">
        <v>0</v>
      </c>
      <c r="E353" s="466">
        <v>0</v>
      </c>
      <c r="F353" s="466">
        <v>0</v>
      </c>
      <c r="G353" s="466">
        <v>0</v>
      </c>
      <c r="H353" s="466">
        <v>0</v>
      </c>
      <c r="I353" s="751">
        <v>2.0202020202020203</v>
      </c>
      <c r="J353" s="466">
        <v>0</v>
      </c>
      <c r="K353" s="466">
        <v>0</v>
      </c>
      <c r="L353" s="466">
        <v>0</v>
      </c>
      <c r="M353" s="466">
        <v>0</v>
      </c>
      <c r="N353" s="466">
        <v>0</v>
      </c>
      <c r="O353" s="751">
        <v>0</v>
      </c>
      <c r="P353" s="466">
        <v>0</v>
      </c>
      <c r="Q353" s="466">
        <v>0</v>
      </c>
      <c r="R353" s="466">
        <v>0</v>
      </c>
      <c r="S353" s="751">
        <v>0</v>
      </c>
      <c r="T353" s="466">
        <v>3.1519480358331609</v>
      </c>
      <c r="U353" s="751">
        <v>3.1519480358331609</v>
      </c>
      <c r="V353" s="466">
        <v>0</v>
      </c>
      <c r="W353" s="751">
        <v>2.8509198682849948</v>
      </c>
      <c r="X353" s="378"/>
      <c r="Y353" s="180"/>
      <c r="Z353" s="180"/>
      <c r="AA353" s="180"/>
      <c r="AB353" s="180"/>
    </row>
    <row r="354" spans="1:28">
      <c r="A354" s="631"/>
      <c r="B354" s="388" t="s">
        <v>19</v>
      </c>
      <c r="C354" s="391">
        <v>521333543</v>
      </c>
      <c r="D354" s="391">
        <v>389495261</v>
      </c>
      <c r="E354" s="391"/>
      <c r="F354" s="391">
        <v>130634785</v>
      </c>
      <c r="G354" s="391">
        <v>33627396</v>
      </c>
      <c r="H354" s="391"/>
      <c r="I354" s="749">
        <v>1075090985</v>
      </c>
      <c r="J354" s="391"/>
      <c r="K354" s="391">
        <v>228632012.46000001</v>
      </c>
      <c r="L354" s="391">
        <v>242939835.44</v>
      </c>
      <c r="M354" s="391">
        <v>32672176.66</v>
      </c>
      <c r="N354" s="391"/>
      <c r="O354" s="749">
        <v>504244024.56</v>
      </c>
      <c r="P354" s="391"/>
      <c r="Q354" s="391"/>
      <c r="R354" s="391"/>
      <c r="S354" s="749"/>
      <c r="T354" s="391">
        <v>0</v>
      </c>
      <c r="U354" s="749">
        <v>0</v>
      </c>
      <c r="V354" s="391">
        <v>6941891.1600000001</v>
      </c>
      <c r="W354" s="749">
        <v>1586276900.7200003</v>
      </c>
      <c r="X354" s="378"/>
      <c r="Y354" s="180"/>
      <c r="Z354" s="180"/>
      <c r="AA354" s="180"/>
      <c r="AB354" s="180"/>
    </row>
    <row r="355" spans="1:28" s="203" customFormat="1">
      <c r="A355" s="631"/>
      <c r="B355" s="389" t="s">
        <v>21</v>
      </c>
      <c r="C355" s="392">
        <v>547531642</v>
      </c>
      <c r="D355" s="392">
        <v>435045301</v>
      </c>
      <c r="E355" s="392"/>
      <c r="F355" s="392">
        <v>130708073</v>
      </c>
      <c r="G355" s="392">
        <v>35178735</v>
      </c>
      <c r="H355" s="392"/>
      <c r="I355" s="750">
        <v>1148463751</v>
      </c>
      <c r="J355" s="392"/>
      <c r="K355" s="392">
        <v>240259672</v>
      </c>
      <c r="L355" s="392">
        <v>246955447</v>
      </c>
      <c r="M355" s="392">
        <v>32988911</v>
      </c>
      <c r="N355" s="392"/>
      <c r="O355" s="750">
        <v>520204030</v>
      </c>
      <c r="P355" s="392"/>
      <c r="Q355" s="392"/>
      <c r="R355" s="392"/>
      <c r="S355" s="750"/>
      <c r="T355" s="392">
        <v>0</v>
      </c>
      <c r="U355" s="750">
        <v>0</v>
      </c>
      <c r="V355" s="392">
        <v>9142442.3000000007</v>
      </c>
      <c r="W355" s="750">
        <v>1677810223.3</v>
      </c>
      <c r="X355" s="378"/>
      <c r="Y355" s="180"/>
      <c r="Z355" s="180"/>
      <c r="AA355" s="180"/>
      <c r="AB355" s="180"/>
    </row>
    <row r="356" spans="1:28" s="212" customFormat="1" ht="13.5" thickBot="1">
      <c r="A356" s="635"/>
      <c r="B356" s="761" t="s">
        <v>23</v>
      </c>
      <c r="C356" s="762">
        <v>5.0252087846187177</v>
      </c>
      <c r="D356" s="1462">
        <v>11.694632659471562</v>
      </c>
      <c r="E356" s="762">
        <v>0</v>
      </c>
      <c r="F356" s="762">
        <v>5.6101443424888701E-2</v>
      </c>
      <c r="G356" s="762">
        <v>4.6133188546624311</v>
      </c>
      <c r="H356" s="762">
        <v>0</v>
      </c>
      <c r="I356" s="763">
        <v>6.824795949712108</v>
      </c>
      <c r="J356" s="762">
        <v>0</v>
      </c>
      <c r="K356" s="762">
        <v>5.0857530469554399</v>
      </c>
      <c r="L356" s="762">
        <v>1.6529242940858735</v>
      </c>
      <c r="M356" s="762">
        <v>0.96943140120741444</v>
      </c>
      <c r="N356" s="762">
        <v>0</v>
      </c>
      <c r="O356" s="763">
        <v>3.1651352644042792</v>
      </c>
      <c r="P356" s="762">
        <v>0</v>
      </c>
      <c r="Q356" s="762">
        <v>0</v>
      </c>
      <c r="R356" s="762">
        <v>0</v>
      </c>
      <c r="S356" s="763">
        <v>0</v>
      </c>
      <c r="T356" s="762">
        <v>0</v>
      </c>
      <c r="U356" s="763">
        <v>0</v>
      </c>
      <c r="V356" s="762">
        <v>31.699591498637105</v>
      </c>
      <c r="W356" s="763">
        <v>5.7703243701306706</v>
      </c>
      <c r="X356" s="378"/>
      <c r="Y356" s="180"/>
      <c r="Z356" s="180"/>
      <c r="AA356" s="180"/>
      <c r="AB356" s="180"/>
    </row>
    <row r="357" spans="1:28" ht="13.5" thickTop="1">
      <c r="A357" s="230" t="s">
        <v>153</v>
      </c>
      <c r="B357" s="764" t="s">
        <v>190</v>
      </c>
      <c r="C357" s="765">
        <v>942603065</v>
      </c>
      <c r="D357" s="765">
        <v>209537768</v>
      </c>
      <c r="E357" s="765">
        <v>477729206</v>
      </c>
      <c r="F357" s="765">
        <v>49422472</v>
      </c>
      <c r="G357" s="765">
        <v>118276403</v>
      </c>
      <c r="H357" s="765">
        <v>70059941</v>
      </c>
      <c r="I357" s="766">
        <v>1867628855</v>
      </c>
      <c r="J357" s="765"/>
      <c r="K357" s="765">
        <v>297373038</v>
      </c>
      <c r="L357" s="765">
        <v>296639249</v>
      </c>
      <c r="M357" s="765">
        <v>149855909</v>
      </c>
      <c r="N357" s="765"/>
      <c r="O357" s="766">
        <v>743868196</v>
      </c>
      <c r="P357" s="765"/>
      <c r="Q357" s="765"/>
      <c r="R357" s="765"/>
      <c r="S357" s="766"/>
      <c r="T357" s="765"/>
      <c r="U357" s="766"/>
      <c r="V357" s="765"/>
      <c r="W357" s="766">
        <v>2611497051</v>
      </c>
      <c r="X357" s="378"/>
      <c r="Y357" s="180"/>
      <c r="Z357" s="180"/>
      <c r="AA357" s="180"/>
      <c r="AB357" s="180"/>
    </row>
    <row r="358" spans="1:28" s="203" customFormat="1">
      <c r="A358" s="631"/>
      <c r="B358" s="389" t="s">
        <v>4</v>
      </c>
      <c r="C358" s="392">
        <v>944817713</v>
      </c>
      <c r="D358" s="392">
        <v>207925450</v>
      </c>
      <c r="E358" s="392">
        <v>486959563</v>
      </c>
      <c r="F358" s="392">
        <v>48633183</v>
      </c>
      <c r="G358" s="392">
        <v>118208808</v>
      </c>
      <c r="H358" s="392">
        <v>68362530</v>
      </c>
      <c r="I358" s="750">
        <v>1874907247</v>
      </c>
      <c r="J358" s="392"/>
      <c r="K358" s="392">
        <v>315310632</v>
      </c>
      <c r="L358" s="392">
        <v>307335801</v>
      </c>
      <c r="M358" s="392">
        <v>153852051</v>
      </c>
      <c r="N358" s="392"/>
      <c r="O358" s="750">
        <v>776498484</v>
      </c>
      <c r="P358" s="392"/>
      <c r="Q358" s="392"/>
      <c r="R358" s="392"/>
      <c r="S358" s="750"/>
      <c r="T358" s="392"/>
      <c r="U358" s="750"/>
      <c r="V358" s="392"/>
      <c r="W358" s="750">
        <v>2651405731</v>
      </c>
      <c r="X358" s="378"/>
      <c r="Y358" s="180"/>
      <c r="Z358" s="180"/>
      <c r="AA358" s="180"/>
      <c r="AB358" s="180"/>
    </row>
    <row r="359" spans="1:28" s="202" customFormat="1">
      <c r="A359" s="632"/>
      <c r="B359" s="634" t="s">
        <v>116</v>
      </c>
      <c r="C359" s="466">
        <v>0.23495022265814508</v>
      </c>
      <c r="D359" s="466">
        <v>-0.76946414738941005</v>
      </c>
      <c r="E359" s="466">
        <v>1.932131610140662</v>
      </c>
      <c r="F359" s="466">
        <v>-1.597024527627837</v>
      </c>
      <c r="G359" s="466">
        <v>-5.7150030171276012E-2</v>
      </c>
      <c r="H359" s="466">
        <v>-2.4227982150313259</v>
      </c>
      <c r="I359" s="751">
        <v>0.38971297645751996</v>
      </c>
      <c r="J359" s="466">
        <v>0</v>
      </c>
      <c r="K359" s="466">
        <v>6.0320176034250963</v>
      </c>
      <c r="L359" s="466">
        <v>3.6059125810421664</v>
      </c>
      <c r="M359" s="466">
        <v>2.6666562744616229</v>
      </c>
      <c r="N359" s="466">
        <v>0</v>
      </c>
      <c r="O359" s="751">
        <v>4.3865685044020895</v>
      </c>
      <c r="P359" s="466">
        <v>0</v>
      </c>
      <c r="Q359" s="466">
        <v>0</v>
      </c>
      <c r="R359" s="466">
        <v>0</v>
      </c>
      <c r="S359" s="751">
        <v>0</v>
      </c>
      <c r="T359" s="466">
        <v>0</v>
      </c>
      <c r="U359" s="751">
        <v>0</v>
      </c>
      <c r="V359" s="466">
        <v>0</v>
      </c>
      <c r="W359" s="751">
        <v>1.5281916548486274</v>
      </c>
      <c r="X359" s="378"/>
      <c r="Y359" s="180"/>
      <c r="Z359" s="180"/>
      <c r="AA359" s="180"/>
      <c r="AB359" s="180"/>
    </row>
    <row r="360" spans="1:28">
      <c r="A360" s="631"/>
      <c r="B360" s="388" t="s">
        <v>195</v>
      </c>
      <c r="C360" s="391">
        <v>90852874</v>
      </c>
      <c r="D360" s="391"/>
      <c r="E360" s="391"/>
      <c r="F360" s="391"/>
      <c r="G360" s="391"/>
      <c r="H360" s="391"/>
      <c r="I360" s="749">
        <v>90852874</v>
      </c>
      <c r="J360" s="391"/>
      <c r="K360" s="391">
        <v>45021415</v>
      </c>
      <c r="L360" s="391">
        <v>63405861</v>
      </c>
      <c r="M360" s="391">
        <v>36495926</v>
      </c>
      <c r="N360" s="391"/>
      <c r="O360" s="749">
        <v>144923202</v>
      </c>
      <c r="P360" s="391"/>
      <c r="Q360" s="391"/>
      <c r="R360" s="391"/>
      <c r="S360" s="749"/>
      <c r="T360" s="391"/>
      <c r="U360" s="749"/>
      <c r="V360" s="391">
        <v>52000016</v>
      </c>
      <c r="W360" s="749">
        <v>287776092</v>
      </c>
      <c r="X360" s="378"/>
      <c r="Y360" s="180"/>
      <c r="Z360" s="180"/>
      <c r="AA360" s="180"/>
      <c r="AB360" s="180"/>
    </row>
    <row r="361" spans="1:28" s="203" customFormat="1">
      <c r="A361" s="631"/>
      <c r="B361" s="389" t="s">
        <v>242</v>
      </c>
      <c r="C361" s="392">
        <v>91808065</v>
      </c>
      <c r="D361" s="392"/>
      <c r="E361" s="392"/>
      <c r="F361" s="392"/>
      <c r="G361" s="392"/>
      <c r="H361" s="392"/>
      <c r="I361" s="750">
        <v>91808065</v>
      </c>
      <c r="J361" s="392"/>
      <c r="K361" s="392">
        <v>45983053</v>
      </c>
      <c r="L361" s="392">
        <v>62122084</v>
      </c>
      <c r="M361" s="392">
        <v>35552169</v>
      </c>
      <c r="N361" s="392"/>
      <c r="O361" s="750">
        <v>143657306</v>
      </c>
      <c r="P361" s="392"/>
      <c r="Q361" s="392"/>
      <c r="R361" s="392"/>
      <c r="S361" s="750"/>
      <c r="T361" s="392"/>
      <c r="U361" s="750"/>
      <c r="V361" s="392">
        <v>68220695</v>
      </c>
      <c r="W361" s="750">
        <v>303686066</v>
      </c>
      <c r="X361" s="378"/>
      <c r="Y361" s="180"/>
      <c r="Z361" s="180"/>
      <c r="AA361" s="180"/>
      <c r="AB361" s="180"/>
    </row>
    <row r="362" spans="1:28" s="202" customFormat="1">
      <c r="A362" s="631"/>
      <c r="B362" s="634" t="s">
        <v>244</v>
      </c>
      <c r="C362" s="466">
        <v>1.0513602464573657</v>
      </c>
      <c r="D362" s="466">
        <v>0</v>
      </c>
      <c r="E362" s="466">
        <v>0</v>
      </c>
      <c r="F362" s="466">
        <v>0</v>
      </c>
      <c r="G362" s="466">
        <v>0</v>
      </c>
      <c r="H362" s="466">
        <v>0</v>
      </c>
      <c r="I362" s="751">
        <v>1.0513602464573657</v>
      </c>
      <c r="J362" s="466">
        <v>0</v>
      </c>
      <c r="K362" s="466">
        <v>2.1359568551987982</v>
      </c>
      <c r="L362" s="466">
        <v>-2.024697685281807</v>
      </c>
      <c r="M362" s="466">
        <v>-2.5859242480927871</v>
      </c>
      <c r="N362" s="466">
        <v>0</v>
      </c>
      <c r="O362" s="751">
        <v>-0.87349436289711568</v>
      </c>
      <c r="P362" s="466">
        <v>0</v>
      </c>
      <c r="Q362" s="466">
        <v>0</v>
      </c>
      <c r="R362" s="466">
        <v>0</v>
      </c>
      <c r="S362" s="751">
        <v>0</v>
      </c>
      <c r="T362" s="466">
        <v>0</v>
      </c>
      <c r="U362" s="751">
        <v>0</v>
      </c>
      <c r="V362" s="1461">
        <v>31.193603863506503</v>
      </c>
      <c r="W362" s="751">
        <v>5.5285947798610042</v>
      </c>
      <c r="X362" s="378"/>
      <c r="Y362" s="180"/>
      <c r="Z362" s="180"/>
      <c r="AA362" s="180"/>
      <c r="AB362" s="180"/>
    </row>
    <row r="363" spans="1:28">
      <c r="A363" s="631"/>
      <c r="B363" s="388" t="s">
        <v>5</v>
      </c>
      <c r="C363" s="391"/>
      <c r="D363" s="391"/>
      <c r="E363" s="391"/>
      <c r="F363" s="391"/>
      <c r="G363" s="391"/>
      <c r="H363" s="391"/>
      <c r="I363" s="749"/>
      <c r="J363" s="391"/>
      <c r="K363" s="391">
        <v>104645461</v>
      </c>
      <c r="L363" s="391">
        <v>75303476</v>
      </c>
      <c r="M363" s="391">
        <v>39960121</v>
      </c>
      <c r="N363" s="391"/>
      <c r="O363" s="749">
        <v>219909058</v>
      </c>
      <c r="P363" s="391"/>
      <c r="Q363" s="391"/>
      <c r="R363" s="391"/>
      <c r="S363" s="749"/>
      <c r="T363" s="391"/>
      <c r="U363" s="749"/>
      <c r="V363" s="391"/>
      <c r="W363" s="749">
        <v>219909058</v>
      </c>
      <c r="X363" s="378"/>
      <c r="Y363" s="180"/>
      <c r="Z363" s="180"/>
      <c r="AA363" s="180"/>
      <c r="AB363" s="180"/>
    </row>
    <row r="364" spans="1:28" s="203" customFormat="1">
      <c r="A364" s="631"/>
      <c r="B364" s="389" t="s">
        <v>6</v>
      </c>
      <c r="C364" s="392"/>
      <c r="D364" s="392"/>
      <c r="E364" s="392"/>
      <c r="F364" s="392"/>
      <c r="G364" s="392"/>
      <c r="H364" s="392"/>
      <c r="I364" s="750"/>
      <c r="J364" s="392"/>
      <c r="K364" s="392">
        <v>110609893</v>
      </c>
      <c r="L364" s="392">
        <v>78768396</v>
      </c>
      <c r="M364" s="392">
        <v>41494020</v>
      </c>
      <c r="N364" s="392"/>
      <c r="O364" s="750">
        <v>230872309</v>
      </c>
      <c r="P364" s="392"/>
      <c r="Q364" s="392"/>
      <c r="R364" s="392"/>
      <c r="S364" s="750"/>
      <c r="T364" s="392"/>
      <c r="U364" s="750"/>
      <c r="V364" s="392"/>
      <c r="W364" s="750">
        <v>230872309</v>
      </c>
      <c r="X364" s="378"/>
      <c r="Y364" s="180"/>
      <c r="Z364" s="180"/>
      <c r="AA364" s="180"/>
      <c r="AB364" s="180"/>
    </row>
    <row r="365" spans="1:28" s="202" customFormat="1">
      <c r="A365" s="631"/>
      <c r="B365" s="634" t="s">
        <v>298</v>
      </c>
      <c r="C365" s="466">
        <v>0</v>
      </c>
      <c r="D365" s="466">
        <v>0</v>
      </c>
      <c r="E365" s="466">
        <v>0</v>
      </c>
      <c r="F365" s="466">
        <v>0</v>
      </c>
      <c r="G365" s="466">
        <v>0</v>
      </c>
      <c r="H365" s="466">
        <v>0</v>
      </c>
      <c r="I365" s="751">
        <v>0</v>
      </c>
      <c r="J365" s="466">
        <v>0</v>
      </c>
      <c r="K365" s="466">
        <v>5.6996566721608684</v>
      </c>
      <c r="L365" s="466">
        <v>4.6012749796569814</v>
      </c>
      <c r="M365" s="466">
        <v>3.8385744627750253</v>
      </c>
      <c r="N365" s="466">
        <v>0</v>
      </c>
      <c r="O365" s="751">
        <v>4.985356719594515</v>
      </c>
      <c r="P365" s="466">
        <v>0</v>
      </c>
      <c r="Q365" s="466">
        <v>0</v>
      </c>
      <c r="R365" s="466">
        <v>0</v>
      </c>
      <c r="S365" s="751">
        <v>0</v>
      </c>
      <c r="T365" s="466">
        <v>0</v>
      </c>
      <c r="U365" s="751">
        <v>0</v>
      </c>
      <c r="V365" s="466">
        <v>0</v>
      </c>
      <c r="W365" s="751">
        <v>4.985356719594515</v>
      </c>
      <c r="X365" s="378"/>
      <c r="Y365" s="180"/>
      <c r="Z365" s="180"/>
      <c r="AA365" s="180"/>
      <c r="AB365" s="180"/>
    </row>
    <row r="366" spans="1:28">
      <c r="A366" s="631"/>
      <c r="B366" s="388" t="s">
        <v>223</v>
      </c>
      <c r="C366" s="391">
        <v>833593544</v>
      </c>
      <c r="D366" s="391">
        <v>156562149</v>
      </c>
      <c r="E366" s="391">
        <v>312016973</v>
      </c>
      <c r="F366" s="391">
        <v>19080943</v>
      </c>
      <c r="G366" s="391">
        <v>43112609</v>
      </c>
      <c r="H366" s="391">
        <v>28473734</v>
      </c>
      <c r="I366" s="749">
        <v>1392839952</v>
      </c>
      <c r="J366" s="391"/>
      <c r="K366" s="391">
        <v>157232048</v>
      </c>
      <c r="L366" s="391">
        <v>145100893</v>
      </c>
      <c r="M366" s="391">
        <v>64763242</v>
      </c>
      <c r="N366" s="391"/>
      <c r="O366" s="749">
        <v>367096183</v>
      </c>
      <c r="P366" s="391"/>
      <c r="Q366" s="391"/>
      <c r="R366" s="391"/>
      <c r="S366" s="749"/>
      <c r="T366" s="391"/>
      <c r="U366" s="749"/>
      <c r="V366" s="391"/>
      <c r="W366" s="749">
        <v>1759936135</v>
      </c>
      <c r="X366" s="378"/>
      <c r="Y366" s="180"/>
      <c r="Z366" s="180"/>
      <c r="AA366" s="180"/>
      <c r="AB366" s="180"/>
    </row>
    <row r="367" spans="1:28" s="203" customFormat="1">
      <c r="A367" s="631"/>
      <c r="B367" s="389" t="s">
        <v>14</v>
      </c>
      <c r="C367" s="392">
        <v>882741451</v>
      </c>
      <c r="D367" s="392">
        <v>165171416</v>
      </c>
      <c r="E367" s="392">
        <v>331530123</v>
      </c>
      <c r="F367" s="392">
        <v>19855512</v>
      </c>
      <c r="G367" s="392">
        <v>48518771</v>
      </c>
      <c r="H367" s="392">
        <v>29896260</v>
      </c>
      <c r="I367" s="750">
        <v>1477713533</v>
      </c>
      <c r="J367" s="392"/>
      <c r="K367" s="392">
        <v>155654507</v>
      </c>
      <c r="L367" s="392">
        <v>140351116</v>
      </c>
      <c r="M367" s="392">
        <v>61926924</v>
      </c>
      <c r="N367" s="392"/>
      <c r="O367" s="750">
        <v>357932547</v>
      </c>
      <c r="P367" s="392"/>
      <c r="Q367" s="392"/>
      <c r="R367" s="392"/>
      <c r="S367" s="750"/>
      <c r="T367" s="392"/>
      <c r="U367" s="750"/>
      <c r="V367" s="392"/>
      <c r="W367" s="750">
        <v>1835646080</v>
      </c>
      <c r="X367" s="378"/>
      <c r="Y367" s="180"/>
      <c r="Z367" s="180"/>
      <c r="AA367" s="180"/>
      <c r="AB367" s="180"/>
    </row>
    <row r="368" spans="1:28" s="202" customFormat="1">
      <c r="A368" s="631"/>
      <c r="B368" s="634" t="s">
        <v>247</v>
      </c>
      <c r="C368" s="466">
        <v>5.8959078262727047</v>
      </c>
      <c r="D368" s="466">
        <v>5.4989453421465235</v>
      </c>
      <c r="E368" s="466">
        <v>6.2538745288064828</v>
      </c>
      <c r="F368" s="466">
        <v>4.0593853249286473</v>
      </c>
      <c r="G368" s="1461">
        <v>12.539630807312079</v>
      </c>
      <c r="H368" s="466">
        <v>4.9959236115642573</v>
      </c>
      <c r="I368" s="751">
        <v>6.0935630743596017</v>
      </c>
      <c r="J368" s="466">
        <v>0</v>
      </c>
      <c r="K368" s="466">
        <v>-1.003320264581175</v>
      </c>
      <c r="L368" s="466">
        <v>-3.2734305777153279</v>
      </c>
      <c r="M368" s="466">
        <v>-4.3795182458592787</v>
      </c>
      <c r="N368" s="466">
        <v>0</v>
      </c>
      <c r="O368" s="751">
        <v>-2.4962493276591764</v>
      </c>
      <c r="P368" s="466">
        <v>0</v>
      </c>
      <c r="Q368" s="466">
        <v>0</v>
      </c>
      <c r="R368" s="466">
        <v>0</v>
      </c>
      <c r="S368" s="751">
        <v>0</v>
      </c>
      <c r="T368" s="466">
        <v>0</v>
      </c>
      <c r="U368" s="751">
        <v>0</v>
      </c>
      <c r="V368" s="466">
        <v>0</v>
      </c>
      <c r="W368" s="751">
        <v>4.3018575216651254</v>
      </c>
      <c r="X368" s="378"/>
      <c r="Y368" s="180"/>
      <c r="Z368" s="180"/>
      <c r="AA368" s="180"/>
      <c r="AB368" s="180"/>
    </row>
    <row r="369" spans="1:28">
      <c r="A369" s="631"/>
      <c r="B369" s="388" t="s">
        <v>225</v>
      </c>
      <c r="C369" s="391"/>
      <c r="D369" s="391"/>
      <c r="E369" s="391"/>
      <c r="F369" s="391"/>
      <c r="G369" s="391"/>
      <c r="H369" s="391"/>
      <c r="I369" s="749"/>
      <c r="J369" s="391"/>
      <c r="K369" s="391"/>
      <c r="L369" s="391"/>
      <c r="M369" s="391"/>
      <c r="N369" s="391"/>
      <c r="O369" s="749"/>
      <c r="P369" s="391"/>
      <c r="Q369" s="391"/>
      <c r="R369" s="391"/>
      <c r="S369" s="749"/>
      <c r="T369" s="391"/>
      <c r="U369" s="749"/>
      <c r="V369" s="391"/>
      <c r="W369" s="749"/>
      <c r="X369" s="378"/>
      <c r="Y369" s="180"/>
      <c r="Z369" s="180"/>
      <c r="AA369" s="180"/>
      <c r="AB369" s="180"/>
    </row>
    <row r="370" spans="1:28" s="203" customFormat="1">
      <c r="A370" s="631"/>
      <c r="B370" s="389" t="s">
        <v>166</v>
      </c>
      <c r="C370" s="392"/>
      <c r="D370" s="392"/>
      <c r="E370" s="392"/>
      <c r="F370" s="392"/>
      <c r="G370" s="392"/>
      <c r="H370" s="392"/>
      <c r="I370" s="750"/>
      <c r="J370" s="392"/>
      <c r="K370" s="392"/>
      <c r="L370" s="392"/>
      <c r="M370" s="392"/>
      <c r="N370" s="392"/>
      <c r="O370" s="750"/>
      <c r="P370" s="392"/>
      <c r="Q370" s="392"/>
      <c r="R370" s="392"/>
      <c r="S370" s="750"/>
      <c r="T370" s="392"/>
      <c r="U370" s="750"/>
      <c r="V370" s="392"/>
      <c r="W370" s="750"/>
      <c r="X370" s="378"/>
      <c r="Y370" s="180"/>
      <c r="Z370" s="180"/>
      <c r="AA370" s="180"/>
      <c r="AB370" s="180"/>
    </row>
    <row r="371" spans="1:28" s="202" customFormat="1">
      <c r="A371" s="631"/>
      <c r="B371" s="634" t="s">
        <v>175</v>
      </c>
      <c r="C371" s="466">
        <v>0</v>
      </c>
      <c r="D371" s="466">
        <v>0</v>
      </c>
      <c r="E371" s="466">
        <v>0</v>
      </c>
      <c r="F371" s="466">
        <v>0</v>
      </c>
      <c r="G371" s="466">
        <v>0</v>
      </c>
      <c r="H371" s="466">
        <v>0</v>
      </c>
      <c r="I371" s="751">
        <v>0</v>
      </c>
      <c r="J371" s="466">
        <v>0</v>
      </c>
      <c r="K371" s="466">
        <v>0</v>
      </c>
      <c r="L371" s="466">
        <v>0</v>
      </c>
      <c r="M371" s="466">
        <v>0</v>
      </c>
      <c r="N371" s="466">
        <v>0</v>
      </c>
      <c r="O371" s="751">
        <v>0</v>
      </c>
      <c r="P371" s="466">
        <v>0</v>
      </c>
      <c r="Q371" s="466">
        <v>0</v>
      </c>
      <c r="R371" s="466">
        <v>0</v>
      </c>
      <c r="S371" s="751">
        <v>0</v>
      </c>
      <c r="T371" s="466">
        <v>0</v>
      </c>
      <c r="U371" s="751">
        <v>0</v>
      </c>
      <c r="V371" s="466">
        <v>0</v>
      </c>
      <c r="W371" s="751">
        <v>0</v>
      </c>
      <c r="X371" s="378"/>
      <c r="Y371" s="180"/>
      <c r="Z371" s="180"/>
      <c r="AA371" s="180"/>
      <c r="AB371" s="180"/>
    </row>
    <row r="372" spans="1:28">
      <c r="A372" s="631"/>
      <c r="B372" s="752" t="s">
        <v>317</v>
      </c>
      <c r="C372" s="749">
        <v>833593544</v>
      </c>
      <c r="D372" s="749">
        <v>156562149</v>
      </c>
      <c r="E372" s="749">
        <v>312016973</v>
      </c>
      <c r="F372" s="749">
        <v>19080943</v>
      </c>
      <c r="G372" s="749">
        <v>43112609</v>
      </c>
      <c r="H372" s="749">
        <v>28473734</v>
      </c>
      <c r="I372" s="749">
        <v>1392839952</v>
      </c>
      <c r="J372" s="749"/>
      <c r="K372" s="749">
        <v>157232048</v>
      </c>
      <c r="L372" s="749">
        <v>145100893</v>
      </c>
      <c r="M372" s="749">
        <v>64763242</v>
      </c>
      <c r="N372" s="749"/>
      <c r="O372" s="749">
        <v>367096183</v>
      </c>
      <c r="P372" s="749"/>
      <c r="Q372" s="749"/>
      <c r="R372" s="749"/>
      <c r="S372" s="749"/>
      <c r="T372" s="749">
        <v>0</v>
      </c>
      <c r="U372" s="749">
        <v>0</v>
      </c>
      <c r="V372" s="749">
        <v>0</v>
      </c>
      <c r="W372" s="749">
        <v>1759936135</v>
      </c>
      <c r="X372" s="378"/>
      <c r="Y372" s="180"/>
      <c r="Z372" s="180"/>
      <c r="AA372" s="180"/>
      <c r="AB372" s="180"/>
    </row>
    <row r="373" spans="1:28" s="203" customFormat="1">
      <c r="A373" s="631"/>
      <c r="B373" s="753" t="s">
        <v>70</v>
      </c>
      <c r="C373" s="750">
        <v>882741451</v>
      </c>
      <c r="D373" s="750">
        <v>165171416</v>
      </c>
      <c r="E373" s="750">
        <v>331530123</v>
      </c>
      <c r="F373" s="750">
        <v>19855512</v>
      </c>
      <c r="G373" s="750">
        <v>48518771</v>
      </c>
      <c r="H373" s="750">
        <v>29896260</v>
      </c>
      <c r="I373" s="750">
        <v>1477713533</v>
      </c>
      <c r="J373" s="750"/>
      <c r="K373" s="750">
        <v>155654507</v>
      </c>
      <c r="L373" s="750">
        <v>140351116</v>
      </c>
      <c r="M373" s="750">
        <v>61926924</v>
      </c>
      <c r="N373" s="750"/>
      <c r="O373" s="750">
        <v>357932547</v>
      </c>
      <c r="P373" s="750"/>
      <c r="Q373" s="750"/>
      <c r="R373" s="750"/>
      <c r="S373" s="750"/>
      <c r="T373" s="750">
        <v>0</v>
      </c>
      <c r="U373" s="750">
        <v>0</v>
      </c>
      <c r="V373" s="750">
        <v>0</v>
      </c>
      <c r="W373" s="750">
        <v>1835646080</v>
      </c>
      <c r="X373" s="378"/>
      <c r="Y373" s="180"/>
      <c r="Z373" s="180"/>
      <c r="AA373" s="180"/>
      <c r="AB373" s="180"/>
    </row>
    <row r="374" spans="1:28" s="202" customFormat="1">
      <c r="A374" s="631"/>
      <c r="B374" s="754" t="s">
        <v>57</v>
      </c>
      <c r="C374" s="751">
        <v>5.8959078262727047</v>
      </c>
      <c r="D374" s="751">
        <v>5.4989453421465235</v>
      </c>
      <c r="E374" s="751">
        <v>6.2538745288064828</v>
      </c>
      <c r="F374" s="751">
        <v>4.0593853249286473</v>
      </c>
      <c r="G374" s="751">
        <v>12.539630807312079</v>
      </c>
      <c r="H374" s="751">
        <v>4.9959236115642573</v>
      </c>
      <c r="I374" s="751">
        <v>6.0935630743596017</v>
      </c>
      <c r="J374" s="751">
        <v>0</v>
      </c>
      <c r="K374" s="751">
        <v>-1.003320264581175</v>
      </c>
      <c r="L374" s="751">
        <v>-3.2734305777153279</v>
      </c>
      <c r="M374" s="751">
        <v>-4.3795182458592787</v>
      </c>
      <c r="N374" s="751">
        <v>0</v>
      </c>
      <c r="O374" s="751">
        <v>-2.4962493276591764</v>
      </c>
      <c r="P374" s="751">
        <v>0</v>
      </c>
      <c r="Q374" s="751">
        <v>0</v>
      </c>
      <c r="R374" s="751">
        <v>0</v>
      </c>
      <c r="S374" s="751">
        <v>0</v>
      </c>
      <c r="T374" s="751">
        <v>0</v>
      </c>
      <c r="U374" s="751">
        <v>0</v>
      </c>
      <c r="V374" s="751">
        <v>0</v>
      </c>
      <c r="W374" s="751">
        <v>4.3018575216651254</v>
      </c>
      <c r="X374" s="378"/>
      <c r="Y374" s="180"/>
      <c r="Z374" s="180"/>
      <c r="AA374" s="180"/>
      <c r="AB374" s="180"/>
    </row>
    <row r="375" spans="1:28">
      <c r="A375" s="631"/>
      <c r="B375" s="388" t="s">
        <v>72</v>
      </c>
      <c r="C375" s="391"/>
      <c r="D375" s="391"/>
      <c r="E375" s="391"/>
      <c r="F375" s="391"/>
      <c r="G375" s="391"/>
      <c r="H375" s="391"/>
      <c r="I375" s="749"/>
      <c r="J375" s="391"/>
      <c r="K375" s="391"/>
      <c r="L375" s="391"/>
      <c r="M375" s="391"/>
      <c r="N375" s="391"/>
      <c r="O375" s="749"/>
      <c r="P375" s="391"/>
      <c r="Q375" s="391"/>
      <c r="R375" s="391"/>
      <c r="S375" s="749"/>
      <c r="T375" s="391">
        <v>31868375</v>
      </c>
      <c r="U375" s="749">
        <v>31868375</v>
      </c>
      <c r="V375" s="391">
        <v>323866162</v>
      </c>
      <c r="W375" s="749">
        <v>355734537</v>
      </c>
      <c r="X375" s="378"/>
      <c r="Y375" s="180"/>
      <c r="Z375" s="180"/>
      <c r="AA375" s="180"/>
      <c r="AB375" s="180"/>
    </row>
    <row r="376" spans="1:28" s="203" customFormat="1">
      <c r="A376" s="631"/>
      <c r="B376" s="389" t="s">
        <v>74</v>
      </c>
      <c r="C376" s="392"/>
      <c r="D376" s="392"/>
      <c r="E376" s="392"/>
      <c r="F376" s="392"/>
      <c r="G376" s="392"/>
      <c r="H376" s="392"/>
      <c r="I376" s="750"/>
      <c r="J376" s="392"/>
      <c r="K376" s="392"/>
      <c r="L376" s="392"/>
      <c r="M376" s="392"/>
      <c r="N376" s="392"/>
      <c r="O376" s="750"/>
      <c r="P376" s="392"/>
      <c r="Q376" s="392"/>
      <c r="R376" s="392"/>
      <c r="S376" s="750"/>
      <c r="T376" s="392">
        <v>28861488</v>
      </c>
      <c r="U376" s="750">
        <v>28861488</v>
      </c>
      <c r="V376" s="392">
        <v>325272077</v>
      </c>
      <c r="W376" s="750">
        <v>354133565</v>
      </c>
      <c r="X376" s="378"/>
      <c r="Y376" s="180"/>
      <c r="Z376" s="180"/>
      <c r="AA376" s="180"/>
      <c r="AB376" s="180"/>
    </row>
    <row r="377" spans="1:28" s="202" customFormat="1">
      <c r="A377" s="631"/>
      <c r="B377" s="634" t="s">
        <v>76</v>
      </c>
      <c r="C377" s="466">
        <v>0</v>
      </c>
      <c r="D377" s="466">
        <v>0</v>
      </c>
      <c r="E377" s="466">
        <v>0</v>
      </c>
      <c r="F377" s="466">
        <v>0</v>
      </c>
      <c r="G377" s="466">
        <v>0</v>
      </c>
      <c r="H377" s="466">
        <v>0</v>
      </c>
      <c r="I377" s="751">
        <v>0</v>
      </c>
      <c r="J377" s="466">
        <v>0</v>
      </c>
      <c r="K377" s="466">
        <v>0</v>
      </c>
      <c r="L377" s="466">
        <v>0</v>
      </c>
      <c r="M377" s="466">
        <v>0</v>
      </c>
      <c r="N377" s="466">
        <v>0</v>
      </c>
      <c r="O377" s="751">
        <v>0</v>
      </c>
      <c r="P377" s="466">
        <v>0</v>
      </c>
      <c r="Q377" s="466">
        <v>0</v>
      </c>
      <c r="R377" s="466">
        <v>0</v>
      </c>
      <c r="S377" s="751">
        <v>0</v>
      </c>
      <c r="T377" s="466">
        <v>-9.4353320494063482</v>
      </c>
      <c r="U377" s="751">
        <v>-9.4353320494063482</v>
      </c>
      <c r="V377" s="466">
        <v>0.43410370238061485</v>
      </c>
      <c r="W377" s="751">
        <v>-0.45004682803682905</v>
      </c>
      <c r="X377" s="378"/>
      <c r="Y377" s="180"/>
      <c r="Z377" s="180"/>
      <c r="AA377" s="180"/>
      <c r="AB377" s="180"/>
    </row>
    <row r="378" spans="1:28">
      <c r="A378" s="631"/>
      <c r="B378" s="388" t="s">
        <v>240</v>
      </c>
      <c r="C378" s="391"/>
      <c r="D378" s="391"/>
      <c r="E378" s="391"/>
      <c r="F378" s="391"/>
      <c r="G378" s="391"/>
      <c r="H378" s="391"/>
      <c r="I378" s="749"/>
      <c r="J378" s="391"/>
      <c r="K378" s="391"/>
      <c r="L378" s="391"/>
      <c r="M378" s="391"/>
      <c r="N378" s="391"/>
      <c r="O378" s="749"/>
      <c r="P378" s="391"/>
      <c r="Q378" s="391"/>
      <c r="R378" s="391"/>
      <c r="S378" s="749"/>
      <c r="T378" s="391">
        <v>13250568</v>
      </c>
      <c r="U378" s="749">
        <v>13250568</v>
      </c>
      <c r="V378" s="391"/>
      <c r="W378" s="749">
        <v>13250568</v>
      </c>
      <c r="X378" s="378"/>
      <c r="Y378" s="180"/>
      <c r="Z378" s="180"/>
      <c r="AA378" s="180"/>
      <c r="AB378" s="180"/>
    </row>
    <row r="379" spans="1:28" s="203" customFormat="1">
      <c r="A379" s="631"/>
      <c r="B379" s="389" t="s">
        <v>163</v>
      </c>
      <c r="C379" s="392"/>
      <c r="D379" s="392"/>
      <c r="E379" s="392"/>
      <c r="F379" s="392"/>
      <c r="G379" s="392"/>
      <c r="H379" s="392"/>
      <c r="I379" s="750"/>
      <c r="J379" s="392"/>
      <c r="K379" s="392"/>
      <c r="L379" s="392"/>
      <c r="M379" s="392"/>
      <c r="N379" s="392"/>
      <c r="O379" s="750"/>
      <c r="P379" s="392"/>
      <c r="Q379" s="392"/>
      <c r="R379" s="392"/>
      <c r="S379" s="750"/>
      <c r="T379" s="392">
        <v>14549931</v>
      </c>
      <c r="U379" s="750">
        <v>14549931</v>
      </c>
      <c r="V379" s="392"/>
      <c r="W379" s="750">
        <v>14549931</v>
      </c>
      <c r="X379" s="378"/>
      <c r="Y379" s="180"/>
      <c r="Z379" s="180"/>
      <c r="AA379" s="180"/>
      <c r="AB379" s="180"/>
    </row>
    <row r="380" spans="1:28" s="202" customFormat="1">
      <c r="A380" s="631"/>
      <c r="B380" s="634" t="s">
        <v>59</v>
      </c>
      <c r="C380" s="466">
        <v>0</v>
      </c>
      <c r="D380" s="466">
        <v>0</v>
      </c>
      <c r="E380" s="466">
        <v>0</v>
      </c>
      <c r="F380" s="466">
        <v>0</v>
      </c>
      <c r="G380" s="466">
        <v>0</v>
      </c>
      <c r="H380" s="466">
        <v>0</v>
      </c>
      <c r="I380" s="751">
        <v>0</v>
      </c>
      <c r="J380" s="466">
        <v>0</v>
      </c>
      <c r="K380" s="466">
        <v>0</v>
      </c>
      <c r="L380" s="466">
        <v>0</v>
      </c>
      <c r="M380" s="466">
        <v>0</v>
      </c>
      <c r="N380" s="466">
        <v>0</v>
      </c>
      <c r="O380" s="751">
        <v>0</v>
      </c>
      <c r="P380" s="466">
        <v>0</v>
      </c>
      <c r="Q380" s="466">
        <v>0</v>
      </c>
      <c r="R380" s="466">
        <v>0</v>
      </c>
      <c r="S380" s="751">
        <v>0</v>
      </c>
      <c r="T380" s="466">
        <v>9.8060928406993568</v>
      </c>
      <c r="U380" s="751">
        <v>9.8060928406993568</v>
      </c>
      <c r="V380" s="466">
        <v>0</v>
      </c>
      <c r="W380" s="751">
        <v>9.8060928406993568</v>
      </c>
      <c r="X380" s="378"/>
      <c r="Y380" s="180"/>
      <c r="Z380" s="180"/>
      <c r="AA380" s="180"/>
      <c r="AB380" s="180"/>
    </row>
    <row r="381" spans="1:28">
      <c r="A381" s="631"/>
      <c r="B381" s="388" t="s">
        <v>159</v>
      </c>
      <c r="C381" s="391"/>
      <c r="D381" s="391"/>
      <c r="E381" s="391"/>
      <c r="F381" s="391"/>
      <c r="G381" s="391"/>
      <c r="H381" s="391"/>
      <c r="I381" s="749"/>
      <c r="J381" s="391"/>
      <c r="K381" s="391"/>
      <c r="L381" s="391"/>
      <c r="M381" s="391"/>
      <c r="N381" s="391"/>
      <c r="O381" s="749"/>
      <c r="P381" s="391"/>
      <c r="Q381" s="391"/>
      <c r="R381" s="391"/>
      <c r="S381" s="749"/>
      <c r="T381" s="391"/>
      <c r="U381" s="749"/>
      <c r="V381" s="391"/>
      <c r="W381" s="749"/>
      <c r="X381" s="378"/>
      <c r="Y381" s="180"/>
      <c r="Z381" s="180"/>
      <c r="AA381" s="180"/>
      <c r="AB381" s="180"/>
    </row>
    <row r="382" spans="1:28" s="203" customFormat="1">
      <c r="A382" s="631"/>
      <c r="B382" s="389" t="s">
        <v>100</v>
      </c>
      <c r="C382" s="392"/>
      <c r="D382" s="392"/>
      <c r="E382" s="392"/>
      <c r="F382" s="392"/>
      <c r="G382" s="392"/>
      <c r="H382" s="392"/>
      <c r="I382" s="750"/>
      <c r="J382" s="392"/>
      <c r="K382" s="392"/>
      <c r="L382" s="392"/>
      <c r="M382" s="392"/>
      <c r="N382" s="392"/>
      <c r="O382" s="750"/>
      <c r="P382" s="392"/>
      <c r="Q382" s="392"/>
      <c r="R382" s="392"/>
      <c r="S382" s="750"/>
      <c r="T382" s="392"/>
      <c r="U382" s="750"/>
      <c r="V382" s="392"/>
      <c r="W382" s="750"/>
      <c r="X382" s="378"/>
      <c r="Y382" s="180"/>
      <c r="Z382" s="180"/>
      <c r="AA382" s="180"/>
      <c r="AB382" s="180"/>
    </row>
    <row r="383" spans="1:28" s="202" customFormat="1">
      <c r="A383" s="631"/>
      <c r="B383" s="634" t="s">
        <v>110</v>
      </c>
      <c r="C383" s="466">
        <v>0</v>
      </c>
      <c r="D383" s="466">
        <v>0</v>
      </c>
      <c r="E383" s="466">
        <v>0</v>
      </c>
      <c r="F383" s="466">
        <v>0</v>
      </c>
      <c r="G383" s="466">
        <v>0</v>
      </c>
      <c r="H383" s="466">
        <v>0</v>
      </c>
      <c r="I383" s="751">
        <v>0</v>
      </c>
      <c r="J383" s="466">
        <v>0</v>
      </c>
      <c r="K383" s="466">
        <v>0</v>
      </c>
      <c r="L383" s="466">
        <v>0</v>
      </c>
      <c r="M383" s="466">
        <v>0</v>
      </c>
      <c r="N383" s="466">
        <v>0</v>
      </c>
      <c r="O383" s="751">
        <v>0</v>
      </c>
      <c r="P383" s="466">
        <v>0</v>
      </c>
      <c r="Q383" s="466">
        <v>0</v>
      </c>
      <c r="R383" s="466">
        <v>0</v>
      </c>
      <c r="S383" s="751">
        <v>0</v>
      </c>
      <c r="T383" s="466">
        <v>0</v>
      </c>
      <c r="U383" s="751">
        <v>0</v>
      </c>
      <c r="V383" s="466">
        <v>0</v>
      </c>
      <c r="W383" s="751">
        <v>0</v>
      </c>
      <c r="X383" s="378"/>
      <c r="Y383" s="180"/>
      <c r="Z383" s="180"/>
      <c r="AA383" s="180"/>
      <c r="AB383" s="180"/>
    </row>
    <row r="384" spans="1:28">
      <c r="A384" s="631"/>
      <c r="B384" s="388" t="s">
        <v>161</v>
      </c>
      <c r="C384" s="391">
        <v>0</v>
      </c>
      <c r="D384" s="391">
        <v>0</v>
      </c>
      <c r="E384" s="391">
        <v>0</v>
      </c>
      <c r="F384" s="391">
        <v>0</v>
      </c>
      <c r="G384" s="391">
        <v>0</v>
      </c>
      <c r="H384" s="391">
        <v>0</v>
      </c>
      <c r="I384" s="749">
        <v>0</v>
      </c>
      <c r="J384" s="391"/>
      <c r="K384" s="391">
        <v>0</v>
      </c>
      <c r="L384" s="391">
        <v>0</v>
      </c>
      <c r="M384" s="391">
        <v>0</v>
      </c>
      <c r="N384" s="391"/>
      <c r="O384" s="749">
        <v>0</v>
      </c>
      <c r="P384" s="391"/>
      <c r="Q384" s="391"/>
      <c r="R384" s="391"/>
      <c r="S384" s="749"/>
      <c r="T384" s="391">
        <v>13250568</v>
      </c>
      <c r="U384" s="749">
        <v>13250568</v>
      </c>
      <c r="V384" s="391">
        <v>0</v>
      </c>
      <c r="W384" s="749">
        <v>13250568</v>
      </c>
      <c r="X384" s="378"/>
      <c r="Y384" s="180"/>
      <c r="Z384" s="180"/>
      <c r="AA384" s="180"/>
      <c r="AB384" s="180"/>
    </row>
    <row r="385" spans="1:28" s="203" customFormat="1">
      <c r="A385" s="631"/>
      <c r="B385" s="389" t="s">
        <v>102</v>
      </c>
      <c r="C385" s="392">
        <v>0</v>
      </c>
      <c r="D385" s="392">
        <v>0</v>
      </c>
      <c r="E385" s="392">
        <v>0</v>
      </c>
      <c r="F385" s="392">
        <v>0</v>
      </c>
      <c r="G385" s="392">
        <v>0</v>
      </c>
      <c r="H385" s="392">
        <v>0</v>
      </c>
      <c r="I385" s="750">
        <v>0</v>
      </c>
      <c r="J385" s="392"/>
      <c r="K385" s="392">
        <v>0</v>
      </c>
      <c r="L385" s="392">
        <v>0</v>
      </c>
      <c r="M385" s="392">
        <v>0</v>
      </c>
      <c r="N385" s="392"/>
      <c r="O385" s="750">
        <v>0</v>
      </c>
      <c r="P385" s="392"/>
      <c r="Q385" s="392"/>
      <c r="R385" s="392"/>
      <c r="S385" s="750"/>
      <c r="T385" s="392">
        <v>14549931</v>
      </c>
      <c r="U385" s="750">
        <v>14549931</v>
      </c>
      <c r="V385" s="392">
        <v>0</v>
      </c>
      <c r="W385" s="750">
        <v>14549931</v>
      </c>
      <c r="X385" s="378"/>
      <c r="Y385" s="180"/>
      <c r="Z385" s="180"/>
      <c r="AA385" s="180"/>
      <c r="AB385" s="180"/>
    </row>
    <row r="386" spans="1:28" s="202" customFormat="1">
      <c r="A386" s="631"/>
      <c r="B386" s="634" t="s">
        <v>183</v>
      </c>
      <c r="C386" s="466">
        <v>0</v>
      </c>
      <c r="D386" s="466">
        <v>0</v>
      </c>
      <c r="E386" s="466">
        <v>0</v>
      </c>
      <c r="F386" s="466">
        <v>0</v>
      </c>
      <c r="G386" s="466">
        <v>0</v>
      </c>
      <c r="H386" s="466">
        <v>0</v>
      </c>
      <c r="I386" s="751">
        <v>0</v>
      </c>
      <c r="J386" s="466">
        <v>0</v>
      </c>
      <c r="K386" s="466">
        <v>0</v>
      </c>
      <c r="L386" s="466">
        <v>0</v>
      </c>
      <c r="M386" s="466">
        <v>0</v>
      </c>
      <c r="N386" s="466">
        <v>0</v>
      </c>
      <c r="O386" s="751">
        <v>0</v>
      </c>
      <c r="P386" s="466">
        <v>0</v>
      </c>
      <c r="Q386" s="466">
        <v>0</v>
      </c>
      <c r="R386" s="466">
        <v>0</v>
      </c>
      <c r="S386" s="751">
        <v>0</v>
      </c>
      <c r="T386" s="466">
        <v>9.8060928406993568</v>
      </c>
      <c r="U386" s="751">
        <v>9.8060928406993568</v>
      </c>
      <c r="V386" s="466">
        <v>0</v>
      </c>
      <c r="W386" s="751">
        <v>9.8060928406993568</v>
      </c>
      <c r="X386" s="378"/>
      <c r="Y386" s="180"/>
      <c r="Z386" s="180"/>
      <c r="AA386" s="180"/>
      <c r="AB386" s="180"/>
    </row>
    <row r="387" spans="1:28">
      <c r="A387" s="631"/>
      <c r="B387" s="388" t="s">
        <v>78</v>
      </c>
      <c r="C387" s="391">
        <v>213369189</v>
      </c>
      <c r="D387" s="391">
        <v>64272528</v>
      </c>
      <c r="E387" s="391"/>
      <c r="F387" s="391"/>
      <c r="G387" s="391"/>
      <c r="H387" s="391"/>
      <c r="I387" s="749">
        <v>277641717</v>
      </c>
      <c r="J387" s="391"/>
      <c r="K387" s="391"/>
      <c r="L387" s="391"/>
      <c r="M387" s="391"/>
      <c r="N387" s="391"/>
      <c r="O387" s="749"/>
      <c r="P387" s="391"/>
      <c r="Q387" s="391"/>
      <c r="R387" s="391"/>
      <c r="S387" s="749"/>
      <c r="T387" s="391"/>
      <c r="U387" s="749"/>
      <c r="V387" s="391"/>
      <c r="W387" s="749">
        <v>277641717</v>
      </c>
      <c r="X387" s="378"/>
      <c r="Y387" s="180"/>
      <c r="Z387" s="180"/>
      <c r="AA387" s="180"/>
      <c r="AB387" s="180"/>
    </row>
    <row r="388" spans="1:28" s="203" customFormat="1">
      <c r="A388" s="631"/>
      <c r="B388" s="389" t="s">
        <v>80</v>
      </c>
      <c r="C388" s="392">
        <v>222739005</v>
      </c>
      <c r="D388" s="392">
        <v>65556147</v>
      </c>
      <c r="E388" s="392"/>
      <c r="F388" s="392"/>
      <c r="G388" s="392"/>
      <c r="H388" s="392"/>
      <c r="I388" s="750">
        <v>288295152</v>
      </c>
      <c r="J388" s="392"/>
      <c r="K388" s="392"/>
      <c r="L388" s="392"/>
      <c r="M388" s="392"/>
      <c r="N388" s="392"/>
      <c r="O388" s="750"/>
      <c r="P388" s="392"/>
      <c r="Q388" s="392"/>
      <c r="R388" s="392"/>
      <c r="S388" s="750"/>
      <c r="T388" s="392"/>
      <c r="U388" s="750"/>
      <c r="V388" s="392"/>
      <c r="W388" s="750">
        <v>288295152</v>
      </c>
      <c r="X388" s="378"/>
      <c r="Y388" s="180"/>
      <c r="Z388" s="180"/>
      <c r="AA388" s="180"/>
      <c r="AB388" s="180"/>
    </row>
    <row r="389" spans="1:28" s="202" customFormat="1">
      <c r="A389" s="631"/>
      <c r="B389" s="634" t="s">
        <v>215</v>
      </c>
      <c r="C389" s="466">
        <v>4.3913631784952791</v>
      </c>
      <c r="D389" s="466">
        <v>1.9971503221407443</v>
      </c>
      <c r="E389" s="466">
        <v>0</v>
      </c>
      <c r="F389" s="466">
        <v>0</v>
      </c>
      <c r="G389" s="466">
        <v>0</v>
      </c>
      <c r="H389" s="466">
        <v>0</v>
      </c>
      <c r="I389" s="751">
        <v>3.8371160915994476</v>
      </c>
      <c r="J389" s="466">
        <v>0</v>
      </c>
      <c r="K389" s="466">
        <v>0</v>
      </c>
      <c r="L389" s="466">
        <v>0</v>
      </c>
      <c r="M389" s="466">
        <v>0</v>
      </c>
      <c r="N389" s="466">
        <v>0</v>
      </c>
      <c r="O389" s="751">
        <v>0</v>
      </c>
      <c r="P389" s="466">
        <v>0</v>
      </c>
      <c r="Q389" s="466">
        <v>0</v>
      </c>
      <c r="R389" s="466">
        <v>0</v>
      </c>
      <c r="S389" s="751">
        <v>0</v>
      </c>
      <c r="T389" s="466">
        <v>0</v>
      </c>
      <c r="U389" s="751">
        <v>0</v>
      </c>
      <c r="V389" s="466">
        <v>0</v>
      </c>
      <c r="W389" s="751">
        <v>3.8371160915994476</v>
      </c>
      <c r="X389" s="378"/>
      <c r="Y389" s="180"/>
      <c r="Z389" s="180"/>
      <c r="AA389" s="180"/>
      <c r="AB389" s="180"/>
    </row>
    <row r="390" spans="1:28">
      <c r="A390" s="631"/>
      <c r="B390" s="388" t="s">
        <v>81</v>
      </c>
      <c r="C390" s="391">
        <v>95362998</v>
      </c>
      <c r="D390" s="391">
        <v>8301206</v>
      </c>
      <c r="E390" s="391"/>
      <c r="F390" s="391"/>
      <c r="G390" s="391"/>
      <c r="H390" s="391"/>
      <c r="I390" s="749">
        <v>103664204</v>
      </c>
      <c r="J390" s="391"/>
      <c r="K390" s="391"/>
      <c r="L390" s="391"/>
      <c r="M390" s="391"/>
      <c r="N390" s="391"/>
      <c r="O390" s="749"/>
      <c r="P390" s="391"/>
      <c r="Q390" s="391"/>
      <c r="R390" s="391"/>
      <c r="S390" s="749"/>
      <c r="T390" s="391"/>
      <c r="U390" s="749"/>
      <c r="V390" s="391"/>
      <c r="W390" s="749">
        <v>103664204</v>
      </c>
      <c r="X390" s="378"/>
      <c r="Y390" s="180"/>
      <c r="Z390" s="180"/>
      <c r="AA390" s="180"/>
      <c r="AB390" s="180"/>
    </row>
    <row r="391" spans="1:28" s="203" customFormat="1">
      <c r="A391" s="631"/>
      <c r="B391" s="389" t="s">
        <v>318</v>
      </c>
      <c r="C391" s="392">
        <v>113393232</v>
      </c>
      <c r="D391" s="392">
        <v>10121865</v>
      </c>
      <c r="E391" s="392"/>
      <c r="F391" s="392"/>
      <c r="G391" s="392"/>
      <c r="H391" s="392"/>
      <c r="I391" s="750">
        <v>123515097</v>
      </c>
      <c r="J391" s="392"/>
      <c r="K391" s="392"/>
      <c r="L391" s="392"/>
      <c r="M391" s="392"/>
      <c r="N391" s="392"/>
      <c r="O391" s="750"/>
      <c r="P391" s="392"/>
      <c r="Q391" s="392"/>
      <c r="R391" s="392"/>
      <c r="S391" s="750"/>
      <c r="T391" s="392"/>
      <c r="U391" s="750"/>
      <c r="V391" s="392"/>
      <c r="W391" s="750">
        <v>123515097</v>
      </c>
      <c r="X391" s="378"/>
      <c r="Y391" s="180"/>
      <c r="Z391" s="180"/>
      <c r="AA391" s="180"/>
      <c r="AB391" s="180"/>
    </row>
    <row r="392" spans="1:28" s="202" customFormat="1">
      <c r="A392" s="631"/>
      <c r="B392" s="634" t="s">
        <v>236</v>
      </c>
      <c r="C392" s="1461">
        <v>18.906949632602785</v>
      </c>
      <c r="D392" s="1461">
        <v>21.932463788996444</v>
      </c>
      <c r="E392" s="466">
        <v>0</v>
      </c>
      <c r="F392" s="466">
        <v>0</v>
      </c>
      <c r="G392" s="466">
        <v>0</v>
      </c>
      <c r="H392" s="466">
        <v>0</v>
      </c>
      <c r="I392" s="751">
        <v>19.149226284513794</v>
      </c>
      <c r="J392" s="466">
        <v>0</v>
      </c>
      <c r="K392" s="466">
        <v>0</v>
      </c>
      <c r="L392" s="466">
        <v>0</v>
      </c>
      <c r="M392" s="466">
        <v>0</v>
      </c>
      <c r="N392" s="466">
        <v>0</v>
      </c>
      <c r="O392" s="751">
        <v>0</v>
      </c>
      <c r="P392" s="466">
        <v>0</v>
      </c>
      <c r="Q392" s="466">
        <v>0</v>
      </c>
      <c r="R392" s="466">
        <v>0</v>
      </c>
      <c r="S392" s="751">
        <v>0</v>
      </c>
      <c r="T392" s="466">
        <v>0</v>
      </c>
      <c r="U392" s="751">
        <v>0</v>
      </c>
      <c r="V392" s="466">
        <v>0</v>
      </c>
      <c r="W392" s="751">
        <v>19.149226284513794</v>
      </c>
      <c r="X392" s="378"/>
      <c r="Y392" s="180"/>
      <c r="Z392" s="180"/>
      <c r="AA392" s="180"/>
      <c r="AB392" s="180"/>
    </row>
    <row r="393" spans="1:28">
      <c r="A393" s="631"/>
      <c r="B393" s="388" t="s">
        <v>19</v>
      </c>
      <c r="C393" s="391">
        <v>1867049483</v>
      </c>
      <c r="D393" s="391">
        <v>366099917</v>
      </c>
      <c r="E393" s="391">
        <v>789746179</v>
      </c>
      <c r="F393" s="391">
        <v>68503415</v>
      </c>
      <c r="G393" s="391">
        <v>161389012</v>
      </c>
      <c r="H393" s="391">
        <v>98533675</v>
      </c>
      <c r="I393" s="749">
        <v>3351321681</v>
      </c>
      <c r="J393" s="391"/>
      <c r="K393" s="391">
        <v>604271962</v>
      </c>
      <c r="L393" s="391">
        <v>580449479</v>
      </c>
      <c r="M393" s="391">
        <v>291075198</v>
      </c>
      <c r="N393" s="391"/>
      <c r="O393" s="749">
        <v>1475796639</v>
      </c>
      <c r="P393" s="391"/>
      <c r="Q393" s="391"/>
      <c r="R393" s="391"/>
      <c r="S393" s="749"/>
      <c r="T393" s="391">
        <v>0</v>
      </c>
      <c r="U393" s="749">
        <v>0</v>
      </c>
      <c r="V393" s="391">
        <v>52000016</v>
      </c>
      <c r="W393" s="749">
        <v>4879118336</v>
      </c>
      <c r="X393" s="378"/>
      <c r="Y393" s="180"/>
      <c r="Z393" s="180"/>
      <c r="AA393" s="180"/>
      <c r="AB393" s="180"/>
    </row>
    <row r="394" spans="1:28" s="203" customFormat="1">
      <c r="A394" s="631"/>
      <c r="B394" s="389" t="s">
        <v>21</v>
      </c>
      <c r="C394" s="392">
        <v>1919367229</v>
      </c>
      <c r="D394" s="392">
        <v>373096866</v>
      </c>
      <c r="E394" s="392">
        <v>818489686</v>
      </c>
      <c r="F394" s="392">
        <v>68488695</v>
      </c>
      <c r="G394" s="392">
        <v>166727579</v>
      </c>
      <c r="H394" s="392">
        <v>98258790</v>
      </c>
      <c r="I394" s="750">
        <v>3444428845</v>
      </c>
      <c r="J394" s="392"/>
      <c r="K394" s="392">
        <v>627558085</v>
      </c>
      <c r="L394" s="392">
        <v>588577397</v>
      </c>
      <c r="M394" s="392">
        <v>292825164</v>
      </c>
      <c r="N394" s="392"/>
      <c r="O394" s="750">
        <v>1508960646</v>
      </c>
      <c r="P394" s="392"/>
      <c r="Q394" s="392"/>
      <c r="R394" s="392"/>
      <c r="S394" s="750"/>
      <c r="T394" s="392">
        <v>0</v>
      </c>
      <c r="U394" s="750">
        <v>0</v>
      </c>
      <c r="V394" s="392">
        <v>68220695</v>
      </c>
      <c r="W394" s="750">
        <v>5021610186</v>
      </c>
      <c r="X394" s="378"/>
      <c r="Y394" s="180"/>
      <c r="Z394" s="180"/>
      <c r="AA394" s="180"/>
      <c r="AB394" s="180"/>
    </row>
    <row r="395" spans="1:28" s="212" customFormat="1" ht="13.5" thickBot="1">
      <c r="A395" s="635"/>
      <c r="B395" s="761" t="s">
        <v>23</v>
      </c>
      <c r="C395" s="762">
        <v>2.8021617250301873</v>
      </c>
      <c r="D395" s="762">
        <v>1.9112129435418581</v>
      </c>
      <c r="E395" s="762">
        <v>3.6395879795703321</v>
      </c>
      <c r="F395" s="762">
        <v>-2.1487979832830233E-2</v>
      </c>
      <c r="G395" s="762">
        <v>3.3078875283033522</v>
      </c>
      <c r="H395" s="762">
        <v>-0.27897569029065444</v>
      </c>
      <c r="I395" s="763">
        <v>2.7782222317798446</v>
      </c>
      <c r="J395" s="762">
        <v>0</v>
      </c>
      <c r="K395" s="762">
        <v>3.8535832314523311</v>
      </c>
      <c r="L395" s="762">
        <v>1.4002800061088521</v>
      </c>
      <c r="M395" s="762">
        <v>0.60120752713530745</v>
      </c>
      <c r="N395" s="762">
        <v>0</v>
      </c>
      <c r="O395" s="763">
        <v>2.2471935579465705</v>
      </c>
      <c r="P395" s="762">
        <v>0</v>
      </c>
      <c r="Q395" s="762">
        <v>0</v>
      </c>
      <c r="R395" s="762">
        <v>0</v>
      </c>
      <c r="S395" s="763">
        <v>0</v>
      </c>
      <c r="T395" s="762">
        <v>0</v>
      </c>
      <c r="U395" s="763">
        <v>0</v>
      </c>
      <c r="V395" s="762">
        <v>31.193603863506503</v>
      </c>
      <c r="W395" s="763">
        <v>2.9204425920281678</v>
      </c>
      <c r="X395" s="378"/>
      <c r="Y395" s="180"/>
      <c r="Z395" s="180"/>
      <c r="AA395" s="180"/>
      <c r="AB395" s="180"/>
    </row>
    <row r="396" spans="1:28" ht="13.5" thickTop="1">
      <c r="A396" s="230" t="s">
        <v>154</v>
      </c>
      <c r="B396" s="764" t="s">
        <v>190</v>
      </c>
      <c r="C396" s="765">
        <v>275002023</v>
      </c>
      <c r="D396" s="765"/>
      <c r="E396" s="765">
        <v>90451946</v>
      </c>
      <c r="F396" s="765">
        <v>18844628</v>
      </c>
      <c r="G396" s="765">
        <v>91278671</v>
      </c>
      <c r="H396" s="765">
        <v>28866320</v>
      </c>
      <c r="I396" s="766">
        <v>504443588</v>
      </c>
      <c r="J396" s="765">
        <v>26216443</v>
      </c>
      <c r="K396" s="765">
        <v>83382210</v>
      </c>
      <c r="L396" s="765">
        <v>16781381</v>
      </c>
      <c r="M396" s="765">
        <v>46475324</v>
      </c>
      <c r="N396" s="765"/>
      <c r="O396" s="766">
        <v>172855358</v>
      </c>
      <c r="P396" s="765">
        <v>13930748</v>
      </c>
      <c r="Q396" s="765">
        <v>85512070</v>
      </c>
      <c r="R396" s="765"/>
      <c r="S396" s="766">
        <v>99442818</v>
      </c>
      <c r="T396" s="765"/>
      <c r="U396" s="766"/>
      <c r="V396" s="765"/>
      <c r="W396" s="766">
        <v>776741764</v>
      </c>
      <c r="X396" s="378"/>
      <c r="Y396" s="180"/>
      <c r="Z396" s="180"/>
      <c r="AA396" s="180"/>
      <c r="AB396" s="180"/>
    </row>
    <row r="397" spans="1:28" s="203" customFormat="1">
      <c r="A397" s="631"/>
      <c r="B397" s="389" t="s">
        <v>4</v>
      </c>
      <c r="C397" s="392">
        <v>275002043</v>
      </c>
      <c r="D397" s="392"/>
      <c r="E397" s="392">
        <v>90451946</v>
      </c>
      <c r="F397" s="392">
        <v>18844628</v>
      </c>
      <c r="G397" s="392">
        <v>91278671</v>
      </c>
      <c r="H397" s="392">
        <v>28866320</v>
      </c>
      <c r="I397" s="750">
        <v>504443608</v>
      </c>
      <c r="J397" s="392">
        <v>26216443</v>
      </c>
      <c r="K397" s="392">
        <v>83382510</v>
      </c>
      <c r="L397" s="392">
        <v>16781381</v>
      </c>
      <c r="M397" s="392">
        <v>46475324</v>
      </c>
      <c r="N397" s="392"/>
      <c r="O397" s="750">
        <v>172855658</v>
      </c>
      <c r="P397" s="392">
        <v>13620010</v>
      </c>
      <c r="Q397" s="392">
        <v>86192778</v>
      </c>
      <c r="R397" s="392"/>
      <c r="S397" s="750">
        <v>99812788</v>
      </c>
      <c r="T397" s="392"/>
      <c r="U397" s="750"/>
      <c r="V397" s="392"/>
      <c r="W397" s="750">
        <v>777112054</v>
      </c>
      <c r="X397" s="378"/>
      <c r="Y397" s="180"/>
      <c r="Z397" s="180"/>
      <c r="AA397" s="180"/>
      <c r="AB397" s="180"/>
    </row>
    <row r="398" spans="1:28" s="202" customFormat="1">
      <c r="A398" s="632"/>
      <c r="B398" s="634" t="s">
        <v>116</v>
      </c>
      <c r="C398" s="466">
        <v>7.2726737722943956E-6</v>
      </c>
      <c r="D398" s="466">
        <v>0</v>
      </c>
      <c r="E398" s="466">
        <v>0</v>
      </c>
      <c r="F398" s="466">
        <v>0</v>
      </c>
      <c r="G398" s="466">
        <v>0</v>
      </c>
      <c r="H398" s="466">
        <v>0</v>
      </c>
      <c r="I398" s="751">
        <v>3.9647644406176889E-6</v>
      </c>
      <c r="J398" s="466">
        <v>0</v>
      </c>
      <c r="K398" s="466">
        <v>3.5978897656946249E-4</v>
      </c>
      <c r="L398" s="466">
        <v>0</v>
      </c>
      <c r="M398" s="466">
        <v>0</v>
      </c>
      <c r="N398" s="466">
        <v>0</v>
      </c>
      <c r="O398" s="751">
        <v>1.7355551107649207E-4</v>
      </c>
      <c r="P398" s="466">
        <v>-2.2305909201716951</v>
      </c>
      <c r="Q398" s="466">
        <v>0.79603733133813748</v>
      </c>
      <c r="R398" s="466">
        <v>0</v>
      </c>
      <c r="S398" s="751">
        <v>0.37204295638524648</v>
      </c>
      <c r="T398" s="466">
        <v>0</v>
      </c>
      <c r="U398" s="751">
        <v>0</v>
      </c>
      <c r="V398" s="466">
        <v>0</v>
      </c>
      <c r="W398" s="751">
        <v>4.7672214519934066E-2</v>
      </c>
      <c r="X398" s="378"/>
      <c r="Y398" s="180"/>
      <c r="Z398" s="180"/>
      <c r="AA398" s="180"/>
      <c r="AB398" s="180"/>
    </row>
    <row r="399" spans="1:28">
      <c r="A399" s="631"/>
      <c r="B399" s="388" t="s">
        <v>195</v>
      </c>
      <c r="C399" s="391"/>
      <c r="D399" s="391"/>
      <c r="E399" s="391"/>
      <c r="F399" s="391"/>
      <c r="G399" s="391"/>
      <c r="H399" s="391"/>
      <c r="I399" s="749"/>
      <c r="J399" s="391"/>
      <c r="K399" s="391"/>
      <c r="L399" s="391"/>
      <c r="M399" s="391"/>
      <c r="N399" s="391"/>
      <c r="O399" s="749"/>
      <c r="P399" s="391"/>
      <c r="Q399" s="391"/>
      <c r="R399" s="391"/>
      <c r="S399" s="749"/>
      <c r="T399" s="391"/>
      <c r="U399" s="749"/>
      <c r="V399" s="391">
        <v>15652609</v>
      </c>
      <c r="W399" s="749">
        <v>15652609</v>
      </c>
      <c r="X399" s="378"/>
      <c r="Y399" s="180"/>
      <c r="Z399" s="180"/>
      <c r="AA399" s="180"/>
      <c r="AB399" s="180"/>
    </row>
    <row r="400" spans="1:28" s="203" customFormat="1">
      <c r="A400" s="631"/>
      <c r="B400" s="389" t="s">
        <v>242</v>
      </c>
      <c r="C400" s="392"/>
      <c r="D400" s="392"/>
      <c r="E400" s="392"/>
      <c r="F400" s="392"/>
      <c r="G400" s="392"/>
      <c r="H400" s="392"/>
      <c r="I400" s="750"/>
      <c r="J400" s="392"/>
      <c r="K400" s="392"/>
      <c r="L400" s="392"/>
      <c r="M400" s="392"/>
      <c r="N400" s="392"/>
      <c r="O400" s="750"/>
      <c r="P400" s="392"/>
      <c r="Q400" s="392"/>
      <c r="R400" s="392"/>
      <c r="S400" s="750"/>
      <c r="T400" s="392"/>
      <c r="U400" s="750"/>
      <c r="V400" s="392">
        <v>15652609</v>
      </c>
      <c r="W400" s="750">
        <v>15652609</v>
      </c>
      <c r="X400" s="378"/>
      <c r="Y400" s="180"/>
      <c r="Z400" s="180"/>
      <c r="AA400" s="180"/>
      <c r="AB400" s="180"/>
    </row>
    <row r="401" spans="1:28" s="202" customFormat="1">
      <c r="A401" s="631"/>
      <c r="B401" s="634" t="s">
        <v>244</v>
      </c>
      <c r="C401" s="466">
        <v>0</v>
      </c>
      <c r="D401" s="466">
        <v>0</v>
      </c>
      <c r="E401" s="466">
        <v>0</v>
      </c>
      <c r="F401" s="466">
        <v>0</v>
      </c>
      <c r="G401" s="466">
        <v>0</v>
      </c>
      <c r="H401" s="466">
        <v>0</v>
      </c>
      <c r="I401" s="751">
        <v>0</v>
      </c>
      <c r="J401" s="466">
        <v>0</v>
      </c>
      <c r="K401" s="466">
        <v>0</v>
      </c>
      <c r="L401" s="466">
        <v>0</v>
      </c>
      <c r="M401" s="466">
        <v>0</v>
      </c>
      <c r="N401" s="466">
        <v>0</v>
      </c>
      <c r="O401" s="751">
        <v>0</v>
      </c>
      <c r="P401" s="466">
        <v>0</v>
      </c>
      <c r="Q401" s="466">
        <v>0</v>
      </c>
      <c r="R401" s="466">
        <v>0</v>
      </c>
      <c r="S401" s="751">
        <v>0</v>
      </c>
      <c r="T401" s="466">
        <v>0</v>
      </c>
      <c r="U401" s="751">
        <v>0</v>
      </c>
      <c r="V401" s="466">
        <v>0</v>
      </c>
      <c r="W401" s="751">
        <v>0</v>
      </c>
      <c r="X401" s="378"/>
      <c r="Y401" s="180"/>
      <c r="Z401" s="180"/>
      <c r="AA401" s="180"/>
      <c r="AB401" s="180"/>
    </row>
    <row r="402" spans="1:28">
      <c r="A402" s="631"/>
      <c r="B402" s="388" t="s">
        <v>5</v>
      </c>
      <c r="C402" s="391"/>
      <c r="D402" s="391"/>
      <c r="E402" s="391"/>
      <c r="F402" s="391"/>
      <c r="G402" s="391"/>
      <c r="H402" s="391"/>
      <c r="I402" s="749"/>
      <c r="J402" s="391"/>
      <c r="K402" s="391">
        <v>46625073</v>
      </c>
      <c r="L402" s="391"/>
      <c r="M402" s="391"/>
      <c r="N402" s="391"/>
      <c r="O402" s="749">
        <v>46625073</v>
      </c>
      <c r="P402" s="391"/>
      <c r="Q402" s="391"/>
      <c r="R402" s="391"/>
      <c r="S402" s="749"/>
      <c r="T402" s="391"/>
      <c r="U402" s="749"/>
      <c r="V402" s="391"/>
      <c r="W402" s="749">
        <v>46625073</v>
      </c>
      <c r="X402" s="378"/>
      <c r="Y402" s="180"/>
      <c r="Z402" s="180"/>
      <c r="AA402" s="180"/>
      <c r="AB402" s="180"/>
    </row>
    <row r="403" spans="1:28" s="203" customFormat="1">
      <c r="A403" s="631"/>
      <c r="B403" s="389" t="s">
        <v>6</v>
      </c>
      <c r="C403" s="392"/>
      <c r="D403" s="392"/>
      <c r="E403" s="392"/>
      <c r="F403" s="392"/>
      <c r="G403" s="392"/>
      <c r="H403" s="392"/>
      <c r="I403" s="750"/>
      <c r="J403" s="392"/>
      <c r="K403" s="392">
        <v>43212149</v>
      </c>
      <c r="L403" s="392"/>
      <c r="M403" s="392"/>
      <c r="N403" s="392"/>
      <c r="O403" s="750">
        <v>43212149</v>
      </c>
      <c r="P403" s="392"/>
      <c r="Q403" s="392"/>
      <c r="R403" s="392"/>
      <c r="S403" s="750"/>
      <c r="T403" s="392"/>
      <c r="U403" s="750"/>
      <c r="V403" s="392"/>
      <c r="W403" s="750">
        <v>43212149</v>
      </c>
      <c r="X403" s="378"/>
      <c r="Y403" s="180"/>
      <c r="Z403" s="180"/>
      <c r="AA403" s="180"/>
      <c r="AB403" s="180"/>
    </row>
    <row r="404" spans="1:28" s="202" customFormat="1">
      <c r="A404" s="631"/>
      <c r="B404" s="634" t="s">
        <v>298</v>
      </c>
      <c r="C404" s="466">
        <v>0</v>
      </c>
      <c r="D404" s="466">
        <v>0</v>
      </c>
      <c r="E404" s="466">
        <v>0</v>
      </c>
      <c r="F404" s="466">
        <v>0</v>
      </c>
      <c r="G404" s="466">
        <v>0</v>
      </c>
      <c r="H404" s="466">
        <v>0</v>
      </c>
      <c r="I404" s="751">
        <v>0</v>
      </c>
      <c r="J404" s="466">
        <v>0</v>
      </c>
      <c r="K404" s="466">
        <v>-7.3199327752258956</v>
      </c>
      <c r="L404" s="466">
        <v>0</v>
      </c>
      <c r="M404" s="466">
        <v>0</v>
      </c>
      <c r="N404" s="466">
        <v>0</v>
      </c>
      <c r="O404" s="751">
        <v>-7.3199327752258956</v>
      </c>
      <c r="P404" s="466">
        <v>0</v>
      </c>
      <c r="Q404" s="466">
        <v>0</v>
      </c>
      <c r="R404" s="466">
        <v>0</v>
      </c>
      <c r="S404" s="751">
        <v>0</v>
      </c>
      <c r="T404" s="466">
        <v>0</v>
      </c>
      <c r="U404" s="751">
        <v>0</v>
      </c>
      <c r="V404" s="466">
        <v>0</v>
      </c>
      <c r="W404" s="751">
        <v>-7.3199327752258956</v>
      </c>
      <c r="X404" s="378"/>
      <c r="Y404" s="180"/>
      <c r="Z404" s="180"/>
      <c r="AA404" s="180"/>
      <c r="AB404" s="180"/>
    </row>
    <row r="405" spans="1:28">
      <c r="A405" s="631"/>
      <c r="B405" s="388" t="s">
        <v>223</v>
      </c>
      <c r="C405" s="391">
        <v>484408603</v>
      </c>
      <c r="D405" s="391"/>
      <c r="E405" s="391">
        <v>134409143</v>
      </c>
      <c r="F405" s="391">
        <v>26379334</v>
      </c>
      <c r="G405" s="391">
        <v>100362602</v>
      </c>
      <c r="H405" s="391">
        <v>32036374</v>
      </c>
      <c r="I405" s="749">
        <v>777596056</v>
      </c>
      <c r="J405" s="391">
        <v>28505372</v>
      </c>
      <c r="K405" s="391">
        <v>76245647</v>
      </c>
      <c r="L405" s="391">
        <v>19945646</v>
      </c>
      <c r="M405" s="391">
        <v>38101198</v>
      </c>
      <c r="N405" s="391"/>
      <c r="O405" s="749">
        <v>162797863</v>
      </c>
      <c r="P405" s="391">
        <v>5188222</v>
      </c>
      <c r="Q405" s="391">
        <v>22751771</v>
      </c>
      <c r="R405" s="391"/>
      <c r="S405" s="749">
        <v>27939993</v>
      </c>
      <c r="T405" s="391"/>
      <c r="U405" s="749"/>
      <c r="V405" s="391"/>
      <c r="W405" s="749">
        <v>968333912</v>
      </c>
      <c r="X405" s="378"/>
      <c r="Y405" s="180"/>
      <c r="Z405" s="180"/>
      <c r="AA405" s="180"/>
      <c r="AB405" s="180"/>
    </row>
    <row r="406" spans="1:28" s="203" customFormat="1">
      <c r="A406" s="631"/>
      <c r="B406" s="389" t="s">
        <v>14</v>
      </c>
      <c r="C406" s="392">
        <v>517218877</v>
      </c>
      <c r="D406" s="392"/>
      <c r="E406" s="392">
        <v>143249503</v>
      </c>
      <c r="F406" s="392">
        <v>27501405</v>
      </c>
      <c r="G406" s="392">
        <v>108393772</v>
      </c>
      <c r="H406" s="392">
        <v>31337688</v>
      </c>
      <c r="I406" s="750">
        <v>827701245</v>
      </c>
      <c r="J406" s="392">
        <v>28388378</v>
      </c>
      <c r="K406" s="392">
        <v>78605957</v>
      </c>
      <c r="L406" s="392">
        <v>20217536</v>
      </c>
      <c r="M406" s="392">
        <v>37492461</v>
      </c>
      <c r="N406" s="392"/>
      <c r="O406" s="750">
        <v>164704332</v>
      </c>
      <c r="P406" s="392">
        <v>6583108</v>
      </c>
      <c r="Q406" s="392">
        <v>24137752</v>
      </c>
      <c r="R406" s="392"/>
      <c r="S406" s="750">
        <v>30720860</v>
      </c>
      <c r="T406" s="392"/>
      <c r="U406" s="750"/>
      <c r="V406" s="392"/>
      <c r="W406" s="750">
        <v>1023126437</v>
      </c>
      <c r="X406" s="378"/>
      <c r="Y406" s="180"/>
      <c r="Z406" s="180"/>
      <c r="AA406" s="180"/>
      <c r="AB406" s="180"/>
    </row>
    <row r="407" spans="1:28" s="202" customFormat="1">
      <c r="A407" s="631"/>
      <c r="B407" s="634" t="s">
        <v>247</v>
      </c>
      <c r="C407" s="466">
        <v>6.7732640991101478</v>
      </c>
      <c r="D407" s="466">
        <v>0</v>
      </c>
      <c r="E407" s="466">
        <v>6.5772013738678474</v>
      </c>
      <c r="F407" s="466">
        <v>4.2535986693219776</v>
      </c>
      <c r="G407" s="466">
        <v>8.0021540294461477</v>
      </c>
      <c r="H407" s="466">
        <v>-2.1809147314861539</v>
      </c>
      <c r="I407" s="751">
        <v>6.4436012262901698</v>
      </c>
      <c r="J407" s="466">
        <v>-0.4104279010987823</v>
      </c>
      <c r="K407" s="466">
        <v>3.095665251552</v>
      </c>
      <c r="L407" s="466">
        <v>1.3631546453797485</v>
      </c>
      <c r="M407" s="466">
        <v>-1.5976846712273982</v>
      </c>
      <c r="N407" s="466">
        <v>0</v>
      </c>
      <c r="O407" s="751">
        <v>1.1710651263278562</v>
      </c>
      <c r="P407" s="1461">
        <v>26.885626713737381</v>
      </c>
      <c r="Q407" s="466">
        <v>6.0917499565198678</v>
      </c>
      <c r="R407" s="466">
        <v>0</v>
      </c>
      <c r="S407" s="751">
        <v>9.9529981986752816</v>
      </c>
      <c r="T407" s="466">
        <v>0</v>
      </c>
      <c r="U407" s="751">
        <v>0</v>
      </c>
      <c r="V407" s="466">
        <v>0</v>
      </c>
      <c r="W407" s="751">
        <v>5.6584329352703699</v>
      </c>
      <c r="X407" s="378"/>
      <c r="Y407" s="180"/>
      <c r="Z407" s="180"/>
      <c r="AA407" s="180"/>
      <c r="AB407" s="180"/>
    </row>
    <row r="408" spans="1:28">
      <c r="A408" s="631"/>
      <c r="B408" s="388" t="s">
        <v>225</v>
      </c>
      <c r="C408" s="391"/>
      <c r="D408" s="391"/>
      <c r="E408" s="391"/>
      <c r="F408" s="391"/>
      <c r="G408" s="391"/>
      <c r="H408" s="391"/>
      <c r="I408" s="749"/>
      <c r="J408" s="391"/>
      <c r="K408" s="391"/>
      <c r="L408" s="391"/>
      <c r="M408" s="391"/>
      <c r="N408" s="391"/>
      <c r="O408" s="749"/>
      <c r="P408" s="391"/>
      <c r="Q408" s="391"/>
      <c r="R408" s="391"/>
      <c r="S408" s="749"/>
      <c r="T408" s="391"/>
      <c r="U408" s="749"/>
      <c r="V408" s="391"/>
      <c r="W408" s="749"/>
      <c r="X408" s="378"/>
      <c r="Y408" s="180"/>
      <c r="Z408" s="180"/>
      <c r="AA408" s="180"/>
      <c r="AB408" s="180"/>
    </row>
    <row r="409" spans="1:28" s="203" customFormat="1">
      <c r="A409" s="631"/>
      <c r="B409" s="389" t="s">
        <v>166</v>
      </c>
      <c r="C409" s="392"/>
      <c r="D409" s="392"/>
      <c r="E409" s="392"/>
      <c r="F409" s="392"/>
      <c r="G409" s="392"/>
      <c r="H409" s="392"/>
      <c r="I409" s="750"/>
      <c r="J409" s="392"/>
      <c r="K409" s="392"/>
      <c r="L409" s="392"/>
      <c r="M409" s="392"/>
      <c r="N409" s="392"/>
      <c r="O409" s="750"/>
      <c r="P409" s="392"/>
      <c r="Q409" s="392"/>
      <c r="R409" s="392"/>
      <c r="S409" s="750"/>
      <c r="T409" s="392"/>
      <c r="U409" s="750"/>
      <c r="V409" s="392"/>
      <c r="W409" s="750"/>
      <c r="X409" s="378"/>
      <c r="Y409" s="180"/>
      <c r="Z409" s="180"/>
      <c r="AA409" s="180"/>
      <c r="AB409" s="180"/>
    </row>
    <row r="410" spans="1:28" s="202" customFormat="1">
      <c r="A410" s="631"/>
      <c r="B410" s="634" t="s">
        <v>175</v>
      </c>
      <c r="C410" s="466">
        <v>0</v>
      </c>
      <c r="D410" s="466">
        <v>0</v>
      </c>
      <c r="E410" s="466">
        <v>0</v>
      </c>
      <c r="F410" s="466">
        <v>0</v>
      </c>
      <c r="G410" s="466">
        <v>0</v>
      </c>
      <c r="H410" s="466">
        <v>0</v>
      </c>
      <c r="I410" s="751">
        <v>0</v>
      </c>
      <c r="J410" s="466">
        <v>0</v>
      </c>
      <c r="K410" s="466">
        <v>0</v>
      </c>
      <c r="L410" s="466">
        <v>0</v>
      </c>
      <c r="M410" s="466">
        <v>0</v>
      </c>
      <c r="N410" s="466">
        <v>0</v>
      </c>
      <c r="O410" s="751">
        <v>0</v>
      </c>
      <c r="P410" s="466">
        <v>0</v>
      </c>
      <c r="Q410" s="466">
        <v>0</v>
      </c>
      <c r="R410" s="466">
        <v>0</v>
      </c>
      <c r="S410" s="751">
        <v>0</v>
      </c>
      <c r="T410" s="466">
        <v>0</v>
      </c>
      <c r="U410" s="751">
        <v>0</v>
      </c>
      <c r="V410" s="466">
        <v>0</v>
      </c>
      <c r="W410" s="751">
        <v>0</v>
      </c>
      <c r="X410" s="378"/>
      <c r="Y410" s="180"/>
      <c r="Z410" s="180"/>
      <c r="AA410" s="180"/>
      <c r="AB410" s="180"/>
    </row>
    <row r="411" spans="1:28">
      <c r="A411" s="631"/>
      <c r="B411" s="752" t="s">
        <v>317</v>
      </c>
      <c r="C411" s="749">
        <v>484408603</v>
      </c>
      <c r="D411" s="749"/>
      <c r="E411" s="749">
        <v>134409143</v>
      </c>
      <c r="F411" s="749">
        <v>26379334</v>
      </c>
      <c r="G411" s="749">
        <v>100362602</v>
      </c>
      <c r="H411" s="749">
        <v>32036374</v>
      </c>
      <c r="I411" s="749">
        <v>777596056</v>
      </c>
      <c r="J411" s="749">
        <v>28505372</v>
      </c>
      <c r="K411" s="749">
        <v>76245647</v>
      </c>
      <c r="L411" s="749">
        <v>19945646</v>
      </c>
      <c r="M411" s="749">
        <v>38101198</v>
      </c>
      <c r="N411" s="749"/>
      <c r="O411" s="749">
        <v>162797863</v>
      </c>
      <c r="P411" s="749">
        <v>5188222</v>
      </c>
      <c r="Q411" s="749">
        <v>22751771</v>
      </c>
      <c r="R411" s="749"/>
      <c r="S411" s="749">
        <v>27939993</v>
      </c>
      <c r="T411" s="749"/>
      <c r="U411" s="749"/>
      <c r="V411" s="749">
        <v>0</v>
      </c>
      <c r="W411" s="749">
        <v>968333912</v>
      </c>
      <c r="X411" s="378"/>
      <c r="Y411" s="180"/>
      <c r="Z411" s="180"/>
      <c r="AA411" s="180"/>
      <c r="AB411" s="180"/>
    </row>
    <row r="412" spans="1:28" s="203" customFormat="1">
      <c r="A412" s="631"/>
      <c r="B412" s="753" t="s">
        <v>70</v>
      </c>
      <c r="C412" s="750">
        <v>517218877</v>
      </c>
      <c r="D412" s="750"/>
      <c r="E412" s="750">
        <v>143249503</v>
      </c>
      <c r="F412" s="750">
        <v>27501405</v>
      </c>
      <c r="G412" s="750">
        <v>108393772</v>
      </c>
      <c r="H412" s="750">
        <v>31337688</v>
      </c>
      <c r="I412" s="750">
        <v>827701245</v>
      </c>
      <c r="J412" s="750">
        <v>28388378</v>
      </c>
      <c r="K412" s="750">
        <v>78605957</v>
      </c>
      <c r="L412" s="750">
        <v>20217536</v>
      </c>
      <c r="M412" s="750">
        <v>37492461</v>
      </c>
      <c r="N412" s="750"/>
      <c r="O412" s="750">
        <v>164704332</v>
      </c>
      <c r="P412" s="750">
        <v>6583108</v>
      </c>
      <c r="Q412" s="750">
        <v>24137752</v>
      </c>
      <c r="R412" s="750"/>
      <c r="S412" s="750">
        <v>30720860</v>
      </c>
      <c r="T412" s="750"/>
      <c r="U412" s="750"/>
      <c r="V412" s="750">
        <v>0</v>
      </c>
      <c r="W412" s="750">
        <v>1023126437</v>
      </c>
      <c r="X412" s="378"/>
      <c r="Y412" s="180"/>
      <c r="Z412" s="180"/>
      <c r="AA412" s="180"/>
      <c r="AB412" s="180"/>
    </row>
    <row r="413" spans="1:28" s="202" customFormat="1">
      <c r="A413" s="631"/>
      <c r="B413" s="754" t="s">
        <v>57</v>
      </c>
      <c r="C413" s="751">
        <v>6.7732640991101478</v>
      </c>
      <c r="D413" s="751">
        <v>0</v>
      </c>
      <c r="E413" s="751">
        <v>6.5772013738678474</v>
      </c>
      <c r="F413" s="751">
        <v>4.2535986693219776</v>
      </c>
      <c r="G413" s="751">
        <v>8.0021540294461477</v>
      </c>
      <c r="H413" s="751">
        <v>-2.1809147314861539</v>
      </c>
      <c r="I413" s="751">
        <v>6.4436012262901698</v>
      </c>
      <c r="J413" s="751">
        <v>-0.4104279010987823</v>
      </c>
      <c r="K413" s="751">
        <v>3.095665251552</v>
      </c>
      <c r="L413" s="751">
        <v>1.3631546453797485</v>
      </c>
      <c r="M413" s="751">
        <v>-1.5976846712273982</v>
      </c>
      <c r="N413" s="751">
        <v>0</v>
      </c>
      <c r="O413" s="751">
        <v>1.1710651263278562</v>
      </c>
      <c r="P413" s="751">
        <v>26.885626713737381</v>
      </c>
      <c r="Q413" s="751">
        <v>6.0917499565198678</v>
      </c>
      <c r="R413" s="751">
        <v>0</v>
      </c>
      <c r="S413" s="751">
        <v>9.9529981986752816</v>
      </c>
      <c r="T413" s="751">
        <v>0</v>
      </c>
      <c r="U413" s="751">
        <v>0</v>
      </c>
      <c r="V413" s="751">
        <v>0</v>
      </c>
      <c r="W413" s="751">
        <v>5.6584329352703699</v>
      </c>
      <c r="X413" s="378"/>
      <c r="Y413" s="180"/>
      <c r="Z413" s="180"/>
      <c r="AA413" s="180"/>
      <c r="AB413" s="180"/>
    </row>
    <row r="414" spans="1:28">
      <c r="A414" s="631"/>
      <c r="B414" s="388" t="s">
        <v>72</v>
      </c>
      <c r="C414" s="391"/>
      <c r="D414" s="391"/>
      <c r="E414" s="391"/>
      <c r="F414" s="391"/>
      <c r="G414" s="391"/>
      <c r="H414" s="391"/>
      <c r="I414" s="749"/>
      <c r="J414" s="391"/>
      <c r="K414" s="391"/>
      <c r="L414" s="391"/>
      <c r="M414" s="391"/>
      <c r="N414" s="391"/>
      <c r="O414" s="749"/>
      <c r="P414" s="391"/>
      <c r="Q414" s="391"/>
      <c r="R414" s="391"/>
      <c r="S414" s="749"/>
      <c r="T414" s="391"/>
      <c r="U414" s="749"/>
      <c r="V414" s="391">
        <v>90779494</v>
      </c>
      <c r="W414" s="749">
        <v>90779494</v>
      </c>
      <c r="X414" s="378"/>
      <c r="Y414" s="180"/>
      <c r="Z414" s="180"/>
      <c r="AA414" s="180"/>
      <c r="AB414" s="180"/>
    </row>
    <row r="415" spans="1:28" s="203" customFormat="1">
      <c r="A415" s="631"/>
      <c r="B415" s="389" t="s">
        <v>74</v>
      </c>
      <c r="C415" s="392"/>
      <c r="D415" s="392"/>
      <c r="E415" s="392"/>
      <c r="F415" s="392"/>
      <c r="G415" s="392"/>
      <c r="H415" s="392"/>
      <c r="I415" s="750"/>
      <c r="J415" s="392"/>
      <c r="K415" s="392"/>
      <c r="L415" s="392"/>
      <c r="M415" s="392"/>
      <c r="N415" s="392"/>
      <c r="O415" s="750"/>
      <c r="P415" s="392"/>
      <c r="Q415" s="392"/>
      <c r="R415" s="392"/>
      <c r="S415" s="750"/>
      <c r="T415" s="392"/>
      <c r="U415" s="750"/>
      <c r="V415" s="392">
        <v>90779494</v>
      </c>
      <c r="W415" s="750">
        <v>90779494</v>
      </c>
      <c r="X415" s="378"/>
      <c r="Y415" s="180"/>
      <c r="Z415" s="180"/>
      <c r="AA415" s="180"/>
      <c r="AB415" s="180"/>
    </row>
    <row r="416" spans="1:28" s="202" customFormat="1">
      <c r="A416" s="631"/>
      <c r="B416" s="634" t="s">
        <v>76</v>
      </c>
      <c r="C416" s="466">
        <v>0</v>
      </c>
      <c r="D416" s="466">
        <v>0</v>
      </c>
      <c r="E416" s="466">
        <v>0</v>
      </c>
      <c r="F416" s="466">
        <v>0</v>
      </c>
      <c r="G416" s="466">
        <v>0</v>
      </c>
      <c r="H416" s="466">
        <v>0</v>
      </c>
      <c r="I416" s="751">
        <v>0</v>
      </c>
      <c r="J416" s="466">
        <v>0</v>
      </c>
      <c r="K416" s="466">
        <v>0</v>
      </c>
      <c r="L416" s="466">
        <v>0</v>
      </c>
      <c r="M416" s="466">
        <v>0</v>
      </c>
      <c r="N416" s="466">
        <v>0</v>
      </c>
      <c r="O416" s="751">
        <v>0</v>
      </c>
      <c r="P416" s="466">
        <v>0</v>
      </c>
      <c r="Q416" s="466">
        <v>0</v>
      </c>
      <c r="R416" s="466">
        <v>0</v>
      </c>
      <c r="S416" s="751">
        <v>0</v>
      </c>
      <c r="T416" s="466">
        <v>0</v>
      </c>
      <c r="U416" s="751">
        <v>0</v>
      </c>
      <c r="V416" s="466">
        <v>0</v>
      </c>
      <c r="W416" s="751">
        <v>0</v>
      </c>
      <c r="X416" s="378"/>
      <c r="Y416" s="180"/>
      <c r="Z416" s="180"/>
      <c r="AA416" s="180"/>
      <c r="AB416" s="180"/>
    </row>
    <row r="417" spans="1:28">
      <c r="A417" s="631"/>
      <c r="B417" s="388" t="s">
        <v>240</v>
      </c>
      <c r="C417" s="391"/>
      <c r="D417" s="391"/>
      <c r="E417" s="391"/>
      <c r="F417" s="391"/>
      <c r="G417" s="391"/>
      <c r="H417" s="391"/>
      <c r="I417" s="749"/>
      <c r="J417" s="391"/>
      <c r="K417" s="391"/>
      <c r="L417" s="391"/>
      <c r="M417" s="391"/>
      <c r="N417" s="391"/>
      <c r="O417" s="749"/>
      <c r="P417" s="391"/>
      <c r="Q417" s="391"/>
      <c r="R417" s="391"/>
      <c r="S417" s="749"/>
      <c r="T417" s="391"/>
      <c r="U417" s="749"/>
      <c r="V417" s="391"/>
      <c r="W417" s="749"/>
      <c r="X417" s="378"/>
      <c r="Y417" s="180"/>
      <c r="Z417" s="180"/>
      <c r="AA417" s="180"/>
      <c r="AB417" s="180"/>
    </row>
    <row r="418" spans="1:28" s="203" customFormat="1">
      <c r="A418" s="631"/>
      <c r="B418" s="389" t="s">
        <v>163</v>
      </c>
      <c r="C418" s="392"/>
      <c r="D418" s="392"/>
      <c r="E418" s="392"/>
      <c r="F418" s="392"/>
      <c r="G418" s="392"/>
      <c r="H418" s="392"/>
      <c r="I418" s="750"/>
      <c r="J418" s="392"/>
      <c r="K418" s="392"/>
      <c r="L418" s="392"/>
      <c r="M418" s="392"/>
      <c r="N418" s="392"/>
      <c r="O418" s="750"/>
      <c r="P418" s="392"/>
      <c r="Q418" s="392"/>
      <c r="R418" s="392"/>
      <c r="S418" s="750"/>
      <c r="T418" s="392"/>
      <c r="U418" s="750"/>
      <c r="V418" s="392"/>
      <c r="W418" s="750"/>
      <c r="X418" s="378"/>
      <c r="Y418" s="180"/>
      <c r="Z418" s="180"/>
      <c r="AA418" s="180"/>
      <c r="AB418" s="180"/>
    </row>
    <row r="419" spans="1:28" s="202" customFormat="1">
      <c r="A419" s="631"/>
      <c r="B419" s="634" t="s">
        <v>59</v>
      </c>
      <c r="C419" s="466">
        <v>0</v>
      </c>
      <c r="D419" s="466">
        <v>0</v>
      </c>
      <c r="E419" s="466">
        <v>0</v>
      </c>
      <c r="F419" s="466">
        <v>0</v>
      </c>
      <c r="G419" s="466">
        <v>0</v>
      </c>
      <c r="H419" s="466">
        <v>0</v>
      </c>
      <c r="I419" s="751">
        <v>0</v>
      </c>
      <c r="J419" s="466">
        <v>0</v>
      </c>
      <c r="K419" s="466">
        <v>0</v>
      </c>
      <c r="L419" s="466">
        <v>0</v>
      </c>
      <c r="M419" s="466">
        <v>0</v>
      </c>
      <c r="N419" s="466">
        <v>0</v>
      </c>
      <c r="O419" s="751">
        <v>0</v>
      </c>
      <c r="P419" s="466">
        <v>0</v>
      </c>
      <c r="Q419" s="466">
        <v>0</v>
      </c>
      <c r="R419" s="466">
        <v>0</v>
      </c>
      <c r="S419" s="751">
        <v>0</v>
      </c>
      <c r="T419" s="466">
        <v>0</v>
      </c>
      <c r="U419" s="751">
        <v>0</v>
      </c>
      <c r="V419" s="466">
        <v>0</v>
      </c>
      <c r="W419" s="751">
        <v>0</v>
      </c>
      <c r="X419" s="378"/>
      <c r="Y419" s="180"/>
      <c r="Z419" s="180"/>
      <c r="AA419" s="180"/>
      <c r="AB419" s="180"/>
    </row>
    <row r="420" spans="1:28">
      <c r="A420" s="631"/>
      <c r="B420" s="388" t="s">
        <v>159</v>
      </c>
      <c r="C420" s="391"/>
      <c r="D420" s="391"/>
      <c r="E420" s="391"/>
      <c r="F420" s="391"/>
      <c r="G420" s="391"/>
      <c r="H420" s="391"/>
      <c r="I420" s="749"/>
      <c r="J420" s="391"/>
      <c r="K420" s="391"/>
      <c r="L420" s="391"/>
      <c r="M420" s="391"/>
      <c r="N420" s="391"/>
      <c r="O420" s="749"/>
      <c r="P420" s="391"/>
      <c r="Q420" s="391"/>
      <c r="R420" s="391"/>
      <c r="S420" s="749"/>
      <c r="T420" s="391"/>
      <c r="U420" s="749"/>
      <c r="V420" s="391"/>
      <c r="W420" s="749"/>
      <c r="X420" s="378"/>
      <c r="Y420" s="180"/>
      <c r="Z420" s="180"/>
      <c r="AA420" s="180"/>
      <c r="AB420" s="180"/>
    </row>
    <row r="421" spans="1:28" s="203" customFormat="1">
      <c r="A421" s="631"/>
      <c r="B421" s="389" t="s">
        <v>100</v>
      </c>
      <c r="C421" s="392"/>
      <c r="D421" s="392"/>
      <c r="E421" s="392"/>
      <c r="F421" s="392"/>
      <c r="G421" s="392"/>
      <c r="H421" s="392"/>
      <c r="I421" s="750"/>
      <c r="J421" s="392"/>
      <c r="K421" s="392"/>
      <c r="L421" s="392"/>
      <c r="M421" s="392"/>
      <c r="N421" s="392"/>
      <c r="O421" s="750"/>
      <c r="P421" s="392"/>
      <c r="Q421" s="392"/>
      <c r="R421" s="392"/>
      <c r="S421" s="750"/>
      <c r="T421" s="392"/>
      <c r="U421" s="750"/>
      <c r="V421" s="392"/>
      <c r="W421" s="750"/>
      <c r="X421" s="378"/>
      <c r="Y421" s="180"/>
      <c r="Z421" s="180"/>
      <c r="AA421" s="180"/>
      <c r="AB421" s="180"/>
    </row>
    <row r="422" spans="1:28" s="202" customFormat="1">
      <c r="A422" s="631"/>
      <c r="B422" s="634" t="s">
        <v>110</v>
      </c>
      <c r="C422" s="466">
        <v>0</v>
      </c>
      <c r="D422" s="466">
        <v>0</v>
      </c>
      <c r="E422" s="466">
        <v>0</v>
      </c>
      <c r="F422" s="466">
        <v>0</v>
      </c>
      <c r="G422" s="466">
        <v>0</v>
      </c>
      <c r="H422" s="466">
        <v>0</v>
      </c>
      <c r="I422" s="751">
        <v>0</v>
      </c>
      <c r="J422" s="466">
        <v>0</v>
      </c>
      <c r="K422" s="466">
        <v>0</v>
      </c>
      <c r="L422" s="466">
        <v>0</v>
      </c>
      <c r="M422" s="466">
        <v>0</v>
      </c>
      <c r="N422" s="466">
        <v>0</v>
      </c>
      <c r="O422" s="751">
        <v>0</v>
      </c>
      <c r="P422" s="466">
        <v>0</v>
      </c>
      <c r="Q422" s="466">
        <v>0</v>
      </c>
      <c r="R422" s="466">
        <v>0</v>
      </c>
      <c r="S422" s="751">
        <v>0</v>
      </c>
      <c r="T422" s="466">
        <v>0</v>
      </c>
      <c r="U422" s="751">
        <v>0</v>
      </c>
      <c r="V422" s="466">
        <v>0</v>
      </c>
      <c r="W422" s="751">
        <v>0</v>
      </c>
      <c r="X422" s="378"/>
      <c r="Y422" s="180"/>
      <c r="Z422" s="180"/>
      <c r="AA422" s="180"/>
      <c r="AB422" s="180"/>
    </row>
    <row r="423" spans="1:28">
      <c r="A423" s="631"/>
      <c r="B423" s="388" t="s">
        <v>161</v>
      </c>
      <c r="C423" s="391">
        <v>0</v>
      </c>
      <c r="D423" s="391"/>
      <c r="E423" s="391">
        <v>0</v>
      </c>
      <c r="F423" s="391">
        <v>0</v>
      </c>
      <c r="G423" s="391">
        <v>0</v>
      </c>
      <c r="H423" s="391">
        <v>0</v>
      </c>
      <c r="I423" s="749">
        <v>0</v>
      </c>
      <c r="J423" s="391">
        <v>0</v>
      </c>
      <c r="K423" s="391">
        <v>0</v>
      </c>
      <c r="L423" s="391">
        <v>0</v>
      </c>
      <c r="M423" s="391">
        <v>0</v>
      </c>
      <c r="N423" s="391"/>
      <c r="O423" s="749">
        <v>0</v>
      </c>
      <c r="P423" s="391">
        <v>0</v>
      </c>
      <c r="Q423" s="391">
        <v>0</v>
      </c>
      <c r="R423" s="391"/>
      <c r="S423" s="749">
        <v>0</v>
      </c>
      <c r="T423" s="391"/>
      <c r="U423" s="749"/>
      <c r="V423" s="391">
        <v>0</v>
      </c>
      <c r="W423" s="749">
        <v>0</v>
      </c>
      <c r="X423" s="378"/>
      <c r="Y423" s="180"/>
      <c r="Z423" s="180"/>
      <c r="AA423" s="180"/>
      <c r="AB423" s="180"/>
    </row>
    <row r="424" spans="1:28" s="203" customFormat="1">
      <c r="A424" s="631"/>
      <c r="B424" s="389" t="s">
        <v>102</v>
      </c>
      <c r="C424" s="392">
        <v>0</v>
      </c>
      <c r="D424" s="392"/>
      <c r="E424" s="392">
        <v>0</v>
      </c>
      <c r="F424" s="392">
        <v>0</v>
      </c>
      <c r="G424" s="392">
        <v>0</v>
      </c>
      <c r="H424" s="392">
        <v>0</v>
      </c>
      <c r="I424" s="750">
        <v>0</v>
      </c>
      <c r="J424" s="392">
        <v>0</v>
      </c>
      <c r="K424" s="392">
        <v>0</v>
      </c>
      <c r="L424" s="392">
        <v>0</v>
      </c>
      <c r="M424" s="392">
        <v>0</v>
      </c>
      <c r="N424" s="392"/>
      <c r="O424" s="750">
        <v>0</v>
      </c>
      <c r="P424" s="392">
        <v>0</v>
      </c>
      <c r="Q424" s="392">
        <v>0</v>
      </c>
      <c r="R424" s="392"/>
      <c r="S424" s="750">
        <v>0</v>
      </c>
      <c r="T424" s="392"/>
      <c r="U424" s="750"/>
      <c r="V424" s="392">
        <v>0</v>
      </c>
      <c r="W424" s="750">
        <v>0</v>
      </c>
      <c r="X424" s="378"/>
      <c r="Y424" s="180"/>
      <c r="Z424" s="180"/>
      <c r="AA424" s="180"/>
      <c r="AB424" s="180"/>
    </row>
    <row r="425" spans="1:28" s="202" customFormat="1">
      <c r="A425" s="631"/>
      <c r="B425" s="634" t="s">
        <v>183</v>
      </c>
      <c r="C425" s="466">
        <v>0</v>
      </c>
      <c r="D425" s="466">
        <v>0</v>
      </c>
      <c r="E425" s="466">
        <v>0</v>
      </c>
      <c r="F425" s="466">
        <v>0</v>
      </c>
      <c r="G425" s="466">
        <v>0</v>
      </c>
      <c r="H425" s="466">
        <v>0</v>
      </c>
      <c r="I425" s="751">
        <v>0</v>
      </c>
      <c r="J425" s="466">
        <v>0</v>
      </c>
      <c r="K425" s="466">
        <v>0</v>
      </c>
      <c r="L425" s="466">
        <v>0</v>
      </c>
      <c r="M425" s="466">
        <v>0</v>
      </c>
      <c r="N425" s="466">
        <v>0</v>
      </c>
      <c r="O425" s="751">
        <v>0</v>
      </c>
      <c r="P425" s="466">
        <v>0</v>
      </c>
      <c r="Q425" s="466">
        <v>0</v>
      </c>
      <c r="R425" s="466">
        <v>0</v>
      </c>
      <c r="S425" s="751">
        <v>0</v>
      </c>
      <c r="T425" s="466">
        <v>0</v>
      </c>
      <c r="U425" s="751">
        <v>0</v>
      </c>
      <c r="V425" s="466">
        <v>0</v>
      </c>
      <c r="W425" s="751">
        <v>0</v>
      </c>
      <c r="X425" s="378"/>
      <c r="Y425" s="180"/>
      <c r="Z425" s="180"/>
      <c r="AA425" s="180"/>
      <c r="AB425" s="180"/>
    </row>
    <row r="426" spans="1:28">
      <c r="A426" s="631"/>
      <c r="B426" s="388" t="s">
        <v>78</v>
      </c>
      <c r="C426" s="391">
        <v>118486833</v>
      </c>
      <c r="D426" s="391"/>
      <c r="E426" s="391"/>
      <c r="F426" s="391"/>
      <c r="G426" s="391"/>
      <c r="H426" s="391"/>
      <c r="I426" s="749">
        <v>118486833</v>
      </c>
      <c r="J426" s="391"/>
      <c r="K426" s="391"/>
      <c r="L426" s="391"/>
      <c r="M426" s="391"/>
      <c r="N426" s="391"/>
      <c r="O426" s="749"/>
      <c r="P426" s="391"/>
      <c r="Q426" s="391"/>
      <c r="R426" s="391"/>
      <c r="S426" s="749"/>
      <c r="T426" s="391"/>
      <c r="U426" s="749"/>
      <c r="V426" s="391"/>
      <c r="W426" s="749">
        <v>118486833</v>
      </c>
      <c r="X426" s="378"/>
      <c r="Y426" s="180"/>
      <c r="Z426" s="180"/>
      <c r="AA426" s="180"/>
      <c r="AB426" s="180"/>
    </row>
    <row r="427" spans="1:28" s="203" customFormat="1">
      <c r="A427" s="631"/>
      <c r="B427" s="389" t="s">
        <v>80</v>
      </c>
      <c r="C427" s="392">
        <v>118486833</v>
      </c>
      <c r="D427" s="392"/>
      <c r="E427" s="392"/>
      <c r="F427" s="392"/>
      <c r="G427" s="392"/>
      <c r="H427" s="392"/>
      <c r="I427" s="750">
        <v>118486833</v>
      </c>
      <c r="J427" s="392"/>
      <c r="K427" s="392"/>
      <c r="L427" s="392"/>
      <c r="M427" s="392"/>
      <c r="N427" s="392"/>
      <c r="O427" s="750"/>
      <c r="P427" s="392"/>
      <c r="Q427" s="392"/>
      <c r="R427" s="392"/>
      <c r="S427" s="750"/>
      <c r="T427" s="392"/>
      <c r="U427" s="750"/>
      <c r="V427" s="392"/>
      <c r="W427" s="750">
        <v>118486833</v>
      </c>
      <c r="X427" s="378"/>
      <c r="Y427" s="180"/>
      <c r="Z427" s="180"/>
      <c r="AA427" s="180"/>
      <c r="AB427" s="180"/>
    </row>
    <row r="428" spans="1:28" s="202" customFormat="1">
      <c r="A428" s="631"/>
      <c r="B428" s="634" t="s">
        <v>215</v>
      </c>
      <c r="C428" s="466">
        <v>0</v>
      </c>
      <c r="D428" s="466">
        <v>0</v>
      </c>
      <c r="E428" s="466">
        <v>0</v>
      </c>
      <c r="F428" s="466">
        <v>0</v>
      </c>
      <c r="G428" s="466">
        <v>0</v>
      </c>
      <c r="H428" s="466">
        <v>0</v>
      </c>
      <c r="I428" s="751">
        <v>0</v>
      </c>
      <c r="J428" s="466">
        <v>0</v>
      </c>
      <c r="K428" s="466">
        <v>0</v>
      </c>
      <c r="L428" s="466">
        <v>0</v>
      </c>
      <c r="M428" s="466">
        <v>0</v>
      </c>
      <c r="N428" s="466">
        <v>0</v>
      </c>
      <c r="O428" s="751">
        <v>0</v>
      </c>
      <c r="P428" s="466">
        <v>0</v>
      </c>
      <c r="Q428" s="466">
        <v>0</v>
      </c>
      <c r="R428" s="466">
        <v>0</v>
      </c>
      <c r="S428" s="751">
        <v>0</v>
      </c>
      <c r="T428" s="466">
        <v>0</v>
      </c>
      <c r="U428" s="751">
        <v>0</v>
      </c>
      <c r="V428" s="466">
        <v>0</v>
      </c>
      <c r="W428" s="751">
        <v>0</v>
      </c>
      <c r="X428" s="378"/>
      <c r="Y428" s="180"/>
      <c r="Z428" s="180"/>
      <c r="AA428" s="180"/>
      <c r="AB428" s="180"/>
    </row>
    <row r="429" spans="1:28">
      <c r="A429" s="631"/>
      <c r="B429" s="388" t="s">
        <v>81</v>
      </c>
      <c r="C429" s="391"/>
      <c r="D429" s="391"/>
      <c r="E429" s="391"/>
      <c r="F429" s="391"/>
      <c r="G429" s="391"/>
      <c r="H429" s="391"/>
      <c r="I429" s="749"/>
      <c r="J429" s="391"/>
      <c r="K429" s="391"/>
      <c r="L429" s="391"/>
      <c r="M429" s="391"/>
      <c r="N429" s="391"/>
      <c r="O429" s="749"/>
      <c r="P429" s="391"/>
      <c r="Q429" s="391"/>
      <c r="R429" s="391"/>
      <c r="S429" s="749"/>
      <c r="T429" s="391"/>
      <c r="U429" s="749"/>
      <c r="V429" s="391"/>
      <c r="W429" s="749"/>
      <c r="X429" s="378"/>
      <c r="Y429" s="180"/>
      <c r="Z429" s="180"/>
      <c r="AA429" s="180"/>
      <c r="AB429" s="180"/>
    </row>
    <row r="430" spans="1:28" s="203" customFormat="1">
      <c r="A430" s="631"/>
      <c r="B430" s="389" t="s">
        <v>318</v>
      </c>
      <c r="C430" s="392"/>
      <c r="D430" s="392"/>
      <c r="E430" s="392"/>
      <c r="F430" s="392"/>
      <c r="G430" s="392"/>
      <c r="H430" s="392"/>
      <c r="I430" s="750"/>
      <c r="J430" s="392"/>
      <c r="K430" s="392"/>
      <c r="L430" s="392"/>
      <c r="M430" s="392"/>
      <c r="N430" s="392"/>
      <c r="O430" s="750"/>
      <c r="P430" s="392"/>
      <c r="Q430" s="392"/>
      <c r="R430" s="392"/>
      <c r="S430" s="750"/>
      <c r="T430" s="392"/>
      <c r="U430" s="750"/>
      <c r="V430" s="392"/>
      <c r="W430" s="750"/>
      <c r="X430" s="378"/>
      <c r="Y430" s="180"/>
      <c r="Z430" s="180"/>
      <c r="AA430" s="180"/>
      <c r="AB430" s="180"/>
    </row>
    <row r="431" spans="1:28" s="202" customFormat="1">
      <c r="A431" s="631"/>
      <c r="B431" s="634" t="s">
        <v>236</v>
      </c>
      <c r="C431" s="466">
        <v>0</v>
      </c>
      <c r="D431" s="466">
        <v>0</v>
      </c>
      <c r="E431" s="466">
        <v>0</v>
      </c>
      <c r="F431" s="466">
        <v>0</v>
      </c>
      <c r="G431" s="466">
        <v>0</v>
      </c>
      <c r="H431" s="466">
        <v>0</v>
      </c>
      <c r="I431" s="751">
        <v>0</v>
      </c>
      <c r="J431" s="466">
        <v>0</v>
      </c>
      <c r="K431" s="466">
        <v>0</v>
      </c>
      <c r="L431" s="466">
        <v>0</v>
      </c>
      <c r="M431" s="466">
        <v>0</v>
      </c>
      <c r="N431" s="466">
        <v>0</v>
      </c>
      <c r="O431" s="751">
        <v>0</v>
      </c>
      <c r="P431" s="466">
        <v>0</v>
      </c>
      <c r="Q431" s="466">
        <v>0</v>
      </c>
      <c r="R431" s="466">
        <v>0</v>
      </c>
      <c r="S431" s="751">
        <v>0</v>
      </c>
      <c r="T431" s="466">
        <v>0</v>
      </c>
      <c r="U431" s="751">
        <v>0</v>
      </c>
      <c r="V431" s="466">
        <v>0</v>
      </c>
      <c r="W431" s="751">
        <v>0</v>
      </c>
      <c r="X431" s="378"/>
      <c r="Y431" s="180"/>
      <c r="Z431" s="180"/>
      <c r="AA431" s="180"/>
      <c r="AB431" s="180"/>
    </row>
    <row r="432" spans="1:28">
      <c r="A432" s="631"/>
      <c r="B432" s="388" t="s">
        <v>19</v>
      </c>
      <c r="C432" s="391">
        <v>759410626</v>
      </c>
      <c r="D432" s="391"/>
      <c r="E432" s="391">
        <v>224861089</v>
      </c>
      <c r="F432" s="391">
        <v>45223962</v>
      </c>
      <c r="G432" s="391">
        <v>191641273</v>
      </c>
      <c r="H432" s="391">
        <v>60902694</v>
      </c>
      <c r="I432" s="749">
        <v>1282039644</v>
      </c>
      <c r="J432" s="391">
        <v>54721815</v>
      </c>
      <c r="K432" s="391">
        <v>206252930</v>
      </c>
      <c r="L432" s="391">
        <v>36727027</v>
      </c>
      <c r="M432" s="391">
        <v>84576522</v>
      </c>
      <c r="N432" s="391"/>
      <c r="O432" s="749">
        <v>382278294</v>
      </c>
      <c r="P432" s="391">
        <v>19118970</v>
      </c>
      <c r="Q432" s="391">
        <v>108263841</v>
      </c>
      <c r="R432" s="391"/>
      <c r="S432" s="749">
        <v>127382811</v>
      </c>
      <c r="T432" s="391"/>
      <c r="U432" s="749"/>
      <c r="V432" s="391">
        <v>15652609</v>
      </c>
      <c r="W432" s="749">
        <v>1807353358</v>
      </c>
      <c r="X432" s="378"/>
      <c r="Y432" s="180"/>
      <c r="Z432" s="180"/>
      <c r="AA432" s="180"/>
      <c r="AB432" s="180"/>
    </row>
    <row r="433" spans="1:28" s="203" customFormat="1">
      <c r="A433" s="631"/>
      <c r="B433" s="389" t="s">
        <v>21</v>
      </c>
      <c r="C433" s="392">
        <v>792220920</v>
      </c>
      <c r="D433" s="392"/>
      <c r="E433" s="392">
        <v>233701449</v>
      </c>
      <c r="F433" s="392">
        <v>46346033</v>
      </c>
      <c r="G433" s="392">
        <v>199672443</v>
      </c>
      <c r="H433" s="392">
        <v>60204008</v>
      </c>
      <c r="I433" s="750">
        <v>1332144853</v>
      </c>
      <c r="J433" s="392">
        <v>54604821</v>
      </c>
      <c r="K433" s="392">
        <v>205200616</v>
      </c>
      <c r="L433" s="392">
        <v>36998917</v>
      </c>
      <c r="M433" s="392">
        <v>83967785</v>
      </c>
      <c r="N433" s="392"/>
      <c r="O433" s="750">
        <v>380772139</v>
      </c>
      <c r="P433" s="392">
        <v>20203118</v>
      </c>
      <c r="Q433" s="392">
        <v>110330530</v>
      </c>
      <c r="R433" s="392"/>
      <c r="S433" s="750">
        <v>130533648</v>
      </c>
      <c r="T433" s="392"/>
      <c r="U433" s="750"/>
      <c r="V433" s="392">
        <v>15652609</v>
      </c>
      <c r="W433" s="750">
        <v>1859103249</v>
      </c>
      <c r="X433" s="378"/>
      <c r="Y433" s="180"/>
      <c r="Z433" s="180"/>
      <c r="AA433" s="180"/>
      <c r="AB433" s="180"/>
    </row>
    <row r="434" spans="1:28" s="212" customFormat="1" ht="13.5" thickBot="1">
      <c r="A434" s="635"/>
      <c r="B434" s="761" t="s">
        <v>23</v>
      </c>
      <c r="C434" s="762">
        <v>4.3204944567104331</v>
      </c>
      <c r="D434" s="762">
        <v>0</v>
      </c>
      <c r="E434" s="762">
        <v>3.931476112347744</v>
      </c>
      <c r="F434" s="762">
        <v>2.4811426296528376</v>
      </c>
      <c r="G434" s="762">
        <v>4.1907308766415889</v>
      </c>
      <c r="H434" s="762">
        <v>-1.1472169030814958</v>
      </c>
      <c r="I434" s="763">
        <v>3.9082417797682392</v>
      </c>
      <c r="J434" s="762">
        <v>-0.21379773313439987</v>
      </c>
      <c r="K434" s="762">
        <v>-0.51020560047316665</v>
      </c>
      <c r="L434" s="762">
        <v>0.74029950749893259</v>
      </c>
      <c r="M434" s="762">
        <v>-0.71974702388447709</v>
      </c>
      <c r="N434" s="762">
        <v>0</v>
      </c>
      <c r="O434" s="763">
        <v>-0.39399438148586063</v>
      </c>
      <c r="P434" s="762">
        <v>5.6705355989365529</v>
      </c>
      <c r="Q434" s="762">
        <v>1.9089374447743823</v>
      </c>
      <c r="R434" s="762">
        <v>0</v>
      </c>
      <c r="S434" s="763">
        <v>2.4735181892005822</v>
      </c>
      <c r="T434" s="762">
        <v>0</v>
      </c>
      <c r="U434" s="763">
        <v>0</v>
      </c>
      <c r="V434" s="762">
        <v>0</v>
      </c>
      <c r="W434" s="763">
        <v>2.8632968075078544</v>
      </c>
      <c r="X434" s="378"/>
      <c r="Y434" s="180"/>
      <c r="Z434" s="180"/>
      <c r="AA434" s="180"/>
      <c r="AB434" s="180"/>
    </row>
    <row r="435" spans="1:28" ht="13.5" thickTop="1">
      <c r="A435" s="230" t="s">
        <v>146</v>
      </c>
      <c r="B435" s="764" t="s">
        <v>190</v>
      </c>
      <c r="C435" s="765">
        <v>151859594</v>
      </c>
      <c r="D435" s="765"/>
      <c r="E435" s="765">
        <v>41677560</v>
      </c>
      <c r="F435" s="765"/>
      <c r="G435" s="765">
        <v>32286498</v>
      </c>
      <c r="H435" s="765">
        <v>22296542</v>
      </c>
      <c r="I435" s="766">
        <v>248120194</v>
      </c>
      <c r="J435" s="765"/>
      <c r="K435" s="765">
        <v>69080578</v>
      </c>
      <c r="L435" s="765">
        <v>23243323</v>
      </c>
      <c r="M435" s="765">
        <v>13645756</v>
      </c>
      <c r="N435" s="765"/>
      <c r="O435" s="766">
        <v>105969657</v>
      </c>
      <c r="P435" s="765"/>
      <c r="Q435" s="765"/>
      <c r="R435" s="765"/>
      <c r="S435" s="766"/>
      <c r="T435" s="765"/>
      <c r="U435" s="766"/>
      <c r="V435" s="765"/>
      <c r="W435" s="766">
        <v>354089851</v>
      </c>
      <c r="X435" s="378"/>
      <c r="Y435" s="180"/>
      <c r="Z435" s="180"/>
      <c r="AA435" s="180"/>
      <c r="AB435" s="180"/>
    </row>
    <row r="436" spans="1:28" s="203" customFormat="1">
      <c r="A436" s="631"/>
      <c r="B436" s="389" t="s">
        <v>4</v>
      </c>
      <c r="C436" s="392">
        <v>165210038</v>
      </c>
      <c r="D436" s="392"/>
      <c r="E436" s="392">
        <v>44368563</v>
      </c>
      <c r="F436" s="392"/>
      <c r="G436" s="392">
        <v>34949542</v>
      </c>
      <c r="H436" s="392">
        <v>25483130</v>
      </c>
      <c r="I436" s="750">
        <v>270011273</v>
      </c>
      <c r="J436" s="392"/>
      <c r="K436" s="392">
        <v>71128339</v>
      </c>
      <c r="L436" s="392">
        <v>23785666</v>
      </c>
      <c r="M436" s="392">
        <v>14049463</v>
      </c>
      <c r="N436" s="392"/>
      <c r="O436" s="750">
        <v>108963468</v>
      </c>
      <c r="P436" s="392"/>
      <c r="Q436" s="392"/>
      <c r="R436" s="392"/>
      <c r="S436" s="750"/>
      <c r="T436" s="392"/>
      <c r="U436" s="750"/>
      <c r="V436" s="392"/>
      <c r="W436" s="750">
        <v>378974741</v>
      </c>
      <c r="X436" s="378"/>
      <c r="Y436" s="180"/>
      <c r="Z436" s="180"/>
      <c r="AA436" s="180"/>
      <c r="AB436" s="180"/>
    </row>
    <row r="437" spans="1:28" s="202" customFormat="1">
      <c r="A437" s="632"/>
      <c r="B437" s="634" t="s">
        <v>116</v>
      </c>
      <c r="C437" s="466">
        <v>8.791307581133136</v>
      </c>
      <c r="D437" s="466">
        <v>0</v>
      </c>
      <c r="E437" s="466">
        <v>6.4567191553440262</v>
      </c>
      <c r="F437" s="466">
        <v>0</v>
      </c>
      <c r="G437" s="466">
        <v>8.2481661529225008</v>
      </c>
      <c r="H437" s="1461">
        <v>14.291848484845767</v>
      </c>
      <c r="I437" s="751">
        <v>8.822771998961116</v>
      </c>
      <c r="J437" s="466">
        <v>0</v>
      </c>
      <c r="K437" s="466">
        <v>2.9643078550964064</v>
      </c>
      <c r="L437" s="466">
        <v>2.3333281562193151</v>
      </c>
      <c r="M437" s="466">
        <v>2.9584802776775434</v>
      </c>
      <c r="N437" s="466">
        <v>0</v>
      </c>
      <c r="O437" s="751">
        <v>2.8251587150083917</v>
      </c>
      <c r="P437" s="466">
        <v>0</v>
      </c>
      <c r="Q437" s="466">
        <v>0</v>
      </c>
      <c r="R437" s="466">
        <v>0</v>
      </c>
      <c r="S437" s="751">
        <v>0</v>
      </c>
      <c r="T437" s="466">
        <v>0</v>
      </c>
      <c r="U437" s="751">
        <v>0</v>
      </c>
      <c r="V437" s="466">
        <v>0</v>
      </c>
      <c r="W437" s="751">
        <v>7.0278461610016603</v>
      </c>
      <c r="X437" s="378"/>
      <c r="Y437" s="180"/>
      <c r="Z437" s="180"/>
      <c r="AA437" s="180"/>
      <c r="AB437" s="180"/>
    </row>
    <row r="438" spans="1:28">
      <c r="A438" s="631"/>
      <c r="B438" s="388" t="s">
        <v>195</v>
      </c>
      <c r="C438" s="391">
        <v>49318800</v>
      </c>
      <c r="D438" s="391"/>
      <c r="E438" s="391">
        <v>7047291</v>
      </c>
      <c r="F438" s="391"/>
      <c r="G438" s="391">
        <v>10629144</v>
      </c>
      <c r="H438" s="391">
        <v>7738772</v>
      </c>
      <c r="I438" s="749">
        <v>74734007</v>
      </c>
      <c r="J438" s="391"/>
      <c r="K438" s="391">
        <v>7795053</v>
      </c>
      <c r="L438" s="391">
        <v>3338210</v>
      </c>
      <c r="M438" s="391">
        <v>3794815</v>
      </c>
      <c r="N438" s="391"/>
      <c r="O438" s="749">
        <v>14928078</v>
      </c>
      <c r="P438" s="391"/>
      <c r="Q438" s="391"/>
      <c r="R438" s="391"/>
      <c r="S438" s="749"/>
      <c r="T438" s="391"/>
      <c r="U438" s="749"/>
      <c r="V438" s="391">
        <v>4495762</v>
      </c>
      <c r="W438" s="749">
        <v>94157847</v>
      </c>
      <c r="X438" s="378"/>
      <c r="Y438" s="180"/>
      <c r="Z438" s="180"/>
      <c r="AA438" s="180"/>
      <c r="AB438" s="180"/>
    </row>
    <row r="439" spans="1:28" s="203" customFormat="1">
      <c r="A439" s="631"/>
      <c r="B439" s="389" t="s">
        <v>242</v>
      </c>
      <c r="C439" s="392">
        <v>44565606</v>
      </c>
      <c r="D439" s="392"/>
      <c r="E439" s="392">
        <v>4579558</v>
      </c>
      <c r="F439" s="392"/>
      <c r="G439" s="392">
        <v>11927473</v>
      </c>
      <c r="H439" s="392">
        <v>4111704</v>
      </c>
      <c r="I439" s="750">
        <v>65184341</v>
      </c>
      <c r="J439" s="392"/>
      <c r="K439" s="392">
        <v>15391699</v>
      </c>
      <c r="L439" s="392">
        <v>8714305</v>
      </c>
      <c r="M439" s="392">
        <v>5837111.3300000001</v>
      </c>
      <c r="N439" s="392"/>
      <c r="O439" s="750">
        <v>29943115.329999998</v>
      </c>
      <c r="P439" s="392"/>
      <c r="Q439" s="392"/>
      <c r="R439" s="392"/>
      <c r="S439" s="750"/>
      <c r="T439" s="392"/>
      <c r="U439" s="750"/>
      <c r="V439" s="392">
        <v>4295762</v>
      </c>
      <c r="W439" s="750">
        <v>99423218.329999998</v>
      </c>
      <c r="X439" s="378"/>
      <c r="Y439" s="180"/>
      <c r="Z439" s="180"/>
      <c r="AA439" s="180"/>
      <c r="AB439" s="180"/>
    </row>
    <row r="440" spans="1:28" s="202" customFormat="1">
      <c r="A440" s="631"/>
      <c r="B440" s="634" t="s">
        <v>244</v>
      </c>
      <c r="C440" s="466">
        <v>-9.6376919146451243</v>
      </c>
      <c r="D440" s="466">
        <v>0</v>
      </c>
      <c r="E440" s="1461">
        <v>-35.016760340959387</v>
      </c>
      <c r="F440" s="466">
        <v>0</v>
      </c>
      <c r="G440" s="466">
        <v>12.214802998247084</v>
      </c>
      <c r="H440" s="1461">
        <v>-46.868779697864213</v>
      </c>
      <c r="I440" s="751">
        <v>-12.778206847653706</v>
      </c>
      <c r="J440" s="466">
        <v>0</v>
      </c>
      <c r="K440" s="1461">
        <v>97.454706209181637</v>
      </c>
      <c r="L440" s="1461">
        <v>161.0472378909655</v>
      </c>
      <c r="M440" s="1461">
        <v>53.818073608331375</v>
      </c>
      <c r="N440" s="466">
        <v>0</v>
      </c>
      <c r="O440" s="751">
        <v>100.58252194287837</v>
      </c>
      <c r="P440" s="466">
        <v>0</v>
      </c>
      <c r="Q440" s="466">
        <v>0</v>
      </c>
      <c r="R440" s="466">
        <v>0</v>
      </c>
      <c r="S440" s="751">
        <v>0</v>
      </c>
      <c r="T440" s="466">
        <v>0</v>
      </c>
      <c r="U440" s="751">
        <v>0</v>
      </c>
      <c r="V440" s="466">
        <v>-4.448634069152237</v>
      </c>
      <c r="W440" s="751">
        <v>5.5920685293494428</v>
      </c>
      <c r="X440" s="378"/>
      <c r="Y440" s="180"/>
      <c r="Z440" s="180"/>
      <c r="AA440" s="180"/>
      <c r="AB440" s="180"/>
    </row>
    <row r="441" spans="1:28">
      <c r="A441" s="631"/>
      <c r="B441" s="388" t="s">
        <v>5</v>
      </c>
      <c r="C441" s="391"/>
      <c r="D441" s="391"/>
      <c r="E441" s="391"/>
      <c r="F441" s="391"/>
      <c r="G441" s="391">
        <v>294580</v>
      </c>
      <c r="H441" s="391"/>
      <c r="I441" s="749">
        <v>294580</v>
      </c>
      <c r="J441" s="391"/>
      <c r="K441" s="391">
        <v>43028680</v>
      </c>
      <c r="L441" s="391">
        <v>14582126</v>
      </c>
      <c r="M441" s="391">
        <v>3772112</v>
      </c>
      <c r="N441" s="391"/>
      <c r="O441" s="749">
        <v>61382918</v>
      </c>
      <c r="P441" s="391"/>
      <c r="Q441" s="391"/>
      <c r="R441" s="391"/>
      <c r="S441" s="749"/>
      <c r="T441" s="391"/>
      <c r="U441" s="749"/>
      <c r="V441" s="391"/>
      <c r="W441" s="749">
        <v>61677498</v>
      </c>
      <c r="X441" s="378"/>
      <c r="Y441" s="180"/>
      <c r="Z441" s="180"/>
      <c r="AA441" s="180"/>
      <c r="AB441" s="180"/>
    </row>
    <row r="442" spans="1:28" s="203" customFormat="1">
      <c r="A442" s="631"/>
      <c r="B442" s="389" t="s">
        <v>6</v>
      </c>
      <c r="C442" s="392"/>
      <c r="D442" s="392"/>
      <c r="E442" s="392"/>
      <c r="F442" s="392"/>
      <c r="G442" s="392">
        <v>393324</v>
      </c>
      <c r="H442" s="392"/>
      <c r="I442" s="750">
        <v>393324</v>
      </c>
      <c r="J442" s="392"/>
      <c r="K442" s="392">
        <v>46153948</v>
      </c>
      <c r="L442" s="392">
        <v>15214523</v>
      </c>
      <c r="M442" s="392">
        <v>3803607</v>
      </c>
      <c r="N442" s="392"/>
      <c r="O442" s="750">
        <v>65172078</v>
      </c>
      <c r="P442" s="392"/>
      <c r="Q442" s="392"/>
      <c r="R442" s="392"/>
      <c r="S442" s="750"/>
      <c r="T442" s="392"/>
      <c r="U442" s="750"/>
      <c r="V442" s="392"/>
      <c r="W442" s="750">
        <v>65565402</v>
      </c>
      <c r="X442" s="378"/>
      <c r="Y442" s="180"/>
      <c r="Z442" s="180"/>
      <c r="AA442" s="180"/>
      <c r="AB442" s="180"/>
    </row>
    <row r="443" spans="1:28" s="202" customFormat="1">
      <c r="A443" s="631"/>
      <c r="B443" s="634" t="s">
        <v>298</v>
      </c>
      <c r="C443" s="466">
        <v>0</v>
      </c>
      <c r="D443" s="466">
        <v>0</v>
      </c>
      <c r="E443" s="466">
        <v>0</v>
      </c>
      <c r="F443" s="466">
        <v>0</v>
      </c>
      <c r="G443" s="466">
        <v>33.520266141625363</v>
      </c>
      <c r="H443" s="466">
        <v>0</v>
      </c>
      <c r="I443" s="751">
        <v>33.520266141625363</v>
      </c>
      <c r="J443" s="466">
        <v>0</v>
      </c>
      <c r="K443" s="466">
        <v>7.2632207169729579</v>
      </c>
      <c r="L443" s="466">
        <v>4.3367956085415802</v>
      </c>
      <c r="M443" s="466">
        <v>0.83494339510597781</v>
      </c>
      <c r="N443" s="466">
        <v>0</v>
      </c>
      <c r="O443" s="751">
        <v>6.1729877357736562</v>
      </c>
      <c r="P443" s="466">
        <v>0</v>
      </c>
      <c r="Q443" s="466">
        <v>0</v>
      </c>
      <c r="R443" s="466">
        <v>0</v>
      </c>
      <c r="S443" s="751">
        <v>0</v>
      </c>
      <c r="T443" s="466">
        <v>0</v>
      </c>
      <c r="U443" s="751">
        <v>0</v>
      </c>
      <c r="V443" s="466">
        <v>0</v>
      </c>
      <c r="W443" s="751">
        <v>6.3036020040890763</v>
      </c>
      <c r="X443" s="378"/>
      <c r="Y443" s="180"/>
      <c r="Z443" s="180"/>
      <c r="AA443" s="180"/>
      <c r="AB443" s="180"/>
    </row>
    <row r="444" spans="1:28">
      <c r="A444" s="631"/>
      <c r="B444" s="388" t="s">
        <v>223</v>
      </c>
      <c r="C444" s="391">
        <v>841375364</v>
      </c>
      <c r="D444" s="391"/>
      <c r="E444" s="391">
        <v>244548337</v>
      </c>
      <c r="F444" s="391"/>
      <c r="G444" s="391">
        <v>186580797</v>
      </c>
      <c r="H444" s="391">
        <v>124790788</v>
      </c>
      <c r="I444" s="749">
        <v>1397295286</v>
      </c>
      <c r="J444" s="391"/>
      <c r="K444" s="391">
        <v>265943621</v>
      </c>
      <c r="L444" s="391">
        <v>78482300</v>
      </c>
      <c r="M444" s="391">
        <v>39902213</v>
      </c>
      <c r="N444" s="391"/>
      <c r="O444" s="749">
        <v>384328134</v>
      </c>
      <c r="P444" s="391"/>
      <c r="Q444" s="391"/>
      <c r="R444" s="391"/>
      <c r="S444" s="749"/>
      <c r="T444" s="391"/>
      <c r="U444" s="749"/>
      <c r="V444" s="391"/>
      <c r="W444" s="749">
        <v>1781623420</v>
      </c>
      <c r="X444" s="378"/>
      <c r="Y444" s="180"/>
      <c r="Z444" s="180"/>
      <c r="AA444" s="180"/>
      <c r="AB444" s="180"/>
    </row>
    <row r="445" spans="1:28" s="203" customFormat="1">
      <c r="A445" s="631"/>
      <c r="B445" s="389" t="s">
        <v>14</v>
      </c>
      <c r="C445" s="392">
        <v>906381581</v>
      </c>
      <c r="D445" s="392"/>
      <c r="E445" s="392">
        <v>245295461</v>
      </c>
      <c r="F445" s="392"/>
      <c r="G445" s="392">
        <v>201272711</v>
      </c>
      <c r="H445" s="392">
        <v>126751088</v>
      </c>
      <c r="I445" s="750">
        <v>1479700841</v>
      </c>
      <c r="J445" s="392"/>
      <c r="K445" s="392">
        <v>228546836</v>
      </c>
      <c r="L445" s="392">
        <v>77473996</v>
      </c>
      <c r="M445" s="392">
        <v>39744951</v>
      </c>
      <c r="N445" s="392"/>
      <c r="O445" s="750">
        <v>345765783</v>
      </c>
      <c r="P445" s="392"/>
      <c r="Q445" s="392"/>
      <c r="R445" s="392"/>
      <c r="S445" s="750"/>
      <c r="T445" s="392"/>
      <c r="U445" s="750"/>
      <c r="V445" s="392"/>
      <c r="W445" s="750">
        <v>1825466624</v>
      </c>
      <c r="X445" s="378"/>
      <c r="Y445" s="180"/>
      <c r="Z445" s="180"/>
      <c r="AA445" s="180"/>
      <c r="AB445" s="180"/>
    </row>
    <row r="446" spans="1:28" s="202" customFormat="1">
      <c r="A446" s="631"/>
      <c r="B446" s="634" t="s">
        <v>247</v>
      </c>
      <c r="C446" s="466">
        <v>7.7261849801440112</v>
      </c>
      <c r="D446" s="466">
        <v>0</v>
      </c>
      <c r="E446" s="466">
        <v>0.30551178927051953</v>
      </c>
      <c r="F446" s="466">
        <v>0</v>
      </c>
      <c r="G446" s="466">
        <v>7.8742905144734703</v>
      </c>
      <c r="H446" s="466">
        <v>1.5708691574253062</v>
      </c>
      <c r="I446" s="751">
        <v>5.8975046882109066</v>
      </c>
      <c r="J446" s="466">
        <v>0</v>
      </c>
      <c r="K446" s="1461">
        <v>-14.061922169586463</v>
      </c>
      <c r="L446" s="466">
        <v>-1.2847533775131461</v>
      </c>
      <c r="M446" s="466">
        <v>-0.3941184916235097</v>
      </c>
      <c r="N446" s="466">
        <v>0</v>
      </c>
      <c r="O446" s="751">
        <v>-10.033704948594787</v>
      </c>
      <c r="P446" s="466">
        <v>0</v>
      </c>
      <c r="Q446" s="466">
        <v>0</v>
      </c>
      <c r="R446" s="466">
        <v>0</v>
      </c>
      <c r="S446" s="751">
        <v>0</v>
      </c>
      <c r="T446" s="466">
        <v>0</v>
      </c>
      <c r="U446" s="751">
        <v>0</v>
      </c>
      <c r="V446" s="466">
        <v>0</v>
      </c>
      <c r="W446" s="751">
        <v>2.4608569638133742</v>
      </c>
      <c r="X446" s="703"/>
      <c r="Y446" s="180"/>
      <c r="Z446" s="180"/>
      <c r="AA446" s="180"/>
      <c r="AB446" s="180"/>
    </row>
    <row r="447" spans="1:28">
      <c r="A447" s="631"/>
      <c r="B447" s="388" t="s">
        <v>225</v>
      </c>
      <c r="C447" s="391">
        <v>52916250</v>
      </c>
      <c r="D447" s="391"/>
      <c r="E447" s="391">
        <v>13707905</v>
      </c>
      <c r="F447" s="391"/>
      <c r="G447" s="391">
        <v>10949552</v>
      </c>
      <c r="H447" s="391">
        <v>4212555</v>
      </c>
      <c r="I447" s="749">
        <v>81786262</v>
      </c>
      <c r="J447" s="391"/>
      <c r="K447" s="391">
        <v>9052352</v>
      </c>
      <c r="L447" s="391">
        <v>1538843</v>
      </c>
      <c r="M447" s="391">
        <v>247859</v>
      </c>
      <c r="N447" s="391"/>
      <c r="O447" s="749">
        <v>10839054</v>
      </c>
      <c r="P447" s="391"/>
      <c r="Q447" s="391"/>
      <c r="R447" s="391"/>
      <c r="S447" s="749"/>
      <c r="T447" s="391"/>
      <c r="U447" s="749"/>
      <c r="V447" s="391"/>
      <c r="W447" s="749">
        <v>92625316</v>
      </c>
      <c r="X447" s="378"/>
      <c r="Y447" s="180"/>
      <c r="Z447" s="180"/>
      <c r="AA447" s="180"/>
      <c r="AB447" s="180"/>
    </row>
    <row r="448" spans="1:28" s="203" customFormat="1">
      <c r="A448" s="631"/>
      <c r="B448" s="389" t="s">
        <v>166</v>
      </c>
      <c r="C448" s="392">
        <v>56216186</v>
      </c>
      <c r="D448" s="392"/>
      <c r="E448" s="392">
        <v>17786489</v>
      </c>
      <c r="F448" s="392"/>
      <c r="G448" s="392">
        <v>10921325</v>
      </c>
      <c r="H448" s="392">
        <v>4267378</v>
      </c>
      <c r="I448" s="750">
        <v>89191378</v>
      </c>
      <c r="J448" s="392"/>
      <c r="K448" s="392">
        <v>9923532</v>
      </c>
      <c r="L448" s="392">
        <v>1788669</v>
      </c>
      <c r="M448" s="392">
        <v>193708</v>
      </c>
      <c r="N448" s="392"/>
      <c r="O448" s="750">
        <v>11905909</v>
      </c>
      <c r="P448" s="392"/>
      <c r="Q448" s="392"/>
      <c r="R448" s="392"/>
      <c r="S448" s="750"/>
      <c r="T448" s="392"/>
      <c r="U448" s="750"/>
      <c r="V448" s="392"/>
      <c r="W448" s="750">
        <v>101097287</v>
      </c>
      <c r="X448" s="378"/>
      <c r="Y448" s="180"/>
      <c r="Z448" s="180"/>
      <c r="AA448" s="180"/>
      <c r="AB448" s="180"/>
    </row>
    <row r="449" spans="1:28" s="202" customFormat="1">
      <c r="A449" s="631"/>
      <c r="B449" s="634" t="s">
        <v>175</v>
      </c>
      <c r="C449" s="466">
        <v>6.2361486310915835</v>
      </c>
      <c r="D449" s="466">
        <v>0</v>
      </c>
      <c r="E449" s="466">
        <v>29.753518134244437</v>
      </c>
      <c r="F449" s="466">
        <v>0</v>
      </c>
      <c r="G449" s="466">
        <v>-0.25779136899847593</v>
      </c>
      <c r="H449" s="466">
        <v>1.3014192099569026</v>
      </c>
      <c r="I449" s="751">
        <v>9.0542296700147524</v>
      </c>
      <c r="J449" s="466">
        <v>0</v>
      </c>
      <c r="K449" s="466">
        <v>9.6237972186675904</v>
      </c>
      <c r="L449" s="1461">
        <v>16.234664614908734</v>
      </c>
      <c r="M449" s="1461">
        <v>-21.847502007189572</v>
      </c>
      <c r="N449" s="466">
        <v>0</v>
      </c>
      <c r="O449" s="751">
        <v>9.8426947591551812</v>
      </c>
      <c r="P449" s="466">
        <v>0</v>
      </c>
      <c r="Q449" s="466">
        <v>0</v>
      </c>
      <c r="R449" s="466">
        <v>0</v>
      </c>
      <c r="S449" s="751">
        <v>0</v>
      </c>
      <c r="T449" s="466">
        <v>0</v>
      </c>
      <c r="U449" s="751">
        <v>0</v>
      </c>
      <c r="V449" s="466">
        <v>0</v>
      </c>
      <c r="W449" s="751">
        <v>9.146496191170888</v>
      </c>
      <c r="X449" s="378"/>
      <c r="Y449" s="180"/>
      <c r="Z449" s="180"/>
      <c r="AA449" s="180"/>
      <c r="AB449" s="180"/>
    </row>
    <row r="450" spans="1:28">
      <c r="A450" s="631"/>
      <c r="B450" s="752" t="s">
        <v>317</v>
      </c>
      <c r="C450" s="749">
        <v>894291614</v>
      </c>
      <c r="D450" s="749"/>
      <c r="E450" s="749">
        <v>258256242</v>
      </c>
      <c r="F450" s="749"/>
      <c r="G450" s="749">
        <v>197530349</v>
      </c>
      <c r="H450" s="749">
        <v>129003343</v>
      </c>
      <c r="I450" s="749">
        <v>1479081548</v>
      </c>
      <c r="J450" s="749"/>
      <c r="K450" s="749">
        <v>274995973</v>
      </c>
      <c r="L450" s="749">
        <v>80021143</v>
      </c>
      <c r="M450" s="749">
        <v>40150072</v>
      </c>
      <c r="N450" s="749"/>
      <c r="O450" s="749">
        <v>395167188</v>
      </c>
      <c r="P450" s="749"/>
      <c r="Q450" s="749"/>
      <c r="R450" s="749"/>
      <c r="S450" s="749"/>
      <c r="T450" s="749">
        <v>0</v>
      </c>
      <c r="U450" s="749">
        <v>0</v>
      </c>
      <c r="V450" s="749">
        <v>0</v>
      </c>
      <c r="W450" s="749">
        <v>1874248736</v>
      </c>
      <c r="X450" s="378"/>
      <c r="Y450" s="180"/>
      <c r="Z450" s="180"/>
      <c r="AA450" s="180"/>
      <c r="AB450" s="180"/>
    </row>
    <row r="451" spans="1:28" s="203" customFormat="1">
      <c r="A451" s="631"/>
      <c r="B451" s="753" t="s">
        <v>70</v>
      </c>
      <c r="C451" s="750">
        <v>962597767</v>
      </c>
      <c r="D451" s="750"/>
      <c r="E451" s="750">
        <v>263081950</v>
      </c>
      <c r="F451" s="750"/>
      <c r="G451" s="750">
        <v>212194036</v>
      </c>
      <c r="H451" s="750">
        <v>131018466</v>
      </c>
      <c r="I451" s="750">
        <v>1568892219</v>
      </c>
      <c r="J451" s="750"/>
      <c r="K451" s="750">
        <v>238470368</v>
      </c>
      <c r="L451" s="750">
        <v>79262665</v>
      </c>
      <c r="M451" s="750">
        <v>39938659</v>
      </c>
      <c r="N451" s="750"/>
      <c r="O451" s="750">
        <v>357671692</v>
      </c>
      <c r="P451" s="750"/>
      <c r="Q451" s="750"/>
      <c r="R451" s="750"/>
      <c r="S451" s="750"/>
      <c r="T451" s="750">
        <v>0</v>
      </c>
      <c r="U451" s="750">
        <v>0</v>
      </c>
      <c r="V451" s="750">
        <v>0</v>
      </c>
      <c r="W451" s="750">
        <v>1926563911</v>
      </c>
      <c r="X451" s="378"/>
      <c r="Y451" s="180"/>
      <c r="Z451" s="180"/>
      <c r="AA451" s="180"/>
      <c r="AB451" s="180"/>
    </row>
    <row r="452" spans="1:28" s="202" customFormat="1">
      <c r="A452" s="631"/>
      <c r="B452" s="754" t="s">
        <v>57</v>
      </c>
      <c r="C452" s="751">
        <v>7.6380178378816819</v>
      </c>
      <c r="D452" s="751">
        <v>0</v>
      </c>
      <c r="E452" s="751">
        <v>1.8685736161219288</v>
      </c>
      <c r="F452" s="751">
        <v>0</v>
      </c>
      <c r="G452" s="751">
        <v>7.4235109056583513</v>
      </c>
      <c r="H452" s="751">
        <v>1.5620703720833033</v>
      </c>
      <c r="I452" s="751">
        <v>6.0720567518025721</v>
      </c>
      <c r="J452" s="751">
        <v>0</v>
      </c>
      <c r="K452" s="751">
        <v>-13.282232682003675</v>
      </c>
      <c r="L452" s="751">
        <v>-0.94784699588707444</v>
      </c>
      <c r="M452" s="751">
        <v>-0.52655696358402548</v>
      </c>
      <c r="N452" s="751">
        <v>0</v>
      </c>
      <c r="O452" s="751">
        <v>-9.4885145170504401</v>
      </c>
      <c r="P452" s="751">
        <v>0</v>
      </c>
      <c r="Q452" s="751">
        <v>0</v>
      </c>
      <c r="R452" s="751">
        <v>0</v>
      </c>
      <c r="S452" s="751">
        <v>0</v>
      </c>
      <c r="T452" s="751">
        <v>0</v>
      </c>
      <c r="U452" s="751">
        <v>0</v>
      </c>
      <c r="V452" s="751">
        <v>0</v>
      </c>
      <c r="W452" s="751">
        <v>2.7912610527698924</v>
      </c>
      <c r="X452" s="378"/>
      <c r="Y452" s="180"/>
      <c r="Z452" s="180"/>
      <c r="AA452" s="180"/>
      <c r="AB452" s="180"/>
    </row>
    <row r="453" spans="1:28">
      <c r="A453" s="631"/>
      <c r="B453" s="388" t="s">
        <v>72</v>
      </c>
      <c r="C453" s="391"/>
      <c r="D453" s="391"/>
      <c r="E453" s="391"/>
      <c r="F453" s="391"/>
      <c r="G453" s="391"/>
      <c r="H453" s="391"/>
      <c r="I453" s="749"/>
      <c r="J453" s="391"/>
      <c r="K453" s="391"/>
      <c r="L453" s="391"/>
      <c r="M453" s="391"/>
      <c r="N453" s="391"/>
      <c r="O453" s="749"/>
      <c r="P453" s="391"/>
      <c r="Q453" s="391"/>
      <c r="R453" s="391"/>
      <c r="S453" s="749"/>
      <c r="T453" s="391"/>
      <c r="U453" s="749"/>
      <c r="V453" s="391">
        <v>375789318.00000006</v>
      </c>
      <c r="W453" s="749">
        <v>375789318.00000006</v>
      </c>
      <c r="X453" s="378"/>
      <c r="Y453" s="180"/>
      <c r="Z453" s="180"/>
      <c r="AA453" s="180"/>
      <c r="AB453" s="180"/>
    </row>
    <row r="454" spans="1:28" s="203" customFormat="1">
      <c r="A454" s="631"/>
      <c r="B454" s="389" t="s">
        <v>74</v>
      </c>
      <c r="C454" s="392"/>
      <c r="D454" s="392"/>
      <c r="E454" s="392"/>
      <c r="F454" s="392"/>
      <c r="G454" s="392"/>
      <c r="H454" s="392"/>
      <c r="I454" s="750"/>
      <c r="J454" s="392"/>
      <c r="K454" s="392"/>
      <c r="L454" s="392"/>
      <c r="M454" s="392"/>
      <c r="N454" s="392"/>
      <c r="O454" s="750"/>
      <c r="P454" s="392"/>
      <c r="Q454" s="392"/>
      <c r="R454" s="392"/>
      <c r="S454" s="750"/>
      <c r="T454" s="392"/>
      <c r="U454" s="750"/>
      <c r="V454" s="392">
        <v>397858634</v>
      </c>
      <c r="W454" s="750">
        <v>397858634</v>
      </c>
      <c r="X454" s="378"/>
      <c r="Y454" s="180"/>
      <c r="Z454" s="180"/>
      <c r="AA454" s="180"/>
      <c r="AB454" s="180"/>
    </row>
    <row r="455" spans="1:28" s="202" customFormat="1">
      <c r="A455" s="631"/>
      <c r="B455" s="634" t="s">
        <v>76</v>
      </c>
      <c r="C455" s="466">
        <v>0</v>
      </c>
      <c r="D455" s="466">
        <v>0</v>
      </c>
      <c r="E455" s="466">
        <v>0</v>
      </c>
      <c r="F455" s="466">
        <v>0</v>
      </c>
      <c r="G455" s="466">
        <v>0</v>
      </c>
      <c r="H455" s="466">
        <v>0</v>
      </c>
      <c r="I455" s="751">
        <v>0</v>
      </c>
      <c r="J455" s="466">
        <v>0</v>
      </c>
      <c r="K455" s="466">
        <v>0</v>
      </c>
      <c r="L455" s="466">
        <v>0</v>
      </c>
      <c r="M455" s="466">
        <v>0</v>
      </c>
      <c r="N455" s="466">
        <v>0</v>
      </c>
      <c r="O455" s="751">
        <v>0</v>
      </c>
      <c r="P455" s="466">
        <v>0</v>
      </c>
      <c r="Q455" s="466">
        <v>0</v>
      </c>
      <c r="R455" s="466">
        <v>0</v>
      </c>
      <c r="S455" s="751">
        <v>0</v>
      </c>
      <c r="T455" s="466">
        <v>0</v>
      </c>
      <c r="U455" s="751">
        <v>0</v>
      </c>
      <c r="V455" s="466">
        <v>5.8727896038811664</v>
      </c>
      <c r="W455" s="751">
        <v>5.8727896038811664</v>
      </c>
      <c r="X455" s="378"/>
      <c r="Y455" s="180"/>
      <c r="Z455" s="180"/>
      <c r="AA455" s="180"/>
      <c r="AB455" s="180"/>
    </row>
    <row r="456" spans="1:28">
      <c r="A456" s="631"/>
      <c r="B456" s="388" t="s">
        <v>240</v>
      </c>
      <c r="C456" s="391"/>
      <c r="D456" s="391"/>
      <c r="E456" s="391"/>
      <c r="F456" s="391"/>
      <c r="G456" s="391"/>
      <c r="H456" s="391"/>
      <c r="I456" s="749"/>
      <c r="J456" s="391"/>
      <c r="K456" s="391"/>
      <c r="L456" s="391"/>
      <c r="M456" s="391"/>
      <c r="N456" s="391"/>
      <c r="O456" s="749"/>
      <c r="P456" s="391"/>
      <c r="Q456" s="391"/>
      <c r="R456" s="391"/>
      <c r="S456" s="749"/>
      <c r="T456" s="391"/>
      <c r="U456" s="749"/>
      <c r="V456" s="391"/>
      <c r="W456" s="749"/>
      <c r="X456" s="378"/>
      <c r="Y456" s="180"/>
      <c r="Z456" s="180"/>
      <c r="AA456" s="180"/>
      <c r="AB456" s="180"/>
    </row>
    <row r="457" spans="1:28" s="203" customFormat="1">
      <c r="A457" s="631"/>
      <c r="B457" s="389" t="s">
        <v>163</v>
      </c>
      <c r="C457" s="392"/>
      <c r="D457" s="392"/>
      <c r="E457" s="392"/>
      <c r="F457" s="392"/>
      <c r="G457" s="392"/>
      <c r="H457" s="392"/>
      <c r="I457" s="750"/>
      <c r="J457" s="392"/>
      <c r="K457" s="392"/>
      <c r="L457" s="392"/>
      <c r="M457" s="392"/>
      <c r="N457" s="392"/>
      <c r="O457" s="750"/>
      <c r="P457" s="392"/>
      <c r="Q457" s="392"/>
      <c r="R457" s="392"/>
      <c r="S457" s="750"/>
      <c r="T457" s="392"/>
      <c r="U457" s="750"/>
      <c r="V457" s="392"/>
      <c r="W457" s="750"/>
      <c r="X457" s="378"/>
      <c r="Y457" s="180"/>
      <c r="Z457" s="180"/>
      <c r="AA457" s="180"/>
      <c r="AB457" s="180"/>
    </row>
    <row r="458" spans="1:28" s="202" customFormat="1">
      <c r="A458" s="631"/>
      <c r="B458" s="634" t="s">
        <v>59</v>
      </c>
      <c r="C458" s="466">
        <v>0</v>
      </c>
      <c r="D458" s="466">
        <v>0</v>
      </c>
      <c r="E458" s="466">
        <v>0</v>
      </c>
      <c r="F458" s="466">
        <v>0</v>
      </c>
      <c r="G458" s="466">
        <v>0</v>
      </c>
      <c r="H458" s="466">
        <v>0</v>
      </c>
      <c r="I458" s="751">
        <v>0</v>
      </c>
      <c r="J458" s="466">
        <v>0</v>
      </c>
      <c r="K458" s="466">
        <v>0</v>
      </c>
      <c r="L458" s="466">
        <v>0</v>
      </c>
      <c r="M458" s="466">
        <v>0</v>
      </c>
      <c r="N458" s="466">
        <v>0</v>
      </c>
      <c r="O458" s="751">
        <v>0</v>
      </c>
      <c r="P458" s="466">
        <v>0</v>
      </c>
      <c r="Q458" s="466">
        <v>0</v>
      </c>
      <c r="R458" s="466">
        <v>0</v>
      </c>
      <c r="S458" s="751">
        <v>0</v>
      </c>
      <c r="T458" s="466">
        <v>0</v>
      </c>
      <c r="U458" s="751">
        <v>0</v>
      </c>
      <c r="V458" s="466">
        <v>0</v>
      </c>
      <c r="W458" s="751">
        <v>0</v>
      </c>
      <c r="X458" s="378"/>
      <c r="Y458" s="180"/>
      <c r="Z458" s="180"/>
      <c r="AA458" s="180"/>
      <c r="AB458" s="180"/>
    </row>
    <row r="459" spans="1:28">
      <c r="A459" s="631"/>
      <c r="B459" s="388" t="s">
        <v>159</v>
      </c>
      <c r="C459" s="391"/>
      <c r="D459" s="391"/>
      <c r="E459" s="391"/>
      <c r="F459" s="391"/>
      <c r="G459" s="391"/>
      <c r="H459" s="391"/>
      <c r="I459" s="749"/>
      <c r="J459" s="391"/>
      <c r="K459" s="391"/>
      <c r="L459" s="391"/>
      <c r="M459" s="391"/>
      <c r="N459" s="391"/>
      <c r="O459" s="749"/>
      <c r="P459" s="391"/>
      <c r="Q459" s="391"/>
      <c r="R459" s="391"/>
      <c r="S459" s="749"/>
      <c r="T459" s="391"/>
      <c r="U459" s="749"/>
      <c r="V459" s="391"/>
      <c r="W459" s="749"/>
      <c r="X459" s="378"/>
      <c r="Y459" s="180"/>
      <c r="Z459" s="180"/>
      <c r="AA459" s="180"/>
      <c r="AB459" s="180"/>
    </row>
    <row r="460" spans="1:28" s="203" customFormat="1">
      <c r="A460" s="631"/>
      <c r="B460" s="389" t="s">
        <v>100</v>
      </c>
      <c r="C460" s="392"/>
      <c r="D460" s="392"/>
      <c r="E460" s="392"/>
      <c r="F460" s="392"/>
      <c r="G460" s="392"/>
      <c r="H460" s="392"/>
      <c r="I460" s="750"/>
      <c r="J460" s="392"/>
      <c r="K460" s="392"/>
      <c r="L460" s="392"/>
      <c r="M460" s="392"/>
      <c r="N460" s="392"/>
      <c r="O460" s="750"/>
      <c r="P460" s="392"/>
      <c r="Q460" s="392"/>
      <c r="R460" s="392"/>
      <c r="S460" s="750"/>
      <c r="T460" s="392"/>
      <c r="U460" s="750"/>
      <c r="V460" s="392"/>
      <c r="W460" s="750"/>
      <c r="X460" s="378"/>
      <c r="Y460" s="180"/>
      <c r="Z460" s="180"/>
      <c r="AA460" s="180"/>
      <c r="AB460" s="180"/>
    </row>
    <row r="461" spans="1:28" s="202" customFormat="1">
      <c r="A461" s="631"/>
      <c r="B461" s="634" t="s">
        <v>110</v>
      </c>
      <c r="C461" s="466">
        <v>0</v>
      </c>
      <c r="D461" s="466">
        <v>0</v>
      </c>
      <c r="E461" s="466">
        <v>0</v>
      </c>
      <c r="F461" s="466">
        <v>0</v>
      </c>
      <c r="G461" s="466">
        <v>0</v>
      </c>
      <c r="H461" s="466">
        <v>0</v>
      </c>
      <c r="I461" s="751">
        <v>0</v>
      </c>
      <c r="J461" s="466">
        <v>0</v>
      </c>
      <c r="K461" s="466">
        <v>0</v>
      </c>
      <c r="L461" s="466">
        <v>0</v>
      </c>
      <c r="M461" s="466">
        <v>0</v>
      </c>
      <c r="N461" s="466">
        <v>0</v>
      </c>
      <c r="O461" s="751">
        <v>0</v>
      </c>
      <c r="P461" s="466">
        <v>0</v>
      </c>
      <c r="Q461" s="466">
        <v>0</v>
      </c>
      <c r="R461" s="466">
        <v>0</v>
      </c>
      <c r="S461" s="751">
        <v>0</v>
      </c>
      <c r="T461" s="466">
        <v>0</v>
      </c>
      <c r="U461" s="751">
        <v>0</v>
      </c>
      <c r="V461" s="466">
        <v>0</v>
      </c>
      <c r="W461" s="751">
        <v>0</v>
      </c>
      <c r="X461" s="378"/>
      <c r="Y461" s="180"/>
      <c r="Z461" s="180"/>
      <c r="AA461" s="180"/>
      <c r="AB461" s="180"/>
    </row>
    <row r="462" spans="1:28">
      <c r="A462" s="631"/>
      <c r="B462" s="388" t="s">
        <v>161</v>
      </c>
      <c r="C462" s="391">
        <v>0</v>
      </c>
      <c r="D462" s="391"/>
      <c r="E462" s="391">
        <v>0</v>
      </c>
      <c r="F462" s="391"/>
      <c r="G462" s="391">
        <v>0</v>
      </c>
      <c r="H462" s="391">
        <v>0</v>
      </c>
      <c r="I462" s="749">
        <v>0</v>
      </c>
      <c r="J462" s="391"/>
      <c r="K462" s="391">
        <v>0</v>
      </c>
      <c r="L462" s="391">
        <v>0</v>
      </c>
      <c r="M462" s="391">
        <v>0</v>
      </c>
      <c r="N462" s="391"/>
      <c r="O462" s="749">
        <v>0</v>
      </c>
      <c r="P462" s="391"/>
      <c r="Q462" s="391"/>
      <c r="R462" s="391"/>
      <c r="S462" s="749"/>
      <c r="T462" s="391">
        <v>0</v>
      </c>
      <c r="U462" s="749">
        <v>0</v>
      </c>
      <c r="V462" s="391">
        <v>0</v>
      </c>
      <c r="W462" s="749">
        <v>0</v>
      </c>
      <c r="X462" s="378"/>
      <c r="Y462" s="180"/>
      <c r="Z462" s="180"/>
      <c r="AA462" s="180"/>
      <c r="AB462" s="180"/>
    </row>
    <row r="463" spans="1:28" s="203" customFormat="1">
      <c r="A463" s="631"/>
      <c r="B463" s="389" t="s">
        <v>102</v>
      </c>
      <c r="C463" s="392">
        <v>0</v>
      </c>
      <c r="D463" s="392"/>
      <c r="E463" s="392">
        <v>0</v>
      </c>
      <c r="F463" s="392"/>
      <c r="G463" s="392">
        <v>0</v>
      </c>
      <c r="H463" s="392">
        <v>0</v>
      </c>
      <c r="I463" s="750">
        <v>0</v>
      </c>
      <c r="J463" s="392"/>
      <c r="K463" s="392">
        <v>0</v>
      </c>
      <c r="L463" s="392">
        <v>0</v>
      </c>
      <c r="M463" s="392">
        <v>0</v>
      </c>
      <c r="N463" s="392"/>
      <c r="O463" s="750">
        <v>0</v>
      </c>
      <c r="P463" s="392"/>
      <c r="Q463" s="392"/>
      <c r="R463" s="392"/>
      <c r="S463" s="750"/>
      <c r="T463" s="392">
        <v>0</v>
      </c>
      <c r="U463" s="750">
        <v>0</v>
      </c>
      <c r="V463" s="392">
        <v>0</v>
      </c>
      <c r="W463" s="750">
        <v>0</v>
      </c>
      <c r="X463" s="378"/>
      <c r="Y463" s="180"/>
      <c r="Z463" s="180"/>
      <c r="AA463" s="180"/>
      <c r="AB463" s="180"/>
    </row>
    <row r="464" spans="1:28" s="202" customFormat="1">
      <c r="A464" s="631"/>
      <c r="B464" s="634" t="s">
        <v>183</v>
      </c>
      <c r="C464" s="466">
        <v>0</v>
      </c>
      <c r="D464" s="466">
        <v>0</v>
      </c>
      <c r="E464" s="466">
        <v>0</v>
      </c>
      <c r="F464" s="466">
        <v>0</v>
      </c>
      <c r="G464" s="466">
        <v>0</v>
      </c>
      <c r="H464" s="466">
        <v>0</v>
      </c>
      <c r="I464" s="751">
        <v>0</v>
      </c>
      <c r="J464" s="466">
        <v>0</v>
      </c>
      <c r="K464" s="466">
        <v>0</v>
      </c>
      <c r="L464" s="466">
        <v>0</v>
      </c>
      <c r="M464" s="466">
        <v>0</v>
      </c>
      <c r="N464" s="466">
        <v>0</v>
      </c>
      <c r="O464" s="751">
        <v>0</v>
      </c>
      <c r="P464" s="466">
        <v>0</v>
      </c>
      <c r="Q464" s="466">
        <v>0</v>
      </c>
      <c r="R464" s="466">
        <v>0</v>
      </c>
      <c r="S464" s="751">
        <v>0</v>
      </c>
      <c r="T464" s="466">
        <v>0</v>
      </c>
      <c r="U464" s="751">
        <v>0</v>
      </c>
      <c r="V464" s="466">
        <v>0</v>
      </c>
      <c r="W464" s="751">
        <v>0</v>
      </c>
      <c r="X464" s="378"/>
      <c r="Y464" s="180"/>
      <c r="Z464" s="180"/>
      <c r="AA464" s="180"/>
      <c r="AB464" s="180"/>
    </row>
    <row r="465" spans="1:28">
      <c r="A465" s="631"/>
      <c r="B465" s="388" t="s">
        <v>78</v>
      </c>
      <c r="C465" s="391">
        <v>13520234</v>
      </c>
      <c r="D465" s="391"/>
      <c r="E465" s="391"/>
      <c r="F465" s="391"/>
      <c r="G465" s="391"/>
      <c r="H465" s="391"/>
      <c r="I465" s="749">
        <v>13520234</v>
      </c>
      <c r="J465" s="391"/>
      <c r="K465" s="391"/>
      <c r="L465" s="391"/>
      <c r="M465" s="391"/>
      <c r="N465" s="391"/>
      <c r="O465" s="749"/>
      <c r="P465" s="391"/>
      <c r="Q465" s="391"/>
      <c r="R465" s="391"/>
      <c r="S465" s="749"/>
      <c r="T465" s="391">
        <v>66983628</v>
      </c>
      <c r="U465" s="749">
        <v>66983628</v>
      </c>
      <c r="V465" s="391"/>
      <c r="W465" s="749">
        <v>80503862</v>
      </c>
      <c r="X465" s="378"/>
      <c r="Y465" s="180"/>
      <c r="Z465" s="180"/>
      <c r="AA465" s="180"/>
      <c r="AB465" s="180"/>
    </row>
    <row r="466" spans="1:28" s="203" customFormat="1">
      <c r="A466" s="631"/>
      <c r="B466" s="389" t="s">
        <v>80</v>
      </c>
      <c r="C466" s="392">
        <v>13647095</v>
      </c>
      <c r="D466" s="392"/>
      <c r="E466" s="392"/>
      <c r="F466" s="392"/>
      <c r="G466" s="392"/>
      <c r="H466" s="392"/>
      <c r="I466" s="750">
        <v>13647095</v>
      </c>
      <c r="J466" s="392"/>
      <c r="K466" s="392"/>
      <c r="L466" s="392"/>
      <c r="M466" s="392"/>
      <c r="N466" s="392"/>
      <c r="O466" s="750"/>
      <c r="P466" s="392"/>
      <c r="Q466" s="392"/>
      <c r="R466" s="392"/>
      <c r="S466" s="750"/>
      <c r="T466" s="392">
        <v>75051807</v>
      </c>
      <c r="U466" s="750">
        <v>75051807</v>
      </c>
      <c r="V466" s="392"/>
      <c r="W466" s="750">
        <v>88698902</v>
      </c>
      <c r="X466" s="378"/>
      <c r="Y466" s="180"/>
      <c r="Z466" s="180"/>
      <c r="AA466" s="180"/>
      <c r="AB466" s="180"/>
    </row>
    <row r="467" spans="1:28" s="202" customFormat="1">
      <c r="A467" s="631"/>
      <c r="B467" s="634" t="s">
        <v>215</v>
      </c>
      <c r="C467" s="466">
        <v>0.93830476602697854</v>
      </c>
      <c r="D467" s="466">
        <v>0</v>
      </c>
      <c r="E467" s="466">
        <v>0</v>
      </c>
      <c r="F467" s="466">
        <v>0</v>
      </c>
      <c r="G467" s="466">
        <v>0</v>
      </c>
      <c r="H467" s="466">
        <v>0</v>
      </c>
      <c r="I467" s="751">
        <v>0.93830476602697854</v>
      </c>
      <c r="J467" s="466">
        <v>0</v>
      </c>
      <c r="K467" s="466">
        <v>0</v>
      </c>
      <c r="L467" s="466">
        <v>0</v>
      </c>
      <c r="M467" s="466">
        <v>0</v>
      </c>
      <c r="N467" s="466">
        <v>0</v>
      </c>
      <c r="O467" s="751">
        <v>0</v>
      </c>
      <c r="P467" s="466">
        <v>0</v>
      </c>
      <c r="Q467" s="466">
        <v>0</v>
      </c>
      <c r="R467" s="466">
        <v>0</v>
      </c>
      <c r="S467" s="751">
        <v>0</v>
      </c>
      <c r="T467" s="1461">
        <v>12.045001503949591</v>
      </c>
      <c r="U467" s="751">
        <v>12.045001503949591</v>
      </c>
      <c r="V467" s="466">
        <v>0</v>
      </c>
      <c r="W467" s="751">
        <v>10.179685541048949</v>
      </c>
      <c r="X467" s="703"/>
      <c r="Y467" s="180"/>
      <c r="Z467" s="180"/>
      <c r="AA467" s="180"/>
      <c r="AB467" s="180"/>
    </row>
    <row r="468" spans="1:28">
      <c r="A468" s="631"/>
      <c r="B468" s="388" t="s">
        <v>81</v>
      </c>
      <c r="C468" s="391"/>
      <c r="D468" s="391"/>
      <c r="E468" s="391"/>
      <c r="F468" s="391"/>
      <c r="G468" s="391"/>
      <c r="H468" s="391"/>
      <c r="I468" s="749"/>
      <c r="J468" s="391"/>
      <c r="K468" s="391"/>
      <c r="L468" s="391"/>
      <c r="M468" s="391"/>
      <c r="N468" s="391"/>
      <c r="O468" s="749"/>
      <c r="P468" s="391"/>
      <c r="Q468" s="391"/>
      <c r="R468" s="391"/>
      <c r="S468" s="749"/>
      <c r="T468" s="391"/>
      <c r="U468" s="749"/>
      <c r="V468" s="391"/>
      <c r="W468" s="749"/>
      <c r="X468" s="378"/>
      <c r="Y468" s="180"/>
      <c r="Z468" s="180"/>
      <c r="AA468" s="180"/>
      <c r="AB468" s="180"/>
    </row>
    <row r="469" spans="1:28" s="203" customFormat="1">
      <c r="A469" s="631"/>
      <c r="B469" s="389" t="s">
        <v>318</v>
      </c>
      <c r="C469" s="392"/>
      <c r="D469" s="392"/>
      <c r="E469" s="392"/>
      <c r="F469" s="392"/>
      <c r="G469" s="392"/>
      <c r="H469" s="392"/>
      <c r="I469" s="750"/>
      <c r="J469" s="392"/>
      <c r="K469" s="392"/>
      <c r="L469" s="392"/>
      <c r="M469" s="392"/>
      <c r="N469" s="392"/>
      <c r="O469" s="750"/>
      <c r="P469" s="392"/>
      <c r="Q469" s="392"/>
      <c r="R469" s="392"/>
      <c r="S469" s="750"/>
      <c r="T469" s="392"/>
      <c r="U469" s="750"/>
      <c r="V469" s="392"/>
      <c r="W469" s="750"/>
      <c r="X469" s="378"/>
      <c r="Y469" s="180"/>
      <c r="Z469" s="180"/>
      <c r="AA469" s="180"/>
      <c r="AB469" s="180"/>
    </row>
    <row r="470" spans="1:28" s="202" customFormat="1">
      <c r="A470" s="631"/>
      <c r="B470" s="634" t="s">
        <v>236</v>
      </c>
      <c r="C470" s="466">
        <v>0</v>
      </c>
      <c r="D470" s="466">
        <v>0</v>
      </c>
      <c r="E470" s="466">
        <v>0</v>
      </c>
      <c r="F470" s="466">
        <v>0</v>
      </c>
      <c r="G470" s="466">
        <v>0</v>
      </c>
      <c r="H470" s="466">
        <v>0</v>
      </c>
      <c r="I470" s="751">
        <v>0</v>
      </c>
      <c r="J470" s="466">
        <v>0</v>
      </c>
      <c r="K470" s="466">
        <v>0</v>
      </c>
      <c r="L470" s="466">
        <v>0</v>
      </c>
      <c r="M470" s="466">
        <v>0</v>
      </c>
      <c r="N470" s="466">
        <v>0</v>
      </c>
      <c r="O470" s="751">
        <v>0</v>
      </c>
      <c r="P470" s="466">
        <v>0</v>
      </c>
      <c r="Q470" s="466">
        <v>0</v>
      </c>
      <c r="R470" s="466">
        <v>0</v>
      </c>
      <c r="S470" s="751">
        <v>0</v>
      </c>
      <c r="T470" s="466">
        <v>0</v>
      </c>
      <c r="U470" s="751">
        <v>0</v>
      </c>
      <c r="V470" s="466">
        <v>0</v>
      </c>
      <c r="W470" s="751">
        <v>0</v>
      </c>
      <c r="X470" s="378"/>
      <c r="Y470" s="180"/>
      <c r="Z470" s="180"/>
      <c r="AA470" s="180"/>
      <c r="AB470" s="180"/>
    </row>
    <row r="471" spans="1:28">
      <c r="A471" s="631"/>
      <c r="B471" s="388" t="s">
        <v>19</v>
      </c>
      <c r="C471" s="391">
        <v>1042553758</v>
      </c>
      <c r="D471" s="391"/>
      <c r="E471" s="391">
        <v>293273188</v>
      </c>
      <c r="F471" s="391"/>
      <c r="G471" s="391">
        <v>229791019</v>
      </c>
      <c r="H471" s="391">
        <v>154826102</v>
      </c>
      <c r="I471" s="749">
        <v>1720444067</v>
      </c>
      <c r="J471" s="391"/>
      <c r="K471" s="391">
        <v>385847932</v>
      </c>
      <c r="L471" s="391">
        <v>119645959</v>
      </c>
      <c r="M471" s="391">
        <v>61114896</v>
      </c>
      <c r="N471" s="391"/>
      <c r="O471" s="749">
        <v>566608787</v>
      </c>
      <c r="P471" s="391"/>
      <c r="Q471" s="391"/>
      <c r="R471" s="391"/>
      <c r="S471" s="749"/>
      <c r="T471" s="391">
        <v>0</v>
      </c>
      <c r="U471" s="749">
        <v>0</v>
      </c>
      <c r="V471" s="391">
        <v>4495762</v>
      </c>
      <c r="W471" s="749">
        <v>2291548616</v>
      </c>
      <c r="X471" s="378"/>
      <c r="Y471" s="180"/>
      <c r="Z471" s="180"/>
      <c r="AA471" s="180"/>
      <c r="AB471" s="180"/>
    </row>
    <row r="472" spans="1:28" s="203" customFormat="1">
      <c r="A472" s="631"/>
      <c r="B472" s="389" t="s">
        <v>21</v>
      </c>
      <c r="C472" s="392">
        <v>1116157225</v>
      </c>
      <c r="D472" s="392"/>
      <c r="E472" s="392">
        <v>294243582</v>
      </c>
      <c r="F472" s="392"/>
      <c r="G472" s="392">
        <v>248543050</v>
      </c>
      <c r="H472" s="392">
        <v>156345922</v>
      </c>
      <c r="I472" s="750">
        <v>1815289779</v>
      </c>
      <c r="J472" s="392"/>
      <c r="K472" s="392">
        <v>361220822</v>
      </c>
      <c r="L472" s="392">
        <v>125188490</v>
      </c>
      <c r="M472" s="392">
        <v>63435132.329999998</v>
      </c>
      <c r="N472" s="392"/>
      <c r="O472" s="750">
        <v>549844444.33000004</v>
      </c>
      <c r="P472" s="392"/>
      <c r="Q472" s="392"/>
      <c r="R472" s="392"/>
      <c r="S472" s="750"/>
      <c r="T472" s="392">
        <v>0</v>
      </c>
      <c r="U472" s="750">
        <v>0</v>
      </c>
      <c r="V472" s="392">
        <v>4295762</v>
      </c>
      <c r="W472" s="750">
        <v>2369429985.3299999</v>
      </c>
      <c r="X472" s="378"/>
      <c r="Y472" s="180"/>
      <c r="Z472" s="180"/>
      <c r="AA472" s="180"/>
      <c r="AB472" s="180"/>
    </row>
    <row r="473" spans="1:28" s="212" customFormat="1" ht="13.5" thickBot="1">
      <c r="A473" s="635"/>
      <c r="B473" s="761" t="s">
        <v>23</v>
      </c>
      <c r="C473" s="762">
        <v>7.0599205494399078</v>
      </c>
      <c r="D473" s="762">
        <v>0</v>
      </c>
      <c r="E473" s="762">
        <v>0.33088398111592798</v>
      </c>
      <c r="F473" s="762">
        <v>0</v>
      </c>
      <c r="G473" s="762">
        <v>8.1604716675197828</v>
      </c>
      <c r="H473" s="762">
        <v>0.98163034550853712</v>
      </c>
      <c r="I473" s="763">
        <v>5.5128622789455672</v>
      </c>
      <c r="J473" s="762">
        <v>0</v>
      </c>
      <c r="K473" s="762">
        <v>-6.3825947886640479</v>
      </c>
      <c r="L473" s="762">
        <v>4.6324431232984642</v>
      </c>
      <c r="M473" s="762">
        <v>3.7965152227371837</v>
      </c>
      <c r="N473" s="762">
        <v>0</v>
      </c>
      <c r="O473" s="763">
        <v>-2.9587156173065274</v>
      </c>
      <c r="P473" s="762">
        <v>0</v>
      </c>
      <c r="Q473" s="762">
        <v>0</v>
      </c>
      <c r="R473" s="762">
        <v>0</v>
      </c>
      <c r="S473" s="763">
        <v>0</v>
      </c>
      <c r="T473" s="762">
        <v>0</v>
      </c>
      <c r="U473" s="763">
        <v>0</v>
      </c>
      <c r="V473" s="762">
        <v>-4.448634069152237</v>
      </c>
      <c r="W473" s="763">
        <v>3.3986348265194271</v>
      </c>
      <c r="X473" s="378"/>
      <c r="Y473" s="180"/>
      <c r="Z473" s="180"/>
      <c r="AA473" s="180"/>
      <c r="AB473" s="180"/>
    </row>
    <row r="474" spans="1:28" ht="13.5" thickTop="1">
      <c r="A474" s="230" t="s">
        <v>155</v>
      </c>
      <c r="B474" s="764" t="s">
        <v>190</v>
      </c>
      <c r="C474" s="765">
        <v>283610589.87731534</v>
      </c>
      <c r="D474" s="765">
        <v>36031535</v>
      </c>
      <c r="E474" s="765">
        <v>250524001.68110457</v>
      </c>
      <c r="F474" s="765"/>
      <c r="G474" s="765">
        <v>26780564.698208787</v>
      </c>
      <c r="H474" s="765"/>
      <c r="I474" s="766">
        <v>596946691.25662875</v>
      </c>
      <c r="J474" s="765"/>
      <c r="K474" s="765">
        <v>111311834.89279267</v>
      </c>
      <c r="L474" s="765">
        <v>103519501.10720733</v>
      </c>
      <c r="M474" s="765"/>
      <c r="N474" s="765"/>
      <c r="O474" s="766">
        <v>214831336</v>
      </c>
      <c r="P474" s="765">
        <v>3387500</v>
      </c>
      <c r="Q474" s="765">
        <v>54188400</v>
      </c>
      <c r="R474" s="765"/>
      <c r="S474" s="766">
        <v>57575900</v>
      </c>
      <c r="T474" s="765"/>
      <c r="U474" s="766"/>
      <c r="V474" s="765"/>
      <c r="W474" s="766">
        <v>869353927.25662875</v>
      </c>
      <c r="X474" s="378"/>
      <c r="Y474" s="180"/>
      <c r="Z474" s="180"/>
      <c r="AA474" s="180"/>
      <c r="AB474" s="180"/>
    </row>
    <row r="475" spans="1:28" s="203" customFormat="1">
      <c r="A475" s="631"/>
      <c r="B475" s="389" t="s">
        <v>4</v>
      </c>
      <c r="C475" s="392">
        <v>285489704.0441556</v>
      </c>
      <c r="D475" s="392">
        <v>35316164.799999997</v>
      </c>
      <c r="E475" s="392">
        <v>252747226.58617812</v>
      </c>
      <c r="F475" s="392"/>
      <c r="G475" s="392">
        <v>27467642.664461784</v>
      </c>
      <c r="H475" s="392"/>
      <c r="I475" s="750">
        <v>601020738.09479547</v>
      </c>
      <c r="J475" s="392"/>
      <c r="K475" s="392">
        <v>107879231</v>
      </c>
      <c r="L475" s="392">
        <v>103047757.08</v>
      </c>
      <c r="M475" s="392"/>
      <c r="N475" s="392"/>
      <c r="O475" s="750">
        <v>210926988.07999998</v>
      </c>
      <c r="P475" s="392">
        <v>3264000</v>
      </c>
      <c r="Q475" s="392">
        <v>52212600</v>
      </c>
      <c r="R475" s="392"/>
      <c r="S475" s="750">
        <v>55476600</v>
      </c>
      <c r="T475" s="392"/>
      <c r="U475" s="750"/>
      <c r="V475" s="392"/>
      <c r="W475" s="750">
        <v>867424326.17479551</v>
      </c>
      <c r="X475" s="378"/>
      <c r="Y475" s="180"/>
      <c r="Z475" s="180"/>
      <c r="AA475" s="180"/>
      <c r="AB475" s="180"/>
    </row>
    <row r="476" spans="1:28" s="202" customFormat="1">
      <c r="A476" s="632"/>
      <c r="B476" s="634" t="s">
        <v>116</v>
      </c>
      <c r="C476" s="466">
        <v>0.66256840679084827</v>
      </c>
      <c r="D476" s="466">
        <v>-1.9854002889413482</v>
      </c>
      <c r="E476" s="466">
        <v>0.88742990298531432</v>
      </c>
      <c r="F476" s="466">
        <v>0</v>
      </c>
      <c r="G476" s="466">
        <v>2.5655843108452174</v>
      </c>
      <c r="H476" s="466">
        <v>0</v>
      </c>
      <c r="I476" s="751">
        <v>0.68248084759303762</v>
      </c>
      <c r="J476" s="466">
        <v>0</v>
      </c>
      <c r="K476" s="466">
        <v>-3.0837726249852069</v>
      </c>
      <c r="L476" s="466">
        <v>-0.45570546820814006</v>
      </c>
      <c r="M476" s="466">
        <v>0</v>
      </c>
      <c r="N476" s="466">
        <v>0</v>
      </c>
      <c r="O476" s="751">
        <v>-1.8174014986342801</v>
      </c>
      <c r="P476" s="466">
        <v>-3.645756457564576</v>
      </c>
      <c r="Q476" s="466">
        <v>-3.6461678145138072</v>
      </c>
      <c r="R476" s="466">
        <v>0</v>
      </c>
      <c r="S476" s="751">
        <v>-3.6461436121710649</v>
      </c>
      <c r="T476" s="466">
        <v>0</v>
      </c>
      <c r="U476" s="751">
        <v>0</v>
      </c>
      <c r="V476" s="466">
        <v>0</v>
      </c>
      <c r="W476" s="751">
        <v>-0.22195805659062906</v>
      </c>
      <c r="X476" s="378"/>
      <c r="Y476" s="180"/>
      <c r="Z476" s="180"/>
      <c r="AA476" s="180"/>
      <c r="AB476" s="180"/>
    </row>
    <row r="477" spans="1:28">
      <c r="A477" s="631"/>
      <c r="B477" s="388" t="s">
        <v>195</v>
      </c>
      <c r="C477" s="391">
        <v>66467177</v>
      </c>
      <c r="D477" s="391">
        <v>6131000</v>
      </c>
      <c r="E477" s="391"/>
      <c r="F477" s="391"/>
      <c r="G477" s="391"/>
      <c r="H477" s="391"/>
      <c r="I477" s="749">
        <v>72598177</v>
      </c>
      <c r="J477" s="391"/>
      <c r="K477" s="391"/>
      <c r="L477" s="391"/>
      <c r="M477" s="391"/>
      <c r="N477" s="391"/>
      <c r="O477" s="749"/>
      <c r="P477" s="391"/>
      <c r="Q477" s="391"/>
      <c r="R477" s="391"/>
      <c r="S477" s="749"/>
      <c r="T477" s="391"/>
      <c r="U477" s="749"/>
      <c r="V477" s="391">
        <v>422000</v>
      </c>
      <c r="W477" s="749">
        <v>73020177</v>
      </c>
      <c r="X477" s="378"/>
      <c r="Y477" s="180"/>
      <c r="Z477" s="180"/>
      <c r="AA477" s="180"/>
      <c r="AB477" s="180"/>
    </row>
    <row r="478" spans="1:28" s="203" customFormat="1">
      <c r="A478" s="631"/>
      <c r="B478" s="389" t="s">
        <v>242</v>
      </c>
      <c r="C478" s="392">
        <v>66830277</v>
      </c>
      <c r="D478" s="392">
        <v>6127500</v>
      </c>
      <c r="E478" s="392"/>
      <c r="F478" s="392"/>
      <c r="G478" s="392"/>
      <c r="H478" s="392"/>
      <c r="I478" s="750">
        <v>72957777</v>
      </c>
      <c r="J478" s="392"/>
      <c r="K478" s="392"/>
      <c r="L478" s="392"/>
      <c r="M478" s="392"/>
      <c r="N478" s="392"/>
      <c r="O478" s="750"/>
      <c r="P478" s="392"/>
      <c r="Q478" s="392"/>
      <c r="R478" s="392"/>
      <c r="S478" s="750"/>
      <c r="T478" s="392"/>
      <c r="U478" s="750"/>
      <c r="V478" s="392">
        <v>423700</v>
      </c>
      <c r="W478" s="750">
        <v>73381477</v>
      </c>
      <c r="X478" s="378"/>
      <c r="Y478" s="180"/>
      <c r="Z478" s="180"/>
      <c r="AA478" s="180"/>
      <c r="AB478" s="180"/>
    </row>
    <row r="479" spans="1:28" s="202" customFormat="1">
      <c r="A479" s="631"/>
      <c r="B479" s="634" t="s">
        <v>244</v>
      </c>
      <c r="C479" s="466">
        <v>0.54628467220745658</v>
      </c>
      <c r="D479" s="466">
        <v>-5.7086935247104877E-2</v>
      </c>
      <c r="E479" s="466">
        <v>0</v>
      </c>
      <c r="F479" s="466">
        <v>0</v>
      </c>
      <c r="G479" s="466">
        <v>0</v>
      </c>
      <c r="H479" s="466">
        <v>0</v>
      </c>
      <c r="I479" s="751">
        <v>0.49532924222050373</v>
      </c>
      <c r="J479" s="466">
        <v>0</v>
      </c>
      <c r="K479" s="466">
        <v>0</v>
      </c>
      <c r="L479" s="466">
        <v>0</v>
      </c>
      <c r="M479" s="466">
        <v>0</v>
      </c>
      <c r="N479" s="466">
        <v>0</v>
      </c>
      <c r="O479" s="751">
        <v>0</v>
      </c>
      <c r="P479" s="466">
        <v>0</v>
      </c>
      <c r="Q479" s="466">
        <v>0</v>
      </c>
      <c r="R479" s="466">
        <v>0</v>
      </c>
      <c r="S479" s="751">
        <v>0</v>
      </c>
      <c r="T479" s="466">
        <v>0</v>
      </c>
      <c r="U479" s="751">
        <v>0</v>
      </c>
      <c r="V479" s="466">
        <v>0.40284360189573459</v>
      </c>
      <c r="W479" s="751">
        <v>0.49479474693686382</v>
      </c>
      <c r="X479" s="378"/>
      <c r="Y479" s="180"/>
      <c r="Z479" s="180"/>
      <c r="AA479" s="180"/>
      <c r="AB479" s="180"/>
    </row>
    <row r="480" spans="1:28">
      <c r="A480" s="631"/>
      <c r="B480" s="388" t="s">
        <v>5</v>
      </c>
      <c r="C480" s="391"/>
      <c r="D480" s="391"/>
      <c r="E480" s="391"/>
      <c r="F480" s="391"/>
      <c r="G480" s="391"/>
      <c r="H480" s="391"/>
      <c r="I480" s="749"/>
      <c r="J480" s="391"/>
      <c r="K480" s="391"/>
      <c r="L480" s="391"/>
      <c r="M480" s="391"/>
      <c r="N480" s="391"/>
      <c r="O480" s="749"/>
      <c r="P480" s="391"/>
      <c r="Q480" s="391"/>
      <c r="R480" s="391"/>
      <c r="S480" s="749"/>
      <c r="T480" s="391"/>
      <c r="U480" s="749"/>
      <c r="V480" s="391"/>
      <c r="W480" s="749"/>
      <c r="X480" s="378"/>
      <c r="Y480" s="180"/>
      <c r="Z480" s="180"/>
      <c r="AA480" s="180"/>
      <c r="AB480" s="180"/>
    </row>
    <row r="481" spans="1:28" s="203" customFormat="1">
      <c r="A481" s="631"/>
      <c r="B481" s="389" t="s">
        <v>6</v>
      </c>
      <c r="C481" s="392"/>
      <c r="D481" s="392"/>
      <c r="E481" s="392"/>
      <c r="F481" s="392"/>
      <c r="G481" s="392"/>
      <c r="H481" s="392"/>
      <c r="I481" s="750"/>
      <c r="J481" s="392"/>
      <c r="K481" s="392"/>
      <c r="L481" s="392"/>
      <c r="M481" s="392"/>
      <c r="N481" s="392"/>
      <c r="O481" s="750"/>
      <c r="P481" s="392"/>
      <c r="Q481" s="392"/>
      <c r="R481" s="392"/>
      <c r="S481" s="750"/>
      <c r="T481" s="392"/>
      <c r="U481" s="750"/>
      <c r="V481" s="392"/>
      <c r="W481" s="750"/>
      <c r="X481" s="378"/>
      <c r="Y481" s="180"/>
      <c r="Z481" s="180"/>
      <c r="AA481" s="180"/>
      <c r="AB481" s="180"/>
    </row>
    <row r="482" spans="1:28" s="202" customFormat="1">
      <c r="A482" s="631"/>
      <c r="B482" s="634" t="s">
        <v>298</v>
      </c>
      <c r="C482" s="466">
        <v>0</v>
      </c>
      <c r="D482" s="466">
        <v>0</v>
      </c>
      <c r="E482" s="466">
        <v>0</v>
      </c>
      <c r="F482" s="466">
        <v>0</v>
      </c>
      <c r="G482" s="466">
        <v>0</v>
      </c>
      <c r="H482" s="466">
        <v>0</v>
      </c>
      <c r="I482" s="751">
        <v>0</v>
      </c>
      <c r="J482" s="466">
        <v>0</v>
      </c>
      <c r="K482" s="466">
        <v>0</v>
      </c>
      <c r="L482" s="466">
        <v>0</v>
      </c>
      <c r="M482" s="466">
        <v>0</v>
      </c>
      <c r="N482" s="466">
        <v>0</v>
      </c>
      <c r="O482" s="751">
        <v>0</v>
      </c>
      <c r="P482" s="466">
        <v>0</v>
      </c>
      <c r="Q482" s="466">
        <v>0</v>
      </c>
      <c r="R482" s="466">
        <v>0</v>
      </c>
      <c r="S482" s="751">
        <v>0</v>
      </c>
      <c r="T482" s="466">
        <v>0</v>
      </c>
      <c r="U482" s="751">
        <v>0</v>
      </c>
      <c r="V482" s="466">
        <v>0</v>
      </c>
      <c r="W482" s="751">
        <v>0</v>
      </c>
      <c r="X482" s="378"/>
      <c r="Y482" s="180"/>
      <c r="Z482" s="180"/>
      <c r="AA482" s="180"/>
      <c r="AB482" s="180"/>
    </row>
    <row r="483" spans="1:28">
      <c r="A483" s="631"/>
      <c r="B483" s="388" t="s">
        <v>223</v>
      </c>
      <c r="C483" s="391">
        <v>432939200</v>
      </c>
      <c r="D483" s="391">
        <v>69406700</v>
      </c>
      <c r="E483" s="391">
        <v>480414332</v>
      </c>
      <c r="F483" s="391"/>
      <c r="G483" s="391">
        <v>52866500</v>
      </c>
      <c r="H483" s="391"/>
      <c r="I483" s="749">
        <v>1035626732</v>
      </c>
      <c r="J483" s="391"/>
      <c r="K483" s="391">
        <v>150225800</v>
      </c>
      <c r="L483" s="391">
        <v>115871680</v>
      </c>
      <c r="M483" s="391"/>
      <c r="N483" s="391"/>
      <c r="O483" s="749">
        <v>266097480</v>
      </c>
      <c r="P483" s="391">
        <v>2676000</v>
      </c>
      <c r="Q483" s="391">
        <v>26114750</v>
      </c>
      <c r="R483" s="391"/>
      <c r="S483" s="749">
        <v>28790750</v>
      </c>
      <c r="T483" s="391"/>
      <c r="U483" s="749"/>
      <c r="V483" s="391">
        <v>0</v>
      </c>
      <c r="W483" s="749">
        <v>1330514962</v>
      </c>
      <c r="X483" s="378"/>
      <c r="Y483" s="180"/>
      <c r="Z483" s="180"/>
      <c r="AA483" s="180"/>
      <c r="AB483" s="180"/>
    </row>
    <row r="484" spans="1:28" s="203" customFormat="1">
      <c r="A484" s="631"/>
      <c r="B484" s="389" t="s">
        <v>14</v>
      </c>
      <c r="C484" s="392">
        <v>446295643</v>
      </c>
      <c r="D484" s="392">
        <v>77231800</v>
      </c>
      <c r="E484" s="392">
        <v>501907180</v>
      </c>
      <c r="F484" s="392"/>
      <c r="G484" s="392">
        <v>54584186</v>
      </c>
      <c r="H484" s="392"/>
      <c r="I484" s="750">
        <v>1080018809</v>
      </c>
      <c r="J484" s="392"/>
      <c r="K484" s="392">
        <v>147448560</v>
      </c>
      <c r="L484" s="392">
        <v>116713900</v>
      </c>
      <c r="M484" s="392"/>
      <c r="N484" s="392"/>
      <c r="O484" s="750">
        <v>264162460</v>
      </c>
      <c r="P484" s="392">
        <v>2404500</v>
      </c>
      <c r="Q484" s="392">
        <v>28201550</v>
      </c>
      <c r="R484" s="392"/>
      <c r="S484" s="750">
        <v>30606050</v>
      </c>
      <c r="T484" s="392"/>
      <c r="U484" s="750"/>
      <c r="V484" s="392">
        <v>0</v>
      </c>
      <c r="W484" s="750">
        <v>1374787319</v>
      </c>
      <c r="X484" s="378"/>
      <c r="Y484" s="180"/>
      <c r="Z484" s="180"/>
      <c r="AA484" s="180"/>
      <c r="AB484" s="180"/>
    </row>
    <row r="485" spans="1:28" s="202" customFormat="1">
      <c r="A485" s="631"/>
      <c r="B485" s="634" t="s">
        <v>247</v>
      </c>
      <c r="C485" s="466">
        <v>3.0850620595224454</v>
      </c>
      <c r="D485" s="1461">
        <v>11.274271792204498</v>
      </c>
      <c r="E485" s="466">
        <v>4.4738149069208033</v>
      </c>
      <c r="F485" s="466">
        <v>0</v>
      </c>
      <c r="G485" s="466">
        <v>3.2491010375190337</v>
      </c>
      <c r="H485" s="466">
        <v>0</v>
      </c>
      <c r="I485" s="751">
        <v>4.2864939295522158</v>
      </c>
      <c r="J485" s="466">
        <v>0</v>
      </c>
      <c r="K485" s="466">
        <v>-1.8487104079325922</v>
      </c>
      <c r="L485" s="466">
        <v>0.72685577701125936</v>
      </c>
      <c r="M485" s="466">
        <v>0</v>
      </c>
      <c r="N485" s="466">
        <v>0</v>
      </c>
      <c r="O485" s="751">
        <v>-0.72718463925325416</v>
      </c>
      <c r="P485" s="466">
        <v>-10.145739910313901</v>
      </c>
      <c r="Q485" s="466">
        <v>7.9908863764730667</v>
      </c>
      <c r="R485" s="466">
        <v>0</v>
      </c>
      <c r="S485" s="751">
        <v>6.305150091609284</v>
      </c>
      <c r="T485" s="466">
        <v>0</v>
      </c>
      <c r="U485" s="751">
        <v>0</v>
      </c>
      <c r="V485" s="466">
        <v>0</v>
      </c>
      <c r="W485" s="751">
        <v>3.3274602890185316</v>
      </c>
      <c r="X485" s="378"/>
      <c r="Y485" s="180"/>
      <c r="Z485" s="180"/>
      <c r="AA485" s="180"/>
      <c r="AB485" s="180"/>
    </row>
    <row r="486" spans="1:28">
      <c r="A486" s="631"/>
      <c r="B486" s="388" t="s">
        <v>225</v>
      </c>
      <c r="C486" s="391">
        <v>4758000</v>
      </c>
      <c r="D486" s="391">
        <v>1537500</v>
      </c>
      <c r="E486" s="391">
        <v>17298800</v>
      </c>
      <c r="F486" s="391"/>
      <c r="G486" s="391">
        <v>2500000</v>
      </c>
      <c r="H486" s="391"/>
      <c r="I486" s="749">
        <v>26094300</v>
      </c>
      <c r="J486" s="391"/>
      <c r="K486" s="391">
        <v>330000</v>
      </c>
      <c r="L486" s="391">
        <v>0</v>
      </c>
      <c r="M486" s="391"/>
      <c r="N486" s="391"/>
      <c r="O486" s="749">
        <v>330000</v>
      </c>
      <c r="P486" s="391">
        <v>0</v>
      </c>
      <c r="Q486" s="391">
        <v>0</v>
      </c>
      <c r="R486" s="391"/>
      <c r="S486" s="749">
        <v>0</v>
      </c>
      <c r="T486" s="391"/>
      <c r="U486" s="749"/>
      <c r="V486" s="391">
        <v>0</v>
      </c>
      <c r="W486" s="749">
        <v>26424300</v>
      </c>
      <c r="X486" s="378"/>
      <c r="Y486" s="180"/>
      <c r="Z486" s="180"/>
      <c r="AA486" s="180"/>
      <c r="AB486" s="180"/>
    </row>
    <row r="487" spans="1:28" s="203" customFormat="1">
      <c r="A487" s="631"/>
      <c r="B487" s="389" t="s">
        <v>166</v>
      </c>
      <c r="C487" s="392">
        <v>9405000</v>
      </c>
      <c r="D487" s="392">
        <v>1552900</v>
      </c>
      <c r="E487" s="392">
        <v>17849500</v>
      </c>
      <c r="F487" s="392"/>
      <c r="G487" s="392">
        <v>2500000</v>
      </c>
      <c r="H487" s="392"/>
      <c r="I487" s="750">
        <v>31307400</v>
      </c>
      <c r="J487" s="392"/>
      <c r="K487" s="392">
        <v>310000</v>
      </c>
      <c r="L487" s="392">
        <v>0</v>
      </c>
      <c r="M487" s="392"/>
      <c r="N487" s="392"/>
      <c r="O487" s="750">
        <v>310000</v>
      </c>
      <c r="P487" s="392">
        <v>0</v>
      </c>
      <c r="Q487" s="392">
        <v>0</v>
      </c>
      <c r="R487" s="392"/>
      <c r="S487" s="750">
        <v>0</v>
      </c>
      <c r="T487" s="392">
        <v>0</v>
      </c>
      <c r="U487" s="750">
        <v>0</v>
      </c>
      <c r="V487" s="392">
        <v>0</v>
      </c>
      <c r="W487" s="750">
        <v>31617400</v>
      </c>
      <c r="X487" s="378"/>
      <c r="Y487" s="180"/>
      <c r="Z487" s="180"/>
      <c r="AA487" s="180"/>
      <c r="AB487" s="180"/>
    </row>
    <row r="488" spans="1:28" s="202" customFormat="1">
      <c r="A488" s="631"/>
      <c r="B488" s="634" t="s">
        <v>175</v>
      </c>
      <c r="C488" s="466">
        <v>97.667087011349309</v>
      </c>
      <c r="D488" s="466">
        <v>1.0016260162601625</v>
      </c>
      <c r="E488" s="466">
        <v>3.1834578121025734</v>
      </c>
      <c r="F488" s="466">
        <v>0</v>
      </c>
      <c r="G488" s="466">
        <v>0</v>
      </c>
      <c r="H488" s="466">
        <v>0</v>
      </c>
      <c r="I488" s="751">
        <v>19.977926213770825</v>
      </c>
      <c r="J488" s="466">
        <v>0</v>
      </c>
      <c r="K488" s="466">
        <v>-6.0606060606060606</v>
      </c>
      <c r="L488" s="466">
        <v>0</v>
      </c>
      <c r="M488" s="466">
        <v>0</v>
      </c>
      <c r="N488" s="466">
        <v>0</v>
      </c>
      <c r="O488" s="751">
        <v>-6.0606060606060606</v>
      </c>
      <c r="P488" s="466">
        <v>0</v>
      </c>
      <c r="Q488" s="466">
        <v>0</v>
      </c>
      <c r="R488" s="466">
        <v>0</v>
      </c>
      <c r="S488" s="751">
        <v>0</v>
      </c>
      <c r="T488" s="466">
        <v>0</v>
      </c>
      <c r="U488" s="751">
        <v>0</v>
      </c>
      <c r="V488" s="466">
        <v>0</v>
      </c>
      <c r="W488" s="751">
        <v>19.652743875902104</v>
      </c>
      <c r="X488" s="378"/>
      <c r="Y488" s="180"/>
      <c r="Z488" s="180"/>
      <c r="AA488" s="180"/>
      <c r="AB488" s="180"/>
    </row>
    <row r="489" spans="1:28">
      <c r="A489" s="631"/>
      <c r="B489" s="752" t="s">
        <v>317</v>
      </c>
      <c r="C489" s="749">
        <v>437697200</v>
      </c>
      <c r="D489" s="749">
        <v>70944200</v>
      </c>
      <c r="E489" s="749">
        <v>497713132</v>
      </c>
      <c r="F489" s="749"/>
      <c r="G489" s="749">
        <v>55366500</v>
      </c>
      <c r="H489" s="749"/>
      <c r="I489" s="749">
        <v>1061721032</v>
      </c>
      <c r="J489" s="749"/>
      <c r="K489" s="749">
        <v>150555800</v>
      </c>
      <c r="L489" s="749">
        <v>115871680</v>
      </c>
      <c r="M489" s="749"/>
      <c r="N489" s="749"/>
      <c r="O489" s="749">
        <v>266427480</v>
      </c>
      <c r="P489" s="749">
        <v>2676000</v>
      </c>
      <c r="Q489" s="749">
        <v>26114750</v>
      </c>
      <c r="R489" s="749"/>
      <c r="S489" s="749">
        <v>28790750</v>
      </c>
      <c r="T489" s="749">
        <v>0</v>
      </c>
      <c r="U489" s="749">
        <v>0</v>
      </c>
      <c r="V489" s="749">
        <v>0</v>
      </c>
      <c r="W489" s="749">
        <v>1356939262</v>
      </c>
      <c r="X489" s="378"/>
      <c r="Y489" s="180"/>
      <c r="Z489" s="180"/>
      <c r="AA489" s="180"/>
      <c r="AB489" s="180"/>
    </row>
    <row r="490" spans="1:28" s="203" customFormat="1">
      <c r="A490" s="631"/>
      <c r="B490" s="753" t="s">
        <v>70</v>
      </c>
      <c r="C490" s="750">
        <v>455700643</v>
      </c>
      <c r="D490" s="750">
        <v>78784700</v>
      </c>
      <c r="E490" s="750">
        <v>519756680</v>
      </c>
      <c r="F490" s="750"/>
      <c r="G490" s="750">
        <v>57084186</v>
      </c>
      <c r="H490" s="750"/>
      <c r="I490" s="750">
        <v>1111326209</v>
      </c>
      <c r="J490" s="750"/>
      <c r="K490" s="750">
        <v>147758560</v>
      </c>
      <c r="L490" s="750">
        <v>116713900</v>
      </c>
      <c r="M490" s="750"/>
      <c r="N490" s="750"/>
      <c r="O490" s="750">
        <v>264472460</v>
      </c>
      <c r="P490" s="750">
        <v>2404500</v>
      </c>
      <c r="Q490" s="750">
        <v>28201550</v>
      </c>
      <c r="R490" s="750"/>
      <c r="S490" s="750">
        <v>30606050</v>
      </c>
      <c r="T490" s="750">
        <v>0</v>
      </c>
      <c r="U490" s="750">
        <v>0</v>
      </c>
      <c r="V490" s="750">
        <v>0</v>
      </c>
      <c r="W490" s="750">
        <v>1406404719</v>
      </c>
      <c r="X490" s="378"/>
      <c r="Y490" s="180"/>
      <c r="Z490" s="180"/>
      <c r="AA490" s="180"/>
      <c r="AB490" s="180"/>
    </row>
    <row r="491" spans="1:28" s="202" customFormat="1">
      <c r="A491" s="631"/>
      <c r="B491" s="754" t="s">
        <v>57</v>
      </c>
      <c r="C491" s="751">
        <v>4.1132186817736098</v>
      </c>
      <c r="D491" s="751">
        <v>11.051643404252919</v>
      </c>
      <c r="E491" s="751">
        <v>4.4289665236319307</v>
      </c>
      <c r="F491" s="751">
        <v>0</v>
      </c>
      <c r="G491" s="751">
        <v>3.1023922407954272</v>
      </c>
      <c r="H491" s="751">
        <v>0</v>
      </c>
      <c r="I491" s="751">
        <v>4.6721479093766316</v>
      </c>
      <c r="J491" s="751">
        <v>0</v>
      </c>
      <c r="K491" s="751">
        <v>-1.8579423708684755</v>
      </c>
      <c r="L491" s="751">
        <v>0.72685577701125936</v>
      </c>
      <c r="M491" s="751">
        <v>0</v>
      </c>
      <c r="N491" s="751">
        <v>0</v>
      </c>
      <c r="O491" s="751">
        <v>-0.73379067354463579</v>
      </c>
      <c r="P491" s="751">
        <v>-10.145739910313901</v>
      </c>
      <c r="Q491" s="751">
        <v>7.9908863764730667</v>
      </c>
      <c r="R491" s="751">
        <v>0</v>
      </c>
      <c r="S491" s="751">
        <v>6.305150091609284</v>
      </c>
      <c r="T491" s="751">
        <v>0</v>
      </c>
      <c r="U491" s="751">
        <v>0</v>
      </c>
      <c r="V491" s="751">
        <v>0</v>
      </c>
      <c r="W491" s="751">
        <v>3.6453700165689509</v>
      </c>
      <c r="X491" s="378"/>
      <c r="Y491" s="180"/>
      <c r="Z491" s="180"/>
      <c r="AA491" s="180"/>
      <c r="AB491" s="180"/>
    </row>
    <row r="492" spans="1:28">
      <c r="A492" s="631"/>
      <c r="B492" s="388" t="s">
        <v>72</v>
      </c>
      <c r="C492" s="391"/>
      <c r="D492" s="391"/>
      <c r="E492" s="391"/>
      <c r="F492" s="391"/>
      <c r="G492" s="391"/>
      <c r="H492" s="391"/>
      <c r="I492" s="749"/>
      <c r="J492" s="391"/>
      <c r="K492" s="391"/>
      <c r="L492" s="391"/>
      <c r="M492" s="391"/>
      <c r="N492" s="391"/>
      <c r="O492" s="749"/>
      <c r="P492" s="391"/>
      <c r="Q492" s="391"/>
      <c r="R492" s="391"/>
      <c r="S492" s="749"/>
      <c r="T492" s="391">
        <v>8923113.9352994487</v>
      </c>
      <c r="U492" s="749">
        <v>8923113.9352994487</v>
      </c>
      <c r="V492" s="391">
        <v>389373604.95999998</v>
      </c>
      <c r="W492" s="749">
        <v>398296718.89529943</v>
      </c>
      <c r="X492" s="378"/>
      <c r="Y492" s="180"/>
      <c r="Z492" s="180"/>
      <c r="AA492" s="180"/>
      <c r="AB492" s="180"/>
    </row>
    <row r="493" spans="1:28" s="203" customFormat="1">
      <c r="A493" s="631"/>
      <c r="B493" s="389" t="s">
        <v>74</v>
      </c>
      <c r="C493" s="392"/>
      <c r="D493" s="392"/>
      <c r="E493" s="392"/>
      <c r="F493" s="392"/>
      <c r="G493" s="392"/>
      <c r="H493" s="392"/>
      <c r="I493" s="750"/>
      <c r="J493" s="392"/>
      <c r="K493" s="392"/>
      <c r="L493" s="392"/>
      <c r="M493" s="392"/>
      <c r="N493" s="392"/>
      <c r="O493" s="750"/>
      <c r="P493" s="392"/>
      <c r="Q493" s="392"/>
      <c r="R493" s="392"/>
      <c r="S493" s="750"/>
      <c r="T493" s="392">
        <v>8928675.9698881209</v>
      </c>
      <c r="U493" s="750">
        <v>8928675.9698881209</v>
      </c>
      <c r="V493" s="392">
        <v>390789295.88</v>
      </c>
      <c r="W493" s="750">
        <v>399717971.84988809</v>
      </c>
      <c r="X493" s="378"/>
      <c r="Y493" s="180"/>
      <c r="Z493" s="180"/>
      <c r="AA493" s="180"/>
      <c r="AB493" s="180"/>
    </row>
    <row r="494" spans="1:28" s="202" customFormat="1">
      <c r="A494" s="631"/>
      <c r="B494" s="634" t="s">
        <v>76</v>
      </c>
      <c r="C494" s="466">
        <v>0</v>
      </c>
      <c r="D494" s="466">
        <v>0</v>
      </c>
      <c r="E494" s="466">
        <v>0</v>
      </c>
      <c r="F494" s="466">
        <v>0</v>
      </c>
      <c r="G494" s="466">
        <v>0</v>
      </c>
      <c r="H494" s="466">
        <v>0</v>
      </c>
      <c r="I494" s="751">
        <v>0</v>
      </c>
      <c r="J494" s="466">
        <v>0</v>
      </c>
      <c r="K494" s="466">
        <v>0</v>
      </c>
      <c r="L494" s="466">
        <v>0</v>
      </c>
      <c r="M494" s="466">
        <v>0</v>
      </c>
      <c r="N494" s="466">
        <v>0</v>
      </c>
      <c r="O494" s="751">
        <v>0</v>
      </c>
      <c r="P494" s="466">
        <v>0</v>
      </c>
      <c r="Q494" s="466">
        <v>0</v>
      </c>
      <c r="R494" s="466">
        <v>0</v>
      </c>
      <c r="S494" s="751">
        <v>0</v>
      </c>
      <c r="T494" s="466">
        <v>6.233288770043667E-2</v>
      </c>
      <c r="U494" s="751">
        <v>6.233288770043667E-2</v>
      </c>
      <c r="V494" s="466">
        <v>0.36358163521265119</v>
      </c>
      <c r="W494" s="751">
        <v>0.35683270465561068</v>
      </c>
      <c r="X494" s="378"/>
      <c r="Y494" s="180"/>
      <c r="Z494" s="180"/>
      <c r="AA494" s="180"/>
      <c r="AB494" s="180"/>
    </row>
    <row r="495" spans="1:28">
      <c r="A495" s="631"/>
      <c r="B495" s="388" t="s">
        <v>240</v>
      </c>
      <c r="C495" s="391"/>
      <c r="D495" s="391"/>
      <c r="E495" s="391"/>
      <c r="F495" s="391"/>
      <c r="G495" s="391"/>
      <c r="H495" s="391"/>
      <c r="I495" s="749"/>
      <c r="J495" s="391"/>
      <c r="K495" s="391"/>
      <c r="L495" s="391"/>
      <c r="M495" s="391"/>
      <c r="N495" s="391"/>
      <c r="O495" s="749"/>
      <c r="P495" s="391"/>
      <c r="Q495" s="391"/>
      <c r="R495" s="391"/>
      <c r="S495" s="749"/>
      <c r="T495" s="391">
        <v>1450000</v>
      </c>
      <c r="U495" s="749">
        <v>1450000</v>
      </c>
      <c r="V495" s="391">
        <v>0</v>
      </c>
      <c r="W495" s="749">
        <v>1450000</v>
      </c>
      <c r="X495" s="378"/>
      <c r="Y495" s="180"/>
      <c r="Z495" s="180"/>
      <c r="AA495" s="180"/>
      <c r="AB495" s="180"/>
    </row>
    <row r="496" spans="1:28" s="203" customFormat="1">
      <c r="A496" s="631"/>
      <c r="B496" s="389" t="s">
        <v>163</v>
      </c>
      <c r="C496" s="392"/>
      <c r="D496" s="392"/>
      <c r="E496" s="392"/>
      <c r="F496" s="392"/>
      <c r="G496" s="392"/>
      <c r="H496" s="392"/>
      <c r="I496" s="750"/>
      <c r="J496" s="392"/>
      <c r="K496" s="392"/>
      <c r="L496" s="392"/>
      <c r="M496" s="392"/>
      <c r="N496" s="392"/>
      <c r="O496" s="750"/>
      <c r="P496" s="392"/>
      <c r="Q496" s="392"/>
      <c r="R496" s="392"/>
      <c r="S496" s="750"/>
      <c r="T496" s="392">
        <v>1123020</v>
      </c>
      <c r="U496" s="750">
        <v>1123020</v>
      </c>
      <c r="V496" s="392">
        <v>0</v>
      </c>
      <c r="W496" s="750">
        <v>1123020</v>
      </c>
      <c r="X496" s="378"/>
      <c r="Y496" s="180"/>
      <c r="Z496" s="180"/>
      <c r="AA496" s="180"/>
      <c r="AB496" s="180"/>
    </row>
    <row r="497" spans="1:28" s="202" customFormat="1">
      <c r="A497" s="631"/>
      <c r="B497" s="634" t="s">
        <v>59</v>
      </c>
      <c r="C497" s="466">
        <v>0</v>
      </c>
      <c r="D497" s="466">
        <v>0</v>
      </c>
      <c r="E497" s="466">
        <v>0</v>
      </c>
      <c r="F497" s="466">
        <v>0</v>
      </c>
      <c r="G497" s="466">
        <v>0</v>
      </c>
      <c r="H497" s="466">
        <v>0</v>
      </c>
      <c r="I497" s="751">
        <v>0</v>
      </c>
      <c r="J497" s="466">
        <v>0</v>
      </c>
      <c r="K497" s="466">
        <v>0</v>
      </c>
      <c r="L497" s="466">
        <v>0</v>
      </c>
      <c r="M497" s="466">
        <v>0</v>
      </c>
      <c r="N497" s="466">
        <v>0</v>
      </c>
      <c r="O497" s="751">
        <v>0</v>
      </c>
      <c r="P497" s="466">
        <v>0</v>
      </c>
      <c r="Q497" s="466">
        <v>0</v>
      </c>
      <c r="R497" s="466">
        <v>0</v>
      </c>
      <c r="S497" s="751">
        <v>0</v>
      </c>
      <c r="T497" s="1461">
        <v>-22.550344827586208</v>
      </c>
      <c r="U497" s="751">
        <v>-22.550344827586208</v>
      </c>
      <c r="V497" s="466">
        <v>0</v>
      </c>
      <c r="W497" s="751">
        <v>-22.550344827586208</v>
      </c>
      <c r="X497" s="378"/>
      <c r="Y497" s="180"/>
      <c r="Z497" s="180"/>
      <c r="AA497" s="180"/>
      <c r="AB497" s="180"/>
    </row>
    <row r="498" spans="1:28">
      <c r="A498" s="631"/>
      <c r="B498" s="388" t="s">
        <v>159</v>
      </c>
      <c r="C498" s="391"/>
      <c r="D498" s="391"/>
      <c r="E498" s="391"/>
      <c r="F498" s="391"/>
      <c r="G498" s="391"/>
      <c r="H498" s="391"/>
      <c r="I498" s="749"/>
      <c r="J498" s="391"/>
      <c r="K498" s="391"/>
      <c r="L498" s="391"/>
      <c r="M498" s="391"/>
      <c r="N498" s="391"/>
      <c r="O498" s="749"/>
      <c r="P498" s="391"/>
      <c r="Q498" s="391"/>
      <c r="R498" s="391"/>
      <c r="S498" s="749"/>
      <c r="T498" s="391">
        <v>0</v>
      </c>
      <c r="U498" s="749">
        <v>0</v>
      </c>
      <c r="V498" s="391">
        <v>0</v>
      </c>
      <c r="W498" s="749">
        <v>0</v>
      </c>
      <c r="X498" s="378"/>
      <c r="Y498" s="180"/>
      <c r="Z498" s="180"/>
      <c r="AA498" s="180"/>
      <c r="AB498" s="180"/>
    </row>
    <row r="499" spans="1:28" s="203" customFormat="1">
      <c r="A499" s="631"/>
      <c r="B499" s="389" t="s">
        <v>100</v>
      </c>
      <c r="C499" s="392"/>
      <c r="D499" s="392"/>
      <c r="E499" s="392"/>
      <c r="F499" s="392"/>
      <c r="G499" s="392"/>
      <c r="H499" s="392"/>
      <c r="I499" s="750"/>
      <c r="J499" s="392"/>
      <c r="K499" s="392"/>
      <c r="L499" s="392"/>
      <c r="M499" s="392"/>
      <c r="N499" s="392"/>
      <c r="O499" s="750"/>
      <c r="P499" s="392"/>
      <c r="Q499" s="392"/>
      <c r="R499" s="392"/>
      <c r="S499" s="750"/>
      <c r="T499" s="392">
        <v>0</v>
      </c>
      <c r="U499" s="750">
        <v>0</v>
      </c>
      <c r="V499" s="392">
        <v>0</v>
      </c>
      <c r="W499" s="750">
        <v>0</v>
      </c>
      <c r="X499" s="378"/>
      <c r="Y499" s="180"/>
      <c r="Z499" s="180"/>
      <c r="AA499" s="180"/>
      <c r="AB499" s="180"/>
    </row>
    <row r="500" spans="1:28" s="202" customFormat="1">
      <c r="A500" s="631"/>
      <c r="B500" s="634" t="s">
        <v>110</v>
      </c>
      <c r="C500" s="466">
        <v>0</v>
      </c>
      <c r="D500" s="466">
        <v>0</v>
      </c>
      <c r="E500" s="466">
        <v>0</v>
      </c>
      <c r="F500" s="466">
        <v>0</v>
      </c>
      <c r="G500" s="466">
        <v>0</v>
      </c>
      <c r="H500" s="466">
        <v>0</v>
      </c>
      <c r="I500" s="751">
        <v>0</v>
      </c>
      <c r="J500" s="466">
        <v>0</v>
      </c>
      <c r="K500" s="466">
        <v>0</v>
      </c>
      <c r="L500" s="466">
        <v>0</v>
      </c>
      <c r="M500" s="466">
        <v>0</v>
      </c>
      <c r="N500" s="466">
        <v>0</v>
      </c>
      <c r="O500" s="751">
        <v>0</v>
      </c>
      <c r="P500" s="466">
        <v>0</v>
      </c>
      <c r="Q500" s="466">
        <v>0</v>
      </c>
      <c r="R500" s="466">
        <v>0</v>
      </c>
      <c r="S500" s="751">
        <v>0</v>
      </c>
      <c r="T500" s="466">
        <v>0</v>
      </c>
      <c r="U500" s="751">
        <v>0</v>
      </c>
      <c r="V500" s="466">
        <v>0</v>
      </c>
      <c r="W500" s="751">
        <v>0</v>
      </c>
      <c r="X500" s="378"/>
      <c r="Y500" s="180"/>
      <c r="Z500" s="180"/>
      <c r="AA500" s="180"/>
      <c r="AB500" s="180"/>
    </row>
    <row r="501" spans="1:28">
      <c r="A501" s="631"/>
      <c r="B501" s="388" t="s">
        <v>161</v>
      </c>
      <c r="C501" s="391">
        <v>0</v>
      </c>
      <c r="D501" s="391">
        <v>0</v>
      </c>
      <c r="E501" s="391">
        <v>0</v>
      </c>
      <c r="F501" s="391"/>
      <c r="G501" s="391">
        <v>0</v>
      </c>
      <c r="H501" s="391"/>
      <c r="I501" s="749">
        <v>0</v>
      </c>
      <c r="J501" s="391"/>
      <c r="K501" s="391">
        <v>0</v>
      </c>
      <c r="L501" s="391">
        <v>0</v>
      </c>
      <c r="M501" s="391"/>
      <c r="N501" s="391"/>
      <c r="O501" s="749">
        <v>0</v>
      </c>
      <c r="P501" s="391">
        <v>0</v>
      </c>
      <c r="Q501" s="391">
        <v>0</v>
      </c>
      <c r="R501" s="391"/>
      <c r="S501" s="749">
        <v>0</v>
      </c>
      <c r="T501" s="391">
        <v>1450000</v>
      </c>
      <c r="U501" s="749">
        <v>1450000</v>
      </c>
      <c r="V501" s="391">
        <v>0</v>
      </c>
      <c r="W501" s="749">
        <v>1450000</v>
      </c>
      <c r="X501" s="378"/>
      <c r="Y501" s="180"/>
      <c r="Z501" s="180"/>
      <c r="AA501" s="180"/>
      <c r="AB501" s="180"/>
    </row>
    <row r="502" spans="1:28" s="203" customFormat="1">
      <c r="A502" s="631"/>
      <c r="B502" s="389" t="s">
        <v>102</v>
      </c>
      <c r="C502" s="392">
        <v>0</v>
      </c>
      <c r="D502" s="392">
        <v>0</v>
      </c>
      <c r="E502" s="392">
        <v>0</v>
      </c>
      <c r="F502" s="392"/>
      <c r="G502" s="392">
        <v>0</v>
      </c>
      <c r="H502" s="392"/>
      <c r="I502" s="750">
        <v>0</v>
      </c>
      <c r="J502" s="392"/>
      <c r="K502" s="392">
        <v>0</v>
      </c>
      <c r="L502" s="392">
        <v>0</v>
      </c>
      <c r="M502" s="392"/>
      <c r="N502" s="392"/>
      <c r="O502" s="750">
        <v>0</v>
      </c>
      <c r="P502" s="392">
        <v>0</v>
      </c>
      <c r="Q502" s="392">
        <v>0</v>
      </c>
      <c r="R502" s="392"/>
      <c r="S502" s="750">
        <v>0</v>
      </c>
      <c r="T502" s="392">
        <v>1123020</v>
      </c>
      <c r="U502" s="750">
        <v>1123020</v>
      </c>
      <c r="V502" s="392">
        <v>0</v>
      </c>
      <c r="W502" s="750">
        <v>1123020</v>
      </c>
      <c r="X502" s="378"/>
      <c r="Y502" s="180"/>
      <c r="Z502" s="180"/>
      <c r="AA502" s="180"/>
      <c r="AB502" s="180"/>
    </row>
    <row r="503" spans="1:28" s="202" customFormat="1">
      <c r="A503" s="631"/>
      <c r="B503" s="634" t="s">
        <v>183</v>
      </c>
      <c r="C503" s="466">
        <v>0</v>
      </c>
      <c r="D503" s="466">
        <v>0</v>
      </c>
      <c r="E503" s="466">
        <v>0</v>
      </c>
      <c r="F503" s="466">
        <v>0</v>
      </c>
      <c r="G503" s="466">
        <v>0</v>
      </c>
      <c r="H503" s="466">
        <v>0</v>
      </c>
      <c r="I503" s="751">
        <v>0</v>
      </c>
      <c r="J503" s="466">
        <v>0</v>
      </c>
      <c r="K503" s="466">
        <v>0</v>
      </c>
      <c r="L503" s="466">
        <v>0</v>
      </c>
      <c r="M503" s="466">
        <v>0</v>
      </c>
      <c r="N503" s="466">
        <v>0</v>
      </c>
      <c r="O503" s="751">
        <v>0</v>
      </c>
      <c r="P503" s="466">
        <v>0</v>
      </c>
      <c r="Q503" s="466">
        <v>0</v>
      </c>
      <c r="R503" s="466">
        <v>0</v>
      </c>
      <c r="S503" s="751">
        <v>0</v>
      </c>
      <c r="T503" s="1461">
        <v>-22.550344827586208</v>
      </c>
      <c r="U503" s="751">
        <v>-22.550344827586208</v>
      </c>
      <c r="V503" s="466">
        <v>0</v>
      </c>
      <c r="W503" s="751">
        <v>-22.550344827586208</v>
      </c>
      <c r="X503" s="378"/>
      <c r="Y503" s="180"/>
      <c r="Z503" s="180"/>
      <c r="AA503" s="180"/>
      <c r="AB503" s="180"/>
    </row>
    <row r="504" spans="1:28">
      <c r="A504" s="631"/>
      <c r="B504" s="388" t="s">
        <v>78</v>
      </c>
      <c r="C504" s="391"/>
      <c r="D504" s="391"/>
      <c r="E504" s="391">
        <v>35236200</v>
      </c>
      <c r="F504" s="391"/>
      <c r="G504" s="391"/>
      <c r="H504" s="391"/>
      <c r="I504" s="749">
        <v>35236200</v>
      </c>
      <c r="J504" s="391"/>
      <c r="K504" s="391"/>
      <c r="L504" s="391"/>
      <c r="M504" s="391"/>
      <c r="N504" s="391"/>
      <c r="O504" s="749"/>
      <c r="P504" s="391"/>
      <c r="Q504" s="391"/>
      <c r="R504" s="391"/>
      <c r="S504" s="749"/>
      <c r="T504" s="391">
        <v>153191862.3825264</v>
      </c>
      <c r="U504" s="749">
        <v>153191862.3825264</v>
      </c>
      <c r="V504" s="391"/>
      <c r="W504" s="749">
        <v>188428062.3825264</v>
      </c>
      <c r="X504" s="378"/>
      <c r="Y504" s="180"/>
      <c r="Z504" s="180"/>
      <c r="AA504" s="180"/>
      <c r="AB504" s="180"/>
    </row>
    <row r="505" spans="1:28" s="203" customFormat="1">
      <c r="A505" s="631"/>
      <c r="B505" s="389" t="s">
        <v>80</v>
      </c>
      <c r="C505" s="392"/>
      <c r="D505" s="392"/>
      <c r="E505" s="392">
        <v>35304100</v>
      </c>
      <c r="F505" s="392"/>
      <c r="G505" s="392"/>
      <c r="H505" s="392"/>
      <c r="I505" s="750">
        <v>35304100</v>
      </c>
      <c r="J505" s="392"/>
      <c r="K505" s="392"/>
      <c r="L505" s="392"/>
      <c r="M505" s="392"/>
      <c r="N505" s="392"/>
      <c r="O505" s="750"/>
      <c r="P505" s="392"/>
      <c r="Q505" s="392"/>
      <c r="R505" s="392"/>
      <c r="S505" s="750"/>
      <c r="T505" s="392">
        <v>153809037.31977093</v>
      </c>
      <c r="U505" s="750">
        <v>153809037.31977093</v>
      </c>
      <c r="V505" s="392"/>
      <c r="W505" s="750">
        <v>189113137.31977093</v>
      </c>
      <c r="X505" s="378"/>
      <c r="Y505" s="180"/>
      <c r="Z505" s="180"/>
      <c r="AA505" s="180"/>
      <c r="AB505" s="180"/>
    </row>
    <row r="506" spans="1:28" s="202" customFormat="1">
      <c r="A506" s="631"/>
      <c r="B506" s="634" t="s">
        <v>215</v>
      </c>
      <c r="C506" s="466">
        <v>0</v>
      </c>
      <c r="D506" s="466">
        <v>0</v>
      </c>
      <c r="E506" s="466">
        <v>0.19269955330029911</v>
      </c>
      <c r="F506" s="466">
        <v>0</v>
      </c>
      <c r="G506" s="466">
        <v>0</v>
      </c>
      <c r="H506" s="466">
        <v>0</v>
      </c>
      <c r="I506" s="751">
        <v>0.19269955330029911</v>
      </c>
      <c r="J506" s="466">
        <v>0</v>
      </c>
      <c r="K506" s="466">
        <v>0</v>
      </c>
      <c r="L506" s="466">
        <v>0</v>
      </c>
      <c r="M506" s="466">
        <v>0</v>
      </c>
      <c r="N506" s="466">
        <v>0</v>
      </c>
      <c r="O506" s="751">
        <v>0</v>
      </c>
      <c r="P506" s="466">
        <v>0</v>
      </c>
      <c r="Q506" s="466">
        <v>0</v>
      </c>
      <c r="R506" s="466">
        <v>0</v>
      </c>
      <c r="S506" s="751">
        <v>0</v>
      </c>
      <c r="T506" s="466">
        <v>0.40287710303007035</v>
      </c>
      <c r="U506" s="751">
        <v>0.40287710303007035</v>
      </c>
      <c r="V506" s="466">
        <v>0</v>
      </c>
      <c r="W506" s="751">
        <v>0.36357373131278559</v>
      </c>
      <c r="X506" s="378"/>
      <c r="Y506" s="180"/>
      <c r="Z506" s="180"/>
      <c r="AA506" s="180"/>
      <c r="AB506" s="180"/>
    </row>
    <row r="507" spans="1:28">
      <c r="A507" s="631"/>
      <c r="B507" s="388" t="s">
        <v>81</v>
      </c>
      <c r="C507" s="391"/>
      <c r="D507" s="391"/>
      <c r="E507" s="391">
        <v>19499200</v>
      </c>
      <c r="F507" s="391"/>
      <c r="G507" s="391"/>
      <c r="H507" s="391"/>
      <c r="I507" s="749">
        <v>19499200</v>
      </c>
      <c r="J507" s="391"/>
      <c r="K507" s="391"/>
      <c r="L507" s="391"/>
      <c r="M507" s="391"/>
      <c r="N507" s="391"/>
      <c r="O507" s="749"/>
      <c r="P507" s="391"/>
      <c r="Q507" s="391"/>
      <c r="R507" s="391"/>
      <c r="S507" s="749"/>
      <c r="T507" s="391">
        <v>81831719</v>
      </c>
      <c r="U507" s="749">
        <v>81831719</v>
      </c>
      <c r="V507" s="391"/>
      <c r="W507" s="749">
        <v>101330919</v>
      </c>
      <c r="X507" s="378"/>
      <c r="Y507" s="180"/>
      <c r="Z507" s="180"/>
      <c r="AA507" s="180"/>
      <c r="AB507" s="180"/>
    </row>
    <row r="508" spans="1:28" s="203" customFormat="1">
      <c r="A508" s="631"/>
      <c r="B508" s="389" t="s">
        <v>318</v>
      </c>
      <c r="C508" s="392"/>
      <c r="D508" s="392"/>
      <c r="E508" s="392">
        <v>19811300</v>
      </c>
      <c r="F508" s="392"/>
      <c r="G508" s="392"/>
      <c r="H508" s="392"/>
      <c r="I508" s="750">
        <v>19811300</v>
      </c>
      <c r="J508" s="392"/>
      <c r="K508" s="392"/>
      <c r="L508" s="392"/>
      <c r="M508" s="392"/>
      <c r="N508" s="392"/>
      <c r="O508" s="750"/>
      <c r="P508" s="392"/>
      <c r="Q508" s="392"/>
      <c r="R508" s="392"/>
      <c r="S508" s="750"/>
      <c r="T508" s="392">
        <v>86233777</v>
      </c>
      <c r="U508" s="750">
        <v>86233777</v>
      </c>
      <c r="V508" s="392"/>
      <c r="W508" s="750">
        <v>106045077</v>
      </c>
      <c r="X508" s="378"/>
      <c r="Y508" s="180"/>
      <c r="Z508" s="180"/>
      <c r="AA508" s="180"/>
      <c r="AB508" s="180"/>
    </row>
    <row r="509" spans="1:28" s="202" customFormat="1">
      <c r="A509" s="631"/>
      <c r="B509" s="634" t="s">
        <v>236</v>
      </c>
      <c r="C509" s="466">
        <v>0</v>
      </c>
      <c r="D509" s="466">
        <v>0</v>
      </c>
      <c r="E509" s="466">
        <v>1.6005784852711906</v>
      </c>
      <c r="F509" s="466">
        <v>0</v>
      </c>
      <c r="G509" s="466">
        <v>0</v>
      </c>
      <c r="H509" s="466">
        <v>0</v>
      </c>
      <c r="I509" s="751">
        <v>1.6005784852711906</v>
      </c>
      <c r="J509" s="466">
        <v>0</v>
      </c>
      <c r="K509" s="466">
        <v>0</v>
      </c>
      <c r="L509" s="466">
        <v>0</v>
      </c>
      <c r="M509" s="466">
        <v>0</v>
      </c>
      <c r="N509" s="466">
        <v>0</v>
      </c>
      <c r="O509" s="751">
        <v>0</v>
      </c>
      <c r="P509" s="466">
        <v>0</v>
      </c>
      <c r="Q509" s="466">
        <v>0</v>
      </c>
      <c r="R509" s="466">
        <v>0</v>
      </c>
      <c r="S509" s="751">
        <v>0</v>
      </c>
      <c r="T509" s="466">
        <v>5.3794030649655546</v>
      </c>
      <c r="U509" s="751">
        <v>5.3794030649655546</v>
      </c>
      <c r="V509" s="466">
        <v>0</v>
      </c>
      <c r="W509" s="751">
        <v>4.652240447952515</v>
      </c>
      <c r="X509" s="378"/>
      <c r="Y509" s="180"/>
      <c r="Z509" s="180"/>
      <c r="AA509" s="180"/>
      <c r="AB509" s="180"/>
    </row>
    <row r="510" spans="1:28">
      <c r="A510" s="631"/>
      <c r="B510" s="388" t="s">
        <v>19</v>
      </c>
      <c r="C510" s="391">
        <v>783016966.87731528</v>
      </c>
      <c r="D510" s="391">
        <v>111569235</v>
      </c>
      <c r="E510" s="391">
        <v>730938333.68110454</v>
      </c>
      <c r="F510" s="391"/>
      <c r="G510" s="391">
        <v>79647064.698208779</v>
      </c>
      <c r="H510" s="391"/>
      <c r="I510" s="749">
        <v>1705171600.2566285</v>
      </c>
      <c r="J510" s="391"/>
      <c r="K510" s="391">
        <v>261537634.89279264</v>
      </c>
      <c r="L510" s="391">
        <v>219391181.1072073</v>
      </c>
      <c r="M510" s="391"/>
      <c r="N510" s="391"/>
      <c r="O510" s="749">
        <v>480928815.99999994</v>
      </c>
      <c r="P510" s="391">
        <v>6063500</v>
      </c>
      <c r="Q510" s="391">
        <v>80303150</v>
      </c>
      <c r="R510" s="391"/>
      <c r="S510" s="749">
        <v>86366650</v>
      </c>
      <c r="T510" s="391">
        <v>0</v>
      </c>
      <c r="U510" s="749">
        <v>0</v>
      </c>
      <c r="V510" s="391">
        <v>422000</v>
      </c>
      <c r="W510" s="749">
        <v>2272889066.2566285</v>
      </c>
      <c r="X510" s="378"/>
      <c r="Y510" s="180"/>
      <c r="Z510" s="180"/>
      <c r="AA510" s="180"/>
      <c r="AB510" s="180"/>
    </row>
    <row r="511" spans="1:28" s="203" customFormat="1">
      <c r="A511" s="631"/>
      <c r="B511" s="389" t="s">
        <v>21</v>
      </c>
      <c r="C511" s="392">
        <v>798615624.0441556</v>
      </c>
      <c r="D511" s="392">
        <v>118675464.8</v>
      </c>
      <c r="E511" s="392">
        <v>754654406.58617806</v>
      </c>
      <c r="F511" s="392"/>
      <c r="G511" s="392">
        <v>82051828.664461792</v>
      </c>
      <c r="H511" s="392"/>
      <c r="I511" s="750">
        <v>1753997324.0947955</v>
      </c>
      <c r="J511" s="392"/>
      <c r="K511" s="392">
        <v>255327791</v>
      </c>
      <c r="L511" s="392">
        <v>219761657.07999998</v>
      </c>
      <c r="M511" s="392"/>
      <c r="N511" s="392"/>
      <c r="O511" s="750">
        <v>475089448.07999998</v>
      </c>
      <c r="P511" s="392">
        <v>5668500</v>
      </c>
      <c r="Q511" s="392">
        <v>80414150</v>
      </c>
      <c r="R511" s="392"/>
      <c r="S511" s="750">
        <v>86082650</v>
      </c>
      <c r="T511" s="392">
        <v>0</v>
      </c>
      <c r="U511" s="750">
        <v>0</v>
      </c>
      <c r="V511" s="392">
        <v>423700</v>
      </c>
      <c r="W511" s="750">
        <v>2315593122.1747956</v>
      </c>
      <c r="X511" s="378"/>
      <c r="Y511" s="180"/>
      <c r="Z511" s="180"/>
      <c r="AA511" s="180"/>
      <c r="AB511" s="180"/>
    </row>
    <row r="512" spans="1:28" s="212" customFormat="1" ht="13.5" thickBot="1">
      <c r="A512" s="635"/>
      <c r="B512" s="761" t="s">
        <v>23</v>
      </c>
      <c r="C512" s="762">
        <v>1.9921224988326909</v>
      </c>
      <c r="D512" s="762">
        <v>6.3693452769484322</v>
      </c>
      <c r="E512" s="762">
        <v>3.2446065300250662</v>
      </c>
      <c r="F512" s="762">
        <v>0</v>
      </c>
      <c r="G512" s="762">
        <v>3.0192750672795281</v>
      </c>
      <c r="H512" s="762">
        <v>0</v>
      </c>
      <c r="I512" s="763">
        <v>2.8633906306449406</v>
      </c>
      <c r="J512" s="762">
        <v>0</v>
      </c>
      <c r="K512" s="762">
        <v>-2.3743595813039029</v>
      </c>
      <c r="L512" s="762">
        <v>0.16886548079234276</v>
      </c>
      <c r="M512" s="762">
        <v>0</v>
      </c>
      <c r="N512" s="762">
        <v>0</v>
      </c>
      <c r="O512" s="763">
        <v>-1.2141854939297207</v>
      </c>
      <c r="P512" s="762">
        <v>-6.5143893790714928</v>
      </c>
      <c r="Q512" s="762">
        <v>0.13822620905904687</v>
      </c>
      <c r="R512" s="762">
        <v>0</v>
      </c>
      <c r="S512" s="763">
        <v>-0.32883063080483033</v>
      </c>
      <c r="T512" s="762">
        <v>0</v>
      </c>
      <c r="U512" s="763">
        <v>0</v>
      </c>
      <c r="V512" s="762">
        <v>0.40284360189573459</v>
      </c>
      <c r="W512" s="763">
        <v>1.8788447070361549</v>
      </c>
      <c r="X512" s="378"/>
      <c r="Y512" s="180"/>
      <c r="Z512" s="180"/>
      <c r="AA512" s="180"/>
      <c r="AB512" s="180"/>
    </row>
    <row r="513" spans="1:28" ht="13.5" thickTop="1">
      <c r="A513" s="230" t="s">
        <v>147</v>
      </c>
      <c r="B513" s="764" t="s">
        <v>190</v>
      </c>
      <c r="C513" s="765">
        <v>1641376187</v>
      </c>
      <c r="D513" s="765">
        <v>264406409</v>
      </c>
      <c r="E513" s="765">
        <v>847598534</v>
      </c>
      <c r="F513" s="765">
        <v>46009871</v>
      </c>
      <c r="G513" s="765">
        <v>52203619</v>
      </c>
      <c r="H513" s="765">
        <v>15702931</v>
      </c>
      <c r="I513" s="766">
        <v>2867297551</v>
      </c>
      <c r="J513" s="765">
        <v>61505376</v>
      </c>
      <c r="K513" s="765">
        <v>652696209</v>
      </c>
      <c r="L513" s="765">
        <v>253478623</v>
      </c>
      <c r="M513" s="765">
        <v>50437842</v>
      </c>
      <c r="N513" s="765">
        <v>189300045</v>
      </c>
      <c r="O513" s="766">
        <v>1207418095</v>
      </c>
      <c r="P513" s="765"/>
      <c r="Q513" s="765"/>
      <c r="R513" s="765"/>
      <c r="S513" s="766"/>
      <c r="T513" s="765"/>
      <c r="U513" s="766"/>
      <c r="V513" s="765"/>
      <c r="W513" s="766">
        <v>4074715646</v>
      </c>
      <c r="X513" s="378"/>
      <c r="Y513" s="180"/>
      <c r="Z513" s="180"/>
      <c r="AA513" s="180"/>
      <c r="AB513" s="180"/>
    </row>
    <row r="514" spans="1:28" s="203" customFormat="1">
      <c r="A514" s="631"/>
      <c r="B514" s="389" t="s">
        <v>4</v>
      </c>
      <c r="C514" s="392">
        <v>1644662526</v>
      </c>
      <c r="D514" s="392">
        <v>268392070</v>
      </c>
      <c r="E514" s="392">
        <v>859640730</v>
      </c>
      <c r="F514" s="392">
        <v>46451857</v>
      </c>
      <c r="G514" s="392">
        <v>52773250</v>
      </c>
      <c r="H514" s="392">
        <v>16144858</v>
      </c>
      <c r="I514" s="750">
        <v>2888065291</v>
      </c>
      <c r="J514" s="392">
        <v>62043233</v>
      </c>
      <c r="K514" s="392">
        <v>653505734</v>
      </c>
      <c r="L514" s="392">
        <v>256179803</v>
      </c>
      <c r="M514" s="392">
        <v>50980323</v>
      </c>
      <c r="N514" s="392">
        <v>191028311</v>
      </c>
      <c r="O514" s="750">
        <v>1213737404</v>
      </c>
      <c r="P514" s="392"/>
      <c r="Q514" s="392"/>
      <c r="R514" s="392"/>
      <c r="S514" s="750"/>
      <c r="T514" s="392"/>
      <c r="U514" s="750"/>
      <c r="V514" s="392"/>
      <c r="W514" s="750">
        <v>4101802695</v>
      </c>
      <c r="X514" s="378"/>
      <c r="Y514" s="180"/>
      <c r="Z514" s="180"/>
      <c r="AA514" s="180"/>
      <c r="AB514" s="180"/>
    </row>
    <row r="515" spans="1:28" s="202" customFormat="1">
      <c r="A515" s="632"/>
      <c r="B515" s="634" t="s">
        <v>116</v>
      </c>
      <c r="C515" s="466">
        <v>0.20021851334437571</v>
      </c>
      <c r="D515" s="466">
        <v>1.5073995426487563</v>
      </c>
      <c r="E515" s="466">
        <v>1.4207429009073771</v>
      </c>
      <c r="F515" s="466">
        <v>0.96063299112488265</v>
      </c>
      <c r="G515" s="466">
        <v>1.0911714760618416</v>
      </c>
      <c r="H515" s="466">
        <v>2.8142962609973896</v>
      </c>
      <c r="I515" s="751">
        <v>0.72429664625343937</v>
      </c>
      <c r="J515" s="466">
        <v>0.87448778461251908</v>
      </c>
      <c r="K515" s="466">
        <v>0.12402783850089744</v>
      </c>
      <c r="L515" s="466">
        <v>1.0656441036449849</v>
      </c>
      <c r="M515" s="466">
        <v>1.07554363646248</v>
      </c>
      <c r="N515" s="466">
        <v>0.91297706770222897</v>
      </c>
      <c r="O515" s="751">
        <v>0.52337372002032156</v>
      </c>
      <c r="P515" s="466">
        <v>0</v>
      </c>
      <c r="Q515" s="466">
        <v>0</v>
      </c>
      <c r="R515" s="466">
        <v>0</v>
      </c>
      <c r="S515" s="751">
        <v>0</v>
      </c>
      <c r="T515" s="466">
        <v>0</v>
      </c>
      <c r="U515" s="751">
        <v>0</v>
      </c>
      <c r="V515" s="466">
        <v>0</v>
      </c>
      <c r="W515" s="751">
        <v>0.66475924587744839</v>
      </c>
      <c r="X515" s="378"/>
      <c r="Y515" s="180"/>
      <c r="Z515" s="180"/>
      <c r="AA515" s="180"/>
      <c r="AB515" s="180"/>
    </row>
    <row r="516" spans="1:28">
      <c r="A516" s="631"/>
      <c r="B516" s="388" t="s">
        <v>195</v>
      </c>
      <c r="C516" s="391">
        <v>227584308</v>
      </c>
      <c r="D516" s="391">
        <v>223125</v>
      </c>
      <c r="E516" s="391">
        <v>1015475</v>
      </c>
      <c r="F516" s="391"/>
      <c r="G516" s="391"/>
      <c r="H516" s="391"/>
      <c r="I516" s="749">
        <v>228822908</v>
      </c>
      <c r="J516" s="391"/>
      <c r="K516" s="391"/>
      <c r="L516" s="391"/>
      <c r="M516" s="391"/>
      <c r="N516" s="391"/>
      <c r="O516" s="749"/>
      <c r="P516" s="391"/>
      <c r="Q516" s="391"/>
      <c r="R516" s="391"/>
      <c r="S516" s="749"/>
      <c r="T516" s="391"/>
      <c r="U516" s="749"/>
      <c r="V516" s="391">
        <v>0</v>
      </c>
      <c r="W516" s="749">
        <v>228822908</v>
      </c>
      <c r="X516" s="378"/>
      <c r="Y516" s="180"/>
      <c r="Z516" s="180"/>
      <c r="AA516" s="180"/>
      <c r="AB516" s="180"/>
    </row>
    <row r="517" spans="1:28" s="203" customFormat="1">
      <c r="A517" s="631"/>
      <c r="B517" s="389" t="s">
        <v>242</v>
      </c>
      <c r="C517" s="392">
        <v>226995127</v>
      </c>
      <c r="D517" s="392">
        <v>4729579</v>
      </c>
      <c r="E517" s="392">
        <v>225848</v>
      </c>
      <c r="F517" s="392"/>
      <c r="G517" s="392"/>
      <c r="H517" s="392"/>
      <c r="I517" s="750">
        <v>231950554</v>
      </c>
      <c r="J517" s="392"/>
      <c r="K517" s="392"/>
      <c r="L517" s="392"/>
      <c r="M517" s="392"/>
      <c r="N517" s="392"/>
      <c r="O517" s="750"/>
      <c r="P517" s="392"/>
      <c r="Q517" s="392"/>
      <c r="R517" s="392"/>
      <c r="S517" s="750"/>
      <c r="T517" s="392"/>
      <c r="U517" s="750"/>
      <c r="V517" s="392">
        <v>0</v>
      </c>
      <c r="W517" s="750">
        <v>231950554</v>
      </c>
      <c r="X517" s="378"/>
      <c r="Y517" s="180"/>
      <c r="Z517" s="180"/>
      <c r="AA517" s="180"/>
      <c r="AB517" s="180"/>
    </row>
    <row r="518" spans="1:28" s="202" customFormat="1">
      <c r="A518" s="631"/>
      <c r="B518" s="634" t="s">
        <v>244</v>
      </c>
      <c r="C518" s="466">
        <v>-0.25888472064602974</v>
      </c>
      <c r="D518" s="1461">
        <v>2019.6992717086837</v>
      </c>
      <c r="E518" s="1461">
        <v>-77.759373692114536</v>
      </c>
      <c r="F518" s="466">
        <v>0</v>
      </c>
      <c r="G518" s="466">
        <v>0</v>
      </c>
      <c r="H518" s="466">
        <v>0</v>
      </c>
      <c r="I518" s="751">
        <v>1.3668412954528137</v>
      </c>
      <c r="J518" s="466">
        <v>0</v>
      </c>
      <c r="K518" s="466">
        <v>0</v>
      </c>
      <c r="L518" s="466">
        <v>0</v>
      </c>
      <c r="M518" s="466">
        <v>0</v>
      </c>
      <c r="N518" s="466">
        <v>0</v>
      </c>
      <c r="O518" s="751">
        <v>0</v>
      </c>
      <c r="P518" s="466">
        <v>0</v>
      </c>
      <c r="Q518" s="466">
        <v>0</v>
      </c>
      <c r="R518" s="466">
        <v>0</v>
      </c>
      <c r="S518" s="751">
        <v>0</v>
      </c>
      <c r="T518" s="466">
        <v>0</v>
      </c>
      <c r="U518" s="751">
        <v>0</v>
      </c>
      <c r="V518" s="466">
        <v>0</v>
      </c>
      <c r="W518" s="751">
        <v>1.3668412954528137</v>
      </c>
      <c r="X518" s="378"/>
      <c r="Y518" s="180"/>
      <c r="Z518" s="180"/>
      <c r="AA518" s="180"/>
      <c r="AB518" s="180"/>
    </row>
    <row r="519" spans="1:28">
      <c r="A519" s="631"/>
      <c r="B519" s="388" t="s">
        <v>5</v>
      </c>
      <c r="C519" s="391"/>
      <c r="D519" s="391"/>
      <c r="E519" s="391"/>
      <c r="F519" s="391"/>
      <c r="G519" s="391"/>
      <c r="H519" s="391"/>
      <c r="I519" s="749"/>
      <c r="J519" s="391">
        <v>82874960</v>
      </c>
      <c r="K519" s="391">
        <v>931333750</v>
      </c>
      <c r="L519" s="391">
        <v>170068095</v>
      </c>
      <c r="M519" s="391">
        <v>24332548</v>
      </c>
      <c r="N519" s="391">
        <v>345063217</v>
      </c>
      <c r="O519" s="749">
        <v>1553672570</v>
      </c>
      <c r="P519" s="391"/>
      <c r="Q519" s="391"/>
      <c r="R519" s="391"/>
      <c r="S519" s="749"/>
      <c r="T519" s="391"/>
      <c r="U519" s="749"/>
      <c r="V519" s="391"/>
      <c r="W519" s="749">
        <v>1553672570</v>
      </c>
      <c r="X519" s="378"/>
      <c r="Y519" s="180"/>
      <c r="Z519" s="180"/>
      <c r="AA519" s="180"/>
      <c r="AB519" s="180"/>
    </row>
    <row r="520" spans="1:28" s="203" customFormat="1">
      <c r="A520" s="631"/>
      <c r="B520" s="389" t="s">
        <v>6</v>
      </c>
      <c r="C520" s="392"/>
      <c r="D520" s="392"/>
      <c r="E520" s="392"/>
      <c r="F520" s="392"/>
      <c r="G520" s="392"/>
      <c r="H520" s="392"/>
      <c r="I520" s="750"/>
      <c r="J520" s="392">
        <v>68336589</v>
      </c>
      <c r="K520" s="392">
        <v>842782253</v>
      </c>
      <c r="L520" s="392">
        <v>157045722</v>
      </c>
      <c r="M520" s="392">
        <v>27625421</v>
      </c>
      <c r="N520" s="392">
        <v>336618756</v>
      </c>
      <c r="O520" s="750">
        <v>1432408741</v>
      </c>
      <c r="P520" s="392"/>
      <c r="Q520" s="392"/>
      <c r="R520" s="392"/>
      <c r="S520" s="750"/>
      <c r="T520" s="392"/>
      <c r="U520" s="750"/>
      <c r="V520" s="392"/>
      <c r="W520" s="750">
        <v>1432408741</v>
      </c>
      <c r="X520" s="378"/>
      <c r="Y520" s="180"/>
      <c r="Z520" s="180"/>
      <c r="AA520" s="180"/>
      <c r="AB520" s="180"/>
    </row>
    <row r="521" spans="1:28" s="202" customFormat="1">
      <c r="A521" s="631"/>
      <c r="B521" s="634" t="s">
        <v>298</v>
      </c>
      <c r="C521" s="466">
        <v>0</v>
      </c>
      <c r="D521" s="466">
        <v>0</v>
      </c>
      <c r="E521" s="466">
        <v>0</v>
      </c>
      <c r="F521" s="466">
        <v>0</v>
      </c>
      <c r="G521" s="466">
        <v>0</v>
      </c>
      <c r="H521" s="466">
        <v>0</v>
      </c>
      <c r="I521" s="751">
        <v>0</v>
      </c>
      <c r="J521" s="1461">
        <v>-17.542537577092045</v>
      </c>
      <c r="K521" s="1461">
        <v>-9.5080304992705358</v>
      </c>
      <c r="L521" s="466">
        <v>-7.657152271859105</v>
      </c>
      <c r="M521" s="1461">
        <v>13.532791551464317</v>
      </c>
      <c r="N521" s="466">
        <v>-2.4472214318920003</v>
      </c>
      <c r="O521" s="751">
        <v>-7.8049797197616746</v>
      </c>
      <c r="P521" s="466">
        <v>0</v>
      </c>
      <c r="Q521" s="466">
        <v>0</v>
      </c>
      <c r="R521" s="466">
        <v>0</v>
      </c>
      <c r="S521" s="751">
        <v>0</v>
      </c>
      <c r="T521" s="466">
        <v>0</v>
      </c>
      <c r="U521" s="751">
        <v>0</v>
      </c>
      <c r="V521" s="466">
        <v>0</v>
      </c>
      <c r="W521" s="751">
        <v>-7.8049797197616746</v>
      </c>
      <c r="X521" s="378"/>
      <c r="Y521" s="180"/>
      <c r="Z521" s="180"/>
      <c r="AA521" s="180"/>
      <c r="AB521" s="180"/>
    </row>
    <row r="522" spans="1:28">
      <c r="A522" s="631"/>
      <c r="B522" s="388" t="s">
        <v>223</v>
      </c>
      <c r="C522" s="391">
        <v>1927524294</v>
      </c>
      <c r="D522" s="391">
        <v>304687957</v>
      </c>
      <c r="E522" s="391">
        <v>962385498</v>
      </c>
      <c r="F522" s="391">
        <v>31398271</v>
      </c>
      <c r="G522" s="391">
        <v>74787843</v>
      </c>
      <c r="H522" s="391">
        <v>16003426</v>
      </c>
      <c r="I522" s="749">
        <v>3316787289</v>
      </c>
      <c r="J522" s="391">
        <v>40087192</v>
      </c>
      <c r="K522" s="391">
        <v>550799658</v>
      </c>
      <c r="L522" s="391">
        <v>163114944</v>
      </c>
      <c r="M522" s="391">
        <v>21007024</v>
      </c>
      <c r="N522" s="391">
        <v>122426728</v>
      </c>
      <c r="O522" s="749">
        <v>897435546</v>
      </c>
      <c r="P522" s="391"/>
      <c r="Q522" s="391"/>
      <c r="R522" s="391"/>
      <c r="S522" s="749"/>
      <c r="T522" s="391"/>
      <c r="U522" s="749"/>
      <c r="V522" s="391"/>
      <c r="W522" s="749">
        <v>4214222835</v>
      </c>
      <c r="X522" s="378"/>
      <c r="Y522" s="180"/>
      <c r="Z522" s="180"/>
      <c r="AA522" s="180"/>
      <c r="AB522" s="180"/>
    </row>
    <row r="523" spans="1:28" s="203" customFormat="1">
      <c r="A523" s="631"/>
      <c r="B523" s="389" t="s">
        <v>14</v>
      </c>
      <c r="C523" s="392">
        <v>2016044757</v>
      </c>
      <c r="D523" s="392">
        <v>326172757</v>
      </c>
      <c r="E523" s="392">
        <v>1043395088</v>
      </c>
      <c r="F523" s="392">
        <v>34019134</v>
      </c>
      <c r="G523" s="392">
        <v>75070155</v>
      </c>
      <c r="H523" s="392">
        <v>17891709</v>
      </c>
      <c r="I523" s="750">
        <v>3512593600</v>
      </c>
      <c r="J523" s="392">
        <v>39944757</v>
      </c>
      <c r="K523" s="392">
        <v>537246058</v>
      </c>
      <c r="L523" s="392">
        <v>161113670</v>
      </c>
      <c r="M523" s="392">
        <v>23578732</v>
      </c>
      <c r="N523" s="392">
        <v>118751451</v>
      </c>
      <c r="O523" s="750">
        <v>880634668</v>
      </c>
      <c r="P523" s="392"/>
      <c r="Q523" s="392"/>
      <c r="R523" s="392"/>
      <c r="S523" s="750"/>
      <c r="T523" s="392"/>
      <c r="U523" s="750"/>
      <c r="V523" s="392"/>
      <c r="W523" s="750">
        <v>4393228268</v>
      </c>
      <c r="X523" s="378"/>
      <c r="Y523" s="180"/>
      <c r="Z523" s="180"/>
      <c r="AA523" s="180"/>
      <c r="AB523" s="180"/>
    </row>
    <row r="524" spans="1:28" s="202" customFormat="1">
      <c r="A524" s="631"/>
      <c r="B524" s="634" t="s">
        <v>247</v>
      </c>
      <c r="C524" s="466">
        <v>4.5924434403004204</v>
      </c>
      <c r="D524" s="466">
        <v>7.0514109620683181</v>
      </c>
      <c r="E524" s="466">
        <v>8.4175821610312749</v>
      </c>
      <c r="F524" s="466">
        <v>8.3471570775346198</v>
      </c>
      <c r="G524" s="466">
        <v>0.37748381110550278</v>
      </c>
      <c r="H524" s="1461">
        <v>11.799242237255946</v>
      </c>
      <c r="I524" s="751">
        <v>5.9034931679032976</v>
      </c>
      <c r="J524" s="466">
        <v>-0.35531298874712902</v>
      </c>
      <c r="K524" s="466">
        <v>-2.4607132199780706</v>
      </c>
      <c r="L524" s="466">
        <v>-1.2269102700976313</v>
      </c>
      <c r="M524" s="1461">
        <v>12.242133869128725</v>
      </c>
      <c r="N524" s="466">
        <v>-3.00202174806142</v>
      </c>
      <c r="O524" s="751">
        <v>-1.8720985673995134</v>
      </c>
      <c r="P524" s="466">
        <v>0</v>
      </c>
      <c r="Q524" s="466">
        <v>0</v>
      </c>
      <c r="R524" s="466">
        <v>0</v>
      </c>
      <c r="S524" s="751">
        <v>0</v>
      </c>
      <c r="T524" s="466">
        <v>0</v>
      </c>
      <c r="U524" s="751">
        <v>0</v>
      </c>
      <c r="V524" s="466">
        <v>0</v>
      </c>
      <c r="W524" s="751">
        <v>4.2476499228593836</v>
      </c>
      <c r="X524" s="378"/>
      <c r="Y524" s="180"/>
      <c r="Z524" s="180"/>
      <c r="AA524" s="180"/>
      <c r="AB524" s="180"/>
    </row>
    <row r="525" spans="1:28">
      <c r="A525" s="631"/>
      <c r="B525" s="388" t="s">
        <v>225</v>
      </c>
      <c r="C525" s="391"/>
      <c r="D525" s="391"/>
      <c r="E525" s="391"/>
      <c r="F525" s="391"/>
      <c r="G525" s="391"/>
      <c r="H525" s="391"/>
      <c r="I525" s="749"/>
      <c r="J525" s="391"/>
      <c r="K525" s="391"/>
      <c r="L525" s="391"/>
      <c r="M525" s="391"/>
      <c r="N525" s="391"/>
      <c r="O525" s="749"/>
      <c r="P525" s="391"/>
      <c r="Q525" s="391"/>
      <c r="R525" s="391"/>
      <c r="S525" s="749"/>
      <c r="T525" s="391"/>
      <c r="U525" s="749"/>
      <c r="V525" s="391"/>
      <c r="W525" s="749"/>
      <c r="X525" s="378"/>
      <c r="Y525" s="180"/>
      <c r="Z525" s="180"/>
      <c r="AA525" s="180"/>
      <c r="AB525" s="180"/>
    </row>
    <row r="526" spans="1:28" s="203" customFormat="1">
      <c r="A526" s="631"/>
      <c r="B526" s="389" t="s">
        <v>166</v>
      </c>
      <c r="C526" s="392"/>
      <c r="D526" s="392"/>
      <c r="E526" s="392"/>
      <c r="F526" s="392"/>
      <c r="G526" s="392"/>
      <c r="H526" s="392"/>
      <c r="I526" s="750"/>
      <c r="J526" s="392"/>
      <c r="K526" s="392"/>
      <c r="L526" s="392"/>
      <c r="M526" s="392"/>
      <c r="N526" s="392"/>
      <c r="O526" s="750"/>
      <c r="P526" s="392"/>
      <c r="Q526" s="392"/>
      <c r="R526" s="392"/>
      <c r="S526" s="750"/>
      <c r="T526" s="392"/>
      <c r="U526" s="750"/>
      <c r="V526" s="392"/>
      <c r="W526" s="750"/>
      <c r="X526" s="378"/>
      <c r="Y526" s="180"/>
      <c r="Z526" s="180"/>
      <c r="AA526" s="180"/>
      <c r="AB526" s="180"/>
    </row>
    <row r="527" spans="1:28" s="202" customFormat="1">
      <c r="A527" s="631"/>
      <c r="B527" s="634" t="s">
        <v>175</v>
      </c>
      <c r="C527" s="466">
        <v>0</v>
      </c>
      <c r="D527" s="466">
        <v>0</v>
      </c>
      <c r="E527" s="466">
        <v>0</v>
      </c>
      <c r="F527" s="466">
        <v>0</v>
      </c>
      <c r="G527" s="466">
        <v>0</v>
      </c>
      <c r="H527" s="466">
        <v>0</v>
      </c>
      <c r="I527" s="751">
        <v>0</v>
      </c>
      <c r="J527" s="466">
        <v>0</v>
      </c>
      <c r="K527" s="466">
        <v>0</v>
      </c>
      <c r="L527" s="466">
        <v>0</v>
      </c>
      <c r="M527" s="466">
        <v>0</v>
      </c>
      <c r="N527" s="466">
        <v>0</v>
      </c>
      <c r="O527" s="751">
        <v>0</v>
      </c>
      <c r="P527" s="466">
        <v>0</v>
      </c>
      <c r="Q527" s="466">
        <v>0</v>
      </c>
      <c r="R527" s="466">
        <v>0</v>
      </c>
      <c r="S527" s="751">
        <v>0</v>
      </c>
      <c r="T527" s="466">
        <v>0</v>
      </c>
      <c r="U527" s="751">
        <v>0</v>
      </c>
      <c r="V527" s="466">
        <v>0</v>
      </c>
      <c r="W527" s="751">
        <v>0</v>
      </c>
      <c r="X527" s="378"/>
      <c r="Y527" s="180"/>
      <c r="Z527" s="180"/>
      <c r="AA527" s="180"/>
      <c r="AB527" s="180"/>
    </row>
    <row r="528" spans="1:28">
      <c r="A528" s="631"/>
      <c r="B528" s="752" t="s">
        <v>317</v>
      </c>
      <c r="C528" s="749">
        <v>1927524294</v>
      </c>
      <c r="D528" s="749">
        <v>304687957</v>
      </c>
      <c r="E528" s="749">
        <v>962385498</v>
      </c>
      <c r="F528" s="749">
        <v>31398271</v>
      </c>
      <c r="G528" s="749">
        <v>74787843</v>
      </c>
      <c r="H528" s="749">
        <v>16003426</v>
      </c>
      <c r="I528" s="749">
        <v>3316787289</v>
      </c>
      <c r="J528" s="749">
        <v>40087192</v>
      </c>
      <c r="K528" s="749">
        <v>550799658</v>
      </c>
      <c r="L528" s="749">
        <v>163114944</v>
      </c>
      <c r="M528" s="749">
        <v>21007024</v>
      </c>
      <c r="N528" s="749">
        <v>122426728</v>
      </c>
      <c r="O528" s="749">
        <v>897435546</v>
      </c>
      <c r="P528" s="749"/>
      <c r="Q528" s="749"/>
      <c r="R528" s="749"/>
      <c r="S528" s="749"/>
      <c r="T528" s="749">
        <v>0</v>
      </c>
      <c r="U528" s="749">
        <v>0</v>
      </c>
      <c r="V528" s="749">
        <v>0</v>
      </c>
      <c r="W528" s="749">
        <v>4214222835</v>
      </c>
      <c r="X528" s="378"/>
      <c r="Y528" s="180"/>
      <c r="Z528" s="180"/>
      <c r="AA528" s="180"/>
      <c r="AB528" s="180"/>
    </row>
    <row r="529" spans="1:28" s="203" customFormat="1">
      <c r="A529" s="631"/>
      <c r="B529" s="753" t="s">
        <v>70</v>
      </c>
      <c r="C529" s="750">
        <v>2016044757</v>
      </c>
      <c r="D529" s="750">
        <v>326172757</v>
      </c>
      <c r="E529" s="750">
        <v>1043395088</v>
      </c>
      <c r="F529" s="750">
        <v>34019134</v>
      </c>
      <c r="G529" s="750">
        <v>75070155</v>
      </c>
      <c r="H529" s="750">
        <v>17891709</v>
      </c>
      <c r="I529" s="750">
        <v>3512593600</v>
      </c>
      <c r="J529" s="750">
        <v>39944757</v>
      </c>
      <c r="K529" s="750">
        <v>537246058</v>
      </c>
      <c r="L529" s="750">
        <v>161113670</v>
      </c>
      <c r="M529" s="750">
        <v>23578732</v>
      </c>
      <c r="N529" s="750">
        <v>118751451</v>
      </c>
      <c r="O529" s="750">
        <v>880634668</v>
      </c>
      <c r="P529" s="750"/>
      <c r="Q529" s="750"/>
      <c r="R529" s="750"/>
      <c r="S529" s="750"/>
      <c r="T529" s="750">
        <v>0</v>
      </c>
      <c r="U529" s="750">
        <v>0</v>
      </c>
      <c r="V529" s="750">
        <v>0</v>
      </c>
      <c r="W529" s="750">
        <v>4393228268</v>
      </c>
      <c r="X529" s="378"/>
      <c r="Y529" s="180"/>
      <c r="Z529" s="180"/>
      <c r="AA529" s="180"/>
      <c r="AB529" s="180"/>
    </row>
    <row r="530" spans="1:28" s="202" customFormat="1">
      <c r="A530" s="631"/>
      <c r="B530" s="754" t="s">
        <v>57</v>
      </c>
      <c r="C530" s="751">
        <v>4.5924434403004204</v>
      </c>
      <c r="D530" s="751">
        <v>7.0514109620683181</v>
      </c>
      <c r="E530" s="751">
        <v>8.4175821610312749</v>
      </c>
      <c r="F530" s="751">
        <v>8.3471570775346198</v>
      </c>
      <c r="G530" s="751">
        <v>0.37748381110550278</v>
      </c>
      <c r="H530" s="751">
        <v>11.799242237255946</v>
      </c>
      <c r="I530" s="751">
        <v>5.9034931679032976</v>
      </c>
      <c r="J530" s="751">
        <v>-0.35531298874712902</v>
      </c>
      <c r="K530" s="751">
        <v>-2.4607132199780706</v>
      </c>
      <c r="L530" s="751">
        <v>-1.2269102700976313</v>
      </c>
      <c r="M530" s="751">
        <v>12.242133869128725</v>
      </c>
      <c r="N530" s="751">
        <v>-3.00202174806142</v>
      </c>
      <c r="O530" s="751">
        <v>-1.8720985673995134</v>
      </c>
      <c r="P530" s="751">
        <v>0</v>
      </c>
      <c r="Q530" s="751">
        <v>0</v>
      </c>
      <c r="R530" s="751">
        <v>0</v>
      </c>
      <c r="S530" s="751">
        <v>0</v>
      </c>
      <c r="T530" s="751">
        <v>0</v>
      </c>
      <c r="U530" s="751">
        <v>0</v>
      </c>
      <c r="V530" s="751">
        <v>0</v>
      </c>
      <c r="W530" s="751">
        <v>4.2476499228593836</v>
      </c>
      <c r="X530" s="378"/>
      <c r="Y530" s="180"/>
      <c r="Z530" s="180"/>
      <c r="AA530" s="180"/>
      <c r="AB530" s="180"/>
    </row>
    <row r="531" spans="1:28">
      <c r="A531" s="631"/>
      <c r="B531" s="388" t="s">
        <v>72</v>
      </c>
      <c r="C531" s="391"/>
      <c r="D531" s="391"/>
      <c r="E531" s="391"/>
      <c r="F531" s="391"/>
      <c r="G531" s="391"/>
      <c r="H531" s="391"/>
      <c r="I531" s="749"/>
      <c r="J531" s="391"/>
      <c r="K531" s="391"/>
      <c r="L531" s="391"/>
      <c r="M531" s="391"/>
      <c r="N531" s="391"/>
      <c r="O531" s="749"/>
      <c r="P531" s="391"/>
      <c r="Q531" s="391"/>
      <c r="R531" s="391"/>
      <c r="S531" s="749"/>
      <c r="T531" s="391"/>
      <c r="U531" s="749"/>
      <c r="V531" s="391">
        <v>679993858</v>
      </c>
      <c r="W531" s="749">
        <v>679993858</v>
      </c>
      <c r="X531" s="378"/>
      <c r="Y531" s="180"/>
      <c r="Z531" s="180"/>
      <c r="AA531" s="180"/>
      <c r="AB531" s="180"/>
    </row>
    <row r="532" spans="1:28" s="203" customFormat="1">
      <c r="A532" s="631"/>
      <c r="B532" s="389" t="s">
        <v>74</v>
      </c>
      <c r="C532" s="392"/>
      <c r="D532" s="392"/>
      <c r="E532" s="392"/>
      <c r="F532" s="392"/>
      <c r="G532" s="392"/>
      <c r="H532" s="392"/>
      <c r="I532" s="750"/>
      <c r="J532" s="392"/>
      <c r="K532" s="392"/>
      <c r="L532" s="392"/>
      <c r="M532" s="392"/>
      <c r="N532" s="392"/>
      <c r="O532" s="750"/>
      <c r="P532" s="392"/>
      <c r="Q532" s="392"/>
      <c r="R532" s="392"/>
      <c r="S532" s="750"/>
      <c r="T532" s="392"/>
      <c r="U532" s="750"/>
      <c r="V532" s="392">
        <v>539728634</v>
      </c>
      <c r="W532" s="750">
        <v>539728634</v>
      </c>
      <c r="X532" s="378"/>
      <c r="Y532" s="180"/>
      <c r="Z532" s="180"/>
      <c r="AA532" s="180"/>
      <c r="AB532" s="180"/>
    </row>
    <row r="533" spans="1:28" s="202" customFormat="1">
      <c r="A533" s="631"/>
      <c r="B533" s="634" t="s">
        <v>76</v>
      </c>
      <c r="C533" s="466">
        <v>0</v>
      </c>
      <c r="D533" s="466">
        <v>0</v>
      </c>
      <c r="E533" s="466">
        <v>0</v>
      </c>
      <c r="F533" s="466">
        <v>0</v>
      </c>
      <c r="G533" s="466">
        <v>0</v>
      </c>
      <c r="H533" s="466">
        <v>0</v>
      </c>
      <c r="I533" s="751">
        <v>0</v>
      </c>
      <c r="J533" s="466">
        <v>0</v>
      </c>
      <c r="K533" s="466">
        <v>0</v>
      </c>
      <c r="L533" s="466">
        <v>0</v>
      </c>
      <c r="M533" s="466">
        <v>0</v>
      </c>
      <c r="N533" s="466">
        <v>0</v>
      </c>
      <c r="O533" s="751">
        <v>0</v>
      </c>
      <c r="P533" s="466">
        <v>0</v>
      </c>
      <c r="Q533" s="466">
        <v>0</v>
      </c>
      <c r="R533" s="466">
        <v>0</v>
      </c>
      <c r="S533" s="751">
        <v>0</v>
      </c>
      <c r="T533" s="466">
        <v>0</v>
      </c>
      <c r="U533" s="751">
        <v>0</v>
      </c>
      <c r="V533" s="1461">
        <v>-20.627425137713523</v>
      </c>
      <c r="W533" s="751">
        <v>-20.627425137713523</v>
      </c>
      <c r="X533" s="378"/>
      <c r="Y533" s="180"/>
      <c r="Z533" s="180"/>
      <c r="AA533" s="180"/>
      <c r="AB533" s="180"/>
    </row>
    <row r="534" spans="1:28">
      <c r="A534" s="631"/>
      <c r="B534" s="388" t="s">
        <v>240</v>
      </c>
      <c r="C534" s="391"/>
      <c r="D534" s="391"/>
      <c r="E534" s="391"/>
      <c r="F534" s="391"/>
      <c r="G534" s="391"/>
      <c r="H534" s="391"/>
      <c r="I534" s="749"/>
      <c r="J534" s="391"/>
      <c r="K534" s="391"/>
      <c r="L534" s="391"/>
      <c r="M534" s="391"/>
      <c r="N534" s="391"/>
      <c r="O534" s="749"/>
      <c r="P534" s="391"/>
      <c r="Q534" s="391"/>
      <c r="R534" s="391"/>
      <c r="S534" s="749"/>
      <c r="T534" s="391"/>
      <c r="U534" s="749"/>
      <c r="V534" s="391"/>
      <c r="W534" s="749"/>
      <c r="X534" s="378"/>
      <c r="Y534" s="180"/>
      <c r="Z534" s="180"/>
      <c r="AA534" s="180"/>
      <c r="AB534" s="180"/>
    </row>
    <row r="535" spans="1:28" s="203" customFormat="1">
      <c r="A535" s="631"/>
      <c r="B535" s="389" t="s">
        <v>163</v>
      </c>
      <c r="C535" s="392"/>
      <c r="D535" s="392"/>
      <c r="E535" s="392"/>
      <c r="F535" s="392"/>
      <c r="G535" s="392"/>
      <c r="H535" s="392"/>
      <c r="I535" s="750"/>
      <c r="J535" s="392"/>
      <c r="K535" s="392"/>
      <c r="L535" s="392"/>
      <c r="M535" s="392"/>
      <c r="N535" s="392"/>
      <c r="O535" s="750"/>
      <c r="P535" s="392"/>
      <c r="Q535" s="392"/>
      <c r="R535" s="392"/>
      <c r="S535" s="750"/>
      <c r="T535" s="392"/>
      <c r="U535" s="750"/>
      <c r="V535" s="392"/>
      <c r="W535" s="750"/>
      <c r="X535" s="378"/>
      <c r="Y535" s="180"/>
      <c r="Z535" s="180"/>
      <c r="AA535" s="180"/>
      <c r="AB535" s="180"/>
    </row>
    <row r="536" spans="1:28" s="202" customFormat="1">
      <c r="A536" s="631"/>
      <c r="B536" s="634" t="s">
        <v>59</v>
      </c>
      <c r="C536" s="466">
        <v>0</v>
      </c>
      <c r="D536" s="466">
        <v>0</v>
      </c>
      <c r="E536" s="466">
        <v>0</v>
      </c>
      <c r="F536" s="466">
        <v>0</v>
      </c>
      <c r="G536" s="466">
        <v>0</v>
      </c>
      <c r="H536" s="466">
        <v>0</v>
      </c>
      <c r="I536" s="751">
        <v>0</v>
      </c>
      <c r="J536" s="466">
        <v>0</v>
      </c>
      <c r="K536" s="466">
        <v>0</v>
      </c>
      <c r="L536" s="466">
        <v>0</v>
      </c>
      <c r="M536" s="466">
        <v>0</v>
      </c>
      <c r="N536" s="466">
        <v>0</v>
      </c>
      <c r="O536" s="751">
        <v>0</v>
      </c>
      <c r="P536" s="466">
        <v>0</v>
      </c>
      <c r="Q536" s="466">
        <v>0</v>
      </c>
      <c r="R536" s="466">
        <v>0</v>
      </c>
      <c r="S536" s="751">
        <v>0</v>
      </c>
      <c r="T536" s="466">
        <v>0</v>
      </c>
      <c r="U536" s="751">
        <v>0</v>
      </c>
      <c r="V536" s="466">
        <v>0</v>
      </c>
      <c r="W536" s="751">
        <v>0</v>
      </c>
      <c r="X536" s="378"/>
      <c r="Y536" s="180"/>
      <c r="Z536" s="180"/>
      <c r="AA536" s="180"/>
      <c r="AB536" s="180"/>
    </row>
    <row r="537" spans="1:28">
      <c r="A537" s="631"/>
      <c r="B537" s="388" t="s">
        <v>159</v>
      </c>
      <c r="C537" s="391"/>
      <c r="D537" s="391"/>
      <c r="E537" s="391"/>
      <c r="F537" s="391"/>
      <c r="G537" s="391"/>
      <c r="H537" s="391"/>
      <c r="I537" s="749"/>
      <c r="J537" s="391"/>
      <c r="K537" s="391"/>
      <c r="L537" s="391"/>
      <c r="M537" s="391"/>
      <c r="N537" s="391"/>
      <c r="O537" s="749"/>
      <c r="P537" s="391"/>
      <c r="Q537" s="391"/>
      <c r="R537" s="391"/>
      <c r="S537" s="749"/>
      <c r="T537" s="391"/>
      <c r="U537" s="749"/>
      <c r="V537" s="391"/>
      <c r="W537" s="749"/>
      <c r="X537" s="378"/>
      <c r="Y537" s="180"/>
      <c r="Z537" s="180"/>
      <c r="AA537" s="180"/>
      <c r="AB537" s="180"/>
    </row>
    <row r="538" spans="1:28" s="203" customFormat="1">
      <c r="A538" s="631"/>
      <c r="B538" s="389" t="s">
        <v>100</v>
      </c>
      <c r="C538" s="392"/>
      <c r="D538" s="392"/>
      <c r="E538" s="392"/>
      <c r="F538" s="392"/>
      <c r="G538" s="392"/>
      <c r="H538" s="392"/>
      <c r="I538" s="750"/>
      <c r="J538" s="392"/>
      <c r="K538" s="392"/>
      <c r="L538" s="392"/>
      <c r="M538" s="392"/>
      <c r="N538" s="392"/>
      <c r="O538" s="750"/>
      <c r="P538" s="392"/>
      <c r="Q538" s="392"/>
      <c r="R538" s="392"/>
      <c r="S538" s="750"/>
      <c r="T538" s="392"/>
      <c r="U538" s="750"/>
      <c r="V538" s="392"/>
      <c r="W538" s="750"/>
      <c r="X538" s="378"/>
      <c r="Y538" s="180"/>
      <c r="Z538" s="180"/>
      <c r="AA538" s="180"/>
      <c r="AB538" s="180"/>
    </row>
    <row r="539" spans="1:28" s="202" customFormat="1">
      <c r="A539" s="631"/>
      <c r="B539" s="634" t="s">
        <v>110</v>
      </c>
      <c r="C539" s="466">
        <v>0</v>
      </c>
      <c r="D539" s="466">
        <v>0</v>
      </c>
      <c r="E539" s="466">
        <v>0</v>
      </c>
      <c r="F539" s="466">
        <v>0</v>
      </c>
      <c r="G539" s="466">
        <v>0</v>
      </c>
      <c r="H539" s="466">
        <v>0</v>
      </c>
      <c r="I539" s="751">
        <v>0</v>
      </c>
      <c r="J539" s="466">
        <v>0</v>
      </c>
      <c r="K539" s="466">
        <v>0</v>
      </c>
      <c r="L539" s="466">
        <v>0</v>
      </c>
      <c r="M539" s="466">
        <v>0</v>
      </c>
      <c r="N539" s="466">
        <v>0</v>
      </c>
      <c r="O539" s="751">
        <v>0</v>
      </c>
      <c r="P539" s="466">
        <v>0</v>
      </c>
      <c r="Q539" s="466">
        <v>0</v>
      </c>
      <c r="R539" s="466">
        <v>0</v>
      </c>
      <c r="S539" s="751">
        <v>0</v>
      </c>
      <c r="T539" s="466">
        <v>0</v>
      </c>
      <c r="U539" s="751">
        <v>0</v>
      </c>
      <c r="V539" s="466">
        <v>0</v>
      </c>
      <c r="W539" s="751">
        <v>0</v>
      </c>
      <c r="X539" s="378"/>
      <c r="Y539" s="180"/>
      <c r="Z539" s="180"/>
      <c r="AA539" s="180"/>
      <c r="AB539" s="180"/>
    </row>
    <row r="540" spans="1:28">
      <c r="A540" s="631"/>
      <c r="B540" s="388" t="s">
        <v>161</v>
      </c>
      <c r="C540" s="391">
        <v>0</v>
      </c>
      <c r="D540" s="391">
        <v>0</v>
      </c>
      <c r="E540" s="391">
        <v>0</v>
      </c>
      <c r="F540" s="391">
        <v>0</v>
      </c>
      <c r="G540" s="391">
        <v>0</v>
      </c>
      <c r="H540" s="391">
        <v>0</v>
      </c>
      <c r="I540" s="749">
        <v>0</v>
      </c>
      <c r="J540" s="391">
        <v>0</v>
      </c>
      <c r="K540" s="391">
        <v>0</v>
      </c>
      <c r="L540" s="391">
        <v>0</v>
      </c>
      <c r="M540" s="391">
        <v>0</v>
      </c>
      <c r="N540" s="391">
        <v>0</v>
      </c>
      <c r="O540" s="749">
        <v>0</v>
      </c>
      <c r="P540" s="391"/>
      <c r="Q540" s="391"/>
      <c r="R540" s="391"/>
      <c r="S540" s="749"/>
      <c r="T540" s="391">
        <v>0</v>
      </c>
      <c r="U540" s="749">
        <v>0</v>
      </c>
      <c r="V540" s="391">
        <v>0</v>
      </c>
      <c r="W540" s="749">
        <v>0</v>
      </c>
      <c r="X540" s="378"/>
      <c r="Y540" s="180"/>
      <c r="Z540" s="180"/>
      <c r="AA540" s="180"/>
      <c r="AB540" s="180"/>
    </row>
    <row r="541" spans="1:28" s="203" customFormat="1">
      <c r="A541" s="631"/>
      <c r="B541" s="389" t="s">
        <v>102</v>
      </c>
      <c r="C541" s="392">
        <v>0</v>
      </c>
      <c r="D541" s="392">
        <v>0</v>
      </c>
      <c r="E541" s="392">
        <v>0</v>
      </c>
      <c r="F541" s="392">
        <v>0</v>
      </c>
      <c r="G541" s="392">
        <v>0</v>
      </c>
      <c r="H541" s="392">
        <v>0</v>
      </c>
      <c r="I541" s="750">
        <v>0</v>
      </c>
      <c r="J541" s="392">
        <v>0</v>
      </c>
      <c r="K541" s="392">
        <v>0</v>
      </c>
      <c r="L541" s="392">
        <v>0</v>
      </c>
      <c r="M541" s="392">
        <v>0</v>
      </c>
      <c r="N541" s="392">
        <v>0</v>
      </c>
      <c r="O541" s="750">
        <v>0</v>
      </c>
      <c r="P541" s="392"/>
      <c r="Q541" s="392"/>
      <c r="R541" s="392"/>
      <c r="S541" s="750"/>
      <c r="T541" s="392">
        <v>0</v>
      </c>
      <c r="U541" s="750">
        <v>0</v>
      </c>
      <c r="V541" s="392">
        <v>0</v>
      </c>
      <c r="W541" s="750">
        <v>0</v>
      </c>
      <c r="X541" s="378"/>
      <c r="Y541" s="180"/>
      <c r="Z541" s="180"/>
      <c r="AA541" s="180"/>
      <c r="AB541" s="180"/>
    </row>
    <row r="542" spans="1:28" s="202" customFormat="1">
      <c r="A542" s="631"/>
      <c r="B542" s="634" t="s">
        <v>183</v>
      </c>
      <c r="C542" s="466">
        <v>0</v>
      </c>
      <c r="D542" s="466">
        <v>0</v>
      </c>
      <c r="E542" s="466">
        <v>0</v>
      </c>
      <c r="F542" s="466">
        <v>0</v>
      </c>
      <c r="G542" s="466">
        <v>0</v>
      </c>
      <c r="H542" s="466">
        <v>0</v>
      </c>
      <c r="I542" s="751">
        <v>0</v>
      </c>
      <c r="J542" s="466">
        <v>0</v>
      </c>
      <c r="K542" s="466">
        <v>0</v>
      </c>
      <c r="L542" s="466">
        <v>0</v>
      </c>
      <c r="M542" s="466">
        <v>0</v>
      </c>
      <c r="N542" s="466">
        <v>0</v>
      </c>
      <c r="O542" s="751">
        <v>0</v>
      </c>
      <c r="P542" s="466">
        <v>0</v>
      </c>
      <c r="Q542" s="466">
        <v>0</v>
      </c>
      <c r="R542" s="466">
        <v>0</v>
      </c>
      <c r="S542" s="751">
        <v>0</v>
      </c>
      <c r="T542" s="466">
        <v>0</v>
      </c>
      <c r="U542" s="751">
        <v>0</v>
      </c>
      <c r="V542" s="466">
        <v>0</v>
      </c>
      <c r="W542" s="751">
        <v>0</v>
      </c>
      <c r="X542" s="378"/>
      <c r="Y542" s="180"/>
      <c r="Z542" s="180"/>
      <c r="AA542" s="180"/>
      <c r="AB542" s="180"/>
    </row>
    <row r="543" spans="1:28">
      <c r="A543" s="631"/>
      <c r="B543" s="388" t="s">
        <v>78</v>
      </c>
      <c r="C543" s="391">
        <v>24484103</v>
      </c>
      <c r="D543" s="391"/>
      <c r="E543" s="391"/>
      <c r="F543" s="391"/>
      <c r="G543" s="391"/>
      <c r="H543" s="391"/>
      <c r="I543" s="749">
        <v>24484103</v>
      </c>
      <c r="J543" s="391"/>
      <c r="K543" s="391"/>
      <c r="L543" s="391"/>
      <c r="M543" s="391"/>
      <c r="N543" s="391"/>
      <c r="O543" s="749"/>
      <c r="P543" s="391"/>
      <c r="Q543" s="391"/>
      <c r="R543" s="391"/>
      <c r="S543" s="749"/>
      <c r="T543" s="391">
        <v>1555304068</v>
      </c>
      <c r="U543" s="749">
        <v>1555304068</v>
      </c>
      <c r="V543" s="391">
        <v>69392583</v>
      </c>
      <c r="W543" s="749">
        <v>1649180754</v>
      </c>
      <c r="X543" s="378"/>
      <c r="Y543" s="180"/>
      <c r="Z543" s="180"/>
      <c r="AA543" s="180"/>
      <c r="AB543" s="180"/>
    </row>
    <row r="544" spans="1:28" s="203" customFormat="1">
      <c r="A544" s="631"/>
      <c r="B544" s="389" t="s">
        <v>80</v>
      </c>
      <c r="C544" s="392">
        <v>24484103</v>
      </c>
      <c r="D544" s="392"/>
      <c r="E544" s="392"/>
      <c r="F544" s="392"/>
      <c r="G544" s="392"/>
      <c r="H544" s="392"/>
      <c r="I544" s="750">
        <v>24484103</v>
      </c>
      <c r="J544" s="392"/>
      <c r="K544" s="392"/>
      <c r="L544" s="392"/>
      <c r="M544" s="392"/>
      <c r="N544" s="392"/>
      <c r="O544" s="750"/>
      <c r="P544" s="392"/>
      <c r="Q544" s="392"/>
      <c r="R544" s="392"/>
      <c r="S544" s="750"/>
      <c r="T544" s="392">
        <v>1574942126</v>
      </c>
      <c r="U544" s="750">
        <v>1574942126</v>
      </c>
      <c r="V544" s="392">
        <v>70265543</v>
      </c>
      <c r="W544" s="750">
        <v>1669691772</v>
      </c>
      <c r="X544" s="378"/>
      <c r="Y544" s="180"/>
      <c r="Z544" s="180"/>
      <c r="AA544" s="180"/>
      <c r="AB544" s="180"/>
    </row>
    <row r="545" spans="1:28" s="202" customFormat="1">
      <c r="A545" s="631"/>
      <c r="B545" s="634" t="s">
        <v>215</v>
      </c>
      <c r="C545" s="466">
        <v>0</v>
      </c>
      <c r="D545" s="466">
        <v>0</v>
      </c>
      <c r="E545" s="466">
        <v>0</v>
      </c>
      <c r="F545" s="466">
        <v>0</v>
      </c>
      <c r="G545" s="466">
        <v>0</v>
      </c>
      <c r="H545" s="466">
        <v>0</v>
      </c>
      <c r="I545" s="751">
        <v>0</v>
      </c>
      <c r="J545" s="466">
        <v>0</v>
      </c>
      <c r="K545" s="466">
        <v>0</v>
      </c>
      <c r="L545" s="466">
        <v>0</v>
      </c>
      <c r="M545" s="466">
        <v>0</v>
      </c>
      <c r="N545" s="466">
        <v>0</v>
      </c>
      <c r="O545" s="751">
        <v>0</v>
      </c>
      <c r="P545" s="466">
        <v>0</v>
      </c>
      <c r="Q545" s="466">
        <v>0</v>
      </c>
      <c r="R545" s="466">
        <v>0</v>
      </c>
      <c r="S545" s="751">
        <v>0</v>
      </c>
      <c r="T545" s="466">
        <v>1.2626507191775698</v>
      </c>
      <c r="U545" s="751">
        <v>1.2626507191775698</v>
      </c>
      <c r="V545" s="466">
        <v>1.2580018818437699</v>
      </c>
      <c r="W545" s="751">
        <v>1.2437095176045208</v>
      </c>
      <c r="X545" s="378"/>
      <c r="Y545" s="180"/>
      <c r="Z545" s="180"/>
      <c r="AA545" s="180"/>
      <c r="AB545" s="180"/>
    </row>
    <row r="546" spans="1:28">
      <c r="A546" s="631"/>
      <c r="B546" s="388" t="s">
        <v>81</v>
      </c>
      <c r="C546" s="391">
        <v>13749215</v>
      </c>
      <c r="D546" s="391"/>
      <c r="E546" s="391"/>
      <c r="F546" s="391"/>
      <c r="G546" s="391"/>
      <c r="H546" s="391"/>
      <c r="I546" s="749">
        <v>13749215</v>
      </c>
      <c r="J546" s="391"/>
      <c r="K546" s="391"/>
      <c r="L546" s="391"/>
      <c r="M546" s="391"/>
      <c r="N546" s="391"/>
      <c r="O546" s="749"/>
      <c r="P546" s="391"/>
      <c r="Q546" s="391"/>
      <c r="R546" s="391"/>
      <c r="S546" s="749"/>
      <c r="T546" s="391">
        <v>214636379</v>
      </c>
      <c r="U546" s="749">
        <v>214636379</v>
      </c>
      <c r="V546" s="391"/>
      <c r="W546" s="749">
        <v>228385594</v>
      </c>
      <c r="X546" s="378"/>
      <c r="Y546" s="180"/>
      <c r="Z546" s="180"/>
      <c r="AA546" s="180"/>
      <c r="AB546" s="180"/>
    </row>
    <row r="547" spans="1:28" s="203" customFormat="1">
      <c r="A547" s="631"/>
      <c r="B547" s="389" t="s">
        <v>318</v>
      </c>
      <c r="C547" s="392">
        <v>17698530</v>
      </c>
      <c r="D547" s="392"/>
      <c r="E547" s="392"/>
      <c r="F547" s="392"/>
      <c r="G547" s="392"/>
      <c r="H547" s="392"/>
      <c r="I547" s="750">
        <v>17698530</v>
      </c>
      <c r="J547" s="392"/>
      <c r="K547" s="392"/>
      <c r="L547" s="392"/>
      <c r="M547" s="392"/>
      <c r="N547" s="392"/>
      <c r="O547" s="750"/>
      <c r="P547" s="392"/>
      <c r="Q547" s="392"/>
      <c r="R547" s="392"/>
      <c r="S547" s="750"/>
      <c r="T547" s="392">
        <v>227788149</v>
      </c>
      <c r="U547" s="750">
        <v>227788149</v>
      </c>
      <c r="V547" s="392"/>
      <c r="W547" s="750">
        <v>245486679</v>
      </c>
      <c r="X547" s="378"/>
      <c r="Y547" s="180"/>
      <c r="Z547" s="180"/>
      <c r="AA547" s="180"/>
      <c r="AB547" s="180"/>
    </row>
    <row r="548" spans="1:28" s="202" customFormat="1">
      <c r="A548" s="631"/>
      <c r="B548" s="634" t="s">
        <v>236</v>
      </c>
      <c r="C548" s="1461">
        <v>28.723930784412055</v>
      </c>
      <c r="D548" s="466">
        <v>0</v>
      </c>
      <c r="E548" s="466">
        <v>0</v>
      </c>
      <c r="F548" s="466">
        <v>0</v>
      </c>
      <c r="G548" s="466">
        <v>0</v>
      </c>
      <c r="H548" s="466">
        <v>0</v>
      </c>
      <c r="I548" s="751">
        <v>28.723930784412055</v>
      </c>
      <c r="J548" s="466">
        <v>0</v>
      </c>
      <c r="K548" s="466">
        <v>0</v>
      </c>
      <c r="L548" s="466">
        <v>0</v>
      </c>
      <c r="M548" s="466">
        <v>0</v>
      </c>
      <c r="N548" s="466">
        <v>0</v>
      </c>
      <c r="O548" s="751">
        <v>0</v>
      </c>
      <c r="P548" s="466">
        <v>0</v>
      </c>
      <c r="Q548" s="466">
        <v>0</v>
      </c>
      <c r="R548" s="466">
        <v>0</v>
      </c>
      <c r="S548" s="751">
        <v>0</v>
      </c>
      <c r="T548" s="466">
        <v>6.1274654656748559</v>
      </c>
      <c r="U548" s="751">
        <v>6.1274654656748559</v>
      </c>
      <c r="V548" s="466">
        <v>0</v>
      </c>
      <c r="W548" s="751">
        <v>7.487812475597738</v>
      </c>
      <c r="X548" s="378"/>
      <c r="Y548" s="180"/>
      <c r="Z548" s="180"/>
      <c r="AA548" s="180"/>
      <c r="AB548" s="180"/>
    </row>
    <row r="549" spans="1:28">
      <c r="A549" s="631"/>
      <c r="B549" s="388" t="s">
        <v>19</v>
      </c>
      <c r="C549" s="391">
        <v>3796484789</v>
      </c>
      <c r="D549" s="391">
        <v>569317491</v>
      </c>
      <c r="E549" s="391">
        <v>1810999507</v>
      </c>
      <c r="F549" s="391">
        <v>77408142</v>
      </c>
      <c r="G549" s="391">
        <v>126991462</v>
      </c>
      <c r="H549" s="391">
        <v>31706357</v>
      </c>
      <c r="I549" s="749">
        <v>6412907748</v>
      </c>
      <c r="J549" s="391">
        <v>184467528</v>
      </c>
      <c r="K549" s="391">
        <v>2134829617</v>
      </c>
      <c r="L549" s="391">
        <v>586661662</v>
      </c>
      <c r="M549" s="391">
        <v>95777414</v>
      </c>
      <c r="N549" s="391">
        <v>656789990</v>
      </c>
      <c r="O549" s="749">
        <v>3658526211</v>
      </c>
      <c r="P549" s="391"/>
      <c r="Q549" s="391"/>
      <c r="R549" s="391"/>
      <c r="S549" s="749"/>
      <c r="T549" s="391">
        <v>0</v>
      </c>
      <c r="U549" s="749">
        <v>0</v>
      </c>
      <c r="V549" s="391">
        <v>0</v>
      </c>
      <c r="W549" s="749">
        <v>10071433959</v>
      </c>
      <c r="X549" s="378"/>
      <c r="Y549" s="180"/>
      <c r="Z549" s="180"/>
      <c r="AA549" s="180"/>
      <c r="AB549" s="180"/>
    </row>
    <row r="550" spans="1:28" s="203" customFormat="1">
      <c r="A550" s="631"/>
      <c r="B550" s="389" t="s">
        <v>21</v>
      </c>
      <c r="C550" s="392">
        <v>3887702410</v>
      </c>
      <c r="D550" s="392">
        <v>599294406</v>
      </c>
      <c r="E550" s="392">
        <v>1903261666</v>
      </c>
      <c r="F550" s="392">
        <v>80470991</v>
      </c>
      <c r="G550" s="392">
        <v>127843405</v>
      </c>
      <c r="H550" s="392">
        <v>34036567</v>
      </c>
      <c r="I550" s="750">
        <v>6632609445</v>
      </c>
      <c r="J550" s="392">
        <v>170324579</v>
      </c>
      <c r="K550" s="392">
        <v>2033534045</v>
      </c>
      <c r="L550" s="392">
        <v>574339195</v>
      </c>
      <c r="M550" s="392">
        <v>102184476</v>
      </c>
      <c r="N550" s="392">
        <v>646398518</v>
      </c>
      <c r="O550" s="750">
        <v>3526780813</v>
      </c>
      <c r="P550" s="392"/>
      <c r="Q550" s="392"/>
      <c r="R550" s="392"/>
      <c r="S550" s="750"/>
      <c r="T550" s="392">
        <v>0</v>
      </c>
      <c r="U550" s="750">
        <v>0</v>
      </c>
      <c r="V550" s="392">
        <v>0</v>
      </c>
      <c r="W550" s="750">
        <v>10159390258</v>
      </c>
      <c r="X550" s="378"/>
      <c r="Y550" s="180"/>
      <c r="Z550" s="180"/>
      <c r="AA550" s="180"/>
      <c r="AB550" s="180"/>
    </row>
    <row r="551" spans="1:28" s="212" customFormat="1" ht="13.5" thickBot="1">
      <c r="A551" s="635"/>
      <c r="B551" s="761" t="s">
        <v>23</v>
      </c>
      <c r="C551" s="762">
        <v>2.4026863287927687</v>
      </c>
      <c r="D551" s="762">
        <v>5.2654126166659436</v>
      </c>
      <c r="E551" s="762">
        <v>5.0945435735008182</v>
      </c>
      <c r="F551" s="762">
        <v>3.9567530247657925</v>
      </c>
      <c r="G551" s="762">
        <v>0.67086636107866848</v>
      </c>
      <c r="H551" s="762">
        <v>7.3493463787088498</v>
      </c>
      <c r="I551" s="763">
        <v>3.4259294790030093</v>
      </c>
      <c r="J551" s="762">
        <v>-7.6669043887225508</v>
      </c>
      <c r="K551" s="762">
        <v>-4.7449019440880278</v>
      </c>
      <c r="L551" s="762">
        <v>-2.1004384295355574</v>
      </c>
      <c r="M551" s="762">
        <v>6.6895332964408496</v>
      </c>
      <c r="N551" s="762">
        <v>-1.5821605320141985</v>
      </c>
      <c r="O551" s="763">
        <v>-3.6010510900232005</v>
      </c>
      <c r="P551" s="762">
        <v>0</v>
      </c>
      <c r="Q551" s="762">
        <v>0</v>
      </c>
      <c r="R551" s="762">
        <v>0</v>
      </c>
      <c r="S551" s="763">
        <v>0</v>
      </c>
      <c r="T551" s="762">
        <v>0</v>
      </c>
      <c r="U551" s="763">
        <v>0</v>
      </c>
      <c r="V551" s="762">
        <v>0</v>
      </c>
      <c r="W551" s="763">
        <v>0.87332448743707247</v>
      </c>
      <c r="X551" s="378"/>
      <c r="Y551" s="180"/>
      <c r="Z551" s="180"/>
      <c r="AA551" s="180"/>
      <c r="AB551" s="180"/>
    </row>
    <row r="552" spans="1:28" ht="13.5" thickTop="1">
      <c r="A552" s="230" t="s">
        <v>156</v>
      </c>
      <c r="B552" s="764" t="s">
        <v>190</v>
      </c>
      <c r="C552" s="765">
        <v>453730589</v>
      </c>
      <c r="D552" s="765">
        <v>155164219</v>
      </c>
      <c r="E552" s="765">
        <v>227324218</v>
      </c>
      <c r="F552" s="765"/>
      <c r="G552" s="765">
        <v>24479716</v>
      </c>
      <c r="H552" s="765">
        <v>12937643</v>
      </c>
      <c r="I552" s="766">
        <v>873636385</v>
      </c>
      <c r="J552" s="765"/>
      <c r="K552" s="765"/>
      <c r="L552" s="765"/>
      <c r="M552" s="765">
        <v>5473340</v>
      </c>
      <c r="N552" s="765">
        <v>324915521</v>
      </c>
      <c r="O552" s="766">
        <v>330388861</v>
      </c>
      <c r="P552" s="765"/>
      <c r="Q552" s="765"/>
      <c r="R552" s="765"/>
      <c r="S552" s="766"/>
      <c r="T552" s="765"/>
      <c r="U552" s="766"/>
      <c r="V552" s="765"/>
      <c r="W552" s="766">
        <v>1204025246</v>
      </c>
      <c r="X552" s="378"/>
      <c r="Y552" s="180"/>
      <c r="Z552" s="180"/>
      <c r="AA552" s="180"/>
      <c r="AB552" s="180"/>
    </row>
    <row r="553" spans="1:28" s="203" customFormat="1">
      <c r="A553" s="631"/>
      <c r="B553" s="389" t="s">
        <v>4</v>
      </c>
      <c r="C553" s="392">
        <v>457640290</v>
      </c>
      <c r="D553" s="392">
        <v>165732307</v>
      </c>
      <c r="E553" s="392">
        <v>234338094</v>
      </c>
      <c r="F553" s="392"/>
      <c r="G553" s="392">
        <v>25392536</v>
      </c>
      <c r="H553" s="392">
        <v>13491806</v>
      </c>
      <c r="I553" s="750">
        <v>896595033</v>
      </c>
      <c r="J553" s="392"/>
      <c r="K553" s="392"/>
      <c r="L553" s="392"/>
      <c r="M553" s="392">
        <v>5628738</v>
      </c>
      <c r="N553" s="392">
        <v>333468663</v>
      </c>
      <c r="O553" s="750">
        <v>339097401</v>
      </c>
      <c r="P553" s="392"/>
      <c r="Q553" s="392"/>
      <c r="R553" s="392"/>
      <c r="S553" s="750"/>
      <c r="T553" s="392"/>
      <c r="U553" s="750"/>
      <c r="V553" s="392"/>
      <c r="W553" s="750">
        <v>1235692434</v>
      </c>
      <c r="X553" s="378"/>
      <c r="Y553" s="180"/>
      <c r="Z553" s="180"/>
      <c r="AA553" s="180"/>
      <c r="AB553" s="180"/>
    </row>
    <row r="554" spans="1:28" s="202" customFormat="1">
      <c r="A554" s="632"/>
      <c r="B554" s="634" t="s">
        <v>116</v>
      </c>
      <c r="C554" s="466">
        <v>0.86167895548254514</v>
      </c>
      <c r="D554" s="466">
        <v>6.8109052899625002</v>
      </c>
      <c r="E554" s="466">
        <v>3.0854064127914431</v>
      </c>
      <c r="F554" s="466">
        <v>0</v>
      </c>
      <c r="G554" s="466">
        <v>3.7288831291997018</v>
      </c>
      <c r="H554" s="466">
        <v>4.2833381629095806</v>
      </c>
      <c r="I554" s="751">
        <v>2.6279409138848995</v>
      </c>
      <c r="J554" s="466">
        <v>0</v>
      </c>
      <c r="K554" s="466">
        <v>0</v>
      </c>
      <c r="L554" s="466">
        <v>0</v>
      </c>
      <c r="M554" s="466">
        <v>2.8391804638483999</v>
      </c>
      <c r="N554" s="466">
        <v>2.6324202591725374</v>
      </c>
      <c r="O554" s="751">
        <v>2.6358455226491428</v>
      </c>
      <c r="P554" s="466">
        <v>0</v>
      </c>
      <c r="Q554" s="466">
        <v>0</v>
      </c>
      <c r="R554" s="466">
        <v>0</v>
      </c>
      <c r="S554" s="751">
        <v>0</v>
      </c>
      <c r="T554" s="466">
        <v>0</v>
      </c>
      <c r="U554" s="751">
        <v>0</v>
      </c>
      <c r="V554" s="466">
        <v>0</v>
      </c>
      <c r="W554" s="751">
        <v>2.6301099669798784</v>
      </c>
      <c r="X554" s="378"/>
      <c r="Y554" s="180"/>
      <c r="Z554" s="180"/>
      <c r="AA554" s="180"/>
      <c r="AB554" s="180"/>
    </row>
    <row r="555" spans="1:28">
      <c r="A555" s="631"/>
      <c r="B555" s="388" t="s">
        <v>195</v>
      </c>
      <c r="C555" s="391">
        <v>77081730</v>
      </c>
      <c r="D555" s="391">
        <v>27729470</v>
      </c>
      <c r="E555" s="391">
        <v>7063900</v>
      </c>
      <c r="F555" s="391"/>
      <c r="G555" s="391"/>
      <c r="H555" s="391"/>
      <c r="I555" s="749">
        <v>111875100</v>
      </c>
      <c r="J555" s="391"/>
      <c r="K555" s="391"/>
      <c r="L555" s="391"/>
      <c r="M555" s="391"/>
      <c r="N555" s="391"/>
      <c r="O555" s="749"/>
      <c r="P555" s="391"/>
      <c r="Q555" s="391"/>
      <c r="R555" s="391"/>
      <c r="S555" s="749"/>
      <c r="T555" s="391"/>
      <c r="U555" s="749"/>
      <c r="V555" s="391">
        <v>89540826</v>
      </c>
      <c r="W555" s="749">
        <v>201415926</v>
      </c>
      <c r="X555" s="378"/>
      <c r="Y555" s="180"/>
      <c r="Z555" s="180"/>
      <c r="AA555" s="180"/>
      <c r="AB555" s="180"/>
    </row>
    <row r="556" spans="1:28" s="203" customFormat="1">
      <c r="A556" s="631"/>
      <c r="B556" s="389" t="s">
        <v>242</v>
      </c>
      <c r="C556" s="392">
        <v>78808729</v>
      </c>
      <c r="D556" s="392">
        <v>28191261</v>
      </c>
      <c r="E556" s="392">
        <v>6680442</v>
      </c>
      <c r="F556" s="392"/>
      <c r="G556" s="392"/>
      <c r="H556" s="392"/>
      <c r="I556" s="750">
        <v>113680432</v>
      </c>
      <c r="J556" s="392"/>
      <c r="K556" s="392"/>
      <c r="L556" s="392"/>
      <c r="M556" s="392"/>
      <c r="N556" s="392"/>
      <c r="O556" s="750"/>
      <c r="P556" s="392"/>
      <c r="Q556" s="392"/>
      <c r="R556" s="392"/>
      <c r="S556" s="750"/>
      <c r="T556" s="392"/>
      <c r="U556" s="750"/>
      <c r="V556" s="392">
        <v>91925418</v>
      </c>
      <c r="W556" s="750">
        <v>205605850</v>
      </c>
      <c r="X556" s="378"/>
      <c r="Y556" s="180"/>
      <c r="Z556" s="180"/>
      <c r="AA556" s="180"/>
      <c r="AB556" s="180"/>
    </row>
    <row r="557" spans="1:28" s="202" customFormat="1">
      <c r="A557" s="631"/>
      <c r="B557" s="634" t="s">
        <v>244</v>
      </c>
      <c r="C557" s="466">
        <v>2.2404777370720663</v>
      </c>
      <c r="D557" s="466">
        <v>1.665343766036639</v>
      </c>
      <c r="E557" s="466">
        <v>-5.428417729582808</v>
      </c>
      <c r="F557" s="466">
        <v>0</v>
      </c>
      <c r="G557" s="466">
        <v>0</v>
      </c>
      <c r="H557" s="466">
        <v>0</v>
      </c>
      <c r="I557" s="751">
        <v>1.6137031385893734</v>
      </c>
      <c r="J557" s="466">
        <v>0</v>
      </c>
      <c r="K557" s="466">
        <v>0</v>
      </c>
      <c r="L557" s="466">
        <v>0</v>
      </c>
      <c r="M557" s="466">
        <v>0</v>
      </c>
      <c r="N557" s="466">
        <v>0</v>
      </c>
      <c r="O557" s="751">
        <v>0</v>
      </c>
      <c r="P557" s="466">
        <v>0</v>
      </c>
      <c r="Q557" s="466">
        <v>0</v>
      </c>
      <c r="R557" s="466">
        <v>0</v>
      </c>
      <c r="S557" s="751">
        <v>0</v>
      </c>
      <c r="T557" s="466">
        <v>0</v>
      </c>
      <c r="U557" s="751">
        <v>0</v>
      </c>
      <c r="V557" s="466">
        <v>2.663133797760588</v>
      </c>
      <c r="W557" s="751">
        <v>2.0802347079545243</v>
      </c>
      <c r="X557" s="378"/>
      <c r="Y557" s="180"/>
      <c r="Z557" s="180"/>
      <c r="AA557" s="180"/>
      <c r="AB557" s="180"/>
    </row>
    <row r="558" spans="1:28">
      <c r="A558" s="631"/>
      <c r="B558" s="388" t="s">
        <v>5</v>
      </c>
      <c r="C558" s="391"/>
      <c r="D558" s="391"/>
      <c r="E558" s="391"/>
      <c r="F558" s="391"/>
      <c r="G558" s="391"/>
      <c r="H558" s="391"/>
      <c r="I558" s="749"/>
      <c r="J558" s="391"/>
      <c r="K558" s="391"/>
      <c r="L558" s="391"/>
      <c r="M558" s="391"/>
      <c r="N558" s="391">
        <v>10921170</v>
      </c>
      <c r="O558" s="749">
        <v>10921170</v>
      </c>
      <c r="P558" s="391"/>
      <c r="Q558" s="391"/>
      <c r="R558" s="391"/>
      <c r="S558" s="749"/>
      <c r="T558" s="391"/>
      <c r="U558" s="749"/>
      <c r="V558" s="391"/>
      <c r="W558" s="749">
        <v>10921170</v>
      </c>
      <c r="X558" s="378"/>
      <c r="Y558" s="180"/>
      <c r="Z558" s="180"/>
      <c r="AA558" s="180"/>
      <c r="AB558" s="180"/>
    </row>
    <row r="559" spans="1:28" s="203" customFormat="1">
      <c r="A559" s="631"/>
      <c r="B559" s="389" t="s">
        <v>6</v>
      </c>
      <c r="C559" s="392"/>
      <c r="D559" s="392"/>
      <c r="E559" s="392"/>
      <c r="F559" s="392"/>
      <c r="G559" s="392"/>
      <c r="H559" s="392"/>
      <c r="I559" s="750"/>
      <c r="J559" s="392"/>
      <c r="K559" s="392"/>
      <c r="L559" s="392"/>
      <c r="M559" s="392"/>
      <c r="N559" s="392">
        <v>11268643</v>
      </c>
      <c r="O559" s="750">
        <v>11268643</v>
      </c>
      <c r="P559" s="392"/>
      <c r="Q559" s="392"/>
      <c r="R559" s="392"/>
      <c r="S559" s="750"/>
      <c r="T559" s="392"/>
      <c r="U559" s="750"/>
      <c r="V559" s="392"/>
      <c r="W559" s="750">
        <v>11268643</v>
      </c>
      <c r="X559" s="378"/>
      <c r="Y559" s="180"/>
      <c r="Z559" s="180"/>
      <c r="AA559" s="180"/>
      <c r="AB559" s="180"/>
    </row>
    <row r="560" spans="1:28" s="202" customFormat="1">
      <c r="A560" s="631"/>
      <c r="B560" s="634" t="s">
        <v>298</v>
      </c>
      <c r="C560" s="466">
        <v>0</v>
      </c>
      <c r="D560" s="466">
        <v>0</v>
      </c>
      <c r="E560" s="466">
        <v>0</v>
      </c>
      <c r="F560" s="466">
        <v>0</v>
      </c>
      <c r="G560" s="466">
        <v>0</v>
      </c>
      <c r="H560" s="466">
        <v>0</v>
      </c>
      <c r="I560" s="751">
        <v>0</v>
      </c>
      <c r="J560" s="466">
        <v>0</v>
      </c>
      <c r="K560" s="466">
        <v>0</v>
      </c>
      <c r="L560" s="466">
        <v>0</v>
      </c>
      <c r="M560" s="466">
        <v>0</v>
      </c>
      <c r="N560" s="466">
        <v>3.1816462888133779</v>
      </c>
      <c r="O560" s="751">
        <v>3.1816462888133779</v>
      </c>
      <c r="P560" s="466">
        <v>0</v>
      </c>
      <c r="Q560" s="466">
        <v>0</v>
      </c>
      <c r="R560" s="466">
        <v>0</v>
      </c>
      <c r="S560" s="751">
        <v>0</v>
      </c>
      <c r="T560" s="466">
        <v>0</v>
      </c>
      <c r="U560" s="751">
        <v>0</v>
      </c>
      <c r="V560" s="466">
        <v>0</v>
      </c>
      <c r="W560" s="751">
        <v>3.1816462888133779</v>
      </c>
      <c r="X560" s="378"/>
      <c r="Y560" s="180"/>
      <c r="Z560" s="180"/>
      <c r="AA560" s="180"/>
      <c r="AB560" s="180"/>
    </row>
    <row r="561" spans="1:28">
      <c r="A561" s="631"/>
      <c r="B561" s="388" t="s">
        <v>223</v>
      </c>
      <c r="C561" s="391">
        <v>1233434576</v>
      </c>
      <c r="D561" s="391">
        <v>426155415</v>
      </c>
      <c r="E561" s="391">
        <v>407692370</v>
      </c>
      <c r="F561" s="391"/>
      <c r="G561" s="391">
        <v>34794369</v>
      </c>
      <c r="H561" s="391">
        <v>7991302</v>
      </c>
      <c r="I561" s="749">
        <v>2110068032</v>
      </c>
      <c r="J561" s="391"/>
      <c r="K561" s="391"/>
      <c r="L561" s="391"/>
      <c r="M561" s="391">
        <v>4443506</v>
      </c>
      <c r="N561" s="391">
        <v>524305443</v>
      </c>
      <c r="O561" s="749">
        <v>528748949</v>
      </c>
      <c r="P561" s="391"/>
      <c r="Q561" s="391"/>
      <c r="R561" s="391"/>
      <c r="S561" s="749"/>
      <c r="T561" s="391"/>
      <c r="U561" s="749"/>
      <c r="V561" s="391"/>
      <c r="W561" s="749">
        <v>2638816981</v>
      </c>
      <c r="X561" s="378"/>
      <c r="Y561" s="180"/>
      <c r="Z561" s="180"/>
      <c r="AA561" s="180"/>
      <c r="AB561" s="180"/>
    </row>
    <row r="562" spans="1:28" s="203" customFormat="1">
      <c r="A562" s="631"/>
      <c r="B562" s="389" t="s">
        <v>14</v>
      </c>
      <c r="C562" s="392">
        <v>1355933088</v>
      </c>
      <c r="D562" s="392">
        <v>467054047</v>
      </c>
      <c r="E562" s="392">
        <v>415929375</v>
      </c>
      <c r="F562" s="392"/>
      <c r="G562" s="392">
        <v>38246613</v>
      </c>
      <c r="H562" s="392">
        <v>8695341</v>
      </c>
      <c r="I562" s="750">
        <v>2285858464</v>
      </c>
      <c r="J562" s="392"/>
      <c r="K562" s="392"/>
      <c r="L562" s="392"/>
      <c r="M562" s="392">
        <v>4181900</v>
      </c>
      <c r="N562" s="392">
        <v>547131020</v>
      </c>
      <c r="O562" s="750">
        <v>551312920</v>
      </c>
      <c r="P562" s="392"/>
      <c r="Q562" s="392"/>
      <c r="R562" s="392"/>
      <c r="S562" s="750"/>
      <c r="T562" s="392"/>
      <c r="U562" s="750"/>
      <c r="V562" s="392"/>
      <c r="W562" s="750">
        <v>2837171384</v>
      </c>
      <c r="X562" s="378"/>
      <c r="Y562" s="180"/>
      <c r="Z562" s="180"/>
      <c r="AA562" s="180"/>
      <c r="AB562" s="180"/>
    </row>
    <row r="563" spans="1:28" s="202" customFormat="1">
      <c r="A563" s="631"/>
      <c r="B563" s="634" t="s">
        <v>247</v>
      </c>
      <c r="C563" s="466">
        <v>9.9314965206553438</v>
      </c>
      <c r="D563" s="466">
        <v>9.5971165824561915</v>
      </c>
      <c r="E563" s="466">
        <v>2.0203971440525121</v>
      </c>
      <c r="F563" s="466">
        <v>0</v>
      </c>
      <c r="G563" s="466">
        <v>9.9218468367683297</v>
      </c>
      <c r="H563" s="466">
        <v>8.8100662445243589</v>
      </c>
      <c r="I563" s="751">
        <v>8.3310314802210126</v>
      </c>
      <c r="J563" s="466">
        <v>0</v>
      </c>
      <c r="K563" s="466">
        <v>0</v>
      </c>
      <c r="L563" s="466">
        <v>0</v>
      </c>
      <c r="M563" s="466">
        <v>-5.8873781198900144</v>
      </c>
      <c r="N563" s="466">
        <v>4.3534884683621335</v>
      </c>
      <c r="O563" s="751">
        <v>4.2674261656073762</v>
      </c>
      <c r="P563" s="466">
        <v>0</v>
      </c>
      <c r="Q563" s="466">
        <v>0</v>
      </c>
      <c r="R563" s="466">
        <v>0</v>
      </c>
      <c r="S563" s="751">
        <v>0</v>
      </c>
      <c r="T563" s="466">
        <v>0</v>
      </c>
      <c r="U563" s="751">
        <v>0</v>
      </c>
      <c r="V563" s="466">
        <v>0</v>
      </c>
      <c r="W563" s="751">
        <v>7.5167927305376097</v>
      </c>
      <c r="X563" s="378"/>
      <c r="Y563" s="180"/>
      <c r="Z563" s="180"/>
      <c r="AA563" s="180"/>
      <c r="AB563" s="180"/>
    </row>
    <row r="564" spans="1:28">
      <c r="A564" s="631"/>
      <c r="B564" s="388" t="s">
        <v>225</v>
      </c>
      <c r="C564" s="391">
        <v>12321540</v>
      </c>
      <c r="D564" s="391">
        <v>3626271</v>
      </c>
      <c r="E564" s="391">
        <v>5220567</v>
      </c>
      <c r="F564" s="391"/>
      <c r="G564" s="391">
        <v>112167</v>
      </c>
      <c r="H564" s="391">
        <v>48510</v>
      </c>
      <c r="I564" s="749">
        <v>21329055</v>
      </c>
      <c r="J564" s="391"/>
      <c r="K564" s="391"/>
      <c r="L564" s="391"/>
      <c r="M564" s="391">
        <v>9900</v>
      </c>
      <c r="N564" s="391">
        <v>3222450</v>
      </c>
      <c r="O564" s="749">
        <v>3232350</v>
      </c>
      <c r="P564" s="391"/>
      <c r="Q564" s="391"/>
      <c r="R564" s="391"/>
      <c r="S564" s="749"/>
      <c r="T564" s="391"/>
      <c r="U564" s="749"/>
      <c r="V564" s="391"/>
      <c r="W564" s="749">
        <v>24561405</v>
      </c>
      <c r="X564" s="378"/>
      <c r="Y564" s="180"/>
      <c r="Z564" s="180"/>
      <c r="AA564" s="180"/>
      <c r="AB564" s="180"/>
    </row>
    <row r="565" spans="1:28" s="203" customFormat="1">
      <c r="A565" s="631"/>
      <c r="B565" s="389" t="s">
        <v>166</v>
      </c>
      <c r="C565" s="392">
        <v>12922074</v>
      </c>
      <c r="D565" s="392">
        <v>3626271</v>
      </c>
      <c r="E565" s="392">
        <v>4620033</v>
      </c>
      <c r="F565" s="392"/>
      <c r="G565" s="392">
        <v>112167</v>
      </c>
      <c r="H565" s="392">
        <v>48510</v>
      </c>
      <c r="I565" s="750">
        <v>21329055</v>
      </c>
      <c r="J565" s="392"/>
      <c r="K565" s="392"/>
      <c r="L565" s="392"/>
      <c r="M565" s="392">
        <v>9900</v>
      </c>
      <c r="N565" s="392">
        <v>3222450</v>
      </c>
      <c r="O565" s="750">
        <v>3232350</v>
      </c>
      <c r="P565" s="392"/>
      <c r="Q565" s="392"/>
      <c r="R565" s="392"/>
      <c r="S565" s="750"/>
      <c r="T565" s="392"/>
      <c r="U565" s="750"/>
      <c r="V565" s="392"/>
      <c r="W565" s="750">
        <v>24561405</v>
      </c>
      <c r="X565" s="378"/>
      <c r="Y565" s="180"/>
      <c r="Z565" s="180"/>
      <c r="AA565" s="180"/>
      <c r="AB565" s="180"/>
    </row>
    <row r="566" spans="1:28" s="202" customFormat="1">
      <c r="A566" s="631"/>
      <c r="B566" s="634" t="s">
        <v>175</v>
      </c>
      <c r="C566" s="466">
        <v>4.873855053832556</v>
      </c>
      <c r="D566" s="466">
        <v>0</v>
      </c>
      <c r="E566" s="1461">
        <v>-11.503233269489693</v>
      </c>
      <c r="F566" s="466">
        <v>0</v>
      </c>
      <c r="G566" s="466">
        <v>0</v>
      </c>
      <c r="H566" s="466">
        <v>0</v>
      </c>
      <c r="I566" s="751">
        <v>0</v>
      </c>
      <c r="J566" s="466">
        <v>0</v>
      </c>
      <c r="K566" s="466">
        <v>0</v>
      </c>
      <c r="L566" s="466">
        <v>0</v>
      </c>
      <c r="M566" s="466">
        <v>0</v>
      </c>
      <c r="N566" s="466">
        <v>0</v>
      </c>
      <c r="O566" s="751">
        <v>0</v>
      </c>
      <c r="P566" s="466">
        <v>0</v>
      </c>
      <c r="Q566" s="466">
        <v>0</v>
      </c>
      <c r="R566" s="466">
        <v>0</v>
      </c>
      <c r="S566" s="751">
        <v>0</v>
      </c>
      <c r="T566" s="466">
        <v>0</v>
      </c>
      <c r="U566" s="751">
        <v>0</v>
      </c>
      <c r="V566" s="466">
        <v>0</v>
      </c>
      <c r="W566" s="751">
        <v>0</v>
      </c>
      <c r="X566" s="378"/>
      <c r="Y566" s="180"/>
      <c r="Z566" s="180"/>
      <c r="AA566" s="180"/>
      <c r="AB566" s="180"/>
    </row>
    <row r="567" spans="1:28">
      <c r="A567" s="631"/>
      <c r="B567" s="752" t="s">
        <v>317</v>
      </c>
      <c r="C567" s="749">
        <v>1245756116</v>
      </c>
      <c r="D567" s="749">
        <v>429781686</v>
      </c>
      <c r="E567" s="749">
        <v>412912937</v>
      </c>
      <c r="F567" s="749"/>
      <c r="G567" s="749">
        <v>34906536</v>
      </c>
      <c r="H567" s="749">
        <v>8039812</v>
      </c>
      <c r="I567" s="749">
        <v>2131397087</v>
      </c>
      <c r="J567" s="749"/>
      <c r="K567" s="749">
        <v>0</v>
      </c>
      <c r="L567" s="749">
        <v>0</v>
      </c>
      <c r="M567" s="749">
        <v>4453406</v>
      </c>
      <c r="N567" s="749">
        <v>527527893</v>
      </c>
      <c r="O567" s="749">
        <v>531981299</v>
      </c>
      <c r="P567" s="749"/>
      <c r="Q567" s="749"/>
      <c r="R567" s="749"/>
      <c r="S567" s="749"/>
      <c r="T567" s="749">
        <v>0</v>
      </c>
      <c r="U567" s="749">
        <v>0</v>
      </c>
      <c r="V567" s="749">
        <v>0</v>
      </c>
      <c r="W567" s="749">
        <v>2663378386</v>
      </c>
      <c r="X567" s="378"/>
      <c r="Y567" s="180"/>
      <c r="Z567" s="180"/>
      <c r="AA567" s="180"/>
      <c r="AB567" s="180"/>
    </row>
    <row r="568" spans="1:28" s="203" customFormat="1">
      <c r="A568" s="631"/>
      <c r="B568" s="753" t="s">
        <v>70</v>
      </c>
      <c r="C568" s="750">
        <v>1368855162</v>
      </c>
      <c r="D568" s="750">
        <v>470680318</v>
      </c>
      <c r="E568" s="750">
        <v>420549408</v>
      </c>
      <c r="F568" s="750"/>
      <c r="G568" s="750">
        <v>38358780</v>
      </c>
      <c r="H568" s="750">
        <v>8743851</v>
      </c>
      <c r="I568" s="750">
        <v>2307187519</v>
      </c>
      <c r="J568" s="750"/>
      <c r="K568" s="750">
        <v>0</v>
      </c>
      <c r="L568" s="750">
        <v>0</v>
      </c>
      <c r="M568" s="750">
        <v>4191800</v>
      </c>
      <c r="N568" s="750">
        <v>550353470</v>
      </c>
      <c r="O568" s="750">
        <v>554545270</v>
      </c>
      <c r="P568" s="750"/>
      <c r="Q568" s="750"/>
      <c r="R568" s="750"/>
      <c r="S568" s="750"/>
      <c r="T568" s="750">
        <v>0</v>
      </c>
      <c r="U568" s="750">
        <v>0</v>
      </c>
      <c r="V568" s="750">
        <v>0</v>
      </c>
      <c r="W568" s="750">
        <v>2861732789</v>
      </c>
      <c r="X568" s="378"/>
      <c r="Y568" s="180"/>
      <c r="Z568" s="180"/>
      <c r="AA568" s="180"/>
      <c r="AB568" s="180"/>
    </row>
    <row r="569" spans="1:28" s="202" customFormat="1">
      <c r="A569" s="631"/>
      <c r="B569" s="754" t="s">
        <v>57</v>
      </c>
      <c r="C569" s="751">
        <v>9.8814723378809415</v>
      </c>
      <c r="D569" s="751">
        <v>9.5161411787099741</v>
      </c>
      <c r="E569" s="751">
        <v>1.8494143233879834</v>
      </c>
      <c r="F569" s="751">
        <v>0</v>
      </c>
      <c r="G569" s="751">
        <v>9.8899644467729466</v>
      </c>
      <c r="H569" s="751">
        <v>8.7569087436372879</v>
      </c>
      <c r="I569" s="751">
        <v>8.2476622057990081</v>
      </c>
      <c r="J569" s="751">
        <v>0</v>
      </c>
      <c r="K569" s="751">
        <v>0</v>
      </c>
      <c r="L569" s="751">
        <v>0</v>
      </c>
      <c r="M569" s="751">
        <v>-5.8742903746031683</v>
      </c>
      <c r="N569" s="751">
        <v>4.3268948055415901</v>
      </c>
      <c r="O569" s="751">
        <v>4.2414970305187367</v>
      </c>
      <c r="P569" s="751">
        <v>0</v>
      </c>
      <c r="Q569" s="751">
        <v>0</v>
      </c>
      <c r="R569" s="751">
        <v>0</v>
      </c>
      <c r="S569" s="751">
        <v>0</v>
      </c>
      <c r="T569" s="751">
        <v>0</v>
      </c>
      <c r="U569" s="751">
        <v>0</v>
      </c>
      <c r="V569" s="751">
        <v>0</v>
      </c>
      <c r="W569" s="751">
        <v>7.4474736313340344</v>
      </c>
      <c r="X569" s="378"/>
      <c r="Y569" s="180"/>
      <c r="Z569" s="180"/>
      <c r="AA569" s="180"/>
      <c r="AB569" s="180"/>
    </row>
    <row r="570" spans="1:28">
      <c r="A570" s="631"/>
      <c r="B570" s="388" t="s">
        <v>72</v>
      </c>
      <c r="C570" s="391"/>
      <c r="D570" s="391"/>
      <c r="E570" s="391"/>
      <c r="F570" s="391"/>
      <c r="G570" s="391"/>
      <c r="H570" s="391"/>
      <c r="I570" s="749"/>
      <c r="J570" s="391"/>
      <c r="K570" s="391"/>
      <c r="L570" s="391"/>
      <c r="M570" s="391"/>
      <c r="N570" s="391"/>
      <c r="O570" s="749"/>
      <c r="P570" s="391"/>
      <c r="Q570" s="391"/>
      <c r="R570" s="391"/>
      <c r="S570" s="749"/>
      <c r="T570" s="391">
        <v>11901908</v>
      </c>
      <c r="U570" s="749">
        <v>11901908</v>
      </c>
      <c r="V570" s="391">
        <v>270159253</v>
      </c>
      <c r="W570" s="749">
        <v>282061161</v>
      </c>
      <c r="X570" s="378"/>
      <c r="Y570" s="180"/>
      <c r="Z570" s="180"/>
      <c r="AA570" s="180"/>
      <c r="AB570" s="180"/>
    </row>
    <row r="571" spans="1:28" s="203" customFormat="1">
      <c r="A571" s="631"/>
      <c r="B571" s="389" t="s">
        <v>74</v>
      </c>
      <c r="C571" s="392"/>
      <c r="D571" s="392"/>
      <c r="E571" s="392"/>
      <c r="F571" s="392"/>
      <c r="G571" s="392"/>
      <c r="H571" s="392"/>
      <c r="I571" s="750"/>
      <c r="J571" s="392"/>
      <c r="K571" s="392"/>
      <c r="L571" s="392"/>
      <c r="M571" s="392"/>
      <c r="N571" s="392"/>
      <c r="O571" s="750"/>
      <c r="P571" s="392"/>
      <c r="Q571" s="392"/>
      <c r="R571" s="392"/>
      <c r="S571" s="750"/>
      <c r="T571" s="392">
        <v>12203131</v>
      </c>
      <c r="U571" s="750">
        <v>12203131</v>
      </c>
      <c r="V571" s="392">
        <v>270245746</v>
      </c>
      <c r="W571" s="750">
        <v>282448877</v>
      </c>
      <c r="X571" s="378"/>
      <c r="Y571" s="180"/>
      <c r="Z571" s="180"/>
      <c r="AA571" s="180"/>
      <c r="AB571" s="180"/>
    </row>
    <row r="572" spans="1:28" s="202" customFormat="1">
      <c r="A572" s="631"/>
      <c r="B572" s="634" t="s">
        <v>76</v>
      </c>
      <c r="C572" s="466">
        <v>0</v>
      </c>
      <c r="D572" s="466">
        <v>0</v>
      </c>
      <c r="E572" s="466">
        <v>0</v>
      </c>
      <c r="F572" s="466">
        <v>0</v>
      </c>
      <c r="G572" s="466">
        <v>0</v>
      </c>
      <c r="H572" s="466">
        <v>0</v>
      </c>
      <c r="I572" s="751">
        <v>0</v>
      </c>
      <c r="J572" s="466">
        <v>0</v>
      </c>
      <c r="K572" s="466">
        <v>0</v>
      </c>
      <c r="L572" s="466">
        <v>0</v>
      </c>
      <c r="M572" s="466">
        <v>0</v>
      </c>
      <c r="N572" s="466">
        <v>0</v>
      </c>
      <c r="O572" s="751">
        <v>0</v>
      </c>
      <c r="P572" s="466">
        <v>0</v>
      </c>
      <c r="Q572" s="466">
        <v>0</v>
      </c>
      <c r="R572" s="466">
        <v>0</v>
      </c>
      <c r="S572" s="751">
        <v>0</v>
      </c>
      <c r="T572" s="466">
        <v>2.5308799227821286</v>
      </c>
      <c r="U572" s="751">
        <v>2.5308799227821286</v>
      </c>
      <c r="V572" s="466">
        <v>3.2015560836629944E-2</v>
      </c>
      <c r="W572" s="751">
        <v>0.13745813093352471</v>
      </c>
      <c r="X572" s="378"/>
      <c r="Y572" s="180"/>
      <c r="Z572" s="180"/>
      <c r="AA572" s="180"/>
      <c r="AB572" s="180"/>
    </row>
    <row r="573" spans="1:28">
      <c r="A573" s="631"/>
      <c r="B573" s="388" t="s">
        <v>240</v>
      </c>
      <c r="C573" s="391"/>
      <c r="D573" s="391"/>
      <c r="E573" s="391"/>
      <c r="F573" s="391"/>
      <c r="G573" s="391"/>
      <c r="H573" s="391"/>
      <c r="I573" s="749"/>
      <c r="J573" s="391"/>
      <c r="K573" s="391"/>
      <c r="L573" s="391"/>
      <c r="M573" s="391"/>
      <c r="N573" s="391"/>
      <c r="O573" s="749"/>
      <c r="P573" s="391"/>
      <c r="Q573" s="391"/>
      <c r="R573" s="391"/>
      <c r="S573" s="749"/>
      <c r="T573" s="391">
        <v>26991029</v>
      </c>
      <c r="U573" s="749">
        <v>26991029</v>
      </c>
      <c r="V573" s="391"/>
      <c r="W573" s="749">
        <v>26991029</v>
      </c>
      <c r="X573" s="378"/>
      <c r="Y573" s="180"/>
      <c r="Z573" s="180"/>
      <c r="AA573" s="180"/>
      <c r="AB573" s="180"/>
    </row>
    <row r="574" spans="1:28" s="203" customFormat="1">
      <c r="A574" s="631"/>
      <c r="B574" s="389" t="s">
        <v>163</v>
      </c>
      <c r="C574" s="392"/>
      <c r="D574" s="392"/>
      <c r="E574" s="392"/>
      <c r="F574" s="392"/>
      <c r="G574" s="392"/>
      <c r="H574" s="392"/>
      <c r="I574" s="750"/>
      <c r="J574" s="392"/>
      <c r="K574" s="392"/>
      <c r="L574" s="392"/>
      <c r="M574" s="392"/>
      <c r="N574" s="392"/>
      <c r="O574" s="750"/>
      <c r="P574" s="392"/>
      <c r="Q574" s="392"/>
      <c r="R574" s="392"/>
      <c r="S574" s="750"/>
      <c r="T574" s="392">
        <v>26200986</v>
      </c>
      <c r="U574" s="750">
        <v>26200986</v>
      </c>
      <c r="V574" s="392"/>
      <c r="W574" s="750">
        <v>26200986</v>
      </c>
      <c r="X574" s="378"/>
      <c r="Y574" s="180"/>
      <c r="Z574" s="180"/>
      <c r="AA574" s="180"/>
      <c r="AB574" s="180"/>
    </row>
    <row r="575" spans="1:28" s="202" customFormat="1">
      <c r="A575" s="631"/>
      <c r="B575" s="634" t="s">
        <v>59</v>
      </c>
      <c r="C575" s="466">
        <v>0</v>
      </c>
      <c r="D575" s="466">
        <v>0</v>
      </c>
      <c r="E575" s="466">
        <v>0</v>
      </c>
      <c r="F575" s="466">
        <v>0</v>
      </c>
      <c r="G575" s="466">
        <v>0</v>
      </c>
      <c r="H575" s="466">
        <v>0</v>
      </c>
      <c r="I575" s="751">
        <v>0</v>
      </c>
      <c r="J575" s="466">
        <v>0</v>
      </c>
      <c r="K575" s="466">
        <v>0</v>
      </c>
      <c r="L575" s="466">
        <v>0</v>
      </c>
      <c r="M575" s="466">
        <v>0</v>
      </c>
      <c r="N575" s="466">
        <v>0</v>
      </c>
      <c r="O575" s="751">
        <v>0</v>
      </c>
      <c r="P575" s="466">
        <v>0</v>
      </c>
      <c r="Q575" s="466">
        <v>0</v>
      </c>
      <c r="R575" s="466">
        <v>0</v>
      </c>
      <c r="S575" s="751">
        <v>0</v>
      </c>
      <c r="T575" s="466">
        <v>-2.9270577272174396</v>
      </c>
      <c r="U575" s="751">
        <v>-2.9270577272174396</v>
      </c>
      <c r="V575" s="466">
        <v>0</v>
      </c>
      <c r="W575" s="751">
        <v>-2.9270577272174396</v>
      </c>
      <c r="X575" s="378"/>
      <c r="Y575" s="180"/>
      <c r="Z575" s="180"/>
      <c r="AA575" s="180"/>
      <c r="AB575" s="180"/>
    </row>
    <row r="576" spans="1:28">
      <c r="A576" s="631"/>
      <c r="B576" s="388" t="s">
        <v>159</v>
      </c>
      <c r="C576" s="391"/>
      <c r="D576" s="391"/>
      <c r="E576" s="391"/>
      <c r="F576" s="391"/>
      <c r="G576" s="391"/>
      <c r="H576" s="391"/>
      <c r="I576" s="749"/>
      <c r="J576" s="391"/>
      <c r="K576" s="391"/>
      <c r="L576" s="391"/>
      <c r="M576" s="391"/>
      <c r="N576" s="391"/>
      <c r="O576" s="749"/>
      <c r="P576" s="391"/>
      <c r="Q576" s="391"/>
      <c r="R576" s="391"/>
      <c r="S576" s="749"/>
      <c r="T576" s="391">
        <v>296208</v>
      </c>
      <c r="U576" s="749">
        <v>296208</v>
      </c>
      <c r="V576" s="391"/>
      <c r="W576" s="749">
        <v>296208</v>
      </c>
      <c r="X576" s="378"/>
      <c r="Y576" s="180"/>
      <c r="Z576" s="180"/>
      <c r="AA576" s="180"/>
      <c r="AB576" s="180"/>
    </row>
    <row r="577" spans="1:28" s="203" customFormat="1">
      <c r="A577" s="631"/>
      <c r="B577" s="389" t="s">
        <v>100</v>
      </c>
      <c r="C577" s="392"/>
      <c r="D577" s="392"/>
      <c r="E577" s="392"/>
      <c r="F577" s="392"/>
      <c r="G577" s="392"/>
      <c r="H577" s="392"/>
      <c r="I577" s="750"/>
      <c r="J577" s="392"/>
      <c r="K577" s="392"/>
      <c r="L577" s="392"/>
      <c r="M577" s="392"/>
      <c r="N577" s="392"/>
      <c r="O577" s="750"/>
      <c r="P577" s="392"/>
      <c r="Q577" s="392"/>
      <c r="R577" s="392"/>
      <c r="S577" s="750"/>
      <c r="T577" s="392">
        <v>370260</v>
      </c>
      <c r="U577" s="750">
        <v>370260</v>
      </c>
      <c r="V577" s="392"/>
      <c r="W577" s="750">
        <v>370260</v>
      </c>
      <c r="X577" s="378"/>
      <c r="Y577" s="180"/>
      <c r="Z577" s="180"/>
      <c r="AA577" s="180"/>
      <c r="AB577" s="180"/>
    </row>
    <row r="578" spans="1:28" s="202" customFormat="1">
      <c r="A578" s="631"/>
      <c r="B578" s="634" t="s">
        <v>110</v>
      </c>
      <c r="C578" s="466">
        <v>0</v>
      </c>
      <c r="D578" s="466">
        <v>0</v>
      </c>
      <c r="E578" s="466">
        <v>0</v>
      </c>
      <c r="F578" s="466">
        <v>0</v>
      </c>
      <c r="G578" s="466">
        <v>0</v>
      </c>
      <c r="H578" s="466">
        <v>0</v>
      </c>
      <c r="I578" s="751">
        <v>0</v>
      </c>
      <c r="J578" s="466">
        <v>0</v>
      </c>
      <c r="K578" s="466">
        <v>0</v>
      </c>
      <c r="L578" s="466">
        <v>0</v>
      </c>
      <c r="M578" s="466">
        <v>0</v>
      </c>
      <c r="N578" s="466">
        <v>0</v>
      </c>
      <c r="O578" s="751">
        <v>0</v>
      </c>
      <c r="P578" s="466">
        <v>0</v>
      </c>
      <c r="Q578" s="466">
        <v>0</v>
      </c>
      <c r="R578" s="466">
        <v>0</v>
      </c>
      <c r="S578" s="751">
        <v>0</v>
      </c>
      <c r="T578" s="466">
        <v>25</v>
      </c>
      <c r="U578" s="751">
        <v>25</v>
      </c>
      <c r="V578" s="466">
        <v>0</v>
      </c>
      <c r="W578" s="751">
        <v>25</v>
      </c>
      <c r="X578" s="378"/>
      <c r="Y578" s="180"/>
      <c r="Z578" s="180"/>
      <c r="AA578" s="180"/>
      <c r="AB578" s="180"/>
    </row>
    <row r="579" spans="1:28">
      <c r="A579" s="631"/>
      <c r="B579" s="388" t="s">
        <v>161</v>
      </c>
      <c r="C579" s="391">
        <v>0</v>
      </c>
      <c r="D579" s="391">
        <v>0</v>
      </c>
      <c r="E579" s="391">
        <v>0</v>
      </c>
      <c r="F579" s="391"/>
      <c r="G579" s="391">
        <v>0</v>
      </c>
      <c r="H579" s="391">
        <v>0</v>
      </c>
      <c r="I579" s="749">
        <v>0</v>
      </c>
      <c r="J579" s="391"/>
      <c r="K579" s="391">
        <v>0</v>
      </c>
      <c r="L579" s="391">
        <v>0</v>
      </c>
      <c r="M579" s="391">
        <v>0</v>
      </c>
      <c r="N579" s="391">
        <v>0</v>
      </c>
      <c r="O579" s="749">
        <v>0</v>
      </c>
      <c r="P579" s="391"/>
      <c r="Q579" s="391"/>
      <c r="R579" s="391"/>
      <c r="S579" s="749"/>
      <c r="T579" s="391">
        <v>27287237</v>
      </c>
      <c r="U579" s="749">
        <v>27287237</v>
      </c>
      <c r="V579" s="391">
        <v>0</v>
      </c>
      <c r="W579" s="749">
        <v>27287237</v>
      </c>
      <c r="X579" s="378"/>
      <c r="Y579" s="180"/>
      <c r="Z579" s="180"/>
      <c r="AA579" s="180"/>
      <c r="AB579" s="180"/>
    </row>
    <row r="580" spans="1:28" s="203" customFormat="1">
      <c r="A580" s="631"/>
      <c r="B580" s="389" t="s">
        <v>102</v>
      </c>
      <c r="C580" s="392">
        <v>0</v>
      </c>
      <c r="D580" s="392">
        <v>0</v>
      </c>
      <c r="E580" s="392">
        <v>0</v>
      </c>
      <c r="F580" s="392"/>
      <c r="G580" s="392">
        <v>0</v>
      </c>
      <c r="H580" s="392">
        <v>0</v>
      </c>
      <c r="I580" s="750">
        <v>0</v>
      </c>
      <c r="J580" s="392"/>
      <c r="K580" s="392">
        <v>0</v>
      </c>
      <c r="L580" s="392">
        <v>0</v>
      </c>
      <c r="M580" s="392">
        <v>0</v>
      </c>
      <c r="N580" s="392">
        <v>0</v>
      </c>
      <c r="O580" s="750">
        <v>0</v>
      </c>
      <c r="P580" s="392"/>
      <c r="Q580" s="392"/>
      <c r="R580" s="392"/>
      <c r="S580" s="750"/>
      <c r="T580" s="392">
        <v>26571246</v>
      </c>
      <c r="U580" s="750">
        <v>26571246</v>
      </c>
      <c r="V580" s="392">
        <v>0</v>
      </c>
      <c r="W580" s="750">
        <v>26571246</v>
      </c>
      <c r="X580" s="378"/>
      <c r="Y580" s="180"/>
      <c r="Z580" s="180"/>
      <c r="AA580" s="180"/>
      <c r="AB580" s="180"/>
    </row>
    <row r="581" spans="1:28" s="202" customFormat="1">
      <c r="A581" s="631"/>
      <c r="B581" s="634" t="s">
        <v>183</v>
      </c>
      <c r="C581" s="466">
        <v>0</v>
      </c>
      <c r="D581" s="466">
        <v>0</v>
      </c>
      <c r="E581" s="466">
        <v>0</v>
      </c>
      <c r="F581" s="466">
        <v>0</v>
      </c>
      <c r="G581" s="466">
        <v>0</v>
      </c>
      <c r="H581" s="466">
        <v>0</v>
      </c>
      <c r="I581" s="751">
        <v>0</v>
      </c>
      <c r="J581" s="466">
        <v>0</v>
      </c>
      <c r="K581" s="466">
        <v>0</v>
      </c>
      <c r="L581" s="466">
        <v>0</v>
      </c>
      <c r="M581" s="466">
        <v>0</v>
      </c>
      <c r="N581" s="466">
        <v>0</v>
      </c>
      <c r="O581" s="751">
        <v>0</v>
      </c>
      <c r="P581" s="466">
        <v>0</v>
      </c>
      <c r="Q581" s="466">
        <v>0</v>
      </c>
      <c r="R581" s="466">
        <v>0</v>
      </c>
      <c r="S581" s="751">
        <v>0</v>
      </c>
      <c r="T581" s="466">
        <v>-2.6239043549920424</v>
      </c>
      <c r="U581" s="751">
        <v>-2.6239043549920424</v>
      </c>
      <c r="V581" s="466">
        <v>0</v>
      </c>
      <c r="W581" s="751">
        <v>-2.6239043549920424</v>
      </c>
      <c r="X581" s="378"/>
      <c r="Y581" s="180"/>
      <c r="Z581" s="180"/>
      <c r="AA581" s="180"/>
      <c r="AB581" s="180"/>
    </row>
    <row r="582" spans="1:28">
      <c r="A582" s="631"/>
      <c r="B582" s="388" t="s">
        <v>78</v>
      </c>
      <c r="C582" s="391">
        <v>28277765</v>
      </c>
      <c r="D582" s="391">
        <v>38068870</v>
      </c>
      <c r="E582" s="391"/>
      <c r="F582" s="391"/>
      <c r="G582" s="391"/>
      <c r="H582" s="391"/>
      <c r="I582" s="749">
        <v>66346635</v>
      </c>
      <c r="J582" s="391"/>
      <c r="K582" s="391"/>
      <c r="L582" s="391"/>
      <c r="M582" s="391"/>
      <c r="N582" s="391"/>
      <c r="O582" s="749"/>
      <c r="P582" s="391"/>
      <c r="Q582" s="391"/>
      <c r="R582" s="391"/>
      <c r="S582" s="749"/>
      <c r="T582" s="391"/>
      <c r="U582" s="749"/>
      <c r="V582" s="391">
        <v>24145660</v>
      </c>
      <c r="W582" s="749">
        <v>90492295</v>
      </c>
      <c r="X582" s="378"/>
      <c r="Y582" s="180"/>
      <c r="Z582" s="180"/>
      <c r="AA582" s="180"/>
      <c r="AB582" s="180"/>
    </row>
    <row r="583" spans="1:28" s="203" customFormat="1">
      <c r="A583" s="631"/>
      <c r="B583" s="389" t="s">
        <v>80</v>
      </c>
      <c r="C583" s="392">
        <v>29203464</v>
      </c>
      <c r="D583" s="392">
        <v>32442308</v>
      </c>
      <c r="E583" s="392"/>
      <c r="F583" s="392"/>
      <c r="G583" s="392"/>
      <c r="H583" s="392"/>
      <c r="I583" s="750">
        <v>61645772</v>
      </c>
      <c r="J583" s="392"/>
      <c r="K583" s="392"/>
      <c r="L583" s="392"/>
      <c r="M583" s="392"/>
      <c r="N583" s="392"/>
      <c r="O583" s="750"/>
      <c r="P583" s="392"/>
      <c r="Q583" s="392"/>
      <c r="R583" s="392"/>
      <c r="S583" s="750"/>
      <c r="T583" s="392"/>
      <c r="U583" s="750"/>
      <c r="V583" s="392">
        <v>24398073</v>
      </c>
      <c r="W583" s="750">
        <v>86043845</v>
      </c>
      <c r="X583" s="378"/>
      <c r="Y583" s="180"/>
      <c r="Z583" s="180"/>
      <c r="AA583" s="180"/>
      <c r="AB583" s="180"/>
    </row>
    <row r="584" spans="1:28" s="202" customFormat="1">
      <c r="A584" s="631"/>
      <c r="B584" s="634" t="s">
        <v>215</v>
      </c>
      <c r="C584" s="466">
        <v>3.2735932277533251</v>
      </c>
      <c r="D584" s="466">
        <v>-14.779955380866308</v>
      </c>
      <c r="E584" s="466">
        <v>0</v>
      </c>
      <c r="F584" s="466">
        <v>0</v>
      </c>
      <c r="G584" s="466">
        <v>0</v>
      </c>
      <c r="H584" s="466">
        <v>0</v>
      </c>
      <c r="I584" s="751">
        <v>-7.0853073407566196</v>
      </c>
      <c r="J584" s="466">
        <v>0</v>
      </c>
      <c r="K584" s="466">
        <v>0</v>
      </c>
      <c r="L584" s="466">
        <v>0</v>
      </c>
      <c r="M584" s="466">
        <v>0</v>
      </c>
      <c r="N584" s="466">
        <v>0</v>
      </c>
      <c r="O584" s="751">
        <v>0</v>
      </c>
      <c r="P584" s="466">
        <v>0</v>
      </c>
      <c r="Q584" s="466">
        <v>0</v>
      </c>
      <c r="R584" s="466">
        <v>0</v>
      </c>
      <c r="S584" s="751">
        <v>0</v>
      </c>
      <c r="T584" s="466">
        <v>0</v>
      </c>
      <c r="U584" s="751">
        <v>0</v>
      </c>
      <c r="V584" s="466">
        <v>1.0453762705181799</v>
      </c>
      <c r="W584" s="751">
        <v>-4.9158328894189278</v>
      </c>
      <c r="X584" s="378"/>
      <c r="Y584" s="180"/>
      <c r="Z584" s="180"/>
      <c r="AA584" s="180"/>
      <c r="AB584" s="180"/>
    </row>
    <row r="585" spans="1:28">
      <c r="A585" s="631"/>
      <c r="B585" s="388" t="s">
        <v>81</v>
      </c>
      <c r="C585" s="391">
        <v>60279736</v>
      </c>
      <c r="D585" s="391">
        <v>43801240</v>
      </c>
      <c r="E585" s="391"/>
      <c r="F585" s="391"/>
      <c r="G585" s="391"/>
      <c r="H585" s="391"/>
      <c r="I585" s="749">
        <v>104080976</v>
      </c>
      <c r="J585" s="391"/>
      <c r="K585" s="391"/>
      <c r="L585" s="391"/>
      <c r="M585" s="391"/>
      <c r="N585" s="391"/>
      <c r="O585" s="749"/>
      <c r="P585" s="391"/>
      <c r="Q585" s="391"/>
      <c r="R585" s="391"/>
      <c r="S585" s="749"/>
      <c r="T585" s="391"/>
      <c r="U585" s="749"/>
      <c r="V585" s="391"/>
      <c r="W585" s="749">
        <v>104080976</v>
      </c>
      <c r="X585" s="378"/>
      <c r="Y585" s="180"/>
      <c r="Z585" s="180"/>
      <c r="AA585" s="180"/>
      <c r="AB585" s="180"/>
    </row>
    <row r="586" spans="1:28" s="203" customFormat="1">
      <c r="A586" s="631"/>
      <c r="B586" s="389" t="s">
        <v>318</v>
      </c>
      <c r="C586" s="392">
        <v>62749419</v>
      </c>
      <c r="D586" s="392">
        <v>46127046</v>
      </c>
      <c r="E586" s="392"/>
      <c r="F586" s="392"/>
      <c r="G586" s="392"/>
      <c r="H586" s="392"/>
      <c r="I586" s="750">
        <v>108876465</v>
      </c>
      <c r="J586" s="392"/>
      <c r="K586" s="392"/>
      <c r="L586" s="392"/>
      <c r="M586" s="392"/>
      <c r="N586" s="392"/>
      <c r="O586" s="750"/>
      <c r="P586" s="392"/>
      <c r="Q586" s="392"/>
      <c r="R586" s="392"/>
      <c r="S586" s="750"/>
      <c r="T586" s="392"/>
      <c r="U586" s="750"/>
      <c r="V586" s="392"/>
      <c r="W586" s="750">
        <v>108876465</v>
      </c>
      <c r="X586" s="378"/>
      <c r="Y586" s="180"/>
      <c r="Z586" s="180"/>
      <c r="AA586" s="180"/>
      <c r="AB586" s="180"/>
    </row>
    <row r="587" spans="1:28" s="202" customFormat="1">
      <c r="A587" s="631"/>
      <c r="B587" s="634" t="s">
        <v>236</v>
      </c>
      <c r="C587" s="466">
        <v>4.0970368549722913</v>
      </c>
      <c r="D587" s="466">
        <v>5.3099090345387481</v>
      </c>
      <c r="E587" s="466">
        <v>0</v>
      </c>
      <c r="F587" s="466">
        <v>0</v>
      </c>
      <c r="G587" s="466">
        <v>0</v>
      </c>
      <c r="H587" s="466">
        <v>0</v>
      </c>
      <c r="I587" s="751">
        <v>4.6074596763965783</v>
      </c>
      <c r="J587" s="466">
        <v>0</v>
      </c>
      <c r="K587" s="466">
        <v>0</v>
      </c>
      <c r="L587" s="466">
        <v>0</v>
      </c>
      <c r="M587" s="466">
        <v>0</v>
      </c>
      <c r="N587" s="466">
        <v>0</v>
      </c>
      <c r="O587" s="751">
        <v>0</v>
      </c>
      <c r="P587" s="466">
        <v>0</v>
      </c>
      <c r="Q587" s="466">
        <v>0</v>
      </c>
      <c r="R587" s="466">
        <v>0</v>
      </c>
      <c r="S587" s="751">
        <v>0</v>
      </c>
      <c r="T587" s="466">
        <v>0</v>
      </c>
      <c r="U587" s="751">
        <v>0</v>
      </c>
      <c r="V587" s="466">
        <v>0</v>
      </c>
      <c r="W587" s="751">
        <v>4.6074596763965783</v>
      </c>
      <c r="X587" s="378"/>
      <c r="Y587" s="180"/>
      <c r="Z587" s="180"/>
      <c r="AA587" s="180"/>
      <c r="AB587" s="180"/>
    </row>
    <row r="588" spans="1:28">
      <c r="A588" s="631"/>
      <c r="B588" s="388" t="s">
        <v>19</v>
      </c>
      <c r="C588" s="391">
        <v>1764246895</v>
      </c>
      <c r="D588" s="391">
        <v>609049104</v>
      </c>
      <c r="E588" s="391">
        <v>642080488</v>
      </c>
      <c r="F588" s="391"/>
      <c r="G588" s="391">
        <v>59274085</v>
      </c>
      <c r="H588" s="391">
        <v>20928945</v>
      </c>
      <c r="I588" s="749">
        <v>3095579517</v>
      </c>
      <c r="J588" s="391"/>
      <c r="K588" s="391">
        <v>0</v>
      </c>
      <c r="L588" s="391">
        <v>0</v>
      </c>
      <c r="M588" s="391">
        <v>9916846</v>
      </c>
      <c r="N588" s="391">
        <v>860142134</v>
      </c>
      <c r="O588" s="749">
        <v>870058980</v>
      </c>
      <c r="P588" s="391"/>
      <c r="Q588" s="391"/>
      <c r="R588" s="391"/>
      <c r="S588" s="749"/>
      <c r="T588" s="391">
        <v>0</v>
      </c>
      <c r="U588" s="749">
        <v>0</v>
      </c>
      <c r="V588" s="391">
        <v>89540826</v>
      </c>
      <c r="W588" s="749">
        <v>4055179323</v>
      </c>
      <c r="X588" s="378"/>
      <c r="Y588" s="180"/>
      <c r="Z588" s="180"/>
      <c r="AA588" s="180"/>
      <c r="AB588" s="180"/>
    </row>
    <row r="589" spans="1:28" s="203" customFormat="1">
      <c r="A589" s="631"/>
      <c r="B589" s="389" t="s">
        <v>21</v>
      </c>
      <c r="C589" s="392">
        <v>1892382107</v>
      </c>
      <c r="D589" s="392">
        <v>660977615</v>
      </c>
      <c r="E589" s="392">
        <v>656947911</v>
      </c>
      <c r="F589" s="392"/>
      <c r="G589" s="392">
        <v>63639149</v>
      </c>
      <c r="H589" s="392">
        <v>22187147</v>
      </c>
      <c r="I589" s="750">
        <v>3296133929</v>
      </c>
      <c r="J589" s="392"/>
      <c r="K589" s="392">
        <v>0</v>
      </c>
      <c r="L589" s="392">
        <v>0</v>
      </c>
      <c r="M589" s="392">
        <v>9810638</v>
      </c>
      <c r="N589" s="392">
        <v>891868326</v>
      </c>
      <c r="O589" s="750">
        <v>901678964</v>
      </c>
      <c r="P589" s="392"/>
      <c r="Q589" s="392"/>
      <c r="R589" s="392"/>
      <c r="S589" s="750"/>
      <c r="T589" s="392">
        <v>0</v>
      </c>
      <c r="U589" s="750">
        <v>0</v>
      </c>
      <c r="V589" s="392">
        <v>91925418</v>
      </c>
      <c r="W589" s="750">
        <v>4289738311</v>
      </c>
      <c r="X589" s="378"/>
      <c r="Y589" s="180"/>
      <c r="Z589" s="180"/>
      <c r="AA589" s="180"/>
      <c r="AB589" s="180"/>
    </row>
    <row r="590" spans="1:28" s="212" customFormat="1" ht="13.5" thickBot="1">
      <c r="A590" s="635"/>
      <c r="B590" s="761" t="s">
        <v>23</v>
      </c>
      <c r="C590" s="762">
        <v>7.262884370840851</v>
      </c>
      <c r="D590" s="762">
        <v>8.5261616278479906</v>
      </c>
      <c r="E590" s="762">
        <v>2.3155076782211763</v>
      </c>
      <c r="F590" s="762">
        <v>0</v>
      </c>
      <c r="G590" s="762">
        <v>7.3642030914521914</v>
      </c>
      <c r="H590" s="762">
        <v>6.0117793801837598</v>
      </c>
      <c r="I590" s="763">
        <v>6.478735593726956</v>
      </c>
      <c r="J590" s="762">
        <v>0</v>
      </c>
      <c r="K590" s="762">
        <v>0</v>
      </c>
      <c r="L590" s="762">
        <v>0</v>
      </c>
      <c r="M590" s="762">
        <v>-1.0709856742758737</v>
      </c>
      <c r="N590" s="762">
        <v>3.6884824898020865</v>
      </c>
      <c r="O590" s="763">
        <v>3.6342345435018673</v>
      </c>
      <c r="P590" s="762">
        <v>0</v>
      </c>
      <c r="Q590" s="762">
        <v>0</v>
      </c>
      <c r="R590" s="762">
        <v>0</v>
      </c>
      <c r="S590" s="763">
        <v>0</v>
      </c>
      <c r="T590" s="762">
        <v>0</v>
      </c>
      <c r="U590" s="763">
        <v>0</v>
      </c>
      <c r="V590" s="762">
        <v>2.663133797760588</v>
      </c>
      <c r="W590" s="763">
        <v>5.78418287619583</v>
      </c>
      <c r="X590" s="378"/>
      <c r="Y590" s="180"/>
      <c r="Z590" s="180"/>
      <c r="AA590" s="180"/>
      <c r="AB590" s="180"/>
    </row>
    <row r="591" spans="1:28" ht="13.5" thickTop="1">
      <c r="A591" s="230" t="s">
        <v>157</v>
      </c>
      <c r="B591" s="764" t="s">
        <v>190</v>
      </c>
      <c r="C591" s="765">
        <v>66460225</v>
      </c>
      <c r="D591" s="765"/>
      <c r="E591" s="765">
        <v>45819526</v>
      </c>
      <c r="F591" s="765"/>
      <c r="G591" s="765">
        <v>26116968</v>
      </c>
      <c r="H591" s="765">
        <v>50222475</v>
      </c>
      <c r="I591" s="766">
        <v>188619194</v>
      </c>
      <c r="J591" s="765">
        <v>14246880</v>
      </c>
      <c r="K591" s="765"/>
      <c r="L591" s="765">
        <v>13509901</v>
      </c>
      <c r="M591" s="765">
        <v>35566930</v>
      </c>
      <c r="N591" s="765"/>
      <c r="O591" s="766">
        <v>63323711</v>
      </c>
      <c r="P591" s="765"/>
      <c r="Q591" s="765"/>
      <c r="R591" s="765">
        <v>7890076</v>
      </c>
      <c r="S591" s="766">
        <v>7890076</v>
      </c>
      <c r="T591" s="765">
        <v>1088360</v>
      </c>
      <c r="U591" s="766">
        <v>1088360</v>
      </c>
      <c r="V591" s="765"/>
      <c r="W591" s="766">
        <v>260921341</v>
      </c>
      <c r="X591" s="378"/>
      <c r="Y591" s="180"/>
      <c r="Z591" s="180"/>
      <c r="AA591" s="180"/>
      <c r="AB591" s="180"/>
    </row>
    <row r="592" spans="1:28" s="203" customFormat="1">
      <c r="A592" s="631"/>
      <c r="B592" s="389" t="s">
        <v>4</v>
      </c>
      <c r="C592" s="392">
        <v>62596113</v>
      </c>
      <c r="D592" s="392"/>
      <c r="E592" s="392">
        <v>45331013</v>
      </c>
      <c r="F592" s="392"/>
      <c r="G592" s="392">
        <v>25683495</v>
      </c>
      <c r="H592" s="392">
        <v>49224863</v>
      </c>
      <c r="I592" s="750">
        <v>182835484</v>
      </c>
      <c r="J592" s="392">
        <v>13829245</v>
      </c>
      <c r="K592" s="392"/>
      <c r="L592" s="392">
        <v>13266333</v>
      </c>
      <c r="M592" s="392">
        <v>35008771</v>
      </c>
      <c r="N592" s="392"/>
      <c r="O592" s="750">
        <v>62104349</v>
      </c>
      <c r="P592" s="392"/>
      <c r="Q592" s="392"/>
      <c r="R592" s="392">
        <v>7948826</v>
      </c>
      <c r="S592" s="750">
        <v>7948826</v>
      </c>
      <c r="T592" s="392">
        <v>1288568</v>
      </c>
      <c r="U592" s="750">
        <v>1288568</v>
      </c>
      <c r="V592" s="392"/>
      <c r="W592" s="750">
        <v>254177227</v>
      </c>
      <c r="X592" s="378"/>
      <c r="Y592" s="180"/>
      <c r="Z592" s="180"/>
      <c r="AA592" s="180"/>
      <c r="AB592" s="180"/>
    </row>
    <row r="593" spans="1:28" s="202" customFormat="1">
      <c r="A593" s="632"/>
      <c r="B593" s="634" t="s">
        <v>116</v>
      </c>
      <c r="C593" s="466">
        <v>-5.814172311333583</v>
      </c>
      <c r="D593" s="466">
        <v>0</v>
      </c>
      <c r="E593" s="466">
        <v>-1.0661677294522864</v>
      </c>
      <c r="F593" s="466">
        <v>0</v>
      </c>
      <c r="G593" s="466">
        <v>-1.6597370720827933</v>
      </c>
      <c r="H593" s="466">
        <v>-1.9863855773734767</v>
      </c>
      <c r="I593" s="751">
        <v>-3.066342230261041</v>
      </c>
      <c r="J593" s="466">
        <v>-2.9314137551520054</v>
      </c>
      <c r="K593" s="466">
        <v>0</v>
      </c>
      <c r="L593" s="466">
        <v>-1.8028851580777681</v>
      </c>
      <c r="M593" s="466">
        <v>-1.5693201521750682</v>
      </c>
      <c r="N593" s="466">
        <v>0</v>
      </c>
      <c r="O593" s="751">
        <v>-1.9256009806500445</v>
      </c>
      <c r="P593" s="466">
        <v>0</v>
      </c>
      <c r="Q593" s="466">
        <v>0</v>
      </c>
      <c r="R593" s="466">
        <v>0.74460626234778982</v>
      </c>
      <c r="S593" s="751">
        <v>0.74460626234778982</v>
      </c>
      <c r="T593" s="1461">
        <v>18.395383880333714</v>
      </c>
      <c r="U593" s="751">
        <v>18.395383880333714</v>
      </c>
      <c r="V593" s="466">
        <v>0</v>
      </c>
      <c r="W593" s="751">
        <v>-2.5847306985901164</v>
      </c>
      <c r="X593" s="378"/>
      <c r="Y593" s="180"/>
      <c r="Z593" s="180"/>
      <c r="AA593" s="180"/>
      <c r="AB593" s="180"/>
    </row>
    <row r="594" spans="1:28">
      <c r="A594" s="631"/>
      <c r="B594" s="388" t="s">
        <v>195</v>
      </c>
      <c r="C594" s="391">
        <v>41642415</v>
      </c>
      <c r="D594" s="391"/>
      <c r="E594" s="391">
        <v>2746041</v>
      </c>
      <c r="F594" s="391"/>
      <c r="G594" s="391">
        <v>100000</v>
      </c>
      <c r="H594" s="391">
        <v>700000</v>
      </c>
      <c r="I594" s="749">
        <v>45188456</v>
      </c>
      <c r="J594" s="391">
        <v>207500</v>
      </c>
      <c r="K594" s="391"/>
      <c r="L594" s="391"/>
      <c r="M594" s="391">
        <v>480000</v>
      </c>
      <c r="N594" s="391"/>
      <c r="O594" s="749">
        <v>687500</v>
      </c>
      <c r="P594" s="391"/>
      <c r="Q594" s="391"/>
      <c r="R594" s="391"/>
      <c r="S594" s="749"/>
      <c r="T594" s="391"/>
      <c r="U594" s="749"/>
      <c r="V594" s="391">
        <v>305478</v>
      </c>
      <c r="W594" s="749">
        <v>46181434</v>
      </c>
      <c r="X594" s="378"/>
      <c r="Y594" s="180"/>
      <c r="Z594" s="180"/>
      <c r="AA594" s="180"/>
      <c r="AB594" s="180"/>
    </row>
    <row r="595" spans="1:28" s="203" customFormat="1">
      <c r="A595" s="631"/>
      <c r="B595" s="389" t="s">
        <v>242</v>
      </c>
      <c r="C595" s="392">
        <v>43462788</v>
      </c>
      <c r="D595" s="392"/>
      <c r="E595" s="392">
        <v>2511466</v>
      </c>
      <c r="F595" s="392"/>
      <c r="G595" s="392">
        <v>100000</v>
      </c>
      <c r="H595" s="392">
        <v>700000</v>
      </c>
      <c r="I595" s="750">
        <v>46774254</v>
      </c>
      <c r="J595" s="392">
        <v>207500</v>
      </c>
      <c r="K595" s="392"/>
      <c r="L595" s="392"/>
      <c r="M595" s="392">
        <v>480000</v>
      </c>
      <c r="N595" s="392"/>
      <c r="O595" s="750">
        <v>687500</v>
      </c>
      <c r="P595" s="392"/>
      <c r="Q595" s="392"/>
      <c r="R595" s="392"/>
      <c r="S595" s="750"/>
      <c r="T595" s="392"/>
      <c r="U595" s="750"/>
      <c r="V595" s="392">
        <v>296920</v>
      </c>
      <c r="W595" s="750">
        <v>47758674</v>
      </c>
      <c r="X595" s="378"/>
      <c r="Y595" s="180"/>
      <c r="Z595" s="180"/>
      <c r="AA595" s="180"/>
      <c r="AB595" s="180"/>
    </row>
    <row r="596" spans="1:28" s="202" customFormat="1">
      <c r="A596" s="631"/>
      <c r="B596" s="634" t="s">
        <v>244</v>
      </c>
      <c r="C596" s="466">
        <v>4.3714395526772396</v>
      </c>
      <c r="D596" s="466">
        <v>0</v>
      </c>
      <c r="E596" s="466">
        <v>-8.5422978025455549</v>
      </c>
      <c r="F596" s="466">
        <v>0</v>
      </c>
      <c r="G596" s="466">
        <v>0</v>
      </c>
      <c r="H596" s="466">
        <v>0</v>
      </c>
      <c r="I596" s="751">
        <v>3.5092989236011958</v>
      </c>
      <c r="J596" s="466">
        <v>0</v>
      </c>
      <c r="K596" s="466">
        <v>0</v>
      </c>
      <c r="L596" s="466">
        <v>0</v>
      </c>
      <c r="M596" s="466">
        <v>0</v>
      </c>
      <c r="N596" s="466">
        <v>0</v>
      </c>
      <c r="O596" s="751">
        <v>0</v>
      </c>
      <c r="P596" s="466">
        <v>0</v>
      </c>
      <c r="Q596" s="466">
        <v>0</v>
      </c>
      <c r="R596" s="466">
        <v>0</v>
      </c>
      <c r="S596" s="751">
        <v>0</v>
      </c>
      <c r="T596" s="466">
        <v>0</v>
      </c>
      <c r="U596" s="751">
        <v>0</v>
      </c>
      <c r="V596" s="466">
        <v>-2.8015110744472596</v>
      </c>
      <c r="W596" s="751">
        <v>3.4153118761968284</v>
      </c>
      <c r="X596" s="378"/>
      <c r="Y596" s="180"/>
      <c r="Z596" s="180"/>
      <c r="AA596" s="180"/>
      <c r="AB596" s="180"/>
    </row>
    <row r="597" spans="1:28">
      <c r="A597" s="631"/>
      <c r="B597" s="388" t="s">
        <v>5</v>
      </c>
      <c r="C597" s="391"/>
      <c r="D597" s="391"/>
      <c r="E597" s="391"/>
      <c r="F597" s="391"/>
      <c r="G597" s="391"/>
      <c r="H597" s="391"/>
      <c r="I597" s="749"/>
      <c r="J597" s="391"/>
      <c r="K597" s="391"/>
      <c r="L597" s="391"/>
      <c r="M597" s="391"/>
      <c r="N597" s="391"/>
      <c r="O597" s="749"/>
      <c r="P597" s="391"/>
      <c r="Q597" s="391"/>
      <c r="R597" s="391"/>
      <c r="S597" s="749"/>
      <c r="T597" s="391"/>
      <c r="U597" s="749"/>
      <c r="V597" s="391"/>
      <c r="W597" s="749"/>
      <c r="X597" s="378"/>
      <c r="Y597" s="180"/>
      <c r="Z597" s="180"/>
      <c r="AA597" s="180"/>
      <c r="AB597" s="180"/>
    </row>
    <row r="598" spans="1:28" s="203" customFormat="1">
      <c r="A598" s="631"/>
      <c r="B598" s="389" t="s">
        <v>6</v>
      </c>
      <c r="C598" s="392"/>
      <c r="D598" s="392"/>
      <c r="E598" s="392"/>
      <c r="F598" s="392"/>
      <c r="G598" s="392"/>
      <c r="H598" s="392"/>
      <c r="I598" s="750"/>
      <c r="J598" s="392"/>
      <c r="K598" s="392"/>
      <c r="L598" s="392"/>
      <c r="M598" s="392"/>
      <c r="N598" s="392"/>
      <c r="O598" s="750"/>
      <c r="P598" s="392"/>
      <c r="Q598" s="392"/>
      <c r="R598" s="392"/>
      <c r="S598" s="750"/>
      <c r="T598" s="392"/>
      <c r="U598" s="750"/>
      <c r="V598" s="392"/>
      <c r="W598" s="750"/>
      <c r="X598" s="378"/>
      <c r="Y598" s="180"/>
      <c r="Z598" s="180"/>
      <c r="AA598" s="180"/>
      <c r="AB598" s="180"/>
    </row>
    <row r="599" spans="1:28" s="202" customFormat="1">
      <c r="A599" s="631"/>
      <c r="B599" s="634" t="s">
        <v>298</v>
      </c>
      <c r="C599" s="466">
        <v>0</v>
      </c>
      <c r="D599" s="466">
        <v>0</v>
      </c>
      <c r="E599" s="466">
        <v>0</v>
      </c>
      <c r="F599" s="466">
        <v>0</v>
      </c>
      <c r="G599" s="466">
        <v>0</v>
      </c>
      <c r="H599" s="466">
        <v>0</v>
      </c>
      <c r="I599" s="751">
        <v>0</v>
      </c>
      <c r="J599" s="466">
        <v>0</v>
      </c>
      <c r="K599" s="466">
        <v>0</v>
      </c>
      <c r="L599" s="466">
        <v>0</v>
      </c>
      <c r="M599" s="466">
        <v>0</v>
      </c>
      <c r="N599" s="466">
        <v>0</v>
      </c>
      <c r="O599" s="751">
        <v>0</v>
      </c>
      <c r="P599" s="466">
        <v>0</v>
      </c>
      <c r="Q599" s="466">
        <v>0</v>
      </c>
      <c r="R599" s="466">
        <v>0</v>
      </c>
      <c r="S599" s="751">
        <v>0</v>
      </c>
      <c r="T599" s="466">
        <v>0</v>
      </c>
      <c r="U599" s="751">
        <v>0</v>
      </c>
      <c r="V599" s="466">
        <v>0</v>
      </c>
      <c r="W599" s="751">
        <v>0</v>
      </c>
      <c r="X599" s="378"/>
      <c r="Y599" s="180"/>
      <c r="Z599" s="180"/>
      <c r="AA599" s="180"/>
      <c r="AB599" s="180"/>
    </row>
    <row r="600" spans="1:28">
      <c r="A600" s="631"/>
      <c r="B600" s="388" t="s">
        <v>223</v>
      </c>
      <c r="C600" s="391">
        <v>288649003</v>
      </c>
      <c r="D600" s="391"/>
      <c r="E600" s="391">
        <v>89336470</v>
      </c>
      <c r="F600" s="391"/>
      <c r="G600" s="391">
        <v>49900498</v>
      </c>
      <c r="H600" s="391">
        <v>78473773</v>
      </c>
      <c r="I600" s="749">
        <v>506359744</v>
      </c>
      <c r="J600" s="391">
        <v>17872334</v>
      </c>
      <c r="K600" s="391"/>
      <c r="L600" s="391">
        <v>17986043</v>
      </c>
      <c r="M600" s="391">
        <v>36677665</v>
      </c>
      <c r="N600" s="391"/>
      <c r="O600" s="749">
        <v>72536042</v>
      </c>
      <c r="P600" s="391"/>
      <c r="Q600" s="391"/>
      <c r="R600" s="391"/>
      <c r="S600" s="749"/>
      <c r="T600" s="391"/>
      <c r="U600" s="749"/>
      <c r="V600" s="391"/>
      <c r="W600" s="749">
        <v>578895786</v>
      </c>
      <c r="X600" s="378"/>
      <c r="Y600" s="180"/>
      <c r="Z600" s="180"/>
      <c r="AA600" s="180"/>
      <c r="AB600" s="180"/>
    </row>
    <row r="601" spans="1:28" s="203" customFormat="1">
      <c r="A601" s="631"/>
      <c r="B601" s="389" t="s">
        <v>14</v>
      </c>
      <c r="C601" s="392">
        <v>315738344</v>
      </c>
      <c r="D601" s="392"/>
      <c r="E601" s="392">
        <v>94371467</v>
      </c>
      <c r="F601" s="392"/>
      <c r="G601" s="392">
        <v>52863798</v>
      </c>
      <c r="H601" s="392">
        <v>81920628</v>
      </c>
      <c r="I601" s="750">
        <v>544894237</v>
      </c>
      <c r="J601" s="392">
        <v>19065801.399999999</v>
      </c>
      <c r="K601" s="392"/>
      <c r="L601" s="392">
        <v>18867894</v>
      </c>
      <c r="M601" s="392">
        <v>38922897.5</v>
      </c>
      <c r="N601" s="392"/>
      <c r="O601" s="750">
        <v>76856592.900000006</v>
      </c>
      <c r="P601" s="392"/>
      <c r="Q601" s="392"/>
      <c r="R601" s="392"/>
      <c r="S601" s="750"/>
      <c r="T601" s="392"/>
      <c r="U601" s="750"/>
      <c r="V601" s="392"/>
      <c r="W601" s="750">
        <v>621750829.89999998</v>
      </c>
      <c r="X601" s="378"/>
      <c r="Y601" s="180"/>
      <c r="Z601" s="180"/>
      <c r="AA601" s="180"/>
      <c r="AB601" s="180"/>
    </row>
    <row r="602" spans="1:28" s="202" customFormat="1">
      <c r="A602" s="631"/>
      <c r="B602" s="634" t="s">
        <v>247</v>
      </c>
      <c r="C602" s="466">
        <v>9.3848725332337271</v>
      </c>
      <c r="D602" s="466">
        <v>0</v>
      </c>
      <c r="E602" s="466">
        <v>5.6359927809997421</v>
      </c>
      <c r="F602" s="466">
        <v>0</v>
      </c>
      <c r="G602" s="466">
        <v>5.938417688737295</v>
      </c>
      <c r="H602" s="466">
        <v>4.3923655869076157</v>
      </c>
      <c r="I602" s="751">
        <v>7.6101019989456358</v>
      </c>
      <c r="J602" s="466">
        <v>6.6777366627100783</v>
      </c>
      <c r="K602" s="466">
        <v>0</v>
      </c>
      <c r="L602" s="466">
        <v>4.9029739337329508</v>
      </c>
      <c r="M602" s="466">
        <v>6.1215251843322083</v>
      </c>
      <c r="N602" s="466">
        <v>0</v>
      </c>
      <c r="O602" s="751">
        <v>5.9564194307707137</v>
      </c>
      <c r="P602" s="466">
        <v>0</v>
      </c>
      <c r="Q602" s="466">
        <v>0</v>
      </c>
      <c r="R602" s="466">
        <v>0</v>
      </c>
      <c r="S602" s="751">
        <v>0</v>
      </c>
      <c r="T602" s="466">
        <v>0</v>
      </c>
      <c r="U602" s="751">
        <v>0</v>
      </c>
      <c r="V602" s="466">
        <v>0</v>
      </c>
      <c r="W602" s="751">
        <v>7.4028944304666222</v>
      </c>
      <c r="X602" s="378"/>
      <c r="Y602" s="180"/>
      <c r="Z602" s="180"/>
      <c r="AA602" s="180"/>
      <c r="AB602" s="180"/>
    </row>
    <row r="603" spans="1:28">
      <c r="A603" s="631"/>
      <c r="B603" s="388" t="s">
        <v>225</v>
      </c>
      <c r="C603" s="391">
        <v>10614313</v>
      </c>
      <c r="D603" s="391"/>
      <c r="E603" s="391">
        <v>2454065</v>
      </c>
      <c r="F603" s="391"/>
      <c r="G603" s="391">
        <v>2158358</v>
      </c>
      <c r="H603" s="391">
        <v>878670</v>
      </c>
      <c r="I603" s="749">
        <v>16105406</v>
      </c>
      <c r="J603" s="391">
        <v>0</v>
      </c>
      <c r="K603" s="391"/>
      <c r="L603" s="391"/>
      <c r="M603" s="391">
        <v>213285</v>
      </c>
      <c r="N603" s="391"/>
      <c r="O603" s="749">
        <v>213285</v>
      </c>
      <c r="P603" s="391"/>
      <c r="Q603" s="391"/>
      <c r="R603" s="391"/>
      <c r="S603" s="749"/>
      <c r="T603" s="391"/>
      <c r="U603" s="749"/>
      <c r="V603" s="391"/>
      <c r="W603" s="749">
        <v>16318691</v>
      </c>
      <c r="X603" s="378"/>
      <c r="Y603" s="180"/>
      <c r="Z603" s="180"/>
      <c r="AA603" s="180"/>
      <c r="AB603" s="180"/>
    </row>
    <row r="604" spans="1:28" s="203" customFormat="1">
      <c r="A604" s="631"/>
      <c r="B604" s="389" t="s">
        <v>166</v>
      </c>
      <c r="C604" s="392">
        <v>10618613</v>
      </c>
      <c r="D604" s="392"/>
      <c r="E604" s="392">
        <v>2448645</v>
      </c>
      <c r="F604" s="392"/>
      <c r="G604" s="392">
        <v>2159235</v>
      </c>
      <c r="H604" s="392">
        <v>882787</v>
      </c>
      <c r="I604" s="750">
        <v>16109280</v>
      </c>
      <c r="J604" s="392"/>
      <c r="K604" s="392"/>
      <c r="L604" s="392"/>
      <c r="M604" s="392">
        <v>212805</v>
      </c>
      <c r="N604" s="392"/>
      <c r="O604" s="750">
        <v>212805</v>
      </c>
      <c r="P604" s="392"/>
      <c r="Q604" s="392"/>
      <c r="R604" s="392"/>
      <c r="S604" s="750"/>
      <c r="T604" s="392"/>
      <c r="U604" s="750"/>
      <c r="V604" s="392"/>
      <c r="W604" s="750">
        <v>16322085</v>
      </c>
      <c r="X604" s="378"/>
      <c r="Y604" s="180"/>
      <c r="Z604" s="180"/>
      <c r="AA604" s="180"/>
      <c r="AB604" s="180"/>
    </row>
    <row r="605" spans="1:28" s="202" customFormat="1">
      <c r="A605" s="631"/>
      <c r="B605" s="634" t="s">
        <v>175</v>
      </c>
      <c r="C605" s="466">
        <v>4.0511335966821403E-2</v>
      </c>
      <c r="D605" s="466">
        <v>0</v>
      </c>
      <c r="E605" s="466">
        <v>-0.22085804573228501</v>
      </c>
      <c r="F605" s="466">
        <v>0</v>
      </c>
      <c r="G605" s="466">
        <v>4.0632740259030249E-2</v>
      </c>
      <c r="H605" s="466">
        <v>0.46854905709765893</v>
      </c>
      <c r="I605" s="751">
        <v>2.4054035024016162E-2</v>
      </c>
      <c r="J605" s="466">
        <v>0</v>
      </c>
      <c r="K605" s="466">
        <v>0</v>
      </c>
      <c r="L605" s="466">
        <v>0</v>
      </c>
      <c r="M605" s="466">
        <v>-0.2250509881144947</v>
      </c>
      <c r="N605" s="466">
        <v>0</v>
      </c>
      <c r="O605" s="751">
        <v>-0.2250509881144947</v>
      </c>
      <c r="P605" s="466">
        <v>0</v>
      </c>
      <c r="Q605" s="466">
        <v>0</v>
      </c>
      <c r="R605" s="466">
        <v>0</v>
      </c>
      <c r="S605" s="751">
        <v>0</v>
      </c>
      <c r="T605" s="466">
        <v>0</v>
      </c>
      <c r="U605" s="751">
        <v>0</v>
      </c>
      <c r="V605" s="466">
        <v>0</v>
      </c>
      <c r="W605" s="751">
        <v>2.0798236819362534E-2</v>
      </c>
      <c r="X605" s="378"/>
      <c r="Y605" s="180"/>
      <c r="Z605" s="180"/>
      <c r="AA605" s="180"/>
      <c r="AB605" s="180"/>
    </row>
    <row r="606" spans="1:28">
      <c r="A606" s="631"/>
      <c r="B606" s="752" t="s">
        <v>317</v>
      </c>
      <c r="C606" s="749">
        <v>299263316</v>
      </c>
      <c r="D606" s="749"/>
      <c r="E606" s="749">
        <v>91790535</v>
      </c>
      <c r="F606" s="749"/>
      <c r="G606" s="749">
        <v>52058856</v>
      </c>
      <c r="H606" s="749">
        <v>79352443</v>
      </c>
      <c r="I606" s="749">
        <v>522465150</v>
      </c>
      <c r="J606" s="749">
        <v>17872334</v>
      </c>
      <c r="K606" s="749"/>
      <c r="L606" s="749">
        <v>17986043</v>
      </c>
      <c r="M606" s="749">
        <v>36890950</v>
      </c>
      <c r="N606" s="749"/>
      <c r="O606" s="749">
        <v>72749327</v>
      </c>
      <c r="P606" s="749"/>
      <c r="Q606" s="749"/>
      <c r="R606" s="749">
        <v>0</v>
      </c>
      <c r="S606" s="749">
        <v>0</v>
      </c>
      <c r="T606" s="749">
        <v>0</v>
      </c>
      <c r="U606" s="749">
        <v>0</v>
      </c>
      <c r="V606" s="749">
        <v>0</v>
      </c>
      <c r="W606" s="749">
        <v>595214477</v>
      </c>
      <c r="X606" s="378"/>
      <c r="Y606" s="180"/>
      <c r="Z606" s="180"/>
      <c r="AA606" s="180"/>
      <c r="AB606" s="180"/>
    </row>
    <row r="607" spans="1:28" s="203" customFormat="1">
      <c r="A607" s="631"/>
      <c r="B607" s="753" t="s">
        <v>70</v>
      </c>
      <c r="C607" s="750">
        <v>326356957</v>
      </c>
      <c r="D607" s="750"/>
      <c r="E607" s="750">
        <v>96820112</v>
      </c>
      <c r="F607" s="750"/>
      <c r="G607" s="750">
        <v>55023033</v>
      </c>
      <c r="H607" s="750">
        <v>82803415</v>
      </c>
      <c r="I607" s="750">
        <v>561003517</v>
      </c>
      <c r="J607" s="750">
        <v>19065801.399999999</v>
      </c>
      <c r="K607" s="750"/>
      <c r="L607" s="750">
        <v>18867894</v>
      </c>
      <c r="M607" s="750">
        <v>39135702.5</v>
      </c>
      <c r="N607" s="750"/>
      <c r="O607" s="750">
        <v>77069397.900000006</v>
      </c>
      <c r="P607" s="750"/>
      <c r="Q607" s="750"/>
      <c r="R607" s="750">
        <v>0</v>
      </c>
      <c r="S607" s="750">
        <v>0</v>
      </c>
      <c r="T607" s="750">
        <v>0</v>
      </c>
      <c r="U607" s="750">
        <v>0</v>
      </c>
      <c r="V607" s="750">
        <v>0</v>
      </c>
      <c r="W607" s="750">
        <v>638072914.89999998</v>
      </c>
      <c r="X607" s="378"/>
      <c r="Y607" s="180"/>
      <c r="Z607" s="180"/>
      <c r="AA607" s="180"/>
      <c r="AB607" s="180"/>
    </row>
    <row r="608" spans="1:28" s="202" customFormat="1">
      <c r="A608" s="631"/>
      <c r="B608" s="754" t="s">
        <v>57</v>
      </c>
      <c r="C608" s="751">
        <v>9.0534454279722016</v>
      </c>
      <c r="D608" s="751">
        <v>0</v>
      </c>
      <c r="E608" s="751">
        <v>5.4794069998611512</v>
      </c>
      <c r="F608" s="751">
        <v>0</v>
      </c>
      <c r="G608" s="751">
        <v>5.6938957705870452</v>
      </c>
      <c r="H608" s="751">
        <v>4.3489171467600567</v>
      </c>
      <c r="I608" s="751">
        <v>7.3762560048263506</v>
      </c>
      <c r="J608" s="751">
        <v>6.6777366627100783</v>
      </c>
      <c r="K608" s="751">
        <v>0</v>
      </c>
      <c r="L608" s="751">
        <v>4.9029739337329508</v>
      </c>
      <c r="M608" s="751">
        <v>6.0848324589092995</v>
      </c>
      <c r="N608" s="751">
        <v>0</v>
      </c>
      <c r="O608" s="751">
        <v>5.9382967212878901</v>
      </c>
      <c r="P608" s="751">
        <v>0</v>
      </c>
      <c r="Q608" s="751">
        <v>0</v>
      </c>
      <c r="R608" s="751">
        <v>0</v>
      </c>
      <c r="S608" s="751">
        <v>0</v>
      </c>
      <c r="T608" s="751">
        <v>0</v>
      </c>
      <c r="U608" s="751">
        <v>0</v>
      </c>
      <c r="V608" s="751">
        <v>0</v>
      </c>
      <c r="W608" s="751">
        <v>7.2005032733771994</v>
      </c>
      <c r="X608" s="378"/>
      <c r="Y608" s="180"/>
      <c r="Z608" s="180"/>
      <c r="AA608" s="180"/>
      <c r="AB608" s="180"/>
    </row>
    <row r="609" spans="1:28">
      <c r="A609" s="631"/>
      <c r="B609" s="388" t="s">
        <v>72</v>
      </c>
      <c r="C609" s="391"/>
      <c r="D609" s="391"/>
      <c r="E609" s="391"/>
      <c r="F609" s="391"/>
      <c r="G609" s="391"/>
      <c r="H609" s="391"/>
      <c r="I609" s="749"/>
      <c r="J609" s="391"/>
      <c r="K609" s="391"/>
      <c r="L609" s="391"/>
      <c r="M609" s="391"/>
      <c r="N609" s="391"/>
      <c r="O609" s="749"/>
      <c r="P609" s="391"/>
      <c r="Q609" s="391"/>
      <c r="R609" s="391"/>
      <c r="S609" s="749"/>
      <c r="T609" s="391"/>
      <c r="U609" s="749"/>
      <c r="V609" s="391">
        <v>110976718</v>
      </c>
      <c r="W609" s="749">
        <v>110976718</v>
      </c>
      <c r="X609" s="378"/>
      <c r="Y609" s="180"/>
      <c r="Z609" s="180"/>
      <c r="AA609" s="180"/>
      <c r="AB609" s="180"/>
    </row>
    <row r="610" spans="1:28" s="203" customFormat="1">
      <c r="A610" s="631"/>
      <c r="B610" s="389" t="s">
        <v>74</v>
      </c>
      <c r="C610" s="392"/>
      <c r="D610" s="392"/>
      <c r="E610" s="392"/>
      <c r="F610" s="392"/>
      <c r="G610" s="392"/>
      <c r="H610" s="392"/>
      <c r="I610" s="750"/>
      <c r="J610" s="392"/>
      <c r="K610" s="392"/>
      <c r="L610" s="392"/>
      <c r="M610" s="392"/>
      <c r="N610" s="392"/>
      <c r="O610" s="750"/>
      <c r="P610" s="392"/>
      <c r="Q610" s="392"/>
      <c r="R610" s="392"/>
      <c r="S610" s="750"/>
      <c r="T610" s="392"/>
      <c r="U610" s="750"/>
      <c r="V610" s="392">
        <v>112365118</v>
      </c>
      <c r="W610" s="750">
        <v>112365118</v>
      </c>
      <c r="X610" s="378"/>
      <c r="Y610" s="180"/>
      <c r="Z610" s="180"/>
      <c r="AA610" s="180"/>
      <c r="AB610" s="180"/>
    </row>
    <row r="611" spans="1:28" s="202" customFormat="1">
      <c r="A611" s="631"/>
      <c r="B611" s="634" t="s">
        <v>76</v>
      </c>
      <c r="C611" s="466">
        <v>0</v>
      </c>
      <c r="D611" s="466">
        <v>0</v>
      </c>
      <c r="E611" s="466">
        <v>0</v>
      </c>
      <c r="F611" s="466">
        <v>0</v>
      </c>
      <c r="G611" s="466">
        <v>0</v>
      </c>
      <c r="H611" s="466">
        <v>0</v>
      </c>
      <c r="I611" s="751">
        <v>0</v>
      </c>
      <c r="J611" s="466">
        <v>0</v>
      </c>
      <c r="K611" s="466">
        <v>0</v>
      </c>
      <c r="L611" s="466">
        <v>0</v>
      </c>
      <c r="M611" s="466">
        <v>0</v>
      </c>
      <c r="N611" s="466">
        <v>0</v>
      </c>
      <c r="O611" s="751">
        <v>0</v>
      </c>
      <c r="P611" s="466">
        <v>0</v>
      </c>
      <c r="Q611" s="466">
        <v>0</v>
      </c>
      <c r="R611" s="466">
        <v>0</v>
      </c>
      <c r="S611" s="751">
        <v>0</v>
      </c>
      <c r="T611" s="466">
        <v>0</v>
      </c>
      <c r="U611" s="751">
        <v>0</v>
      </c>
      <c r="V611" s="466">
        <v>1.2510732206010995</v>
      </c>
      <c r="W611" s="751">
        <v>1.2510732206010995</v>
      </c>
      <c r="X611" s="378"/>
      <c r="Y611" s="180"/>
      <c r="Z611" s="180"/>
      <c r="AA611" s="180"/>
      <c r="AB611" s="180"/>
    </row>
    <row r="612" spans="1:28">
      <c r="A612" s="631"/>
      <c r="B612" s="388" t="s">
        <v>240</v>
      </c>
      <c r="C612" s="391"/>
      <c r="D612" s="391"/>
      <c r="E612" s="391"/>
      <c r="F612" s="391"/>
      <c r="G612" s="391"/>
      <c r="H612" s="391"/>
      <c r="I612" s="749"/>
      <c r="J612" s="391"/>
      <c r="K612" s="391"/>
      <c r="L612" s="391"/>
      <c r="M612" s="391"/>
      <c r="N612" s="391"/>
      <c r="O612" s="749"/>
      <c r="P612" s="391"/>
      <c r="Q612" s="391"/>
      <c r="R612" s="391"/>
      <c r="S612" s="749"/>
      <c r="T612" s="391"/>
      <c r="U612" s="749"/>
      <c r="V612" s="391"/>
      <c r="W612" s="749"/>
      <c r="X612" s="378"/>
      <c r="Y612" s="180"/>
      <c r="Z612" s="180"/>
      <c r="AA612" s="180"/>
      <c r="AB612" s="180"/>
    </row>
    <row r="613" spans="1:28" s="203" customFormat="1">
      <c r="A613" s="631"/>
      <c r="B613" s="389" t="s">
        <v>163</v>
      </c>
      <c r="C613" s="392"/>
      <c r="D613" s="392"/>
      <c r="E613" s="392"/>
      <c r="F613" s="392"/>
      <c r="G613" s="392"/>
      <c r="H613" s="392"/>
      <c r="I613" s="750"/>
      <c r="J613" s="392"/>
      <c r="K613" s="392"/>
      <c r="L613" s="392"/>
      <c r="M613" s="392"/>
      <c r="N613" s="392"/>
      <c r="O613" s="750"/>
      <c r="P613" s="392"/>
      <c r="Q613" s="392"/>
      <c r="R613" s="392"/>
      <c r="S613" s="750"/>
      <c r="T613" s="392"/>
      <c r="U613" s="750"/>
      <c r="V613" s="392"/>
      <c r="W613" s="750"/>
      <c r="X613" s="378"/>
      <c r="Y613" s="180"/>
      <c r="Z613" s="180"/>
      <c r="AA613" s="180"/>
      <c r="AB613" s="180"/>
    </row>
    <row r="614" spans="1:28" s="202" customFormat="1">
      <c r="A614" s="631"/>
      <c r="B614" s="634" t="s">
        <v>59</v>
      </c>
      <c r="C614" s="466">
        <v>0</v>
      </c>
      <c r="D614" s="466">
        <v>0</v>
      </c>
      <c r="E614" s="466">
        <v>0</v>
      </c>
      <c r="F614" s="466">
        <v>0</v>
      </c>
      <c r="G614" s="466">
        <v>0</v>
      </c>
      <c r="H614" s="466">
        <v>0</v>
      </c>
      <c r="I614" s="751">
        <v>0</v>
      </c>
      <c r="J614" s="466">
        <v>0</v>
      </c>
      <c r="K614" s="466">
        <v>0</v>
      </c>
      <c r="L614" s="466">
        <v>0</v>
      </c>
      <c r="M614" s="466">
        <v>0</v>
      </c>
      <c r="N614" s="466">
        <v>0</v>
      </c>
      <c r="O614" s="751">
        <v>0</v>
      </c>
      <c r="P614" s="466">
        <v>0</v>
      </c>
      <c r="Q614" s="466">
        <v>0</v>
      </c>
      <c r="R614" s="466">
        <v>0</v>
      </c>
      <c r="S614" s="751">
        <v>0</v>
      </c>
      <c r="T614" s="466">
        <v>0</v>
      </c>
      <c r="U614" s="751">
        <v>0</v>
      </c>
      <c r="V614" s="466">
        <v>0</v>
      </c>
      <c r="W614" s="751">
        <v>0</v>
      </c>
      <c r="X614" s="378"/>
      <c r="Y614" s="180"/>
      <c r="Z614" s="180"/>
      <c r="AA614" s="180"/>
      <c r="AB614" s="180"/>
    </row>
    <row r="615" spans="1:28">
      <c r="A615" s="631"/>
      <c r="B615" s="388" t="s">
        <v>159</v>
      </c>
      <c r="C615" s="391"/>
      <c r="D615" s="391"/>
      <c r="E615" s="391"/>
      <c r="F615" s="391"/>
      <c r="G615" s="391"/>
      <c r="H615" s="391"/>
      <c r="I615" s="749"/>
      <c r="J615" s="391"/>
      <c r="K615" s="391"/>
      <c r="L615" s="391"/>
      <c r="M615" s="391"/>
      <c r="N615" s="391"/>
      <c r="O615" s="749"/>
      <c r="P615" s="391"/>
      <c r="Q615" s="391"/>
      <c r="R615" s="391"/>
      <c r="S615" s="749"/>
      <c r="T615" s="391"/>
      <c r="U615" s="749"/>
      <c r="V615" s="391"/>
      <c r="W615" s="749"/>
      <c r="X615" s="378"/>
      <c r="Y615" s="180"/>
      <c r="Z615" s="180"/>
      <c r="AA615" s="180"/>
      <c r="AB615" s="180"/>
    </row>
    <row r="616" spans="1:28" s="203" customFormat="1">
      <c r="A616" s="631"/>
      <c r="B616" s="389" t="s">
        <v>100</v>
      </c>
      <c r="C616" s="392"/>
      <c r="D616" s="392"/>
      <c r="E616" s="392"/>
      <c r="F616" s="392"/>
      <c r="G616" s="392"/>
      <c r="H616" s="392"/>
      <c r="I616" s="750"/>
      <c r="J616" s="392"/>
      <c r="K616" s="392"/>
      <c r="L616" s="392"/>
      <c r="M616" s="392"/>
      <c r="N616" s="392"/>
      <c r="O616" s="750"/>
      <c r="P616" s="392"/>
      <c r="Q616" s="392"/>
      <c r="R616" s="392"/>
      <c r="S616" s="750"/>
      <c r="T616" s="392"/>
      <c r="U616" s="750"/>
      <c r="V616" s="392"/>
      <c r="W616" s="750"/>
      <c r="X616" s="378"/>
      <c r="Y616" s="180"/>
      <c r="Z616" s="180"/>
      <c r="AA616" s="180"/>
      <c r="AB616" s="180"/>
    </row>
    <row r="617" spans="1:28" s="202" customFormat="1">
      <c r="A617" s="631"/>
      <c r="B617" s="634" t="s">
        <v>110</v>
      </c>
      <c r="C617" s="466">
        <v>0</v>
      </c>
      <c r="D617" s="466">
        <v>0</v>
      </c>
      <c r="E617" s="466">
        <v>0</v>
      </c>
      <c r="F617" s="466">
        <v>0</v>
      </c>
      <c r="G617" s="466">
        <v>0</v>
      </c>
      <c r="H617" s="466">
        <v>0</v>
      </c>
      <c r="I617" s="751">
        <v>0</v>
      </c>
      <c r="J617" s="466">
        <v>0</v>
      </c>
      <c r="K617" s="466">
        <v>0</v>
      </c>
      <c r="L617" s="466">
        <v>0</v>
      </c>
      <c r="M617" s="466">
        <v>0</v>
      </c>
      <c r="N617" s="466">
        <v>0</v>
      </c>
      <c r="O617" s="751">
        <v>0</v>
      </c>
      <c r="P617" s="466">
        <v>0</v>
      </c>
      <c r="Q617" s="466">
        <v>0</v>
      </c>
      <c r="R617" s="466">
        <v>0</v>
      </c>
      <c r="S617" s="751">
        <v>0</v>
      </c>
      <c r="T617" s="466">
        <v>0</v>
      </c>
      <c r="U617" s="751">
        <v>0</v>
      </c>
      <c r="V617" s="466">
        <v>0</v>
      </c>
      <c r="W617" s="751">
        <v>0</v>
      </c>
      <c r="X617" s="378"/>
      <c r="Y617" s="180"/>
      <c r="Z617" s="180"/>
      <c r="AA617" s="180"/>
      <c r="AB617" s="180"/>
    </row>
    <row r="618" spans="1:28">
      <c r="A618" s="631"/>
      <c r="B618" s="388" t="s">
        <v>161</v>
      </c>
      <c r="C618" s="391">
        <v>0</v>
      </c>
      <c r="D618" s="391"/>
      <c r="E618" s="391">
        <v>0</v>
      </c>
      <c r="F618" s="391"/>
      <c r="G618" s="391">
        <v>0</v>
      </c>
      <c r="H618" s="391">
        <v>0</v>
      </c>
      <c r="I618" s="749">
        <v>0</v>
      </c>
      <c r="J618" s="391">
        <v>0</v>
      </c>
      <c r="K618" s="391"/>
      <c r="L618" s="391">
        <v>0</v>
      </c>
      <c r="M618" s="391">
        <v>0</v>
      </c>
      <c r="N618" s="391"/>
      <c r="O618" s="749">
        <v>0</v>
      </c>
      <c r="P618" s="391"/>
      <c r="Q618" s="391"/>
      <c r="R618" s="391">
        <v>0</v>
      </c>
      <c r="S618" s="749">
        <v>0</v>
      </c>
      <c r="T618" s="391">
        <v>0</v>
      </c>
      <c r="U618" s="749">
        <v>0</v>
      </c>
      <c r="V618" s="391">
        <v>0</v>
      </c>
      <c r="W618" s="749">
        <v>0</v>
      </c>
      <c r="X618" s="378"/>
      <c r="Y618" s="180"/>
      <c r="Z618" s="180"/>
      <c r="AA618" s="180"/>
      <c r="AB618" s="180"/>
    </row>
    <row r="619" spans="1:28" s="203" customFormat="1">
      <c r="A619" s="631"/>
      <c r="B619" s="389" t="s">
        <v>102</v>
      </c>
      <c r="C619" s="392">
        <v>0</v>
      </c>
      <c r="D619" s="392"/>
      <c r="E619" s="392">
        <v>0</v>
      </c>
      <c r="F619" s="392"/>
      <c r="G619" s="392">
        <v>0</v>
      </c>
      <c r="H619" s="392">
        <v>0</v>
      </c>
      <c r="I619" s="750">
        <v>0</v>
      </c>
      <c r="J619" s="392">
        <v>0</v>
      </c>
      <c r="K619" s="392"/>
      <c r="L619" s="392">
        <v>0</v>
      </c>
      <c r="M619" s="392">
        <v>0</v>
      </c>
      <c r="N619" s="392"/>
      <c r="O619" s="750">
        <v>0</v>
      </c>
      <c r="P619" s="392"/>
      <c r="Q619" s="392"/>
      <c r="R619" s="392">
        <v>0</v>
      </c>
      <c r="S619" s="750">
        <v>0</v>
      </c>
      <c r="T619" s="392">
        <v>0</v>
      </c>
      <c r="U619" s="750">
        <v>0</v>
      </c>
      <c r="V619" s="392">
        <v>0</v>
      </c>
      <c r="W619" s="750">
        <v>0</v>
      </c>
      <c r="X619" s="378"/>
      <c r="Y619" s="180"/>
      <c r="Z619" s="180"/>
      <c r="AA619" s="180"/>
      <c r="AB619" s="180"/>
    </row>
    <row r="620" spans="1:28" s="202" customFormat="1">
      <c r="A620" s="631"/>
      <c r="B620" s="634" t="s">
        <v>183</v>
      </c>
      <c r="C620" s="466">
        <v>0</v>
      </c>
      <c r="D620" s="466">
        <v>0</v>
      </c>
      <c r="E620" s="466">
        <v>0</v>
      </c>
      <c r="F620" s="466">
        <v>0</v>
      </c>
      <c r="G620" s="466">
        <v>0</v>
      </c>
      <c r="H620" s="466">
        <v>0</v>
      </c>
      <c r="I620" s="751">
        <v>0</v>
      </c>
      <c r="J620" s="466">
        <v>0</v>
      </c>
      <c r="K620" s="466">
        <v>0</v>
      </c>
      <c r="L620" s="466">
        <v>0</v>
      </c>
      <c r="M620" s="466">
        <v>0</v>
      </c>
      <c r="N620" s="466">
        <v>0</v>
      </c>
      <c r="O620" s="751">
        <v>0</v>
      </c>
      <c r="P620" s="466">
        <v>0</v>
      </c>
      <c r="Q620" s="466">
        <v>0</v>
      </c>
      <c r="R620" s="466">
        <v>0</v>
      </c>
      <c r="S620" s="751">
        <v>0</v>
      </c>
      <c r="T620" s="466">
        <v>0</v>
      </c>
      <c r="U620" s="751">
        <v>0</v>
      </c>
      <c r="V620" s="466">
        <v>0</v>
      </c>
      <c r="W620" s="751">
        <v>0</v>
      </c>
      <c r="X620" s="378"/>
      <c r="Y620" s="180"/>
      <c r="Z620" s="180"/>
      <c r="AA620" s="180"/>
      <c r="AB620" s="180"/>
    </row>
    <row r="621" spans="1:28">
      <c r="A621" s="631"/>
      <c r="B621" s="388" t="s">
        <v>78</v>
      </c>
      <c r="C621" s="391">
        <v>70301529</v>
      </c>
      <c r="D621" s="391"/>
      <c r="E621" s="391">
        <v>21346463</v>
      </c>
      <c r="F621" s="391"/>
      <c r="G621" s="391"/>
      <c r="H621" s="391"/>
      <c r="I621" s="749">
        <v>91647992</v>
      </c>
      <c r="J621" s="391"/>
      <c r="K621" s="391"/>
      <c r="L621" s="391"/>
      <c r="M621" s="391"/>
      <c r="N621" s="391"/>
      <c r="O621" s="749"/>
      <c r="P621" s="391"/>
      <c r="Q621" s="391"/>
      <c r="R621" s="391"/>
      <c r="S621" s="749"/>
      <c r="T621" s="391">
        <v>7344293</v>
      </c>
      <c r="U621" s="749">
        <v>7344293</v>
      </c>
      <c r="V621" s="391"/>
      <c r="W621" s="749">
        <v>98992285</v>
      </c>
      <c r="X621" s="378"/>
      <c r="Y621" s="180"/>
      <c r="Z621" s="180"/>
      <c r="AA621" s="180"/>
      <c r="AB621" s="180"/>
    </row>
    <row r="622" spans="1:28" s="203" customFormat="1">
      <c r="A622" s="631"/>
      <c r="B622" s="389" t="s">
        <v>80</v>
      </c>
      <c r="C622" s="392">
        <v>70249062</v>
      </c>
      <c r="D622" s="392"/>
      <c r="E622" s="392">
        <v>21142359</v>
      </c>
      <c r="F622" s="392"/>
      <c r="G622" s="392"/>
      <c r="H622" s="392"/>
      <c r="I622" s="750">
        <v>91391421</v>
      </c>
      <c r="J622" s="392"/>
      <c r="K622" s="392"/>
      <c r="L622" s="392"/>
      <c r="M622" s="392"/>
      <c r="N622" s="392"/>
      <c r="O622" s="750"/>
      <c r="P622" s="392"/>
      <c r="Q622" s="392"/>
      <c r="R622" s="392"/>
      <c r="S622" s="750"/>
      <c r="T622" s="392">
        <v>7211133</v>
      </c>
      <c r="U622" s="750">
        <v>7211133</v>
      </c>
      <c r="V622" s="392"/>
      <c r="W622" s="750">
        <v>98602554</v>
      </c>
      <c r="X622" s="378"/>
      <c r="Y622" s="180"/>
      <c r="Z622" s="180"/>
      <c r="AA622" s="180"/>
      <c r="AB622" s="180"/>
    </row>
    <row r="623" spans="1:28" s="202" customFormat="1">
      <c r="A623" s="631"/>
      <c r="B623" s="634" t="s">
        <v>215</v>
      </c>
      <c r="C623" s="466">
        <v>-7.4631378216539215E-2</v>
      </c>
      <c r="D623" s="466">
        <v>0</v>
      </c>
      <c r="E623" s="466">
        <v>-0.95614903508838922</v>
      </c>
      <c r="F623" s="466">
        <v>0</v>
      </c>
      <c r="G623" s="466">
        <v>0</v>
      </c>
      <c r="H623" s="466">
        <v>0</v>
      </c>
      <c r="I623" s="751">
        <v>-0.2799526693394439</v>
      </c>
      <c r="J623" s="466">
        <v>0</v>
      </c>
      <c r="K623" s="466">
        <v>0</v>
      </c>
      <c r="L623" s="466">
        <v>0</v>
      </c>
      <c r="M623" s="466">
        <v>0</v>
      </c>
      <c r="N623" s="466">
        <v>0</v>
      </c>
      <c r="O623" s="751">
        <v>0</v>
      </c>
      <c r="P623" s="466">
        <v>0</v>
      </c>
      <c r="Q623" s="466">
        <v>0</v>
      </c>
      <c r="R623" s="466">
        <v>0</v>
      </c>
      <c r="S623" s="751">
        <v>0</v>
      </c>
      <c r="T623" s="466">
        <v>-1.8131084911781159</v>
      </c>
      <c r="U623" s="751">
        <v>-1.8131084911781159</v>
      </c>
      <c r="V623" s="466">
        <v>0</v>
      </c>
      <c r="W623" s="751">
        <v>-0.39369835740229653</v>
      </c>
      <c r="X623" s="378"/>
      <c r="Y623" s="180"/>
      <c r="Z623" s="180"/>
      <c r="AA623" s="180"/>
      <c r="AB623" s="180"/>
    </row>
    <row r="624" spans="1:28">
      <c r="A624" s="631"/>
      <c r="B624" s="388" t="s">
        <v>81</v>
      </c>
      <c r="C624" s="391">
        <v>48091056</v>
      </c>
      <c r="D624" s="391"/>
      <c r="E624" s="391">
        <v>8801006</v>
      </c>
      <c r="F624" s="391"/>
      <c r="G624" s="391"/>
      <c r="H624" s="391"/>
      <c r="I624" s="749">
        <v>56892062</v>
      </c>
      <c r="J624" s="391"/>
      <c r="K624" s="391"/>
      <c r="L624" s="391"/>
      <c r="M624" s="391"/>
      <c r="N624" s="391"/>
      <c r="O624" s="749"/>
      <c r="P624" s="391"/>
      <c r="Q624" s="391"/>
      <c r="R624" s="391"/>
      <c r="S624" s="749"/>
      <c r="T624" s="391">
        <v>32275498</v>
      </c>
      <c r="U624" s="749">
        <v>32275498</v>
      </c>
      <c r="V624" s="391"/>
      <c r="W624" s="749">
        <v>89167560</v>
      </c>
      <c r="X624" s="378"/>
      <c r="Y624" s="180"/>
      <c r="Z624" s="180"/>
      <c r="AA624" s="180"/>
      <c r="AB624" s="180"/>
    </row>
    <row r="625" spans="1:28" s="203" customFormat="1">
      <c r="A625" s="631"/>
      <c r="B625" s="389" t="s">
        <v>318</v>
      </c>
      <c r="C625" s="392">
        <v>48091056</v>
      </c>
      <c r="D625" s="392"/>
      <c r="E625" s="392">
        <v>8801006</v>
      </c>
      <c r="F625" s="392"/>
      <c r="G625" s="392"/>
      <c r="H625" s="392"/>
      <c r="I625" s="750">
        <v>56892062</v>
      </c>
      <c r="J625" s="392"/>
      <c r="K625" s="392"/>
      <c r="L625" s="392"/>
      <c r="M625" s="392"/>
      <c r="N625" s="392"/>
      <c r="O625" s="750"/>
      <c r="P625" s="392"/>
      <c r="Q625" s="392"/>
      <c r="R625" s="392"/>
      <c r="S625" s="750"/>
      <c r="T625" s="392">
        <v>32275498</v>
      </c>
      <c r="U625" s="750">
        <v>32275498</v>
      </c>
      <c r="V625" s="392"/>
      <c r="W625" s="750">
        <v>89167560</v>
      </c>
      <c r="X625" s="378"/>
      <c r="Y625" s="180"/>
      <c r="Z625" s="180"/>
      <c r="AA625" s="180"/>
      <c r="AB625" s="180"/>
    </row>
    <row r="626" spans="1:28" s="202" customFormat="1">
      <c r="A626" s="631"/>
      <c r="B626" s="634" t="s">
        <v>236</v>
      </c>
      <c r="C626" s="466">
        <v>0</v>
      </c>
      <c r="D626" s="466">
        <v>0</v>
      </c>
      <c r="E626" s="466">
        <v>0</v>
      </c>
      <c r="F626" s="466">
        <v>0</v>
      </c>
      <c r="G626" s="466">
        <v>0</v>
      </c>
      <c r="H626" s="466">
        <v>0</v>
      </c>
      <c r="I626" s="751">
        <v>0</v>
      </c>
      <c r="J626" s="466">
        <v>0</v>
      </c>
      <c r="K626" s="466">
        <v>0</v>
      </c>
      <c r="L626" s="466">
        <v>0</v>
      </c>
      <c r="M626" s="466">
        <v>0</v>
      </c>
      <c r="N626" s="466">
        <v>0</v>
      </c>
      <c r="O626" s="751">
        <v>0</v>
      </c>
      <c r="P626" s="466">
        <v>0</v>
      </c>
      <c r="Q626" s="466">
        <v>0</v>
      </c>
      <c r="R626" s="466">
        <v>0</v>
      </c>
      <c r="S626" s="751">
        <v>0</v>
      </c>
      <c r="T626" s="466">
        <v>0</v>
      </c>
      <c r="U626" s="751">
        <v>0</v>
      </c>
      <c r="V626" s="466">
        <v>0</v>
      </c>
      <c r="W626" s="751">
        <v>0</v>
      </c>
      <c r="X626" s="378"/>
      <c r="Y626" s="180"/>
      <c r="Z626" s="180"/>
      <c r="AA626" s="180"/>
      <c r="AB626" s="180"/>
    </row>
    <row r="627" spans="1:28">
      <c r="A627" s="631"/>
      <c r="B627" s="388" t="s">
        <v>19</v>
      </c>
      <c r="C627" s="391">
        <v>396751643</v>
      </c>
      <c r="D627" s="391"/>
      <c r="E627" s="391">
        <v>137902037</v>
      </c>
      <c r="F627" s="391"/>
      <c r="G627" s="391">
        <v>76117466</v>
      </c>
      <c r="H627" s="391">
        <v>129396248</v>
      </c>
      <c r="I627" s="749">
        <v>740167394</v>
      </c>
      <c r="J627" s="391">
        <v>32326714</v>
      </c>
      <c r="K627" s="391"/>
      <c r="L627" s="391">
        <v>31495944</v>
      </c>
      <c r="M627" s="391">
        <v>72724595</v>
      </c>
      <c r="N627" s="391"/>
      <c r="O627" s="749">
        <v>136547253</v>
      </c>
      <c r="P627" s="391"/>
      <c r="Q627" s="391"/>
      <c r="R627" s="391">
        <v>7890076</v>
      </c>
      <c r="S627" s="749">
        <v>7890076</v>
      </c>
      <c r="T627" s="391">
        <v>1088360</v>
      </c>
      <c r="U627" s="749">
        <v>1088360</v>
      </c>
      <c r="V627" s="391">
        <v>305478</v>
      </c>
      <c r="W627" s="749">
        <v>885998561</v>
      </c>
      <c r="X627" s="378"/>
      <c r="Y627" s="180"/>
      <c r="Z627" s="180"/>
      <c r="AA627" s="180"/>
      <c r="AB627" s="180"/>
    </row>
    <row r="628" spans="1:28" s="203" customFormat="1">
      <c r="A628" s="631"/>
      <c r="B628" s="389" t="s">
        <v>21</v>
      </c>
      <c r="C628" s="392">
        <v>421797245</v>
      </c>
      <c r="D628" s="392"/>
      <c r="E628" s="392">
        <v>142213946</v>
      </c>
      <c r="F628" s="392"/>
      <c r="G628" s="392">
        <v>78647293</v>
      </c>
      <c r="H628" s="392">
        <v>131845491</v>
      </c>
      <c r="I628" s="750">
        <v>774503975</v>
      </c>
      <c r="J628" s="392">
        <v>33102546.399999999</v>
      </c>
      <c r="K628" s="392"/>
      <c r="L628" s="392">
        <v>32134227</v>
      </c>
      <c r="M628" s="392">
        <v>74411668.5</v>
      </c>
      <c r="N628" s="392"/>
      <c r="O628" s="750">
        <v>139648441.90000001</v>
      </c>
      <c r="P628" s="392"/>
      <c r="Q628" s="392"/>
      <c r="R628" s="392">
        <v>7948826</v>
      </c>
      <c r="S628" s="750">
        <v>7948826</v>
      </c>
      <c r="T628" s="392">
        <v>1288568</v>
      </c>
      <c r="U628" s="750">
        <v>1288568</v>
      </c>
      <c r="V628" s="392">
        <v>296920</v>
      </c>
      <c r="W628" s="750">
        <v>923686730.89999998</v>
      </c>
      <c r="X628" s="378"/>
      <c r="Y628" s="180"/>
      <c r="Z628" s="180"/>
      <c r="AA628" s="180"/>
      <c r="AB628" s="180"/>
    </row>
    <row r="629" spans="1:28" s="212" customFormat="1" ht="13.5" thickBot="1">
      <c r="A629" s="635"/>
      <c r="B629" s="634" t="s">
        <v>23</v>
      </c>
      <c r="C629" s="762">
        <v>6.3126649736394409</v>
      </c>
      <c r="D629" s="762">
        <v>0</v>
      </c>
      <c r="E629" s="762">
        <v>3.1267913758228238</v>
      </c>
      <c r="F629" s="762">
        <v>0</v>
      </c>
      <c r="G629" s="762">
        <v>3.3235827897896657</v>
      </c>
      <c r="H629" s="762">
        <v>1.8928238166534783</v>
      </c>
      <c r="I629" s="763">
        <v>4.6390291275111206</v>
      </c>
      <c r="J629" s="762">
        <v>2.3999729759108783</v>
      </c>
      <c r="K629" s="762">
        <v>0</v>
      </c>
      <c r="L629" s="762">
        <v>2.0265561813292532</v>
      </c>
      <c r="M629" s="762">
        <v>2.3198114750587475</v>
      </c>
      <c r="N629" s="762">
        <v>0</v>
      </c>
      <c r="O629" s="763">
        <v>2.2711470438735271</v>
      </c>
      <c r="P629" s="762">
        <v>0</v>
      </c>
      <c r="Q629" s="762">
        <v>0</v>
      </c>
      <c r="R629" s="762">
        <v>0.74460626234778982</v>
      </c>
      <c r="S629" s="763">
        <v>0.74460626234778982</v>
      </c>
      <c r="T629" s="1462">
        <v>18.395383880333714</v>
      </c>
      <c r="U629" s="763">
        <v>18.395383880333714</v>
      </c>
      <c r="V629" s="762">
        <v>-2.8015110744472596</v>
      </c>
      <c r="W629" s="763">
        <v>4.2537506897824384</v>
      </c>
      <c r="X629" s="378"/>
      <c r="Y629" s="180"/>
      <c r="Z629" s="180"/>
      <c r="AA629" s="180"/>
      <c r="AB629" s="180"/>
    </row>
    <row r="630" spans="1:28" ht="13.5" thickTop="1">
      <c r="A630" s="230" t="s">
        <v>7</v>
      </c>
      <c r="B630" s="388"/>
      <c r="C630" s="765">
        <v>7276408419.6573153</v>
      </c>
      <c r="D630" s="765">
        <v>1428297172</v>
      </c>
      <c r="E630" s="765">
        <v>3255286927.6811047</v>
      </c>
      <c r="F630" s="765">
        <v>850351552</v>
      </c>
      <c r="G630" s="765">
        <v>534459689.69820881</v>
      </c>
      <c r="H630" s="765">
        <v>393011716</v>
      </c>
      <c r="I630" s="766">
        <v>13737815477.036627</v>
      </c>
      <c r="J630" s="765">
        <v>946764025</v>
      </c>
      <c r="K630" s="765">
        <v>1965112714.5668585</v>
      </c>
      <c r="L630" s="765">
        <v>1368760533.9688284</v>
      </c>
      <c r="M630" s="765">
        <v>520576993.42734563</v>
      </c>
      <c r="N630" s="765">
        <v>514215566</v>
      </c>
      <c r="O630" s="766">
        <v>5315429832.9630327</v>
      </c>
      <c r="P630" s="765">
        <v>333809078.03696734</v>
      </c>
      <c r="Q630" s="765">
        <v>155521450</v>
      </c>
      <c r="R630" s="765">
        <v>7890076</v>
      </c>
      <c r="S630" s="766">
        <v>497220604.03696734</v>
      </c>
      <c r="T630" s="765">
        <v>1088360</v>
      </c>
      <c r="U630" s="766">
        <v>1088360</v>
      </c>
      <c r="V630" s="765"/>
      <c r="W630" s="766">
        <v>19551554274.036629</v>
      </c>
      <c r="X630" s="378"/>
      <c r="Y630" s="180"/>
      <c r="Z630" s="180"/>
      <c r="AA630" s="180"/>
      <c r="AB630" s="180"/>
    </row>
    <row r="631" spans="1:28">
      <c r="A631" s="631" t="s">
        <v>8</v>
      </c>
      <c r="B631" s="389"/>
      <c r="C631" s="392">
        <v>7319292333.914156</v>
      </c>
      <c r="D631" s="392">
        <v>1490865295.8</v>
      </c>
      <c r="E631" s="392">
        <v>3327331048.5861783</v>
      </c>
      <c r="F631" s="392">
        <v>873453728</v>
      </c>
      <c r="G631" s="392">
        <v>543663120.66446185</v>
      </c>
      <c r="H631" s="392">
        <v>400152443</v>
      </c>
      <c r="I631" s="750">
        <v>13954757969.964794</v>
      </c>
      <c r="J631" s="392">
        <v>966641322</v>
      </c>
      <c r="K631" s="392">
        <v>2008129887.9469223</v>
      </c>
      <c r="L631" s="392">
        <v>1384310167.9671791</v>
      </c>
      <c r="M631" s="392">
        <v>528409711.45414054</v>
      </c>
      <c r="N631" s="392">
        <v>524496974</v>
      </c>
      <c r="O631" s="750">
        <v>5411988063.3682423</v>
      </c>
      <c r="P631" s="392">
        <v>348736200.76175803</v>
      </c>
      <c r="Q631" s="392">
        <v>154417708</v>
      </c>
      <c r="R631" s="392">
        <v>7948826</v>
      </c>
      <c r="S631" s="750">
        <v>511102734.76175803</v>
      </c>
      <c r="T631" s="392">
        <v>1288568</v>
      </c>
      <c r="U631" s="750">
        <v>1288568</v>
      </c>
      <c r="V631" s="392"/>
      <c r="W631" s="750">
        <v>19879137336.094795</v>
      </c>
      <c r="X631" s="378"/>
      <c r="Y631" s="180"/>
      <c r="Z631" s="180"/>
      <c r="AA631" s="180"/>
      <c r="AB631" s="180"/>
    </row>
    <row r="632" spans="1:28">
      <c r="A632" s="632" t="s">
        <v>117</v>
      </c>
      <c r="B632" s="634"/>
      <c r="C632" s="466">
        <v>0.58935551419828669</v>
      </c>
      <c r="D632" s="466">
        <v>4.380609653689068</v>
      </c>
      <c r="E632" s="466">
        <v>2.2131419596979764</v>
      </c>
      <c r="F632" s="466">
        <v>2.7167794244232768</v>
      </c>
      <c r="G632" s="466">
        <v>1.7220065691857709</v>
      </c>
      <c r="H632" s="466">
        <v>1.816924714783821</v>
      </c>
      <c r="I632" s="751">
        <v>1.5791629556445597</v>
      </c>
      <c r="J632" s="466">
        <v>2.0994985524508074</v>
      </c>
      <c r="K632" s="466">
        <v>2.1890435628037337</v>
      </c>
      <c r="L632" s="466">
        <v>1.1360375765118855</v>
      </c>
      <c r="M632" s="466">
        <v>1.5046223950901672</v>
      </c>
      <c r="N632" s="466">
        <v>1.9994353885428664</v>
      </c>
      <c r="O632" s="751">
        <v>1.8165648581496583</v>
      </c>
      <c r="P632" s="466">
        <v>4.4717545767696407</v>
      </c>
      <c r="Q632" s="466">
        <v>-0.70970403118026482</v>
      </c>
      <c r="R632" s="466">
        <v>0.74460626234778982</v>
      </c>
      <c r="S632" s="751">
        <v>2.7919459917953406</v>
      </c>
      <c r="T632" s="466">
        <v>18.395383880333714</v>
      </c>
      <c r="U632" s="751">
        <v>18.395383880333714</v>
      </c>
      <c r="V632" s="466">
        <v>0</v>
      </c>
      <c r="W632" s="751">
        <v>1.675483480580255</v>
      </c>
      <c r="X632" s="378"/>
      <c r="Y632" s="180"/>
      <c r="Z632" s="180"/>
      <c r="AA632" s="180"/>
      <c r="AB632" s="180"/>
    </row>
    <row r="633" spans="1:28">
      <c r="A633" s="631" t="s">
        <v>196</v>
      </c>
      <c r="B633" s="388"/>
      <c r="C633" s="391">
        <v>1264674598.22</v>
      </c>
      <c r="D633" s="391">
        <v>58702456</v>
      </c>
      <c r="E633" s="391">
        <v>50401938</v>
      </c>
      <c r="F633" s="391">
        <v>11082322</v>
      </c>
      <c r="G633" s="391">
        <v>16154355</v>
      </c>
      <c r="H633" s="391">
        <v>9084769</v>
      </c>
      <c r="I633" s="749">
        <v>1410100438.22</v>
      </c>
      <c r="J633" s="391">
        <v>207500</v>
      </c>
      <c r="K633" s="391">
        <v>67289189.189999998</v>
      </c>
      <c r="L633" s="391">
        <v>89706720.439999998</v>
      </c>
      <c r="M633" s="391">
        <v>48001309.939999998</v>
      </c>
      <c r="N633" s="391"/>
      <c r="O633" s="749">
        <v>205204719.56999999</v>
      </c>
      <c r="P633" s="391">
        <v>17262340</v>
      </c>
      <c r="Q633" s="391">
        <v>1209699</v>
      </c>
      <c r="R633" s="391"/>
      <c r="S633" s="749">
        <v>18472039</v>
      </c>
      <c r="T633" s="391"/>
      <c r="U633" s="749"/>
      <c r="V633" s="391">
        <v>390787466.83000004</v>
      </c>
      <c r="W633" s="749">
        <v>2024564663.6200001</v>
      </c>
      <c r="X633" s="378"/>
      <c r="Y633" s="180"/>
      <c r="Z633" s="180"/>
      <c r="AA633" s="180"/>
      <c r="AB633" s="180"/>
    </row>
    <row r="634" spans="1:28">
      <c r="A634" s="631" t="s">
        <v>243</v>
      </c>
      <c r="B634" s="389"/>
      <c r="C634" s="392">
        <v>1292076327.1300001</v>
      </c>
      <c r="D634" s="392">
        <v>65392905</v>
      </c>
      <c r="E634" s="392">
        <v>46394010</v>
      </c>
      <c r="F634" s="392">
        <v>11324280</v>
      </c>
      <c r="G634" s="392">
        <v>17771017</v>
      </c>
      <c r="H634" s="392">
        <v>5457701</v>
      </c>
      <c r="I634" s="750">
        <v>1438416240.1300001</v>
      </c>
      <c r="J634" s="392">
        <v>207500</v>
      </c>
      <c r="K634" s="392">
        <v>76725302</v>
      </c>
      <c r="L634" s="392">
        <v>96184366</v>
      </c>
      <c r="M634" s="392">
        <v>49986805.329999998</v>
      </c>
      <c r="N634" s="392"/>
      <c r="O634" s="750">
        <v>223103973.32999998</v>
      </c>
      <c r="P634" s="392">
        <v>864351</v>
      </c>
      <c r="Q634" s="392">
        <v>1407599</v>
      </c>
      <c r="R634" s="392"/>
      <c r="S634" s="750">
        <v>2271950</v>
      </c>
      <c r="T634" s="392"/>
      <c r="U634" s="750"/>
      <c r="V634" s="392">
        <v>419022291.30000001</v>
      </c>
      <c r="W634" s="750">
        <v>2082814454.76</v>
      </c>
      <c r="X634" s="378"/>
      <c r="Y634" s="180"/>
      <c r="Z634" s="180"/>
      <c r="AA634" s="180"/>
      <c r="AB634" s="180"/>
    </row>
    <row r="635" spans="1:28">
      <c r="A635" s="631" t="s">
        <v>297</v>
      </c>
      <c r="B635" s="634"/>
      <c r="C635" s="466">
        <v>2.1667019285883797</v>
      </c>
      <c r="D635" s="466">
        <v>11.397221608581418</v>
      </c>
      <c r="E635" s="466">
        <v>-7.9519323245070455</v>
      </c>
      <c r="F635" s="466">
        <v>2.1832789193456028</v>
      </c>
      <c r="G635" s="466">
        <v>10.007592379887653</v>
      </c>
      <c r="H635" s="466">
        <v>-39.92471355077933</v>
      </c>
      <c r="I635" s="751">
        <v>2.0080698610195262</v>
      </c>
      <c r="J635" s="466">
        <v>0</v>
      </c>
      <c r="K635" s="466">
        <v>14.023222635891599</v>
      </c>
      <c r="L635" s="466">
        <v>7.2209144735511224</v>
      </c>
      <c r="M635" s="466">
        <v>4.1363358468379348</v>
      </c>
      <c r="N635" s="466">
        <v>0</v>
      </c>
      <c r="O635" s="751">
        <v>8.7226325970997713</v>
      </c>
      <c r="P635" s="466">
        <v>-94.992851490585863</v>
      </c>
      <c r="Q635" s="466">
        <v>16.359441480897313</v>
      </c>
      <c r="R635" s="466">
        <v>0</v>
      </c>
      <c r="S635" s="751">
        <v>-87.700599809257668</v>
      </c>
      <c r="T635" s="466">
        <v>0</v>
      </c>
      <c r="U635" s="751">
        <v>0</v>
      </c>
      <c r="V635" s="466">
        <v>7.2251100320683141</v>
      </c>
      <c r="W635" s="751">
        <v>2.877151428487692</v>
      </c>
      <c r="X635" s="378"/>
      <c r="Y635" s="180"/>
      <c r="Z635" s="180"/>
      <c r="AA635" s="180"/>
      <c r="AB635" s="180"/>
    </row>
    <row r="636" spans="1:28">
      <c r="A636" s="631" t="s">
        <v>9</v>
      </c>
      <c r="B636" s="388"/>
      <c r="C636" s="391"/>
      <c r="D636" s="391"/>
      <c r="E636" s="391"/>
      <c r="F636" s="391"/>
      <c r="G636" s="391">
        <v>294580</v>
      </c>
      <c r="H636" s="391">
        <v>5654987</v>
      </c>
      <c r="I636" s="749">
        <v>5949567</v>
      </c>
      <c r="J636" s="391">
        <v>82874960</v>
      </c>
      <c r="K636" s="391">
        <v>1412598859</v>
      </c>
      <c r="L636" s="391">
        <v>343009180</v>
      </c>
      <c r="M636" s="391">
        <v>99946439</v>
      </c>
      <c r="N636" s="391">
        <v>355984387</v>
      </c>
      <c r="O636" s="749">
        <v>2294413825</v>
      </c>
      <c r="P636" s="391"/>
      <c r="Q636" s="391">
        <v>0</v>
      </c>
      <c r="R636" s="391"/>
      <c r="S636" s="749">
        <v>0</v>
      </c>
      <c r="T636" s="391"/>
      <c r="U636" s="749"/>
      <c r="V636" s="391"/>
      <c r="W636" s="749">
        <v>2300363392</v>
      </c>
      <c r="X636" s="378"/>
      <c r="Y636" s="180"/>
      <c r="Z636" s="180"/>
      <c r="AA636" s="180"/>
      <c r="AB636" s="180"/>
    </row>
    <row r="637" spans="1:28">
      <c r="A637" s="631" t="s">
        <v>10</v>
      </c>
      <c r="B637" s="389"/>
      <c r="C637" s="392"/>
      <c r="D637" s="392"/>
      <c r="E637" s="392"/>
      <c r="F637" s="392"/>
      <c r="G637" s="392">
        <v>393324</v>
      </c>
      <c r="H637" s="392">
        <v>5600000</v>
      </c>
      <c r="I637" s="750">
        <v>5993324</v>
      </c>
      <c r="J637" s="392">
        <v>68336589</v>
      </c>
      <c r="K637" s="392">
        <v>1360137920</v>
      </c>
      <c r="L637" s="392">
        <v>334429018</v>
      </c>
      <c r="M637" s="392">
        <v>105040335</v>
      </c>
      <c r="N637" s="392">
        <v>347887399</v>
      </c>
      <c r="O637" s="750">
        <v>2215831261</v>
      </c>
      <c r="P637" s="392"/>
      <c r="Q637" s="392"/>
      <c r="R637" s="392"/>
      <c r="S637" s="750"/>
      <c r="T637" s="392"/>
      <c r="U637" s="750"/>
      <c r="V637" s="392"/>
      <c r="W637" s="750">
        <v>2221824585</v>
      </c>
      <c r="X637" s="378"/>
      <c r="Y637" s="180"/>
      <c r="Z637" s="180"/>
      <c r="AA637" s="180"/>
      <c r="AB637" s="180"/>
    </row>
    <row r="638" spans="1:28">
      <c r="A638" s="631" t="s">
        <v>299</v>
      </c>
      <c r="B638" s="634"/>
      <c r="C638" s="466">
        <v>0</v>
      </c>
      <c r="D638" s="466">
        <v>0</v>
      </c>
      <c r="E638" s="466">
        <v>0</v>
      </c>
      <c r="F638" s="466">
        <v>0</v>
      </c>
      <c r="G638" s="466">
        <v>33.520266141625363</v>
      </c>
      <c r="H638" s="466">
        <v>-0.97236297802276106</v>
      </c>
      <c r="I638" s="751">
        <v>0.73546528680154366</v>
      </c>
      <c r="J638" s="466">
        <v>-17.542537577092045</v>
      </c>
      <c r="K638" s="466">
        <v>-3.7137888556088661</v>
      </c>
      <c r="L638" s="466">
        <v>-2.5014380081605978</v>
      </c>
      <c r="M638" s="466">
        <v>5.0966258037467442</v>
      </c>
      <c r="N638" s="466">
        <v>-2.2745345851361733</v>
      </c>
      <c r="O638" s="751">
        <v>-3.4249516431500759</v>
      </c>
      <c r="P638" s="466">
        <v>0</v>
      </c>
      <c r="Q638" s="466">
        <v>0</v>
      </c>
      <c r="R638" s="466">
        <v>0</v>
      </c>
      <c r="S638" s="751">
        <v>0</v>
      </c>
      <c r="T638" s="466">
        <v>0</v>
      </c>
      <c r="U638" s="751">
        <v>0</v>
      </c>
      <c r="V638" s="466">
        <v>0</v>
      </c>
      <c r="W638" s="751">
        <v>-3.4141913087790958</v>
      </c>
      <c r="X638" s="378"/>
      <c r="Y638" s="180"/>
      <c r="Z638" s="180"/>
      <c r="AA638" s="180"/>
      <c r="AB638" s="180"/>
    </row>
    <row r="639" spans="1:28">
      <c r="A639" s="631" t="s">
        <v>224</v>
      </c>
      <c r="B639" s="388"/>
      <c r="C639" s="391">
        <v>11352800396.725403</v>
      </c>
      <c r="D639" s="391">
        <v>2190765069</v>
      </c>
      <c r="E639" s="391">
        <v>4687842152.29</v>
      </c>
      <c r="F639" s="391">
        <v>1085546340.74</v>
      </c>
      <c r="G639" s="391">
        <v>703507174</v>
      </c>
      <c r="H639" s="391">
        <v>468462634.22000003</v>
      </c>
      <c r="I639" s="749">
        <v>20488923766.975403</v>
      </c>
      <c r="J639" s="391">
        <v>736234627</v>
      </c>
      <c r="K639" s="391">
        <v>2196189802</v>
      </c>
      <c r="L639" s="391">
        <v>1147728295</v>
      </c>
      <c r="M639" s="391">
        <v>372306345</v>
      </c>
      <c r="N639" s="391">
        <v>646732171</v>
      </c>
      <c r="O639" s="749">
        <v>5099191240</v>
      </c>
      <c r="P639" s="391">
        <v>316545793.66957998</v>
      </c>
      <c r="Q639" s="391">
        <v>56784523</v>
      </c>
      <c r="R639" s="391"/>
      <c r="S639" s="749">
        <v>373330316.66957998</v>
      </c>
      <c r="T639" s="391"/>
      <c r="U639" s="749"/>
      <c r="V639" s="391">
        <v>0</v>
      </c>
      <c r="W639" s="749">
        <v>25961445323.644981</v>
      </c>
      <c r="X639" s="378"/>
      <c r="Y639" s="180"/>
      <c r="Z639" s="180"/>
      <c r="AA639" s="180"/>
      <c r="AB639" s="180"/>
    </row>
    <row r="640" spans="1:28">
      <c r="A640" s="631" t="s">
        <v>15</v>
      </c>
      <c r="B640" s="389"/>
      <c r="C640" s="392">
        <v>11814093387.392366</v>
      </c>
      <c r="D640" s="392">
        <v>2356225692</v>
      </c>
      <c r="E640" s="392">
        <v>4902034893</v>
      </c>
      <c r="F640" s="392">
        <v>1099384054</v>
      </c>
      <c r="G640" s="392">
        <v>739608602</v>
      </c>
      <c r="H640" s="392">
        <v>482209616.63</v>
      </c>
      <c r="I640" s="750">
        <v>21393556245.022366</v>
      </c>
      <c r="J640" s="392">
        <v>709606660.39999998</v>
      </c>
      <c r="K640" s="392">
        <v>2169468882</v>
      </c>
      <c r="L640" s="392">
        <v>1145301887</v>
      </c>
      <c r="M640" s="392">
        <v>369720353.5</v>
      </c>
      <c r="N640" s="392">
        <v>665882471</v>
      </c>
      <c r="O640" s="750">
        <v>5059980253.8999996</v>
      </c>
      <c r="P640" s="392">
        <v>338324693.62259996</v>
      </c>
      <c r="Q640" s="392">
        <v>60111156</v>
      </c>
      <c r="R640" s="392"/>
      <c r="S640" s="750">
        <v>398435849.62259996</v>
      </c>
      <c r="T640" s="392"/>
      <c r="U640" s="750"/>
      <c r="V640" s="392">
        <v>0</v>
      </c>
      <c r="W640" s="750">
        <v>26851972348.544968</v>
      </c>
      <c r="X640" s="378"/>
      <c r="Y640" s="180"/>
      <c r="Z640" s="180"/>
      <c r="AA640" s="180"/>
      <c r="AB640" s="180"/>
    </row>
    <row r="641" spans="1:28">
      <c r="A641" s="631" t="s">
        <v>248</v>
      </c>
      <c r="B641" s="634"/>
      <c r="C641" s="466">
        <v>4.0632528939733561</v>
      </c>
      <c r="D641" s="466">
        <v>7.5526410997381106</v>
      </c>
      <c r="E641" s="466">
        <v>4.5691116243188219</v>
      </c>
      <c r="F641" s="466">
        <v>1.2747234033847912</v>
      </c>
      <c r="G641" s="466">
        <v>5.1316360847799967</v>
      </c>
      <c r="H641" s="466">
        <v>2.9344885602005326</v>
      </c>
      <c r="I641" s="751">
        <v>4.4152269213138151</v>
      </c>
      <c r="J641" s="466">
        <v>-3.6167772641315912</v>
      </c>
      <c r="K641" s="466">
        <v>-1.2166944758447613</v>
      </c>
      <c r="L641" s="466">
        <v>-0.21140961763951283</v>
      </c>
      <c r="M641" s="466">
        <v>-0.69458700737426327</v>
      </c>
      <c r="N641" s="466">
        <v>2.961086653597135</v>
      </c>
      <c r="O641" s="751">
        <v>-0.76896480744660956</v>
      </c>
      <c r="P641" s="466">
        <v>6.8801735447331351</v>
      </c>
      <c r="Q641" s="466">
        <v>5.8583445351825887</v>
      </c>
      <c r="R641" s="466">
        <v>0</v>
      </c>
      <c r="S641" s="751">
        <v>6.7247506650363738</v>
      </c>
      <c r="T641" s="466">
        <v>0</v>
      </c>
      <c r="U641" s="751">
        <v>0</v>
      </c>
      <c r="V641" s="466">
        <v>0</v>
      </c>
      <c r="W641" s="751">
        <v>3.4301904759089759</v>
      </c>
      <c r="X641" s="378"/>
      <c r="Y641" s="180"/>
      <c r="Z641" s="180"/>
      <c r="AA641" s="180"/>
      <c r="AB641" s="180"/>
    </row>
    <row r="642" spans="1:28">
      <c r="A642" s="631" t="s">
        <v>239</v>
      </c>
      <c r="B642" s="388"/>
      <c r="C642" s="391">
        <v>130870350.22</v>
      </c>
      <c r="D642" s="391">
        <v>7781051</v>
      </c>
      <c r="E642" s="391">
        <v>79574011.710000008</v>
      </c>
      <c r="F642" s="391">
        <v>26473393.490000002</v>
      </c>
      <c r="G642" s="391">
        <v>15720077</v>
      </c>
      <c r="H642" s="391">
        <v>6360225.7800000003</v>
      </c>
      <c r="I642" s="749">
        <v>266779109.20000002</v>
      </c>
      <c r="J642" s="391">
        <v>0</v>
      </c>
      <c r="K642" s="391">
        <v>18050678</v>
      </c>
      <c r="L642" s="391">
        <v>16292428</v>
      </c>
      <c r="M642" s="391">
        <v>4214346</v>
      </c>
      <c r="N642" s="391">
        <v>3222450</v>
      </c>
      <c r="O642" s="749">
        <v>41779902</v>
      </c>
      <c r="P642" s="391">
        <v>512611</v>
      </c>
      <c r="Q642" s="391">
        <v>433343</v>
      </c>
      <c r="R642" s="391"/>
      <c r="S642" s="749">
        <v>945954</v>
      </c>
      <c r="T642" s="391"/>
      <c r="U642" s="749"/>
      <c r="V642" s="391">
        <v>0</v>
      </c>
      <c r="W642" s="749">
        <v>309504965.20000005</v>
      </c>
      <c r="X642" s="378"/>
      <c r="Y642" s="180"/>
      <c r="Z642" s="180"/>
      <c r="AA642" s="180"/>
      <c r="AB642" s="180"/>
    </row>
    <row r="643" spans="1:28">
      <c r="A643" s="631" t="s">
        <v>167</v>
      </c>
      <c r="B643" s="389"/>
      <c r="C643" s="392">
        <v>139165252.13999999</v>
      </c>
      <c r="D643" s="392">
        <v>6979171</v>
      </c>
      <c r="E643" s="392">
        <v>87732683.670000002</v>
      </c>
      <c r="F643" s="392">
        <v>26154478.809999999</v>
      </c>
      <c r="G643" s="392">
        <v>15692727</v>
      </c>
      <c r="H643" s="392">
        <v>6838956</v>
      </c>
      <c r="I643" s="750">
        <v>282563268.62</v>
      </c>
      <c r="J643" s="392"/>
      <c r="K643" s="392">
        <v>20492879.600000001</v>
      </c>
      <c r="L643" s="392">
        <v>19287843.379999999</v>
      </c>
      <c r="M643" s="392">
        <v>3790560.8</v>
      </c>
      <c r="N643" s="392">
        <v>3222450</v>
      </c>
      <c r="O643" s="750">
        <v>46793733.780000001</v>
      </c>
      <c r="P643" s="392">
        <v>1081087</v>
      </c>
      <c r="Q643" s="392">
        <v>543477</v>
      </c>
      <c r="R643" s="392"/>
      <c r="S643" s="750">
        <v>1624564</v>
      </c>
      <c r="T643" s="392">
        <v>0</v>
      </c>
      <c r="U643" s="750">
        <v>0</v>
      </c>
      <c r="V643" s="392">
        <v>0</v>
      </c>
      <c r="W643" s="750">
        <v>330981566.39999998</v>
      </c>
      <c r="X643" s="378"/>
      <c r="Y643" s="180"/>
      <c r="Z643" s="180"/>
      <c r="AA643" s="180"/>
      <c r="AB643" s="180"/>
    </row>
    <row r="644" spans="1:28">
      <c r="A644" s="631" t="s">
        <v>176</v>
      </c>
      <c r="B644" s="634"/>
      <c r="C644" s="466">
        <v>6.3382591290202992</v>
      </c>
      <c r="D644" s="466">
        <v>-10.305548697727337</v>
      </c>
      <c r="E644" s="466">
        <v>10.252935329858076</v>
      </c>
      <c r="F644" s="466">
        <v>-1.2046611255956647</v>
      </c>
      <c r="G644" s="466">
        <v>-0.17398133609650895</v>
      </c>
      <c r="H644" s="466">
        <v>7.526937510699498</v>
      </c>
      <c r="I644" s="751">
        <v>5.9165650066575699</v>
      </c>
      <c r="J644" s="466">
        <v>0</v>
      </c>
      <c r="K644" s="466">
        <v>13.529694563273475</v>
      </c>
      <c r="L644" s="466">
        <v>18.385322187705864</v>
      </c>
      <c r="M644" s="466">
        <v>-10.055776151269976</v>
      </c>
      <c r="N644" s="466">
        <v>0</v>
      </c>
      <c r="O644" s="751">
        <v>12.000582911850778</v>
      </c>
      <c r="P644" s="466">
        <v>110.89812742996151</v>
      </c>
      <c r="Q644" s="466">
        <v>25.414971512173963</v>
      </c>
      <c r="R644" s="466">
        <v>0</v>
      </c>
      <c r="S644" s="751">
        <v>71.738160629375216</v>
      </c>
      <c r="T644" s="466">
        <v>0</v>
      </c>
      <c r="U644" s="751">
        <v>0</v>
      </c>
      <c r="V644" s="466">
        <v>0</v>
      </c>
      <c r="W644" s="751">
        <v>6.9390166927118244</v>
      </c>
      <c r="X644" s="378"/>
      <c r="Y644" s="180"/>
      <c r="Z644" s="180"/>
      <c r="AA644" s="180"/>
      <c r="AB644" s="180"/>
    </row>
    <row r="645" spans="1:28">
      <c r="A645" s="631" t="s">
        <v>104</v>
      </c>
      <c r="B645" s="388"/>
      <c r="C645" s="749">
        <v>11483670746.945402</v>
      </c>
      <c r="D645" s="749">
        <v>2198546120</v>
      </c>
      <c r="E645" s="749">
        <v>4767416164</v>
      </c>
      <c r="F645" s="749">
        <v>1112019734.23</v>
      </c>
      <c r="G645" s="749">
        <v>719227251</v>
      </c>
      <c r="H645" s="749">
        <v>474822860</v>
      </c>
      <c r="I645" s="749">
        <v>20755702876.175404</v>
      </c>
      <c r="J645" s="749">
        <v>736234627</v>
      </c>
      <c r="K645" s="749">
        <v>2214240480</v>
      </c>
      <c r="L645" s="749">
        <v>1164020723</v>
      </c>
      <c r="M645" s="749">
        <v>376520691</v>
      </c>
      <c r="N645" s="749">
        <v>649954621</v>
      </c>
      <c r="O645" s="749">
        <v>5140971142</v>
      </c>
      <c r="P645" s="749">
        <v>317058404.66957998</v>
      </c>
      <c r="Q645" s="749">
        <v>57217866</v>
      </c>
      <c r="R645" s="749">
        <v>0</v>
      </c>
      <c r="S645" s="749">
        <v>374276270.66957998</v>
      </c>
      <c r="T645" s="749">
        <v>0</v>
      </c>
      <c r="U645" s="749">
        <v>0</v>
      </c>
      <c r="V645" s="749">
        <v>0</v>
      </c>
      <c r="W645" s="749">
        <v>26270950288.844982</v>
      </c>
      <c r="X645" s="378"/>
      <c r="Y645" s="180"/>
      <c r="Z645" s="180"/>
      <c r="AA645" s="180"/>
      <c r="AB645" s="180"/>
    </row>
    <row r="646" spans="1:28">
      <c r="A646" s="631" t="s">
        <v>71</v>
      </c>
      <c r="B646" s="389"/>
      <c r="C646" s="750">
        <v>11953258639.532366</v>
      </c>
      <c r="D646" s="750">
        <v>2363204863</v>
      </c>
      <c r="E646" s="750">
        <v>4989767576.6700001</v>
      </c>
      <c r="F646" s="750">
        <v>1125538532.8099999</v>
      </c>
      <c r="G646" s="750">
        <v>755301329</v>
      </c>
      <c r="H646" s="750">
        <v>489048572.63</v>
      </c>
      <c r="I646" s="750">
        <v>21676119513.642365</v>
      </c>
      <c r="J646" s="750">
        <v>709606660.39999998</v>
      </c>
      <c r="K646" s="750">
        <v>2189961761.5999999</v>
      </c>
      <c r="L646" s="750">
        <v>1164589730.3800001</v>
      </c>
      <c r="M646" s="750">
        <v>373510914.30000001</v>
      </c>
      <c r="N646" s="750">
        <v>669104921</v>
      </c>
      <c r="O646" s="750">
        <v>5106773987.6799994</v>
      </c>
      <c r="P646" s="750">
        <v>339405780.62259996</v>
      </c>
      <c r="Q646" s="750">
        <v>60654633</v>
      </c>
      <c r="R646" s="750">
        <v>0</v>
      </c>
      <c r="S646" s="750">
        <v>400060413.62259996</v>
      </c>
      <c r="T646" s="750">
        <v>0</v>
      </c>
      <c r="U646" s="750">
        <v>0</v>
      </c>
      <c r="V646" s="750">
        <v>0</v>
      </c>
      <c r="W646" s="750">
        <v>27182953914.944969</v>
      </c>
      <c r="X646" s="378"/>
      <c r="Y646" s="180"/>
      <c r="Z646" s="180"/>
      <c r="AA646" s="180"/>
      <c r="AB646" s="180"/>
    </row>
    <row r="647" spans="1:28">
      <c r="A647" s="631" t="s">
        <v>58</v>
      </c>
      <c r="B647" s="634"/>
      <c r="C647" s="751">
        <v>4.0891793480919123</v>
      </c>
      <c r="D647" s="751">
        <v>7.4894377471599274</v>
      </c>
      <c r="E647" s="751">
        <v>4.6639815996982481</v>
      </c>
      <c r="F647" s="751">
        <v>1.2156977222495782</v>
      </c>
      <c r="G647" s="751">
        <v>5.0156717435057256</v>
      </c>
      <c r="H647" s="751">
        <v>2.9960041582665156</v>
      </c>
      <c r="I647" s="751">
        <v>4.4345240580769172</v>
      </c>
      <c r="J647" s="751">
        <v>-3.6167772641315912</v>
      </c>
      <c r="K647" s="751">
        <v>-1.0964806496537403</v>
      </c>
      <c r="L647" s="751">
        <v>4.8882925257002864E-2</v>
      </c>
      <c r="M647" s="751">
        <v>-0.79936555199830661</v>
      </c>
      <c r="N647" s="751">
        <v>2.9464056999142407</v>
      </c>
      <c r="O647" s="751">
        <v>-0.66518860688832571</v>
      </c>
      <c r="P647" s="751">
        <v>7.0483468105219051</v>
      </c>
      <c r="Q647" s="751">
        <v>6.0064578430799918</v>
      </c>
      <c r="R647" s="751">
        <v>0</v>
      </c>
      <c r="S647" s="751">
        <v>6.8890669736802082</v>
      </c>
      <c r="T647" s="751">
        <v>0</v>
      </c>
      <c r="U647" s="751">
        <v>0</v>
      </c>
      <c r="V647" s="751">
        <v>0</v>
      </c>
      <c r="W647" s="751">
        <v>3.4715288791332255</v>
      </c>
      <c r="X647" s="378"/>
      <c r="Y647" s="180"/>
      <c r="Z647" s="180"/>
      <c r="AA647" s="180"/>
      <c r="AB647" s="180"/>
    </row>
    <row r="648" spans="1:28">
      <c r="A648" s="631" t="s">
        <v>73</v>
      </c>
      <c r="B648" s="388"/>
      <c r="C648" s="391"/>
      <c r="D648" s="391"/>
      <c r="E648" s="391"/>
      <c r="F648" s="391"/>
      <c r="G648" s="391"/>
      <c r="H648" s="391"/>
      <c r="I648" s="749"/>
      <c r="J648" s="391"/>
      <c r="K648" s="391"/>
      <c r="L648" s="391"/>
      <c r="M648" s="391"/>
      <c r="N648" s="391"/>
      <c r="O648" s="749"/>
      <c r="P648" s="391"/>
      <c r="Q648" s="391"/>
      <c r="R648" s="391"/>
      <c r="S648" s="749"/>
      <c r="T648" s="391">
        <v>115898135.93529946</v>
      </c>
      <c r="U648" s="749">
        <v>115898135.93529946</v>
      </c>
      <c r="V648" s="391">
        <v>4311150191.96</v>
      </c>
      <c r="W648" s="749">
        <v>4427048327.8952999</v>
      </c>
      <c r="X648" s="378"/>
      <c r="Y648" s="180"/>
      <c r="Z648" s="180"/>
      <c r="AA648" s="180"/>
      <c r="AB648" s="180"/>
    </row>
    <row r="649" spans="1:28">
      <c r="A649" s="631" t="s">
        <v>75</v>
      </c>
      <c r="B649" s="389"/>
      <c r="C649" s="392"/>
      <c r="D649" s="392"/>
      <c r="E649" s="392"/>
      <c r="F649" s="392"/>
      <c r="G649" s="392"/>
      <c r="H649" s="392"/>
      <c r="I649" s="750"/>
      <c r="J649" s="392"/>
      <c r="K649" s="392"/>
      <c r="L649" s="392"/>
      <c r="M649" s="392"/>
      <c r="N649" s="392"/>
      <c r="O649" s="750"/>
      <c r="P649" s="392"/>
      <c r="Q649" s="392"/>
      <c r="R649" s="392"/>
      <c r="S649" s="750"/>
      <c r="T649" s="392">
        <v>119848201.96988812</v>
      </c>
      <c r="U649" s="750">
        <v>119848201.96988812</v>
      </c>
      <c r="V649" s="392">
        <v>4308642153.8500004</v>
      </c>
      <c r="W649" s="750">
        <v>4428490355.8198881</v>
      </c>
      <c r="X649" s="378"/>
      <c r="Y649" s="180"/>
      <c r="Z649" s="180"/>
      <c r="AA649" s="180"/>
      <c r="AB649" s="180"/>
    </row>
    <row r="650" spans="1:28">
      <c r="A650" s="631" t="s">
        <v>77</v>
      </c>
      <c r="B650" s="634"/>
      <c r="C650" s="466">
        <v>0</v>
      </c>
      <c r="D650" s="466">
        <v>0</v>
      </c>
      <c r="E650" s="466">
        <v>0</v>
      </c>
      <c r="F650" s="466">
        <v>0</v>
      </c>
      <c r="G650" s="466">
        <v>0</v>
      </c>
      <c r="H650" s="466">
        <v>0</v>
      </c>
      <c r="I650" s="751">
        <v>0</v>
      </c>
      <c r="J650" s="466">
        <v>0</v>
      </c>
      <c r="K650" s="466">
        <v>0</v>
      </c>
      <c r="L650" s="466">
        <v>0</v>
      </c>
      <c r="M650" s="466">
        <v>0</v>
      </c>
      <c r="N650" s="466">
        <v>0</v>
      </c>
      <c r="O650" s="751">
        <v>0</v>
      </c>
      <c r="P650" s="466">
        <v>0</v>
      </c>
      <c r="Q650" s="466">
        <v>0</v>
      </c>
      <c r="R650" s="466">
        <v>0</v>
      </c>
      <c r="S650" s="751">
        <v>0</v>
      </c>
      <c r="T650" s="466">
        <v>3.4082222312823074</v>
      </c>
      <c r="U650" s="751">
        <v>3.4082222312823074</v>
      </c>
      <c r="V650" s="466">
        <v>-5.8175614356395566E-2</v>
      </c>
      <c r="W650" s="751">
        <v>3.2573123620581075E-2</v>
      </c>
      <c r="X650" s="378"/>
      <c r="Y650" s="180"/>
      <c r="Z650" s="180"/>
      <c r="AA650" s="180"/>
      <c r="AB650" s="180"/>
    </row>
    <row r="651" spans="1:28">
      <c r="A651" s="631" t="s">
        <v>241</v>
      </c>
      <c r="B651" s="388"/>
      <c r="C651" s="391"/>
      <c r="D651" s="391"/>
      <c r="E651" s="391"/>
      <c r="F651" s="391"/>
      <c r="G651" s="391"/>
      <c r="H651" s="391"/>
      <c r="I651" s="749"/>
      <c r="J651" s="391"/>
      <c r="K651" s="391"/>
      <c r="L651" s="391"/>
      <c r="M651" s="391"/>
      <c r="N651" s="391"/>
      <c r="O651" s="749"/>
      <c r="P651" s="391"/>
      <c r="Q651" s="391"/>
      <c r="R651" s="391"/>
      <c r="S651" s="749"/>
      <c r="T651" s="391">
        <v>377716549</v>
      </c>
      <c r="U651" s="749">
        <v>377716549</v>
      </c>
      <c r="V651" s="391">
        <v>0</v>
      </c>
      <c r="W651" s="749">
        <v>377716549</v>
      </c>
      <c r="X651" s="378"/>
      <c r="Y651" s="180"/>
      <c r="Z651" s="180"/>
      <c r="AA651" s="180"/>
      <c r="AB651" s="180"/>
    </row>
    <row r="652" spans="1:28">
      <c r="A652" s="631" t="s">
        <v>164</v>
      </c>
      <c r="B652" s="389"/>
      <c r="C652" s="392"/>
      <c r="D652" s="392"/>
      <c r="E652" s="392"/>
      <c r="F652" s="392"/>
      <c r="G652" s="392"/>
      <c r="H652" s="392"/>
      <c r="I652" s="750"/>
      <c r="J652" s="392"/>
      <c r="K652" s="392"/>
      <c r="L652" s="392"/>
      <c r="M652" s="392"/>
      <c r="N652" s="392"/>
      <c r="O652" s="750"/>
      <c r="P652" s="392"/>
      <c r="Q652" s="392"/>
      <c r="R652" s="392"/>
      <c r="S652" s="750"/>
      <c r="T652" s="392">
        <v>378499524</v>
      </c>
      <c r="U652" s="750">
        <v>378499524</v>
      </c>
      <c r="V652" s="392">
        <v>0</v>
      </c>
      <c r="W652" s="750">
        <v>378499524</v>
      </c>
      <c r="X652" s="378"/>
      <c r="Y652" s="180"/>
      <c r="Z652" s="180"/>
      <c r="AA652" s="180"/>
      <c r="AB652" s="180"/>
    </row>
    <row r="653" spans="1:28">
      <c r="A653" s="631" t="s">
        <v>296</v>
      </c>
      <c r="B653" s="634"/>
      <c r="C653" s="466">
        <v>0</v>
      </c>
      <c r="D653" s="466">
        <v>0</v>
      </c>
      <c r="E653" s="466">
        <v>0</v>
      </c>
      <c r="F653" s="466">
        <v>0</v>
      </c>
      <c r="G653" s="466">
        <v>0</v>
      </c>
      <c r="H653" s="466">
        <v>0</v>
      </c>
      <c r="I653" s="751">
        <v>0</v>
      </c>
      <c r="J653" s="466">
        <v>0</v>
      </c>
      <c r="K653" s="466">
        <v>0</v>
      </c>
      <c r="L653" s="466">
        <v>0</v>
      </c>
      <c r="M653" s="466">
        <v>0</v>
      </c>
      <c r="N653" s="466">
        <v>0</v>
      </c>
      <c r="O653" s="751">
        <v>0</v>
      </c>
      <c r="P653" s="466">
        <v>0</v>
      </c>
      <c r="Q653" s="466">
        <v>0</v>
      </c>
      <c r="R653" s="466">
        <v>0</v>
      </c>
      <c r="S653" s="751">
        <v>0</v>
      </c>
      <c r="T653" s="466">
        <v>0.20729168527905831</v>
      </c>
      <c r="U653" s="751">
        <v>0.20729168527905831</v>
      </c>
      <c r="V653" s="466">
        <v>0</v>
      </c>
      <c r="W653" s="751">
        <v>0.20729168527905831</v>
      </c>
      <c r="X653" s="378"/>
      <c r="Y653" s="180"/>
      <c r="Z653" s="180"/>
      <c r="AA653" s="180"/>
      <c r="AB653" s="180"/>
    </row>
    <row r="654" spans="1:28">
      <c r="A654" s="631" t="s">
        <v>160</v>
      </c>
      <c r="B654" s="388"/>
      <c r="C654" s="391"/>
      <c r="D654" s="391"/>
      <c r="E654" s="391"/>
      <c r="F654" s="391"/>
      <c r="G654" s="391"/>
      <c r="H654" s="391"/>
      <c r="I654" s="749"/>
      <c r="J654" s="391"/>
      <c r="K654" s="391"/>
      <c r="L654" s="391"/>
      <c r="M654" s="391"/>
      <c r="N654" s="391"/>
      <c r="O654" s="749"/>
      <c r="P654" s="391"/>
      <c r="Q654" s="391"/>
      <c r="R654" s="391"/>
      <c r="S654" s="749"/>
      <c r="T654" s="391">
        <v>481576</v>
      </c>
      <c r="U654" s="749">
        <v>481576</v>
      </c>
      <c r="V654" s="391">
        <v>0</v>
      </c>
      <c r="W654" s="749">
        <v>481576</v>
      </c>
      <c r="X654" s="378"/>
      <c r="Y654" s="180"/>
      <c r="Z654" s="180"/>
      <c r="AA654" s="180"/>
      <c r="AB654" s="180"/>
    </row>
    <row r="655" spans="1:28">
      <c r="A655" s="631" t="s">
        <v>101</v>
      </c>
      <c r="B655" s="389"/>
      <c r="C655" s="392"/>
      <c r="D655" s="392"/>
      <c r="E655" s="392"/>
      <c r="F655" s="392"/>
      <c r="G655" s="392"/>
      <c r="H655" s="392"/>
      <c r="I655" s="750"/>
      <c r="J655" s="392"/>
      <c r="K655" s="392"/>
      <c r="L655" s="392"/>
      <c r="M655" s="392"/>
      <c r="N655" s="392"/>
      <c r="O655" s="750"/>
      <c r="P655" s="392"/>
      <c r="Q655" s="392"/>
      <c r="R655" s="392"/>
      <c r="S655" s="750"/>
      <c r="T655" s="392">
        <v>547260</v>
      </c>
      <c r="U655" s="750">
        <v>547260</v>
      </c>
      <c r="V655" s="392">
        <v>0</v>
      </c>
      <c r="W655" s="750">
        <v>547260</v>
      </c>
      <c r="X655" s="378"/>
      <c r="Y655" s="180"/>
      <c r="Z655" s="180"/>
      <c r="AA655" s="180"/>
      <c r="AB655" s="180"/>
    </row>
    <row r="656" spans="1:28">
      <c r="A656" s="631" t="s">
        <v>182</v>
      </c>
      <c r="B656" s="634"/>
      <c r="C656" s="466">
        <v>0</v>
      </c>
      <c r="D656" s="466">
        <v>0</v>
      </c>
      <c r="E656" s="466">
        <v>0</v>
      </c>
      <c r="F656" s="466">
        <v>0</v>
      </c>
      <c r="G656" s="466">
        <v>0</v>
      </c>
      <c r="H656" s="466">
        <v>0</v>
      </c>
      <c r="I656" s="751">
        <v>0</v>
      </c>
      <c r="J656" s="466">
        <v>0</v>
      </c>
      <c r="K656" s="466">
        <v>0</v>
      </c>
      <c r="L656" s="466">
        <v>0</v>
      </c>
      <c r="M656" s="466">
        <v>0</v>
      </c>
      <c r="N656" s="466">
        <v>0</v>
      </c>
      <c r="O656" s="751">
        <v>0</v>
      </c>
      <c r="P656" s="466">
        <v>0</v>
      </c>
      <c r="Q656" s="466">
        <v>0</v>
      </c>
      <c r="R656" s="466">
        <v>0</v>
      </c>
      <c r="S656" s="751">
        <v>0</v>
      </c>
      <c r="T656" s="466">
        <v>13.639384022459591</v>
      </c>
      <c r="U656" s="751">
        <v>13.639384022459591</v>
      </c>
      <c r="V656" s="466">
        <v>0</v>
      </c>
      <c r="W656" s="751">
        <v>13.639384022459591</v>
      </c>
      <c r="X656" s="378"/>
      <c r="Y656" s="180"/>
      <c r="Z656" s="180"/>
      <c r="AA656" s="180"/>
      <c r="AB656" s="180"/>
    </row>
    <row r="657" spans="1:28">
      <c r="A657" s="631" t="s">
        <v>162</v>
      </c>
      <c r="B657" s="388"/>
      <c r="C657" s="391">
        <v>0</v>
      </c>
      <c r="D657" s="391">
        <v>0</v>
      </c>
      <c r="E657" s="391">
        <v>0</v>
      </c>
      <c r="F657" s="391">
        <v>0</v>
      </c>
      <c r="G657" s="391">
        <v>0</v>
      </c>
      <c r="H657" s="391">
        <v>0</v>
      </c>
      <c r="I657" s="749">
        <v>0</v>
      </c>
      <c r="J657" s="391">
        <v>0</v>
      </c>
      <c r="K657" s="391">
        <v>0</v>
      </c>
      <c r="L657" s="391">
        <v>0</v>
      </c>
      <c r="M657" s="391">
        <v>0</v>
      </c>
      <c r="N657" s="391">
        <v>0</v>
      </c>
      <c r="O657" s="749">
        <v>0</v>
      </c>
      <c r="P657" s="391">
        <v>0</v>
      </c>
      <c r="Q657" s="391">
        <v>0</v>
      </c>
      <c r="R657" s="391">
        <v>0</v>
      </c>
      <c r="S657" s="749">
        <v>0</v>
      </c>
      <c r="T657" s="391">
        <v>378198125</v>
      </c>
      <c r="U657" s="749">
        <v>378198125</v>
      </c>
      <c r="V657" s="391">
        <v>0</v>
      </c>
      <c r="W657" s="749">
        <v>378198125</v>
      </c>
      <c r="X657" s="378"/>
      <c r="Y657" s="180"/>
      <c r="Z657" s="180"/>
      <c r="AA657" s="180"/>
      <c r="AB657" s="180"/>
    </row>
    <row r="658" spans="1:28">
      <c r="A658" s="631" t="s">
        <v>211</v>
      </c>
      <c r="B658" s="389"/>
      <c r="C658" s="392">
        <v>0</v>
      </c>
      <c r="D658" s="392">
        <v>0</v>
      </c>
      <c r="E658" s="392">
        <v>0</v>
      </c>
      <c r="F658" s="392">
        <v>0</v>
      </c>
      <c r="G658" s="392">
        <v>0</v>
      </c>
      <c r="H658" s="392">
        <v>0</v>
      </c>
      <c r="I658" s="750">
        <v>0</v>
      </c>
      <c r="J658" s="392">
        <v>0</v>
      </c>
      <c r="K658" s="392">
        <v>0</v>
      </c>
      <c r="L658" s="392">
        <v>0</v>
      </c>
      <c r="M658" s="392">
        <v>0</v>
      </c>
      <c r="N658" s="392">
        <v>0</v>
      </c>
      <c r="O658" s="750">
        <v>0</v>
      </c>
      <c r="P658" s="392">
        <v>0</v>
      </c>
      <c r="Q658" s="392">
        <v>0</v>
      </c>
      <c r="R658" s="392">
        <v>0</v>
      </c>
      <c r="S658" s="750">
        <v>0</v>
      </c>
      <c r="T658" s="392">
        <v>379046784</v>
      </c>
      <c r="U658" s="750">
        <v>379046784</v>
      </c>
      <c r="V658" s="392">
        <v>0</v>
      </c>
      <c r="W658" s="750">
        <v>379046784</v>
      </c>
      <c r="X658" s="378"/>
      <c r="Y658" s="180"/>
      <c r="Z658" s="180"/>
      <c r="AA658" s="180"/>
      <c r="AB658" s="180"/>
    </row>
    <row r="659" spans="1:28">
      <c r="A659" s="631" t="s">
        <v>184</v>
      </c>
      <c r="B659" s="634"/>
      <c r="C659" s="466">
        <v>0</v>
      </c>
      <c r="D659" s="466">
        <v>0</v>
      </c>
      <c r="E659" s="466">
        <v>0</v>
      </c>
      <c r="F659" s="466">
        <v>0</v>
      </c>
      <c r="G659" s="466">
        <v>0</v>
      </c>
      <c r="H659" s="466">
        <v>0</v>
      </c>
      <c r="I659" s="751">
        <v>0</v>
      </c>
      <c r="J659" s="466">
        <v>0</v>
      </c>
      <c r="K659" s="466">
        <v>0</v>
      </c>
      <c r="L659" s="466">
        <v>0</v>
      </c>
      <c r="M659" s="466">
        <v>0</v>
      </c>
      <c r="N659" s="466">
        <v>0</v>
      </c>
      <c r="O659" s="751">
        <v>0</v>
      </c>
      <c r="P659" s="466">
        <v>0</v>
      </c>
      <c r="Q659" s="466">
        <v>0</v>
      </c>
      <c r="R659" s="466">
        <v>0</v>
      </c>
      <c r="S659" s="751">
        <v>0</v>
      </c>
      <c r="T659" s="466">
        <v>0.2243953483375942</v>
      </c>
      <c r="U659" s="751">
        <v>0.2243953483375942</v>
      </c>
      <c r="V659" s="466">
        <v>0</v>
      </c>
      <c r="W659" s="751">
        <v>0.2243953483375942</v>
      </c>
      <c r="X659" s="378"/>
      <c r="Y659" s="180"/>
      <c r="Z659" s="180"/>
      <c r="AA659" s="180"/>
      <c r="AB659" s="180"/>
    </row>
    <row r="660" spans="1:28">
      <c r="A660" s="631" t="s">
        <v>79</v>
      </c>
      <c r="B660" s="388"/>
      <c r="C660" s="391">
        <v>916497654</v>
      </c>
      <c r="D660" s="391">
        <v>334198739</v>
      </c>
      <c r="E660" s="391">
        <v>139863650</v>
      </c>
      <c r="F660" s="391">
        <v>177232939</v>
      </c>
      <c r="G660" s="391"/>
      <c r="H660" s="391"/>
      <c r="I660" s="749">
        <v>1567792982</v>
      </c>
      <c r="J660" s="391"/>
      <c r="K660" s="391"/>
      <c r="L660" s="391"/>
      <c r="M660" s="391"/>
      <c r="N660" s="391"/>
      <c r="O660" s="749"/>
      <c r="P660" s="391"/>
      <c r="Q660" s="391"/>
      <c r="R660" s="391"/>
      <c r="S660" s="749"/>
      <c r="T660" s="391">
        <v>2417069166.3825264</v>
      </c>
      <c r="U660" s="749">
        <v>2417069166.3825264</v>
      </c>
      <c r="V660" s="391">
        <v>93538243</v>
      </c>
      <c r="W660" s="749">
        <v>4078400391.3825264</v>
      </c>
      <c r="X660" s="378"/>
      <c r="Y660" s="180"/>
      <c r="Z660" s="180"/>
      <c r="AA660" s="180"/>
      <c r="AB660" s="180"/>
    </row>
    <row r="661" spans="1:28">
      <c r="A661" s="631" t="s">
        <v>214</v>
      </c>
      <c r="B661" s="389"/>
      <c r="C661" s="392">
        <v>915493967</v>
      </c>
      <c r="D661" s="392">
        <v>318071512</v>
      </c>
      <c r="E661" s="392">
        <v>138621787</v>
      </c>
      <c r="F661" s="392">
        <v>189614274</v>
      </c>
      <c r="G661" s="392"/>
      <c r="H661" s="392"/>
      <c r="I661" s="750">
        <v>1561801540</v>
      </c>
      <c r="J661" s="392"/>
      <c r="K661" s="392"/>
      <c r="L661" s="392"/>
      <c r="M661" s="392"/>
      <c r="N661" s="392"/>
      <c r="O661" s="750"/>
      <c r="P661" s="392"/>
      <c r="Q661" s="392"/>
      <c r="R661" s="392"/>
      <c r="S661" s="750"/>
      <c r="T661" s="392">
        <v>2455314363.3197708</v>
      </c>
      <c r="U661" s="750">
        <v>2455314363.3197708</v>
      </c>
      <c r="V661" s="392">
        <v>94663616</v>
      </c>
      <c r="W661" s="750">
        <v>4111779519.3197708</v>
      </c>
      <c r="X661" s="378"/>
      <c r="Y661" s="180"/>
      <c r="Z661" s="180"/>
      <c r="AA661" s="180"/>
      <c r="AB661" s="180"/>
    </row>
    <row r="662" spans="1:28">
      <c r="A662" s="631" t="s">
        <v>216</v>
      </c>
      <c r="B662" s="634"/>
      <c r="C662" s="466">
        <v>-0.10951331905973433</v>
      </c>
      <c r="D662" s="466">
        <v>-4.8256396921952476</v>
      </c>
      <c r="E662" s="466">
        <v>-0.88790976068478122</v>
      </c>
      <c r="F662" s="466">
        <v>6.9859107849021234</v>
      </c>
      <c r="G662" s="466">
        <v>0</v>
      </c>
      <c r="H662" s="466">
        <v>0</v>
      </c>
      <c r="I662" s="751">
        <v>-0.38215772546429216</v>
      </c>
      <c r="J662" s="466">
        <v>0</v>
      </c>
      <c r="K662" s="466">
        <v>0</v>
      </c>
      <c r="L662" s="466">
        <v>0</v>
      </c>
      <c r="M662" s="466">
        <v>0</v>
      </c>
      <c r="N662" s="466">
        <v>0</v>
      </c>
      <c r="O662" s="751">
        <v>0</v>
      </c>
      <c r="P662" s="466">
        <v>0</v>
      </c>
      <c r="Q662" s="466">
        <v>0</v>
      </c>
      <c r="R662" s="466">
        <v>0</v>
      </c>
      <c r="S662" s="751">
        <v>0</v>
      </c>
      <c r="T662" s="466">
        <v>1.5822963392679228</v>
      </c>
      <c r="U662" s="751">
        <v>1.5822963392679228</v>
      </c>
      <c r="V662" s="466">
        <v>1.2031153931339078</v>
      </c>
      <c r="W662" s="751">
        <v>0.81843675789588943</v>
      </c>
      <c r="X662" s="378"/>
      <c r="Y662" s="180"/>
      <c r="Z662" s="180"/>
      <c r="AA662" s="180"/>
      <c r="AB662" s="180"/>
    </row>
    <row r="663" spans="1:28">
      <c r="A663" s="631" t="s">
        <v>82</v>
      </c>
      <c r="B663" s="388"/>
      <c r="C663" s="391">
        <v>477240245.95459735</v>
      </c>
      <c r="D663" s="391">
        <v>137813818</v>
      </c>
      <c r="E663" s="391">
        <v>80103950</v>
      </c>
      <c r="F663" s="391">
        <v>43211088</v>
      </c>
      <c r="G663" s="391"/>
      <c r="H663" s="391"/>
      <c r="I663" s="749">
        <v>738369101.95459735</v>
      </c>
      <c r="J663" s="391"/>
      <c r="K663" s="391"/>
      <c r="L663" s="391"/>
      <c r="M663" s="391"/>
      <c r="N663" s="391"/>
      <c r="O663" s="749"/>
      <c r="P663" s="391"/>
      <c r="Q663" s="391"/>
      <c r="R663" s="391"/>
      <c r="S663" s="749"/>
      <c r="T663" s="391">
        <v>557242025</v>
      </c>
      <c r="U663" s="749">
        <v>557242025</v>
      </c>
      <c r="V663" s="391"/>
      <c r="W663" s="749">
        <v>1295611126.9545975</v>
      </c>
      <c r="X663" s="378"/>
      <c r="Y663" s="180"/>
      <c r="Z663" s="180"/>
      <c r="AA663" s="180"/>
      <c r="AB663" s="180"/>
    </row>
    <row r="664" spans="1:28">
      <c r="A664" s="631" t="s">
        <v>235</v>
      </c>
      <c r="B664" s="389"/>
      <c r="C664" s="392">
        <v>522656948.60763401</v>
      </c>
      <c r="D664" s="392">
        <v>145074815</v>
      </c>
      <c r="E664" s="392">
        <v>80858606</v>
      </c>
      <c r="F664" s="392">
        <v>55494799</v>
      </c>
      <c r="G664" s="392"/>
      <c r="H664" s="392"/>
      <c r="I664" s="750">
        <v>804085168.60763407</v>
      </c>
      <c r="J664" s="392"/>
      <c r="K664" s="392"/>
      <c r="L664" s="392"/>
      <c r="M664" s="392"/>
      <c r="N664" s="392"/>
      <c r="O664" s="750"/>
      <c r="P664" s="392"/>
      <c r="Q664" s="392"/>
      <c r="R664" s="392"/>
      <c r="S664" s="750"/>
      <c r="T664" s="392">
        <v>592451379</v>
      </c>
      <c r="U664" s="750">
        <v>592451379</v>
      </c>
      <c r="V664" s="392"/>
      <c r="W664" s="750">
        <v>1396536547.6076341</v>
      </c>
      <c r="X664" s="378"/>
      <c r="Y664" s="180"/>
      <c r="Z664" s="180"/>
      <c r="AA664" s="180"/>
      <c r="AB664" s="180"/>
    </row>
    <row r="665" spans="1:28">
      <c r="A665" s="631" t="s">
        <v>237</v>
      </c>
      <c r="B665" s="634"/>
      <c r="C665" s="466">
        <v>9.5165282136237543</v>
      </c>
      <c r="D665" s="466">
        <v>5.2687002692284457</v>
      </c>
      <c r="E665" s="466">
        <v>0.94209586418647262</v>
      </c>
      <c r="F665" s="466">
        <v>28.427219883933496</v>
      </c>
      <c r="G665" s="466">
        <v>0</v>
      </c>
      <c r="H665" s="466">
        <v>0</v>
      </c>
      <c r="I665" s="751">
        <v>8.9001647657078724</v>
      </c>
      <c r="J665" s="466">
        <v>0</v>
      </c>
      <c r="K665" s="466">
        <v>0</v>
      </c>
      <c r="L665" s="466">
        <v>0</v>
      </c>
      <c r="M665" s="466">
        <v>0</v>
      </c>
      <c r="N665" s="466">
        <v>0</v>
      </c>
      <c r="O665" s="751">
        <v>0</v>
      </c>
      <c r="P665" s="466">
        <v>0</v>
      </c>
      <c r="Q665" s="466">
        <v>0</v>
      </c>
      <c r="R665" s="466">
        <v>0</v>
      </c>
      <c r="S665" s="751">
        <v>0</v>
      </c>
      <c r="T665" s="466">
        <v>6.3185029879970021</v>
      </c>
      <c r="U665" s="751">
        <v>6.3185029879970021</v>
      </c>
      <c r="V665" s="466">
        <v>0</v>
      </c>
      <c r="W665" s="751">
        <v>7.7897926741542527</v>
      </c>
      <c r="X665" s="378"/>
      <c r="Y665" s="180"/>
      <c r="Z665" s="180"/>
      <c r="AA665" s="180"/>
      <c r="AB665" s="180"/>
    </row>
    <row r="666" spans="1:28">
      <c r="A666" s="631" t="s">
        <v>20</v>
      </c>
      <c r="B666" s="388"/>
      <c r="C666" s="391">
        <v>19893883414.602718</v>
      </c>
      <c r="D666" s="391">
        <v>3677764697</v>
      </c>
      <c r="E666" s="391">
        <v>7993531017.9711046</v>
      </c>
      <c r="F666" s="391">
        <v>1946980214.74</v>
      </c>
      <c r="G666" s="391">
        <v>1254415798.6982088</v>
      </c>
      <c r="H666" s="391">
        <v>876214106.22000003</v>
      </c>
      <c r="I666" s="749">
        <v>35642789249.232033</v>
      </c>
      <c r="J666" s="391">
        <v>1766081112</v>
      </c>
      <c r="K666" s="391">
        <v>5641190564.7568588</v>
      </c>
      <c r="L666" s="391">
        <v>2949204729.4088287</v>
      </c>
      <c r="M666" s="391">
        <v>1040831087.3673456</v>
      </c>
      <c r="N666" s="391">
        <v>1516932124</v>
      </c>
      <c r="O666" s="749">
        <v>12914239617.533033</v>
      </c>
      <c r="P666" s="391">
        <v>667617211.70654738</v>
      </c>
      <c r="Q666" s="391">
        <v>213515672</v>
      </c>
      <c r="R666" s="391">
        <v>7890076</v>
      </c>
      <c r="S666" s="749">
        <v>889022959.70654738</v>
      </c>
      <c r="T666" s="391">
        <v>1088360</v>
      </c>
      <c r="U666" s="749">
        <v>1088360</v>
      </c>
      <c r="V666" s="391">
        <v>390787466.83000004</v>
      </c>
      <c r="W666" s="749">
        <v>49837927653.301613</v>
      </c>
      <c r="X666" s="378"/>
      <c r="Y666" s="180"/>
      <c r="Z666" s="180"/>
      <c r="AA666" s="180"/>
      <c r="AB666" s="180"/>
    </row>
    <row r="667" spans="1:28">
      <c r="A667" s="631" t="s">
        <v>22</v>
      </c>
      <c r="B667" s="389"/>
      <c r="C667" s="392">
        <v>20425462048.436523</v>
      </c>
      <c r="D667" s="392">
        <v>3912483892.8000002</v>
      </c>
      <c r="E667" s="392">
        <v>8275759951.5861778</v>
      </c>
      <c r="F667" s="392">
        <v>1984162062</v>
      </c>
      <c r="G667" s="392">
        <v>1301436063.6644619</v>
      </c>
      <c r="H667" s="392">
        <v>893419760.63</v>
      </c>
      <c r="I667" s="750">
        <v>36792723779.117165</v>
      </c>
      <c r="J667" s="392">
        <v>1744792071.4000001</v>
      </c>
      <c r="K667" s="392">
        <v>5614461991.9469223</v>
      </c>
      <c r="L667" s="392">
        <v>2960225438.9671793</v>
      </c>
      <c r="M667" s="392">
        <v>1053157205.2841406</v>
      </c>
      <c r="N667" s="392">
        <v>1538266844</v>
      </c>
      <c r="O667" s="750">
        <v>12910903551.598242</v>
      </c>
      <c r="P667" s="392">
        <v>687925245.38435805</v>
      </c>
      <c r="Q667" s="392">
        <v>215936463</v>
      </c>
      <c r="R667" s="392">
        <v>7948826</v>
      </c>
      <c r="S667" s="750">
        <v>911810534.38435805</v>
      </c>
      <c r="T667" s="392">
        <v>1288568</v>
      </c>
      <c r="U667" s="750">
        <v>1288568</v>
      </c>
      <c r="V667" s="392">
        <v>419022291.30000001</v>
      </c>
      <c r="W667" s="750">
        <v>51035748724.399765</v>
      </c>
      <c r="X667" s="378"/>
      <c r="Y667" s="180"/>
      <c r="Z667" s="180"/>
      <c r="AA667" s="180"/>
      <c r="AB667" s="180"/>
    </row>
    <row r="668" spans="1:28" ht="13.5" thickBot="1">
      <c r="A668" s="635" t="s">
        <v>24</v>
      </c>
      <c r="B668" s="634"/>
      <c r="C668" s="466">
        <v>2.6720707202074299</v>
      </c>
      <c r="D668" s="466">
        <v>6.3821156364751568</v>
      </c>
      <c r="E668" s="466">
        <v>3.5307166880389209</v>
      </c>
      <c r="F668" s="466">
        <v>1.9097188034324868</v>
      </c>
      <c r="G668" s="466">
        <v>3.7483795257560626</v>
      </c>
      <c r="H668" s="466">
        <v>1.9636358611282121</v>
      </c>
      <c r="I668" s="751">
        <v>3.2262753676324829</v>
      </c>
      <c r="J668" s="466">
        <v>-1.205439572132172</v>
      </c>
      <c r="K668" s="466">
        <v>-0.47381084725132938</v>
      </c>
      <c r="L668" s="466">
        <v>0.37368411383768796</v>
      </c>
      <c r="M668" s="466">
        <v>1.1842572792452248</v>
      </c>
      <c r="N668" s="466">
        <v>1.4064386706863623</v>
      </c>
      <c r="O668" s="751">
        <v>-2.5832461171483537E-2</v>
      </c>
      <c r="P668" s="466">
        <v>3.0418679030008269</v>
      </c>
      <c r="Q668" s="466">
        <v>1.1337767281082767</v>
      </c>
      <c r="R668" s="466">
        <v>0.74460626234778982</v>
      </c>
      <c r="S668" s="751">
        <v>2.5632155422996603</v>
      </c>
      <c r="T668" s="466">
        <v>18.395383880333714</v>
      </c>
      <c r="U668" s="751">
        <v>18.395383880333714</v>
      </c>
      <c r="V668" s="466">
        <v>7.2251100320683141</v>
      </c>
      <c r="W668" s="751">
        <v>2.4034327418884964</v>
      </c>
      <c r="X668" s="378"/>
      <c r="Y668" s="180"/>
      <c r="Z668" s="180"/>
      <c r="AA668" s="180"/>
      <c r="AB668" s="180"/>
    </row>
    <row r="669" spans="1:28" ht="13.5" thickTop="1">
      <c r="A669" s="1444"/>
      <c r="B669" s="1445"/>
      <c r="C669" s="1452"/>
      <c r="D669" s="1453"/>
      <c r="E669" s="1453"/>
      <c r="F669" s="1453"/>
      <c r="G669" s="1453"/>
      <c r="H669" s="1453"/>
      <c r="I669" s="1455"/>
      <c r="J669" s="1454"/>
      <c r="K669" s="1453"/>
      <c r="L669" s="1453"/>
      <c r="M669" s="1453"/>
      <c r="N669" s="1453"/>
      <c r="O669" s="1455"/>
      <c r="P669" s="1452"/>
      <c r="Q669" s="1453"/>
      <c r="R669" s="1453"/>
      <c r="S669" s="1457"/>
      <c r="T669" s="1452"/>
      <c r="U669" s="1457"/>
      <c r="V669" s="1454"/>
      <c r="W669" s="1459"/>
      <c r="X669" s="378"/>
      <c r="Y669" s="385"/>
      <c r="Z669" s="385"/>
      <c r="AA669" s="385"/>
      <c r="AB669" s="385"/>
    </row>
    <row r="670" spans="1:28">
      <c r="A670" s="1444"/>
      <c r="B670" s="1445"/>
      <c r="C670" s="1438"/>
      <c r="D670" s="1439"/>
      <c r="E670" s="1439"/>
      <c r="F670" s="1439"/>
      <c r="G670" s="1439"/>
      <c r="H670" s="1439"/>
      <c r="I670" s="1450"/>
      <c r="J670" s="1440"/>
      <c r="K670" s="1439"/>
      <c r="L670" s="1439"/>
      <c r="M670" s="1439"/>
      <c r="N670" s="1439"/>
      <c r="O670" s="1450"/>
      <c r="P670" s="1438"/>
      <c r="Q670" s="1439"/>
      <c r="R670" s="1439"/>
      <c r="S670" s="1448"/>
      <c r="T670" s="1438"/>
      <c r="U670" s="1448"/>
      <c r="V670" s="1440"/>
      <c r="W670" s="1451"/>
      <c r="X670" s="378"/>
      <c r="Y670" s="385"/>
      <c r="Z670" s="385"/>
      <c r="AA670" s="385"/>
      <c r="AB670" s="385"/>
    </row>
    <row r="671" spans="1:28">
      <c r="A671" s="1444"/>
      <c r="B671" s="1445"/>
      <c r="C671" s="1438"/>
      <c r="D671" s="1439"/>
      <c r="E671" s="1439"/>
      <c r="F671" s="1439"/>
      <c r="G671" s="1439"/>
      <c r="H671" s="1439"/>
      <c r="I671" s="1450"/>
      <c r="J671" s="1440"/>
      <c r="K671" s="1439"/>
      <c r="L671" s="1439"/>
      <c r="M671" s="1439"/>
      <c r="N671" s="1439"/>
      <c r="O671" s="1450"/>
      <c r="P671" s="1438"/>
      <c r="Q671" s="1439"/>
      <c r="R671" s="1439"/>
      <c r="S671" s="1448"/>
      <c r="T671" s="1438"/>
      <c r="U671" s="1448"/>
      <c r="V671" s="1440"/>
      <c r="W671" s="1451"/>
      <c r="X671" s="378"/>
      <c r="Y671" s="385"/>
      <c r="Z671" s="385"/>
      <c r="AA671" s="385"/>
      <c r="AB671" s="385"/>
    </row>
    <row r="672" spans="1:28">
      <c r="A672" s="1444"/>
      <c r="B672" s="1445"/>
      <c r="C672" s="1438"/>
      <c r="D672" s="1439"/>
      <c r="E672" s="1439"/>
      <c r="F672" s="1439"/>
      <c r="G672" s="1439"/>
      <c r="H672" s="1439"/>
      <c r="I672" s="1450"/>
      <c r="J672" s="1440"/>
      <c r="K672" s="1439"/>
      <c r="L672" s="1439"/>
      <c r="M672" s="1439"/>
      <c r="N672" s="1439"/>
      <c r="O672" s="1450"/>
      <c r="P672" s="1438"/>
      <c r="Q672" s="1439"/>
      <c r="R672" s="1439"/>
      <c r="S672" s="1448"/>
      <c r="T672" s="1438"/>
      <c r="U672" s="1448"/>
      <c r="V672" s="1440"/>
      <c r="W672" s="1451"/>
      <c r="X672" s="378"/>
      <c r="Y672" s="385"/>
      <c r="Z672" s="385"/>
      <c r="AA672" s="385"/>
      <c r="AB672" s="385"/>
    </row>
    <row r="673" spans="1:28">
      <c r="A673" s="1444"/>
      <c r="B673" s="1445"/>
      <c r="C673" s="1438"/>
      <c r="D673" s="1439"/>
      <c r="E673" s="1439"/>
      <c r="F673" s="1439"/>
      <c r="G673" s="1439"/>
      <c r="H673" s="1439"/>
      <c r="I673" s="1450"/>
      <c r="J673" s="1440"/>
      <c r="K673" s="1439"/>
      <c r="L673" s="1439"/>
      <c r="M673" s="1439"/>
      <c r="N673" s="1439"/>
      <c r="O673" s="1450"/>
      <c r="P673" s="1438"/>
      <c r="Q673" s="1439"/>
      <c r="R673" s="1439"/>
      <c r="S673" s="1448"/>
      <c r="T673" s="1438"/>
      <c r="U673" s="1448"/>
      <c r="V673" s="1440"/>
      <c r="W673" s="1451"/>
      <c r="X673" s="378"/>
      <c r="Y673" s="385"/>
      <c r="Z673" s="385"/>
      <c r="AA673" s="385"/>
      <c r="AB673" s="385"/>
    </row>
    <row r="674" spans="1:28">
      <c r="A674" s="1444"/>
      <c r="B674" s="1445"/>
      <c r="C674" s="1438"/>
      <c r="D674" s="1439"/>
      <c r="E674" s="1439"/>
      <c r="F674" s="1439"/>
      <c r="G674" s="1439"/>
      <c r="H674" s="1439"/>
      <c r="I674" s="1450"/>
      <c r="J674" s="1440"/>
      <c r="K674" s="1439"/>
      <c r="L674" s="1439"/>
      <c r="M674" s="1439"/>
      <c r="N674" s="1439"/>
      <c r="O674" s="1450"/>
      <c r="P674" s="1438"/>
      <c r="Q674" s="1439"/>
      <c r="R674" s="1439"/>
      <c r="S674" s="1448"/>
      <c r="T674" s="1438"/>
      <c r="U674" s="1448"/>
      <c r="V674" s="1440"/>
      <c r="W674" s="1451"/>
      <c r="X674" s="378"/>
      <c r="Y674" s="385"/>
      <c r="Z674" s="385"/>
      <c r="AA674" s="385"/>
      <c r="AB674" s="385"/>
    </row>
    <row r="675" spans="1:28">
      <c r="A675" s="1444"/>
      <c r="B675" s="1445"/>
      <c r="C675" s="1438"/>
      <c r="D675" s="1439"/>
      <c r="E675" s="1439"/>
      <c r="F675" s="1439"/>
      <c r="G675" s="1439"/>
      <c r="H675" s="1439"/>
      <c r="I675" s="1450"/>
      <c r="J675" s="1440"/>
      <c r="K675" s="1439"/>
      <c r="L675" s="1439"/>
      <c r="M675" s="1439"/>
      <c r="N675" s="1439"/>
      <c r="O675" s="1450"/>
      <c r="P675" s="1438"/>
      <c r="Q675" s="1439"/>
      <c r="R675" s="1439"/>
      <c r="S675" s="1448"/>
      <c r="T675" s="1438"/>
      <c r="U675" s="1448"/>
      <c r="V675" s="1440"/>
      <c r="W675" s="1451"/>
      <c r="X675" s="378"/>
      <c r="Y675" s="385"/>
      <c r="Z675" s="385"/>
      <c r="AA675" s="385"/>
      <c r="AB675" s="385"/>
    </row>
    <row r="676" spans="1:28">
      <c r="A676" s="1444"/>
      <c r="B676" s="1445"/>
      <c r="C676" s="1438"/>
      <c r="D676" s="1439"/>
      <c r="E676" s="1439"/>
      <c r="F676" s="1439"/>
      <c r="G676" s="1439"/>
      <c r="H676" s="1439"/>
      <c r="I676" s="1450"/>
      <c r="J676" s="1440"/>
      <c r="K676" s="1439"/>
      <c r="L676" s="1439"/>
      <c r="M676" s="1439"/>
      <c r="N676" s="1439"/>
      <c r="O676" s="1450"/>
      <c r="P676" s="1438"/>
      <c r="Q676" s="1439"/>
      <c r="R676" s="1439"/>
      <c r="S676" s="1448"/>
      <c r="T676" s="1438"/>
      <c r="U676" s="1448"/>
      <c r="V676" s="1440"/>
      <c r="W676" s="1451"/>
      <c r="X676" s="378"/>
      <c r="Y676" s="385"/>
      <c r="Z676" s="385"/>
      <c r="AA676" s="385"/>
      <c r="AB676" s="385"/>
    </row>
    <row r="677" spans="1:28">
      <c r="A677" s="1444"/>
      <c r="B677" s="1445"/>
      <c r="C677" s="1438"/>
      <c r="D677" s="1439"/>
      <c r="E677" s="1439"/>
      <c r="F677" s="1439"/>
      <c r="G677" s="1439"/>
      <c r="H677" s="1439"/>
      <c r="I677" s="1450"/>
      <c r="J677" s="1440"/>
      <c r="K677" s="1439"/>
      <c r="L677" s="1439"/>
      <c r="M677" s="1439"/>
      <c r="N677" s="1439"/>
      <c r="O677" s="1450"/>
      <c r="P677" s="1438"/>
      <c r="Q677" s="1439"/>
      <c r="R677" s="1439"/>
      <c r="S677" s="1448"/>
      <c r="T677" s="1438"/>
      <c r="U677" s="1448"/>
      <c r="V677" s="1440"/>
      <c r="W677" s="1451"/>
      <c r="X677" s="378"/>
      <c r="Y677" s="385"/>
      <c r="Z677" s="385"/>
      <c r="AA677" s="385"/>
      <c r="AB677" s="385"/>
    </row>
    <row r="678" spans="1:28">
      <c r="A678" s="1444"/>
      <c r="B678" s="1445"/>
      <c r="C678" s="1438"/>
      <c r="D678" s="1439"/>
      <c r="E678" s="1439"/>
      <c r="F678" s="1439"/>
      <c r="G678" s="1439"/>
      <c r="H678" s="1439"/>
      <c r="I678" s="1450"/>
      <c r="J678" s="1440"/>
      <c r="K678" s="1439"/>
      <c r="L678" s="1439"/>
      <c r="M678" s="1439"/>
      <c r="N678" s="1439"/>
      <c r="O678" s="1450"/>
      <c r="P678" s="1438"/>
      <c r="Q678" s="1439"/>
      <c r="R678" s="1439"/>
      <c r="S678" s="1448"/>
      <c r="T678" s="1438"/>
      <c r="U678" s="1448"/>
      <c r="V678" s="1440"/>
      <c r="W678" s="1451"/>
      <c r="X678" s="378"/>
      <c r="Y678" s="385"/>
      <c r="Z678" s="385"/>
      <c r="AA678" s="385"/>
      <c r="AB678" s="385"/>
    </row>
    <row r="679" spans="1:28">
      <c r="A679" s="1444"/>
      <c r="B679" s="1445"/>
      <c r="C679" s="1438"/>
      <c r="D679" s="1439"/>
      <c r="E679" s="1439"/>
      <c r="F679" s="1439"/>
      <c r="G679" s="1439"/>
      <c r="H679" s="1439"/>
      <c r="I679" s="1450"/>
      <c r="J679" s="1440"/>
      <c r="K679" s="1439"/>
      <c r="L679" s="1439"/>
      <c r="M679" s="1439"/>
      <c r="N679" s="1439"/>
      <c r="O679" s="1450"/>
      <c r="P679" s="1438"/>
      <c r="Q679" s="1439"/>
      <c r="R679" s="1439"/>
      <c r="S679" s="1448"/>
      <c r="T679" s="1438"/>
      <c r="U679" s="1448"/>
      <c r="V679" s="1440"/>
      <c r="W679" s="1451"/>
      <c r="X679" s="378"/>
      <c r="Y679" s="385"/>
      <c r="Z679" s="385"/>
      <c r="AA679" s="385"/>
      <c r="AB679" s="385"/>
    </row>
    <row r="680" spans="1:28">
      <c r="A680" s="1444"/>
      <c r="B680" s="1445"/>
      <c r="C680" s="1438"/>
      <c r="D680" s="1439"/>
      <c r="E680" s="1439"/>
      <c r="F680" s="1439"/>
      <c r="G680" s="1439"/>
      <c r="H680" s="1439"/>
      <c r="I680" s="1450"/>
      <c r="J680" s="1440"/>
      <c r="K680" s="1439"/>
      <c r="L680" s="1439"/>
      <c r="M680" s="1439"/>
      <c r="N680" s="1439"/>
      <c r="O680" s="1450"/>
      <c r="P680" s="1438"/>
      <c r="Q680" s="1439"/>
      <c r="R680" s="1439"/>
      <c r="S680" s="1448"/>
      <c r="T680" s="1438"/>
      <c r="U680" s="1448"/>
      <c r="V680" s="1440"/>
      <c r="W680" s="1451"/>
      <c r="X680" s="378"/>
      <c r="Y680" s="385"/>
      <c r="Z680" s="385"/>
      <c r="AA680" s="385"/>
      <c r="AB680" s="385"/>
    </row>
    <row r="681" spans="1:28">
      <c r="A681" s="1444"/>
      <c r="B681" s="1445"/>
      <c r="C681" s="1438"/>
      <c r="D681" s="1439"/>
      <c r="E681" s="1439"/>
      <c r="F681" s="1439"/>
      <c r="G681" s="1439"/>
      <c r="H681" s="1439"/>
      <c r="I681" s="1450"/>
      <c r="J681" s="1440"/>
      <c r="K681" s="1439"/>
      <c r="L681" s="1439"/>
      <c r="M681" s="1439"/>
      <c r="N681" s="1439"/>
      <c r="O681" s="1450"/>
      <c r="P681" s="1438"/>
      <c r="Q681" s="1439"/>
      <c r="R681" s="1439"/>
      <c r="S681" s="1448"/>
      <c r="T681" s="1438"/>
      <c r="U681" s="1448"/>
      <c r="V681" s="1440"/>
      <c r="W681" s="1451"/>
      <c r="X681" s="378"/>
      <c r="Y681" s="385"/>
      <c r="Z681" s="385"/>
      <c r="AA681" s="385"/>
      <c r="AB681" s="385"/>
    </row>
    <row r="682" spans="1:28">
      <c r="A682" s="1444"/>
      <c r="B682" s="1445"/>
      <c r="C682" s="1438"/>
      <c r="D682" s="1439"/>
      <c r="E682" s="1439"/>
      <c r="F682" s="1439"/>
      <c r="G682" s="1439"/>
      <c r="H682" s="1439"/>
      <c r="I682" s="1450"/>
      <c r="J682" s="1440"/>
      <c r="K682" s="1439"/>
      <c r="L682" s="1439"/>
      <c r="M682" s="1439"/>
      <c r="N682" s="1439"/>
      <c r="O682" s="1450"/>
      <c r="P682" s="1438"/>
      <c r="Q682" s="1439"/>
      <c r="R682" s="1439"/>
      <c r="S682" s="1448"/>
      <c r="T682" s="1438"/>
      <c r="U682" s="1448"/>
      <c r="V682" s="1440"/>
      <c r="W682" s="1451"/>
      <c r="X682" s="378"/>
      <c r="Y682" s="385"/>
      <c r="Z682" s="385"/>
      <c r="AA682" s="385"/>
      <c r="AB682" s="385"/>
    </row>
    <row r="683" spans="1:28">
      <c r="A683" s="1444"/>
      <c r="B683" s="1445"/>
      <c r="C683" s="1438"/>
      <c r="D683" s="1439"/>
      <c r="E683" s="1439"/>
      <c r="F683" s="1439"/>
      <c r="G683" s="1439"/>
      <c r="H683" s="1439"/>
      <c r="I683" s="1450"/>
      <c r="J683" s="1440"/>
      <c r="K683" s="1439"/>
      <c r="L683" s="1439"/>
      <c r="M683" s="1439"/>
      <c r="N683" s="1439"/>
      <c r="O683" s="1450"/>
      <c r="P683" s="1438"/>
      <c r="Q683" s="1439"/>
      <c r="R683" s="1439"/>
      <c r="S683" s="1448"/>
      <c r="T683" s="1438"/>
      <c r="U683" s="1448"/>
      <c r="V683" s="1440"/>
      <c r="W683" s="1451"/>
      <c r="X683" s="378"/>
      <c r="Y683" s="385"/>
      <c r="Z683" s="385"/>
      <c r="AA683" s="385"/>
      <c r="AB683" s="385"/>
    </row>
    <row r="684" spans="1:28">
      <c r="A684" s="1444"/>
      <c r="B684" s="1445"/>
      <c r="C684" s="1448"/>
      <c r="D684" s="1449"/>
      <c r="E684" s="1449"/>
      <c r="F684" s="1449"/>
      <c r="G684" s="1449"/>
      <c r="H684" s="1449"/>
      <c r="I684" s="1450"/>
      <c r="J684" s="1450"/>
      <c r="K684" s="1449"/>
      <c r="L684" s="1449"/>
      <c r="M684" s="1449"/>
      <c r="N684" s="1449"/>
      <c r="O684" s="1450"/>
      <c r="P684" s="1448"/>
      <c r="Q684" s="1449"/>
      <c r="R684" s="1449"/>
      <c r="S684" s="1448"/>
      <c r="T684" s="1448"/>
      <c r="U684" s="1448"/>
      <c r="V684" s="1450"/>
      <c r="W684" s="1451"/>
      <c r="X684" s="378"/>
      <c r="Y684" s="385"/>
      <c r="Z684" s="385"/>
      <c r="AA684" s="385"/>
      <c r="AB684" s="385"/>
    </row>
    <row r="685" spans="1:28">
      <c r="A685" s="1444"/>
      <c r="B685" s="1445"/>
      <c r="C685" s="1448"/>
      <c r="D685" s="1449"/>
      <c r="E685" s="1449"/>
      <c r="F685" s="1449"/>
      <c r="G685" s="1449"/>
      <c r="H685" s="1449"/>
      <c r="I685" s="1450"/>
      <c r="J685" s="1450"/>
      <c r="K685" s="1449"/>
      <c r="L685" s="1449"/>
      <c r="M685" s="1449"/>
      <c r="N685" s="1449"/>
      <c r="O685" s="1450"/>
      <c r="P685" s="1448"/>
      <c r="Q685" s="1449"/>
      <c r="R685" s="1449"/>
      <c r="S685" s="1448"/>
      <c r="T685" s="1448"/>
      <c r="U685" s="1448"/>
      <c r="V685" s="1450"/>
      <c r="W685" s="1451"/>
      <c r="X685" s="378"/>
      <c r="Y685" s="385"/>
      <c r="Z685" s="385"/>
      <c r="AA685" s="385"/>
      <c r="AB685" s="385"/>
    </row>
    <row r="686" spans="1:28">
      <c r="A686" s="1444"/>
      <c r="B686" s="1445"/>
      <c r="C686" s="1448"/>
      <c r="D686" s="1449"/>
      <c r="E686" s="1449"/>
      <c r="F686" s="1449"/>
      <c r="G686" s="1449"/>
      <c r="H686" s="1449"/>
      <c r="I686" s="1450"/>
      <c r="J686" s="1450"/>
      <c r="K686" s="1449"/>
      <c r="L686" s="1449"/>
      <c r="M686" s="1449"/>
      <c r="N686" s="1449"/>
      <c r="O686" s="1450"/>
      <c r="P686" s="1448"/>
      <c r="Q686" s="1449"/>
      <c r="R686" s="1449"/>
      <c r="S686" s="1448"/>
      <c r="T686" s="1448"/>
      <c r="U686" s="1448"/>
      <c r="V686" s="1450"/>
      <c r="W686" s="1451"/>
      <c r="X686" s="378"/>
      <c r="Y686" s="385"/>
      <c r="Z686" s="385"/>
      <c r="AA686" s="385"/>
      <c r="AB686" s="385"/>
    </row>
    <row r="687" spans="1:28">
      <c r="A687" s="1444"/>
      <c r="B687" s="1445"/>
      <c r="C687" s="1438"/>
      <c r="D687" s="1439"/>
      <c r="E687" s="1439"/>
      <c r="F687" s="1439"/>
      <c r="G687" s="1439"/>
      <c r="H687" s="1439"/>
      <c r="I687" s="1450"/>
      <c r="J687" s="1440"/>
      <c r="K687" s="1439"/>
      <c r="L687" s="1439"/>
      <c r="M687" s="1439"/>
      <c r="N687" s="1439"/>
      <c r="O687" s="1450"/>
      <c r="P687" s="1438"/>
      <c r="Q687" s="1439"/>
      <c r="R687" s="1439"/>
      <c r="S687" s="1448"/>
      <c r="T687" s="1438"/>
      <c r="U687" s="1448"/>
      <c r="V687" s="1440"/>
      <c r="W687" s="1451"/>
      <c r="X687" s="378"/>
      <c r="Y687" s="385"/>
      <c r="Z687" s="385"/>
      <c r="AA687" s="385"/>
      <c r="AB687" s="385"/>
    </row>
    <row r="688" spans="1:28">
      <c r="A688" s="1444"/>
      <c r="B688" s="1445"/>
      <c r="C688" s="1438"/>
      <c r="D688" s="1439"/>
      <c r="E688" s="1439"/>
      <c r="F688" s="1439"/>
      <c r="G688" s="1439"/>
      <c r="H688" s="1439"/>
      <c r="I688" s="1450"/>
      <c r="J688" s="1440"/>
      <c r="K688" s="1439"/>
      <c r="L688" s="1439"/>
      <c r="M688" s="1439"/>
      <c r="N688" s="1439"/>
      <c r="O688" s="1450"/>
      <c r="P688" s="1438"/>
      <c r="Q688" s="1439"/>
      <c r="R688" s="1439"/>
      <c r="S688" s="1448"/>
      <c r="T688" s="1438"/>
      <c r="U688" s="1448"/>
      <c r="V688" s="1440"/>
      <c r="W688" s="1451"/>
      <c r="X688" s="378"/>
      <c r="Y688" s="385"/>
      <c r="Z688" s="385"/>
      <c r="AA688" s="385"/>
      <c r="AB688" s="385"/>
    </row>
    <row r="689" spans="1:28">
      <c r="A689" s="1444"/>
      <c r="B689" s="1445"/>
      <c r="C689" s="1438"/>
      <c r="D689" s="1439"/>
      <c r="E689" s="1439"/>
      <c r="F689" s="1439"/>
      <c r="G689" s="1439"/>
      <c r="H689" s="1439"/>
      <c r="I689" s="1450"/>
      <c r="J689" s="1440"/>
      <c r="K689" s="1439"/>
      <c r="L689" s="1439"/>
      <c r="M689" s="1439"/>
      <c r="N689" s="1439"/>
      <c r="O689" s="1450"/>
      <c r="P689" s="1438"/>
      <c r="Q689" s="1439"/>
      <c r="R689" s="1439"/>
      <c r="S689" s="1448"/>
      <c r="T689" s="1438"/>
      <c r="U689" s="1448"/>
      <c r="V689" s="1440"/>
      <c r="W689" s="1451"/>
      <c r="X689" s="378"/>
      <c r="Y689" s="385"/>
      <c r="Z689" s="385"/>
      <c r="AA689" s="385"/>
      <c r="AB689" s="385"/>
    </row>
    <row r="690" spans="1:28">
      <c r="A690" s="1444"/>
      <c r="B690" s="1445"/>
      <c r="C690" s="1438"/>
      <c r="D690" s="1439"/>
      <c r="E690" s="1439"/>
      <c r="F690" s="1439"/>
      <c r="G690" s="1439"/>
      <c r="H690" s="1439"/>
      <c r="I690" s="1450"/>
      <c r="J690" s="1440"/>
      <c r="K690" s="1439"/>
      <c r="L690" s="1439"/>
      <c r="M690" s="1439"/>
      <c r="N690" s="1439"/>
      <c r="O690" s="1450"/>
      <c r="P690" s="1438"/>
      <c r="Q690" s="1439"/>
      <c r="R690" s="1439"/>
      <c r="S690" s="1448"/>
      <c r="T690" s="1438"/>
      <c r="U690" s="1448"/>
      <c r="V690" s="1440"/>
      <c r="W690" s="1451"/>
      <c r="X690" s="378"/>
      <c r="Y690" s="385"/>
      <c r="Z690" s="385"/>
      <c r="AA690" s="385"/>
      <c r="AB690" s="385"/>
    </row>
    <row r="691" spans="1:28">
      <c r="A691" s="1444"/>
      <c r="B691" s="1445"/>
      <c r="C691" s="1438"/>
      <c r="D691" s="1439"/>
      <c r="E691" s="1439"/>
      <c r="F691" s="1439"/>
      <c r="G691" s="1439"/>
      <c r="H691" s="1439"/>
      <c r="I691" s="1450"/>
      <c r="J691" s="1440"/>
      <c r="K691" s="1439"/>
      <c r="L691" s="1439"/>
      <c r="M691" s="1439"/>
      <c r="N691" s="1439"/>
      <c r="O691" s="1450"/>
      <c r="P691" s="1438"/>
      <c r="Q691" s="1439"/>
      <c r="R691" s="1439"/>
      <c r="S691" s="1448"/>
      <c r="T691" s="1438"/>
      <c r="U691" s="1448"/>
      <c r="V691" s="1440"/>
      <c r="W691" s="1451"/>
      <c r="X691" s="378"/>
      <c r="Y691" s="385"/>
      <c r="Z691" s="385"/>
      <c r="AA691" s="385"/>
      <c r="AB691" s="385"/>
    </row>
    <row r="692" spans="1:28">
      <c r="A692" s="1444"/>
      <c r="B692" s="1445"/>
      <c r="C692" s="1438"/>
      <c r="D692" s="1439"/>
      <c r="E692" s="1439"/>
      <c r="F692" s="1439"/>
      <c r="G692" s="1439"/>
      <c r="H692" s="1439"/>
      <c r="I692" s="1450"/>
      <c r="J692" s="1440"/>
      <c r="K692" s="1439"/>
      <c r="L692" s="1439"/>
      <c r="M692" s="1439"/>
      <c r="N692" s="1439"/>
      <c r="O692" s="1450"/>
      <c r="P692" s="1438"/>
      <c r="Q692" s="1439"/>
      <c r="R692" s="1439"/>
      <c r="S692" s="1448"/>
      <c r="T692" s="1438"/>
      <c r="U692" s="1448"/>
      <c r="V692" s="1440"/>
      <c r="W692" s="1451"/>
      <c r="X692" s="378"/>
      <c r="Y692" s="385"/>
      <c r="Z692" s="385"/>
      <c r="AA692" s="385"/>
      <c r="AB692" s="385"/>
    </row>
    <row r="693" spans="1:28">
      <c r="A693" s="1444"/>
      <c r="B693" s="1445"/>
      <c r="C693" s="1438"/>
      <c r="D693" s="1439"/>
      <c r="E693" s="1439"/>
      <c r="F693" s="1439"/>
      <c r="G693" s="1439"/>
      <c r="H693" s="1439"/>
      <c r="I693" s="1450"/>
      <c r="J693" s="1440"/>
      <c r="K693" s="1439"/>
      <c r="L693" s="1439"/>
      <c r="M693" s="1439"/>
      <c r="N693" s="1439"/>
      <c r="O693" s="1450"/>
      <c r="P693" s="1438"/>
      <c r="Q693" s="1439"/>
      <c r="R693" s="1439"/>
      <c r="S693" s="1448"/>
      <c r="T693" s="1438"/>
      <c r="U693" s="1448"/>
      <c r="V693" s="1440"/>
      <c r="W693" s="1451"/>
      <c r="X693" s="378"/>
      <c r="Y693" s="385"/>
      <c r="Z693" s="385"/>
      <c r="AA693" s="385"/>
      <c r="AB693" s="385"/>
    </row>
    <row r="694" spans="1:28">
      <c r="A694" s="1444"/>
      <c r="B694" s="1445"/>
      <c r="C694" s="1438"/>
      <c r="D694" s="1439"/>
      <c r="E694" s="1439"/>
      <c r="F694" s="1439"/>
      <c r="G694" s="1439"/>
      <c r="H694" s="1439"/>
      <c r="I694" s="1450"/>
      <c r="J694" s="1440"/>
      <c r="K694" s="1439"/>
      <c r="L694" s="1439"/>
      <c r="M694" s="1439"/>
      <c r="N694" s="1439"/>
      <c r="O694" s="1450"/>
      <c r="P694" s="1438"/>
      <c r="Q694" s="1439"/>
      <c r="R694" s="1439"/>
      <c r="S694" s="1448"/>
      <c r="T694" s="1438"/>
      <c r="U694" s="1448"/>
      <c r="V694" s="1440"/>
      <c r="W694" s="1451"/>
      <c r="X694" s="378"/>
      <c r="Y694" s="385"/>
      <c r="Z694" s="385"/>
      <c r="AA694" s="385"/>
      <c r="AB694" s="385"/>
    </row>
    <row r="695" spans="1:28">
      <c r="A695" s="1444"/>
      <c r="B695" s="1445"/>
      <c r="C695" s="1438"/>
      <c r="D695" s="1439"/>
      <c r="E695" s="1439"/>
      <c r="F695" s="1439"/>
      <c r="G695" s="1439"/>
      <c r="H695" s="1439"/>
      <c r="I695" s="1450"/>
      <c r="J695" s="1440"/>
      <c r="K695" s="1439"/>
      <c r="L695" s="1439"/>
      <c r="M695" s="1439"/>
      <c r="N695" s="1439"/>
      <c r="O695" s="1450"/>
      <c r="P695" s="1438"/>
      <c r="Q695" s="1439"/>
      <c r="R695" s="1439"/>
      <c r="S695" s="1448"/>
      <c r="T695" s="1438"/>
      <c r="U695" s="1448"/>
      <c r="V695" s="1440"/>
      <c r="W695" s="1451"/>
      <c r="X695" s="378"/>
      <c r="Y695" s="385"/>
      <c r="Z695" s="385"/>
      <c r="AA695" s="385"/>
      <c r="AB695" s="385"/>
    </row>
    <row r="696" spans="1:28">
      <c r="A696" s="1444"/>
      <c r="B696" s="1445"/>
      <c r="C696" s="1438"/>
      <c r="D696" s="1439"/>
      <c r="E696" s="1439"/>
      <c r="F696" s="1439"/>
      <c r="G696" s="1439"/>
      <c r="H696" s="1439"/>
      <c r="I696" s="1450"/>
      <c r="J696" s="1440"/>
      <c r="K696" s="1439"/>
      <c r="L696" s="1439"/>
      <c r="M696" s="1439"/>
      <c r="N696" s="1439"/>
      <c r="O696" s="1450"/>
      <c r="P696" s="1438"/>
      <c r="Q696" s="1439"/>
      <c r="R696" s="1439"/>
      <c r="S696" s="1448"/>
      <c r="T696" s="1438"/>
      <c r="U696" s="1448"/>
      <c r="V696" s="1440"/>
      <c r="W696" s="1451"/>
      <c r="X696" s="378"/>
      <c r="Y696" s="385"/>
      <c r="Z696" s="385"/>
      <c r="AA696" s="385"/>
      <c r="AB696" s="385"/>
    </row>
    <row r="697" spans="1:28">
      <c r="A697" s="1444"/>
      <c r="B697" s="1445"/>
      <c r="C697" s="1438"/>
      <c r="D697" s="1439"/>
      <c r="E697" s="1439"/>
      <c r="F697" s="1439"/>
      <c r="G697" s="1439"/>
      <c r="H697" s="1439"/>
      <c r="I697" s="1450"/>
      <c r="J697" s="1440"/>
      <c r="K697" s="1439"/>
      <c r="L697" s="1439"/>
      <c r="M697" s="1439"/>
      <c r="N697" s="1439"/>
      <c r="O697" s="1450"/>
      <c r="P697" s="1438"/>
      <c r="Q697" s="1439"/>
      <c r="R697" s="1439"/>
      <c r="S697" s="1448"/>
      <c r="T697" s="1438"/>
      <c r="U697" s="1448"/>
      <c r="V697" s="1440"/>
      <c r="W697" s="1451"/>
      <c r="X697" s="378"/>
      <c r="Y697" s="385"/>
      <c r="Z697" s="385"/>
      <c r="AA697" s="385"/>
      <c r="AB697" s="385"/>
    </row>
    <row r="698" spans="1:28">
      <c r="A698" s="1444"/>
      <c r="B698" s="1445"/>
      <c r="C698" s="1438"/>
      <c r="D698" s="1439"/>
      <c r="E698" s="1439"/>
      <c r="F698" s="1439"/>
      <c r="G698" s="1439"/>
      <c r="H698" s="1439"/>
      <c r="I698" s="1450"/>
      <c r="J698" s="1440"/>
      <c r="K698" s="1439"/>
      <c r="L698" s="1439"/>
      <c r="M698" s="1439"/>
      <c r="N698" s="1439"/>
      <c r="O698" s="1450"/>
      <c r="P698" s="1438"/>
      <c r="Q698" s="1439"/>
      <c r="R698" s="1439"/>
      <c r="S698" s="1448"/>
      <c r="T698" s="1438"/>
      <c r="U698" s="1448"/>
      <c r="V698" s="1440"/>
      <c r="W698" s="1451"/>
      <c r="X698" s="378"/>
      <c r="Y698" s="385"/>
      <c r="Z698" s="385"/>
      <c r="AA698" s="385"/>
      <c r="AB698" s="385"/>
    </row>
    <row r="699" spans="1:28">
      <c r="A699" s="1444"/>
      <c r="B699" s="1445"/>
      <c r="C699" s="1438"/>
      <c r="D699" s="1439"/>
      <c r="E699" s="1439"/>
      <c r="F699" s="1439"/>
      <c r="G699" s="1439"/>
      <c r="H699" s="1439"/>
      <c r="I699" s="1450"/>
      <c r="J699" s="1440"/>
      <c r="K699" s="1439"/>
      <c r="L699" s="1439"/>
      <c r="M699" s="1439"/>
      <c r="N699" s="1439"/>
      <c r="O699" s="1450"/>
      <c r="P699" s="1438"/>
      <c r="Q699" s="1439"/>
      <c r="R699" s="1439"/>
      <c r="S699" s="1448"/>
      <c r="T699" s="1438"/>
      <c r="U699" s="1448"/>
      <c r="V699" s="1440"/>
      <c r="W699" s="1451"/>
      <c r="X699" s="378"/>
      <c r="Y699" s="385"/>
      <c r="Z699" s="385"/>
      <c r="AA699" s="385"/>
      <c r="AB699" s="385"/>
    </row>
    <row r="700" spans="1:28">
      <c r="A700" s="1444"/>
      <c r="B700" s="1445"/>
      <c r="C700" s="1438"/>
      <c r="D700" s="1439"/>
      <c r="E700" s="1439"/>
      <c r="F700" s="1439"/>
      <c r="G700" s="1439"/>
      <c r="H700" s="1439"/>
      <c r="I700" s="1450"/>
      <c r="J700" s="1440"/>
      <c r="K700" s="1439"/>
      <c r="L700" s="1439"/>
      <c r="M700" s="1439"/>
      <c r="N700" s="1439"/>
      <c r="O700" s="1450"/>
      <c r="P700" s="1438"/>
      <c r="Q700" s="1439"/>
      <c r="R700" s="1439"/>
      <c r="S700" s="1448"/>
      <c r="T700" s="1438"/>
      <c r="U700" s="1448"/>
      <c r="V700" s="1440"/>
      <c r="W700" s="1451"/>
      <c r="X700" s="378"/>
      <c r="Y700" s="385"/>
      <c r="Z700" s="385"/>
      <c r="AA700" s="385"/>
      <c r="AB700" s="385"/>
    </row>
    <row r="701" spans="1:28">
      <c r="A701" s="1444"/>
      <c r="B701" s="1445"/>
      <c r="C701" s="1438"/>
      <c r="D701" s="1439"/>
      <c r="E701" s="1439"/>
      <c r="F701" s="1439"/>
      <c r="G701" s="1439"/>
      <c r="H701" s="1439"/>
      <c r="I701" s="1450"/>
      <c r="J701" s="1440"/>
      <c r="K701" s="1439"/>
      <c r="L701" s="1439"/>
      <c r="M701" s="1439"/>
      <c r="N701" s="1439"/>
      <c r="O701" s="1450"/>
      <c r="P701" s="1438"/>
      <c r="Q701" s="1439"/>
      <c r="R701" s="1439"/>
      <c r="S701" s="1448"/>
      <c r="T701" s="1438"/>
      <c r="U701" s="1448"/>
      <c r="V701" s="1440"/>
      <c r="W701" s="1451"/>
      <c r="X701" s="378"/>
      <c r="Y701" s="385"/>
      <c r="Z701" s="385"/>
      <c r="AA701" s="385"/>
      <c r="AB701" s="385"/>
    </row>
    <row r="702" spans="1:28">
      <c r="A702" s="1444"/>
      <c r="B702" s="1445"/>
      <c r="C702" s="1438"/>
      <c r="D702" s="1439"/>
      <c r="E702" s="1439"/>
      <c r="F702" s="1439"/>
      <c r="G702" s="1439"/>
      <c r="H702" s="1439"/>
      <c r="I702" s="1450"/>
      <c r="J702" s="1440"/>
      <c r="K702" s="1439"/>
      <c r="L702" s="1439"/>
      <c r="M702" s="1439"/>
      <c r="N702" s="1439"/>
      <c r="O702" s="1450"/>
      <c r="P702" s="1438"/>
      <c r="Q702" s="1439"/>
      <c r="R702" s="1439"/>
      <c r="S702" s="1448"/>
      <c r="T702" s="1438"/>
      <c r="U702" s="1448"/>
      <c r="V702" s="1440"/>
      <c r="W702" s="1451"/>
      <c r="X702" s="378"/>
      <c r="Y702" s="385"/>
      <c r="Z702" s="385"/>
      <c r="AA702" s="385"/>
      <c r="AB702" s="385"/>
    </row>
    <row r="703" spans="1:28">
      <c r="A703" s="1444"/>
      <c r="B703" s="1445"/>
      <c r="C703" s="1438"/>
      <c r="D703" s="1439"/>
      <c r="E703" s="1439"/>
      <c r="F703" s="1439"/>
      <c r="G703" s="1439"/>
      <c r="H703" s="1439"/>
      <c r="I703" s="1450"/>
      <c r="J703" s="1440"/>
      <c r="K703" s="1439"/>
      <c r="L703" s="1439"/>
      <c r="M703" s="1439"/>
      <c r="N703" s="1439"/>
      <c r="O703" s="1450"/>
      <c r="P703" s="1438"/>
      <c r="Q703" s="1439"/>
      <c r="R703" s="1439"/>
      <c r="S703" s="1448"/>
      <c r="T703" s="1438"/>
      <c r="U703" s="1448"/>
      <c r="V703" s="1440"/>
      <c r="W703" s="1451"/>
      <c r="X703" s="378"/>
      <c r="Y703" s="385"/>
      <c r="Z703" s="385"/>
      <c r="AA703" s="385"/>
      <c r="AB703" s="385"/>
    </row>
    <row r="704" spans="1:28">
      <c r="A704" s="1444"/>
      <c r="B704" s="1445"/>
      <c r="C704" s="1438"/>
      <c r="D704" s="1439"/>
      <c r="E704" s="1439"/>
      <c r="F704" s="1439"/>
      <c r="G704" s="1439"/>
      <c r="H704" s="1439"/>
      <c r="I704" s="1450"/>
      <c r="J704" s="1440"/>
      <c r="K704" s="1439"/>
      <c r="L704" s="1439"/>
      <c r="M704" s="1439"/>
      <c r="N704" s="1439"/>
      <c r="O704" s="1450"/>
      <c r="P704" s="1438"/>
      <c r="Q704" s="1439"/>
      <c r="R704" s="1439"/>
      <c r="S704" s="1448"/>
      <c r="T704" s="1438"/>
      <c r="U704" s="1448"/>
      <c r="V704" s="1440"/>
      <c r="W704" s="1451"/>
      <c r="X704" s="378"/>
      <c r="Y704" s="385"/>
      <c r="Z704" s="385"/>
      <c r="AA704" s="385"/>
      <c r="AB704" s="385"/>
    </row>
    <row r="705" spans="1:28">
      <c r="A705" s="1444"/>
      <c r="B705" s="1445"/>
      <c r="C705" s="1438"/>
      <c r="D705" s="1439"/>
      <c r="E705" s="1439"/>
      <c r="F705" s="1439"/>
      <c r="G705" s="1439"/>
      <c r="H705" s="1439"/>
      <c r="I705" s="1450"/>
      <c r="J705" s="1440"/>
      <c r="K705" s="1439"/>
      <c r="L705" s="1439"/>
      <c r="M705" s="1439"/>
      <c r="N705" s="1439"/>
      <c r="O705" s="1450"/>
      <c r="P705" s="1438"/>
      <c r="Q705" s="1439"/>
      <c r="R705" s="1439"/>
      <c r="S705" s="1448"/>
      <c r="T705" s="1438"/>
      <c r="U705" s="1448"/>
      <c r="V705" s="1440"/>
      <c r="W705" s="1451"/>
      <c r="X705" s="378"/>
      <c r="Y705" s="385"/>
      <c r="Z705" s="385"/>
      <c r="AA705" s="385"/>
      <c r="AB705" s="385"/>
    </row>
    <row r="706" spans="1:28">
      <c r="A706" s="1444"/>
      <c r="B706" s="1445"/>
      <c r="C706" s="1438"/>
      <c r="D706" s="1439"/>
      <c r="E706" s="1439"/>
      <c r="F706" s="1439"/>
      <c r="G706" s="1439"/>
      <c r="H706" s="1439"/>
      <c r="I706" s="1450"/>
      <c r="J706" s="1440"/>
      <c r="K706" s="1439"/>
      <c r="L706" s="1439"/>
      <c r="M706" s="1439"/>
      <c r="N706" s="1439"/>
      <c r="O706" s="1450"/>
      <c r="P706" s="1438"/>
      <c r="Q706" s="1439"/>
      <c r="R706" s="1439"/>
      <c r="S706" s="1448"/>
      <c r="T706" s="1438"/>
      <c r="U706" s="1448"/>
      <c r="V706" s="1440"/>
      <c r="W706" s="1451"/>
      <c r="X706" s="378"/>
      <c r="Y706" s="385"/>
      <c r="Z706" s="385"/>
      <c r="AA706" s="385"/>
      <c r="AB706" s="385"/>
    </row>
    <row r="707" spans="1:28">
      <c r="A707" s="1446"/>
      <c r="B707" s="1447"/>
      <c r="C707" s="1441"/>
      <c r="D707" s="1442"/>
      <c r="E707" s="1442"/>
      <c r="F707" s="1442"/>
      <c r="G707" s="1442"/>
      <c r="H707" s="1442"/>
      <c r="I707" s="1456"/>
      <c r="J707" s="1443"/>
      <c r="K707" s="1442"/>
      <c r="L707" s="1442"/>
      <c r="M707" s="1442"/>
      <c r="N707" s="1442"/>
      <c r="O707" s="1456"/>
      <c r="P707" s="1441"/>
      <c r="Q707" s="1442"/>
      <c r="R707" s="1442"/>
      <c r="S707" s="1458"/>
      <c r="T707" s="1441"/>
      <c r="U707" s="1458"/>
      <c r="V707" s="1443"/>
      <c r="W707" s="1460"/>
      <c r="X707" s="378"/>
      <c r="Y707" s="385"/>
      <c r="Z707" s="385"/>
      <c r="AA707" s="385"/>
      <c r="AB707" s="385"/>
    </row>
  </sheetData>
  <phoneticPr fontId="17" type="noConversion"/>
  <pageMargins left="0.5" right="0.5" top="1" bottom="1" header="0.5" footer="0.5"/>
  <pageSetup scale="74" pageOrder="overThenDown" orientation="landscape" r:id="rId2"/>
  <headerFooter alignWithMargins="0">
    <oddHeader>&amp;L&amp;"Arial,Bold"SREB-State Data Exchange&amp;C&amp;"Arial,Bold"Preliminary Tables&amp;R&amp;"Arial,Bold"Part 6: Funding by Type</oddHeader>
    <oddFooter>&amp;L&amp;"Arial,Bold"For Agency Review Only&amp;R&amp;"Arial,Bold"October 2009</oddFooter>
  </headerFooter>
  <rowBreaks count="15" manualBreakCount="15">
    <brk id="44" min="2" max="22" man="1"/>
    <brk id="83" min="2" max="22" man="1"/>
    <brk id="122" min="2" max="22" man="1"/>
    <brk id="161" min="2" max="22" man="1"/>
    <brk id="200" min="2" max="22" man="1"/>
    <brk id="239" min="2" max="22" man="1"/>
    <brk id="278" min="2" max="22" man="1"/>
    <brk id="317" min="2" max="22" man="1"/>
    <brk id="356" min="2" max="22" man="1"/>
    <brk id="395" min="2" max="22" man="1"/>
    <brk id="434" min="2" max="22" man="1"/>
    <brk id="473" min="2" max="22" man="1"/>
    <brk id="512" min="2" max="22" man="1"/>
    <brk id="551" min="2" max="22" man="1"/>
    <brk id="590" min="2" max="22" man="1"/>
  </rowBreaks>
  <colBreaks count="2" manualBreakCount="2">
    <brk id="9" min="6" max="628" man="1"/>
    <brk id="15" min="6" max="62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AP70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RowHeight="12.75"/>
  <cols>
    <col min="1" max="1" width="11.125" style="433" customWidth="1"/>
    <col min="2" max="2" width="50" style="401" customWidth="1"/>
    <col min="3" max="3" width="6.5" style="378" customWidth="1"/>
    <col min="4" max="4" width="8" style="378" customWidth="1"/>
    <col min="5" max="22" width="12.5" style="378" customWidth="1"/>
    <col min="23" max="25" width="2.375" style="378" customWidth="1"/>
    <col min="26" max="26" width="6.5" style="378" customWidth="1"/>
    <col min="27" max="27" width="5.375" style="378" customWidth="1"/>
    <col min="28" max="28" width="5.5" style="378" customWidth="1"/>
    <col min="29" max="29" width="6" style="378" customWidth="1"/>
    <col min="30" max="30" width="5.125" style="378" customWidth="1"/>
    <col min="31" max="32" width="5.625" style="378" customWidth="1"/>
    <col min="33" max="35" width="6" style="378" customWidth="1"/>
    <col min="36" max="36" width="5.25" style="378" bestFit="1" customWidth="1"/>
    <col min="37" max="37" width="5.625" style="378" customWidth="1"/>
    <col min="38" max="38" width="5" style="378" customWidth="1"/>
    <col min="39" max="39" width="5.625" style="378" customWidth="1"/>
    <col min="40" max="40" width="5.25" style="378" customWidth="1"/>
    <col min="41" max="41" width="5" style="378" bestFit="1" customWidth="1"/>
    <col min="42" max="16384" width="9" style="378"/>
  </cols>
  <sheetData>
    <row r="1" spans="1:42">
      <c r="A1" s="443"/>
      <c r="B1" s="436"/>
      <c r="C1" s="379"/>
      <c r="D1" s="379"/>
      <c r="E1" s="379"/>
      <c r="F1" s="379"/>
      <c r="G1" s="379"/>
      <c r="H1" s="379"/>
      <c r="I1" s="379"/>
      <c r="J1" s="379"/>
      <c r="K1" s="379"/>
      <c r="L1" s="379"/>
      <c r="M1" s="379"/>
      <c r="N1" s="379"/>
      <c r="O1" s="379"/>
      <c r="P1" s="379"/>
      <c r="Q1" s="379"/>
      <c r="R1" s="379"/>
      <c r="S1" s="379"/>
      <c r="T1" s="379"/>
      <c r="U1" s="379"/>
      <c r="V1" s="379"/>
      <c r="W1" s="379"/>
      <c r="X1" s="379"/>
      <c r="Y1" s="379"/>
      <c r="Z1" s="461" t="s">
        <v>354</v>
      </c>
      <c r="AA1" s="461"/>
      <c r="AB1" s="461"/>
      <c r="AC1" s="461"/>
      <c r="AD1" s="461"/>
      <c r="AE1" s="461"/>
      <c r="AF1" s="461"/>
      <c r="AG1" s="461"/>
      <c r="AH1" s="461"/>
      <c r="AI1" s="461"/>
      <c r="AJ1" s="461"/>
      <c r="AK1" s="461"/>
      <c r="AL1" s="461"/>
      <c r="AM1" s="461"/>
      <c r="AN1" s="461"/>
      <c r="AO1" s="461"/>
    </row>
    <row r="2" spans="1:42">
      <c r="C2" s="783"/>
      <c r="D2" s="784"/>
      <c r="E2" s="767" t="s">
        <v>122</v>
      </c>
      <c r="F2" s="768"/>
      <c r="G2" s="768"/>
      <c r="H2" s="768"/>
      <c r="I2" s="768"/>
      <c r="J2" s="768"/>
      <c r="K2" s="768"/>
      <c r="L2" s="768"/>
      <c r="M2" s="768"/>
      <c r="N2" s="768"/>
      <c r="O2" s="768"/>
      <c r="P2" s="768"/>
      <c r="Q2" s="768"/>
      <c r="R2" s="768"/>
      <c r="S2" s="768"/>
      <c r="T2" s="768"/>
      <c r="U2" s="769"/>
      <c r="V2" s="388"/>
      <c r="W2" s="379"/>
      <c r="X2" s="379"/>
      <c r="Y2" s="379"/>
      <c r="Z2" s="462" t="s">
        <v>122</v>
      </c>
      <c r="AA2" s="463"/>
      <c r="AB2" s="463"/>
      <c r="AC2" s="463"/>
      <c r="AD2" s="463"/>
      <c r="AE2" s="463"/>
      <c r="AF2" s="463"/>
      <c r="AG2" s="463"/>
      <c r="AH2" s="463"/>
      <c r="AI2" s="463"/>
      <c r="AJ2" s="463"/>
      <c r="AK2" s="463"/>
      <c r="AL2" s="463"/>
      <c r="AM2" s="463"/>
      <c r="AN2" s="463"/>
      <c r="AO2" s="463"/>
    </row>
    <row r="3" spans="1:42">
      <c r="C3" s="767" t="s">
        <v>124</v>
      </c>
      <c r="D3" s="767" t="s">
        <v>118</v>
      </c>
      <c r="E3" s="785" t="s">
        <v>142</v>
      </c>
      <c r="F3" s="786" t="s">
        <v>143</v>
      </c>
      <c r="G3" s="786" t="s">
        <v>148</v>
      </c>
      <c r="H3" s="786" t="s">
        <v>149</v>
      </c>
      <c r="I3" s="786" t="s">
        <v>144</v>
      </c>
      <c r="J3" s="786" t="s">
        <v>150</v>
      </c>
      <c r="K3" s="786" t="s">
        <v>145</v>
      </c>
      <c r="L3" s="786" t="s">
        <v>151</v>
      </c>
      <c r="M3" s="786" t="s">
        <v>152</v>
      </c>
      <c r="N3" s="786" t="s">
        <v>153</v>
      </c>
      <c r="O3" s="786" t="s">
        <v>154</v>
      </c>
      <c r="P3" s="786" t="s">
        <v>146</v>
      </c>
      <c r="Q3" s="786" t="s">
        <v>155</v>
      </c>
      <c r="R3" s="786" t="s">
        <v>147</v>
      </c>
      <c r="S3" s="786" t="s">
        <v>156</v>
      </c>
      <c r="T3" s="786" t="s">
        <v>157</v>
      </c>
      <c r="U3" s="787" t="s">
        <v>335</v>
      </c>
      <c r="V3" s="730"/>
      <c r="W3" s="452"/>
      <c r="X3" s="452"/>
      <c r="Y3" s="452"/>
      <c r="Z3" s="464" t="s">
        <v>142</v>
      </c>
      <c r="AA3" s="465" t="s">
        <v>143</v>
      </c>
      <c r="AB3" s="465" t="s">
        <v>148</v>
      </c>
      <c r="AC3" s="465" t="s">
        <v>149</v>
      </c>
      <c r="AD3" s="465" t="s">
        <v>144</v>
      </c>
      <c r="AE3" s="465" t="s">
        <v>150</v>
      </c>
      <c r="AF3" s="465" t="s">
        <v>145</v>
      </c>
      <c r="AG3" s="465" t="s">
        <v>151</v>
      </c>
      <c r="AH3" s="465" t="s">
        <v>152</v>
      </c>
      <c r="AI3" s="465" t="s">
        <v>153</v>
      </c>
      <c r="AJ3" s="465" t="s">
        <v>154</v>
      </c>
      <c r="AK3" s="465" t="s">
        <v>146</v>
      </c>
      <c r="AL3" s="465" t="s">
        <v>155</v>
      </c>
      <c r="AM3" s="465" t="s">
        <v>147</v>
      </c>
      <c r="AN3" s="465" t="s">
        <v>156</v>
      </c>
      <c r="AO3" s="465" t="s">
        <v>157</v>
      </c>
    </row>
    <row r="4" spans="1:42" ht="12.75" customHeight="1">
      <c r="A4" s="1552" t="s">
        <v>347</v>
      </c>
      <c r="B4" s="435" t="s">
        <v>245</v>
      </c>
      <c r="C4" s="788" t="s">
        <v>264</v>
      </c>
      <c r="D4" s="789" t="s">
        <v>197</v>
      </c>
      <c r="E4" s="794">
        <v>2702064507</v>
      </c>
      <c r="F4" s="797">
        <v>1412664917</v>
      </c>
      <c r="G4" s="797">
        <v>819488191</v>
      </c>
      <c r="H4" s="797">
        <v>5438977821.9300003</v>
      </c>
      <c r="I4" s="797">
        <v>3794476106.66958</v>
      </c>
      <c r="J4" s="797">
        <v>2205098119.8254027</v>
      </c>
      <c r="K4" s="797">
        <v>1526781475</v>
      </c>
      <c r="L4" s="797">
        <v>3094748955</v>
      </c>
      <c r="M4" s="797">
        <v>1470215705</v>
      </c>
      <c r="N4" s="797">
        <v>4572710042</v>
      </c>
      <c r="O4" s="797">
        <v>1791700749</v>
      </c>
      <c r="P4" s="797">
        <v>2197390769</v>
      </c>
      <c r="Q4" s="797">
        <v>2199868889.256629</v>
      </c>
      <c r="R4" s="797">
        <v>9919742065</v>
      </c>
      <c r="S4" s="797">
        <v>3880927861</v>
      </c>
      <c r="T4" s="797">
        <v>839817127</v>
      </c>
      <c r="U4" s="801">
        <v>47866673300.68161</v>
      </c>
      <c r="V4" s="438"/>
      <c r="W4" s="406"/>
      <c r="X4" s="406"/>
      <c r="Y4" s="406"/>
      <c r="Z4" s="438"/>
      <c r="AA4" s="446"/>
      <c r="AB4" s="694"/>
      <c r="AC4" s="694"/>
      <c r="AD4" s="694"/>
      <c r="AE4" s="694"/>
      <c r="AF4" s="694"/>
      <c r="AG4" s="694"/>
      <c r="AH4" s="694"/>
      <c r="AI4" s="694"/>
      <c r="AJ4" s="694"/>
      <c r="AK4" s="694"/>
      <c r="AL4" s="694"/>
      <c r="AM4" s="694"/>
      <c r="AN4" s="694"/>
      <c r="AO4" s="694"/>
    </row>
    <row r="5" spans="1:42">
      <c r="A5" s="1553"/>
      <c r="B5" s="439"/>
      <c r="C5" s="790"/>
      <c r="D5" s="791" t="s">
        <v>199</v>
      </c>
      <c r="E5" s="782">
        <v>2670335000</v>
      </c>
      <c r="F5" s="798">
        <v>1377621679</v>
      </c>
      <c r="G5" s="798">
        <v>843775274</v>
      </c>
      <c r="H5" s="798">
        <v>5464137169.6300001</v>
      </c>
      <c r="I5" s="798">
        <v>3893437947.6725993</v>
      </c>
      <c r="J5" s="798">
        <v>2246775556.2623663</v>
      </c>
      <c r="K5" s="798">
        <v>1613740718</v>
      </c>
      <c r="L5" s="798">
        <v>3266909563</v>
      </c>
      <c r="M5" s="798">
        <v>1555331721</v>
      </c>
      <c r="N5" s="798">
        <v>4699741340</v>
      </c>
      <c r="O5" s="798">
        <v>1843450640</v>
      </c>
      <c r="P5" s="798">
        <v>2270006767</v>
      </c>
      <c r="Q5" s="798">
        <v>2242211645.1747952</v>
      </c>
      <c r="R5" s="798">
        <v>10009308448</v>
      </c>
      <c r="S5" s="798">
        <v>4108933745</v>
      </c>
      <c r="T5" s="798">
        <v>875928056.89999998</v>
      </c>
      <c r="U5" s="802">
        <v>48981645270.639763</v>
      </c>
      <c r="V5" s="731"/>
      <c r="W5" s="379"/>
      <c r="X5" s="379"/>
      <c r="Y5" s="379"/>
      <c r="Z5" s="704">
        <f t="shared" ref="Z5:AO5" si="0">IF(E4&gt;0,((E5-E4)/E4),)</f>
        <v>-1.1742690419788709E-2</v>
      </c>
      <c r="AA5" s="705">
        <f t="shared" si="0"/>
        <v>-2.4806475745443885E-2</v>
      </c>
      <c r="AB5" s="706">
        <f t="shared" si="0"/>
        <v>2.9636891985427037E-2</v>
      </c>
      <c r="AC5" s="706">
        <f t="shared" si="0"/>
        <v>4.6257492719600961E-3</v>
      </c>
      <c r="AD5" s="706">
        <f t="shared" si="0"/>
        <v>2.6080501819229628E-2</v>
      </c>
      <c r="AE5" s="706">
        <f t="shared" si="0"/>
        <v>1.8900490668534754E-2</v>
      </c>
      <c r="AF5" s="706">
        <f t="shared" si="0"/>
        <v>5.6955919641348808E-2</v>
      </c>
      <c r="AG5" s="706">
        <f t="shared" si="0"/>
        <v>5.5629910698200717E-2</v>
      </c>
      <c r="AH5" s="706">
        <f t="shared" si="0"/>
        <v>5.7893556510471365E-2</v>
      </c>
      <c r="AI5" s="706">
        <f t="shared" si="0"/>
        <v>2.7780309014397812E-2</v>
      </c>
      <c r="AJ5" s="1464">
        <f t="shared" si="0"/>
        <v>2.8883110658341305E-2</v>
      </c>
      <c r="AK5" s="706">
        <f t="shared" si="0"/>
        <v>3.3046465391791222E-2</v>
      </c>
      <c r="AL5" s="706">
        <f t="shared" si="0"/>
        <v>1.9247854326661467E-2</v>
      </c>
      <c r="AM5" s="706">
        <f t="shared" si="0"/>
        <v>9.0291040243897711E-3</v>
      </c>
      <c r="AN5" s="706">
        <f t="shared" si="0"/>
        <v>5.8750353566543657E-2</v>
      </c>
      <c r="AO5" s="706">
        <f t="shared" si="0"/>
        <v>4.2998563305080076E-2</v>
      </c>
      <c r="AP5" s="703"/>
    </row>
    <row r="6" spans="1:42">
      <c r="A6" s="1553"/>
      <c r="B6" s="435" t="s">
        <v>352</v>
      </c>
      <c r="C6" s="767" t="s">
        <v>265</v>
      </c>
      <c r="D6" s="767" t="s">
        <v>197</v>
      </c>
      <c r="E6" s="767">
        <v>0</v>
      </c>
      <c r="F6" s="772"/>
      <c r="G6" s="772"/>
      <c r="H6" s="772"/>
      <c r="I6" s="772"/>
      <c r="J6" s="772"/>
      <c r="K6" s="772"/>
      <c r="L6" s="772"/>
      <c r="M6" s="772"/>
      <c r="N6" s="772"/>
      <c r="O6" s="772"/>
      <c r="P6" s="772"/>
      <c r="Q6" s="772"/>
      <c r="R6" s="772"/>
      <c r="S6" s="772"/>
      <c r="T6" s="772"/>
      <c r="U6" s="771">
        <v>0</v>
      </c>
      <c r="V6" s="699"/>
      <c r="W6" s="379"/>
      <c r="X6" s="379"/>
      <c r="Z6" s="699"/>
      <c r="AA6" s="637"/>
      <c r="AB6" s="695"/>
      <c r="AC6" s="695"/>
      <c r="AD6" s="695"/>
      <c r="AE6" s="695"/>
      <c r="AF6" s="695"/>
      <c r="AG6" s="695"/>
      <c r="AH6" s="695"/>
      <c r="AI6" s="695"/>
      <c r="AJ6" s="695"/>
      <c r="AK6" s="695"/>
      <c r="AL6" s="695"/>
      <c r="AM6" s="695"/>
      <c r="AN6" s="695"/>
      <c r="AO6" s="695"/>
    </row>
    <row r="7" spans="1:42">
      <c r="A7" s="1553"/>
      <c r="B7" s="378"/>
      <c r="C7" s="770"/>
      <c r="D7" s="773" t="s">
        <v>199</v>
      </c>
      <c r="E7" s="773">
        <v>0</v>
      </c>
      <c r="F7" s="776"/>
      <c r="G7" s="776"/>
      <c r="H7" s="776"/>
      <c r="I7" s="776"/>
      <c r="J7" s="776"/>
      <c r="K7" s="776"/>
      <c r="L7" s="776"/>
      <c r="M7" s="776"/>
      <c r="N7" s="792"/>
      <c r="O7" s="776"/>
      <c r="P7" s="776"/>
      <c r="Q7" s="776"/>
      <c r="R7" s="776"/>
      <c r="S7" s="776"/>
      <c r="T7" s="776"/>
      <c r="U7" s="777">
        <v>0</v>
      </c>
      <c r="V7" s="729"/>
      <c r="W7" s="379"/>
      <c r="X7" s="379"/>
      <c r="Y7" s="453"/>
      <c r="Z7" s="704">
        <f t="shared" ref="Z7" si="1">IF(E6&gt;0,((E7-E6)/E6),)</f>
        <v>0</v>
      </c>
      <c r="AA7" s="705">
        <f t="shared" ref="AA7" si="2">IF(F6&gt;0,((F7-F6)/F6),)</f>
        <v>0</v>
      </c>
      <c r="AB7" s="706">
        <f t="shared" ref="AB7" si="3">IF(G6&gt;0,((G7-G6)/G6),)</f>
        <v>0</v>
      </c>
      <c r="AC7" s="706">
        <f t="shared" ref="AC7" si="4">IF(H6&gt;0,((H7-H6)/H6),)</f>
        <v>0</v>
      </c>
      <c r="AD7" s="706">
        <f t="shared" ref="AD7" si="5">IF(I6&gt;0,((I7-I6)/I6),)</f>
        <v>0</v>
      </c>
      <c r="AE7" s="706">
        <f t="shared" ref="AE7" si="6">IF(J6&gt;0,((J7-J6)/J6),)</f>
        <v>0</v>
      </c>
      <c r="AF7" s="706">
        <f t="shared" ref="AF7" si="7">IF(K6&gt;0,((K7-K6)/K6),)</f>
        <v>0</v>
      </c>
      <c r="AG7" s="706">
        <f t="shared" ref="AG7" si="8">IF(L6&gt;0,((L7-L6)/L6),)</f>
        <v>0</v>
      </c>
      <c r="AH7" s="706">
        <f t="shared" ref="AH7" si="9">IF(M6&gt;0,((M7-M6)/M6),)</f>
        <v>0</v>
      </c>
      <c r="AI7" s="706">
        <f t="shared" ref="AI7" si="10">IF(N6&gt;0,((N7-N6)/N6),)</f>
        <v>0</v>
      </c>
      <c r="AJ7" s="706">
        <f t="shared" ref="AJ7" si="11">IF(O6&gt;0,((O7-O6)/O6),)</f>
        <v>0</v>
      </c>
      <c r="AK7" s="706">
        <f t="shared" ref="AK7" si="12">IF(P6&gt;0,((P7-P6)/P6),)</f>
        <v>0</v>
      </c>
      <c r="AL7" s="706">
        <f t="shared" ref="AL7" si="13">IF(Q6&gt;0,((Q7-Q6)/Q6),)</f>
        <v>0</v>
      </c>
      <c r="AM7" s="706">
        <f t="shared" ref="AM7" si="14">IF(R6&gt;0,((R7-R6)/R6),)</f>
        <v>0</v>
      </c>
      <c r="AN7" s="706">
        <f t="shared" ref="AN7" si="15">IF(S6&gt;0,((S7-S6)/S6),)</f>
        <v>0</v>
      </c>
      <c r="AO7" s="706">
        <f t="shared" ref="AO7" si="16">IF(T6&gt;0,((T7-T6)/T6),)</f>
        <v>0</v>
      </c>
    </row>
    <row r="8" spans="1:42">
      <c r="A8" s="1553"/>
      <c r="B8" s="440" t="s">
        <v>319</v>
      </c>
      <c r="C8" s="767" t="s">
        <v>266</v>
      </c>
      <c r="D8" s="767" t="s">
        <v>197</v>
      </c>
      <c r="E8" s="767">
        <v>3927950</v>
      </c>
      <c r="F8" s="772">
        <v>28215466</v>
      </c>
      <c r="G8" s="772">
        <v>96200</v>
      </c>
      <c r="H8" s="772">
        <v>43709949</v>
      </c>
      <c r="I8" s="772">
        <v>7187612</v>
      </c>
      <c r="J8" s="772">
        <v>21204197</v>
      </c>
      <c r="K8" s="772"/>
      <c r="L8" s="772"/>
      <c r="M8" s="772">
        <v>290329</v>
      </c>
      <c r="N8" s="772">
        <v>9092196</v>
      </c>
      <c r="O8" s="772"/>
      <c r="P8" s="772">
        <v>3992457</v>
      </c>
      <c r="Q8" s="772">
        <v>9899924</v>
      </c>
      <c r="R8" s="772">
        <v>52739413</v>
      </c>
      <c r="S8" s="772"/>
      <c r="T8" s="772"/>
      <c r="U8" s="771">
        <v>180355693</v>
      </c>
      <c r="V8" s="698"/>
      <c r="W8" s="700"/>
      <c r="X8" s="700"/>
      <c r="Y8" s="379"/>
      <c r="Z8" s="698"/>
      <c r="AA8" s="696"/>
      <c r="AB8" s="697"/>
      <c r="AC8" s="697"/>
      <c r="AD8" s="697"/>
      <c r="AE8" s="697"/>
      <c r="AF8" s="697"/>
      <c r="AG8" s="697"/>
      <c r="AH8" s="697"/>
      <c r="AI8" s="697"/>
      <c r="AJ8" s="697"/>
      <c r="AK8" s="697"/>
      <c r="AL8" s="697"/>
      <c r="AM8" s="697"/>
      <c r="AN8" s="697"/>
      <c r="AO8" s="697"/>
    </row>
    <row r="9" spans="1:42">
      <c r="A9" s="1553"/>
      <c r="B9" s="441"/>
      <c r="C9" s="770"/>
      <c r="D9" s="773" t="s">
        <v>199</v>
      </c>
      <c r="E9" s="773">
        <v>4787621</v>
      </c>
      <c r="F9" s="776">
        <v>28970748</v>
      </c>
      <c r="G9" s="776">
        <v>97200</v>
      </c>
      <c r="H9" s="776">
        <v>47690334</v>
      </c>
      <c r="I9" s="776">
        <v>7274703</v>
      </c>
      <c r="J9" s="776">
        <v>21526793</v>
      </c>
      <c r="K9" s="776"/>
      <c r="L9" s="776"/>
      <c r="M9" s="776">
        <v>284131</v>
      </c>
      <c r="N9" s="792">
        <v>9175273</v>
      </c>
      <c r="O9" s="776"/>
      <c r="P9" s="776">
        <v>2919457</v>
      </c>
      <c r="Q9" s="776">
        <v>9936524</v>
      </c>
      <c r="R9" s="776">
        <v>53274638</v>
      </c>
      <c r="S9" s="776"/>
      <c r="T9" s="776"/>
      <c r="U9" s="777">
        <v>185937422</v>
      </c>
      <c r="V9" s="729"/>
      <c r="W9" s="379"/>
      <c r="X9" s="379"/>
      <c r="Y9" s="445"/>
      <c r="Z9" s="1463">
        <f t="shared" ref="Z9" si="17">IF(E8&gt;0,((E9-E8)/E8),)</f>
        <v>0.21885996512175562</v>
      </c>
      <c r="AA9" s="705">
        <f t="shared" ref="AA9" si="18">IF(F8&gt;0,((F9-F8)/F8),)</f>
        <v>2.6768368808794438E-2</v>
      </c>
      <c r="AB9" s="706">
        <f t="shared" ref="AB9" si="19">IF(G8&gt;0,((G9-G8)/G8),)</f>
        <v>1.0395010395010396E-2</v>
      </c>
      <c r="AC9" s="706">
        <f t="shared" ref="AC9" si="20">IF(H8&gt;0,((H9-H8)/H8),)</f>
        <v>9.1063592867610066E-2</v>
      </c>
      <c r="AD9" s="706">
        <f t="shared" ref="AD9" si="21">IF(I8&gt;0,((I9-I8)/I8),)</f>
        <v>1.2116819883989285E-2</v>
      </c>
      <c r="AE9" s="706">
        <f t="shared" ref="AE9" si="22">IF(J8&gt;0,((J9-J8)/J8),)</f>
        <v>1.5213780554859021E-2</v>
      </c>
      <c r="AF9" s="706">
        <f t="shared" ref="AF9" si="23">IF(K8&gt;0,((K9-K8)/K8),)</f>
        <v>0</v>
      </c>
      <c r="AG9" s="706">
        <f t="shared" ref="AG9" si="24">IF(L8&gt;0,((L9-L8)/L8),)</f>
        <v>0</v>
      </c>
      <c r="AH9" s="706">
        <f t="shared" ref="AH9" si="25">IF(M8&gt;0,((M9-M8)/M8),)</f>
        <v>-2.1348194634363084E-2</v>
      </c>
      <c r="AI9" s="706">
        <f t="shared" ref="AI9" si="26">IF(N8&gt;0,((N9-N8)/N8),)</f>
        <v>9.1371765412888144E-3</v>
      </c>
      <c r="AJ9" s="706">
        <f t="shared" ref="AJ9" si="27">IF(O8&gt;0,((O9-O8)/O8),)</f>
        <v>0</v>
      </c>
      <c r="AK9" s="1464">
        <f t="shared" ref="AK9" si="28">IF(P8&gt;0,((P9-P8)/P8),)</f>
        <v>-0.26875680815097069</v>
      </c>
      <c r="AL9" s="706">
        <f t="shared" ref="AL9" si="29">IF(Q8&gt;0,((Q9-Q8)/Q8),)</f>
        <v>3.6969980779650428E-3</v>
      </c>
      <c r="AM9" s="706">
        <f t="shared" ref="AM9" si="30">IF(R8&gt;0,((R9-R8)/R8),)</f>
        <v>1.0148482312459564E-2</v>
      </c>
      <c r="AN9" s="706">
        <f t="shared" ref="AN9" si="31">IF(S8&gt;0,((S9-S8)/S8),)</f>
        <v>0</v>
      </c>
      <c r="AO9" s="706">
        <f t="shared" ref="AO9" si="32">IF(T8&gt;0,((T9-T8)/T8),)</f>
        <v>0</v>
      </c>
    </row>
    <row r="10" spans="1:42">
      <c r="A10" s="1553"/>
      <c r="B10" s="440" t="s">
        <v>258</v>
      </c>
      <c r="C10" s="767" t="s">
        <v>267</v>
      </c>
      <c r="D10" s="767" t="s">
        <v>197</v>
      </c>
      <c r="E10" s="767">
        <v>2584080</v>
      </c>
      <c r="F10" s="772"/>
      <c r="G10" s="772"/>
      <c r="H10" s="772"/>
      <c r="I10" s="772"/>
      <c r="J10" s="772"/>
      <c r="K10" s="772"/>
      <c r="L10" s="772">
        <v>0</v>
      </c>
      <c r="M10" s="772"/>
      <c r="N10" s="772"/>
      <c r="O10" s="772"/>
      <c r="P10" s="772"/>
      <c r="Q10" s="772"/>
      <c r="R10" s="772"/>
      <c r="S10" s="772"/>
      <c r="T10" s="772"/>
      <c r="U10" s="771">
        <v>2584080</v>
      </c>
      <c r="V10" s="698"/>
      <c r="W10" s="700"/>
      <c r="X10" s="700"/>
      <c r="Y10" s="406"/>
      <c r="Z10" s="698"/>
      <c r="AA10" s="696"/>
      <c r="AB10" s="697"/>
      <c r="AC10" s="697"/>
      <c r="AD10" s="697"/>
      <c r="AE10" s="697"/>
      <c r="AF10" s="697"/>
      <c r="AG10" s="697"/>
      <c r="AH10" s="697"/>
      <c r="AI10" s="697"/>
      <c r="AJ10" s="697"/>
      <c r="AK10" s="697"/>
      <c r="AL10" s="697"/>
      <c r="AM10" s="697"/>
      <c r="AN10" s="697"/>
      <c r="AO10" s="697"/>
    </row>
    <row r="11" spans="1:42">
      <c r="A11" s="1553"/>
      <c r="B11" s="378"/>
      <c r="C11" s="770"/>
      <c r="D11" s="773" t="s">
        <v>199</v>
      </c>
      <c r="E11" s="773">
        <v>2584080</v>
      </c>
      <c r="F11" s="776"/>
      <c r="G11" s="776"/>
      <c r="H11" s="776"/>
      <c r="I11" s="776"/>
      <c r="J11" s="776"/>
      <c r="K11" s="776"/>
      <c r="L11" s="776">
        <v>0</v>
      </c>
      <c r="M11" s="776"/>
      <c r="N11" s="792"/>
      <c r="O11" s="776"/>
      <c r="P11" s="776"/>
      <c r="Q11" s="776"/>
      <c r="R11" s="776"/>
      <c r="S11" s="776"/>
      <c r="T11" s="776"/>
      <c r="U11" s="777">
        <v>2584080</v>
      </c>
      <c r="V11" s="729"/>
      <c r="W11" s="379"/>
      <c r="X11" s="379"/>
      <c r="Y11" s="379"/>
      <c r="Z11" s="704">
        <f t="shared" ref="Z11" si="33">IF(E10&gt;0,((E11-E10)/E10),)</f>
        <v>0</v>
      </c>
      <c r="AA11" s="705">
        <f t="shared" ref="AA11" si="34">IF(F10&gt;0,((F11-F10)/F10),)</f>
        <v>0</v>
      </c>
      <c r="AB11" s="706">
        <f t="shared" ref="AB11" si="35">IF(G10&gt;0,((G11-G10)/G10),)</f>
        <v>0</v>
      </c>
      <c r="AC11" s="706">
        <f t="shared" ref="AC11" si="36">IF(H10&gt;0,((H11-H10)/H10),)</f>
        <v>0</v>
      </c>
      <c r="AD11" s="706">
        <f t="shared" ref="AD11" si="37">IF(I10&gt;0,((I11-I10)/I10),)</f>
        <v>0</v>
      </c>
      <c r="AE11" s="706">
        <f t="shared" ref="AE11" si="38">IF(J10&gt;0,((J11-J10)/J10),)</f>
        <v>0</v>
      </c>
      <c r="AF11" s="706">
        <f t="shared" ref="AF11" si="39">IF(K10&gt;0,((K11-K10)/K10),)</f>
        <v>0</v>
      </c>
      <c r="AG11" s="706">
        <f t="shared" ref="AG11" si="40">IF(L10&gt;0,((L11-L10)/L10),)</f>
        <v>0</v>
      </c>
      <c r="AH11" s="706">
        <f t="shared" ref="AH11" si="41">IF(M10&gt;0,((M11-M10)/M10),)</f>
        <v>0</v>
      </c>
      <c r="AI11" s="706">
        <f t="shared" ref="AI11" si="42">IF(N10&gt;0,((N11-N10)/N10),)</f>
        <v>0</v>
      </c>
      <c r="AJ11" s="706">
        <f t="shared" ref="AJ11" si="43">IF(O10&gt;0,((O11-O10)/O10),)</f>
        <v>0</v>
      </c>
      <c r="AK11" s="706">
        <f t="shared" ref="AK11" si="44">IF(P10&gt;0,((P11-P10)/P10),)</f>
        <v>0</v>
      </c>
      <c r="AL11" s="706">
        <f t="shared" ref="AL11" si="45">IF(Q10&gt;0,((Q11-Q10)/Q10),)</f>
        <v>0</v>
      </c>
      <c r="AM11" s="706">
        <f t="shared" ref="AM11" si="46">IF(R10&gt;0,((R11-R10)/R10),)</f>
        <v>0</v>
      </c>
      <c r="AN11" s="706">
        <f t="shared" ref="AN11" si="47">IF(S10&gt;0,((S11-S10)/S10),)</f>
        <v>0</v>
      </c>
      <c r="AO11" s="706">
        <f t="shared" ref="AO11" si="48">IF(T10&gt;0,((T11-T10)/T10),)</f>
        <v>0</v>
      </c>
    </row>
    <row r="12" spans="1:42">
      <c r="A12" s="1553"/>
      <c r="B12" s="440" t="s">
        <v>257</v>
      </c>
      <c r="C12" s="767" t="s">
        <v>268</v>
      </c>
      <c r="D12" s="778" t="s">
        <v>197</v>
      </c>
      <c r="E12" s="779">
        <v>38990535</v>
      </c>
      <c r="F12" s="780"/>
      <c r="G12" s="780">
        <v>1774625</v>
      </c>
      <c r="H12" s="780">
        <v>143135893</v>
      </c>
      <c r="I12" s="780">
        <v>29365384</v>
      </c>
      <c r="J12" s="780">
        <v>63340001</v>
      </c>
      <c r="K12" s="780">
        <v>44910820</v>
      </c>
      <c r="L12" s="780">
        <v>18461516</v>
      </c>
      <c r="M12" s="780">
        <v>34958500</v>
      </c>
      <c r="N12" s="780">
        <v>38085561</v>
      </c>
      <c r="O12" s="780">
        <v>0</v>
      </c>
      <c r="P12" s="780">
        <v>34302430</v>
      </c>
      <c r="Q12" s="780">
        <v>37118767</v>
      </c>
      <c r="R12" s="780">
        <v>60447709</v>
      </c>
      <c r="S12" s="780">
        <v>36191396</v>
      </c>
      <c r="T12" s="780">
        <v>17844171</v>
      </c>
      <c r="U12" s="781">
        <v>598927308</v>
      </c>
      <c r="V12" s="698"/>
      <c r="W12" s="700"/>
      <c r="X12" s="700"/>
      <c r="Y12" s="701"/>
      <c r="Z12" s="698"/>
      <c r="AA12" s="696"/>
      <c r="AB12" s="697"/>
      <c r="AC12" s="697"/>
      <c r="AD12" s="697"/>
      <c r="AE12" s="697"/>
      <c r="AF12" s="697"/>
      <c r="AG12" s="697"/>
      <c r="AH12" s="697"/>
      <c r="AI12" s="697"/>
      <c r="AJ12" s="697"/>
      <c r="AK12" s="697"/>
      <c r="AL12" s="697"/>
      <c r="AM12" s="697"/>
      <c r="AN12" s="697"/>
      <c r="AO12" s="697"/>
    </row>
    <row r="13" spans="1:42">
      <c r="A13" s="1553"/>
      <c r="B13" s="441"/>
      <c r="C13" s="770"/>
      <c r="D13" s="782" t="s">
        <v>199</v>
      </c>
      <c r="E13" s="773">
        <v>39413384</v>
      </c>
      <c r="F13" s="776"/>
      <c r="G13" s="776">
        <v>1798825</v>
      </c>
      <c r="H13" s="776">
        <v>151250141</v>
      </c>
      <c r="I13" s="776">
        <v>30465088</v>
      </c>
      <c r="J13" s="776">
        <v>65553116</v>
      </c>
      <c r="K13" s="776">
        <v>41451654</v>
      </c>
      <c r="L13" s="776">
        <v>21171968</v>
      </c>
      <c r="M13" s="776">
        <v>36706426</v>
      </c>
      <c r="N13" s="792">
        <v>38582602</v>
      </c>
      <c r="O13" s="776">
        <v>0</v>
      </c>
      <c r="P13" s="776">
        <v>36276850</v>
      </c>
      <c r="Q13" s="776">
        <v>37322767</v>
      </c>
      <c r="R13" s="776">
        <v>61664003</v>
      </c>
      <c r="S13" s="776">
        <v>38313894</v>
      </c>
      <c r="T13" s="776">
        <v>18533795</v>
      </c>
      <c r="U13" s="777">
        <v>618504513</v>
      </c>
      <c r="V13" s="729"/>
      <c r="W13" s="379"/>
      <c r="X13" s="379"/>
      <c r="Y13" s="453"/>
      <c r="Z13" s="704">
        <f t="shared" ref="Z13" si="49">IF(E12&gt;0,((E13-E12)/E12),)</f>
        <v>1.0844914028494352E-2</v>
      </c>
      <c r="AA13" s="705">
        <f t="shared" ref="AA13" si="50">IF(F12&gt;0,((F13-F12)/F12),)</f>
        <v>0</v>
      </c>
      <c r="AB13" s="706">
        <f t="shared" ref="AB13" si="51">IF(G12&gt;0,((G13-G12)/G12),)</f>
        <v>1.3636683806437979E-2</v>
      </c>
      <c r="AC13" s="706">
        <f t="shared" ref="AC13" si="52">IF(H12&gt;0,((H13-H12)/H12),)</f>
        <v>5.6689121295383262E-2</v>
      </c>
      <c r="AD13" s="706">
        <f t="shared" ref="AD13" si="53">IF(I12&gt;0,((I13-I12)/I12),)</f>
        <v>3.7448990961602951E-2</v>
      </c>
      <c r="AE13" s="706">
        <f t="shared" ref="AE13" si="54">IF(J12&gt;0,((J13-J12)/J12),)</f>
        <v>3.4940242580671889E-2</v>
      </c>
      <c r="AF13" s="706">
        <f t="shared" ref="AF13" si="55">IF(K12&gt;0,((K13-K12)/K12),)</f>
        <v>-7.7022998021412215E-2</v>
      </c>
      <c r="AG13" s="1464">
        <f t="shared" ref="AG13" si="56">IF(L12&gt;0,((L13-L12)/L12),)</f>
        <v>0.14681632862653315</v>
      </c>
      <c r="AH13" s="706">
        <f t="shared" ref="AH13" si="57">IF(M12&gt;0,((M13-M12)/M12),)</f>
        <v>5.0000028605346337E-2</v>
      </c>
      <c r="AI13" s="706">
        <f t="shared" ref="AI13" si="58">IF(N12&gt;0,((N13-N12)/N12),)</f>
        <v>1.3050641422874144E-2</v>
      </c>
      <c r="AJ13" s="706">
        <f t="shared" ref="AJ13" si="59">IF(O12&gt;0,((O13-O12)/O12),)</f>
        <v>0</v>
      </c>
      <c r="AK13" s="706">
        <f t="shared" ref="AK13" si="60">IF(P12&gt;0,((P13-P12)/P12),)</f>
        <v>5.7559187497795344E-2</v>
      </c>
      <c r="AL13" s="706">
        <f t="shared" ref="AL13" si="61">IF(Q12&gt;0,((Q13-Q12)/Q12),)</f>
        <v>5.4958722093328156E-3</v>
      </c>
      <c r="AM13" s="706">
        <f t="shared" ref="AM13" si="62">IF(R12&gt;0,((R13-R12)/R12),)</f>
        <v>2.0121424287560676E-2</v>
      </c>
      <c r="AN13" s="706">
        <f t="shared" ref="AN13" si="63">IF(S12&gt;0,((S13-S12)/S12),)</f>
        <v>5.8646480506029663E-2</v>
      </c>
      <c r="AO13" s="706">
        <f t="shared" ref="AO13" si="64">IF(T12&gt;0,((T13-T12)/T12),)</f>
        <v>3.8647018121491884E-2</v>
      </c>
    </row>
    <row r="14" spans="1:42">
      <c r="A14" s="1553"/>
      <c r="B14" s="440" t="s">
        <v>256</v>
      </c>
      <c r="C14" s="767" t="s">
        <v>269</v>
      </c>
      <c r="D14" s="778" t="s">
        <v>197</v>
      </c>
      <c r="E14" s="779">
        <v>30622954</v>
      </c>
      <c r="F14" s="780"/>
      <c r="G14" s="780">
        <v>653400</v>
      </c>
      <c r="H14" s="780"/>
      <c r="I14" s="780">
        <v>35233027</v>
      </c>
      <c r="J14" s="780"/>
      <c r="K14" s="780">
        <v>30809105</v>
      </c>
      <c r="L14" s="780">
        <v>17960463</v>
      </c>
      <c r="M14" s="780">
        <v>22650355</v>
      </c>
      <c r="N14" s="780">
        <v>52767313</v>
      </c>
      <c r="O14" s="780">
        <v>0</v>
      </c>
      <c r="P14" s="780"/>
      <c r="Q14" s="780">
        <v>25579486</v>
      </c>
      <c r="R14" s="780">
        <v>67164344</v>
      </c>
      <c r="S14" s="780">
        <v>31027270</v>
      </c>
      <c r="T14" s="780">
        <v>9073860</v>
      </c>
      <c r="U14" s="781">
        <v>323541577</v>
      </c>
      <c r="V14" s="698"/>
      <c r="W14" s="700"/>
      <c r="X14" s="700"/>
      <c r="Y14" s="379"/>
      <c r="Z14" s="698"/>
      <c r="AA14" s="696"/>
      <c r="AB14" s="697"/>
      <c r="AC14" s="697"/>
      <c r="AD14" s="697"/>
      <c r="AE14" s="697"/>
      <c r="AF14" s="697"/>
      <c r="AG14" s="697"/>
      <c r="AH14" s="697"/>
      <c r="AI14" s="697"/>
      <c r="AJ14" s="697"/>
      <c r="AK14" s="697"/>
      <c r="AL14" s="697"/>
      <c r="AM14" s="697"/>
      <c r="AN14" s="697"/>
      <c r="AO14" s="697"/>
    </row>
    <row r="15" spans="1:42">
      <c r="A15" s="1553"/>
      <c r="B15" s="441"/>
      <c r="C15" s="774"/>
      <c r="D15" s="782" t="s">
        <v>199</v>
      </c>
      <c r="E15" s="773">
        <v>30634258</v>
      </c>
      <c r="F15" s="776"/>
      <c r="G15" s="776">
        <v>677100</v>
      </c>
      <c r="H15" s="776"/>
      <c r="I15" s="776">
        <v>36858936</v>
      </c>
      <c r="J15" s="776"/>
      <c r="K15" s="776">
        <v>33011314</v>
      </c>
      <c r="L15" s="776">
        <v>19866063</v>
      </c>
      <c r="M15" s="776">
        <v>23782873</v>
      </c>
      <c r="N15" s="792">
        <v>53225463</v>
      </c>
      <c r="O15" s="776">
        <v>0</v>
      </c>
      <c r="P15" s="776"/>
      <c r="Q15" s="776">
        <v>25698486</v>
      </c>
      <c r="R15" s="776">
        <v>68060028</v>
      </c>
      <c r="S15" s="776">
        <v>32361493</v>
      </c>
      <c r="T15" s="776">
        <v>9237501</v>
      </c>
      <c r="U15" s="777">
        <v>333413515</v>
      </c>
      <c r="V15" s="729"/>
      <c r="W15" s="379"/>
      <c r="X15" s="379"/>
      <c r="Y15" s="445"/>
      <c r="Z15" s="704">
        <f t="shared" ref="Z15" si="65">IF(E14&gt;0,((E15-E14)/E14),)</f>
        <v>3.6913486530398078E-4</v>
      </c>
      <c r="AA15" s="705">
        <f t="shared" ref="AA15" si="66">IF(F14&gt;0,((F15-F14)/F14),)</f>
        <v>0</v>
      </c>
      <c r="AB15" s="706">
        <f t="shared" ref="AB15" si="67">IF(G14&gt;0,((G15-G14)/G14),)</f>
        <v>3.627180899908173E-2</v>
      </c>
      <c r="AC15" s="706">
        <f t="shared" ref="AC15" si="68">IF(H14&gt;0,((H15-H14)/H14),)</f>
        <v>0</v>
      </c>
      <c r="AD15" s="706">
        <f t="shared" ref="AD15" si="69">IF(I14&gt;0,((I15-I14)/I14),)</f>
        <v>4.6147298101863347E-2</v>
      </c>
      <c r="AE15" s="706">
        <f t="shared" ref="AE15" si="70">IF(J14&gt;0,((J15-J14)/J14),)</f>
        <v>0</v>
      </c>
      <c r="AF15" s="706">
        <f t="shared" ref="AF15" si="71">IF(K14&gt;0,((K15-K14)/K14),)</f>
        <v>7.1479161760784671E-2</v>
      </c>
      <c r="AG15" s="1464">
        <f t="shared" ref="AG15" si="72">IF(L14&gt;0,((L15-L14)/L14),)</f>
        <v>0.10609971468998322</v>
      </c>
      <c r="AH15" s="706">
        <f t="shared" ref="AH15" si="73">IF(M14&gt;0,((M15-M14)/M14),)</f>
        <v>5.0000011037354603E-2</v>
      </c>
      <c r="AI15" s="706">
        <f t="shared" ref="AI15" si="74">IF(N14&gt;0,((N15-N14)/N14),)</f>
        <v>8.6824583999568061E-3</v>
      </c>
      <c r="AJ15" s="706">
        <f t="shared" ref="AJ15" si="75">IF(O14&gt;0,((O15-O14)/O14),)</f>
        <v>0</v>
      </c>
      <c r="AK15" s="706">
        <f t="shared" ref="AK15" si="76">IF(P14&gt;0,((P15-P14)/P14),)</f>
        <v>0</v>
      </c>
      <c r="AL15" s="706">
        <f t="shared" ref="AL15" si="77">IF(Q14&gt;0,((Q15-Q14)/Q14),)</f>
        <v>4.6521654109859751E-3</v>
      </c>
      <c r="AM15" s="706">
        <f t="shared" ref="AM15" si="78">IF(R14&gt;0,((R15-R14)/R14),)</f>
        <v>1.333570681491358E-2</v>
      </c>
      <c r="AN15" s="706">
        <f t="shared" ref="AN15" si="79">IF(S14&gt;0,((S15-S14)/S14),)</f>
        <v>4.3001624055226256E-2</v>
      </c>
      <c r="AO15" s="706">
        <f t="shared" ref="AO15" si="80">IF(T14&gt;0,((T15-T14)/T14),)</f>
        <v>1.8034331585455362E-2</v>
      </c>
    </row>
    <row r="16" spans="1:42">
      <c r="A16" s="1553"/>
      <c r="B16" s="440" t="s">
        <v>308</v>
      </c>
      <c r="C16" s="767" t="s">
        <v>270</v>
      </c>
      <c r="D16" s="767" t="s">
        <v>197</v>
      </c>
      <c r="E16" s="767"/>
      <c r="F16" s="772"/>
      <c r="G16" s="772"/>
      <c r="H16" s="772"/>
      <c r="I16" s="772">
        <v>5588520</v>
      </c>
      <c r="J16" s="772"/>
      <c r="K16" s="772"/>
      <c r="L16" s="772"/>
      <c r="M16" s="772"/>
      <c r="N16" s="772"/>
      <c r="O16" s="772"/>
      <c r="P16" s="772"/>
      <c r="Q16" s="772"/>
      <c r="R16" s="772">
        <v>21165810</v>
      </c>
      <c r="S16" s="772"/>
      <c r="T16" s="772">
        <v>3696549</v>
      </c>
      <c r="U16" s="771">
        <v>30450879</v>
      </c>
      <c r="V16" s="698"/>
      <c r="W16" s="700"/>
      <c r="X16" s="700"/>
      <c r="Y16" s="406"/>
      <c r="Z16" s="698"/>
      <c r="AA16" s="696"/>
      <c r="AB16" s="697"/>
      <c r="AC16" s="697"/>
      <c r="AD16" s="697"/>
      <c r="AE16" s="697"/>
      <c r="AF16" s="697"/>
      <c r="AG16" s="697"/>
      <c r="AH16" s="697"/>
      <c r="AI16" s="697"/>
      <c r="AJ16" s="697"/>
      <c r="AK16" s="697"/>
      <c r="AL16" s="697"/>
      <c r="AM16" s="697"/>
      <c r="AN16" s="697"/>
      <c r="AO16" s="697"/>
    </row>
    <row r="17" spans="1:41">
      <c r="A17" s="1553"/>
      <c r="B17" s="378"/>
      <c r="C17" s="770"/>
      <c r="D17" s="773" t="s">
        <v>199</v>
      </c>
      <c r="E17" s="773"/>
      <c r="F17" s="776"/>
      <c r="G17" s="776"/>
      <c r="H17" s="776"/>
      <c r="I17" s="776">
        <v>5629947</v>
      </c>
      <c r="J17" s="776"/>
      <c r="K17" s="776"/>
      <c r="L17" s="776"/>
      <c r="M17" s="776"/>
      <c r="N17" s="792"/>
      <c r="O17" s="776"/>
      <c r="P17" s="776"/>
      <c r="Q17" s="776"/>
      <c r="R17" s="776">
        <v>21481165</v>
      </c>
      <c r="S17" s="776"/>
      <c r="T17" s="776">
        <v>4235165</v>
      </c>
      <c r="U17" s="777">
        <v>31346277</v>
      </c>
      <c r="V17" s="729"/>
      <c r="W17" s="379"/>
      <c r="X17" s="379"/>
      <c r="Y17" s="379"/>
      <c r="Z17" s="704">
        <f t="shared" ref="Z17" si="81">IF(E16&gt;0,((E17-E16)/E16),)</f>
        <v>0</v>
      </c>
      <c r="AA17" s="705">
        <f t="shared" ref="AA17" si="82">IF(F16&gt;0,((F17-F16)/F16),)</f>
        <v>0</v>
      </c>
      <c r="AB17" s="706">
        <f t="shared" ref="AB17" si="83">IF(G16&gt;0,((G17-G16)/G16),)</f>
        <v>0</v>
      </c>
      <c r="AC17" s="706">
        <f t="shared" ref="AC17" si="84">IF(H16&gt;0,((H17-H16)/H16),)</f>
        <v>0</v>
      </c>
      <c r="AD17" s="706">
        <f t="shared" ref="AD17" si="85">IF(I16&gt;0,((I17-I16)/I16),)</f>
        <v>7.412874965107041E-3</v>
      </c>
      <c r="AE17" s="706">
        <f t="shared" ref="AE17" si="86">IF(J16&gt;0,((J17-J16)/J16),)</f>
        <v>0</v>
      </c>
      <c r="AF17" s="706">
        <f t="shared" ref="AF17" si="87">IF(K16&gt;0,((K17-K16)/K16),)</f>
        <v>0</v>
      </c>
      <c r="AG17" s="706">
        <f t="shared" ref="AG17" si="88">IF(L16&gt;0,((L17-L16)/L16),)</f>
        <v>0</v>
      </c>
      <c r="AH17" s="706">
        <f t="shared" ref="AH17" si="89">IF(M16&gt;0,((M17-M16)/M16),)</f>
        <v>0</v>
      </c>
      <c r="AI17" s="706">
        <f t="shared" ref="AI17" si="90">IF(N16&gt;0,((N17-N16)/N16),)</f>
        <v>0</v>
      </c>
      <c r="AJ17" s="706">
        <f t="shared" ref="AJ17" si="91">IF(O16&gt;0,((O17-O16)/O16),)</f>
        <v>0</v>
      </c>
      <c r="AK17" s="706">
        <f t="shared" ref="AK17" si="92">IF(P16&gt;0,((P17-P16)/P16),)</f>
        <v>0</v>
      </c>
      <c r="AL17" s="706">
        <f t="shared" ref="AL17" si="93">IF(Q16&gt;0,((Q17-Q16)/Q16),)</f>
        <v>0</v>
      </c>
      <c r="AM17" s="706">
        <f t="shared" ref="AM17" si="94">IF(R16&gt;0,((R17-R16)/R16),)</f>
        <v>1.4899264426922475E-2</v>
      </c>
      <c r="AN17" s="706">
        <f t="shared" ref="AN17" si="95">IF(S16&gt;0,((S17-S16)/S16),)</f>
        <v>0</v>
      </c>
      <c r="AO17" s="1464">
        <f t="shared" ref="AO17" si="96">IF(T16&gt;0,((T17-T16)/T16),)</f>
        <v>0.14570779394510935</v>
      </c>
    </row>
    <row r="18" spans="1:41">
      <c r="A18" s="1553"/>
      <c r="B18" s="440" t="s">
        <v>309</v>
      </c>
      <c r="C18" s="767" t="s">
        <v>271</v>
      </c>
      <c r="D18" s="767" t="s">
        <v>197</v>
      </c>
      <c r="E18" s="767">
        <v>1500000</v>
      </c>
      <c r="F18" s="772"/>
      <c r="G18" s="772">
        <v>3820236</v>
      </c>
      <c r="H18" s="772">
        <v>6646606</v>
      </c>
      <c r="I18" s="772">
        <v>10324555</v>
      </c>
      <c r="J18" s="772">
        <v>5967326.2199999997</v>
      </c>
      <c r="K18" s="772"/>
      <c r="L18" s="772">
        <v>20690318</v>
      </c>
      <c r="M18" s="772">
        <v>24458206</v>
      </c>
      <c r="N18" s="772"/>
      <c r="O18" s="772"/>
      <c r="P18" s="772">
        <v>3000000</v>
      </c>
      <c r="Q18" s="772"/>
      <c r="R18" s="772"/>
      <c r="S18" s="772">
        <v>17491970</v>
      </c>
      <c r="T18" s="772">
        <v>7191476</v>
      </c>
      <c r="U18" s="771">
        <v>101090693.22</v>
      </c>
      <c r="V18" s="698"/>
      <c r="W18" s="700"/>
      <c r="X18" s="700"/>
      <c r="Y18" s="445"/>
      <c r="Z18" s="698"/>
      <c r="AA18" s="696"/>
      <c r="AB18" s="697"/>
      <c r="AC18" s="697"/>
      <c r="AD18" s="697"/>
      <c r="AE18" s="697"/>
      <c r="AF18" s="697"/>
      <c r="AG18" s="697"/>
      <c r="AH18" s="697"/>
      <c r="AI18" s="697"/>
      <c r="AJ18" s="697"/>
      <c r="AK18" s="697"/>
      <c r="AL18" s="697"/>
      <c r="AM18" s="697"/>
      <c r="AN18" s="697"/>
      <c r="AO18" s="697"/>
    </row>
    <row r="19" spans="1:41">
      <c r="A19" s="1553"/>
      <c r="B19" s="441"/>
      <c r="C19" s="770"/>
      <c r="D19" s="773" t="s">
        <v>199</v>
      </c>
      <c r="E19" s="773">
        <v>3360000</v>
      </c>
      <c r="F19" s="776"/>
      <c r="G19" s="776">
        <v>3857231</v>
      </c>
      <c r="H19" s="776">
        <v>6830347</v>
      </c>
      <c r="I19" s="776">
        <v>10570105</v>
      </c>
      <c r="J19" s="776">
        <v>6605859.1299999999</v>
      </c>
      <c r="K19" s="776"/>
      <c r="L19" s="776">
        <v>22286266</v>
      </c>
      <c r="M19" s="776">
        <v>25819157</v>
      </c>
      <c r="N19" s="792"/>
      <c r="O19" s="776"/>
      <c r="P19" s="776">
        <v>0</v>
      </c>
      <c r="Q19" s="776"/>
      <c r="R19" s="776"/>
      <c r="S19" s="776">
        <v>18203761</v>
      </c>
      <c r="T19" s="776">
        <v>7177823</v>
      </c>
      <c r="U19" s="777">
        <v>104710549.13</v>
      </c>
      <c r="V19" s="732"/>
      <c r="W19" s="379"/>
      <c r="X19" s="379"/>
      <c r="Y19" s="406"/>
      <c r="Z19" s="1463">
        <f t="shared" ref="Z19" si="97">IF(E18&gt;0,((E19-E18)/E18),)</f>
        <v>1.24</v>
      </c>
      <c r="AA19" s="705">
        <f t="shared" ref="AA19" si="98">IF(F18&gt;0,((F19-F18)/F18),)</f>
        <v>0</v>
      </c>
      <c r="AB19" s="706">
        <f t="shared" ref="AB19" si="99">IF(G18&gt;0,((G19-G18)/G18),)</f>
        <v>9.6839566979631617E-3</v>
      </c>
      <c r="AC19" s="706">
        <f t="shared" ref="AC19" si="100">IF(H18&gt;0,((H19-H18)/H18),)</f>
        <v>2.7644334567146E-2</v>
      </c>
      <c r="AD19" s="706">
        <f t="shared" ref="AD19" si="101">IF(I18&gt;0,((I19-I18)/I18),)</f>
        <v>2.378310735910652E-2</v>
      </c>
      <c r="AE19" s="1464">
        <f t="shared" ref="AE19" si="102">IF(J18&gt;0,((J19-J18)/J18),)</f>
        <v>0.10700486054539854</v>
      </c>
      <c r="AF19" s="706">
        <f t="shared" ref="AF19" si="103">IF(K18&gt;0,((K19-K18)/K18),)</f>
        <v>0</v>
      </c>
      <c r="AG19" s="706">
        <f t="shared" ref="AG19" si="104">IF(L18&gt;0,((L19-L18)/L18),)</f>
        <v>7.7135015517886193E-2</v>
      </c>
      <c r="AH19" s="706">
        <f t="shared" ref="AH19" si="105">IF(M18&gt;0,((M19-M18)/M18),)</f>
        <v>5.5643942159944192E-2</v>
      </c>
      <c r="AI19" s="706">
        <f t="shared" ref="AI19" si="106">IF(N18&gt;0,((N19-N18)/N18),)</f>
        <v>0</v>
      </c>
      <c r="AJ19" s="706">
        <f t="shared" ref="AJ19" si="107">IF(O18&gt;0,((O19-O18)/O18),)</f>
        <v>0</v>
      </c>
      <c r="AK19" s="1464">
        <f t="shared" ref="AK19" si="108">IF(P18&gt;0,((P19-P18)/P18),)</f>
        <v>-1</v>
      </c>
      <c r="AL19" s="706">
        <f t="shared" ref="AL19" si="109">IF(Q18&gt;0,((Q19-Q18)/Q18),)</f>
        <v>0</v>
      </c>
      <c r="AM19" s="706">
        <f t="shared" ref="AM19" si="110">IF(R18&gt;0,((R19-R18)/R18),)</f>
        <v>0</v>
      </c>
      <c r="AN19" s="706">
        <f t="shared" ref="AN19" si="111">IF(S18&gt;0,((S19-S18)/S18),)</f>
        <v>4.0692443446907353E-2</v>
      </c>
      <c r="AO19" s="706">
        <f t="shared" ref="AO19" si="112">IF(T18&gt;0,((T19-T18)/T18),)</f>
        <v>-1.898497610226329E-3</v>
      </c>
    </row>
    <row r="20" spans="1:41">
      <c r="A20" s="1553"/>
      <c r="B20" s="440" t="s">
        <v>427</v>
      </c>
      <c r="C20" s="767" t="s">
        <v>272</v>
      </c>
      <c r="D20" s="767" t="s">
        <v>197</v>
      </c>
      <c r="E20" s="767">
        <v>17585925.010000002</v>
      </c>
      <c r="F20" s="772"/>
      <c r="G20" s="772"/>
      <c r="H20" s="772">
        <v>3864921</v>
      </c>
      <c r="I20" s="772"/>
      <c r="J20" s="772"/>
      <c r="K20" s="772"/>
      <c r="L20" s="772"/>
      <c r="M20" s="772">
        <v>26761914.559999999</v>
      </c>
      <c r="N20" s="772"/>
      <c r="O20" s="772"/>
      <c r="P20" s="772">
        <v>50719134</v>
      </c>
      <c r="Q20" s="772"/>
      <c r="R20" s="772"/>
      <c r="S20" s="772"/>
      <c r="T20" s="772">
        <v>5154970</v>
      </c>
      <c r="U20" s="771">
        <v>104086864.56999999</v>
      </c>
      <c r="V20" s="698"/>
      <c r="W20" s="700"/>
      <c r="X20" s="700"/>
      <c r="Y20" s="379"/>
      <c r="Z20" s="698"/>
      <c r="AA20" s="696"/>
      <c r="AB20" s="697"/>
      <c r="AC20" s="697"/>
      <c r="AD20" s="697"/>
      <c r="AE20" s="697"/>
      <c r="AF20" s="697"/>
      <c r="AG20" s="697"/>
      <c r="AH20" s="697"/>
      <c r="AI20" s="697"/>
      <c r="AJ20" s="697"/>
      <c r="AK20" s="697"/>
      <c r="AL20" s="697"/>
      <c r="AM20" s="697"/>
      <c r="AN20" s="697"/>
      <c r="AO20" s="697"/>
    </row>
    <row r="21" spans="1:41">
      <c r="A21" s="1553"/>
      <c r="B21" s="441"/>
      <c r="C21" s="770"/>
      <c r="D21" s="773" t="s">
        <v>199</v>
      </c>
      <c r="E21" s="773">
        <v>22202653</v>
      </c>
      <c r="F21" s="776"/>
      <c r="G21" s="776"/>
      <c r="H21" s="776">
        <v>5126746</v>
      </c>
      <c r="I21" s="776"/>
      <c r="J21" s="776"/>
      <c r="K21" s="776"/>
      <c r="L21" s="776"/>
      <c r="M21" s="776">
        <v>26743473</v>
      </c>
      <c r="N21" s="792"/>
      <c r="O21" s="776"/>
      <c r="P21" s="776">
        <v>56663839.329999998</v>
      </c>
      <c r="Q21" s="776"/>
      <c r="R21" s="776"/>
      <c r="S21" s="776"/>
      <c r="T21" s="776">
        <v>5471818</v>
      </c>
      <c r="U21" s="777">
        <v>116208529.33</v>
      </c>
      <c r="V21" s="729"/>
      <c r="W21" s="379"/>
      <c r="X21" s="379"/>
      <c r="Y21" s="445"/>
      <c r="Z21" s="1463">
        <f t="shared" ref="Z21" si="113">IF(E20&gt;0,((E21-E20)/E20),)</f>
        <v>0.262524034838927</v>
      </c>
      <c r="AA21" s="705">
        <f t="shared" ref="AA21" si="114">IF(F20&gt;0,((F21-F20)/F20),)</f>
        <v>0</v>
      </c>
      <c r="AB21" s="706">
        <f t="shared" ref="AB21" si="115">IF(G20&gt;0,((G21-G20)/G20),)</f>
        <v>0</v>
      </c>
      <c r="AC21" s="1464">
        <f t="shared" ref="AC21" si="116">IF(H20&gt;0,((H21-H20)/H20),)</f>
        <v>0.326481446839405</v>
      </c>
      <c r="AD21" s="706">
        <f t="shared" ref="AD21" si="117">IF(I20&gt;0,((I21-I20)/I20),)</f>
        <v>0</v>
      </c>
      <c r="AE21" s="706">
        <f t="shared" ref="AE21" si="118">IF(J20&gt;0,((J21-J20)/J20),)</f>
        <v>0</v>
      </c>
      <c r="AF21" s="706">
        <f t="shared" ref="AF21" si="119">IF(K20&gt;0,((K21-K20)/K20),)</f>
        <v>0</v>
      </c>
      <c r="AG21" s="706">
        <f t="shared" ref="AG21" si="120">IF(L20&gt;0,((L21-L20)/L20),)</f>
        <v>0</v>
      </c>
      <c r="AH21" s="706">
        <f t="shared" ref="AH21" si="121">IF(M20&gt;0,((M21-M20)/M20),)</f>
        <v>-6.8909718542942166E-4</v>
      </c>
      <c r="AI21" s="706">
        <f t="shared" ref="AI21" si="122">IF(N20&gt;0,((N21-N20)/N20),)</f>
        <v>0</v>
      </c>
      <c r="AJ21" s="706">
        <f t="shared" ref="AJ21" si="123">IF(O20&gt;0,((O21-O20)/O20),)</f>
        <v>0</v>
      </c>
      <c r="AK21" s="706">
        <f t="shared" ref="AK21" si="124">IF(P20&gt;0,((P21-P20)/P20),)</f>
        <v>0.11720833660133073</v>
      </c>
      <c r="AL21" s="706">
        <f t="shared" ref="AL21" si="125">IF(Q20&gt;0,((Q21-Q20)/Q20),)</f>
        <v>0</v>
      </c>
      <c r="AM21" s="706">
        <f t="shared" ref="AM21" si="126">IF(R20&gt;0,((R21-R20)/R20),)</f>
        <v>0</v>
      </c>
      <c r="AN21" s="706">
        <f t="shared" ref="AN21" si="127">IF(S20&gt;0,((S21-S20)/S20),)</f>
        <v>0</v>
      </c>
      <c r="AO21" s="706">
        <f t="shared" ref="AO21" si="128">IF(T20&gt;0,((T21-T20)/T20),)</f>
        <v>6.1464567204076843E-2</v>
      </c>
    </row>
    <row r="22" spans="1:41">
      <c r="A22" s="1553"/>
      <c r="B22" s="435" t="s">
        <v>353</v>
      </c>
      <c r="C22" s="767" t="s">
        <v>273</v>
      </c>
      <c r="D22" s="778" t="s">
        <v>197</v>
      </c>
      <c r="E22" s="779">
        <v>0</v>
      </c>
      <c r="F22" s="780"/>
      <c r="G22" s="780"/>
      <c r="H22" s="780"/>
      <c r="I22" s="780">
        <v>0</v>
      </c>
      <c r="J22" s="780"/>
      <c r="K22" s="780">
        <v>0</v>
      </c>
      <c r="L22" s="780"/>
      <c r="M22" s="780">
        <v>0</v>
      </c>
      <c r="N22" s="780">
        <v>0</v>
      </c>
      <c r="O22" s="780">
        <v>0</v>
      </c>
      <c r="P22" s="780"/>
      <c r="Q22" s="780"/>
      <c r="R22" s="780">
        <v>0</v>
      </c>
      <c r="S22" s="780">
        <v>0</v>
      </c>
      <c r="T22" s="780">
        <v>0</v>
      </c>
      <c r="U22" s="781">
        <v>0</v>
      </c>
      <c r="V22" s="698"/>
      <c r="W22" s="700"/>
      <c r="X22" s="700"/>
      <c r="Y22" s="406"/>
      <c r="Z22" s="698"/>
      <c r="AA22" s="696"/>
      <c r="AB22" s="697"/>
      <c r="AC22" s="697"/>
      <c r="AD22" s="697"/>
      <c r="AE22" s="697"/>
      <c r="AF22" s="697"/>
      <c r="AG22" s="697"/>
      <c r="AH22" s="697"/>
      <c r="AI22" s="697"/>
      <c r="AJ22" s="697"/>
      <c r="AK22" s="697"/>
      <c r="AL22" s="697"/>
      <c r="AM22" s="697"/>
      <c r="AN22" s="697"/>
      <c r="AO22" s="697"/>
    </row>
    <row r="23" spans="1:41">
      <c r="A23" s="1553"/>
      <c r="B23" s="378"/>
      <c r="C23" s="770"/>
      <c r="D23" s="782" t="s">
        <v>199</v>
      </c>
      <c r="E23" s="773">
        <v>0</v>
      </c>
      <c r="F23" s="776"/>
      <c r="G23" s="776"/>
      <c r="H23" s="776"/>
      <c r="I23" s="776">
        <v>0</v>
      </c>
      <c r="J23" s="776"/>
      <c r="K23" s="776">
        <v>0</v>
      </c>
      <c r="L23" s="776"/>
      <c r="M23" s="776">
        <v>0</v>
      </c>
      <c r="N23" s="792">
        <v>0</v>
      </c>
      <c r="O23" s="776">
        <v>0</v>
      </c>
      <c r="P23" s="776"/>
      <c r="Q23" s="776"/>
      <c r="R23" s="776">
        <v>0</v>
      </c>
      <c r="S23" s="776">
        <v>0</v>
      </c>
      <c r="T23" s="776">
        <v>0</v>
      </c>
      <c r="U23" s="777">
        <v>0</v>
      </c>
      <c r="V23" s="729"/>
      <c r="W23" s="379"/>
      <c r="X23" s="379"/>
      <c r="Y23" s="379"/>
      <c r="Z23" s="704">
        <f t="shared" ref="Z23" si="129">IF(E22&gt;0,((E23-E22)/E22),)</f>
        <v>0</v>
      </c>
      <c r="AA23" s="705">
        <f t="shared" ref="AA23" si="130">IF(F22&gt;0,((F23-F22)/F22),)</f>
        <v>0</v>
      </c>
      <c r="AB23" s="706">
        <f t="shared" ref="AB23" si="131">IF(G22&gt;0,((G23-G22)/G22),)</f>
        <v>0</v>
      </c>
      <c r="AC23" s="706">
        <f t="shared" ref="AC23" si="132">IF(H22&gt;0,((H23-H22)/H22),)</f>
        <v>0</v>
      </c>
      <c r="AD23" s="706">
        <f t="shared" ref="AD23" si="133">IF(I22&gt;0,((I23-I22)/I22),)</f>
        <v>0</v>
      </c>
      <c r="AE23" s="706">
        <f t="shared" ref="AE23" si="134">IF(J22&gt;0,((J23-J22)/J22),)</f>
        <v>0</v>
      </c>
      <c r="AF23" s="706">
        <f t="shared" ref="AF23" si="135">IF(K22&gt;0,((K23-K22)/K22),)</f>
        <v>0</v>
      </c>
      <c r="AG23" s="706">
        <f t="shared" ref="AG23" si="136">IF(L22&gt;0,((L23-L22)/L22),)</f>
        <v>0</v>
      </c>
      <c r="AH23" s="706">
        <f t="shared" ref="AH23" si="137">IF(M22&gt;0,((M23-M22)/M22),)</f>
        <v>0</v>
      </c>
      <c r="AI23" s="706">
        <f t="shared" ref="AI23" si="138">IF(N22&gt;0,((N23-N22)/N22),)</f>
        <v>0</v>
      </c>
      <c r="AJ23" s="706">
        <f t="shared" ref="AJ23" si="139">IF(O22&gt;0,((O23-O22)/O22),)</f>
        <v>0</v>
      </c>
      <c r="AK23" s="706">
        <f t="shared" ref="AK23" si="140">IF(P22&gt;0,((P23-P22)/P22),)</f>
        <v>0</v>
      </c>
      <c r="AL23" s="706">
        <f t="shared" ref="AL23" si="141">IF(Q22&gt;0,((Q23-Q22)/Q22),)</f>
        <v>0</v>
      </c>
      <c r="AM23" s="706">
        <f t="shared" ref="AM23" si="142">IF(R22&gt;0,((R23-R22)/R22),)</f>
        <v>0</v>
      </c>
      <c r="AN23" s="706">
        <f t="shared" ref="AN23" si="143">IF(S22&gt;0,((S23-S22)/S22),)</f>
        <v>0</v>
      </c>
      <c r="AO23" s="706">
        <f t="shared" ref="AO23" si="144">IF(T22&gt;0,((T23-T22)/T22),)</f>
        <v>0</v>
      </c>
    </row>
    <row r="24" spans="1:41">
      <c r="A24" s="1553"/>
      <c r="B24" s="440" t="s">
        <v>319</v>
      </c>
      <c r="C24" s="767" t="s">
        <v>274</v>
      </c>
      <c r="D24" s="778" t="s">
        <v>197</v>
      </c>
      <c r="E24" s="779"/>
      <c r="F24" s="780"/>
      <c r="G24" s="780"/>
      <c r="H24" s="780">
        <v>0</v>
      </c>
      <c r="I24" s="780">
        <v>0</v>
      </c>
      <c r="J24" s="780">
        <v>12534800</v>
      </c>
      <c r="K24" s="780">
        <v>287216</v>
      </c>
      <c r="L24" s="780"/>
      <c r="M24" s="780">
        <v>571619</v>
      </c>
      <c r="N24" s="780">
        <v>50889922</v>
      </c>
      <c r="O24" s="780">
        <v>0</v>
      </c>
      <c r="P24" s="780"/>
      <c r="Q24" s="780"/>
      <c r="R24" s="780">
        <v>46158742</v>
      </c>
      <c r="S24" s="780"/>
      <c r="T24" s="780">
        <v>5042263</v>
      </c>
      <c r="U24" s="781">
        <v>115484562</v>
      </c>
      <c r="V24" s="698"/>
      <c r="W24" s="700"/>
      <c r="X24" s="700"/>
      <c r="Y24" s="445"/>
      <c r="Z24" s="698"/>
      <c r="AA24" s="696"/>
      <c r="AB24" s="697"/>
      <c r="AC24" s="697"/>
      <c r="AD24" s="697"/>
      <c r="AE24" s="697"/>
      <c r="AF24" s="697"/>
      <c r="AG24" s="697"/>
      <c r="AH24" s="697"/>
      <c r="AI24" s="697"/>
      <c r="AJ24" s="697"/>
      <c r="AK24" s="697"/>
      <c r="AL24" s="697"/>
      <c r="AM24" s="697"/>
      <c r="AN24" s="697"/>
      <c r="AO24" s="697"/>
    </row>
    <row r="25" spans="1:41">
      <c r="A25" s="1553"/>
      <c r="B25" s="441"/>
      <c r="C25" s="774"/>
      <c r="D25" s="782" t="s">
        <v>199</v>
      </c>
      <c r="E25" s="773"/>
      <c r="F25" s="776"/>
      <c r="G25" s="776"/>
      <c r="H25" s="776">
        <v>0</v>
      </c>
      <c r="I25" s="776">
        <v>0</v>
      </c>
      <c r="J25" s="776">
        <v>12376400</v>
      </c>
      <c r="K25" s="776">
        <v>301773</v>
      </c>
      <c r="L25" s="776"/>
      <c r="M25" s="776">
        <v>579619</v>
      </c>
      <c r="N25" s="792">
        <v>52425773</v>
      </c>
      <c r="O25" s="776">
        <v>0</v>
      </c>
      <c r="P25" s="776"/>
      <c r="Q25" s="776"/>
      <c r="R25" s="776">
        <v>46803462</v>
      </c>
      <c r="S25" s="776"/>
      <c r="T25" s="776">
        <v>4691138</v>
      </c>
      <c r="U25" s="777">
        <v>117178165</v>
      </c>
      <c r="V25" s="729"/>
      <c r="W25" s="379"/>
      <c r="X25" s="379"/>
      <c r="Y25" s="406"/>
      <c r="Z25" s="704">
        <f t="shared" ref="Z25" si="145">IF(E24&gt;0,((E25-E24)/E24),)</f>
        <v>0</v>
      </c>
      <c r="AA25" s="705">
        <f t="shared" ref="AA25" si="146">IF(F24&gt;0,((F25-F24)/F24),)</f>
        <v>0</v>
      </c>
      <c r="AB25" s="706">
        <f t="shared" ref="AB25" si="147">IF(G24&gt;0,((G25-G24)/G24),)</f>
        <v>0</v>
      </c>
      <c r="AC25" s="706">
        <f t="shared" ref="AC25" si="148">IF(H24&gt;0,((H25-H24)/H24),)</f>
        <v>0</v>
      </c>
      <c r="AD25" s="706">
        <f t="shared" ref="AD25" si="149">IF(I24&gt;0,((I25-I24)/I24),)</f>
        <v>0</v>
      </c>
      <c r="AE25" s="706">
        <f t="shared" ref="AE25" si="150">IF(J24&gt;0,((J25-J24)/J24),)</f>
        <v>-1.2636819095637745E-2</v>
      </c>
      <c r="AF25" s="706">
        <f t="shared" ref="AF25" si="151">IF(K24&gt;0,((K25-K24)/K24),)</f>
        <v>5.0683109576068183E-2</v>
      </c>
      <c r="AG25" s="706">
        <f t="shared" ref="AG25" si="152">IF(L24&gt;0,((L25-L24)/L24),)</f>
        <v>0</v>
      </c>
      <c r="AH25" s="706">
        <f t="shared" ref="AH25" si="153">IF(M24&gt;0,((M25-M24)/M24),)</f>
        <v>1.3995336054259918E-2</v>
      </c>
      <c r="AI25" s="706">
        <f t="shared" ref="AI25" si="154">IF(N24&gt;0,((N25-N24)/N24),)</f>
        <v>3.0179865475132777E-2</v>
      </c>
      <c r="AJ25" s="706">
        <f t="shared" ref="AJ25" si="155">IF(O24&gt;0,((O25-O24)/O24),)</f>
        <v>0</v>
      </c>
      <c r="AK25" s="706">
        <f t="shared" ref="AK25" si="156">IF(P24&gt;0,((P25-P24)/P24),)</f>
        <v>0</v>
      </c>
      <c r="AL25" s="706">
        <f t="shared" ref="AL25" si="157">IF(Q24&gt;0,((Q25-Q24)/Q24),)</f>
        <v>0</v>
      </c>
      <c r="AM25" s="706">
        <f t="shared" ref="AM25" si="158">IF(R24&gt;0,((R25-R24)/R24),)</f>
        <v>1.3967451712613831E-2</v>
      </c>
      <c r="AN25" s="706">
        <f t="shared" ref="AN25" si="159">IF(S24&gt;0,((S25-S24)/S24),)</f>
        <v>0</v>
      </c>
      <c r="AO25" s="706">
        <f t="shared" ref="AO25" si="160">IF(T24&gt;0,((T25-T24)/T24),)</f>
        <v>-6.9636391437733411E-2</v>
      </c>
    </row>
    <row r="26" spans="1:41">
      <c r="A26" s="1553"/>
      <c r="B26" s="440" t="s">
        <v>258</v>
      </c>
      <c r="C26" s="767" t="s">
        <v>275</v>
      </c>
      <c r="D26" s="767" t="s">
        <v>197</v>
      </c>
      <c r="E26" s="767"/>
      <c r="F26" s="772"/>
      <c r="G26" s="772"/>
      <c r="H26" s="772"/>
      <c r="I26" s="772"/>
      <c r="J26" s="772"/>
      <c r="K26" s="772"/>
      <c r="L26" s="772"/>
      <c r="M26" s="772"/>
      <c r="N26" s="772">
        <v>154463208</v>
      </c>
      <c r="O26" s="772"/>
      <c r="P26" s="772"/>
      <c r="Q26" s="772"/>
      <c r="R26" s="772"/>
      <c r="S26" s="772"/>
      <c r="T26" s="772">
        <v>243926</v>
      </c>
      <c r="U26" s="771">
        <v>154707134</v>
      </c>
      <c r="V26" s="698"/>
      <c r="W26" s="700"/>
      <c r="X26" s="700"/>
      <c r="Y26" s="379"/>
      <c r="Z26" s="698"/>
      <c r="AA26" s="696"/>
      <c r="AB26" s="697"/>
      <c r="AC26" s="697"/>
      <c r="AD26" s="697"/>
      <c r="AE26" s="697"/>
      <c r="AF26" s="697"/>
      <c r="AG26" s="697"/>
      <c r="AH26" s="697"/>
      <c r="AI26" s="697"/>
      <c r="AJ26" s="697"/>
      <c r="AK26" s="697"/>
      <c r="AL26" s="697"/>
      <c r="AM26" s="697"/>
      <c r="AN26" s="697"/>
      <c r="AO26" s="697"/>
    </row>
    <row r="27" spans="1:41">
      <c r="A27" s="1553"/>
      <c r="B27" s="378"/>
      <c r="C27" s="770"/>
      <c r="D27" s="773" t="s">
        <v>199</v>
      </c>
      <c r="E27" s="773"/>
      <c r="F27" s="776"/>
      <c r="G27" s="776"/>
      <c r="H27" s="776"/>
      <c r="I27" s="776"/>
      <c r="J27" s="776"/>
      <c r="K27" s="776"/>
      <c r="L27" s="776"/>
      <c r="M27" s="776"/>
      <c r="N27" s="792">
        <v>152664813</v>
      </c>
      <c r="O27" s="776"/>
      <c r="P27" s="776"/>
      <c r="Q27" s="776"/>
      <c r="R27" s="776"/>
      <c r="S27" s="776"/>
      <c r="T27" s="776">
        <v>235588</v>
      </c>
      <c r="U27" s="777">
        <v>152900401</v>
      </c>
      <c r="V27" s="729"/>
      <c r="W27" s="379"/>
      <c r="X27" s="379"/>
      <c r="Y27" s="445"/>
      <c r="Z27" s="704">
        <f t="shared" ref="Z27" si="161">IF(E26&gt;0,((E27-E26)/E26),)</f>
        <v>0</v>
      </c>
      <c r="AA27" s="705">
        <f t="shared" ref="AA27" si="162">IF(F26&gt;0,((F27-F26)/F26),)</f>
        <v>0</v>
      </c>
      <c r="AB27" s="706">
        <f t="shared" ref="AB27" si="163">IF(G26&gt;0,((G27-G26)/G26),)</f>
        <v>0</v>
      </c>
      <c r="AC27" s="706">
        <f t="shared" ref="AC27" si="164">IF(H26&gt;0,((H27-H26)/H26),)</f>
        <v>0</v>
      </c>
      <c r="AD27" s="706">
        <f t="shared" ref="AD27" si="165">IF(I26&gt;0,((I27-I26)/I26),)</f>
        <v>0</v>
      </c>
      <c r="AE27" s="706">
        <f t="shared" ref="AE27" si="166">IF(J26&gt;0,((J27-J26)/J26),)</f>
        <v>0</v>
      </c>
      <c r="AF27" s="706">
        <f t="shared" ref="AF27" si="167">IF(K26&gt;0,((K27-K26)/K26),)</f>
        <v>0</v>
      </c>
      <c r="AG27" s="706">
        <f t="shared" ref="AG27" si="168">IF(L26&gt;0,((L27-L26)/L26),)</f>
        <v>0</v>
      </c>
      <c r="AH27" s="706">
        <f t="shared" ref="AH27" si="169">IF(M26&gt;0,((M27-M26)/M26),)</f>
        <v>0</v>
      </c>
      <c r="AI27" s="706">
        <f t="shared" ref="AI27" si="170">IF(N26&gt;0,((N27-N26)/N26),)</f>
        <v>-1.1642869672886762E-2</v>
      </c>
      <c r="AJ27" s="706">
        <f t="shared" ref="AJ27" si="171">IF(O26&gt;0,((O27-O26)/O26),)</f>
        <v>0</v>
      </c>
      <c r="AK27" s="706">
        <f t="shared" ref="AK27" si="172">IF(P26&gt;0,((P27-P26)/P26),)</f>
        <v>0</v>
      </c>
      <c r="AL27" s="706">
        <f t="shared" ref="AL27" si="173">IF(Q26&gt;0,((Q27-Q26)/Q26),)</f>
        <v>0</v>
      </c>
      <c r="AM27" s="706">
        <f t="shared" ref="AM27" si="174">IF(R26&gt;0,((R27-R26)/R26),)</f>
        <v>0</v>
      </c>
      <c r="AN27" s="706">
        <f t="shared" ref="AN27" si="175">IF(S26&gt;0,((S27-S26)/S26),)</f>
        <v>0</v>
      </c>
      <c r="AO27" s="706">
        <f t="shared" ref="AO27" si="176">IF(T26&gt;0,((T27-T26)/T26),)</f>
        <v>-3.418249797069603E-2</v>
      </c>
    </row>
    <row r="28" spans="1:41">
      <c r="A28" s="1553"/>
      <c r="B28" s="440" t="s">
        <v>257</v>
      </c>
      <c r="C28" s="767" t="s">
        <v>276</v>
      </c>
      <c r="D28" s="767" t="s">
        <v>197</v>
      </c>
      <c r="E28" s="767"/>
      <c r="F28" s="772">
        <v>68195051</v>
      </c>
      <c r="G28" s="772"/>
      <c r="H28" s="772"/>
      <c r="I28" s="772"/>
      <c r="J28" s="772"/>
      <c r="K28" s="772"/>
      <c r="L28" s="772"/>
      <c r="M28" s="772"/>
      <c r="N28" s="772"/>
      <c r="O28" s="772"/>
      <c r="P28" s="772"/>
      <c r="Q28" s="772"/>
      <c r="R28" s="772"/>
      <c r="S28" s="772"/>
      <c r="T28" s="772"/>
      <c r="U28" s="771">
        <v>68195051</v>
      </c>
      <c r="V28" s="698"/>
      <c r="W28" s="700"/>
      <c r="X28" s="700"/>
      <c r="Y28" s="406"/>
      <c r="Z28" s="698"/>
      <c r="AA28" s="696"/>
      <c r="AB28" s="697"/>
      <c r="AC28" s="697"/>
      <c r="AD28" s="697"/>
      <c r="AE28" s="697"/>
      <c r="AF28" s="697"/>
      <c r="AG28" s="697"/>
      <c r="AH28" s="697"/>
      <c r="AI28" s="697"/>
      <c r="AJ28" s="697"/>
      <c r="AK28" s="697"/>
      <c r="AL28" s="697"/>
      <c r="AM28" s="697"/>
      <c r="AN28" s="697"/>
      <c r="AO28" s="697"/>
    </row>
    <row r="29" spans="1:41">
      <c r="A29" s="1553"/>
      <c r="B29" s="441"/>
      <c r="C29" s="770"/>
      <c r="D29" s="773" t="s">
        <v>199</v>
      </c>
      <c r="E29" s="773"/>
      <c r="F29" s="776">
        <v>68324273</v>
      </c>
      <c r="G29" s="776"/>
      <c r="H29" s="776"/>
      <c r="I29" s="776"/>
      <c r="J29" s="776"/>
      <c r="K29" s="776"/>
      <c r="L29" s="776"/>
      <c r="M29" s="776"/>
      <c r="N29" s="792"/>
      <c r="O29" s="776"/>
      <c r="P29" s="776"/>
      <c r="Q29" s="776"/>
      <c r="R29" s="776"/>
      <c r="S29" s="776"/>
      <c r="T29" s="776"/>
      <c r="U29" s="777">
        <v>68324273</v>
      </c>
      <c r="V29" s="729"/>
      <c r="W29" s="379"/>
      <c r="X29" s="379"/>
      <c r="Y29" s="379"/>
      <c r="Z29" s="704">
        <f t="shared" ref="Z29" si="177">IF(E28&gt;0,((E29-E28)/E28),)</f>
        <v>0</v>
      </c>
      <c r="AA29" s="705">
        <f t="shared" ref="AA29" si="178">IF(F28&gt;0,((F29-F28)/F28),)</f>
        <v>1.8948882375643358E-3</v>
      </c>
      <c r="AB29" s="706">
        <f t="shared" ref="AB29" si="179">IF(G28&gt;0,((G29-G28)/G28),)</f>
        <v>0</v>
      </c>
      <c r="AC29" s="706">
        <f t="shared" ref="AC29" si="180">IF(H28&gt;0,((H29-H28)/H28),)</f>
        <v>0</v>
      </c>
      <c r="AD29" s="706">
        <f t="shared" ref="AD29" si="181">IF(I28&gt;0,((I29-I28)/I28),)</f>
        <v>0</v>
      </c>
      <c r="AE29" s="706">
        <f t="shared" ref="AE29" si="182">IF(J28&gt;0,((J29-J28)/J28),)</f>
        <v>0</v>
      </c>
      <c r="AF29" s="706">
        <f t="shared" ref="AF29" si="183">IF(K28&gt;0,((K29-K28)/K28),)</f>
        <v>0</v>
      </c>
      <c r="AG29" s="706">
        <f t="shared" ref="AG29" si="184">IF(L28&gt;0,((L29-L28)/L28),)</f>
        <v>0</v>
      </c>
      <c r="AH29" s="706">
        <f t="shared" ref="AH29" si="185">IF(M28&gt;0,((M29-M28)/M28),)</f>
        <v>0</v>
      </c>
      <c r="AI29" s="706">
        <f t="shared" ref="AI29" si="186">IF(N28&gt;0,((N29-N28)/N28),)</f>
        <v>0</v>
      </c>
      <c r="AJ29" s="706">
        <f t="shared" ref="AJ29" si="187">IF(O28&gt;0,((O29-O28)/O28),)</f>
        <v>0</v>
      </c>
      <c r="AK29" s="706">
        <f t="shared" ref="AK29" si="188">IF(P28&gt;0,((P29-P28)/P28),)</f>
        <v>0</v>
      </c>
      <c r="AL29" s="706">
        <f t="shared" ref="AL29" si="189">IF(Q28&gt;0,((Q29-Q28)/Q28),)</f>
        <v>0</v>
      </c>
      <c r="AM29" s="706">
        <f t="shared" ref="AM29" si="190">IF(R28&gt;0,((R29-R28)/R28),)</f>
        <v>0</v>
      </c>
      <c r="AN29" s="706">
        <f t="shared" ref="AN29" si="191">IF(S28&gt;0,((S29-S28)/S28),)</f>
        <v>0</v>
      </c>
      <c r="AO29" s="706">
        <f t="shared" ref="AO29" si="192">IF(T28&gt;0,((T29-T28)/T28),)</f>
        <v>0</v>
      </c>
    </row>
    <row r="30" spans="1:41">
      <c r="A30" s="1553"/>
      <c r="B30" s="440" t="s">
        <v>308</v>
      </c>
      <c r="C30" s="767" t="s">
        <v>277</v>
      </c>
      <c r="D30" s="767" t="s">
        <v>197</v>
      </c>
      <c r="E30" s="767"/>
      <c r="F30" s="772"/>
      <c r="G30" s="772"/>
      <c r="H30" s="772"/>
      <c r="I30" s="772"/>
      <c r="J30" s="772"/>
      <c r="K30" s="772"/>
      <c r="L30" s="772"/>
      <c r="M30" s="772"/>
      <c r="N30" s="772"/>
      <c r="O30" s="772"/>
      <c r="P30" s="772"/>
      <c r="Q30" s="772"/>
      <c r="R30" s="772">
        <v>9493132</v>
      </c>
      <c r="S30" s="772"/>
      <c r="T30" s="772"/>
      <c r="U30" s="771">
        <v>9493132</v>
      </c>
      <c r="V30" s="698"/>
      <c r="W30" s="700"/>
      <c r="X30" s="700"/>
      <c r="Y30" s="445"/>
      <c r="Z30" s="698"/>
      <c r="AA30" s="696"/>
      <c r="AB30" s="697"/>
      <c r="AC30" s="697"/>
      <c r="AD30" s="697"/>
      <c r="AE30" s="697"/>
      <c r="AF30" s="697"/>
      <c r="AG30" s="697"/>
      <c r="AH30" s="697"/>
      <c r="AI30" s="697"/>
      <c r="AJ30" s="697"/>
      <c r="AK30" s="697"/>
      <c r="AL30" s="697"/>
      <c r="AM30" s="697"/>
      <c r="AN30" s="697"/>
      <c r="AO30" s="697"/>
    </row>
    <row r="31" spans="1:41">
      <c r="A31" s="1553"/>
      <c r="B31" s="378"/>
      <c r="C31" s="770"/>
      <c r="D31" s="773" t="s">
        <v>199</v>
      </c>
      <c r="E31" s="773"/>
      <c r="F31" s="776"/>
      <c r="G31" s="776"/>
      <c r="H31" s="776"/>
      <c r="I31" s="776"/>
      <c r="J31" s="776"/>
      <c r="K31" s="776"/>
      <c r="L31" s="776"/>
      <c r="M31" s="776"/>
      <c r="N31" s="792"/>
      <c r="O31" s="776"/>
      <c r="P31" s="776"/>
      <c r="Q31" s="776"/>
      <c r="R31" s="776">
        <v>9658220</v>
      </c>
      <c r="S31" s="776"/>
      <c r="T31" s="776"/>
      <c r="U31" s="777">
        <v>9658220</v>
      </c>
      <c r="V31" s="729"/>
      <c r="W31" s="379"/>
      <c r="X31" s="379"/>
      <c r="Y31" s="406"/>
      <c r="Z31" s="704">
        <f t="shared" ref="Z31" si="193">IF(E30&gt;0,((E31-E30)/E30),)</f>
        <v>0</v>
      </c>
      <c r="AA31" s="705">
        <f t="shared" ref="AA31" si="194">IF(F30&gt;0,((F31-F30)/F30),)</f>
        <v>0</v>
      </c>
      <c r="AB31" s="706">
        <f t="shared" ref="AB31" si="195">IF(G30&gt;0,((G31-G30)/G30),)</f>
        <v>0</v>
      </c>
      <c r="AC31" s="706">
        <f t="shared" ref="AC31" si="196">IF(H30&gt;0,((H31-H30)/H30),)</f>
        <v>0</v>
      </c>
      <c r="AD31" s="706">
        <f t="shared" ref="AD31" si="197">IF(I30&gt;0,((I31-I30)/I30),)</f>
        <v>0</v>
      </c>
      <c r="AE31" s="706">
        <f t="shared" ref="AE31" si="198">IF(J30&gt;0,((J31-J30)/J30),)</f>
        <v>0</v>
      </c>
      <c r="AF31" s="706">
        <f t="shared" ref="AF31" si="199">IF(K30&gt;0,((K31-K30)/K30),)</f>
        <v>0</v>
      </c>
      <c r="AG31" s="706">
        <f t="shared" ref="AG31" si="200">IF(L30&gt;0,((L31-L30)/L30),)</f>
        <v>0</v>
      </c>
      <c r="AH31" s="706">
        <f t="shared" ref="AH31" si="201">IF(M30&gt;0,((M31-M30)/M30),)</f>
        <v>0</v>
      </c>
      <c r="AI31" s="706">
        <f t="shared" ref="AI31" si="202">IF(N30&gt;0,((N31-N30)/N30),)</f>
        <v>0</v>
      </c>
      <c r="AJ31" s="706">
        <f t="shared" ref="AJ31" si="203">IF(O30&gt;0,((O31-O30)/O30),)</f>
        <v>0</v>
      </c>
      <c r="AK31" s="706">
        <f t="shared" ref="AK31" si="204">IF(P30&gt;0,((P31-P30)/P30),)</f>
        <v>0</v>
      </c>
      <c r="AL31" s="706">
        <f t="shared" ref="AL31" si="205">IF(Q30&gt;0,((Q31-Q30)/Q30),)</f>
        <v>0</v>
      </c>
      <c r="AM31" s="706">
        <f t="shared" ref="AM31" si="206">IF(R30&gt;0,((R31-R30)/R30),)</f>
        <v>1.7390256450663489E-2</v>
      </c>
      <c r="AN31" s="706">
        <f t="shared" ref="AN31" si="207">IF(S30&gt;0,((S31-S30)/S30),)</f>
        <v>0</v>
      </c>
      <c r="AO31" s="706">
        <f t="shared" ref="AO31" si="208">IF(T30&gt;0,((T31-T30)/T30),)</f>
        <v>0</v>
      </c>
    </row>
    <row r="32" spans="1:41">
      <c r="A32" s="1553"/>
      <c r="B32" s="440" t="s">
        <v>309</v>
      </c>
      <c r="C32" s="767" t="s">
        <v>278</v>
      </c>
      <c r="D32" s="778" t="s">
        <v>197</v>
      </c>
      <c r="E32" s="779">
        <v>4948350</v>
      </c>
      <c r="F32" s="780">
        <v>4282914</v>
      </c>
      <c r="G32" s="780"/>
      <c r="H32" s="780">
        <v>13316114</v>
      </c>
      <c r="I32" s="780">
        <v>35649052</v>
      </c>
      <c r="J32" s="780"/>
      <c r="K32" s="780">
        <v>15826137</v>
      </c>
      <c r="L32" s="780"/>
      <c r="M32" s="780"/>
      <c r="N32" s="780">
        <v>5100000</v>
      </c>
      <c r="O32" s="780"/>
      <c r="P32" s="780"/>
      <c r="Q32" s="780"/>
      <c r="R32" s="780"/>
      <c r="S32" s="780">
        <v>6669891</v>
      </c>
      <c r="T32" s="780"/>
      <c r="U32" s="781">
        <v>85792458</v>
      </c>
      <c r="V32" s="698"/>
      <c r="W32" s="700"/>
      <c r="X32" s="700"/>
      <c r="Y32" s="379"/>
      <c r="Z32" s="698"/>
      <c r="AA32" s="696"/>
      <c r="AB32" s="697"/>
      <c r="AC32" s="697"/>
      <c r="AD32" s="697"/>
      <c r="AE32" s="697"/>
      <c r="AF32" s="697"/>
      <c r="AG32" s="697"/>
      <c r="AH32" s="697"/>
      <c r="AI32" s="697"/>
      <c r="AJ32" s="697"/>
      <c r="AK32" s="697"/>
      <c r="AL32" s="697"/>
      <c r="AM32" s="697"/>
      <c r="AN32" s="697"/>
      <c r="AO32" s="697"/>
    </row>
    <row r="33" spans="1:41">
      <c r="A33" s="1553"/>
      <c r="B33" s="439"/>
      <c r="C33" s="774"/>
      <c r="D33" s="782" t="s">
        <v>199</v>
      </c>
      <c r="E33" s="773">
        <v>5148350</v>
      </c>
      <c r="F33" s="776">
        <v>4286021</v>
      </c>
      <c r="G33" s="776"/>
      <c r="H33" s="776">
        <v>16066114</v>
      </c>
      <c r="I33" s="776">
        <v>36937553</v>
      </c>
      <c r="J33" s="776"/>
      <c r="K33" s="776">
        <v>16304006</v>
      </c>
      <c r="L33" s="776"/>
      <c r="M33" s="776"/>
      <c r="N33" s="792">
        <v>4900000</v>
      </c>
      <c r="O33" s="776"/>
      <c r="P33" s="776"/>
      <c r="Q33" s="776"/>
      <c r="R33" s="776"/>
      <c r="S33" s="776">
        <v>3650005</v>
      </c>
      <c r="T33" s="776"/>
      <c r="U33" s="777">
        <v>87292049</v>
      </c>
      <c r="V33" s="729"/>
      <c r="W33" s="379"/>
      <c r="X33" s="379"/>
      <c r="Y33" s="445"/>
      <c r="Z33" s="704">
        <f t="shared" ref="Z33" si="209">IF(E32&gt;0,((E33-E32)/E32),)</f>
        <v>4.0417512908343188E-2</v>
      </c>
      <c r="AA33" s="705">
        <f t="shared" ref="AA33" si="210">IF(F32&gt;0,((F33-F32)/F32),)</f>
        <v>7.254406696001834E-4</v>
      </c>
      <c r="AB33" s="706">
        <f t="shared" ref="AB33" si="211">IF(G32&gt;0,((G33-G32)/G32),)</f>
        <v>0</v>
      </c>
      <c r="AC33" s="1464">
        <f t="shared" ref="AC33" si="212">IF(H32&gt;0,((H33-H32)/H32),)</f>
        <v>0.20651670599996366</v>
      </c>
      <c r="AD33" s="706">
        <f t="shared" ref="AD33" si="213">IF(I32&gt;0,((I33-I32)/I32),)</f>
        <v>3.6144046691620302E-2</v>
      </c>
      <c r="AE33" s="706">
        <f t="shared" ref="AE33" si="214">IF(J32&gt;0,((J33-J32)/J32),)</f>
        <v>0</v>
      </c>
      <c r="AF33" s="706">
        <f t="shared" ref="AF33" si="215">IF(K32&gt;0,((K33-K32)/K32),)</f>
        <v>3.0194923751765829E-2</v>
      </c>
      <c r="AG33" s="706">
        <f t="shared" ref="AG33" si="216">IF(L32&gt;0,((L33-L32)/L32),)</f>
        <v>0</v>
      </c>
      <c r="AH33" s="706">
        <f t="shared" ref="AH33" si="217">IF(M32&gt;0,((M33-M32)/M32),)</f>
        <v>0</v>
      </c>
      <c r="AI33" s="706">
        <f t="shared" ref="AI33" si="218">IF(N32&gt;0,((N33-N32)/N32),)</f>
        <v>-3.9215686274509803E-2</v>
      </c>
      <c r="AJ33" s="706">
        <f t="shared" ref="AJ33" si="219">IF(O32&gt;0,((O33-O32)/O32),)</f>
        <v>0</v>
      </c>
      <c r="AK33" s="706">
        <f t="shared" ref="AK33" si="220">IF(P32&gt;0,((P33-P32)/P32),)</f>
        <v>0</v>
      </c>
      <c r="AL33" s="706">
        <f t="shared" ref="AL33" si="221">IF(Q32&gt;0,((Q33-Q32)/Q32),)</f>
        <v>0</v>
      </c>
      <c r="AM33" s="706">
        <f t="shared" ref="AM33" si="222">IF(R32&gt;0,((R33-R32)/R32),)</f>
        <v>0</v>
      </c>
      <c r="AN33" s="1464">
        <f t="shared" ref="AN33" si="223">IF(S32&gt;0,((S33-S32)/S32),)</f>
        <v>-0.45276392072973909</v>
      </c>
      <c r="AO33" s="706">
        <f t="shared" ref="AO33" si="224">IF(T32&gt;0,((T33-T32)/T32),)</f>
        <v>0</v>
      </c>
    </row>
    <row r="34" spans="1:41">
      <c r="A34" s="1553"/>
      <c r="B34" s="440" t="s">
        <v>428</v>
      </c>
      <c r="C34" s="767" t="s">
        <v>279</v>
      </c>
      <c r="D34" s="767" t="s">
        <v>197</v>
      </c>
      <c r="E34" s="767">
        <v>17248352.670000002</v>
      </c>
      <c r="F34" s="772"/>
      <c r="G34" s="772"/>
      <c r="H34" s="772">
        <v>0</v>
      </c>
      <c r="I34" s="772"/>
      <c r="J34" s="772"/>
      <c r="K34" s="772">
        <v>23420860</v>
      </c>
      <c r="L34" s="772"/>
      <c r="M34" s="772"/>
      <c r="N34" s="772">
        <v>21041465</v>
      </c>
      <c r="O34" s="772"/>
      <c r="P34" s="772"/>
      <c r="Q34" s="772"/>
      <c r="R34" s="772">
        <v>24315000</v>
      </c>
      <c r="S34" s="772">
        <v>1471055</v>
      </c>
      <c r="T34" s="772"/>
      <c r="U34" s="771">
        <v>87496732.670000002</v>
      </c>
      <c r="V34" s="698"/>
      <c r="W34" s="700"/>
      <c r="X34" s="700"/>
      <c r="Y34" s="406"/>
      <c r="Z34" s="698"/>
      <c r="AA34" s="696"/>
      <c r="AB34" s="697"/>
      <c r="AC34" s="697"/>
      <c r="AD34" s="697"/>
      <c r="AE34" s="697"/>
      <c r="AF34" s="697"/>
      <c r="AG34" s="697"/>
      <c r="AH34" s="697"/>
      <c r="AI34" s="697"/>
      <c r="AJ34" s="697"/>
      <c r="AK34" s="697"/>
      <c r="AL34" s="697"/>
      <c r="AM34" s="697"/>
      <c r="AN34" s="697"/>
      <c r="AO34" s="697"/>
    </row>
    <row r="35" spans="1:41">
      <c r="A35" s="1553"/>
      <c r="B35" s="441"/>
      <c r="C35" s="770"/>
      <c r="D35" s="773" t="s">
        <v>199</v>
      </c>
      <c r="E35" s="773">
        <v>17503625</v>
      </c>
      <c r="F35" s="776"/>
      <c r="G35" s="776"/>
      <c r="H35" s="776">
        <v>0</v>
      </c>
      <c r="I35" s="776"/>
      <c r="J35" s="776"/>
      <c r="K35" s="776">
        <v>24827687</v>
      </c>
      <c r="L35" s="776"/>
      <c r="M35" s="776"/>
      <c r="N35" s="792">
        <v>21269762</v>
      </c>
      <c r="O35" s="776"/>
      <c r="P35" s="776"/>
      <c r="Q35" s="776"/>
      <c r="R35" s="776">
        <v>22815000</v>
      </c>
      <c r="S35" s="776">
        <v>1519044</v>
      </c>
      <c r="T35" s="776"/>
      <c r="U35" s="777">
        <v>87935118</v>
      </c>
      <c r="V35" s="729"/>
      <c r="W35" s="379"/>
      <c r="X35" s="379"/>
      <c r="Y35" s="379"/>
      <c r="Z35" s="1463">
        <f t="shared" ref="Z35" si="225">IF(E34&gt;0,((E35-E34)/E34),)</f>
        <v>1.4799809285207419E-2</v>
      </c>
      <c r="AA35" s="705">
        <f t="shared" ref="AA35" si="226">IF(F34&gt;0,((F35-F34)/F34),)</f>
        <v>0</v>
      </c>
      <c r="AB35" s="706">
        <f t="shared" ref="AB35" si="227">IF(G34&gt;0,((G35-G34)/G34),)</f>
        <v>0</v>
      </c>
      <c r="AC35" s="706">
        <f t="shared" ref="AC35" si="228">IF(H34&gt;0,((H35-H34)/H34),)</f>
        <v>0</v>
      </c>
      <c r="AD35" s="706">
        <f t="shared" ref="AD35" si="229">IF(I34&gt;0,((I35-I34)/I34),)</f>
        <v>0</v>
      </c>
      <c r="AE35" s="706">
        <f t="shared" ref="AE35" si="230">IF(J34&gt;0,((J35-J34)/J34),)</f>
        <v>0</v>
      </c>
      <c r="AF35" s="706">
        <f t="shared" ref="AF35" si="231">IF(K34&gt;0,((K35-K34)/K34),)</f>
        <v>6.0067264822897197E-2</v>
      </c>
      <c r="AG35" s="706">
        <f t="shared" ref="AG35" si="232">IF(L34&gt;0,((L35-L34)/L34),)</f>
        <v>0</v>
      </c>
      <c r="AH35" s="706">
        <f t="shared" ref="AH35" si="233">IF(M34&gt;0,((M35-M34)/M34),)</f>
        <v>0</v>
      </c>
      <c r="AI35" s="706">
        <f t="shared" ref="AI35" si="234">IF(N34&gt;0,((N35-N34)/N34),)</f>
        <v>1.0849862402641641E-2</v>
      </c>
      <c r="AJ35" s="706">
        <f t="shared" ref="AJ35" si="235">IF(O34&gt;0,((O35-O34)/O34),)</f>
        <v>0</v>
      </c>
      <c r="AK35" s="706">
        <f t="shared" ref="AK35" si="236">IF(P34&gt;0,((P35-P34)/P34),)</f>
        <v>0</v>
      </c>
      <c r="AL35" s="706">
        <f t="shared" ref="AL35" si="237">IF(Q34&gt;0,((Q35-Q34)/Q34),)</f>
        <v>0</v>
      </c>
      <c r="AM35" s="706">
        <f t="shared" ref="AM35" si="238">IF(R34&gt;0,((R35-R34)/R34),)</f>
        <v>-6.1690314620604564E-2</v>
      </c>
      <c r="AN35" s="706">
        <f t="shared" ref="AN35" si="239">IF(S34&gt;0,((S35-S34)/S34),)</f>
        <v>3.2622165724599014E-2</v>
      </c>
      <c r="AO35" s="706">
        <f t="shared" ref="AO35" si="240">IF(T34&gt;0,((T35-T34)/T34),)</f>
        <v>0</v>
      </c>
    </row>
    <row r="36" spans="1:41">
      <c r="A36" s="1553"/>
      <c r="B36" s="435" t="s">
        <v>238</v>
      </c>
      <c r="C36" s="793" t="s">
        <v>280</v>
      </c>
      <c r="D36" s="794" t="s">
        <v>197</v>
      </c>
      <c r="E36" s="779">
        <v>501805375</v>
      </c>
      <c r="F36" s="780"/>
      <c r="G36" s="780"/>
      <c r="H36" s="780">
        <v>422198632</v>
      </c>
      <c r="I36" s="780">
        <v>240943019</v>
      </c>
      <c r="J36" s="780">
        <v>153080163.95459735</v>
      </c>
      <c r="K36" s="780">
        <v>32364291</v>
      </c>
      <c r="L36" s="780"/>
      <c r="M36" s="780">
        <v>27191269</v>
      </c>
      <c r="N36" s="780">
        <v>381305921</v>
      </c>
      <c r="O36" s="780">
        <v>118486833</v>
      </c>
      <c r="P36" s="780">
        <v>13520234</v>
      </c>
      <c r="Q36" s="780">
        <v>54735400</v>
      </c>
      <c r="R36" s="780">
        <v>1723781705</v>
      </c>
      <c r="S36" s="780">
        <v>170427611</v>
      </c>
      <c r="T36" s="780">
        <v>149462589</v>
      </c>
      <c r="U36" s="781">
        <v>3989303042.9545975</v>
      </c>
      <c r="V36" s="698"/>
      <c r="W36" s="700"/>
      <c r="X36" s="700"/>
      <c r="Y36" s="445"/>
      <c r="Z36" s="698"/>
      <c r="AA36" s="696"/>
      <c r="AB36" s="697"/>
      <c r="AC36" s="697"/>
      <c r="AD36" s="697"/>
      <c r="AE36" s="697"/>
      <c r="AF36" s="697"/>
      <c r="AG36" s="697"/>
      <c r="AH36" s="697"/>
      <c r="AI36" s="697"/>
      <c r="AJ36" s="697"/>
      <c r="AK36" s="697"/>
      <c r="AL36" s="697"/>
      <c r="AM36" s="697"/>
      <c r="AN36" s="697"/>
      <c r="AO36" s="697"/>
    </row>
    <row r="37" spans="1:41">
      <c r="A37" s="1553"/>
      <c r="B37" s="378"/>
      <c r="C37" s="774"/>
      <c r="D37" s="782" t="s">
        <v>199</v>
      </c>
      <c r="E37" s="773">
        <v>498601647</v>
      </c>
      <c r="F37" s="776"/>
      <c r="G37" s="776"/>
      <c r="H37" s="776">
        <v>437325719</v>
      </c>
      <c r="I37" s="776">
        <v>267575204</v>
      </c>
      <c r="J37" s="776">
        <v>136217762.60763401</v>
      </c>
      <c r="K37" s="776">
        <v>33360030</v>
      </c>
      <c r="L37" s="776"/>
      <c r="M37" s="776">
        <v>28255832</v>
      </c>
      <c r="N37" s="792">
        <v>411810249</v>
      </c>
      <c r="O37" s="776">
        <v>118486833</v>
      </c>
      <c r="P37" s="776">
        <v>13647095</v>
      </c>
      <c r="Q37" s="776">
        <v>55115400</v>
      </c>
      <c r="R37" s="776">
        <v>1755926813</v>
      </c>
      <c r="S37" s="776">
        <v>170522237</v>
      </c>
      <c r="T37" s="776">
        <v>149155387</v>
      </c>
      <c r="U37" s="777">
        <v>4076000208.6076341</v>
      </c>
      <c r="V37" s="731"/>
      <c r="W37" s="379"/>
      <c r="X37" s="379"/>
      <c r="Y37" s="406"/>
      <c r="Z37" s="704">
        <f t="shared" ref="Z37" si="241">IF(E36&gt;0,((E37-E36)/E36),)</f>
        <v>-6.384403515008184E-3</v>
      </c>
      <c r="AA37" s="705">
        <f t="shared" ref="AA37" si="242">IF(F36&gt;0,((F37-F36)/F36),)</f>
        <v>0</v>
      </c>
      <c r="AB37" s="706">
        <f t="shared" ref="AB37" si="243">IF(G36&gt;0,((G37-G36)/G36),)</f>
        <v>0</v>
      </c>
      <c r="AC37" s="706">
        <f t="shared" ref="AC37" si="244">IF(H36&gt;0,((H37-H36)/H36),)</f>
        <v>3.5829313156088102E-2</v>
      </c>
      <c r="AD37" s="1464">
        <f t="shared" ref="AD37" si="245">IF(I36&gt;0,((I37-I36)/I36),)</f>
        <v>0.11053312567649035</v>
      </c>
      <c r="AE37" s="1464">
        <f t="shared" ref="AE37" si="246">IF(J36&gt;0,((J37-J36)/J36),)</f>
        <v>-0.1101540585752484</v>
      </c>
      <c r="AF37" s="706">
        <f t="shared" ref="AF37" si="247">IF(K36&gt;0,((K37-K36)/K36),)</f>
        <v>3.0766593959991276E-2</v>
      </c>
      <c r="AG37" s="706">
        <f t="shared" ref="AG37" si="248">IF(L36&gt;0,((L37-L36)/L36),)</f>
        <v>0</v>
      </c>
      <c r="AH37" s="706">
        <f t="shared" ref="AH37" si="249">IF(M36&gt;0,((M37-M36)/M36),)</f>
        <v>3.915091274335155E-2</v>
      </c>
      <c r="AI37" s="706">
        <f t="shared" ref="AI37" si="250">IF(N36&gt;0,((N37-N36)/N36),)</f>
        <v>7.9999617944563728E-2</v>
      </c>
      <c r="AJ37" s="706">
        <f t="shared" ref="AJ37" si="251">IF(O36&gt;0,((O37-O36)/O36),)</f>
        <v>0</v>
      </c>
      <c r="AK37" s="706">
        <f t="shared" ref="AK37" si="252">IF(P36&gt;0,((P37-P36)/P36),)</f>
        <v>9.3830476602697853E-3</v>
      </c>
      <c r="AL37" s="706">
        <f t="shared" ref="AL37" si="253">IF(Q36&gt;0,((Q37-Q36)/Q36),)</f>
        <v>6.9424906002331218E-3</v>
      </c>
      <c r="AM37" s="706">
        <f t="shared" ref="AM37" si="254">IF(R36&gt;0,((R37-R36)/R36),)</f>
        <v>1.864801552700085E-2</v>
      </c>
      <c r="AN37" s="706">
        <f t="shared" ref="AN37" si="255">IF(S36&gt;0,((S37-S36)/S36),)</f>
        <v>5.552269344431519E-4</v>
      </c>
      <c r="AO37" s="706">
        <f t="shared" ref="AO37" si="256">IF(T36&gt;0,((T37-T36)/T36),)</f>
        <v>-2.055377215498388E-3</v>
      </c>
    </row>
    <row r="38" spans="1:41">
      <c r="A38" s="1553"/>
      <c r="B38" s="454" t="s">
        <v>35</v>
      </c>
      <c r="C38" s="767" t="s">
        <v>301</v>
      </c>
      <c r="D38" s="767" t="s">
        <v>197</v>
      </c>
      <c r="E38" s="767"/>
      <c r="F38" s="772">
        <v>144364954</v>
      </c>
      <c r="G38" s="772"/>
      <c r="H38" s="772"/>
      <c r="I38" s="772"/>
      <c r="J38" s="772"/>
      <c r="K38" s="772">
        <v>191950637</v>
      </c>
      <c r="L38" s="772">
        <v>313389484</v>
      </c>
      <c r="M38" s="772">
        <v>213038669</v>
      </c>
      <c r="N38" s="772"/>
      <c r="O38" s="772"/>
      <c r="P38" s="772">
        <v>64631692</v>
      </c>
      <c r="Q38" s="772">
        <v>235023581.3825264</v>
      </c>
      <c r="R38" s="772"/>
      <c r="S38" s="772"/>
      <c r="T38" s="772">
        <v>39460919</v>
      </c>
      <c r="U38" s="771">
        <v>1201859936.3825264</v>
      </c>
      <c r="V38" s="438"/>
      <c r="W38" s="700"/>
      <c r="X38" s="700"/>
      <c r="Y38" s="379"/>
      <c r="Z38" s="438"/>
      <c r="AA38" s="696"/>
      <c r="AB38" s="697"/>
      <c r="AC38" s="697"/>
      <c r="AD38" s="697"/>
      <c r="AE38" s="697"/>
      <c r="AF38" s="697"/>
      <c r="AG38" s="697"/>
      <c r="AH38" s="697"/>
      <c r="AI38" s="697"/>
      <c r="AJ38" s="697"/>
      <c r="AK38" s="697"/>
      <c r="AL38" s="697"/>
      <c r="AM38" s="697"/>
      <c r="AN38" s="697"/>
      <c r="AO38" s="697"/>
    </row>
    <row r="39" spans="1:41">
      <c r="A39" s="1554"/>
      <c r="B39" s="441"/>
      <c r="C39" s="770"/>
      <c r="D39" s="773" t="s">
        <v>199</v>
      </c>
      <c r="E39" s="773"/>
      <c r="F39" s="776">
        <v>142920473</v>
      </c>
      <c r="G39" s="776"/>
      <c r="H39" s="776"/>
      <c r="I39" s="776"/>
      <c r="J39" s="776"/>
      <c r="K39" s="776">
        <v>196464604</v>
      </c>
      <c r="L39" s="776">
        <v>334969355</v>
      </c>
      <c r="M39" s="776">
        <v>216099783</v>
      </c>
      <c r="N39" s="792"/>
      <c r="O39" s="776"/>
      <c r="P39" s="776">
        <v>74319117</v>
      </c>
      <c r="Q39" s="776">
        <v>240042814.31977093</v>
      </c>
      <c r="R39" s="776"/>
      <c r="S39" s="776"/>
      <c r="T39" s="776">
        <v>39333716</v>
      </c>
      <c r="U39" s="777">
        <v>1244149862.3197708</v>
      </c>
      <c r="V39" s="729"/>
      <c r="W39" s="379"/>
      <c r="X39" s="379"/>
      <c r="Y39" s="445"/>
      <c r="Z39" s="704">
        <f t="shared" ref="Z39" si="257">IF(E38&gt;0,((E39-E38)/E38),)</f>
        <v>0</v>
      </c>
      <c r="AA39" s="705">
        <f t="shared" ref="AA39" si="258">IF(F38&gt;0,((F39-F38)/F38),)</f>
        <v>-1.0005759431059701E-2</v>
      </c>
      <c r="AB39" s="706">
        <f t="shared" ref="AB39" si="259">IF(G38&gt;0,((G39-G38)/G38),)</f>
        <v>0</v>
      </c>
      <c r="AC39" s="706">
        <f t="shared" ref="AC39" si="260">IF(H38&gt;0,((H39-H38)/H38),)</f>
        <v>0</v>
      </c>
      <c r="AD39" s="706">
        <f t="shared" ref="AD39" si="261">IF(I38&gt;0,((I39-I38)/I38),)</f>
        <v>0</v>
      </c>
      <c r="AE39" s="706">
        <f t="shared" ref="AE39" si="262">IF(J38&gt;0,((J39-J38)/J38),)</f>
        <v>0</v>
      </c>
      <c r="AF39" s="706">
        <f t="shared" ref="AF39" si="263">IF(K38&gt;0,((K39-K38)/K38),)</f>
        <v>2.3516290805536633E-2</v>
      </c>
      <c r="AG39" s="706">
        <f t="shared" ref="AG39" si="264">IF(L38&gt;0,((L39-L38)/L38),)</f>
        <v>6.8859588792073184E-2</v>
      </c>
      <c r="AH39" s="706">
        <f t="shared" ref="AH39" si="265">IF(M38&gt;0,((M39-M38)/M38),)</f>
        <v>1.4368818648599424E-2</v>
      </c>
      <c r="AI39" s="706">
        <f t="shared" ref="AI39" si="266">IF(N38&gt;0,((N39-N38)/N38),)</f>
        <v>0</v>
      </c>
      <c r="AJ39" s="706">
        <f t="shared" ref="AJ39" si="267">IF(O38&gt;0,((O39-O38)/O38),)</f>
        <v>0</v>
      </c>
      <c r="AK39" s="1464">
        <f t="shared" ref="AK39" si="268">IF(P38&gt;0,((P39-P38)/P38),)</f>
        <v>0.14988660671300388</v>
      </c>
      <c r="AL39" s="706">
        <f t="shared" ref="AL39" si="269">IF(Q38&gt;0,((Q39-Q38)/Q38),)</f>
        <v>2.1356295005458145E-2</v>
      </c>
      <c r="AM39" s="706">
        <f t="shared" ref="AM39" si="270">IF(R38&gt;0,((R39-R38)/R38),)</f>
        <v>0</v>
      </c>
      <c r="AN39" s="706">
        <f t="shared" ref="AN39" si="271">IF(S38&gt;0,((S39-S38)/S38),)</f>
        <v>0</v>
      </c>
      <c r="AO39" s="706">
        <f t="shared" ref="AO39" si="272">IF(T38&gt;0,((T39-T38)/T38),)</f>
        <v>-3.2235184385847678E-3</v>
      </c>
    </row>
    <row r="40" spans="1:41" ht="12.75" customHeight="1">
      <c r="A40" s="1552" t="s">
        <v>338</v>
      </c>
      <c r="B40" s="456" t="s">
        <v>305</v>
      </c>
      <c r="C40" s="793" t="s">
        <v>302</v>
      </c>
      <c r="D40" s="794" t="s">
        <v>197</v>
      </c>
      <c r="E40" s="779">
        <v>10169286</v>
      </c>
      <c r="F40" s="780"/>
      <c r="G40" s="780"/>
      <c r="H40" s="780"/>
      <c r="I40" s="780">
        <v>133264522</v>
      </c>
      <c r="J40" s="780"/>
      <c r="K40" s="780"/>
      <c r="L40" s="780">
        <v>331258451</v>
      </c>
      <c r="M40" s="780"/>
      <c r="N40" s="780">
        <v>45118943</v>
      </c>
      <c r="O40" s="780"/>
      <c r="P40" s="780"/>
      <c r="Q40" s="780">
        <v>10373113.935299449</v>
      </c>
      <c r="R40" s="780"/>
      <c r="S40" s="780">
        <v>38892937</v>
      </c>
      <c r="T40" s="780"/>
      <c r="U40" s="781">
        <v>569077252.9352994</v>
      </c>
      <c r="V40" s="698"/>
      <c r="W40" s="700"/>
      <c r="X40" s="700"/>
      <c r="Y40" s="406"/>
      <c r="Z40" s="698"/>
      <c r="AA40" s="696"/>
      <c r="AB40" s="697"/>
      <c r="AC40" s="697"/>
      <c r="AD40" s="697"/>
      <c r="AE40" s="697"/>
      <c r="AF40" s="697"/>
      <c r="AG40" s="697"/>
      <c r="AH40" s="697"/>
      <c r="AI40" s="697"/>
      <c r="AJ40" s="697"/>
      <c r="AK40" s="697"/>
      <c r="AL40" s="697"/>
      <c r="AM40" s="697"/>
      <c r="AN40" s="697"/>
      <c r="AO40" s="697"/>
    </row>
    <row r="41" spans="1:41">
      <c r="A41" s="1553"/>
      <c r="B41" s="455"/>
      <c r="C41" s="774"/>
      <c r="D41" s="782" t="s">
        <v>199</v>
      </c>
      <c r="E41" s="773">
        <v>10442636</v>
      </c>
      <c r="F41" s="776"/>
      <c r="G41" s="776"/>
      <c r="H41" s="776"/>
      <c r="I41" s="776">
        <v>147531790</v>
      </c>
      <c r="J41" s="776"/>
      <c r="K41" s="776"/>
      <c r="L41" s="776">
        <v>333408401</v>
      </c>
      <c r="M41" s="776"/>
      <c r="N41" s="792">
        <v>43411419</v>
      </c>
      <c r="O41" s="776"/>
      <c r="P41" s="776"/>
      <c r="Q41" s="776">
        <v>10051695.969888121</v>
      </c>
      <c r="R41" s="776"/>
      <c r="S41" s="776">
        <v>38404117</v>
      </c>
      <c r="T41" s="776"/>
      <c r="U41" s="777">
        <v>583250058.96988809</v>
      </c>
      <c r="V41" s="729"/>
      <c r="W41" s="379"/>
      <c r="X41" s="379"/>
      <c r="Y41" s="379"/>
      <c r="Z41" s="704">
        <f t="shared" ref="Z41" si="273">IF(E40&gt;0,((E41-E40)/E40),)</f>
        <v>2.6879959910656462E-2</v>
      </c>
      <c r="AA41" s="705">
        <f t="shared" ref="AA41" si="274">IF(F40&gt;0,((F41-F40)/F40),)</f>
        <v>0</v>
      </c>
      <c r="AB41" s="706">
        <f t="shared" ref="AB41" si="275">IF(G40&gt;0,((G41-G40)/G40),)</f>
        <v>0</v>
      </c>
      <c r="AC41" s="706">
        <f t="shared" ref="AC41" si="276">IF(H40&gt;0,((H41-H40)/H40),)</f>
        <v>0</v>
      </c>
      <c r="AD41" s="1464">
        <f t="shared" ref="AD41" si="277">IF(I40&gt;0,((I41-I40)/I40),)</f>
        <v>0.10705976193723939</v>
      </c>
      <c r="AE41" s="706">
        <f t="shared" ref="AE41" si="278">IF(J40&gt;0,((J41-J40)/J40),)</f>
        <v>0</v>
      </c>
      <c r="AF41" s="706">
        <f t="shared" ref="AF41" si="279">IF(K40&gt;0,((K41-K40)/K40),)</f>
        <v>0</v>
      </c>
      <c r="AG41" s="706">
        <f t="shared" ref="AG41" si="280">IF(L40&gt;0,((L41-L40)/L40),)</f>
        <v>6.4902495121550875E-3</v>
      </c>
      <c r="AH41" s="706">
        <f t="shared" ref="AH41" si="281">IF(M40&gt;0,((M41-M40)/M40),)</f>
        <v>0</v>
      </c>
      <c r="AI41" s="706">
        <f t="shared" ref="AI41" si="282">IF(N40&gt;0,((N41-N40)/N40),)</f>
        <v>-3.78449468552488E-2</v>
      </c>
      <c r="AJ41" s="706">
        <f t="shared" ref="AJ41" si="283">IF(O40&gt;0,((O41-O40)/O40),)</f>
        <v>0</v>
      </c>
      <c r="AK41" s="706">
        <f t="shared" ref="AK41" si="284">IF(P40&gt;0,((P41-P40)/P40),)</f>
        <v>0</v>
      </c>
      <c r="AL41" s="706">
        <f t="shared" ref="AL41" si="285">IF(Q40&gt;0,((Q41-Q40)/Q40),)</f>
        <v>-3.0985677725716521E-2</v>
      </c>
      <c r="AM41" s="706">
        <f t="shared" ref="AM41" si="286">IF(R40&gt;0,((R41-R40)/R40),)</f>
        <v>0</v>
      </c>
      <c r="AN41" s="706">
        <f t="shared" ref="AN41" si="287">IF(S40&gt;0,((S41-S40)/S40),)</f>
        <v>-1.256834884956104E-2</v>
      </c>
      <c r="AO41" s="706">
        <f t="shared" ref="AO41" si="288">IF(T40&gt;0,((T41-T40)/T40),)</f>
        <v>0</v>
      </c>
    </row>
    <row r="42" spans="1:41">
      <c r="A42" s="1553"/>
      <c r="B42" s="456" t="s">
        <v>429</v>
      </c>
      <c r="C42" s="767" t="s">
        <v>303</v>
      </c>
      <c r="D42" s="778" t="s">
        <v>197</v>
      </c>
      <c r="E42" s="779">
        <v>4194728</v>
      </c>
      <c r="F42" s="780">
        <v>350000</v>
      </c>
      <c r="G42" s="780">
        <v>1918000</v>
      </c>
      <c r="H42" s="780">
        <v>0</v>
      </c>
      <c r="I42" s="780">
        <v>62430406</v>
      </c>
      <c r="J42" s="780">
        <v>35779306</v>
      </c>
      <c r="K42" s="780">
        <v>10946423</v>
      </c>
      <c r="L42" s="780">
        <v>6000000</v>
      </c>
      <c r="M42" s="780">
        <v>6941891.1600000001</v>
      </c>
      <c r="N42" s="832">
        <v>16020000</v>
      </c>
      <c r="O42" s="780">
        <v>15652609</v>
      </c>
      <c r="P42" s="780">
        <v>4495762</v>
      </c>
      <c r="Q42" s="780">
        <v>422000</v>
      </c>
      <c r="R42" s="780">
        <v>0</v>
      </c>
      <c r="S42" s="780">
        <v>92441653</v>
      </c>
      <c r="T42" s="780">
        <v>8779823</v>
      </c>
      <c r="U42" s="781">
        <v>266372601.16</v>
      </c>
      <c r="V42" s="698"/>
      <c r="W42" s="700"/>
      <c r="X42" s="700"/>
      <c r="Y42" s="445"/>
      <c r="Z42" s="698"/>
      <c r="AA42" s="696"/>
      <c r="AB42" s="697"/>
      <c r="AC42" s="697"/>
      <c r="AD42" s="697"/>
      <c r="AE42" s="697"/>
      <c r="AF42" s="697"/>
      <c r="AG42" s="697"/>
      <c r="AH42" s="697"/>
      <c r="AI42" s="697"/>
      <c r="AJ42" s="697"/>
      <c r="AK42" s="697"/>
      <c r="AL42" s="697"/>
      <c r="AM42" s="697"/>
      <c r="AN42" s="697"/>
      <c r="AO42" s="697"/>
    </row>
    <row r="43" spans="1:41">
      <c r="A43" s="1553"/>
      <c r="B43" s="702"/>
      <c r="C43" s="774"/>
      <c r="D43" s="782" t="s">
        <v>199</v>
      </c>
      <c r="E43" s="773">
        <v>5875143</v>
      </c>
      <c r="F43" s="776">
        <v>350000</v>
      </c>
      <c r="G43" s="776">
        <v>1918000</v>
      </c>
      <c r="H43" s="776">
        <v>0</v>
      </c>
      <c r="I43" s="776">
        <v>64622650</v>
      </c>
      <c r="J43" s="776">
        <v>34618200</v>
      </c>
      <c r="K43" s="776">
        <v>11042931</v>
      </c>
      <c r="L43" s="776">
        <v>6000000</v>
      </c>
      <c r="M43" s="776">
        <v>9142442.3000000007</v>
      </c>
      <c r="N43" s="798">
        <v>30880020</v>
      </c>
      <c r="O43" s="776">
        <v>15652609</v>
      </c>
      <c r="P43" s="776">
        <v>4295762</v>
      </c>
      <c r="Q43" s="776">
        <v>423700</v>
      </c>
      <c r="R43" s="776">
        <v>0</v>
      </c>
      <c r="S43" s="776">
        <v>101880145</v>
      </c>
      <c r="T43" s="776">
        <v>8730607</v>
      </c>
      <c r="U43" s="777">
        <v>295432209.30000001</v>
      </c>
      <c r="V43" s="731"/>
      <c r="W43" s="379"/>
      <c r="X43" s="379"/>
      <c r="Y43" s="406"/>
      <c r="Z43" s="1464">
        <f t="shared" ref="Z43" si="289">IF(E42&gt;0,((E43-E42)/E42),)</f>
        <v>0.40060165998844266</v>
      </c>
      <c r="AA43" s="705">
        <f t="shared" ref="AA43" si="290">IF(F42&gt;0,((F43-F42)/F42),)</f>
        <v>0</v>
      </c>
      <c r="AB43" s="706">
        <f t="shared" ref="AB43" si="291">IF(G42&gt;0,((G43-G42)/G42),)</f>
        <v>0</v>
      </c>
      <c r="AC43" s="706">
        <f t="shared" ref="AC43" si="292">IF(H42&gt;0,((H43-H42)/H42),)</f>
        <v>0</v>
      </c>
      <c r="AD43" s="706">
        <f t="shared" ref="AD43" si="293">IF(I42&gt;0,((I43-I42)/I42),)</f>
        <v>3.5115004698191454E-2</v>
      </c>
      <c r="AE43" s="706">
        <f t="shared" ref="AE43" si="294">IF(J42&gt;0,((J43-J42)/J42),)</f>
        <v>-3.2451887132746507E-2</v>
      </c>
      <c r="AF43" s="706">
        <f t="shared" ref="AF43" si="295">IF(K42&gt;0,((K43-K42)/K42),)</f>
        <v>8.8163960044299397E-3</v>
      </c>
      <c r="AG43" s="706">
        <f t="shared" ref="AG43" si="296">IF(L42&gt;0,((L43-L42)/L42),)</f>
        <v>0</v>
      </c>
      <c r="AH43" s="706">
        <f t="shared" ref="AH43" si="297">IF(M42&gt;0,((M43-M42)/M42),)</f>
        <v>0.31699591498637103</v>
      </c>
      <c r="AI43" s="1464">
        <f t="shared" ref="AI43" si="298">IF(N42&gt;0,((N43-N42)/N42),)</f>
        <v>0.92759176029962542</v>
      </c>
      <c r="AJ43" s="706">
        <f t="shared" ref="AJ43" si="299">IF(O42&gt;0,((O43-O42)/O42),)</f>
        <v>0</v>
      </c>
      <c r="AK43" s="706">
        <f t="shared" ref="AK43" si="300">IF(P42&gt;0,((P43-P42)/P42),)</f>
        <v>-4.4486340691522373E-2</v>
      </c>
      <c r="AL43" s="706">
        <f t="shared" ref="AL43" si="301">IF(Q42&gt;0,((Q43-Q42)/Q42),)</f>
        <v>4.0284360189573459E-3</v>
      </c>
      <c r="AM43" s="706">
        <f t="shared" ref="AM43" si="302">IF(R42&gt;0,((R43-R42)/R42),)</f>
        <v>0</v>
      </c>
      <c r="AN43" s="706">
        <f t="shared" ref="AN43" si="303">IF(S42&gt;0,((S43-S42)/S42),)</f>
        <v>0.10210215518322677</v>
      </c>
      <c r="AO43" s="706">
        <f t="shared" ref="AO43" si="304">IF(T42&gt;0,((T43-T42)/T42),)</f>
        <v>-5.605579975815002E-3</v>
      </c>
    </row>
    <row r="44" spans="1:41">
      <c r="A44" s="1553"/>
      <c r="B44" s="456" t="s">
        <v>109</v>
      </c>
      <c r="C44" s="767" t="s">
        <v>281</v>
      </c>
      <c r="D44" s="778" t="s">
        <v>197</v>
      </c>
      <c r="E44" s="779">
        <v>0</v>
      </c>
      <c r="F44" s="780">
        <v>0</v>
      </c>
      <c r="G44" s="780">
        <v>0</v>
      </c>
      <c r="H44" s="780">
        <v>0</v>
      </c>
      <c r="I44" s="780">
        <v>0</v>
      </c>
      <c r="J44" s="780">
        <v>0</v>
      </c>
      <c r="K44" s="780">
        <v>0</v>
      </c>
      <c r="L44" s="780">
        <v>0</v>
      </c>
      <c r="M44" s="780">
        <v>0</v>
      </c>
      <c r="N44" s="831">
        <v>0</v>
      </c>
      <c r="O44" s="780">
        <v>0</v>
      </c>
      <c r="P44" s="780">
        <v>0</v>
      </c>
      <c r="Q44" s="780">
        <v>0</v>
      </c>
      <c r="R44" s="780">
        <v>0</v>
      </c>
      <c r="S44" s="780">
        <v>0</v>
      </c>
      <c r="T44" s="780">
        <v>0</v>
      </c>
      <c r="U44" s="781">
        <v>0</v>
      </c>
      <c r="V44" s="698"/>
      <c r="W44" s="700"/>
      <c r="X44" s="700"/>
      <c r="Y44" s="379"/>
      <c r="Z44" s="698"/>
      <c r="AA44" s="696"/>
      <c r="AB44" s="697"/>
      <c r="AC44" s="697"/>
      <c r="AD44" s="697"/>
      <c r="AE44" s="697"/>
      <c r="AF44" s="697"/>
      <c r="AG44" s="697"/>
      <c r="AH44" s="697"/>
      <c r="AI44" s="697"/>
      <c r="AJ44" s="697"/>
      <c r="AK44" s="697"/>
      <c r="AL44" s="697"/>
      <c r="AM44" s="697"/>
      <c r="AN44" s="697"/>
      <c r="AO44" s="697"/>
    </row>
    <row r="45" spans="1:41">
      <c r="A45" s="1553"/>
      <c r="B45" s="455"/>
      <c r="C45" s="770"/>
      <c r="D45" s="782" t="s">
        <v>199</v>
      </c>
      <c r="E45" s="773">
        <v>0</v>
      </c>
      <c r="F45" s="776">
        <v>0</v>
      </c>
      <c r="G45" s="776">
        <v>0</v>
      </c>
      <c r="H45" s="776">
        <v>0</v>
      </c>
      <c r="I45" s="776">
        <v>0</v>
      </c>
      <c r="J45" s="776">
        <v>0</v>
      </c>
      <c r="K45" s="776">
        <v>0</v>
      </c>
      <c r="L45" s="776">
        <v>0</v>
      </c>
      <c r="M45" s="776">
        <v>0</v>
      </c>
      <c r="N45" s="792">
        <v>0</v>
      </c>
      <c r="O45" s="776">
        <v>0</v>
      </c>
      <c r="P45" s="776">
        <v>0</v>
      </c>
      <c r="Q45" s="776">
        <v>0</v>
      </c>
      <c r="R45" s="776">
        <v>0</v>
      </c>
      <c r="S45" s="776">
        <v>0</v>
      </c>
      <c r="T45" s="776">
        <v>0</v>
      </c>
      <c r="U45" s="777">
        <v>0</v>
      </c>
      <c r="V45" s="729"/>
      <c r="W45" s="379"/>
      <c r="X45" s="379"/>
      <c r="Y45" s="445"/>
      <c r="Z45" s="704">
        <f t="shared" ref="Z45" si="305">IF(E44&gt;0,((E45-E44)/E44),)</f>
        <v>0</v>
      </c>
      <c r="AA45" s="705">
        <f t="shared" ref="AA45" si="306">IF(F44&gt;0,((F45-F44)/F44),)</f>
        <v>0</v>
      </c>
      <c r="AB45" s="706">
        <f t="shared" ref="AB45" si="307">IF(G44&gt;0,((G45-G44)/G44),)</f>
        <v>0</v>
      </c>
      <c r="AC45" s="706">
        <f t="shared" ref="AC45" si="308">IF(H44&gt;0,((H45-H44)/H44),)</f>
        <v>0</v>
      </c>
      <c r="AD45" s="706">
        <f t="shared" ref="AD45" si="309">IF(I44&gt;0,((I45-I44)/I44),)</f>
        <v>0</v>
      </c>
      <c r="AE45" s="706">
        <f t="shared" ref="AE45" si="310">IF(J44&gt;0,((J45-J44)/J44),)</f>
        <v>0</v>
      </c>
      <c r="AF45" s="706">
        <f t="shared" ref="AF45" si="311">IF(K44&gt;0,((K45-K44)/K44),)</f>
        <v>0</v>
      </c>
      <c r="AG45" s="706">
        <f t="shared" ref="AG45" si="312">IF(L44&gt;0,((L45-L44)/L44),)</f>
        <v>0</v>
      </c>
      <c r="AH45" s="706">
        <f t="shared" ref="AH45" si="313">IF(M44&gt;0,((M45-M44)/M44),)</f>
        <v>0</v>
      </c>
      <c r="AI45" s="706">
        <f t="shared" ref="AI45" si="314">IF(N44&gt;0,((N45-N44)/N44),)</f>
        <v>0</v>
      </c>
      <c r="AJ45" s="706">
        <f t="shared" ref="AJ45" si="315">IF(O44&gt;0,((O45-O44)/O44),)</f>
        <v>0</v>
      </c>
      <c r="AK45" s="706">
        <f t="shared" ref="AK45" si="316">IF(P44&gt;0,((P45-P44)/P44),)</f>
        <v>0</v>
      </c>
      <c r="AL45" s="706">
        <f t="shared" ref="AL45" si="317">IF(Q44&gt;0,((Q45-Q44)/Q44),)</f>
        <v>0</v>
      </c>
      <c r="AM45" s="706">
        <f t="shared" ref="AM45" si="318">IF(R44&gt;0,((R45-R44)/R44),)</f>
        <v>0</v>
      </c>
      <c r="AN45" s="706">
        <f t="shared" ref="AN45" si="319">IF(S44&gt;0,((S45-S44)/S44),)</f>
        <v>0</v>
      </c>
      <c r="AO45" s="706">
        <f t="shared" ref="AO45" si="320">IF(T44&gt;0,((T45-T44)/T44),)</f>
        <v>0</v>
      </c>
    </row>
    <row r="46" spans="1:41">
      <c r="A46" s="1553"/>
      <c r="B46" s="457" t="s">
        <v>140</v>
      </c>
      <c r="C46" s="767" t="s">
        <v>282</v>
      </c>
      <c r="D46" s="778" t="s">
        <v>197</v>
      </c>
      <c r="E46" s="779">
        <v>3002892</v>
      </c>
      <c r="F46" s="780">
        <v>9529185</v>
      </c>
      <c r="G46" s="780">
        <v>901000</v>
      </c>
      <c r="H46" s="780">
        <v>6550307</v>
      </c>
      <c r="I46" s="780">
        <v>7190038</v>
      </c>
      <c r="J46" s="780">
        <v>6618300</v>
      </c>
      <c r="K46" s="780">
        <v>44848235</v>
      </c>
      <c r="L46" s="780">
        <v>16455952</v>
      </c>
      <c r="M46" s="780">
        <v>7412934</v>
      </c>
      <c r="N46" s="780">
        <v>22739645</v>
      </c>
      <c r="O46" s="780">
        <v>10139942</v>
      </c>
      <c r="P46" s="780">
        <v>3401825</v>
      </c>
      <c r="Q46" s="780">
        <v>18673660</v>
      </c>
      <c r="R46" s="780">
        <v>106026350</v>
      </c>
      <c r="S46" s="780">
        <v>3869255</v>
      </c>
      <c r="T46" s="780">
        <v>4556942</v>
      </c>
      <c r="U46" s="781">
        <v>271916462</v>
      </c>
      <c r="V46" s="698"/>
      <c r="W46" s="700"/>
      <c r="X46" s="700"/>
      <c r="Y46" s="406"/>
      <c r="Z46" s="698"/>
      <c r="AA46" s="696"/>
      <c r="AB46" s="697"/>
      <c r="AC46" s="697"/>
      <c r="AD46" s="697"/>
      <c r="AE46" s="697"/>
      <c r="AF46" s="697"/>
      <c r="AG46" s="697"/>
      <c r="AH46" s="697"/>
      <c r="AI46" s="697"/>
      <c r="AJ46" s="697"/>
      <c r="AK46" s="697"/>
      <c r="AL46" s="697"/>
      <c r="AM46" s="697"/>
      <c r="AN46" s="697"/>
      <c r="AO46" s="697"/>
    </row>
    <row r="47" spans="1:41">
      <c r="A47" s="1553"/>
      <c r="B47" s="455"/>
      <c r="C47" s="774"/>
      <c r="D47" s="782" t="s">
        <v>199</v>
      </c>
      <c r="E47" s="773">
        <v>3052892</v>
      </c>
      <c r="F47" s="776">
        <v>9879899</v>
      </c>
      <c r="G47" s="776">
        <v>901000</v>
      </c>
      <c r="H47" s="776">
        <v>8209301</v>
      </c>
      <c r="I47" s="776">
        <v>10309308</v>
      </c>
      <c r="J47" s="776">
        <v>6638400</v>
      </c>
      <c r="K47" s="776">
        <v>17615637</v>
      </c>
      <c r="L47" s="776">
        <v>17619700</v>
      </c>
      <c r="M47" s="776">
        <v>7339627</v>
      </c>
      <c r="N47" s="792">
        <v>24921726</v>
      </c>
      <c r="O47" s="776">
        <v>10139942</v>
      </c>
      <c r="P47" s="776">
        <v>3450933</v>
      </c>
      <c r="Q47" s="776">
        <v>19446736</v>
      </c>
      <c r="R47" s="776">
        <v>84813785</v>
      </c>
      <c r="S47" s="776">
        <v>4634072</v>
      </c>
      <c r="T47" s="776">
        <v>6391080</v>
      </c>
      <c r="U47" s="777">
        <v>235364038</v>
      </c>
      <c r="V47" s="729"/>
      <c r="W47" s="379"/>
      <c r="X47" s="379"/>
      <c r="Y47" s="379"/>
      <c r="Z47" s="706">
        <f t="shared" ref="Z47" si="321">IF(E46&gt;0,((E47-E46)/E46),)</f>
        <v>1.6650615473350356E-2</v>
      </c>
      <c r="AA47" s="705">
        <f t="shared" ref="AA47" si="322">IF(F46&gt;0,((F47-F46)/F46),)</f>
        <v>3.680419679122611E-2</v>
      </c>
      <c r="AB47" s="706">
        <f t="shared" ref="AB47" si="323">IF(G46&gt;0,((G47-G46)/G46),)</f>
        <v>0</v>
      </c>
      <c r="AC47" s="1464">
        <f t="shared" ref="AC47" si="324">IF(H46&gt;0,((H47-H46)/H46),)</f>
        <v>0.25326965591078404</v>
      </c>
      <c r="AD47" s="1464">
        <f t="shared" ref="AD47" si="325">IF(I46&gt;0,((I47-I46)/I46),)</f>
        <v>0.43383219949602492</v>
      </c>
      <c r="AE47" s="706">
        <f t="shared" ref="AE47" si="326">IF(J46&gt;0,((J47-J46)/J46),)</f>
        <v>3.0370336793436379E-3</v>
      </c>
      <c r="AF47" s="1464">
        <f t="shared" ref="AF47" si="327">IF(K46&gt;0,((K47-K46)/K46),)</f>
        <v>-0.60721671655528919</v>
      </c>
      <c r="AG47" s="706">
        <f t="shared" ref="AG47" si="328">IF(L46&gt;0,((L47-L46)/L46),)</f>
        <v>7.0718971470018877E-2</v>
      </c>
      <c r="AH47" s="706">
        <f t="shared" ref="AH47" si="329">IF(M46&gt;0,((M47-M46)/M46),)</f>
        <v>-9.8890668661018692E-3</v>
      </c>
      <c r="AI47" s="706">
        <f t="shared" ref="AI47" si="330">IF(N46&gt;0,((N47-N46)/N46),)</f>
        <v>9.5959325662295966E-2</v>
      </c>
      <c r="AJ47" s="706">
        <f t="shared" ref="AJ47" si="331">IF(O46&gt;0,((O47-O46)/O46),)</f>
        <v>0</v>
      </c>
      <c r="AK47" s="706">
        <f t="shared" ref="AK47" si="332">IF(P46&gt;0,((P47-P46)/P46),)</f>
        <v>1.4435780794132561E-2</v>
      </c>
      <c r="AL47" s="706">
        <f t="shared" ref="AL47" si="333">IF(Q46&gt;0,((Q47-Q46)/Q46),)</f>
        <v>4.1399275771327099E-2</v>
      </c>
      <c r="AM47" s="1464">
        <f t="shared" ref="AM47" si="334">IF(R46&gt;0,((R47-R46)/R46),)</f>
        <v>-0.20006880365116786</v>
      </c>
      <c r="AN47" s="1464">
        <f t="shared" ref="AN47" si="335">IF(S46&gt;0,((S47-S46)/S46),)</f>
        <v>0.19766518360769708</v>
      </c>
      <c r="AO47" s="1464">
        <f t="shared" ref="AO47" si="336">IF(T46&gt;0,((T47-T46)/T46),)</f>
        <v>0.40249316317828931</v>
      </c>
    </row>
    <row r="48" spans="1:41">
      <c r="A48" s="1553"/>
      <c r="B48" s="457" t="s">
        <v>139</v>
      </c>
      <c r="C48" s="767" t="s">
        <v>283</v>
      </c>
      <c r="D48" s="767" t="s">
        <v>197</v>
      </c>
      <c r="E48" s="767">
        <v>5985567</v>
      </c>
      <c r="F48" s="772"/>
      <c r="G48" s="772">
        <v>13571700</v>
      </c>
      <c r="H48" s="772">
        <v>2274086</v>
      </c>
      <c r="I48" s="772">
        <v>18309337</v>
      </c>
      <c r="J48" s="772">
        <v>24567300</v>
      </c>
      <c r="K48" s="772">
        <v>27156540</v>
      </c>
      <c r="L48" s="772"/>
      <c r="M48" s="772">
        <v>0</v>
      </c>
      <c r="N48" s="772">
        <v>24555569</v>
      </c>
      <c r="O48" s="772">
        <v>0</v>
      </c>
      <c r="P48" s="772">
        <v>18118467</v>
      </c>
      <c r="Q48" s="772"/>
      <c r="R48" s="772">
        <v>13114523</v>
      </c>
      <c r="S48" s="772">
        <v>29443738</v>
      </c>
      <c r="T48" s="772">
        <v>791013</v>
      </c>
      <c r="U48" s="771">
        <v>177887840</v>
      </c>
      <c r="V48" s="698"/>
      <c r="W48" s="700"/>
      <c r="X48" s="700"/>
      <c r="Y48" s="445"/>
      <c r="Z48" s="698"/>
      <c r="AA48" s="696"/>
      <c r="AB48" s="697"/>
      <c r="AC48" s="697"/>
      <c r="AD48" s="697"/>
      <c r="AE48" s="697"/>
      <c r="AF48" s="697"/>
      <c r="AG48" s="697"/>
      <c r="AH48" s="697"/>
      <c r="AI48" s="697"/>
      <c r="AJ48" s="697"/>
      <c r="AK48" s="697"/>
      <c r="AL48" s="697"/>
      <c r="AM48" s="697"/>
      <c r="AN48" s="697"/>
      <c r="AO48" s="697"/>
    </row>
    <row r="49" spans="1:41">
      <c r="A49" s="1553"/>
      <c r="B49" s="702"/>
      <c r="C49" s="770"/>
      <c r="D49" s="773" t="s">
        <v>199</v>
      </c>
      <c r="E49" s="773">
        <v>7485567</v>
      </c>
      <c r="F49" s="776"/>
      <c r="G49" s="776">
        <v>10877700</v>
      </c>
      <c r="H49" s="776">
        <v>2019424</v>
      </c>
      <c r="I49" s="776">
        <v>21375183</v>
      </c>
      <c r="J49" s="776">
        <v>29497600</v>
      </c>
      <c r="K49" s="776">
        <v>17153027</v>
      </c>
      <c r="L49" s="776"/>
      <c r="M49" s="776">
        <v>0</v>
      </c>
      <c r="N49" s="792">
        <v>25670137</v>
      </c>
      <c r="O49" s="776">
        <v>0</v>
      </c>
      <c r="P49" s="776">
        <v>8493036</v>
      </c>
      <c r="Q49" s="776"/>
      <c r="R49" s="776">
        <v>6494352</v>
      </c>
      <c r="S49" s="776">
        <v>25627567</v>
      </c>
      <c r="T49" s="776">
        <v>773248</v>
      </c>
      <c r="U49" s="777">
        <v>155466841</v>
      </c>
      <c r="V49" s="729"/>
      <c r="W49" s="379"/>
      <c r="X49" s="379"/>
      <c r="Y49" s="406"/>
      <c r="Z49" s="1463">
        <f t="shared" ref="Z49" si="337">IF(E48&gt;0,((E49-E48)/E48),)</f>
        <v>0.25060282509576787</v>
      </c>
      <c r="AA49" s="705">
        <f t="shared" ref="AA49" si="338">IF(F48&gt;0,((F49-F48)/F48),)</f>
        <v>0</v>
      </c>
      <c r="AB49" s="1464">
        <f t="shared" ref="AB49" si="339">IF(G48&gt;0,((G49-G48)/G48),)</f>
        <v>-0.1985012931320321</v>
      </c>
      <c r="AC49" s="1464">
        <f t="shared" ref="AC49" si="340">IF(H48&gt;0,((H49-H48)/H48),)</f>
        <v>-0.11198433128738315</v>
      </c>
      <c r="AD49" s="1464">
        <f t="shared" ref="AD49" si="341">IF(I48&gt;0,((I49-I48)/I48),)</f>
        <v>0.16744713366737418</v>
      </c>
      <c r="AE49" s="1464">
        <f t="shared" ref="AE49" si="342">IF(J48&gt;0,((J49-J48)/J48),)</f>
        <v>0.20068546401110418</v>
      </c>
      <c r="AF49" s="1464">
        <f t="shared" ref="AF49" si="343">IF(K48&gt;0,((K49-K48)/K48),)</f>
        <v>-0.36836478432083025</v>
      </c>
      <c r="AG49" s="706">
        <f t="shared" ref="AG49" si="344">IF(L48&gt;0,((L49-L48)/L48),)</f>
        <v>0</v>
      </c>
      <c r="AH49" s="706">
        <f t="shared" ref="AH49" si="345">IF(M48&gt;0,((M49-M48)/M48),)</f>
        <v>0</v>
      </c>
      <c r="AI49" s="706">
        <f t="shared" ref="AI49" si="346">IF(N48&gt;0,((N49-N48)/N48),)</f>
        <v>4.5389622207491917E-2</v>
      </c>
      <c r="AJ49" s="706">
        <f t="shared" ref="AJ49" si="347">IF(O48&gt;0,((O49-O48)/O48),)</f>
        <v>0</v>
      </c>
      <c r="AK49" s="1464">
        <f t="shared" ref="AK49" si="348">IF(P48&gt;0,((P49-P48)/P48),)</f>
        <v>-0.53124974646033796</v>
      </c>
      <c r="AL49" s="706">
        <f t="shared" ref="AL49" si="349">IF(Q48&gt;0,((Q49-Q48)/Q48),)</f>
        <v>0</v>
      </c>
      <c r="AM49" s="1464">
        <f t="shared" ref="AM49" si="350">IF(R48&gt;0,((R49-R48)/R48),)</f>
        <v>-0.50479693390297153</v>
      </c>
      <c r="AN49" s="1464">
        <f t="shared" ref="AN49" si="351">IF(S48&gt;0,((S49-S48)/S48),)</f>
        <v>-0.12960891718300169</v>
      </c>
      <c r="AO49" s="706">
        <f t="shared" ref="AO49" si="352">IF(T48&gt;0,((T49-T48)/T48),)</f>
        <v>-2.2458543664895522E-2</v>
      </c>
    </row>
    <row r="50" spans="1:41">
      <c r="A50" s="1553"/>
      <c r="B50" s="457" t="s">
        <v>226</v>
      </c>
      <c r="C50" s="767" t="s">
        <v>284</v>
      </c>
      <c r="D50" s="778" t="s">
        <v>197</v>
      </c>
      <c r="E50" s="779">
        <v>271326</v>
      </c>
      <c r="F50" s="780">
        <v>0</v>
      </c>
      <c r="G50" s="780">
        <v>193550</v>
      </c>
      <c r="H50" s="780">
        <v>193550</v>
      </c>
      <c r="I50" s="780">
        <v>691550</v>
      </c>
      <c r="J50" s="780">
        <v>193600</v>
      </c>
      <c r="K50" s="780">
        <v>0</v>
      </c>
      <c r="L50" s="780">
        <v>0</v>
      </c>
      <c r="M50" s="780">
        <v>0</v>
      </c>
      <c r="N50" s="780">
        <v>193550</v>
      </c>
      <c r="O50" s="780">
        <v>0</v>
      </c>
      <c r="P50" s="780">
        <v>9197445</v>
      </c>
      <c r="Q50" s="780">
        <v>0</v>
      </c>
      <c r="R50" s="780"/>
      <c r="S50" s="780">
        <v>0</v>
      </c>
      <c r="T50" s="780">
        <v>0</v>
      </c>
      <c r="U50" s="781">
        <v>10934571</v>
      </c>
      <c r="V50" s="698"/>
      <c r="W50" s="700"/>
      <c r="X50" s="700"/>
      <c r="Y50" s="379"/>
      <c r="Z50" s="698"/>
      <c r="AA50" s="696"/>
      <c r="AB50" s="697"/>
      <c r="AC50" s="697"/>
      <c r="AD50" s="697"/>
      <c r="AE50" s="697"/>
      <c r="AF50" s="697"/>
      <c r="AG50" s="697"/>
      <c r="AH50" s="697"/>
      <c r="AI50" s="697"/>
      <c r="AJ50" s="697"/>
      <c r="AK50" s="697"/>
      <c r="AL50" s="697"/>
      <c r="AM50" s="697"/>
      <c r="AN50" s="697"/>
      <c r="AO50" s="697"/>
    </row>
    <row r="51" spans="1:41">
      <c r="A51" s="1553"/>
      <c r="B51" s="702"/>
      <c r="C51" s="770"/>
      <c r="D51" s="782" t="s">
        <v>199</v>
      </c>
      <c r="E51" s="773">
        <v>270658</v>
      </c>
      <c r="F51" s="792">
        <v>0</v>
      </c>
      <c r="G51" s="792">
        <v>167300</v>
      </c>
      <c r="H51" s="792">
        <v>193550</v>
      </c>
      <c r="I51" s="792">
        <v>699360</v>
      </c>
      <c r="J51" s="792">
        <v>199400</v>
      </c>
      <c r="K51" s="792">
        <v>0</v>
      </c>
      <c r="L51" s="792">
        <v>0</v>
      </c>
      <c r="M51" s="792">
        <v>0</v>
      </c>
      <c r="N51" s="792">
        <v>204997</v>
      </c>
      <c r="O51" s="792">
        <v>0</v>
      </c>
      <c r="P51" s="792">
        <v>7432803</v>
      </c>
      <c r="Q51" s="792">
        <v>0</v>
      </c>
      <c r="R51" s="792"/>
      <c r="S51" s="792">
        <v>0</v>
      </c>
      <c r="T51" s="792">
        <v>0</v>
      </c>
      <c r="U51" s="777">
        <v>9168068</v>
      </c>
      <c r="V51" s="729"/>
      <c r="W51" s="379"/>
      <c r="X51" s="379"/>
      <c r="Y51" s="445"/>
      <c r="Z51" s="704">
        <f t="shared" ref="Z51" si="353">IF(E50&gt;0,((E51-E50)/E50),)</f>
        <v>-2.461983001997597E-3</v>
      </c>
      <c r="AA51" s="705">
        <f t="shared" ref="AA51" si="354">IF(F50&gt;0,((F51-F50)/F50),)</f>
        <v>0</v>
      </c>
      <c r="AB51" s="1464">
        <f t="shared" ref="AB51" si="355">IF(G50&gt;0,((G51-G50)/G50),)</f>
        <v>-0.13562386980108498</v>
      </c>
      <c r="AC51" s="706">
        <f t="shared" ref="AC51" si="356">IF(H50&gt;0,((H51-H50)/H50),)</f>
        <v>0</v>
      </c>
      <c r="AD51" s="706">
        <f t="shared" ref="AD51" si="357">IF(I50&gt;0,((I51-I50)/I50),)</f>
        <v>1.1293471187911214E-2</v>
      </c>
      <c r="AE51" s="706">
        <f t="shared" ref="AE51" si="358">IF(J50&gt;0,((J51-J50)/J50),)</f>
        <v>2.9958677685950414E-2</v>
      </c>
      <c r="AF51" s="706">
        <f t="shared" ref="AF51" si="359">IF(K50&gt;0,((K51-K50)/K50),)</f>
        <v>0</v>
      </c>
      <c r="AG51" s="706">
        <f t="shared" ref="AG51" si="360">IF(L50&gt;0,((L51-L50)/L50),)</f>
        <v>0</v>
      </c>
      <c r="AH51" s="706">
        <f t="shared" ref="AH51" si="361">IF(M50&gt;0,((M51-M50)/M50),)</f>
        <v>0</v>
      </c>
      <c r="AI51" s="706">
        <f t="shared" ref="AI51" si="362">IF(N50&gt;0,((N51-N50)/N50),)</f>
        <v>5.9142340480495999E-2</v>
      </c>
      <c r="AJ51" s="706">
        <f t="shared" ref="AJ51" si="363">IF(O50&gt;0,((O51-O50)/O50),)</f>
        <v>0</v>
      </c>
      <c r="AK51" s="1464">
        <f t="shared" ref="AK51" si="364">IF(P50&gt;0,((P51-P50)/P50),)</f>
        <v>-0.19186219651218356</v>
      </c>
      <c r="AL51" s="706">
        <f t="shared" ref="AL51" si="365">IF(Q50&gt;0,((Q51-Q50)/Q50),)</f>
        <v>0</v>
      </c>
      <c r="AM51" s="706">
        <f t="shared" ref="AM51" si="366">IF(R50&gt;0,((R51-R50)/R50),)</f>
        <v>0</v>
      </c>
      <c r="AN51" s="706">
        <f t="shared" ref="AN51" si="367">IF(S50&gt;0,((S51-S50)/S50),)</f>
        <v>0</v>
      </c>
      <c r="AO51" s="706">
        <f t="shared" ref="AO51" si="368">IF(T50&gt;0,((T51-T50)/T50),)</f>
        <v>0</v>
      </c>
    </row>
    <row r="52" spans="1:41">
      <c r="A52" s="1553"/>
      <c r="B52" s="457" t="s">
        <v>227</v>
      </c>
      <c r="C52" s="767" t="s">
        <v>285</v>
      </c>
      <c r="D52" s="778" t="s">
        <v>197</v>
      </c>
      <c r="E52" s="779">
        <v>150128</v>
      </c>
      <c r="F52" s="780">
        <v>0</v>
      </c>
      <c r="G52" s="780">
        <v>0</v>
      </c>
      <c r="H52" s="780">
        <v>0</v>
      </c>
      <c r="I52" s="780">
        <v>0</v>
      </c>
      <c r="J52" s="780">
        <v>0</v>
      </c>
      <c r="K52" s="780">
        <v>120864</v>
      </c>
      <c r="L52" s="780">
        <v>0</v>
      </c>
      <c r="M52" s="780">
        <v>1085332</v>
      </c>
      <c r="N52" s="780">
        <v>0</v>
      </c>
      <c r="O52" s="780">
        <v>0</v>
      </c>
      <c r="P52" s="780">
        <v>8000</v>
      </c>
      <c r="Q52" s="780">
        <v>1353500</v>
      </c>
      <c r="R52" s="780">
        <v>0</v>
      </c>
      <c r="S52" s="780">
        <v>0</v>
      </c>
      <c r="T52" s="780">
        <v>1653122</v>
      </c>
      <c r="U52" s="781">
        <v>4370946</v>
      </c>
      <c r="V52" s="698"/>
      <c r="W52" s="700"/>
      <c r="X52" s="700"/>
      <c r="Y52" s="406"/>
      <c r="Z52" s="698"/>
      <c r="AA52" s="696"/>
      <c r="AB52" s="697"/>
      <c r="AC52" s="697"/>
      <c r="AD52" s="697"/>
      <c r="AE52" s="697"/>
      <c r="AF52" s="697"/>
      <c r="AG52" s="697"/>
      <c r="AH52" s="697"/>
      <c r="AI52" s="697"/>
      <c r="AJ52" s="697"/>
      <c r="AK52" s="697"/>
      <c r="AL52" s="697"/>
      <c r="AM52" s="697"/>
      <c r="AN52" s="697"/>
      <c r="AO52" s="697"/>
    </row>
    <row r="53" spans="1:41">
      <c r="A53" s="1553"/>
      <c r="B53" s="455"/>
      <c r="C53" s="770"/>
      <c r="D53" s="782" t="s">
        <v>199</v>
      </c>
      <c r="E53" s="773">
        <v>166715</v>
      </c>
      <c r="F53" s="776">
        <v>0</v>
      </c>
      <c r="G53" s="776">
        <v>0</v>
      </c>
      <c r="H53" s="776">
        <v>0</v>
      </c>
      <c r="I53" s="776">
        <v>0</v>
      </c>
      <c r="J53" s="776">
        <v>0</v>
      </c>
      <c r="K53" s="776">
        <v>41450</v>
      </c>
      <c r="L53" s="776">
        <v>0</v>
      </c>
      <c r="M53" s="776">
        <v>1165610</v>
      </c>
      <c r="N53" s="792">
        <v>0</v>
      </c>
      <c r="O53" s="776">
        <v>0</v>
      </c>
      <c r="P53" s="776">
        <v>8000</v>
      </c>
      <c r="Q53" s="776">
        <v>1333500</v>
      </c>
      <c r="R53" s="776">
        <v>0</v>
      </c>
      <c r="S53" s="776">
        <v>0</v>
      </c>
      <c r="T53" s="776">
        <v>1594911</v>
      </c>
      <c r="U53" s="777">
        <v>4310186</v>
      </c>
      <c r="V53" s="729"/>
      <c r="W53" s="379"/>
      <c r="X53" s="379"/>
      <c r="Y53" s="379"/>
      <c r="Z53" s="1463">
        <f t="shared" ref="Z53" si="369">IF(E52&gt;0,((E53-E52)/E52),)</f>
        <v>0.11048571885324524</v>
      </c>
      <c r="AA53" s="705">
        <f t="shared" ref="AA53" si="370">IF(F52&gt;0,((F53-F52)/F52),)</f>
        <v>0</v>
      </c>
      <c r="AB53" s="706">
        <f t="shared" ref="AB53" si="371">IF(G52&gt;0,((G53-G52)/G52),)</f>
        <v>0</v>
      </c>
      <c r="AC53" s="706">
        <f t="shared" ref="AC53" si="372">IF(H52&gt;0,((H53-H52)/H52),)</f>
        <v>0</v>
      </c>
      <c r="AD53" s="706">
        <f t="shared" ref="AD53" si="373">IF(I52&gt;0,((I53-I52)/I52),)</f>
        <v>0</v>
      </c>
      <c r="AE53" s="706">
        <f t="shared" ref="AE53" si="374">IF(J52&gt;0,((J53-J52)/J52),)</f>
        <v>0</v>
      </c>
      <c r="AF53" s="1464">
        <f t="shared" ref="AF53" si="375">IF(K52&gt;0,((K53-K52)/K52),)</f>
        <v>-0.65705255493778125</v>
      </c>
      <c r="AG53" s="706">
        <f t="shared" ref="AG53" si="376">IF(L52&gt;0,((L53-L52)/L52),)</f>
        <v>0</v>
      </c>
      <c r="AH53" s="706">
        <f t="shared" ref="AH53" si="377">IF(M52&gt;0,((M53-M52)/M52),)</f>
        <v>7.3966307083915342E-2</v>
      </c>
      <c r="AI53" s="706">
        <f t="shared" ref="AI53" si="378">IF(N52&gt;0,((N53-N52)/N52),)</f>
        <v>0</v>
      </c>
      <c r="AJ53" s="706">
        <f t="shared" ref="AJ53" si="379">IF(O52&gt;0,((O53-O52)/O52),)</f>
        <v>0</v>
      </c>
      <c r="AK53" s="706">
        <f t="shared" ref="AK53" si="380">IF(P52&gt;0,((P53-P52)/P52),)</f>
        <v>0</v>
      </c>
      <c r="AL53" s="706">
        <f t="shared" ref="AL53" si="381">IF(Q52&gt;0,((Q53-Q52)/Q52),)</f>
        <v>-1.4776505356483192E-2</v>
      </c>
      <c r="AM53" s="706">
        <f t="shared" ref="AM53" si="382">IF(R52&gt;0,((R53-R52)/R52),)</f>
        <v>0</v>
      </c>
      <c r="AN53" s="706">
        <f t="shared" ref="AN53" si="383">IF(S52&gt;0,((S53-S52)/S52),)</f>
        <v>0</v>
      </c>
      <c r="AO53" s="706">
        <f t="shared" ref="AO53" si="384">IF(T52&gt;0,((T53-T52)/T52),)</f>
        <v>-3.5212767115796656E-2</v>
      </c>
    </row>
    <row r="54" spans="1:41">
      <c r="A54" s="1553"/>
      <c r="B54" s="456" t="s">
        <v>300</v>
      </c>
      <c r="C54" s="767" t="s">
        <v>286</v>
      </c>
      <c r="D54" s="778" t="s">
        <v>197</v>
      </c>
      <c r="E54" s="779">
        <v>12312898</v>
      </c>
      <c r="F54" s="780">
        <v>0</v>
      </c>
      <c r="G54" s="780">
        <v>0</v>
      </c>
      <c r="H54" s="780">
        <v>12367290</v>
      </c>
      <c r="I54" s="780">
        <v>34191863</v>
      </c>
      <c r="J54" s="780">
        <v>0</v>
      </c>
      <c r="K54" s="780">
        <v>0</v>
      </c>
      <c r="L54" s="780">
        <v>41291975</v>
      </c>
      <c r="M54" s="780">
        <v>0</v>
      </c>
      <c r="N54" s="780">
        <v>0</v>
      </c>
      <c r="O54" s="780">
        <v>0</v>
      </c>
      <c r="P54" s="780">
        <v>3480797</v>
      </c>
      <c r="Q54" s="780">
        <v>0</v>
      </c>
      <c r="R54" s="780">
        <v>46597936</v>
      </c>
      <c r="S54" s="780">
        <v>0</v>
      </c>
      <c r="T54" s="780">
        <v>0</v>
      </c>
      <c r="U54" s="781">
        <v>150242759</v>
      </c>
      <c r="V54" s="698"/>
      <c r="W54" s="700"/>
      <c r="X54" s="700"/>
      <c r="Y54" s="445"/>
      <c r="Z54" s="698"/>
      <c r="AA54" s="696"/>
      <c r="AB54" s="697"/>
      <c r="AC54" s="697"/>
      <c r="AD54" s="697"/>
      <c r="AE54" s="697"/>
      <c r="AF54" s="697"/>
      <c r="AG54" s="697"/>
      <c r="AH54" s="697"/>
      <c r="AI54" s="697"/>
      <c r="AJ54" s="697"/>
      <c r="AK54" s="697"/>
      <c r="AL54" s="697"/>
      <c r="AM54" s="697"/>
      <c r="AN54" s="697"/>
      <c r="AO54" s="697"/>
    </row>
    <row r="55" spans="1:41">
      <c r="A55" s="1553"/>
      <c r="B55" s="455"/>
      <c r="C55" s="770"/>
      <c r="D55" s="782" t="s">
        <v>199</v>
      </c>
      <c r="E55" s="773">
        <v>12512898</v>
      </c>
      <c r="F55" s="776">
        <v>0</v>
      </c>
      <c r="G55" s="776">
        <v>0</v>
      </c>
      <c r="H55" s="776">
        <v>14354410</v>
      </c>
      <c r="I55" s="776">
        <v>41033334</v>
      </c>
      <c r="J55" s="776">
        <v>0</v>
      </c>
      <c r="K55" s="776">
        <v>0</v>
      </c>
      <c r="L55" s="776">
        <v>41422240</v>
      </c>
      <c r="M55" s="776">
        <v>0</v>
      </c>
      <c r="N55" s="792">
        <v>0</v>
      </c>
      <c r="O55" s="776">
        <v>0</v>
      </c>
      <c r="P55" s="776">
        <v>3996507</v>
      </c>
      <c r="Q55" s="776">
        <v>0</v>
      </c>
      <c r="R55" s="776">
        <v>48970896</v>
      </c>
      <c r="S55" s="776">
        <v>0</v>
      </c>
      <c r="T55" s="776">
        <v>0</v>
      </c>
      <c r="U55" s="777">
        <v>162290285</v>
      </c>
      <c r="V55" s="729"/>
      <c r="W55" s="379"/>
      <c r="X55" s="379"/>
      <c r="Y55" s="406"/>
      <c r="Z55" s="704">
        <f t="shared" ref="Z55" si="385">IF(E54&gt;0,((E55-E54)/E54),)</f>
        <v>1.6243129765226676E-2</v>
      </c>
      <c r="AA55" s="705">
        <f t="shared" ref="AA55" si="386">IF(F54&gt;0,((F55-F54)/F54),)</f>
        <v>0</v>
      </c>
      <c r="AB55" s="706">
        <f t="shared" ref="AB55" si="387">IF(G54&gt;0,((G55-G54)/G54),)</f>
        <v>0</v>
      </c>
      <c r="AC55" s="1464">
        <f t="shared" ref="AC55" si="388">IF(H54&gt;0,((H55-H54)/H54),)</f>
        <v>0.16067545921539803</v>
      </c>
      <c r="AD55" s="1464">
        <f t="shared" ref="AD55" si="389">IF(I54&gt;0,((I55-I54)/I54),)</f>
        <v>0.20009061805143522</v>
      </c>
      <c r="AE55" s="706">
        <f t="shared" ref="AE55" si="390">IF(J54&gt;0,((J55-J54)/J54),)</f>
        <v>0</v>
      </c>
      <c r="AF55" s="706">
        <f t="shared" ref="AF55" si="391">IF(K54&gt;0,((K55-K54)/K54),)</f>
        <v>0</v>
      </c>
      <c r="AG55" s="706">
        <f t="shared" ref="AG55" si="392">IF(L54&gt;0,((L55-L54)/L54),)</f>
        <v>3.1547292179654762E-3</v>
      </c>
      <c r="AH55" s="706">
        <f t="shared" ref="AH55" si="393">IF(M54&gt;0,((M55-M54)/M54),)</f>
        <v>0</v>
      </c>
      <c r="AI55" s="706">
        <f t="shared" ref="AI55" si="394">IF(N54&gt;0,((N55-N54)/N54),)</f>
        <v>0</v>
      </c>
      <c r="AJ55" s="706">
        <f t="shared" ref="AJ55" si="395">IF(O54&gt;0,((O55-O54)/O54),)</f>
        <v>0</v>
      </c>
      <c r="AK55" s="1464">
        <f t="shared" ref="AK55" si="396">IF(P54&gt;0,((P55-P54)/P54),)</f>
        <v>0.14815859701097192</v>
      </c>
      <c r="AL55" s="706">
        <f t="shared" ref="AL55" si="397">IF(Q54&gt;0,((Q55-Q54)/Q54),)</f>
        <v>0</v>
      </c>
      <c r="AM55" s="706">
        <f t="shared" ref="AM55" si="398">IF(R54&gt;0,((R55-R54)/R54),)</f>
        <v>5.0924143936332288E-2</v>
      </c>
      <c r="AN55" s="706">
        <f t="shared" ref="AN55" si="399">IF(S54&gt;0,((S55-S54)/S54),)</f>
        <v>0</v>
      </c>
      <c r="AO55" s="706">
        <f t="shared" ref="AO55" si="400">IF(T54&gt;0,((T55-T54)/T54),)</f>
        <v>0</v>
      </c>
    </row>
    <row r="56" spans="1:41">
      <c r="A56" s="1553"/>
      <c r="B56" s="456" t="s">
        <v>188</v>
      </c>
      <c r="C56" s="767" t="s">
        <v>287</v>
      </c>
      <c r="D56" s="778" t="s">
        <v>197</v>
      </c>
      <c r="E56" s="779">
        <v>0</v>
      </c>
      <c r="F56" s="780">
        <v>0</v>
      </c>
      <c r="G56" s="780">
        <v>0</v>
      </c>
      <c r="H56" s="780">
        <v>0</v>
      </c>
      <c r="I56" s="780">
        <v>0</v>
      </c>
      <c r="J56" s="780">
        <v>0</v>
      </c>
      <c r="K56" s="780">
        <v>0</v>
      </c>
      <c r="L56" s="780">
        <v>0</v>
      </c>
      <c r="M56" s="780">
        <v>0</v>
      </c>
      <c r="N56" s="780">
        <v>0</v>
      </c>
      <c r="O56" s="780">
        <v>0</v>
      </c>
      <c r="P56" s="780">
        <v>0</v>
      </c>
      <c r="Q56" s="780">
        <v>0</v>
      </c>
      <c r="R56" s="780"/>
      <c r="S56" s="780">
        <v>0</v>
      </c>
      <c r="T56" s="780">
        <v>0</v>
      </c>
      <c r="U56" s="781">
        <v>0</v>
      </c>
      <c r="V56" s="698"/>
      <c r="W56" s="700"/>
      <c r="X56" s="700"/>
      <c r="Y56" s="379"/>
      <c r="Z56" s="698"/>
      <c r="AA56" s="696"/>
      <c r="AB56" s="697"/>
      <c r="AC56" s="697"/>
      <c r="AD56" s="697"/>
      <c r="AE56" s="697"/>
      <c r="AF56" s="697"/>
      <c r="AG56" s="697"/>
      <c r="AH56" s="697"/>
      <c r="AI56" s="697"/>
      <c r="AJ56" s="697"/>
      <c r="AK56" s="697"/>
      <c r="AL56" s="697"/>
      <c r="AM56" s="697"/>
      <c r="AN56" s="697"/>
      <c r="AO56" s="697"/>
    </row>
    <row r="57" spans="1:41">
      <c r="A57" s="1553"/>
      <c r="B57" s="702"/>
      <c r="C57" s="770"/>
      <c r="D57" s="782" t="s">
        <v>199</v>
      </c>
      <c r="E57" s="773">
        <v>0</v>
      </c>
      <c r="F57" s="776">
        <v>0</v>
      </c>
      <c r="G57" s="776">
        <v>0</v>
      </c>
      <c r="H57" s="776">
        <v>0</v>
      </c>
      <c r="I57" s="776">
        <v>0</v>
      </c>
      <c r="J57" s="776">
        <v>0</v>
      </c>
      <c r="K57" s="776">
        <v>0</v>
      </c>
      <c r="L57" s="776">
        <v>0</v>
      </c>
      <c r="M57" s="776">
        <v>0</v>
      </c>
      <c r="N57" s="792">
        <v>0</v>
      </c>
      <c r="O57" s="776">
        <v>0</v>
      </c>
      <c r="P57" s="776">
        <v>0</v>
      </c>
      <c r="Q57" s="776">
        <v>0</v>
      </c>
      <c r="R57" s="776"/>
      <c r="S57" s="776">
        <v>0</v>
      </c>
      <c r="T57" s="776">
        <v>0</v>
      </c>
      <c r="U57" s="777">
        <v>0</v>
      </c>
      <c r="V57" s="729"/>
      <c r="W57" s="379"/>
      <c r="X57" s="379"/>
      <c r="Y57" s="445"/>
      <c r="Z57" s="704">
        <f t="shared" ref="Z57" si="401">IF(E56&gt;0,((E57-E56)/E56),)</f>
        <v>0</v>
      </c>
      <c r="AA57" s="705">
        <f t="shared" ref="AA57" si="402">IF(F56&gt;0,((F57-F56)/F56),)</f>
        <v>0</v>
      </c>
      <c r="AB57" s="706">
        <f t="shared" ref="AB57" si="403">IF(G56&gt;0,((G57-G56)/G56),)</f>
        <v>0</v>
      </c>
      <c r="AC57" s="706">
        <f t="shared" ref="AC57" si="404">IF(H56&gt;0,((H57-H56)/H56),)</f>
        <v>0</v>
      </c>
      <c r="AD57" s="706">
        <f t="shared" ref="AD57" si="405">IF(I56&gt;0,((I57-I56)/I56),)</f>
        <v>0</v>
      </c>
      <c r="AE57" s="706">
        <f t="shared" ref="AE57" si="406">IF(J56&gt;0,((J57-J56)/J56),)</f>
        <v>0</v>
      </c>
      <c r="AF57" s="706">
        <f t="shared" ref="AF57" si="407">IF(K56&gt;0,((K57-K56)/K56),)</f>
        <v>0</v>
      </c>
      <c r="AG57" s="706">
        <f t="shared" ref="AG57" si="408">IF(L56&gt;0,((L57-L56)/L56),)</f>
        <v>0</v>
      </c>
      <c r="AH57" s="706">
        <f t="shared" ref="AH57" si="409">IF(M56&gt;0,((M57-M56)/M56),)</f>
        <v>0</v>
      </c>
      <c r="AI57" s="706">
        <f t="shared" ref="AI57" si="410">IF(N56&gt;0,((N57-N56)/N56),)</f>
        <v>0</v>
      </c>
      <c r="AJ57" s="706">
        <f t="shared" ref="AJ57" si="411">IF(O56&gt;0,((O57-O56)/O56),)</f>
        <v>0</v>
      </c>
      <c r="AK57" s="706">
        <f t="shared" ref="AK57" si="412">IF(P56&gt;0,((P57-P56)/P56),)</f>
        <v>0</v>
      </c>
      <c r="AL57" s="706">
        <f t="shared" ref="AL57" si="413">IF(Q56&gt;0,((Q57-Q56)/Q56),)</f>
        <v>0</v>
      </c>
      <c r="AM57" s="706">
        <f t="shared" ref="AM57" si="414">IF(R56&gt;0,((R57-R56)/R56),)</f>
        <v>0</v>
      </c>
      <c r="AN57" s="706">
        <f t="shared" ref="AN57" si="415">IF(S56&gt;0,((S57-S56)/S56),)</f>
        <v>0</v>
      </c>
      <c r="AO57" s="706">
        <f t="shared" ref="AO57" si="416">IF(T56&gt;0,((T57-T56)/T56),)</f>
        <v>0</v>
      </c>
    </row>
    <row r="58" spans="1:41">
      <c r="A58" s="1553"/>
      <c r="B58" s="745" t="s">
        <v>228</v>
      </c>
      <c r="C58" s="767" t="s">
        <v>288</v>
      </c>
      <c r="D58" s="778" t="s">
        <v>197</v>
      </c>
      <c r="E58" s="779">
        <v>0</v>
      </c>
      <c r="F58" s="780">
        <v>375400</v>
      </c>
      <c r="G58" s="780">
        <v>2130000</v>
      </c>
      <c r="H58" s="780">
        <v>0</v>
      </c>
      <c r="I58" s="780">
        <v>367200</v>
      </c>
      <c r="J58" s="780">
        <v>502800</v>
      </c>
      <c r="K58" s="780">
        <v>0</v>
      </c>
      <c r="L58" s="780">
        <v>0</v>
      </c>
      <c r="M58" s="780">
        <v>367200</v>
      </c>
      <c r="N58" s="780">
        <v>0</v>
      </c>
      <c r="O58" s="780">
        <v>0</v>
      </c>
      <c r="P58" s="780">
        <v>613200</v>
      </c>
      <c r="Q58" s="780">
        <v>2020900</v>
      </c>
      <c r="R58" s="780"/>
      <c r="S58" s="780">
        <v>20000</v>
      </c>
      <c r="T58" s="780">
        <v>134007</v>
      </c>
      <c r="U58" s="781">
        <v>6530707</v>
      </c>
      <c r="V58" s="698"/>
      <c r="W58" s="700"/>
      <c r="X58" s="700"/>
      <c r="Y58" s="406"/>
      <c r="Z58" s="698"/>
      <c r="AA58" s="696"/>
      <c r="AB58" s="697"/>
      <c r="AC58" s="697"/>
      <c r="AD58" s="697"/>
      <c r="AE58" s="697"/>
      <c r="AF58" s="697"/>
      <c r="AG58" s="697"/>
      <c r="AH58" s="697"/>
      <c r="AI58" s="697"/>
      <c r="AJ58" s="697"/>
      <c r="AK58" s="697"/>
      <c r="AL58" s="697"/>
      <c r="AM58" s="697"/>
      <c r="AN58" s="697"/>
      <c r="AO58" s="697"/>
    </row>
    <row r="59" spans="1:41">
      <c r="A59" s="1553"/>
      <c r="B59" s="744"/>
      <c r="C59" s="770"/>
      <c r="D59" s="782" t="s">
        <v>199</v>
      </c>
      <c r="E59" s="773">
        <v>0</v>
      </c>
      <c r="F59" s="776">
        <v>383000</v>
      </c>
      <c r="G59" s="776">
        <v>2130000</v>
      </c>
      <c r="H59" s="776">
        <v>0</v>
      </c>
      <c r="I59" s="776">
        <v>381600</v>
      </c>
      <c r="J59" s="776">
        <v>523200</v>
      </c>
      <c r="K59" s="776">
        <v>0</v>
      </c>
      <c r="L59" s="776">
        <v>0</v>
      </c>
      <c r="M59" s="776">
        <v>413400</v>
      </c>
      <c r="N59" s="792">
        <v>0</v>
      </c>
      <c r="O59" s="776">
        <v>0</v>
      </c>
      <c r="P59" s="776">
        <v>649900</v>
      </c>
      <c r="Q59" s="776">
        <v>1968800</v>
      </c>
      <c r="R59" s="776"/>
      <c r="S59" s="776">
        <v>20000</v>
      </c>
      <c r="T59" s="776">
        <v>143183</v>
      </c>
      <c r="U59" s="777">
        <v>6613083</v>
      </c>
      <c r="V59" s="729"/>
      <c r="W59" s="379"/>
      <c r="X59" s="379"/>
      <c r="Y59" s="379"/>
      <c r="Z59" s="704">
        <f t="shared" ref="Z59" si="417">IF(E58&gt;0,((E59-E58)/E58),)</f>
        <v>0</v>
      </c>
      <c r="AA59" s="705">
        <f t="shared" ref="AA59" si="418">IF(F58&gt;0,((F59-F58)/F58),)</f>
        <v>2.0245071923281833E-2</v>
      </c>
      <c r="AB59" s="706">
        <f t="shared" ref="AB59" si="419">IF(G58&gt;0,((G59-G58)/G58),)</f>
        <v>0</v>
      </c>
      <c r="AC59" s="706">
        <f t="shared" ref="AC59" si="420">IF(H58&gt;0,((H59-H58)/H58),)</f>
        <v>0</v>
      </c>
      <c r="AD59" s="706">
        <f t="shared" ref="AD59" si="421">IF(I58&gt;0,((I59-I58)/I58),)</f>
        <v>3.9215686274509803E-2</v>
      </c>
      <c r="AE59" s="706">
        <f t="shared" ref="AE59" si="422">IF(J58&gt;0,((J59-J58)/J58),)</f>
        <v>4.0572792362768499E-2</v>
      </c>
      <c r="AF59" s="706">
        <f t="shared" ref="AF59" si="423">IF(K58&gt;0,((K59-K58)/K58),)</f>
        <v>0</v>
      </c>
      <c r="AG59" s="706">
        <f t="shared" ref="AG59" si="424">IF(L58&gt;0,((L59-L58)/L58),)</f>
        <v>0</v>
      </c>
      <c r="AH59" s="1464">
        <f t="shared" ref="AH59" si="425">IF(M58&gt;0,((M59-M58)/M58),)</f>
        <v>0.12581699346405228</v>
      </c>
      <c r="AI59" s="706">
        <f t="shared" ref="AI59" si="426">IF(N58&gt;0,((N59-N58)/N58),)</f>
        <v>0</v>
      </c>
      <c r="AJ59" s="706">
        <f t="shared" ref="AJ59" si="427">IF(O58&gt;0,((O59-O58)/O58),)</f>
        <v>0</v>
      </c>
      <c r="AK59" s="706">
        <f t="shared" ref="AK59" si="428">IF(P58&gt;0,((P59-P58)/P58),)</f>
        <v>5.9849967384213956E-2</v>
      </c>
      <c r="AL59" s="706">
        <f t="shared" ref="AL59" si="429">IF(Q58&gt;0,((Q59-Q58)/Q58),)</f>
        <v>-2.5780592805185808E-2</v>
      </c>
      <c r="AM59" s="706">
        <f t="shared" ref="AM59" si="430">IF(R58&gt;0,((R59-R58)/R58),)</f>
        <v>0</v>
      </c>
      <c r="AN59" s="706">
        <f t="shared" ref="AN59" si="431">IF(S58&gt;0,((S59-S58)/S58),)</f>
        <v>0</v>
      </c>
      <c r="AO59" s="706">
        <f t="shared" ref="AO59" si="432">IF(T58&gt;0,((T59-T58)/T58),)</f>
        <v>6.8474034938473358E-2</v>
      </c>
    </row>
    <row r="60" spans="1:41">
      <c r="A60" s="1553"/>
      <c r="B60" s="457" t="s">
        <v>229</v>
      </c>
      <c r="C60" s="767" t="s">
        <v>289</v>
      </c>
      <c r="D60" s="778" t="s">
        <v>197</v>
      </c>
      <c r="E60" s="779">
        <v>0</v>
      </c>
      <c r="F60" s="780">
        <v>2973500</v>
      </c>
      <c r="G60" s="780">
        <v>808100</v>
      </c>
      <c r="H60" s="780">
        <v>0</v>
      </c>
      <c r="I60" s="780">
        <v>153000</v>
      </c>
      <c r="J60" s="780">
        <v>4349200</v>
      </c>
      <c r="K60" s="780">
        <v>587495</v>
      </c>
      <c r="L60" s="780">
        <v>0</v>
      </c>
      <c r="M60" s="780">
        <v>137700</v>
      </c>
      <c r="N60" s="780">
        <v>0</v>
      </c>
      <c r="O60" s="780">
        <v>0</v>
      </c>
      <c r="P60" s="780">
        <v>2440250</v>
      </c>
      <c r="Q60" s="780">
        <v>0</v>
      </c>
      <c r="R60" s="780"/>
      <c r="S60" s="780">
        <v>0</v>
      </c>
      <c r="T60" s="780">
        <v>874008</v>
      </c>
      <c r="U60" s="781">
        <v>12323253</v>
      </c>
      <c r="V60" s="698"/>
      <c r="W60" s="700"/>
      <c r="X60" s="700"/>
      <c r="Y60" s="445"/>
      <c r="Z60" s="698"/>
      <c r="AA60" s="696"/>
      <c r="AB60" s="697"/>
      <c r="AC60" s="697"/>
      <c r="AD60" s="697"/>
      <c r="AE60" s="697"/>
      <c r="AF60" s="697"/>
      <c r="AG60" s="697"/>
      <c r="AH60" s="697"/>
      <c r="AI60" s="697"/>
      <c r="AJ60" s="697"/>
      <c r="AK60" s="697"/>
      <c r="AL60" s="697"/>
      <c r="AM60" s="697"/>
      <c r="AN60" s="697"/>
      <c r="AO60" s="697"/>
    </row>
    <row r="61" spans="1:41">
      <c r="A61" s="1553"/>
      <c r="B61" s="458"/>
      <c r="C61" s="770"/>
      <c r="D61" s="782" t="s">
        <v>199</v>
      </c>
      <c r="E61" s="773">
        <v>0</v>
      </c>
      <c r="F61" s="776">
        <v>3124000</v>
      </c>
      <c r="G61" s="776">
        <v>792500</v>
      </c>
      <c r="H61" s="776">
        <v>0</v>
      </c>
      <c r="I61" s="776">
        <v>159000</v>
      </c>
      <c r="J61" s="776">
        <v>4528400</v>
      </c>
      <c r="K61" s="776">
        <v>760850</v>
      </c>
      <c r="L61" s="776">
        <v>0</v>
      </c>
      <c r="M61" s="776">
        <v>127200</v>
      </c>
      <c r="N61" s="792">
        <v>0</v>
      </c>
      <c r="O61" s="776">
        <v>0</v>
      </c>
      <c r="P61" s="776">
        <v>2533000</v>
      </c>
      <c r="Q61" s="776">
        <v>0</v>
      </c>
      <c r="R61" s="776"/>
      <c r="S61" s="776">
        <v>0</v>
      </c>
      <c r="T61" s="776">
        <v>713860</v>
      </c>
      <c r="U61" s="777">
        <v>12738810</v>
      </c>
      <c r="V61" s="729"/>
      <c r="W61" s="379"/>
      <c r="X61" s="379"/>
      <c r="Y61" s="406"/>
      <c r="Z61" s="704">
        <f t="shared" ref="Z61" si="433">IF(E60&gt;0,((E61-E60)/E60),)</f>
        <v>0</v>
      </c>
      <c r="AA61" s="705">
        <f t="shared" ref="AA61" si="434">IF(F60&gt;0,((F61-F60)/F60),)</f>
        <v>5.0613754834370271E-2</v>
      </c>
      <c r="AB61" s="706">
        <f t="shared" ref="AB61" si="435">IF(G60&gt;0,((G61-G60)/G60),)</f>
        <v>-1.9304541517138969E-2</v>
      </c>
      <c r="AC61" s="706">
        <f t="shared" ref="AC61" si="436">IF(H60&gt;0,((H61-H60)/H60),)</f>
        <v>0</v>
      </c>
      <c r="AD61" s="706">
        <f t="shared" ref="AD61" si="437">IF(I60&gt;0,((I61-I60)/I60),)</f>
        <v>3.9215686274509803E-2</v>
      </c>
      <c r="AE61" s="706">
        <f t="shared" ref="AE61" si="438">IF(J60&gt;0,((J61-J60)/J60),)</f>
        <v>4.1202979858364755E-2</v>
      </c>
      <c r="AF61" s="1464">
        <f t="shared" ref="AF61" si="439">IF(K60&gt;0,((K61-K60)/K60),)</f>
        <v>0.29507485170086556</v>
      </c>
      <c r="AG61" s="706">
        <f t="shared" ref="AG61" si="440">IF(L60&gt;0,((L61-L60)/L60),)</f>
        <v>0</v>
      </c>
      <c r="AH61" s="1464">
        <f t="shared" ref="AH61" si="441">IF(M60&gt;0,((M61-M60)/M60),)</f>
        <v>-7.6252723311546838E-2</v>
      </c>
      <c r="AI61" s="706">
        <f t="shared" ref="AI61" si="442">IF(N60&gt;0,((N61-N60)/N60),)</f>
        <v>0</v>
      </c>
      <c r="AJ61" s="706">
        <f t="shared" ref="AJ61" si="443">IF(O60&gt;0,((O61-O60)/O60),)</f>
        <v>0</v>
      </c>
      <c r="AK61" s="706">
        <f t="shared" ref="AK61" si="444">IF(P60&gt;0,((P61-P60)/P60),)</f>
        <v>3.8008400778608752E-2</v>
      </c>
      <c r="AL61" s="706">
        <f t="shared" ref="AL61" si="445">IF(Q60&gt;0,((Q61-Q60)/Q60),)</f>
        <v>0</v>
      </c>
      <c r="AM61" s="706">
        <f t="shared" ref="AM61" si="446">IF(R60&gt;0,((R61-R60)/R60),)</f>
        <v>0</v>
      </c>
      <c r="AN61" s="706">
        <f t="shared" ref="AN61" si="447">IF(S60&gt;0,((S61-S60)/S60),)</f>
        <v>0</v>
      </c>
      <c r="AO61" s="1464">
        <f t="shared" ref="AO61" si="448">IF(T60&gt;0,((T61-T60)/T60),)</f>
        <v>-0.18323402074122891</v>
      </c>
    </row>
    <row r="62" spans="1:41">
      <c r="A62" s="1553"/>
      <c r="B62" s="457" t="s">
        <v>137</v>
      </c>
      <c r="C62" s="767" t="s">
        <v>290</v>
      </c>
      <c r="D62" s="778" t="s">
        <v>197</v>
      </c>
      <c r="E62" s="779">
        <v>0</v>
      </c>
      <c r="F62" s="780">
        <v>0</v>
      </c>
      <c r="G62" s="780">
        <v>0</v>
      </c>
      <c r="H62" s="780">
        <v>2935224</v>
      </c>
      <c r="I62" s="780">
        <v>2055432</v>
      </c>
      <c r="J62" s="780">
        <v>156000</v>
      </c>
      <c r="K62" s="780">
        <v>0</v>
      </c>
      <c r="L62" s="780">
        <v>0</v>
      </c>
      <c r="M62" s="780"/>
      <c r="N62" s="780">
        <v>0</v>
      </c>
      <c r="O62" s="780">
        <v>0</v>
      </c>
      <c r="P62" s="780">
        <v>307177</v>
      </c>
      <c r="Q62" s="780">
        <v>0</v>
      </c>
      <c r="R62" s="780"/>
      <c r="S62" s="780">
        <v>170000</v>
      </c>
      <c r="T62" s="780">
        <v>308682</v>
      </c>
      <c r="U62" s="781">
        <v>5932515</v>
      </c>
      <c r="V62" s="698"/>
      <c r="W62" s="700"/>
      <c r="X62" s="700"/>
      <c r="Y62" s="379"/>
      <c r="Z62" s="698"/>
      <c r="AA62" s="696"/>
      <c r="AB62" s="697"/>
      <c r="AC62" s="697"/>
      <c r="AD62" s="697"/>
      <c r="AE62" s="697"/>
      <c r="AF62" s="697"/>
      <c r="AG62" s="697"/>
      <c r="AH62" s="697"/>
      <c r="AI62" s="697"/>
      <c r="AJ62" s="697"/>
      <c r="AK62" s="697"/>
      <c r="AL62" s="697"/>
      <c r="AM62" s="697"/>
      <c r="AN62" s="697"/>
      <c r="AO62" s="697"/>
    </row>
    <row r="63" spans="1:41">
      <c r="A63" s="1553"/>
      <c r="B63" s="702"/>
      <c r="C63" s="774"/>
      <c r="D63" s="782" t="s">
        <v>199</v>
      </c>
      <c r="E63" s="773">
        <v>0</v>
      </c>
      <c r="F63" s="776">
        <v>0</v>
      </c>
      <c r="G63" s="776">
        <v>0</v>
      </c>
      <c r="H63" s="776">
        <v>2823744</v>
      </c>
      <c r="I63" s="776">
        <v>2087250</v>
      </c>
      <c r="J63" s="776">
        <v>168000</v>
      </c>
      <c r="K63" s="776">
        <v>0</v>
      </c>
      <c r="L63" s="776">
        <v>0</v>
      </c>
      <c r="M63" s="776"/>
      <c r="N63" s="792">
        <v>0</v>
      </c>
      <c r="O63" s="776">
        <v>0</v>
      </c>
      <c r="P63" s="776">
        <v>307177</v>
      </c>
      <c r="Q63" s="776">
        <v>0</v>
      </c>
      <c r="R63" s="776"/>
      <c r="S63" s="776">
        <v>170000</v>
      </c>
      <c r="T63" s="776">
        <v>410356</v>
      </c>
      <c r="U63" s="777">
        <v>5966527</v>
      </c>
      <c r="V63" s="731"/>
      <c r="W63" s="379"/>
      <c r="X63" s="379"/>
      <c r="Y63" s="445"/>
      <c r="Z63" s="704">
        <f t="shared" ref="Z63" si="449">IF(E62&gt;0,((E63-E62)/E62),)</f>
        <v>0</v>
      </c>
      <c r="AA63" s="705">
        <f t="shared" ref="AA63" si="450">IF(F62&gt;0,((F63-F62)/F62),)</f>
        <v>0</v>
      </c>
      <c r="AB63" s="706">
        <f t="shared" ref="AB63" si="451">IF(G62&gt;0,((G63-G62)/G62),)</f>
        <v>0</v>
      </c>
      <c r="AC63" s="706">
        <f t="shared" ref="AC63" si="452">IF(H62&gt;0,((H63-H62)/H62),)</f>
        <v>-3.7980065575915163E-2</v>
      </c>
      <c r="AD63" s="706">
        <f t="shared" ref="AD63" si="453">IF(I62&gt;0,((I63-I62)/I62),)</f>
        <v>1.5479957497985825E-2</v>
      </c>
      <c r="AE63" s="706">
        <f t="shared" ref="AE63" si="454">IF(J62&gt;0,((J63-J62)/J62),)</f>
        <v>7.6923076923076927E-2</v>
      </c>
      <c r="AF63" s="706">
        <f t="shared" ref="AF63" si="455">IF(K62&gt;0,((K63-K62)/K62),)</f>
        <v>0</v>
      </c>
      <c r="AG63" s="706">
        <f t="shared" ref="AG63" si="456">IF(L62&gt;0,((L63-L62)/L62),)</f>
        <v>0</v>
      </c>
      <c r="AH63" s="706">
        <f t="shared" ref="AH63" si="457">IF(M62&gt;0,((M63-M62)/M62),)</f>
        <v>0</v>
      </c>
      <c r="AI63" s="706">
        <f t="shared" ref="AI63" si="458">IF(N62&gt;0,((N63-N62)/N62),)</f>
        <v>0</v>
      </c>
      <c r="AJ63" s="706">
        <f t="shared" ref="AJ63" si="459">IF(O62&gt;0,((O63-O62)/O62),)</f>
        <v>0</v>
      </c>
      <c r="AK63" s="706">
        <f t="shared" ref="AK63" si="460">IF(P62&gt;0,((P63-P62)/P62),)</f>
        <v>0</v>
      </c>
      <c r="AL63" s="706">
        <f t="shared" ref="AL63" si="461">IF(Q62&gt;0,((Q63-Q62)/Q62),)</f>
        <v>0</v>
      </c>
      <c r="AM63" s="706">
        <f t="shared" ref="AM63" si="462">IF(R62&gt;0,((R63-R62)/R62),)</f>
        <v>0</v>
      </c>
      <c r="AN63" s="706">
        <f t="shared" ref="AN63" si="463">IF(S62&gt;0,((S63-S62)/S62),)</f>
        <v>0</v>
      </c>
      <c r="AO63" s="1464">
        <f t="shared" ref="AO63" si="464">IF(T62&gt;0,((T63-T62)/T62),)</f>
        <v>0.32938104586597211</v>
      </c>
    </row>
    <row r="64" spans="1:41">
      <c r="A64" s="1553"/>
      <c r="B64" s="746" t="s">
        <v>230</v>
      </c>
      <c r="C64" s="767" t="s">
        <v>291</v>
      </c>
      <c r="D64" s="778" t="s">
        <v>197</v>
      </c>
      <c r="E64" s="779">
        <v>0</v>
      </c>
      <c r="F64" s="780">
        <v>0</v>
      </c>
      <c r="G64" s="780">
        <v>0</v>
      </c>
      <c r="H64" s="780">
        <v>0</v>
      </c>
      <c r="I64" s="780">
        <v>0</v>
      </c>
      <c r="J64" s="780">
        <v>0</v>
      </c>
      <c r="K64" s="780">
        <v>0</v>
      </c>
      <c r="L64" s="780">
        <v>0</v>
      </c>
      <c r="M64" s="780">
        <v>0</v>
      </c>
      <c r="N64" s="780">
        <v>0</v>
      </c>
      <c r="O64" s="780">
        <v>0</v>
      </c>
      <c r="P64" s="780">
        <v>0</v>
      </c>
      <c r="Q64" s="780">
        <v>0</v>
      </c>
      <c r="R64" s="780">
        <v>0</v>
      </c>
      <c r="S64" s="780">
        <v>0</v>
      </c>
      <c r="T64" s="780">
        <v>0</v>
      </c>
      <c r="U64" s="781">
        <v>0</v>
      </c>
      <c r="V64" s="698"/>
      <c r="W64" s="700"/>
      <c r="X64" s="700"/>
      <c r="Y64" s="406"/>
      <c r="Z64" s="698"/>
      <c r="AA64" s="696"/>
      <c r="AB64" s="697"/>
      <c r="AC64" s="697"/>
      <c r="AD64" s="697"/>
      <c r="AE64" s="697"/>
      <c r="AF64" s="697"/>
      <c r="AG64" s="697"/>
      <c r="AH64" s="697"/>
      <c r="AI64" s="697"/>
      <c r="AJ64" s="697"/>
      <c r="AK64" s="697"/>
      <c r="AL64" s="697"/>
      <c r="AM64" s="697"/>
      <c r="AN64" s="697"/>
      <c r="AO64" s="697"/>
    </row>
    <row r="65" spans="1:41">
      <c r="A65" s="1553"/>
      <c r="B65" s="455"/>
      <c r="C65" s="770"/>
      <c r="D65" s="782" t="s">
        <v>199</v>
      </c>
      <c r="E65" s="773">
        <v>0</v>
      </c>
      <c r="F65" s="776">
        <v>0</v>
      </c>
      <c r="G65" s="776">
        <v>0</v>
      </c>
      <c r="H65" s="776">
        <v>0</v>
      </c>
      <c r="I65" s="776">
        <v>0</v>
      </c>
      <c r="J65" s="776">
        <v>0</v>
      </c>
      <c r="K65" s="776">
        <v>0</v>
      </c>
      <c r="L65" s="776">
        <v>0</v>
      </c>
      <c r="M65" s="776">
        <v>0</v>
      </c>
      <c r="N65" s="792">
        <v>0</v>
      </c>
      <c r="O65" s="776">
        <v>0</v>
      </c>
      <c r="P65" s="776">
        <v>0</v>
      </c>
      <c r="Q65" s="776">
        <v>0</v>
      </c>
      <c r="R65" s="776">
        <v>0</v>
      </c>
      <c r="S65" s="776">
        <v>0</v>
      </c>
      <c r="T65" s="776">
        <v>0</v>
      </c>
      <c r="U65" s="777">
        <v>0</v>
      </c>
      <c r="V65" s="729"/>
      <c r="W65" s="379"/>
      <c r="X65" s="379"/>
      <c r="Y65" s="379"/>
      <c r="Z65" s="704">
        <f t="shared" ref="Z65" si="465">IF(E64&gt;0,((E65-E64)/E64),)</f>
        <v>0</v>
      </c>
      <c r="AA65" s="705">
        <f t="shared" ref="AA65" si="466">IF(F64&gt;0,((F65-F64)/F64),)</f>
        <v>0</v>
      </c>
      <c r="AB65" s="706">
        <f t="shared" ref="AB65" si="467">IF(G64&gt;0,((G65-G64)/G64),)</f>
        <v>0</v>
      </c>
      <c r="AC65" s="706">
        <f t="shared" ref="AC65" si="468">IF(H64&gt;0,((H65-H64)/H64),)</f>
        <v>0</v>
      </c>
      <c r="AD65" s="706">
        <f t="shared" ref="AD65" si="469">IF(I64&gt;0,((I65-I64)/I64),)</f>
        <v>0</v>
      </c>
      <c r="AE65" s="706">
        <f t="shared" ref="AE65" si="470">IF(J64&gt;0,((J65-J64)/J64),)</f>
        <v>0</v>
      </c>
      <c r="AF65" s="706">
        <f t="shared" ref="AF65" si="471">IF(K64&gt;0,((K65-K64)/K64),)</f>
        <v>0</v>
      </c>
      <c r="AG65" s="706">
        <f t="shared" ref="AG65" si="472">IF(L64&gt;0,((L65-L64)/L64),)</f>
        <v>0</v>
      </c>
      <c r="AH65" s="706">
        <f t="shared" ref="AH65" si="473">IF(M64&gt;0,((M65-M64)/M64),)</f>
        <v>0</v>
      </c>
      <c r="AI65" s="706">
        <f t="shared" ref="AI65" si="474">IF(N64&gt;0,((N65-N64)/N64),)</f>
        <v>0</v>
      </c>
      <c r="AJ65" s="706">
        <f t="shared" ref="AJ65" si="475">IF(O64&gt;0,((O65-O64)/O64),)</f>
        <v>0</v>
      </c>
      <c r="AK65" s="706">
        <f t="shared" ref="AK65" si="476">IF(P64&gt;0,((P65-P64)/P64),)</f>
        <v>0</v>
      </c>
      <c r="AL65" s="706">
        <f t="shared" ref="AL65" si="477">IF(Q64&gt;0,((Q65-Q64)/Q64),)</f>
        <v>0</v>
      </c>
      <c r="AM65" s="706">
        <f t="shared" ref="AM65" si="478">IF(R64&gt;0,((R65-R64)/R64),)</f>
        <v>0</v>
      </c>
      <c r="AN65" s="706">
        <f t="shared" ref="AN65" si="479">IF(S64&gt;0,((S65-S64)/S64),)</f>
        <v>0</v>
      </c>
      <c r="AO65" s="706">
        <f t="shared" ref="AO65" si="480">IF(T64&gt;0,((T65-T64)/T64),)</f>
        <v>0</v>
      </c>
    </row>
    <row r="66" spans="1:41">
      <c r="A66" s="1553"/>
      <c r="B66" s="747" t="s">
        <v>34</v>
      </c>
      <c r="C66" s="767" t="s">
        <v>292</v>
      </c>
      <c r="D66" s="778" t="s">
        <v>197</v>
      </c>
      <c r="E66" s="779">
        <v>0</v>
      </c>
      <c r="F66" s="780">
        <v>0</v>
      </c>
      <c r="G66" s="780">
        <v>1549955</v>
      </c>
      <c r="H66" s="780">
        <v>0</v>
      </c>
      <c r="I66" s="780">
        <v>0</v>
      </c>
      <c r="J66" s="780">
        <v>0</v>
      </c>
      <c r="K66" s="780">
        <v>0</v>
      </c>
      <c r="L66" s="780">
        <v>0</v>
      </c>
      <c r="M66" s="780">
        <v>0</v>
      </c>
      <c r="N66" s="780">
        <v>0</v>
      </c>
      <c r="O66" s="780">
        <v>77232704</v>
      </c>
      <c r="P66" s="780">
        <v>0</v>
      </c>
      <c r="Q66" s="780">
        <v>0</v>
      </c>
      <c r="R66" s="780">
        <v>538468632</v>
      </c>
      <c r="S66" s="780">
        <v>0</v>
      </c>
      <c r="T66" s="780">
        <v>0</v>
      </c>
      <c r="U66" s="781">
        <v>617251291</v>
      </c>
      <c r="V66" s="698"/>
      <c r="W66" s="700"/>
      <c r="X66" s="700"/>
      <c r="Y66" s="445"/>
      <c r="Z66" s="698"/>
      <c r="AA66" s="696"/>
      <c r="AB66" s="697"/>
      <c r="AC66" s="697"/>
      <c r="AD66" s="697"/>
      <c r="AE66" s="697"/>
      <c r="AF66" s="697"/>
      <c r="AG66" s="697"/>
      <c r="AH66" s="697"/>
      <c r="AI66" s="697"/>
      <c r="AJ66" s="697"/>
      <c r="AK66" s="697"/>
      <c r="AL66" s="697"/>
      <c r="AM66" s="697"/>
      <c r="AN66" s="697"/>
      <c r="AO66" s="697"/>
    </row>
    <row r="67" spans="1:41">
      <c r="A67" s="1553"/>
      <c r="B67" s="455"/>
      <c r="C67" s="770"/>
      <c r="D67" s="782" t="s">
        <v>199</v>
      </c>
      <c r="E67" s="773">
        <v>0</v>
      </c>
      <c r="F67" s="776">
        <v>0</v>
      </c>
      <c r="G67" s="776">
        <v>2245201</v>
      </c>
      <c r="H67" s="776">
        <v>0</v>
      </c>
      <c r="I67" s="776">
        <v>0</v>
      </c>
      <c r="J67" s="776">
        <v>0</v>
      </c>
      <c r="K67" s="776">
        <v>0</v>
      </c>
      <c r="L67" s="776">
        <v>0</v>
      </c>
      <c r="M67" s="776">
        <v>0</v>
      </c>
      <c r="N67" s="792">
        <v>0</v>
      </c>
      <c r="O67" s="776">
        <v>77232704</v>
      </c>
      <c r="P67" s="776">
        <v>0</v>
      </c>
      <c r="Q67" s="776">
        <v>0</v>
      </c>
      <c r="R67" s="776">
        <v>429236144</v>
      </c>
      <c r="S67" s="776">
        <v>0</v>
      </c>
      <c r="T67" s="776">
        <v>0</v>
      </c>
      <c r="U67" s="777">
        <v>508714049</v>
      </c>
      <c r="V67" s="729"/>
      <c r="W67" s="379"/>
      <c r="X67" s="379"/>
      <c r="Y67" s="406"/>
      <c r="Z67" s="704">
        <f t="shared" ref="Z67" si="481">IF(E66&gt;0,((E67-E66)/E66),)</f>
        <v>0</v>
      </c>
      <c r="AA67" s="705">
        <f t="shared" ref="AA67" si="482">IF(F66&gt;0,((F67-F66)/F66),)</f>
        <v>0</v>
      </c>
      <c r="AB67" s="1464">
        <f t="shared" ref="AB67" si="483">IF(G66&gt;0,((G67-G66)/G66),)</f>
        <v>0.44855882912729722</v>
      </c>
      <c r="AC67" s="706">
        <f t="shared" ref="AC67" si="484">IF(H66&gt;0,((H67-H66)/H66),)</f>
        <v>0</v>
      </c>
      <c r="AD67" s="706">
        <f t="shared" ref="AD67" si="485">IF(I66&gt;0,((I67-I66)/I66),)</f>
        <v>0</v>
      </c>
      <c r="AE67" s="706">
        <f t="shared" ref="AE67" si="486">IF(J66&gt;0,((J67-J66)/J66),)</f>
        <v>0</v>
      </c>
      <c r="AF67" s="706">
        <f t="shared" ref="AF67" si="487">IF(K66&gt;0,((K67-K66)/K66),)</f>
        <v>0</v>
      </c>
      <c r="AG67" s="706">
        <f t="shared" ref="AG67" si="488">IF(L66&gt;0,((L67-L66)/L66),)</f>
        <v>0</v>
      </c>
      <c r="AH67" s="706">
        <f t="shared" ref="AH67" si="489">IF(M66&gt;0,((M67-M66)/M66),)</f>
        <v>0</v>
      </c>
      <c r="AI67" s="706">
        <f t="shared" ref="AI67" si="490">IF(N66&gt;0,((N67-N66)/N66),)</f>
        <v>0</v>
      </c>
      <c r="AJ67" s="706">
        <f t="shared" ref="AJ67" si="491">IF(O66&gt;0,((O67-O66)/O66),)</f>
        <v>0</v>
      </c>
      <c r="AK67" s="706">
        <f t="shared" ref="AK67" si="492">IF(P66&gt;0,((P67-P66)/P66),)</f>
        <v>0</v>
      </c>
      <c r="AL67" s="706">
        <f t="shared" ref="AL67" si="493">IF(Q66&gt;0,((Q67-Q66)/Q66),)</f>
        <v>0</v>
      </c>
      <c r="AM67" s="1464">
        <f t="shared" ref="AM67" si="494">IF(R66&gt;0,((R67-R66)/R66),)</f>
        <v>-0.20285766246825684</v>
      </c>
      <c r="AN67" s="706">
        <f t="shared" ref="AN67" si="495">IF(S66&gt;0,((S67-S66)/S66),)</f>
        <v>0</v>
      </c>
      <c r="AO67" s="706">
        <f t="shared" ref="AO67" si="496">IF(T66&gt;0,((T67-T66)/T66),)</f>
        <v>0</v>
      </c>
    </row>
    <row r="68" spans="1:41">
      <c r="A68" s="1553"/>
      <c r="B68" s="457" t="s">
        <v>311</v>
      </c>
      <c r="C68" s="767" t="s">
        <v>310</v>
      </c>
      <c r="D68" s="778" t="s">
        <v>197</v>
      </c>
      <c r="E68" s="779">
        <v>10399</v>
      </c>
      <c r="F68" s="780">
        <v>0</v>
      </c>
      <c r="G68" s="780">
        <v>7500</v>
      </c>
      <c r="H68" s="780">
        <v>8619922</v>
      </c>
      <c r="I68" s="780"/>
      <c r="J68" s="780"/>
      <c r="K68" s="780"/>
      <c r="L68" s="780">
        <v>0</v>
      </c>
      <c r="M68" s="780"/>
      <c r="N68" s="780">
        <v>0</v>
      </c>
      <c r="O68" s="780">
        <v>0</v>
      </c>
      <c r="P68" s="780">
        <v>0</v>
      </c>
      <c r="Q68" s="780"/>
      <c r="R68" s="780"/>
      <c r="S68" s="780"/>
      <c r="T68" s="780"/>
      <c r="U68" s="781">
        <v>8637821</v>
      </c>
      <c r="V68" s="698"/>
      <c r="W68" s="700"/>
      <c r="X68" s="700"/>
      <c r="Y68" s="379"/>
      <c r="Z68" s="698"/>
      <c r="AA68" s="696"/>
      <c r="AB68" s="697"/>
      <c r="AC68" s="697"/>
      <c r="AD68" s="697"/>
      <c r="AE68" s="697"/>
      <c r="AF68" s="697"/>
      <c r="AG68" s="697"/>
      <c r="AH68" s="697"/>
      <c r="AI68" s="697"/>
      <c r="AJ68" s="697"/>
      <c r="AK68" s="697"/>
      <c r="AL68" s="697"/>
      <c r="AM68" s="697"/>
      <c r="AN68" s="697"/>
      <c r="AO68" s="697"/>
    </row>
    <row r="69" spans="1:41">
      <c r="A69" s="1553"/>
      <c r="B69" s="702"/>
      <c r="C69" s="770"/>
      <c r="D69" s="782" t="s">
        <v>199</v>
      </c>
      <c r="E69" s="773">
        <v>10399</v>
      </c>
      <c r="F69" s="776">
        <v>0</v>
      </c>
      <c r="G69" s="776">
        <v>7500</v>
      </c>
      <c r="H69" s="776">
        <v>8569922</v>
      </c>
      <c r="I69" s="776"/>
      <c r="J69" s="776"/>
      <c r="K69" s="776"/>
      <c r="L69" s="776">
        <v>0</v>
      </c>
      <c r="M69" s="776"/>
      <c r="N69" s="792">
        <v>0</v>
      </c>
      <c r="O69" s="776">
        <v>0</v>
      </c>
      <c r="P69" s="776">
        <v>0</v>
      </c>
      <c r="Q69" s="776"/>
      <c r="R69" s="776"/>
      <c r="S69" s="776"/>
      <c r="T69" s="776"/>
      <c r="U69" s="777">
        <v>8587821</v>
      </c>
      <c r="V69" s="729"/>
      <c r="W69" s="379"/>
      <c r="X69" s="379"/>
      <c r="Y69" s="445"/>
      <c r="Z69" s="704">
        <f t="shared" ref="Z69" si="497">IF(E68&gt;0,((E69-E68)/E68),)</f>
        <v>0</v>
      </c>
      <c r="AA69" s="705">
        <f t="shared" ref="AA69" si="498">IF(F68&gt;0,((F69-F68)/F68),)</f>
        <v>0</v>
      </c>
      <c r="AB69" s="706">
        <f t="shared" ref="AB69" si="499">IF(G68&gt;0,((G69-G68)/G68),)</f>
        <v>0</v>
      </c>
      <c r="AC69" s="706">
        <f t="shared" ref="AC69" si="500">IF(H68&gt;0,((H69-H68)/H68),)</f>
        <v>-5.800516524395464E-3</v>
      </c>
      <c r="AD69" s="706">
        <f t="shared" ref="AD69" si="501">IF(I68&gt;0,((I69-I68)/I68),)</f>
        <v>0</v>
      </c>
      <c r="AE69" s="706">
        <f t="shared" ref="AE69" si="502">IF(J68&gt;0,((J69-J68)/J68),)</f>
        <v>0</v>
      </c>
      <c r="AF69" s="706">
        <f t="shared" ref="AF69" si="503">IF(K68&gt;0,((K69-K68)/K68),)</f>
        <v>0</v>
      </c>
      <c r="AG69" s="706">
        <f t="shared" ref="AG69" si="504">IF(L68&gt;0,((L69-L68)/L68),)</f>
        <v>0</v>
      </c>
      <c r="AH69" s="706">
        <f t="shared" ref="AH69" si="505">IF(M68&gt;0,((M69-M68)/M68),)</f>
        <v>0</v>
      </c>
      <c r="AI69" s="706">
        <f t="shared" ref="AI69" si="506">IF(N68&gt;0,((N69-N68)/N68),)</f>
        <v>0</v>
      </c>
      <c r="AJ69" s="706">
        <f t="shared" ref="AJ69" si="507">IF(O68&gt;0,((O69-O68)/O68),)</f>
        <v>0</v>
      </c>
      <c r="AK69" s="706">
        <f t="shared" ref="AK69" si="508">IF(P68&gt;0,((P69-P68)/P68),)</f>
        <v>0</v>
      </c>
      <c r="AL69" s="706">
        <f t="shared" ref="AL69" si="509">IF(Q68&gt;0,((Q69-Q68)/Q68),)</f>
        <v>0</v>
      </c>
      <c r="AM69" s="706">
        <f t="shared" ref="AM69" si="510">IF(R68&gt;0,((R69-R68)/R68),)</f>
        <v>0</v>
      </c>
      <c r="AN69" s="706">
        <f t="shared" ref="AN69" si="511">IF(S68&gt;0,((S69-S68)/S68),)</f>
        <v>0</v>
      </c>
      <c r="AO69" s="706">
        <f t="shared" ref="AO69" si="512">IF(T68&gt;0,((T69-T68)/T68),)</f>
        <v>0</v>
      </c>
    </row>
    <row r="70" spans="1:41">
      <c r="A70" s="1553"/>
      <c r="B70" s="457" t="s">
        <v>249</v>
      </c>
      <c r="C70" s="767" t="s">
        <v>251</v>
      </c>
      <c r="D70" s="778" t="s">
        <v>197</v>
      </c>
      <c r="E70" s="779">
        <v>1204489</v>
      </c>
      <c r="F70" s="780">
        <v>175000</v>
      </c>
      <c r="G70" s="780">
        <v>1419500</v>
      </c>
      <c r="H70" s="780">
        <v>312309733</v>
      </c>
      <c r="I70" s="780"/>
      <c r="J70" s="780"/>
      <c r="K70" s="780"/>
      <c r="L70" s="780">
        <v>0</v>
      </c>
      <c r="M70" s="780">
        <v>515805</v>
      </c>
      <c r="N70" s="780">
        <v>22162388</v>
      </c>
      <c r="O70" s="780">
        <v>0</v>
      </c>
      <c r="P70" s="780">
        <v>4545000</v>
      </c>
      <c r="Q70" s="780"/>
      <c r="R70" s="780">
        <v>20864000</v>
      </c>
      <c r="S70" s="780"/>
      <c r="T70" s="780"/>
      <c r="U70" s="781">
        <v>363195915</v>
      </c>
      <c r="V70" s="698"/>
      <c r="W70" s="700"/>
      <c r="X70" s="700"/>
      <c r="Y70" s="406"/>
      <c r="Z70" s="698"/>
      <c r="AA70" s="696"/>
      <c r="AB70" s="697"/>
      <c r="AC70" s="697"/>
      <c r="AD70" s="697"/>
      <c r="AE70" s="697"/>
      <c r="AF70" s="697"/>
      <c r="AG70" s="697"/>
      <c r="AH70" s="697"/>
      <c r="AI70" s="697"/>
      <c r="AJ70" s="697"/>
      <c r="AK70" s="697"/>
      <c r="AL70" s="697"/>
      <c r="AM70" s="697"/>
      <c r="AN70" s="697"/>
      <c r="AO70" s="697"/>
    </row>
    <row r="71" spans="1:41">
      <c r="A71" s="1553"/>
      <c r="B71" s="460"/>
      <c r="C71" s="770"/>
      <c r="D71" s="782" t="s">
        <v>199</v>
      </c>
      <c r="E71" s="773">
        <v>1204489</v>
      </c>
      <c r="F71" s="776">
        <v>175000</v>
      </c>
      <c r="G71" s="776">
        <v>1627000</v>
      </c>
      <c r="H71" s="776">
        <v>269307642</v>
      </c>
      <c r="I71" s="776"/>
      <c r="J71" s="776"/>
      <c r="K71" s="776"/>
      <c r="L71" s="776">
        <v>0</v>
      </c>
      <c r="M71" s="776">
        <v>333716</v>
      </c>
      <c r="N71" s="792">
        <v>22162388</v>
      </c>
      <c r="O71" s="776">
        <v>0</v>
      </c>
      <c r="P71" s="776">
        <v>4545000</v>
      </c>
      <c r="Q71" s="776"/>
      <c r="R71" s="776">
        <v>17664000</v>
      </c>
      <c r="S71" s="776"/>
      <c r="T71" s="776"/>
      <c r="U71" s="777">
        <v>317019235</v>
      </c>
      <c r="V71" s="729"/>
      <c r="W71" s="379"/>
      <c r="X71" s="379"/>
      <c r="Y71" s="379"/>
      <c r="Z71" s="704">
        <f t="shared" ref="Z71" si="513">IF(E70&gt;0,((E71-E70)/E70),)</f>
        <v>0</v>
      </c>
      <c r="AA71" s="705">
        <f t="shared" ref="AA71" si="514">IF(F70&gt;0,((F71-F70)/F70),)</f>
        <v>0</v>
      </c>
      <c r="AB71" s="1464">
        <f t="shared" ref="AB71" si="515">IF(G70&gt;0,((G71-G70)/G70),)</f>
        <v>0.14617823177175063</v>
      </c>
      <c r="AC71" s="1464">
        <f t="shared" ref="AC71" si="516">IF(H70&gt;0,((H71-H70)/H70),)</f>
        <v>-0.13769052468179083</v>
      </c>
      <c r="AD71" s="706">
        <f t="shared" ref="AD71" si="517">IF(I70&gt;0,((I71-I70)/I70),)</f>
        <v>0</v>
      </c>
      <c r="AE71" s="706">
        <f t="shared" ref="AE71" si="518">IF(J70&gt;0,((J71-J70)/J70),)</f>
        <v>0</v>
      </c>
      <c r="AF71" s="706">
        <f t="shared" ref="AF71" si="519">IF(K70&gt;0,((K71-K70)/K70),)</f>
        <v>0</v>
      </c>
      <c r="AG71" s="706">
        <f t="shared" ref="AG71" si="520">IF(L70&gt;0,((L71-L70)/L70),)</f>
        <v>0</v>
      </c>
      <c r="AH71" s="1464">
        <f t="shared" ref="AH71" si="521">IF(M70&gt;0,((M71-M70)/M70),)</f>
        <v>-0.35301906728317872</v>
      </c>
      <c r="AI71" s="706">
        <f t="shared" ref="AI71" si="522">IF(N70&gt;0,((N71-N70)/N70),)</f>
        <v>0</v>
      </c>
      <c r="AJ71" s="706">
        <f t="shared" ref="AJ71" si="523">IF(O70&gt;0,((O71-O70)/O70),)</f>
        <v>0</v>
      </c>
      <c r="AK71" s="706">
        <f t="shared" ref="AK71" si="524">IF(P70&gt;0,((P71-P70)/P70),)</f>
        <v>0</v>
      </c>
      <c r="AL71" s="706">
        <f t="shared" ref="AL71" si="525">IF(Q70&gt;0,((Q71-Q70)/Q70),)</f>
        <v>0</v>
      </c>
      <c r="AM71" s="1464">
        <f t="shared" ref="AM71" si="526">IF(R70&gt;0,((R71-R70)/R70),)</f>
        <v>-0.15337423312883436</v>
      </c>
      <c r="AN71" s="706">
        <f t="shared" ref="AN71" si="527">IF(S70&gt;0,((S71-S70)/S70),)</f>
        <v>0</v>
      </c>
      <c r="AO71" s="706">
        <f t="shared" ref="AO71" si="528">IF(T70&gt;0,((T71-T70)/T70),)</f>
        <v>0</v>
      </c>
    </row>
    <row r="72" spans="1:41">
      <c r="A72" s="1553"/>
      <c r="B72" s="457" t="s">
        <v>250</v>
      </c>
      <c r="C72" s="767" t="s">
        <v>209</v>
      </c>
      <c r="D72" s="778" t="s">
        <v>197</v>
      </c>
      <c r="E72" s="779">
        <v>0</v>
      </c>
      <c r="F72" s="780">
        <v>1076142</v>
      </c>
      <c r="G72" s="780">
        <v>0</v>
      </c>
      <c r="H72" s="780">
        <v>0</v>
      </c>
      <c r="I72" s="780">
        <v>0</v>
      </c>
      <c r="J72" s="780">
        <v>0</v>
      </c>
      <c r="K72" s="780">
        <v>0</v>
      </c>
      <c r="L72" s="780">
        <v>0</v>
      </c>
      <c r="M72" s="780">
        <v>593749</v>
      </c>
      <c r="N72" s="780">
        <v>0</v>
      </c>
      <c r="O72" s="780">
        <v>0</v>
      </c>
      <c r="P72" s="780">
        <v>0</v>
      </c>
      <c r="Q72" s="780">
        <v>0</v>
      </c>
      <c r="R72" s="780"/>
      <c r="S72" s="780">
        <v>0</v>
      </c>
      <c r="T72" s="780">
        <v>0</v>
      </c>
      <c r="U72" s="781">
        <v>1669891</v>
      </c>
      <c r="V72" s="698"/>
      <c r="W72" s="700"/>
      <c r="X72" s="700"/>
      <c r="Y72" s="445"/>
      <c r="Z72" s="698"/>
      <c r="AA72" s="696"/>
      <c r="AB72" s="697"/>
      <c r="AC72" s="697"/>
      <c r="AD72" s="697"/>
      <c r="AE72" s="697"/>
      <c r="AF72" s="697"/>
      <c r="AG72" s="697"/>
      <c r="AH72" s="697"/>
      <c r="AI72" s="697"/>
      <c r="AJ72" s="697"/>
      <c r="AK72" s="697"/>
      <c r="AL72" s="697"/>
      <c r="AM72" s="697"/>
      <c r="AN72" s="697"/>
      <c r="AO72" s="697"/>
    </row>
    <row r="73" spans="1:41">
      <c r="A73" s="1553"/>
      <c r="B73" s="458"/>
      <c r="C73" s="770"/>
      <c r="D73" s="782" t="s">
        <v>199</v>
      </c>
      <c r="E73" s="773">
        <v>0</v>
      </c>
      <c r="F73" s="776">
        <v>1500000</v>
      </c>
      <c r="G73" s="776">
        <v>0</v>
      </c>
      <c r="H73" s="776">
        <v>0</v>
      </c>
      <c r="I73" s="776">
        <v>0</v>
      </c>
      <c r="J73" s="776">
        <v>0</v>
      </c>
      <c r="K73" s="776">
        <v>0</v>
      </c>
      <c r="L73" s="776">
        <v>0</v>
      </c>
      <c r="M73" s="776">
        <v>570795.32000000007</v>
      </c>
      <c r="N73" s="792">
        <v>0</v>
      </c>
      <c r="O73" s="776">
        <v>0</v>
      </c>
      <c r="P73" s="776">
        <v>0</v>
      </c>
      <c r="Q73" s="776">
        <v>0</v>
      </c>
      <c r="R73" s="776"/>
      <c r="S73" s="776">
        <v>0</v>
      </c>
      <c r="T73" s="776">
        <v>0</v>
      </c>
      <c r="U73" s="777">
        <v>2070795.32</v>
      </c>
      <c r="V73" s="729"/>
      <c r="W73" s="379"/>
      <c r="X73" s="379"/>
      <c r="Y73" s="406"/>
      <c r="Z73" s="704">
        <f t="shared" ref="Z73" si="529">IF(E72&gt;0,((E73-E72)/E72),)</f>
        <v>0</v>
      </c>
      <c r="AA73" s="705">
        <f t="shared" ref="AA73" si="530">IF(F72&gt;0,((F73-F72)/F72),)</f>
        <v>0.39386809547438906</v>
      </c>
      <c r="AB73" s="706">
        <f t="shared" ref="AB73" si="531">IF(G72&gt;0,((G73-G72)/G72),)</f>
        <v>0</v>
      </c>
      <c r="AC73" s="706">
        <f t="shared" ref="AC73" si="532">IF(H72&gt;0,((H73-H72)/H72),)</f>
        <v>0</v>
      </c>
      <c r="AD73" s="706">
        <f t="shared" ref="AD73" si="533">IF(I72&gt;0,((I73-I72)/I72),)</f>
        <v>0</v>
      </c>
      <c r="AE73" s="706">
        <f t="shared" ref="AE73" si="534">IF(J72&gt;0,((J73-J72)/J72),)</f>
        <v>0</v>
      </c>
      <c r="AF73" s="706">
        <f t="shared" ref="AF73" si="535">IF(K72&gt;0,((K73-K72)/K72),)</f>
        <v>0</v>
      </c>
      <c r="AG73" s="706">
        <f t="shared" ref="AG73" si="536">IF(L72&gt;0,((L73-L72)/L72),)</f>
        <v>0</v>
      </c>
      <c r="AH73" s="706">
        <f t="shared" ref="AH73" si="537">IF(M72&gt;0,((M73-M72)/M72),)</f>
        <v>-3.8658894583401292E-2</v>
      </c>
      <c r="AI73" s="706">
        <f t="shared" ref="AI73" si="538">IF(N72&gt;0,((N73-N72)/N72),)</f>
        <v>0</v>
      </c>
      <c r="AJ73" s="706">
        <f t="shared" ref="AJ73" si="539">IF(O72&gt;0,((O73-O72)/O72),)</f>
        <v>0</v>
      </c>
      <c r="AK73" s="706">
        <f t="shared" ref="AK73" si="540">IF(P72&gt;0,((P73-P72)/P72),)</f>
        <v>0</v>
      </c>
      <c r="AL73" s="706">
        <f t="shared" ref="AL73" si="541">IF(Q72&gt;0,((Q73-Q72)/Q72),)</f>
        <v>0</v>
      </c>
      <c r="AM73" s="706">
        <f t="shared" ref="AM73" si="542">IF(R72&gt;0,((R73-R72)/R72),)</f>
        <v>0</v>
      </c>
      <c r="AN73" s="706">
        <f t="shared" ref="AN73" si="543">IF(S72&gt;0,((S73-S72)/S72),)</f>
        <v>0</v>
      </c>
      <c r="AO73" s="706">
        <f t="shared" ref="AO73" si="544">IF(T72&gt;0,((T73-T72)/T72),)</f>
        <v>0</v>
      </c>
    </row>
    <row r="74" spans="1:41">
      <c r="A74" s="1553"/>
      <c r="B74" s="457" t="s">
        <v>311</v>
      </c>
      <c r="C74" s="767" t="s">
        <v>210</v>
      </c>
      <c r="D74" s="778" t="s">
        <v>197</v>
      </c>
      <c r="E74" s="779">
        <v>2143221</v>
      </c>
      <c r="F74" s="780">
        <v>7793247</v>
      </c>
      <c r="G74" s="780">
        <v>216362</v>
      </c>
      <c r="H74" s="780">
        <v>0</v>
      </c>
      <c r="I74" s="780">
        <v>0</v>
      </c>
      <c r="J74" s="780">
        <v>46607653</v>
      </c>
      <c r="K74" s="780">
        <v>23783131</v>
      </c>
      <c r="L74" s="780">
        <v>76152186</v>
      </c>
      <c r="M74" s="780">
        <v>9089281</v>
      </c>
      <c r="N74" s="780">
        <v>0</v>
      </c>
      <c r="O74" s="780">
        <v>0</v>
      </c>
      <c r="P74" s="780">
        <v>20449021.582770318</v>
      </c>
      <c r="Q74" s="780">
        <v>113858091.14</v>
      </c>
      <c r="R74" s="780"/>
      <c r="S74" s="780">
        <v>3372105</v>
      </c>
      <c r="T74" s="780">
        <v>37351621</v>
      </c>
      <c r="U74" s="781">
        <v>340815919.72277033</v>
      </c>
      <c r="V74" s="698"/>
      <c r="W74" s="700"/>
      <c r="X74" s="700"/>
      <c r="Y74" s="379"/>
      <c r="Z74" s="698"/>
      <c r="AA74" s="696"/>
      <c r="AB74" s="697"/>
      <c r="AC74" s="697"/>
      <c r="AD74" s="697"/>
      <c r="AE74" s="697"/>
      <c r="AF74" s="697"/>
      <c r="AG74" s="697"/>
      <c r="AH74" s="697"/>
      <c r="AI74" s="697"/>
      <c r="AJ74" s="697"/>
      <c r="AK74" s="697"/>
      <c r="AL74" s="697"/>
      <c r="AM74" s="697"/>
      <c r="AN74" s="697"/>
      <c r="AO74" s="697"/>
    </row>
    <row r="75" spans="1:41">
      <c r="A75" s="1553"/>
      <c r="B75" s="702"/>
      <c r="C75" s="774"/>
      <c r="D75" s="782" t="s">
        <v>199</v>
      </c>
      <c r="E75" s="773">
        <v>2492371</v>
      </c>
      <c r="F75" s="776">
        <v>8550500</v>
      </c>
      <c r="G75" s="776">
        <v>240940</v>
      </c>
      <c r="H75" s="776">
        <v>0</v>
      </c>
      <c r="I75" s="776">
        <v>0</v>
      </c>
      <c r="J75" s="776">
        <v>47284845</v>
      </c>
      <c r="K75" s="776">
        <v>24619025</v>
      </c>
      <c r="L75" s="776">
        <v>62537021</v>
      </c>
      <c r="M75" s="776">
        <v>11650819</v>
      </c>
      <c r="N75" s="792">
        <v>0</v>
      </c>
      <c r="O75" s="776">
        <v>0</v>
      </c>
      <c r="P75" s="776">
        <v>22514935</v>
      </c>
      <c r="Q75" s="776">
        <v>113022444</v>
      </c>
      <c r="R75" s="776"/>
      <c r="S75" s="776">
        <v>0</v>
      </c>
      <c r="T75" s="776">
        <v>37505851</v>
      </c>
      <c r="U75" s="777">
        <v>330418751</v>
      </c>
      <c r="V75" s="729"/>
      <c r="W75" s="379"/>
      <c r="X75" s="379"/>
      <c r="Y75" s="445"/>
      <c r="Z75" s="1463">
        <f t="shared" ref="Z75" si="545">IF(E74&gt;0,((E75-E74)/E74),)</f>
        <v>0.16290900471766562</v>
      </c>
      <c r="AA75" s="705">
        <f t="shared" ref="AA75" si="546">IF(F74&gt;0,((F75-F74)/F74),)</f>
        <v>9.7167842877301333E-2</v>
      </c>
      <c r="AB75" s="1464">
        <f t="shared" ref="AB75" si="547">IF(G74&gt;0,((G75-G74)/G74),)</f>
        <v>0.11359665745371184</v>
      </c>
      <c r="AC75" s="706">
        <f t="shared" ref="AC75" si="548">IF(H74&gt;0,((H75-H74)/H74),)</f>
        <v>0</v>
      </c>
      <c r="AD75" s="706">
        <f t="shared" ref="AD75" si="549">IF(I74&gt;0,((I75-I74)/I74),)</f>
        <v>0</v>
      </c>
      <c r="AE75" s="706">
        <f t="shared" ref="AE75" si="550">IF(J74&gt;0,((J75-J74)/J74),)</f>
        <v>1.4529631002874141E-2</v>
      </c>
      <c r="AF75" s="706">
        <f t="shared" ref="AF75" si="551">IF(K74&gt;0,((K75-K74)/K74),)</f>
        <v>3.5146507833640574E-2</v>
      </c>
      <c r="AG75" s="1464">
        <f t="shared" ref="AG75" si="552">IF(L74&gt;0,((L75-L74)/L74),)</f>
        <v>-0.17878889254735247</v>
      </c>
      <c r="AH75" s="706">
        <f t="shared" ref="AH75" si="553">IF(M74&gt;0,((M75-M74)/M74),)</f>
        <v>0.28181965108131213</v>
      </c>
      <c r="AI75" s="706">
        <f t="shared" ref="AI75" si="554">IF(N74&gt;0,((N75-N74)/N74),)</f>
        <v>0</v>
      </c>
      <c r="AJ75" s="706">
        <f t="shared" ref="AJ75" si="555">IF(O74&gt;0,((O75-O74)/O74),)</f>
        <v>0</v>
      </c>
      <c r="AK75" s="706">
        <f t="shared" ref="AK75" si="556">IF(P74&gt;0,((P75-P74)/P74),)</f>
        <v>0.10102749458538172</v>
      </c>
      <c r="AL75" s="706">
        <f t="shared" ref="AL75" si="557">IF(Q74&gt;0,((Q75-Q74)/Q74),)</f>
        <v>-7.3393742300886479E-3</v>
      </c>
      <c r="AM75" s="706">
        <f t="shared" ref="AM75" si="558">IF(R74&gt;0,((R75-R74)/R74),)</f>
        <v>0</v>
      </c>
      <c r="AN75" s="1464">
        <f t="shared" ref="AN75" si="559">IF(S74&gt;0,((S75-S74)/S74),)</f>
        <v>-1</v>
      </c>
      <c r="AO75" s="706">
        <f t="shared" ref="AO75" si="560">IF(T74&gt;0,((T75-T74)/T74),)</f>
        <v>4.1291380633788292E-3</v>
      </c>
    </row>
    <row r="76" spans="1:41">
      <c r="A76" s="1553"/>
      <c r="B76" s="457" t="s">
        <v>249</v>
      </c>
      <c r="C76" s="767" t="s">
        <v>204</v>
      </c>
      <c r="D76" s="767" t="s">
        <v>197</v>
      </c>
      <c r="E76" s="767">
        <v>54251412</v>
      </c>
      <c r="F76" s="772">
        <v>112169037</v>
      </c>
      <c r="G76" s="772">
        <v>877848</v>
      </c>
      <c r="H76" s="772">
        <v>0</v>
      </c>
      <c r="I76" s="772">
        <v>376761</v>
      </c>
      <c r="J76" s="772">
        <v>85956246</v>
      </c>
      <c r="K76" s="772">
        <v>199825710</v>
      </c>
      <c r="L76" s="772">
        <v>8642361</v>
      </c>
      <c r="M76" s="772">
        <v>12723874</v>
      </c>
      <c r="N76" s="772"/>
      <c r="O76" s="772"/>
      <c r="P76" s="772">
        <v>235151754.44716096</v>
      </c>
      <c r="Q76" s="772">
        <v>165956549</v>
      </c>
      <c r="R76" s="772"/>
      <c r="S76" s="772">
        <v>1250000</v>
      </c>
      <c r="T76" s="772">
        <v>42896393</v>
      </c>
      <c r="U76" s="771">
        <v>920077945.44716096</v>
      </c>
      <c r="V76" s="698"/>
      <c r="W76" s="700"/>
      <c r="X76" s="700"/>
      <c r="Y76" s="406"/>
      <c r="Z76" s="698"/>
      <c r="AA76" s="696"/>
      <c r="AB76" s="697"/>
      <c r="AC76" s="697"/>
      <c r="AD76" s="697"/>
      <c r="AE76" s="697"/>
      <c r="AF76" s="697"/>
      <c r="AG76" s="697"/>
      <c r="AH76" s="697"/>
      <c r="AI76" s="697"/>
      <c r="AJ76" s="697"/>
      <c r="AK76" s="697"/>
      <c r="AL76" s="697"/>
      <c r="AM76" s="697"/>
      <c r="AN76" s="697"/>
      <c r="AO76" s="697"/>
    </row>
    <row r="77" spans="1:41">
      <c r="A77" s="1553"/>
      <c r="B77" s="455"/>
      <c r="C77" s="770"/>
      <c r="D77" s="773" t="s">
        <v>199</v>
      </c>
      <c r="E77" s="773">
        <v>56242822</v>
      </c>
      <c r="F77" s="776">
        <v>101848777.21327648</v>
      </c>
      <c r="G77" s="776">
        <v>910114</v>
      </c>
      <c r="H77" s="776">
        <v>0</v>
      </c>
      <c r="I77" s="776">
        <v>376761</v>
      </c>
      <c r="J77" s="776">
        <v>88697051</v>
      </c>
      <c r="K77" s="776">
        <v>247795287</v>
      </c>
      <c r="L77" s="776">
        <v>8330943</v>
      </c>
      <c r="M77" s="776">
        <v>13027203</v>
      </c>
      <c r="N77" s="792"/>
      <c r="O77" s="776"/>
      <c r="P77" s="776">
        <v>260200729</v>
      </c>
      <c r="Q77" s="776">
        <v>170568942</v>
      </c>
      <c r="R77" s="776"/>
      <c r="S77" s="776">
        <v>1915000</v>
      </c>
      <c r="T77" s="776">
        <v>42934205</v>
      </c>
      <c r="U77" s="777">
        <v>992847834.21327651</v>
      </c>
      <c r="V77" s="729"/>
      <c r="W77" s="379"/>
      <c r="X77" s="379"/>
      <c r="Y77" s="379"/>
      <c r="Z77" s="704">
        <f t="shared" ref="Z77" si="561">IF(E76&gt;0,((E77-E76)/E76),)</f>
        <v>3.6707063034598988E-2</v>
      </c>
      <c r="AA77" s="705">
        <f t="shared" ref="AA77" si="562">IF(F76&gt;0,((F77-F76)/F76),)</f>
        <v>-9.2006315314301257E-2</v>
      </c>
      <c r="AB77" s="706">
        <f t="shared" ref="AB77" si="563">IF(G76&gt;0,((G77-G76)/G76),)</f>
        <v>3.6755793713718093E-2</v>
      </c>
      <c r="AC77" s="706">
        <f t="shared" ref="AC77" si="564">IF(H76&gt;0,((H77-H76)/H76),)</f>
        <v>0</v>
      </c>
      <c r="AD77" s="706">
        <f t="shared" ref="AD77" si="565">IF(I76&gt;0,((I77-I76)/I76),)</f>
        <v>0</v>
      </c>
      <c r="AE77" s="706">
        <f t="shared" ref="AE77" si="566">IF(J76&gt;0,((J77-J76)/J76),)</f>
        <v>3.1886048164551067E-2</v>
      </c>
      <c r="AF77" s="706">
        <f t="shared" ref="AF77" si="567">IF(K76&gt;0,((K77-K76)/K76),)</f>
        <v>0.24005708274475793</v>
      </c>
      <c r="AG77" s="706">
        <f t="shared" ref="AG77" si="568">IF(L76&gt;0,((L77-L76)/L76),)</f>
        <v>-3.6033903235470031E-2</v>
      </c>
      <c r="AH77" s="706">
        <f t="shared" ref="AH77" si="569">IF(M76&gt;0,((M77-M76)/M76),)</f>
        <v>2.3839358987679381E-2</v>
      </c>
      <c r="AI77" s="706">
        <f t="shared" ref="AI77" si="570">IF(N76&gt;0,((N77-N76)/N76),)</f>
        <v>0</v>
      </c>
      <c r="AJ77" s="706">
        <f t="shared" ref="AJ77" si="571">IF(O76&gt;0,((O77-O76)/O76),)</f>
        <v>0</v>
      </c>
      <c r="AK77" s="1464">
        <f t="shared" ref="AK77" si="572">IF(P76&gt;0,((P77-P76)/P76),)</f>
        <v>0.10652259266246551</v>
      </c>
      <c r="AL77" s="706">
        <f t="shared" ref="AL77" si="573">IF(Q76&gt;0,((Q77-Q76)/Q76),)</f>
        <v>2.779277484252821E-2</v>
      </c>
      <c r="AM77" s="706">
        <f t="shared" ref="AM77" si="574">IF(R76&gt;0,((R77-R76)/R76),)</f>
        <v>0</v>
      </c>
      <c r="AN77" s="1464">
        <f t="shared" ref="AN77" si="575">IF(S76&gt;0,((S77-S76)/S76),)</f>
        <v>0.53200000000000003</v>
      </c>
      <c r="AO77" s="706">
        <f t="shared" ref="AO77" si="576">IF(T76&gt;0,((T77-T76)/T76),)</f>
        <v>8.8147271496696704E-4</v>
      </c>
    </row>
    <row r="78" spans="1:41">
      <c r="A78" s="1553"/>
      <c r="B78" s="457" t="s">
        <v>222</v>
      </c>
      <c r="C78" s="767" t="s">
        <v>205</v>
      </c>
      <c r="D78" s="778" t="s">
        <v>197</v>
      </c>
      <c r="E78" s="779">
        <v>0</v>
      </c>
      <c r="F78" s="780">
        <v>0</v>
      </c>
      <c r="G78" s="780">
        <v>0</v>
      </c>
      <c r="H78" s="780">
        <v>0</v>
      </c>
      <c r="I78" s="780">
        <v>0</v>
      </c>
      <c r="J78" s="780">
        <v>0</v>
      </c>
      <c r="K78" s="780">
        <v>0</v>
      </c>
      <c r="L78" s="780">
        <v>0</v>
      </c>
      <c r="M78" s="780">
        <v>0</v>
      </c>
      <c r="N78" s="780">
        <v>0</v>
      </c>
      <c r="O78" s="780">
        <v>0</v>
      </c>
      <c r="P78" s="780">
        <v>0</v>
      </c>
      <c r="Q78" s="780">
        <v>0</v>
      </c>
      <c r="R78" s="780"/>
      <c r="S78" s="780">
        <v>0</v>
      </c>
      <c r="T78" s="780">
        <v>0</v>
      </c>
      <c r="U78" s="781">
        <v>0</v>
      </c>
      <c r="V78" s="698"/>
      <c r="W78" s="700"/>
      <c r="X78" s="700"/>
      <c r="Y78" s="445"/>
      <c r="Z78" s="698"/>
      <c r="AA78" s="696"/>
      <c r="AB78" s="697"/>
      <c r="AC78" s="697"/>
      <c r="AD78" s="697"/>
      <c r="AE78" s="697"/>
      <c r="AF78" s="697"/>
      <c r="AG78" s="697"/>
      <c r="AH78" s="697"/>
      <c r="AI78" s="697"/>
      <c r="AJ78" s="697"/>
      <c r="AK78" s="697"/>
      <c r="AL78" s="697"/>
      <c r="AM78" s="697"/>
      <c r="AN78" s="697"/>
      <c r="AO78" s="697"/>
    </row>
    <row r="79" spans="1:41">
      <c r="A79" s="1553"/>
      <c r="B79" s="455"/>
      <c r="C79" s="770"/>
      <c r="D79" s="782" t="s">
        <v>199</v>
      </c>
      <c r="E79" s="773">
        <v>0</v>
      </c>
      <c r="F79" s="776">
        <v>0</v>
      </c>
      <c r="G79" s="776">
        <v>0</v>
      </c>
      <c r="H79" s="776">
        <v>0</v>
      </c>
      <c r="I79" s="776">
        <v>0</v>
      </c>
      <c r="J79" s="776">
        <v>0</v>
      </c>
      <c r="K79" s="776">
        <v>0</v>
      </c>
      <c r="L79" s="776">
        <v>0</v>
      </c>
      <c r="M79" s="776">
        <v>0</v>
      </c>
      <c r="N79" s="792">
        <v>0</v>
      </c>
      <c r="O79" s="776">
        <v>0</v>
      </c>
      <c r="P79" s="776">
        <v>0</v>
      </c>
      <c r="Q79" s="776">
        <v>0</v>
      </c>
      <c r="R79" s="776"/>
      <c r="S79" s="776">
        <v>0</v>
      </c>
      <c r="T79" s="776">
        <v>0</v>
      </c>
      <c r="U79" s="777">
        <v>0</v>
      </c>
      <c r="V79" s="729"/>
      <c r="W79" s="379"/>
      <c r="X79" s="379"/>
      <c r="Y79" s="406"/>
      <c r="Z79" s="704">
        <f t="shared" ref="Z79" si="577">IF(E78&gt;0,((E79-E78)/E78),)</f>
        <v>0</v>
      </c>
      <c r="AA79" s="705">
        <f t="shared" ref="AA79" si="578">IF(F78&gt;0,((F79-F78)/F78),)</f>
        <v>0</v>
      </c>
      <c r="AB79" s="706">
        <f t="shared" ref="AB79" si="579">IF(G78&gt;0,((G79-G78)/G78),)</f>
        <v>0</v>
      </c>
      <c r="AC79" s="706">
        <f t="shared" ref="AC79" si="580">IF(H78&gt;0,((H79-H78)/H78),)</f>
        <v>0</v>
      </c>
      <c r="AD79" s="706">
        <f t="shared" ref="AD79" si="581">IF(I78&gt;0,((I79-I78)/I78),)</f>
        <v>0</v>
      </c>
      <c r="AE79" s="706">
        <f t="shared" ref="AE79" si="582">IF(J78&gt;0,((J79-J78)/J78),)</f>
        <v>0</v>
      </c>
      <c r="AF79" s="706">
        <f t="shared" ref="AF79" si="583">IF(K78&gt;0,((K79-K78)/K78),)</f>
        <v>0</v>
      </c>
      <c r="AG79" s="706">
        <f t="shared" ref="AG79" si="584">IF(L78&gt;0,((L79-L78)/L78),)</f>
        <v>0</v>
      </c>
      <c r="AH79" s="706">
        <f t="shared" ref="AH79" si="585">IF(M78&gt;0,((M79-M78)/M78),)</f>
        <v>0</v>
      </c>
      <c r="AI79" s="706">
        <f t="shared" ref="AI79" si="586">IF(N78&gt;0,((N79-N78)/N78),)</f>
        <v>0</v>
      </c>
      <c r="AJ79" s="706">
        <f t="shared" ref="AJ79" si="587">IF(O78&gt;0,((O79-O78)/O78),)</f>
        <v>0</v>
      </c>
      <c r="AK79" s="706">
        <f t="shared" ref="AK79" si="588">IF(P78&gt;0,((P79-P78)/P78),)</f>
        <v>0</v>
      </c>
      <c r="AL79" s="706">
        <f t="shared" ref="AL79" si="589">IF(Q78&gt;0,((Q79-Q78)/Q78),)</f>
        <v>0</v>
      </c>
      <c r="AM79" s="706">
        <f t="shared" ref="AM79" si="590">IF(R78&gt;0,((R79-R78)/R78),)</f>
        <v>0</v>
      </c>
      <c r="AN79" s="706">
        <f t="shared" ref="AN79" si="591">IF(S78&gt;0,((S79-S78)/S78),)</f>
        <v>0</v>
      </c>
      <c r="AO79" s="706">
        <f t="shared" ref="AO79" si="592">IF(T78&gt;0,((T79-T78)/T78),)</f>
        <v>0</v>
      </c>
    </row>
    <row r="80" spans="1:41">
      <c r="A80" s="1553"/>
      <c r="B80" s="457" t="s">
        <v>311</v>
      </c>
      <c r="C80" s="767" t="s">
        <v>218</v>
      </c>
      <c r="D80" s="778" t="s">
        <v>197</v>
      </c>
      <c r="E80" s="779">
        <v>492286</v>
      </c>
      <c r="F80" s="780">
        <v>489979</v>
      </c>
      <c r="G80" s="780">
        <v>388728</v>
      </c>
      <c r="H80" s="780">
        <v>0</v>
      </c>
      <c r="I80" s="780">
        <v>0</v>
      </c>
      <c r="J80" s="780">
        <v>15684986</v>
      </c>
      <c r="K80" s="780">
        <v>2335638</v>
      </c>
      <c r="L80" s="780">
        <v>16816125</v>
      </c>
      <c r="M80" s="780">
        <v>758048</v>
      </c>
      <c r="N80" s="780">
        <v>0</v>
      </c>
      <c r="O80" s="780">
        <v>0</v>
      </c>
      <c r="P80" s="780">
        <v>4550978.4172296831</v>
      </c>
      <c r="Q80" s="780">
        <v>46943432.5</v>
      </c>
      <c r="R80" s="780"/>
      <c r="S80" s="780">
        <v>1041645</v>
      </c>
      <c r="T80" s="780">
        <v>5759867</v>
      </c>
      <c r="U80" s="781">
        <v>95261712.917229682</v>
      </c>
      <c r="V80" s="698"/>
      <c r="W80" s="700"/>
      <c r="X80" s="700"/>
      <c r="Y80" s="379"/>
      <c r="Z80" s="698"/>
      <c r="AA80" s="696"/>
      <c r="AB80" s="697"/>
      <c r="AC80" s="697"/>
      <c r="AD80" s="697"/>
      <c r="AE80" s="697"/>
      <c r="AF80" s="697"/>
      <c r="AG80" s="697"/>
      <c r="AH80" s="697"/>
      <c r="AI80" s="697"/>
      <c r="AJ80" s="697"/>
      <c r="AK80" s="697"/>
      <c r="AL80" s="697"/>
      <c r="AM80" s="697"/>
      <c r="AN80" s="697"/>
      <c r="AO80" s="697"/>
    </row>
    <row r="81" spans="1:41">
      <c r="A81" s="1553"/>
      <c r="B81" s="702"/>
      <c r="C81" s="774"/>
      <c r="D81" s="782" t="s">
        <v>199</v>
      </c>
      <c r="E81" s="773">
        <v>131177</v>
      </c>
      <c r="F81" s="776">
        <v>545000</v>
      </c>
      <c r="G81" s="776">
        <v>403044.65</v>
      </c>
      <c r="H81" s="776">
        <v>0</v>
      </c>
      <c r="I81" s="776">
        <v>0</v>
      </c>
      <c r="J81" s="776">
        <v>13536733</v>
      </c>
      <c r="K81" s="776">
        <v>2203104</v>
      </c>
      <c r="L81" s="776">
        <v>8825600</v>
      </c>
      <c r="M81" s="776">
        <v>1010024</v>
      </c>
      <c r="N81" s="792">
        <v>0</v>
      </c>
      <c r="O81" s="776">
        <v>0</v>
      </c>
      <c r="P81" s="776">
        <v>5085065</v>
      </c>
      <c r="Q81" s="776">
        <v>44129707.879999995</v>
      </c>
      <c r="R81" s="776"/>
      <c r="S81" s="776">
        <v>0</v>
      </c>
      <c r="T81" s="776">
        <v>5693264</v>
      </c>
      <c r="U81" s="777">
        <v>81562719.530000001</v>
      </c>
      <c r="V81" s="729"/>
      <c r="W81" s="379"/>
      <c r="X81" s="379"/>
      <c r="Y81" s="445"/>
      <c r="Z81" s="1463">
        <f t="shared" ref="Z81" si="593">IF(E80&gt;0,((E81-E80)/E80),)</f>
        <v>-0.73353497763495201</v>
      </c>
      <c r="AA81" s="1464">
        <f t="shared" ref="AA81" si="594">IF(F80&gt;0,((F81-F80)/F80),)</f>
        <v>0.11229256764065398</v>
      </c>
      <c r="AB81" s="706">
        <f t="shared" ref="AB81" si="595">IF(G80&gt;0,((G81-G80)/G80),)</f>
        <v>3.6829479739046385E-2</v>
      </c>
      <c r="AC81" s="706">
        <f t="shared" ref="AC81" si="596">IF(H80&gt;0,((H81-H80)/H80),)</f>
        <v>0</v>
      </c>
      <c r="AD81" s="706">
        <f t="shared" ref="AD81" si="597">IF(I80&gt;0,((I81-I80)/I80),)</f>
        <v>0</v>
      </c>
      <c r="AE81" s="1464">
        <f t="shared" ref="AE81" si="598">IF(J80&gt;0,((J81-J80)/J80),)</f>
        <v>-0.13696237918223197</v>
      </c>
      <c r="AF81" s="706">
        <f t="shared" ref="AF81" si="599">IF(K80&gt;0,((K81-K80)/K80),)</f>
        <v>-5.6744238619169579E-2</v>
      </c>
      <c r="AG81" s="1464">
        <f t="shared" ref="AG81" si="600">IF(L80&gt;0,((L81-L80)/L80),)</f>
        <v>-0.47517040935411697</v>
      </c>
      <c r="AH81" s="1464">
        <f t="shared" ref="AH81" si="601">IF(M80&gt;0,((M81-M80)/M80),)</f>
        <v>0.33240111444130188</v>
      </c>
      <c r="AI81" s="706">
        <f t="shared" ref="AI81" si="602">IF(N80&gt;0,((N81-N80)/N80),)</f>
        <v>0</v>
      </c>
      <c r="AJ81" s="706">
        <f t="shared" ref="AJ81" si="603">IF(O80&gt;0,((O81-O80)/O80),)</f>
        <v>0</v>
      </c>
      <c r="AK81" s="1464">
        <f t="shared" ref="AK81" si="604">IF(P80&gt;0,((P81-P80)/P80),)</f>
        <v>0.11735643059705639</v>
      </c>
      <c r="AL81" s="706">
        <f t="shared" ref="AL81" si="605">IF(Q80&gt;0,((Q81-Q80)/Q80),)</f>
        <v>-5.9938621233119348E-2</v>
      </c>
      <c r="AM81" s="706">
        <f t="shared" ref="AM81" si="606">IF(R80&gt;0,((R81-R80)/R80),)</f>
        <v>0</v>
      </c>
      <c r="AN81" s="1464">
        <f t="shared" ref="AN81" si="607">IF(S80&gt;0,((S81-S80)/S80),)</f>
        <v>-1</v>
      </c>
      <c r="AO81" s="706">
        <f t="shared" ref="AO81" si="608">IF(T80&gt;0,((T81-T80)/T80),)</f>
        <v>-1.1563287832861419E-2</v>
      </c>
    </row>
    <row r="82" spans="1:41">
      <c r="A82" s="1553"/>
      <c r="B82" s="457" t="s">
        <v>249</v>
      </c>
      <c r="C82" s="767" t="s">
        <v>219</v>
      </c>
      <c r="D82" s="767" t="s">
        <v>197</v>
      </c>
      <c r="E82" s="767">
        <v>27121</v>
      </c>
      <c r="F82" s="772">
        <v>15850785</v>
      </c>
      <c r="G82" s="772">
        <v>483473</v>
      </c>
      <c r="H82" s="772">
        <v>0</v>
      </c>
      <c r="I82" s="772">
        <v>785250</v>
      </c>
      <c r="J82" s="772">
        <v>18420585</v>
      </c>
      <c r="K82" s="772">
        <v>14866958</v>
      </c>
      <c r="L82" s="772">
        <v>1913471</v>
      </c>
      <c r="M82" s="772">
        <v>3150248</v>
      </c>
      <c r="N82" s="772"/>
      <c r="O82" s="772"/>
      <c r="P82" s="772">
        <v>42236780.552839026</v>
      </c>
      <c r="Q82" s="772">
        <v>40567472.32</v>
      </c>
      <c r="R82" s="772"/>
      <c r="S82" s="772">
        <v>0</v>
      </c>
      <c r="T82" s="772">
        <v>5041796</v>
      </c>
      <c r="U82" s="771">
        <v>143343939.87283903</v>
      </c>
      <c r="V82" s="698"/>
      <c r="W82" s="700"/>
      <c r="X82" s="700"/>
      <c r="Y82" s="406"/>
      <c r="Z82" s="698"/>
      <c r="AA82" s="696"/>
      <c r="AB82" s="697"/>
      <c r="AC82" s="697"/>
      <c r="AD82" s="697"/>
      <c r="AE82" s="697"/>
      <c r="AF82" s="697"/>
      <c r="AG82" s="697"/>
      <c r="AH82" s="697"/>
      <c r="AI82" s="697"/>
      <c r="AJ82" s="697"/>
      <c r="AK82" s="697"/>
      <c r="AL82" s="697"/>
      <c r="AM82" s="697"/>
      <c r="AN82" s="697"/>
      <c r="AO82" s="697"/>
    </row>
    <row r="83" spans="1:41">
      <c r="A83" s="1553"/>
      <c r="B83" s="455"/>
      <c r="C83" s="770"/>
      <c r="D83" s="773" t="s">
        <v>199</v>
      </c>
      <c r="E83" s="773">
        <v>27399</v>
      </c>
      <c r="F83" s="776">
        <v>14836875.786723526</v>
      </c>
      <c r="G83" s="776">
        <v>485207</v>
      </c>
      <c r="H83" s="776">
        <v>0</v>
      </c>
      <c r="I83" s="776">
        <v>924000</v>
      </c>
      <c r="J83" s="776">
        <v>18398878</v>
      </c>
      <c r="K83" s="776">
        <v>16536273</v>
      </c>
      <c r="L83" s="776">
        <v>2105404</v>
      </c>
      <c r="M83" s="776">
        <v>3365342</v>
      </c>
      <c r="N83" s="792"/>
      <c r="O83" s="776"/>
      <c r="P83" s="776">
        <v>47094163</v>
      </c>
      <c r="Q83" s="776">
        <v>40319166</v>
      </c>
      <c r="R83" s="776"/>
      <c r="S83" s="776">
        <v>0</v>
      </c>
      <c r="T83" s="776">
        <v>4931410</v>
      </c>
      <c r="U83" s="777">
        <v>149024117.78672352</v>
      </c>
      <c r="V83" s="729"/>
      <c r="W83" s="379"/>
      <c r="X83" s="379"/>
      <c r="Y83" s="379"/>
      <c r="Z83" s="704">
        <f t="shared" ref="Z83" si="609">IF(E82&gt;0,((E83-E82)/E82),)</f>
        <v>1.0250359500018435E-2</v>
      </c>
      <c r="AA83" s="705">
        <f t="shared" ref="AA83" si="610">IF(F82&gt;0,((F83-F82)/F82),)</f>
        <v>-6.3965867512332908E-2</v>
      </c>
      <c r="AB83" s="706">
        <f t="shared" ref="AB83" si="611">IF(G82&gt;0,((G83-G82)/G82),)</f>
        <v>3.5865498176733757E-3</v>
      </c>
      <c r="AC83" s="706">
        <f t="shared" ref="AC83" si="612">IF(H82&gt;0,((H83-H82)/H82),)</f>
        <v>0</v>
      </c>
      <c r="AD83" s="1464">
        <f t="shared" ref="AD83" si="613">IF(I82&gt;0,((I83-I82)/I82),)</f>
        <v>0.1766953199617956</v>
      </c>
      <c r="AE83" s="706">
        <f t="shared" ref="AE83" si="614">IF(J82&gt;0,((J83-J82)/J82),)</f>
        <v>-1.178409914777408E-3</v>
      </c>
      <c r="AF83" s="1464">
        <f t="shared" ref="AF83" si="615">IF(K82&gt;0,((K83-K82)/K82),)</f>
        <v>0.1122835619768348</v>
      </c>
      <c r="AG83" s="706">
        <f t="shared" ref="AG83" si="616">IF(L82&gt;0,((L83-L82)/L82),)</f>
        <v>0.10030619748091296</v>
      </c>
      <c r="AH83" s="706">
        <f t="shared" ref="AH83" si="617">IF(M82&gt;0,((M83-M82)/M82),)</f>
        <v>6.8278433951866641E-2</v>
      </c>
      <c r="AI83" s="706">
        <f t="shared" ref="AI83" si="618">IF(N82&gt;0,((N83-N82)/N82),)</f>
        <v>0</v>
      </c>
      <c r="AJ83" s="706">
        <f t="shared" ref="AJ83" si="619">IF(O82&gt;0,((O83-O82)/O82),)</f>
        <v>0</v>
      </c>
      <c r="AK83" s="1464">
        <f t="shared" ref="AK83" si="620">IF(P82&gt;0,((P83-P82)/P82),)</f>
        <v>0.11500361494371701</v>
      </c>
      <c r="AL83" s="706">
        <f t="shared" ref="AL83" si="621">IF(Q82&gt;0,((Q83-Q82)/Q82),)</f>
        <v>-6.1208230584675555E-3</v>
      </c>
      <c r="AM83" s="706">
        <f t="shared" ref="AM83" si="622">IF(R82&gt;0,((R83-R82)/R82),)</f>
        <v>0</v>
      </c>
      <c r="AN83" s="706">
        <f t="shared" ref="AN83" si="623">IF(S82&gt;0,((S83-S82)/S82),)</f>
        <v>0</v>
      </c>
      <c r="AO83" s="706">
        <f t="shared" ref="AO83" si="624">IF(T82&gt;0,((T83-T82)/T82),)</f>
        <v>-2.1894182152550401E-2</v>
      </c>
    </row>
    <row r="84" spans="1:41">
      <c r="A84" s="1553"/>
      <c r="B84" s="459" t="s">
        <v>112</v>
      </c>
      <c r="C84" s="767" t="s">
        <v>293</v>
      </c>
      <c r="D84" s="778" t="s">
        <v>197</v>
      </c>
      <c r="E84" s="779">
        <v>0</v>
      </c>
      <c r="F84" s="780">
        <v>0</v>
      </c>
      <c r="G84" s="780">
        <v>0</v>
      </c>
      <c r="H84" s="780">
        <v>0</v>
      </c>
      <c r="I84" s="780">
        <v>0</v>
      </c>
      <c r="J84" s="780">
        <v>0</v>
      </c>
      <c r="K84" s="780">
        <v>0</v>
      </c>
      <c r="L84" s="780">
        <v>0</v>
      </c>
      <c r="M84" s="780">
        <v>0</v>
      </c>
      <c r="N84" s="780">
        <v>0</v>
      </c>
      <c r="O84" s="780">
        <v>0</v>
      </c>
      <c r="P84" s="780">
        <v>0</v>
      </c>
      <c r="Q84" s="780">
        <v>0</v>
      </c>
      <c r="R84" s="780"/>
      <c r="S84" s="780">
        <v>1650000</v>
      </c>
      <c r="T84" s="780">
        <v>0</v>
      </c>
      <c r="U84" s="781">
        <v>1650000</v>
      </c>
      <c r="V84" s="698"/>
      <c r="W84" s="700"/>
      <c r="X84" s="700"/>
      <c r="Y84" s="445"/>
      <c r="Z84" s="698"/>
      <c r="AA84" s="696"/>
      <c r="AB84" s="697"/>
      <c r="AC84" s="697"/>
      <c r="AD84" s="697"/>
      <c r="AE84" s="697"/>
      <c r="AF84" s="697"/>
      <c r="AG84" s="697"/>
      <c r="AH84" s="697"/>
      <c r="AI84" s="697"/>
      <c r="AJ84" s="697"/>
      <c r="AK84" s="697"/>
      <c r="AL84" s="697"/>
      <c r="AM84" s="697"/>
      <c r="AN84" s="697"/>
      <c r="AO84" s="697"/>
    </row>
    <row r="85" spans="1:41">
      <c r="A85" s="1553"/>
      <c r="B85" s="702"/>
      <c r="C85" s="770"/>
      <c r="D85" s="782" t="s">
        <v>199</v>
      </c>
      <c r="E85" s="773">
        <v>0</v>
      </c>
      <c r="F85" s="776">
        <v>0</v>
      </c>
      <c r="G85" s="776">
        <v>0</v>
      </c>
      <c r="H85" s="776">
        <v>0</v>
      </c>
      <c r="I85" s="776">
        <v>0</v>
      </c>
      <c r="J85" s="776">
        <v>0</v>
      </c>
      <c r="K85" s="776">
        <v>0</v>
      </c>
      <c r="L85" s="776">
        <v>0</v>
      </c>
      <c r="M85" s="776">
        <v>0</v>
      </c>
      <c r="N85" s="792">
        <v>0</v>
      </c>
      <c r="O85" s="776">
        <v>0</v>
      </c>
      <c r="P85" s="776">
        <v>0</v>
      </c>
      <c r="Q85" s="776">
        <v>0</v>
      </c>
      <c r="R85" s="776"/>
      <c r="S85" s="776">
        <v>1700000</v>
      </c>
      <c r="T85" s="776">
        <v>0</v>
      </c>
      <c r="U85" s="777">
        <v>1700000</v>
      </c>
      <c r="V85" s="729"/>
      <c r="W85" s="379"/>
      <c r="X85" s="379"/>
      <c r="Y85" s="406"/>
      <c r="Z85" s="704">
        <f t="shared" ref="Z85" si="625">IF(E84&gt;0,((E85-E84)/E84),)</f>
        <v>0</v>
      </c>
      <c r="AA85" s="705">
        <f t="shared" ref="AA85" si="626">IF(F84&gt;0,((F85-F84)/F84),)</f>
        <v>0</v>
      </c>
      <c r="AB85" s="706">
        <f t="shared" ref="AB85" si="627">IF(G84&gt;0,((G85-G84)/G84),)</f>
        <v>0</v>
      </c>
      <c r="AC85" s="706">
        <f t="shared" ref="AC85" si="628">IF(H84&gt;0,((H85-H84)/H84),)</f>
        <v>0</v>
      </c>
      <c r="AD85" s="706">
        <f t="shared" ref="AD85" si="629">IF(I84&gt;0,((I85-I84)/I84),)</f>
        <v>0</v>
      </c>
      <c r="AE85" s="706">
        <f t="shared" ref="AE85" si="630">IF(J84&gt;0,((J85-J84)/J84),)</f>
        <v>0</v>
      </c>
      <c r="AF85" s="706">
        <f t="shared" ref="AF85" si="631">IF(K84&gt;0,((K85-K84)/K84),)</f>
        <v>0</v>
      </c>
      <c r="AG85" s="706">
        <f t="shared" ref="AG85" si="632">IF(L84&gt;0,((L85-L84)/L84),)</f>
        <v>0</v>
      </c>
      <c r="AH85" s="706">
        <f t="shared" ref="AH85" si="633">IF(M84&gt;0,((M85-M84)/M84),)</f>
        <v>0</v>
      </c>
      <c r="AI85" s="706">
        <f t="shared" ref="AI85" si="634">IF(N84&gt;0,((N85-N84)/N84),)</f>
        <v>0</v>
      </c>
      <c r="AJ85" s="706">
        <f t="shared" ref="AJ85" si="635">IF(O84&gt;0,((O85-O84)/O84),)</f>
        <v>0</v>
      </c>
      <c r="AK85" s="706">
        <f t="shared" ref="AK85" si="636">IF(P84&gt;0,((P85-P84)/P84),)</f>
        <v>0</v>
      </c>
      <c r="AL85" s="706">
        <f t="shared" ref="AL85" si="637">IF(Q84&gt;0,((Q85-Q84)/Q84),)</f>
        <v>0</v>
      </c>
      <c r="AM85" s="706">
        <f t="shared" ref="AM85" si="638">IF(R84&gt;0,((R85-R84)/R84),)</f>
        <v>0</v>
      </c>
      <c r="AN85" s="706">
        <f t="shared" ref="AN85" si="639">IF(S84&gt;0,((S85-S84)/S84),)</f>
        <v>3.0303030303030304E-2</v>
      </c>
      <c r="AO85" s="706">
        <f t="shared" ref="AO85" si="640">IF(T84&gt;0,((T85-T84)/T84),)</f>
        <v>0</v>
      </c>
    </row>
    <row r="86" spans="1:41">
      <c r="A86" s="1553"/>
      <c r="B86" s="457" t="s">
        <v>311</v>
      </c>
      <c r="C86" s="767" t="s">
        <v>252</v>
      </c>
      <c r="D86" s="778" t="s">
        <v>197</v>
      </c>
      <c r="E86" s="779">
        <v>0</v>
      </c>
      <c r="F86" s="780">
        <v>0</v>
      </c>
      <c r="G86" s="780">
        <v>0</v>
      </c>
      <c r="H86" s="780">
        <v>102964587</v>
      </c>
      <c r="I86" s="780">
        <v>0</v>
      </c>
      <c r="J86" s="780"/>
      <c r="K86" s="780">
        <v>0</v>
      </c>
      <c r="L86" s="780">
        <v>0</v>
      </c>
      <c r="M86" s="780">
        <v>881364</v>
      </c>
      <c r="N86" s="780">
        <v>122475842</v>
      </c>
      <c r="O86" s="780">
        <v>0</v>
      </c>
      <c r="P86" s="780"/>
      <c r="Q86" s="780">
        <v>0</v>
      </c>
      <c r="R86" s="780"/>
      <c r="S86" s="780">
        <v>165133966</v>
      </c>
      <c r="T86" s="780">
        <v>0</v>
      </c>
      <c r="U86" s="781">
        <v>391455759</v>
      </c>
      <c r="V86" s="698"/>
      <c r="W86" s="700"/>
      <c r="X86" s="700"/>
      <c r="Y86" s="379"/>
      <c r="Z86" s="698"/>
      <c r="AA86" s="696"/>
      <c r="AB86" s="697"/>
      <c r="AC86" s="697"/>
      <c r="AD86" s="697"/>
      <c r="AE86" s="697"/>
      <c r="AF86" s="697"/>
      <c r="AG86" s="697"/>
      <c r="AH86" s="697"/>
      <c r="AI86" s="697"/>
      <c r="AJ86" s="697"/>
      <c r="AK86" s="697"/>
      <c r="AL86" s="697"/>
      <c r="AM86" s="697"/>
      <c r="AN86" s="697"/>
      <c r="AO86" s="697"/>
    </row>
    <row r="87" spans="1:41">
      <c r="A87" s="1553"/>
      <c r="B87" s="455"/>
      <c r="C87" s="770"/>
      <c r="D87" s="782" t="s">
        <v>199</v>
      </c>
      <c r="E87" s="773">
        <v>0</v>
      </c>
      <c r="F87" s="776">
        <v>0</v>
      </c>
      <c r="G87" s="776">
        <v>0</v>
      </c>
      <c r="H87" s="776">
        <v>114525243</v>
      </c>
      <c r="I87" s="776">
        <v>0</v>
      </c>
      <c r="J87" s="776"/>
      <c r="K87" s="776">
        <v>0</v>
      </c>
      <c r="L87" s="776">
        <v>62537021</v>
      </c>
      <c r="M87" s="776">
        <v>750000</v>
      </c>
      <c r="N87" s="792">
        <v>121448381</v>
      </c>
      <c r="O87" s="776">
        <v>0</v>
      </c>
      <c r="P87" s="776"/>
      <c r="Q87" s="776">
        <v>0</v>
      </c>
      <c r="R87" s="776"/>
      <c r="S87" s="776">
        <v>169337459</v>
      </c>
      <c r="T87" s="776">
        <v>0</v>
      </c>
      <c r="U87" s="777">
        <v>468598104</v>
      </c>
      <c r="V87" s="729"/>
      <c r="W87" s="379"/>
      <c r="X87" s="379"/>
      <c r="Y87" s="445"/>
      <c r="Z87" s="704">
        <f t="shared" ref="Z87" si="641">IF(E86&gt;0,((E87-E86)/E86),)</f>
        <v>0</v>
      </c>
      <c r="AA87" s="705">
        <f t="shared" ref="AA87" si="642">IF(F86&gt;0,((F87-F86)/F86),)</f>
        <v>0</v>
      </c>
      <c r="AB87" s="706">
        <f t="shared" ref="AB87" si="643">IF(G86&gt;0,((G87-G86)/G86),)</f>
        <v>0</v>
      </c>
      <c r="AC87" s="1464">
        <f t="shared" ref="AC87" si="644">IF(H86&gt;0,((H87-H86)/H86),)</f>
        <v>0.11227798155495929</v>
      </c>
      <c r="AD87" s="706">
        <f t="shared" ref="AD87" si="645">IF(I86&gt;0,((I87-I86)/I86),)</f>
        <v>0</v>
      </c>
      <c r="AE87" s="706">
        <f t="shared" ref="AE87" si="646">IF(J86&gt;0,((J87-J86)/J86),)</f>
        <v>0</v>
      </c>
      <c r="AF87" s="706">
        <f t="shared" ref="AF87" si="647">IF(K86&gt;0,((K87-K86)/K86),)</f>
        <v>0</v>
      </c>
      <c r="AG87" s="706">
        <f t="shared" ref="AG87" si="648">IF(L86&gt;0,((L87-L86)/L86),)</f>
        <v>0</v>
      </c>
      <c r="AH87" s="1464">
        <f t="shared" ref="AH87" si="649">IF(M86&gt;0,((M87-M86)/M86),)</f>
        <v>-0.14904625103816357</v>
      </c>
      <c r="AI87" s="706">
        <f t="shared" ref="AI87" si="650">IF(N86&gt;0,((N87-N86)/N86),)</f>
        <v>-8.3890911319474733E-3</v>
      </c>
      <c r="AJ87" s="706">
        <f t="shared" ref="AJ87" si="651">IF(O86&gt;0,((O87-O86)/O86),)</f>
        <v>0</v>
      </c>
      <c r="AK87" s="706">
        <f t="shared" ref="AK87" si="652">IF(P86&gt;0,((P87-P86)/P86),)</f>
        <v>0</v>
      </c>
      <c r="AL87" s="706">
        <f t="shared" ref="AL87" si="653">IF(Q86&gt;0,((Q87-Q86)/Q86),)</f>
        <v>0</v>
      </c>
      <c r="AM87" s="706">
        <f t="shared" ref="AM87" si="654">IF(R86&gt;0,((R87-R86)/R86),)</f>
        <v>0</v>
      </c>
      <c r="AN87" s="706">
        <f t="shared" ref="AN87" si="655">IF(S86&gt;0,((S87-S86)/S86),)</f>
        <v>2.5455047812513631E-2</v>
      </c>
      <c r="AO87" s="706">
        <f t="shared" ref="AO87" si="656">IF(T86&gt;0,((T87-T86)/T86),)</f>
        <v>0</v>
      </c>
    </row>
    <row r="88" spans="1:41">
      <c r="A88" s="1553"/>
      <c r="B88" s="457" t="s">
        <v>249</v>
      </c>
      <c r="C88" s="767" t="s">
        <v>253</v>
      </c>
      <c r="D88" s="778" t="s">
        <v>197</v>
      </c>
      <c r="E88" s="779">
        <v>112500</v>
      </c>
      <c r="F88" s="780">
        <v>252849</v>
      </c>
      <c r="G88" s="780">
        <v>0</v>
      </c>
      <c r="H88" s="780">
        <v>945468</v>
      </c>
      <c r="I88" s="780">
        <v>424345076</v>
      </c>
      <c r="J88" s="780"/>
      <c r="K88" s="780">
        <v>60000</v>
      </c>
      <c r="L88" s="780">
        <v>0</v>
      </c>
      <c r="M88" s="780">
        <v>9032802</v>
      </c>
      <c r="N88" s="780">
        <v>4336209</v>
      </c>
      <c r="O88" s="780">
        <v>0</v>
      </c>
      <c r="P88" s="780"/>
      <c r="Q88" s="780">
        <v>0</v>
      </c>
      <c r="R88" s="780"/>
      <c r="S88" s="780">
        <v>12359822</v>
      </c>
      <c r="T88" s="780">
        <v>0</v>
      </c>
      <c r="U88" s="781">
        <v>451444726</v>
      </c>
      <c r="V88" s="698"/>
      <c r="W88" s="700"/>
      <c r="X88" s="700"/>
      <c r="Y88" s="406"/>
      <c r="Z88" s="698"/>
      <c r="AA88" s="696"/>
      <c r="AB88" s="697"/>
      <c r="AC88" s="697"/>
      <c r="AD88" s="697"/>
      <c r="AE88" s="697"/>
      <c r="AF88" s="697"/>
      <c r="AG88" s="697"/>
      <c r="AH88" s="697"/>
      <c r="AI88" s="697"/>
      <c r="AJ88" s="697"/>
      <c r="AK88" s="697"/>
      <c r="AL88" s="697"/>
      <c r="AM88" s="697"/>
      <c r="AN88" s="697"/>
      <c r="AO88" s="697"/>
    </row>
    <row r="89" spans="1:41">
      <c r="A89" s="1553"/>
      <c r="B89" s="455"/>
      <c r="C89" s="770"/>
      <c r="D89" s="782" t="s">
        <v>199</v>
      </c>
      <c r="E89" s="773">
        <v>112500</v>
      </c>
      <c r="F89" s="776">
        <v>300000</v>
      </c>
      <c r="G89" s="776">
        <v>0</v>
      </c>
      <c r="H89" s="776">
        <v>1256747</v>
      </c>
      <c r="I89" s="776">
        <v>446598286</v>
      </c>
      <c r="J89" s="776"/>
      <c r="K89" s="776">
        <v>60000</v>
      </c>
      <c r="L89" s="776">
        <v>8330943</v>
      </c>
      <c r="M89" s="776">
        <v>9882479</v>
      </c>
      <c r="N89" s="792">
        <v>3258000</v>
      </c>
      <c r="O89" s="776">
        <v>0</v>
      </c>
      <c r="P89" s="776"/>
      <c r="Q89" s="776">
        <v>0</v>
      </c>
      <c r="R89" s="776"/>
      <c r="S89" s="776">
        <v>8156329</v>
      </c>
      <c r="T89" s="776">
        <v>0</v>
      </c>
      <c r="U89" s="777">
        <v>477955284</v>
      </c>
      <c r="V89" s="729"/>
      <c r="W89" s="379"/>
      <c r="X89" s="379"/>
      <c r="Y89" s="379"/>
      <c r="Z89" s="704">
        <f t="shared" ref="Z89" si="657">IF(E88&gt;0,((E89-E88)/E88),)</f>
        <v>0</v>
      </c>
      <c r="AA89" s="1465">
        <f t="shared" ref="AA89" si="658">IF(F88&gt;0,((F89-F88)/F88),)</f>
        <v>0.1864788866082128</v>
      </c>
      <c r="AB89" s="706">
        <f t="shared" ref="AB89" si="659">IF(G88&gt;0,((G89-G88)/G88),)</f>
        <v>0</v>
      </c>
      <c r="AC89" s="1464">
        <f t="shared" ref="AC89" si="660">IF(H88&gt;0,((H89-H88)/H88),)</f>
        <v>0.32923271861131209</v>
      </c>
      <c r="AD89" s="706">
        <f t="shared" ref="AD89" si="661">IF(I88&gt;0,((I89-I88)/I88),)</f>
        <v>5.2441306046873984E-2</v>
      </c>
      <c r="AE89" s="706">
        <f t="shared" ref="AE89" si="662">IF(J88&gt;0,((J89-J88)/J88),)</f>
        <v>0</v>
      </c>
      <c r="AF89" s="706">
        <f t="shared" ref="AF89" si="663">IF(K88&gt;0,((K89-K88)/K88),)</f>
        <v>0</v>
      </c>
      <c r="AG89" s="706">
        <f t="shared" ref="AG89" si="664">IF(L88&gt;0,((L89-L88)/L88),)</f>
        <v>0</v>
      </c>
      <c r="AH89" s="706">
        <f t="shared" ref="AH89" si="665">IF(M88&gt;0,((M89-M88)/M88),)</f>
        <v>9.4065717370977464E-2</v>
      </c>
      <c r="AI89" s="1464">
        <f t="shared" ref="AI89" si="666">IF(N88&gt;0,((N89-N88)/N88),)</f>
        <v>-0.24865245194592789</v>
      </c>
      <c r="AJ89" s="706">
        <f t="shared" ref="AJ89" si="667">IF(O88&gt;0,((O89-O88)/O88),)</f>
        <v>0</v>
      </c>
      <c r="AK89" s="706">
        <f t="shared" ref="AK89" si="668">IF(P88&gt;0,((P89-P88)/P88),)</f>
        <v>0</v>
      </c>
      <c r="AL89" s="706">
        <f t="shared" ref="AL89" si="669">IF(Q88&gt;0,((Q89-Q88)/Q88),)</f>
        <v>0</v>
      </c>
      <c r="AM89" s="706">
        <f t="shared" ref="AM89" si="670">IF(R88&gt;0,((R89-R88)/R88),)</f>
        <v>0</v>
      </c>
      <c r="AN89" s="1464">
        <f t="shared" ref="AN89" si="671">IF(S88&gt;0,((S89-S88)/S88),)</f>
        <v>-0.34009332820488841</v>
      </c>
      <c r="AO89" s="706">
        <f t="shared" ref="AO89" si="672">IF(T88&gt;0,((T89-T88)/T88),)</f>
        <v>0</v>
      </c>
    </row>
    <row r="90" spans="1:41">
      <c r="A90" s="1553"/>
      <c r="B90" s="459" t="s">
        <v>69</v>
      </c>
      <c r="C90" s="767" t="s">
        <v>294</v>
      </c>
      <c r="D90" s="778" t="s">
        <v>197</v>
      </c>
      <c r="E90" s="779">
        <v>0</v>
      </c>
      <c r="F90" s="780"/>
      <c r="G90" s="780">
        <v>0</v>
      </c>
      <c r="H90" s="780">
        <v>0</v>
      </c>
      <c r="I90" s="780">
        <v>0</v>
      </c>
      <c r="J90" s="780">
        <v>0</v>
      </c>
      <c r="K90" s="780">
        <v>0</v>
      </c>
      <c r="L90" s="780">
        <v>0</v>
      </c>
      <c r="M90" s="780"/>
      <c r="N90" s="780">
        <v>0</v>
      </c>
      <c r="O90" s="780">
        <v>3406848</v>
      </c>
      <c r="P90" s="780">
        <v>0</v>
      </c>
      <c r="Q90" s="780">
        <v>0</v>
      </c>
      <c r="R90" s="780"/>
      <c r="S90" s="780">
        <v>0</v>
      </c>
      <c r="T90" s="780"/>
      <c r="U90" s="781">
        <v>3406848</v>
      </c>
      <c r="V90" s="698"/>
      <c r="W90" s="700"/>
      <c r="X90" s="700"/>
      <c r="Y90" s="445"/>
      <c r="Z90" s="698"/>
      <c r="AA90" s="696"/>
      <c r="AB90" s="697"/>
      <c r="AC90" s="697"/>
      <c r="AD90" s="697"/>
      <c r="AE90" s="697"/>
      <c r="AF90" s="697"/>
      <c r="AG90" s="697"/>
      <c r="AH90" s="697"/>
      <c r="AI90" s="697"/>
      <c r="AJ90" s="697"/>
      <c r="AK90" s="697"/>
      <c r="AL90" s="697"/>
      <c r="AM90" s="697"/>
      <c r="AN90" s="697"/>
      <c r="AO90" s="697"/>
    </row>
    <row r="91" spans="1:41">
      <c r="A91" s="1553"/>
      <c r="B91" s="702"/>
      <c r="C91" s="770"/>
      <c r="D91" s="782" t="s">
        <v>199</v>
      </c>
      <c r="E91" s="773">
        <v>0</v>
      </c>
      <c r="F91" s="776"/>
      <c r="G91" s="776">
        <v>0</v>
      </c>
      <c r="H91" s="776">
        <v>0</v>
      </c>
      <c r="I91" s="776">
        <v>0</v>
      </c>
      <c r="J91" s="776">
        <v>0</v>
      </c>
      <c r="K91" s="776">
        <v>0</v>
      </c>
      <c r="L91" s="776">
        <v>0</v>
      </c>
      <c r="M91" s="776"/>
      <c r="N91" s="792">
        <v>0</v>
      </c>
      <c r="O91" s="776">
        <v>3406848</v>
      </c>
      <c r="P91" s="776">
        <v>0</v>
      </c>
      <c r="Q91" s="776">
        <v>0</v>
      </c>
      <c r="R91" s="776"/>
      <c r="S91" s="776">
        <v>0</v>
      </c>
      <c r="T91" s="776"/>
      <c r="U91" s="777">
        <v>3406848</v>
      </c>
      <c r="V91" s="729"/>
      <c r="W91" s="379"/>
      <c r="X91" s="379"/>
      <c r="Y91" s="406"/>
      <c r="Z91" s="704">
        <f t="shared" ref="Z91" si="673">IF(E90&gt;0,((E91-E90)/E90),)</f>
        <v>0</v>
      </c>
      <c r="AA91" s="705">
        <f t="shared" ref="AA91" si="674">IF(F90&gt;0,((F91-F90)/F90),)</f>
        <v>0</v>
      </c>
      <c r="AB91" s="706">
        <f t="shared" ref="AB91" si="675">IF(G90&gt;0,((G91-G90)/G90),)</f>
        <v>0</v>
      </c>
      <c r="AC91" s="706">
        <f t="shared" ref="AC91" si="676">IF(H90&gt;0,((H91-H90)/H90),)</f>
        <v>0</v>
      </c>
      <c r="AD91" s="706">
        <f t="shared" ref="AD91" si="677">IF(I90&gt;0,((I91-I90)/I90),)</f>
        <v>0</v>
      </c>
      <c r="AE91" s="706">
        <f t="shared" ref="AE91" si="678">IF(J90&gt;0,((J91-J90)/J90),)</f>
        <v>0</v>
      </c>
      <c r="AF91" s="706">
        <f t="shared" ref="AF91" si="679">IF(K90&gt;0,((K91-K90)/K90),)</f>
        <v>0</v>
      </c>
      <c r="AG91" s="706">
        <f t="shared" ref="AG91" si="680">IF(L90&gt;0,((L91-L90)/L90),)</f>
        <v>0</v>
      </c>
      <c r="AH91" s="706">
        <f t="shared" ref="AH91" si="681">IF(M90&gt;0,((M91-M90)/M90),)</f>
        <v>0</v>
      </c>
      <c r="AI91" s="706">
        <f t="shared" ref="AI91" si="682">IF(N90&gt;0,((N91-N90)/N90),)</f>
        <v>0</v>
      </c>
      <c r="AJ91" s="706">
        <f t="shared" ref="AJ91" si="683">IF(O90&gt;0,((O91-O90)/O90),)</f>
        <v>0</v>
      </c>
      <c r="AK91" s="706">
        <f t="shared" ref="AK91" si="684">IF(P90&gt;0,((P91-P90)/P90),)</f>
        <v>0</v>
      </c>
      <c r="AL91" s="706">
        <f t="shared" ref="AL91" si="685">IF(Q90&gt;0,((Q91-Q90)/Q90),)</f>
        <v>0</v>
      </c>
      <c r="AM91" s="706">
        <f t="shared" ref="AM91" si="686">IF(R90&gt;0,((R91-R90)/R90),)</f>
        <v>0</v>
      </c>
      <c r="AN91" s="706">
        <f t="shared" ref="AN91" si="687">IF(S90&gt;0,((S91-S90)/S90),)</f>
        <v>0</v>
      </c>
      <c r="AO91" s="706">
        <f t="shared" ref="AO91" si="688">IF(T90&gt;0,((T91-T90)/T90),)</f>
        <v>0</v>
      </c>
    </row>
    <row r="92" spans="1:41">
      <c r="A92" s="1553"/>
      <c r="B92" s="457" t="s">
        <v>311</v>
      </c>
      <c r="C92" s="767" t="s">
        <v>254</v>
      </c>
      <c r="D92" s="778" t="s">
        <v>197</v>
      </c>
      <c r="E92" s="779">
        <v>0</v>
      </c>
      <c r="F92" s="780"/>
      <c r="G92" s="780">
        <v>0</v>
      </c>
      <c r="H92" s="780">
        <v>28544751</v>
      </c>
      <c r="I92" s="780">
        <v>0</v>
      </c>
      <c r="J92" s="780">
        <v>29982741</v>
      </c>
      <c r="K92" s="780">
        <v>0</v>
      </c>
      <c r="L92" s="780">
        <v>0</v>
      </c>
      <c r="M92" s="780"/>
      <c r="N92" s="780">
        <v>86351588</v>
      </c>
      <c r="O92" s="780">
        <v>0</v>
      </c>
      <c r="P92" s="780">
        <v>31288622</v>
      </c>
      <c r="Q92" s="780">
        <v>0</v>
      </c>
      <c r="R92" s="780"/>
      <c r="S92" s="780">
        <v>0</v>
      </c>
      <c r="T92" s="780"/>
      <c r="U92" s="781">
        <v>176167702</v>
      </c>
      <c r="V92" s="698"/>
      <c r="W92" s="700"/>
      <c r="X92" s="700"/>
      <c r="Y92" s="379"/>
      <c r="Z92" s="698"/>
      <c r="AA92" s="696"/>
      <c r="AB92" s="697"/>
      <c r="AC92" s="697"/>
      <c r="AD92" s="697"/>
      <c r="AE92" s="697"/>
      <c r="AF92" s="697"/>
      <c r="AG92" s="697"/>
      <c r="AH92" s="697"/>
      <c r="AI92" s="697"/>
      <c r="AJ92" s="697"/>
      <c r="AK92" s="697"/>
      <c r="AL92" s="697"/>
      <c r="AM92" s="697"/>
      <c r="AN92" s="697"/>
      <c r="AO92" s="697"/>
    </row>
    <row r="93" spans="1:41">
      <c r="A93" s="1553"/>
      <c r="B93" s="455"/>
      <c r="C93" s="770"/>
      <c r="D93" s="782" t="s">
        <v>199</v>
      </c>
      <c r="E93" s="773">
        <v>0</v>
      </c>
      <c r="F93" s="776"/>
      <c r="G93" s="776">
        <v>0</v>
      </c>
      <c r="H93" s="776">
        <v>31481678</v>
      </c>
      <c r="I93" s="776">
        <v>0</v>
      </c>
      <c r="J93" s="776">
        <v>28404440</v>
      </c>
      <c r="K93" s="776">
        <v>0</v>
      </c>
      <c r="L93" s="776">
        <v>8825600</v>
      </c>
      <c r="M93" s="776"/>
      <c r="N93" s="792">
        <v>86351588</v>
      </c>
      <c r="O93" s="776">
        <v>0</v>
      </c>
      <c r="P93" s="776">
        <v>31547386</v>
      </c>
      <c r="Q93" s="776">
        <v>0</v>
      </c>
      <c r="R93" s="776"/>
      <c r="S93" s="776">
        <v>0</v>
      </c>
      <c r="T93" s="776"/>
      <c r="U93" s="777">
        <v>186610692</v>
      </c>
      <c r="V93" s="729"/>
      <c r="W93" s="379"/>
      <c r="X93" s="379"/>
      <c r="Y93" s="445"/>
      <c r="Z93" s="704">
        <f t="shared" ref="Z93" si="689">IF(E92&gt;0,((E93-E92)/E92),)</f>
        <v>0</v>
      </c>
      <c r="AA93" s="705">
        <f t="shared" ref="AA93" si="690">IF(F92&gt;0,((F93-F92)/F92),)</f>
        <v>0</v>
      </c>
      <c r="AB93" s="706">
        <f t="shared" ref="AB93" si="691">IF(G92&gt;0,((G93-G92)/G92),)</f>
        <v>0</v>
      </c>
      <c r="AC93" s="706">
        <f t="shared" ref="AC93" si="692">IF(H92&gt;0,((H93-H92)/H92),)</f>
        <v>0.10288851354842787</v>
      </c>
      <c r="AD93" s="706">
        <f t="shared" ref="AD93" si="693">IF(I92&gt;0,((I93-I92)/I92),)</f>
        <v>0</v>
      </c>
      <c r="AE93" s="706">
        <f t="shared" ref="AE93" si="694">IF(J92&gt;0,((J93-J92)/J92),)</f>
        <v>-5.264031730788056E-2</v>
      </c>
      <c r="AF93" s="706">
        <f t="shared" ref="AF93" si="695">IF(K92&gt;0,((K93-K92)/K92),)</f>
        <v>0</v>
      </c>
      <c r="AG93" s="706">
        <f t="shared" ref="AG93" si="696">IF(L92&gt;0,((L93-L92)/L92),)</f>
        <v>0</v>
      </c>
      <c r="AH93" s="706">
        <f t="shared" ref="AH93" si="697">IF(M92&gt;0,((M93-M92)/M92),)</f>
        <v>0</v>
      </c>
      <c r="AI93" s="706">
        <f t="shared" ref="AI93" si="698">IF(N92&gt;0,((N93-N92)/N92),)</f>
        <v>0</v>
      </c>
      <c r="AJ93" s="706">
        <f t="shared" ref="AJ93" si="699">IF(O92&gt;0,((O93-O92)/O92),)</f>
        <v>0</v>
      </c>
      <c r="AK93" s="706">
        <f t="shared" ref="AK93" si="700">IF(P92&gt;0,((P93-P92)/P92),)</f>
        <v>8.2702267936248519E-3</v>
      </c>
      <c r="AL93" s="706">
        <f t="shared" ref="AL93" si="701">IF(Q92&gt;0,((Q93-Q92)/Q92),)</f>
        <v>0</v>
      </c>
      <c r="AM93" s="706">
        <f t="shared" ref="AM93" si="702">IF(R92&gt;0,((R93-R92)/R92),)</f>
        <v>0</v>
      </c>
      <c r="AN93" s="706">
        <f t="shared" ref="AN93" si="703">IF(S92&gt;0,((S93-S92)/S92),)</f>
        <v>0</v>
      </c>
      <c r="AO93" s="706">
        <f t="shared" ref="AO93" si="704">IF(T92&gt;0,((T93-T92)/T92),)</f>
        <v>0</v>
      </c>
    </row>
    <row r="94" spans="1:41">
      <c r="A94" s="1553"/>
      <c r="B94" s="457" t="s">
        <v>249</v>
      </c>
      <c r="C94" s="767" t="s">
        <v>255</v>
      </c>
      <c r="D94" s="778" t="s">
        <v>197</v>
      </c>
      <c r="E94" s="779">
        <v>1924587</v>
      </c>
      <c r="F94" s="780"/>
      <c r="G94" s="780">
        <v>0</v>
      </c>
      <c r="H94" s="780">
        <v>92904528</v>
      </c>
      <c r="I94" s="780">
        <v>1094862</v>
      </c>
      <c r="J94" s="780">
        <v>704295</v>
      </c>
      <c r="K94" s="780">
        <v>0</v>
      </c>
      <c r="L94" s="780">
        <v>0</v>
      </c>
      <c r="M94" s="780"/>
      <c r="N94" s="780">
        <v>0</v>
      </c>
      <c r="O94" s="780">
        <v>0</v>
      </c>
      <c r="P94" s="780">
        <v>0</v>
      </c>
      <c r="Q94" s="780">
        <v>0</v>
      </c>
      <c r="R94" s="780"/>
      <c r="S94" s="780">
        <v>64952609</v>
      </c>
      <c r="T94" s="780"/>
      <c r="U94" s="781">
        <v>161580881</v>
      </c>
      <c r="V94" s="698"/>
      <c r="W94" s="700"/>
      <c r="X94" s="700"/>
      <c r="Y94" s="406"/>
      <c r="Z94" s="698"/>
      <c r="AA94" s="696"/>
      <c r="AB94" s="697"/>
      <c r="AC94" s="697"/>
      <c r="AD94" s="697"/>
      <c r="AE94" s="697"/>
      <c r="AF94" s="697"/>
      <c r="AG94" s="697"/>
      <c r="AH94" s="697"/>
      <c r="AI94" s="697"/>
      <c r="AJ94" s="697"/>
      <c r="AK94" s="697"/>
      <c r="AL94" s="697"/>
      <c r="AM94" s="697"/>
      <c r="AN94" s="697"/>
      <c r="AO94" s="697"/>
    </row>
    <row r="95" spans="1:41">
      <c r="A95" s="1554"/>
      <c r="B95" s="460"/>
      <c r="C95" s="774"/>
      <c r="D95" s="782" t="s">
        <v>199</v>
      </c>
      <c r="E95" s="773">
        <v>1915929</v>
      </c>
      <c r="F95" s="776"/>
      <c r="G95" s="776">
        <v>0</v>
      </c>
      <c r="H95" s="776">
        <v>118048500</v>
      </c>
      <c r="I95" s="776">
        <v>1162611</v>
      </c>
      <c r="J95" s="776">
        <v>632616</v>
      </c>
      <c r="K95" s="776">
        <v>0</v>
      </c>
      <c r="L95" s="776">
        <v>2105404</v>
      </c>
      <c r="M95" s="776"/>
      <c r="N95" s="792">
        <v>0</v>
      </c>
      <c r="O95" s="776">
        <v>0</v>
      </c>
      <c r="P95" s="776">
        <v>0</v>
      </c>
      <c r="Q95" s="776">
        <v>0</v>
      </c>
      <c r="R95" s="776"/>
      <c r="S95" s="776">
        <v>67959616</v>
      </c>
      <c r="T95" s="776"/>
      <c r="U95" s="777">
        <v>191824676</v>
      </c>
      <c r="V95" s="731"/>
      <c r="W95" s="379"/>
      <c r="X95" s="379"/>
      <c r="Y95" s="379"/>
      <c r="Z95" s="704">
        <f t="shared" ref="Z95" si="705">IF(E94&gt;0,((E95-E94)/E94),)</f>
        <v>-4.4986274977436716E-3</v>
      </c>
      <c r="AA95" s="705">
        <f t="shared" ref="AA95" si="706">IF(F94&gt;0,((F95-F94)/F94),)</f>
        <v>0</v>
      </c>
      <c r="AB95" s="706">
        <f t="shared" ref="AB95" si="707">IF(G94&gt;0,((G95-G94)/G94),)</f>
        <v>0</v>
      </c>
      <c r="AC95" s="1464">
        <f t="shared" ref="AC95" si="708">IF(H94&gt;0,((H95-H94)/H94),)</f>
        <v>0.27064312731883206</v>
      </c>
      <c r="AD95" s="706">
        <f t="shared" ref="AD95" si="709">IF(I94&gt;0,((I95-I94)/I94),)</f>
        <v>6.1879031329975832E-2</v>
      </c>
      <c r="AE95" s="706">
        <f t="shared" ref="AE95" si="710">IF(J94&gt;0,((J95-J94)/J94),)</f>
        <v>-0.10177411454007199</v>
      </c>
      <c r="AF95" s="706">
        <f t="shared" ref="AF95" si="711">IF(K94&gt;0,((K95-K94)/K94),)</f>
        <v>0</v>
      </c>
      <c r="AG95" s="706">
        <f t="shared" ref="AG95" si="712">IF(L94&gt;0,((L95-L94)/L94),)</f>
        <v>0</v>
      </c>
      <c r="AH95" s="706">
        <f t="shared" ref="AH95" si="713">IF(M94&gt;0,((M95-M94)/M94),)</f>
        <v>0</v>
      </c>
      <c r="AI95" s="706">
        <f t="shared" ref="AI95" si="714">IF(N94&gt;0,((N95-N94)/N94),)</f>
        <v>0</v>
      </c>
      <c r="AJ95" s="706">
        <f t="shared" ref="AJ95" si="715">IF(O94&gt;0,((O95-O94)/O94),)</f>
        <v>0</v>
      </c>
      <c r="AK95" s="706">
        <f t="shared" ref="AK95" si="716">IF(P94&gt;0,((P95-P94)/P94),)</f>
        <v>0</v>
      </c>
      <c r="AL95" s="706">
        <f t="shared" ref="AL95" si="717">IF(Q94&gt;0,((Q95-Q94)/Q94),)</f>
        <v>0</v>
      </c>
      <c r="AM95" s="706">
        <f t="shared" ref="AM95" si="718">IF(R94&gt;0,((R95-R94)/R94),)</f>
        <v>0</v>
      </c>
      <c r="AN95" s="706">
        <f t="shared" ref="AN95" si="719">IF(S94&gt;0,((S95-S94)/S94),)</f>
        <v>4.62953997737027E-2</v>
      </c>
      <c r="AO95" s="706">
        <f t="shared" ref="AO95" si="720">IF(T94&gt;0,((T95-T94)/T94),)</f>
        <v>0</v>
      </c>
    </row>
    <row r="96" spans="1:41">
      <c r="A96" s="1472"/>
      <c r="B96" s="378"/>
      <c r="C96" s="799" t="s">
        <v>198</v>
      </c>
      <c r="D96" s="800"/>
      <c r="E96" s="775">
        <v>3417530868.6800003</v>
      </c>
      <c r="F96" s="772">
        <v>1808758426</v>
      </c>
      <c r="G96" s="772">
        <v>850298368</v>
      </c>
      <c r="H96" s="772">
        <v>6642459382.9300003</v>
      </c>
      <c r="I96" s="772">
        <v>4844022572.6695805</v>
      </c>
      <c r="J96" s="772">
        <v>2730747620</v>
      </c>
      <c r="K96" s="772">
        <v>2190881535</v>
      </c>
      <c r="L96" s="772">
        <v>3963781257</v>
      </c>
      <c r="M96" s="772">
        <v>1872826794.72</v>
      </c>
      <c r="N96" s="772">
        <v>5629409362</v>
      </c>
      <c r="O96" s="772">
        <v>2016619685</v>
      </c>
      <c r="P96" s="772">
        <v>2747841795.9999995</v>
      </c>
      <c r="Q96" s="772">
        <v>2962394766.5344548</v>
      </c>
      <c r="R96" s="772">
        <v>12650079361</v>
      </c>
      <c r="S96" s="772">
        <v>4558804784</v>
      </c>
      <c r="T96" s="772">
        <v>1185135124</v>
      </c>
      <c r="U96" s="771">
        <v>60071591703.534035</v>
      </c>
      <c r="Y96" s="445"/>
    </row>
    <row r="97" spans="1:25">
      <c r="A97" s="1472"/>
      <c r="B97" s="378"/>
      <c r="C97" s="799" t="s">
        <v>200</v>
      </c>
      <c r="D97" s="800"/>
      <c r="E97" s="795">
        <v>3396514213</v>
      </c>
      <c r="F97" s="796">
        <v>1763616246</v>
      </c>
      <c r="G97" s="796">
        <v>872911136.64999998</v>
      </c>
      <c r="H97" s="796">
        <v>6699216731.6300001</v>
      </c>
      <c r="I97" s="796">
        <v>5026010616.6725998</v>
      </c>
      <c r="J97" s="796">
        <v>2762183250.0000005</v>
      </c>
      <c r="K97" s="796">
        <v>2297289370</v>
      </c>
      <c r="L97" s="796">
        <v>4227251492</v>
      </c>
      <c r="M97" s="796">
        <v>1972381672.6199999</v>
      </c>
      <c r="N97" s="796">
        <v>5802103931</v>
      </c>
      <c r="O97" s="796">
        <v>2068369576</v>
      </c>
      <c r="P97" s="796">
        <v>2855987521.3299999</v>
      </c>
      <c r="Q97" s="796">
        <v>3011592328.3444543</v>
      </c>
      <c r="R97" s="796">
        <v>12636170954</v>
      </c>
      <c r="S97" s="796">
        <v>4793308484</v>
      </c>
      <c r="T97" s="796">
        <v>1223821962.9000001</v>
      </c>
      <c r="U97" s="803">
        <v>61408729486.147057</v>
      </c>
      <c r="Y97" s="445"/>
    </row>
    <row r="98" spans="1:25">
      <c r="A98" s="1472"/>
      <c r="B98" s="378"/>
      <c r="Y98" s="445"/>
    </row>
    <row r="99" spans="1:25">
      <c r="A99" s="1472"/>
      <c r="B99" s="378"/>
      <c r="Y99" s="445"/>
    </row>
    <row r="100" spans="1:25">
      <c r="A100" s="1472"/>
      <c r="B100" s="378"/>
      <c r="Y100" s="445"/>
    </row>
    <row r="101" spans="1:25">
      <c r="A101" s="1472"/>
      <c r="B101" s="378"/>
      <c r="Y101" s="445"/>
    </row>
    <row r="102" spans="1:25">
      <c r="A102" s="1472"/>
      <c r="B102" s="378"/>
      <c r="Y102" s="445"/>
    </row>
    <row r="103" spans="1:25">
      <c r="A103" s="1472"/>
      <c r="B103" s="378"/>
      <c r="Y103" s="445"/>
    </row>
    <row r="104" spans="1:25">
      <c r="A104" s="1472"/>
      <c r="B104" s="378"/>
      <c r="Y104" s="379"/>
    </row>
    <row r="105" spans="1:25">
      <c r="A105" s="1472"/>
      <c r="B105" s="378"/>
      <c r="Y105" s="445"/>
    </row>
    <row r="106" spans="1:25">
      <c r="A106" s="1472"/>
      <c r="B106" s="378"/>
      <c r="Y106" s="406"/>
    </row>
    <row r="107" spans="1:25">
      <c r="A107" s="1472"/>
      <c r="B107" s="378"/>
      <c r="Y107" s="379"/>
    </row>
    <row r="108" spans="1:25">
      <c r="A108" s="1472"/>
      <c r="B108" s="378"/>
      <c r="Y108" s="445"/>
    </row>
    <row r="109" spans="1:25">
      <c r="A109" s="1472"/>
      <c r="B109" s="378"/>
      <c r="Y109" s="406"/>
    </row>
    <row r="110" spans="1:25">
      <c r="A110" s="1472"/>
      <c r="B110" s="378"/>
      <c r="Y110" s="379"/>
    </row>
    <row r="111" spans="1:25">
      <c r="A111" s="1472"/>
      <c r="B111" s="378"/>
      <c r="Y111" s="445"/>
    </row>
    <row r="112" spans="1:25">
      <c r="A112" s="1472"/>
      <c r="B112" s="378"/>
      <c r="Y112" s="406"/>
    </row>
    <row r="113" spans="1:25">
      <c r="A113" s="1472"/>
      <c r="B113" s="378"/>
      <c r="Y113" s="379"/>
    </row>
    <row r="114" spans="1:25">
      <c r="A114" s="1472"/>
      <c r="B114" s="378"/>
      <c r="Y114" s="445"/>
    </row>
    <row r="115" spans="1:25">
      <c r="A115" s="1472"/>
      <c r="B115" s="378"/>
      <c r="Y115" s="406"/>
    </row>
    <row r="116" spans="1:25">
      <c r="A116" s="1472"/>
      <c r="B116" s="378"/>
      <c r="Y116" s="379"/>
    </row>
    <row r="117" spans="1:25">
      <c r="A117" s="1472"/>
      <c r="B117" s="378"/>
      <c r="Y117" s="445"/>
    </row>
    <row r="118" spans="1:25">
      <c r="A118" s="1472"/>
      <c r="B118" s="378"/>
      <c r="Y118" s="406"/>
    </row>
    <row r="119" spans="1:25">
      <c r="A119" s="1472"/>
      <c r="B119" s="378"/>
      <c r="Y119" s="379"/>
    </row>
    <row r="120" spans="1:25">
      <c r="A120" s="1472"/>
      <c r="B120" s="378"/>
      <c r="Y120" s="445"/>
    </row>
    <row r="121" spans="1:25">
      <c r="A121" s="1472"/>
      <c r="B121" s="378"/>
      <c r="Y121" s="406"/>
    </row>
    <row r="122" spans="1:25">
      <c r="A122" s="1472"/>
      <c r="B122" s="378"/>
      <c r="Y122" s="379"/>
    </row>
    <row r="123" spans="1:25">
      <c r="A123" s="1472"/>
      <c r="B123" s="378"/>
      <c r="Y123" s="445"/>
    </row>
    <row r="124" spans="1:25">
      <c r="A124" s="1472"/>
      <c r="B124" s="378"/>
      <c r="Y124" s="406"/>
    </row>
    <row r="125" spans="1:25">
      <c r="A125" s="1472"/>
      <c r="B125" s="378"/>
      <c r="Y125" s="379"/>
    </row>
    <row r="126" spans="1:25">
      <c r="A126" s="1472"/>
      <c r="B126" s="378"/>
      <c r="Y126" s="445"/>
    </row>
    <row r="127" spans="1:25">
      <c r="A127" s="1472"/>
      <c r="B127" s="378"/>
      <c r="Y127" s="406"/>
    </row>
    <row r="128" spans="1:25">
      <c r="A128" s="1472"/>
      <c r="B128" s="378"/>
      <c r="Y128" s="379"/>
    </row>
    <row r="129" spans="1:25">
      <c r="A129" s="1472"/>
      <c r="B129" s="378"/>
      <c r="Y129" s="445"/>
    </row>
    <row r="130" spans="1:25">
      <c r="A130" s="1472"/>
      <c r="B130" s="378"/>
      <c r="Y130" s="406"/>
    </row>
    <row r="131" spans="1:25">
      <c r="A131" s="1472"/>
      <c r="B131" s="378"/>
      <c r="Y131" s="379"/>
    </row>
    <row r="132" spans="1:25">
      <c r="A132" s="1472"/>
      <c r="B132" s="378"/>
      <c r="Y132" s="445"/>
    </row>
    <row r="133" spans="1:25">
      <c r="A133" s="1472"/>
      <c r="B133" s="378"/>
      <c r="Y133" s="406"/>
    </row>
    <row r="134" spans="1:25">
      <c r="A134" s="1472"/>
      <c r="B134" s="378"/>
      <c r="Y134" s="379"/>
    </row>
    <row r="135" spans="1:25">
      <c r="A135" s="1472"/>
      <c r="B135" s="378"/>
      <c r="Y135" s="445"/>
    </row>
    <row r="136" spans="1:25">
      <c r="A136" s="1472"/>
      <c r="B136" s="378"/>
      <c r="Y136" s="406"/>
    </row>
    <row r="137" spans="1:25">
      <c r="A137" s="1472"/>
      <c r="B137" s="378"/>
      <c r="Y137" s="379"/>
    </row>
    <row r="138" spans="1:25">
      <c r="A138" s="1472"/>
      <c r="B138" s="378"/>
      <c r="Y138" s="445"/>
    </row>
    <row r="139" spans="1:25">
      <c r="A139" s="1472"/>
      <c r="B139" s="378"/>
      <c r="Y139" s="406"/>
    </row>
    <row r="140" spans="1:25">
      <c r="A140" s="1472"/>
      <c r="B140" s="378"/>
      <c r="Y140" s="379"/>
    </row>
    <row r="141" spans="1:25">
      <c r="A141" s="1473"/>
      <c r="B141" s="442"/>
      <c r="Y141" s="445"/>
    </row>
    <row r="142" spans="1:25">
      <c r="B142" s="398"/>
      <c r="Y142" s="406"/>
    </row>
    <row r="143" spans="1:25">
      <c r="A143" s="434"/>
      <c r="B143" s="399"/>
      <c r="Y143" s="379"/>
    </row>
    <row r="144" spans="1:25">
      <c r="A144" s="443"/>
      <c r="B144" s="400"/>
      <c r="Y144" s="445"/>
    </row>
    <row r="145" spans="1:25">
      <c r="B145" s="398"/>
      <c r="C145" s="448"/>
      <c r="D145" s="437"/>
      <c r="E145" s="446"/>
      <c r="F145" s="446"/>
      <c r="G145" s="446"/>
      <c r="H145" s="446"/>
      <c r="I145" s="446"/>
      <c r="J145" s="446"/>
      <c r="K145" s="446"/>
      <c r="L145" s="446"/>
      <c r="M145" s="446"/>
      <c r="N145" s="446"/>
      <c r="O145" s="446"/>
      <c r="P145" s="446"/>
      <c r="Q145" s="446"/>
      <c r="R145" s="446"/>
      <c r="S145" s="446"/>
      <c r="T145" s="446"/>
      <c r="U145" s="446"/>
      <c r="V145" s="446"/>
      <c r="W145" s="406"/>
      <c r="X145" s="406"/>
      <c r="Y145" s="406"/>
    </row>
    <row r="146" spans="1:25">
      <c r="B146" s="398"/>
      <c r="C146" s="449"/>
      <c r="D146" s="405"/>
      <c r="E146" s="379"/>
      <c r="F146" s="379"/>
      <c r="G146" s="379"/>
      <c r="H146" s="379"/>
      <c r="I146" s="379"/>
      <c r="J146" s="379"/>
      <c r="K146" s="379"/>
      <c r="L146" s="379"/>
      <c r="M146" s="379"/>
      <c r="N146" s="379"/>
      <c r="O146" s="379"/>
      <c r="P146" s="379"/>
      <c r="Q146" s="379"/>
      <c r="R146" s="379"/>
      <c r="S146" s="379"/>
      <c r="T146" s="379"/>
      <c r="U146" s="379"/>
      <c r="V146" s="379"/>
      <c r="W146" s="379"/>
      <c r="X146" s="379"/>
      <c r="Y146" s="379"/>
    </row>
    <row r="147" spans="1:25">
      <c r="A147" s="443"/>
      <c r="B147" s="451"/>
      <c r="C147" s="450"/>
      <c r="D147" s="444"/>
      <c r="E147" s="447"/>
      <c r="F147" s="447"/>
      <c r="G147" s="447"/>
      <c r="H147" s="447"/>
      <c r="I147" s="447"/>
      <c r="J147" s="447"/>
      <c r="K147" s="447"/>
      <c r="L147" s="447"/>
      <c r="M147" s="447"/>
      <c r="N147" s="447"/>
      <c r="O147" s="447"/>
      <c r="P147" s="447"/>
      <c r="Q147" s="447"/>
      <c r="R147" s="447"/>
      <c r="S147" s="447"/>
      <c r="T147" s="447"/>
      <c r="U147" s="447"/>
      <c r="V147" s="447"/>
      <c r="W147" s="445"/>
      <c r="X147" s="445"/>
      <c r="Y147" s="445"/>
    </row>
    <row r="148" spans="1:25">
      <c r="B148" s="398"/>
    </row>
    <row r="149" spans="1:25">
      <c r="B149" s="398"/>
    </row>
    <row r="150" spans="1:25">
      <c r="B150" s="398"/>
    </row>
    <row r="161" s="378" customFormat="1"/>
    <row r="162" s="378" customFormat="1"/>
    <row r="163" s="378" customFormat="1"/>
    <row r="164" s="378" customFormat="1"/>
    <row r="165" s="378" customFormat="1"/>
    <row r="166" s="378" customFormat="1"/>
    <row r="167" s="378" customFormat="1"/>
    <row r="168" s="378" customFormat="1"/>
    <row r="169" s="378" customFormat="1"/>
    <row r="170" s="378" customFormat="1"/>
    <row r="171" s="378" customFormat="1"/>
    <row r="172" s="378" customFormat="1"/>
    <row r="173" s="378" customFormat="1"/>
    <row r="174" s="378" customFormat="1"/>
    <row r="175" s="378" customFormat="1"/>
    <row r="176" s="378" customFormat="1"/>
    <row r="177" s="378" customFormat="1"/>
    <row r="178" s="378" customFormat="1"/>
    <row r="179" s="378" customFormat="1"/>
    <row r="180" s="378" customFormat="1"/>
    <row r="181" s="378" customFormat="1"/>
    <row r="182" s="378" customFormat="1"/>
    <row r="183" s="378" customFormat="1"/>
    <row r="184" s="378" customFormat="1"/>
    <row r="185" s="378" customFormat="1"/>
    <row r="186" s="378" customFormat="1"/>
    <row r="187" s="378" customFormat="1"/>
    <row r="188" s="378" customFormat="1"/>
    <row r="189" s="378" customFormat="1"/>
    <row r="190" s="378" customFormat="1"/>
    <row r="191" s="378" customFormat="1"/>
    <row r="192" s="378" customFormat="1"/>
    <row r="193" s="378" customFormat="1"/>
    <row r="194" s="378" customFormat="1"/>
    <row r="195" s="378" customFormat="1"/>
    <row r="196" s="378" customFormat="1"/>
    <row r="197" s="378" customFormat="1"/>
    <row r="198" s="378" customFormat="1"/>
    <row r="199" s="378" customFormat="1"/>
    <row r="200" s="378" customFormat="1"/>
    <row r="201" s="378" customFormat="1"/>
    <row r="202" s="378" customFormat="1"/>
    <row r="203" s="378" customFormat="1"/>
    <row r="204" s="378" customFormat="1"/>
    <row r="205" s="378" customFormat="1"/>
    <row r="206" s="378" customFormat="1"/>
    <row r="207" s="378" customFormat="1"/>
    <row r="208" s="378" customFormat="1"/>
    <row r="209" s="378" customFormat="1"/>
    <row r="210" s="378" customFormat="1"/>
    <row r="211" s="378" customFormat="1"/>
    <row r="212" s="378" customFormat="1"/>
    <row r="213" s="378" customFormat="1"/>
    <row r="214" s="378" customFormat="1"/>
    <row r="215" s="378" customFormat="1"/>
    <row r="216" s="378" customFormat="1"/>
    <row r="217" s="378" customFormat="1"/>
    <row r="218" s="378" customFormat="1"/>
    <row r="219" s="378" customFormat="1"/>
    <row r="220" s="378" customFormat="1"/>
    <row r="221" s="378" customFormat="1"/>
    <row r="222" s="378" customFormat="1"/>
    <row r="223" s="378" customFormat="1"/>
    <row r="224" s="378" customFormat="1"/>
    <row r="225" s="378" customFormat="1"/>
    <row r="226" s="378" customFormat="1"/>
    <row r="227" s="378" customFormat="1"/>
    <row r="228" s="378" customFormat="1"/>
    <row r="229" s="378" customFormat="1"/>
    <row r="230" s="378" customFormat="1"/>
    <row r="231" s="378" customFormat="1"/>
    <row r="232" s="378" customFormat="1"/>
    <row r="233" s="378" customFormat="1"/>
    <row r="234" s="378" customFormat="1"/>
    <row r="235" s="378" customFormat="1"/>
    <row r="236" s="378" customFormat="1"/>
    <row r="237" s="378" customFormat="1"/>
    <row r="238" s="378" customFormat="1"/>
    <row r="239" s="378" customFormat="1"/>
    <row r="240" s="378" customFormat="1"/>
    <row r="241" s="378" customFormat="1"/>
    <row r="242" s="378" customFormat="1"/>
    <row r="243" s="378" customFormat="1"/>
    <row r="244" s="378" customFormat="1"/>
    <row r="245" s="378" customFormat="1"/>
    <row r="246" s="378" customFormat="1"/>
    <row r="247" s="378" customFormat="1"/>
    <row r="248" s="378" customFormat="1"/>
    <row r="249" s="378" customFormat="1"/>
    <row r="250" s="378" customFormat="1"/>
    <row r="251" s="378" customFormat="1"/>
    <row r="252" s="378" customFormat="1"/>
    <row r="253" s="378" customFormat="1"/>
    <row r="254" s="378" customFormat="1"/>
    <row r="255" s="378" customFormat="1"/>
    <row r="256" s="378" customFormat="1"/>
    <row r="257" s="378" customFormat="1"/>
    <row r="258" s="378" customFormat="1"/>
    <row r="259" s="378" customFormat="1"/>
    <row r="260" s="378" customFormat="1"/>
    <row r="261" s="378" customFormat="1"/>
    <row r="262" s="378" customFormat="1"/>
    <row r="263" s="378" customFormat="1"/>
    <row r="264" s="378" customFormat="1"/>
    <row r="265" s="378" customFormat="1"/>
    <row r="266" s="378" customFormat="1"/>
    <row r="267" s="378" customFormat="1"/>
    <row r="268" s="378" customFormat="1"/>
    <row r="269" s="378" customFormat="1"/>
    <row r="270" s="378" customFormat="1"/>
    <row r="271" s="378" customFormat="1"/>
    <row r="272" s="378" customFormat="1"/>
    <row r="273" s="378" customFormat="1"/>
    <row r="274" s="378" customFormat="1"/>
    <row r="275" s="378" customFormat="1"/>
    <row r="276" s="378" customFormat="1"/>
    <row r="277" s="378" customFormat="1"/>
    <row r="278" s="378" customFormat="1"/>
    <row r="279" s="378" customFormat="1"/>
    <row r="280" s="378" customFormat="1"/>
    <row r="281" s="378" customFormat="1"/>
    <row r="282" s="378" customFormat="1"/>
    <row r="283" s="378" customFormat="1"/>
    <row r="284" s="378" customFormat="1"/>
    <row r="285" s="378" customFormat="1"/>
    <row r="286" s="378" customFormat="1"/>
    <row r="287" s="378" customFormat="1"/>
    <row r="288" s="378" customFormat="1"/>
    <row r="289" s="378" customFormat="1"/>
    <row r="290" s="378" customFormat="1"/>
    <row r="291" s="378" customFormat="1"/>
    <row r="292" s="378" customFormat="1"/>
    <row r="293" s="378" customFormat="1"/>
    <row r="294" s="378" customFormat="1"/>
    <row r="295" s="378" customFormat="1"/>
    <row r="296" s="378" customFormat="1"/>
    <row r="297" s="378" customFormat="1"/>
    <row r="298" s="378" customFormat="1"/>
    <row r="299" s="378" customFormat="1"/>
    <row r="300" s="378" customFormat="1"/>
    <row r="301" s="378" customFormat="1"/>
    <row r="302" s="378" customFormat="1"/>
    <row r="303" s="378" customFormat="1"/>
    <row r="304" s="378" customFormat="1"/>
    <row r="305" s="378" customFormat="1"/>
    <row r="306" s="378" customFormat="1"/>
    <row r="307" s="378" customFormat="1"/>
    <row r="308" s="378" customFormat="1"/>
    <row r="309" s="378" customFormat="1"/>
    <row r="310" s="378" customFormat="1"/>
    <row r="311" s="378" customFormat="1"/>
    <row r="312" s="378" customFormat="1"/>
    <row r="313" s="378" customFormat="1"/>
    <row r="314" s="378" customFormat="1"/>
    <row r="315" s="378" customFormat="1"/>
    <row r="316" s="378" customFormat="1"/>
    <row r="317" s="378" customFormat="1"/>
    <row r="318" s="378" customFormat="1"/>
    <row r="319" s="378" customFormat="1"/>
    <row r="320" s="378" customFormat="1"/>
    <row r="321" s="378" customFormat="1"/>
    <row r="322" s="378" customFormat="1"/>
    <row r="323" s="378" customFormat="1"/>
    <row r="324" s="378" customFormat="1"/>
    <row r="325" s="378" customFormat="1"/>
    <row r="326" s="378" customFormat="1"/>
    <row r="327" s="378" customFormat="1"/>
    <row r="328" s="378" customFormat="1"/>
    <row r="329" s="378" customFormat="1"/>
    <row r="330" s="378" customFormat="1"/>
    <row r="331" s="378" customFormat="1"/>
    <row r="332" s="378" customFormat="1"/>
    <row r="333" s="378" customFormat="1"/>
    <row r="334" s="378" customFormat="1"/>
    <row r="335" s="378" customFormat="1"/>
    <row r="336" s="378" customFormat="1"/>
    <row r="337" s="378" customFormat="1"/>
    <row r="338" s="378" customFormat="1"/>
    <row r="339" s="378" customFormat="1"/>
    <row r="340" s="378" customFormat="1"/>
    <row r="341" s="378" customFormat="1"/>
    <row r="342" s="378" customFormat="1"/>
    <row r="343" s="378" customFormat="1"/>
    <row r="344" s="378" customFormat="1"/>
    <row r="345" s="378" customFormat="1"/>
    <row r="346" s="378" customFormat="1"/>
    <row r="347" s="378" customFormat="1"/>
    <row r="348" s="378" customFormat="1"/>
    <row r="349" s="378" customFormat="1"/>
    <row r="350" s="378" customFormat="1"/>
    <row r="351" s="378" customFormat="1"/>
    <row r="352" s="378" customFormat="1"/>
    <row r="353" s="378" customFormat="1"/>
    <row r="354" s="378" customFormat="1"/>
    <row r="355" s="378" customFormat="1"/>
    <row r="356" s="378" customFormat="1"/>
    <row r="357" s="378" customFormat="1"/>
    <row r="358" s="378" customFormat="1"/>
    <row r="359" s="378" customFormat="1"/>
    <row r="360" s="378" customFormat="1"/>
    <row r="361" s="378" customFormat="1"/>
    <row r="362" s="378" customFormat="1"/>
    <row r="363" s="378" customFormat="1"/>
    <row r="364" s="378" customFormat="1"/>
    <row r="365" s="378" customFormat="1"/>
    <row r="366" s="378" customFormat="1"/>
    <row r="367" s="378" customFormat="1"/>
    <row r="368" s="378" customFormat="1"/>
    <row r="369" s="378" customFormat="1"/>
    <row r="370" s="378" customFormat="1"/>
    <row r="371" s="378" customFormat="1"/>
    <row r="372" s="378" customFormat="1"/>
    <row r="373" s="378" customFormat="1"/>
    <row r="374" s="378" customFormat="1"/>
    <row r="375" s="378" customFormat="1"/>
    <row r="376" s="378" customFormat="1"/>
    <row r="377" s="378" customFormat="1"/>
    <row r="378" s="378" customFormat="1"/>
    <row r="379" s="378" customFormat="1"/>
    <row r="380" s="378" customFormat="1"/>
    <row r="381" s="378" customFormat="1"/>
    <row r="382" s="378" customFormat="1"/>
    <row r="383" s="378" customFormat="1"/>
    <row r="384" s="378" customFormat="1"/>
    <row r="385" s="378" customFormat="1"/>
    <row r="386" s="378" customFormat="1"/>
    <row r="387" s="378" customFormat="1"/>
    <row r="388" s="378" customFormat="1"/>
    <row r="389" s="378" customFormat="1"/>
    <row r="390" s="378" customFormat="1"/>
    <row r="391" s="378" customFormat="1"/>
    <row r="392" s="378" customFormat="1"/>
    <row r="393" s="378" customFormat="1"/>
    <row r="394" s="378" customFormat="1"/>
    <row r="395" s="378" customFormat="1"/>
    <row r="396" s="378" customFormat="1"/>
    <row r="397" s="378" customFormat="1"/>
    <row r="398" s="378" customFormat="1"/>
    <row r="399" s="378" customFormat="1"/>
    <row r="400" s="378" customFormat="1"/>
    <row r="401" s="378" customFormat="1"/>
    <row r="402" s="378" customFormat="1"/>
    <row r="403" s="378" customFormat="1"/>
    <row r="404" s="378" customFormat="1"/>
    <row r="405" s="378" customFormat="1"/>
    <row r="406" s="378" customFormat="1"/>
    <row r="407" s="378" customFormat="1"/>
    <row r="408" s="378" customFormat="1"/>
    <row r="409" s="378" customFormat="1"/>
    <row r="410" s="378" customFormat="1"/>
    <row r="411" s="378" customFormat="1"/>
    <row r="412" s="378" customFormat="1"/>
    <row r="413" s="378" customFormat="1"/>
    <row r="414" s="378" customFormat="1"/>
    <row r="415" s="378" customFormat="1"/>
    <row r="416" s="378" customFormat="1"/>
    <row r="417" s="378" customFormat="1"/>
    <row r="418" s="378" customFormat="1"/>
    <row r="419" s="378" customFormat="1"/>
    <row r="420" s="378" customFormat="1"/>
    <row r="421" s="378" customFormat="1"/>
    <row r="422" s="378" customFormat="1"/>
    <row r="423" s="378" customFormat="1"/>
    <row r="424" s="378" customFormat="1"/>
    <row r="425" s="378" customFormat="1"/>
    <row r="426" s="378" customFormat="1"/>
    <row r="427" s="378" customFormat="1"/>
    <row r="428" s="378" customFormat="1"/>
    <row r="429" s="378" customFormat="1"/>
    <row r="430" s="378" customFormat="1"/>
    <row r="431" s="378" customFormat="1"/>
    <row r="432" s="378" customFormat="1"/>
    <row r="433" s="378" customFormat="1"/>
    <row r="434" s="378" customFormat="1"/>
    <row r="435" s="378" customFormat="1"/>
    <row r="436" s="378" customFormat="1"/>
    <row r="437" s="378" customFormat="1"/>
    <row r="438" s="378" customFormat="1"/>
    <row r="439" s="378" customFormat="1"/>
    <row r="440" s="378" customFormat="1"/>
    <row r="441" s="378" customFormat="1"/>
    <row r="442" s="378" customFormat="1"/>
    <row r="443" s="378" customFormat="1"/>
    <row r="444" s="378" customFormat="1"/>
    <row r="445" s="378" customFormat="1"/>
    <row r="446" s="378" customFormat="1"/>
    <row r="447" s="378" customFormat="1"/>
    <row r="448" s="378" customFormat="1"/>
    <row r="449" s="378" customFormat="1"/>
    <row r="450" s="378" customFormat="1"/>
    <row r="451" s="378" customFormat="1"/>
    <row r="452" s="378" customFormat="1"/>
    <row r="453" s="378" customFormat="1"/>
    <row r="454" s="378" customFormat="1"/>
    <row r="455" s="378" customFormat="1"/>
    <row r="456" s="378" customFormat="1"/>
    <row r="457" s="378" customFormat="1"/>
    <row r="458" s="378" customFormat="1"/>
    <row r="459" s="378" customFormat="1"/>
    <row r="460" s="378" customFormat="1"/>
    <row r="461" s="378" customFormat="1"/>
    <row r="462" s="378" customFormat="1"/>
    <row r="463" s="378" customFormat="1"/>
    <row r="464" s="378" customFormat="1"/>
    <row r="465" s="378" customFormat="1"/>
    <row r="466" s="378" customFormat="1"/>
    <row r="467" s="378" customFormat="1"/>
    <row r="468" s="378" customFormat="1"/>
    <row r="469" s="378" customFormat="1"/>
    <row r="470" s="378" customFormat="1"/>
    <row r="471" s="378" customFormat="1"/>
    <row r="472" s="378" customFormat="1"/>
    <row r="473" s="378" customFormat="1"/>
    <row r="474" s="378" customFormat="1"/>
    <row r="475" s="378" customFormat="1"/>
    <row r="476" s="378" customFormat="1"/>
    <row r="477" s="378" customFormat="1"/>
    <row r="478" s="378" customFormat="1"/>
    <row r="479" s="378" customFormat="1"/>
    <row r="480" s="378" customFormat="1"/>
    <row r="481" s="378" customFormat="1"/>
    <row r="482" s="378" customFormat="1"/>
    <row r="483" s="378" customFormat="1"/>
    <row r="484" s="378" customFormat="1"/>
    <row r="485" s="378" customFormat="1"/>
    <row r="486" s="378" customFormat="1"/>
    <row r="487" s="378" customFormat="1"/>
    <row r="488" s="378" customFormat="1"/>
    <row r="489" s="378" customFormat="1"/>
    <row r="490" s="378" customFormat="1"/>
    <row r="491" s="378" customFormat="1"/>
    <row r="492" s="378" customFormat="1"/>
    <row r="493" s="378" customFormat="1"/>
    <row r="494" s="378" customFormat="1"/>
    <row r="495" s="378" customFormat="1"/>
    <row r="496" s="378" customFormat="1"/>
    <row r="497" s="378" customFormat="1"/>
    <row r="498" s="378" customFormat="1"/>
    <row r="499" s="378" customFormat="1"/>
    <row r="500" s="378" customFormat="1"/>
    <row r="501" s="378" customFormat="1"/>
    <row r="502" s="378" customFormat="1"/>
    <row r="503" s="378" customFormat="1"/>
    <row r="504" s="378" customFormat="1"/>
    <row r="505" s="378" customFormat="1"/>
    <row r="506" s="378" customFormat="1"/>
    <row r="507" s="378" customFormat="1"/>
    <row r="508" s="378" customFormat="1"/>
    <row r="509" s="378" customFormat="1"/>
    <row r="510" s="378" customFormat="1"/>
    <row r="511" s="378" customFormat="1"/>
    <row r="512" s="378" customFormat="1"/>
    <row r="513" s="378" customFormat="1"/>
    <row r="514" s="378" customFormat="1"/>
    <row r="515" s="378" customFormat="1"/>
    <row r="516" s="378" customFormat="1"/>
    <row r="517" s="378" customFormat="1"/>
    <row r="518" s="378" customFormat="1"/>
    <row r="519" s="378" customFormat="1"/>
    <row r="520" s="378" customFormat="1"/>
    <row r="521" s="378" customFormat="1"/>
    <row r="522" s="378" customFormat="1"/>
    <row r="523" s="378" customFormat="1"/>
    <row r="524" s="378" customFormat="1"/>
    <row r="525" s="378" customFormat="1"/>
    <row r="526" s="378" customFormat="1"/>
    <row r="527" s="378" customFormat="1"/>
    <row r="528" s="378" customFormat="1"/>
    <row r="529" s="378" customFormat="1"/>
    <row r="530" s="378" customFormat="1"/>
    <row r="531" s="378" customFormat="1"/>
    <row r="532" s="378" customFormat="1"/>
    <row r="533" s="378" customFormat="1"/>
    <row r="534" s="378" customFormat="1"/>
    <row r="535" s="378" customFormat="1"/>
    <row r="536" s="378" customFormat="1"/>
    <row r="537" s="378" customFormat="1"/>
    <row r="538" s="378" customFormat="1"/>
    <row r="539" s="378" customFormat="1"/>
    <row r="540" s="378" customFormat="1"/>
    <row r="541" s="378" customFormat="1"/>
    <row r="542" s="378" customFormat="1"/>
    <row r="543" s="378" customFormat="1"/>
    <row r="544" s="378" customFormat="1"/>
    <row r="545" s="378" customFormat="1"/>
    <row r="546" s="378" customFormat="1"/>
    <row r="547" s="378" customFormat="1"/>
    <row r="548" s="378" customFormat="1"/>
    <row r="549" s="378" customFormat="1"/>
    <row r="550" s="378" customFormat="1"/>
    <row r="551" s="378" customFormat="1"/>
    <row r="552" s="378" customFormat="1"/>
    <row r="553" s="378" customFormat="1"/>
    <row r="554" s="378" customFormat="1"/>
    <row r="555" s="378" customFormat="1"/>
    <row r="556" s="378" customFormat="1"/>
    <row r="557" s="378" customFormat="1"/>
    <row r="558" s="378" customFormat="1"/>
    <row r="559" s="378" customFormat="1"/>
    <row r="560" s="378" customFormat="1"/>
    <row r="561" s="378" customFormat="1"/>
    <row r="562" s="378" customFormat="1"/>
    <row r="563" s="378" customFormat="1"/>
    <row r="564" s="378" customFormat="1"/>
    <row r="565" s="378" customFormat="1"/>
    <row r="566" s="378" customFormat="1"/>
    <row r="567" s="378" customFormat="1"/>
    <row r="568" s="378" customFormat="1"/>
    <row r="569" s="378" customFormat="1"/>
    <row r="570" s="378" customFormat="1"/>
    <row r="571" s="378" customFormat="1"/>
    <row r="572" s="378" customFormat="1"/>
    <row r="573" s="378" customFormat="1"/>
    <row r="574" s="378" customFormat="1"/>
    <row r="575" s="378" customFormat="1"/>
    <row r="576" s="378" customFormat="1"/>
    <row r="577" s="378" customFormat="1"/>
    <row r="578" s="378" customFormat="1"/>
    <row r="579" s="378" customFormat="1"/>
    <row r="580" s="378" customFormat="1"/>
    <row r="581" s="378" customFormat="1"/>
    <row r="582" s="378" customFormat="1"/>
    <row r="583" s="378" customFormat="1"/>
    <row r="584" s="378" customFormat="1"/>
    <row r="585" s="378" customFormat="1"/>
    <row r="586" s="378" customFormat="1"/>
    <row r="587" s="378" customFormat="1"/>
    <row r="588" s="378" customFormat="1"/>
    <row r="589" s="378" customFormat="1"/>
    <row r="590" s="378" customFormat="1"/>
    <row r="591" s="378" customFormat="1"/>
    <row r="592" s="378" customFormat="1"/>
    <row r="593" s="378" customFormat="1"/>
    <row r="594" s="378" customFormat="1"/>
    <row r="595" s="378" customFormat="1"/>
    <row r="596" s="378" customFormat="1"/>
    <row r="597" s="378" customFormat="1"/>
    <row r="598" s="378" customFormat="1"/>
    <row r="599" s="378" customFormat="1"/>
    <row r="600" s="378" customFormat="1"/>
    <row r="601" s="378" customFormat="1"/>
    <row r="602" s="378" customFormat="1"/>
    <row r="603" s="378" customFormat="1"/>
    <row r="604" s="378" customFormat="1"/>
    <row r="605" s="378" customFormat="1"/>
    <row r="606" s="378" customFormat="1"/>
    <row r="607" s="378" customFormat="1"/>
    <row r="608" s="378" customFormat="1"/>
    <row r="609" s="378" customFormat="1"/>
    <row r="610" s="378" customFormat="1"/>
    <row r="611" s="378" customFormat="1"/>
    <row r="612" s="378" customFormat="1"/>
    <row r="613" s="378" customFormat="1"/>
    <row r="614" s="378" customFormat="1"/>
    <row r="615" s="378" customFormat="1"/>
    <row r="616" s="378" customFormat="1"/>
    <row r="617" s="378" customFormat="1"/>
    <row r="618" s="378" customFormat="1"/>
    <row r="619" s="378" customFormat="1"/>
    <row r="620" s="378" customFormat="1"/>
    <row r="621" s="378" customFormat="1"/>
    <row r="622" s="378" customFormat="1"/>
    <row r="623" s="378" customFormat="1"/>
    <row r="624" s="378" customFormat="1"/>
    <row r="625" s="378" customFormat="1"/>
    <row r="626" s="378" customFormat="1"/>
    <row r="627" s="378" customFormat="1"/>
    <row r="628" s="378" customFormat="1"/>
    <row r="629" s="378" customFormat="1"/>
    <row r="630" s="378" customFormat="1"/>
    <row r="631" s="378" customFormat="1"/>
    <row r="632" s="378" customFormat="1"/>
    <row r="633" s="378" customFormat="1"/>
    <row r="634" s="378" customFormat="1"/>
    <row r="635" s="378" customFormat="1"/>
    <row r="636" s="378" customFormat="1"/>
    <row r="637" s="378" customFormat="1"/>
    <row r="638" s="378" customFormat="1"/>
    <row r="639" s="378" customFormat="1"/>
    <row r="640" s="378" customFormat="1"/>
    <row r="641" s="378" customFormat="1"/>
    <row r="642" s="378" customFormat="1"/>
    <row r="643" s="378" customFormat="1"/>
    <row r="644" s="378" customFormat="1"/>
    <row r="645" s="378" customFormat="1"/>
    <row r="646" s="378" customFormat="1"/>
    <row r="647" s="378" customFormat="1"/>
    <row r="648" s="378" customFormat="1"/>
    <row r="649" s="378" customFormat="1"/>
    <row r="650" s="378" customFormat="1"/>
    <row r="651" s="378" customFormat="1"/>
    <row r="652" s="378" customFormat="1"/>
    <row r="653" s="378" customFormat="1"/>
    <row r="654" s="378" customFormat="1"/>
    <row r="655" s="378" customFormat="1"/>
    <row r="656" s="378" customFormat="1"/>
    <row r="657" s="378" customFormat="1"/>
    <row r="658" s="378" customFormat="1"/>
    <row r="659" s="378" customFormat="1"/>
    <row r="660" s="378" customFormat="1"/>
    <row r="661" s="378" customFormat="1"/>
    <row r="662" s="378" customFormat="1"/>
    <row r="663" s="378" customFormat="1"/>
    <row r="664" s="378" customFormat="1"/>
    <row r="665" s="378" customFormat="1"/>
    <row r="666" s="378" customFormat="1"/>
    <row r="667" s="378" customFormat="1"/>
    <row r="668" s="378" customFormat="1"/>
    <row r="669" s="378" customFormat="1"/>
    <row r="670" s="378" customFormat="1"/>
    <row r="671" s="378" customFormat="1"/>
    <row r="672" s="378" customFormat="1"/>
    <row r="673" s="378" customFormat="1"/>
    <row r="674" s="378" customFormat="1"/>
    <row r="675" s="378" customFormat="1"/>
    <row r="676" s="378" customFormat="1"/>
    <row r="677" s="378" customFormat="1"/>
    <row r="678" s="378" customFormat="1"/>
    <row r="679" s="378" customFormat="1"/>
    <row r="680" s="378" customFormat="1"/>
    <row r="681" s="378" customFormat="1"/>
    <row r="682" s="378" customFormat="1"/>
    <row r="683" s="378" customFormat="1"/>
    <row r="684" s="378" customFormat="1"/>
    <row r="685" s="378" customFormat="1"/>
    <row r="686" s="378" customFormat="1"/>
    <row r="687" s="378" customFormat="1"/>
    <row r="688" s="378" customFormat="1"/>
    <row r="689" s="378" customFormat="1"/>
    <row r="690" s="378" customFormat="1"/>
    <row r="691" s="378" customFormat="1"/>
    <row r="692" s="378" customFormat="1"/>
    <row r="693" s="378" customFormat="1"/>
    <row r="694" s="378" customFormat="1"/>
    <row r="695" s="378" customFormat="1"/>
    <row r="696" s="378" customFormat="1"/>
    <row r="697" s="378" customFormat="1"/>
    <row r="698" s="378" customFormat="1"/>
    <row r="699" s="378" customFormat="1"/>
    <row r="700" s="378" customFormat="1"/>
    <row r="701" s="378" customFormat="1"/>
    <row r="702" s="378" customFormat="1"/>
    <row r="703" s="378" customFormat="1"/>
    <row r="704" s="378" customFormat="1"/>
    <row r="705" s="378" customFormat="1"/>
    <row r="706" s="378" customFormat="1"/>
    <row r="707" s="378" customFormat="1"/>
  </sheetData>
  <mergeCells count="2">
    <mergeCell ref="A4:A39"/>
    <mergeCell ref="A40:A95"/>
  </mergeCells>
  <phoneticPr fontId="17" type="noConversion"/>
  <pageMargins left="0.75" right="0.75" top="1" bottom="1" header="0.5" footer="0.5"/>
  <pageSetup scale="85" orientation="portrait" verticalDpi="1200" r:id="rId2"/>
  <headerFooter alignWithMargins="0">
    <oddHeader>&amp;LSREB-State Data Exchange&amp;CPreliminary Tables&amp;RPart 5 - Funding by Function</oddHeader>
    <oddFooter>&amp;LFor Agency Review Only&amp;ROctober 2008</oddFooter>
  </headerFooter>
  <rowBreaks count="2" manualBreakCount="2">
    <brk id="57" min="4" max="19" man="1"/>
    <brk id="96" min="4" max="19" man="1"/>
  </rowBreaks>
  <colBreaks count="15" manualBreakCount="15">
    <brk id="5" min="3" max="143" man="1"/>
    <brk id="6" min="3" max="143" man="1"/>
    <brk id="7" min="3" max="143" man="1"/>
    <brk id="8" min="3" max="143" man="1"/>
    <brk id="9" min="3" max="143" man="1"/>
    <brk id="10" min="3" max="143" man="1"/>
    <brk id="11" min="3" max="143" man="1"/>
    <brk id="12" min="3" max="143" man="1"/>
    <brk id="13" min="3" max="143" man="1"/>
    <brk id="14" min="3" max="143" man="1"/>
    <brk id="15" min="3" max="143" man="1"/>
    <brk id="16" min="3" max="143" man="1"/>
    <brk id="17" min="3" max="143" man="1"/>
    <brk id="18" min="3" max="143" man="1"/>
    <brk id="19" min="3" max="143"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sheetPr>
  <dimension ref="A1:AN138"/>
  <sheetViews>
    <sheetView topLeftCell="A106" workbookViewId="0">
      <selection activeCell="J9" sqref="J9"/>
    </sheetView>
  </sheetViews>
  <sheetFormatPr defaultRowHeight="12.75"/>
  <cols>
    <col min="1" max="1" width="24.5" style="180" customWidth="1"/>
    <col min="2" max="2" width="12" style="180" customWidth="1"/>
    <col min="3" max="3" width="11.75" style="180" bestFit="1" customWidth="1"/>
    <col min="4" max="4" width="11.25" style="180" bestFit="1" customWidth="1"/>
    <col min="5" max="5" width="10.875" style="180" bestFit="1" customWidth="1"/>
    <col min="6" max="6" width="13.5" style="180" customWidth="1"/>
    <col min="7" max="8" width="10.75" style="180" customWidth="1"/>
    <col min="9" max="9" width="11.5" style="180" bestFit="1" customWidth="1"/>
    <col min="10" max="10" width="11.875" style="180" customWidth="1"/>
    <col min="11" max="11" width="12.875" style="180" customWidth="1"/>
    <col min="12" max="12" width="11.375" style="180" bestFit="1" customWidth="1"/>
    <col min="13" max="13" width="12.75" style="180" customWidth="1"/>
    <col min="14" max="14" width="10.625" style="180" customWidth="1"/>
    <col min="15" max="15" width="11.625" style="180" bestFit="1" customWidth="1"/>
    <col min="16" max="16" width="11.5" style="180" customWidth="1"/>
    <col min="17" max="17" width="11.125" style="180" bestFit="1" customWidth="1"/>
    <col min="18" max="18" width="16.75" style="180" customWidth="1"/>
    <col min="19" max="19" width="11.25" style="180" customWidth="1"/>
    <col min="20" max="20" width="13.5" style="6" bestFit="1" customWidth="1"/>
    <col min="21" max="21" width="12.5" style="180" customWidth="1"/>
    <col min="22" max="22" width="10.125" style="180" customWidth="1"/>
    <col min="23" max="23" width="9.875" style="180" customWidth="1"/>
    <col min="24" max="24" width="10.125" style="180" customWidth="1"/>
    <col min="25" max="25" width="11" style="180" customWidth="1"/>
    <col min="26" max="26" width="10.75" style="180" customWidth="1"/>
    <col min="27" max="27" width="10.875" style="180" customWidth="1"/>
    <col min="28" max="28" width="9.5" style="180" bestFit="1" customWidth="1"/>
    <col min="29" max="29" width="9.75" style="180" customWidth="1"/>
    <col min="30" max="30" width="10" style="180" customWidth="1"/>
    <col min="31" max="31" width="11.5" style="180" customWidth="1"/>
    <col min="32" max="32" width="22.5" style="180" customWidth="1"/>
    <col min="33" max="33" width="12" style="180" customWidth="1"/>
    <col min="34" max="34" width="10.5" style="180" customWidth="1"/>
    <col min="35" max="35" width="10.125" style="180" customWidth="1"/>
    <col min="36" max="36" width="9" style="180"/>
    <col min="37" max="37" width="9.75" style="180" customWidth="1"/>
    <col min="38" max="38" width="11" style="180" customWidth="1"/>
    <col min="39" max="39" width="9.75" style="180" customWidth="1"/>
    <col min="40" max="40" width="11.875" style="180" customWidth="1"/>
    <col min="41" max="16384" width="9" style="180"/>
  </cols>
  <sheetData>
    <row r="1" spans="1:20" ht="23.25">
      <c r="A1" s="218" t="s">
        <v>374</v>
      </c>
      <c r="B1" s="92"/>
      <c r="C1" s="92"/>
      <c r="D1" s="92"/>
      <c r="E1" s="387"/>
      <c r="F1" s="92"/>
      <c r="G1" s="92"/>
      <c r="H1" s="92"/>
      <c r="I1" s="92"/>
      <c r="J1" s="92"/>
      <c r="K1" s="92"/>
      <c r="L1" s="92"/>
      <c r="M1" s="92"/>
      <c r="N1" s="92"/>
      <c r="O1" s="92"/>
      <c r="P1" s="92"/>
      <c r="S1" s="92"/>
    </row>
    <row r="2" spans="1:20">
      <c r="A2" s="96"/>
      <c r="B2" s="96"/>
      <c r="C2" s="96"/>
      <c r="D2" s="96"/>
      <c r="E2" s="96"/>
      <c r="F2" s="96"/>
      <c r="G2" s="96"/>
      <c r="H2" s="96"/>
      <c r="I2" s="96"/>
      <c r="J2" s="96"/>
      <c r="K2" s="96"/>
      <c r="L2" s="96"/>
      <c r="M2" s="96"/>
      <c r="N2" s="96"/>
      <c r="O2" s="97"/>
      <c r="P2" s="96"/>
      <c r="S2" s="96"/>
      <c r="T2" s="8"/>
    </row>
    <row r="3" spans="1:20" ht="15.75">
      <c r="A3" s="264"/>
      <c r="B3" s="152" t="s">
        <v>64</v>
      </c>
      <c r="C3" s="152"/>
      <c r="D3" s="152"/>
      <c r="E3" s="152"/>
      <c r="F3" s="152"/>
      <c r="G3" s="152"/>
      <c r="H3" s="152"/>
      <c r="I3" s="152"/>
      <c r="J3" s="152"/>
      <c r="K3" s="152"/>
      <c r="L3" s="152"/>
      <c r="M3" s="156"/>
      <c r="N3" s="239" t="s">
        <v>91</v>
      </c>
      <c r="O3" s="109"/>
      <c r="P3" s="109"/>
      <c r="Q3" s="239" t="s">
        <v>91</v>
      </c>
      <c r="R3" s="109"/>
      <c r="S3" s="109"/>
      <c r="T3" s="260"/>
    </row>
    <row r="4" spans="1:20" ht="22.5">
      <c r="A4" s="95"/>
      <c r="B4" s="234" t="s">
        <v>63</v>
      </c>
      <c r="C4" s="234"/>
      <c r="D4" s="234"/>
      <c r="E4" s="233" t="s">
        <v>65</v>
      </c>
      <c r="F4" s="234"/>
      <c r="G4" s="234"/>
      <c r="H4" s="233" t="s">
        <v>46</v>
      </c>
      <c r="I4" s="235"/>
      <c r="J4" s="240" t="s">
        <v>97</v>
      </c>
      <c r="K4" s="240"/>
      <c r="L4" s="258" t="s">
        <v>91</v>
      </c>
      <c r="M4" s="258" t="s">
        <v>91</v>
      </c>
      <c r="N4" s="237" t="s">
        <v>67</v>
      </c>
      <c r="O4" s="238"/>
      <c r="P4" s="238"/>
      <c r="Q4" s="237" t="s">
        <v>68</v>
      </c>
      <c r="R4" s="238"/>
      <c r="S4" s="238"/>
      <c r="T4" s="256"/>
    </row>
    <row r="5" spans="1:20" ht="58.5" customHeight="1">
      <c r="A5" s="50"/>
      <c r="B5" s="51" t="s">
        <v>61</v>
      </c>
      <c r="C5" s="52" t="s">
        <v>62</v>
      </c>
      <c r="D5" s="52" t="s">
        <v>37</v>
      </c>
      <c r="E5" s="53" t="s">
        <v>61</v>
      </c>
      <c r="F5" s="52" t="s">
        <v>62</v>
      </c>
      <c r="G5" s="52" t="s">
        <v>37</v>
      </c>
      <c r="H5" s="53" t="s">
        <v>61</v>
      </c>
      <c r="I5" s="236" t="s">
        <v>62</v>
      </c>
      <c r="J5" s="241" t="s">
        <v>61</v>
      </c>
      <c r="K5" s="242" t="s">
        <v>62</v>
      </c>
      <c r="L5" s="237" t="s">
        <v>38</v>
      </c>
      <c r="M5" s="257" t="s">
        <v>335</v>
      </c>
      <c r="N5" s="53" t="s">
        <v>61</v>
      </c>
      <c r="O5" s="52" t="s">
        <v>62</v>
      </c>
      <c r="P5" s="52" t="s">
        <v>37</v>
      </c>
      <c r="Q5" s="53" t="s">
        <v>61</v>
      </c>
      <c r="R5" s="52" t="s">
        <v>62</v>
      </c>
      <c r="S5" s="52" t="s">
        <v>37</v>
      </c>
      <c r="T5" s="261" t="s">
        <v>335</v>
      </c>
    </row>
    <row r="6" spans="1:20">
      <c r="A6" s="73" t="s">
        <v>39</v>
      </c>
      <c r="B6" s="621">
        <f>'Distrib pivot table'!U$75</f>
        <v>330418751</v>
      </c>
      <c r="C6" s="626">
        <f>'Distrib pivot table'!U$77</f>
        <v>992847834.21327651</v>
      </c>
      <c r="D6" s="627">
        <f>'Distrib pivot table'!U$73</f>
        <v>2070795.32</v>
      </c>
      <c r="E6" s="628">
        <f>'Distrib pivot table'!U$81</f>
        <v>81562719.530000001</v>
      </c>
      <c r="F6" s="626">
        <f>'Distrib pivot table'!U$83</f>
        <v>149024117.78672352</v>
      </c>
      <c r="G6" s="621">
        <f>'Distrib pivot table'!U$79</f>
        <v>0</v>
      </c>
      <c r="H6" s="628">
        <f>'Distrib pivot table'!U$69</f>
        <v>8587821</v>
      </c>
      <c r="I6" s="629">
        <f>'Distrib pivot table'!U$71</f>
        <v>317019235</v>
      </c>
      <c r="J6" s="243">
        <f>+B6+E6+H6</f>
        <v>420569291.52999997</v>
      </c>
      <c r="K6" s="251">
        <f>+C6+F6+I6</f>
        <v>1458891187</v>
      </c>
      <c r="L6" s="628">
        <f>'Distrib pivot table'!U$67</f>
        <v>508714049</v>
      </c>
      <c r="M6" s="630">
        <f>+D6+G6+J6+K6+L6</f>
        <v>2390245322.8499999</v>
      </c>
      <c r="N6" s="628">
        <f>'Distrib pivot table'!U$87</f>
        <v>468598104</v>
      </c>
      <c r="O6" s="626">
        <f>'Distrib pivot table'!U$89</f>
        <v>477955284</v>
      </c>
      <c r="P6" s="621">
        <f>'Distrib pivot table'!U$85</f>
        <v>1700000</v>
      </c>
      <c r="Q6" s="628">
        <f>'Distrib pivot table'!U$93</f>
        <v>186610692</v>
      </c>
      <c r="R6" s="626">
        <f>'Distrib pivot table'!U$95</f>
        <v>191824676</v>
      </c>
      <c r="S6" s="621">
        <f>'Distrib pivot table'!U$91</f>
        <v>3406848</v>
      </c>
      <c r="T6" s="267">
        <f>+M6+N6+O6+P6+Q6+R6+S6</f>
        <v>3720340926.8499999</v>
      </c>
    </row>
    <row r="7" spans="1:20" s="470" customFormat="1">
      <c r="A7" s="622" t="s">
        <v>407</v>
      </c>
      <c r="B7" s="623">
        <v>75</v>
      </c>
      <c r="C7" s="623">
        <v>77</v>
      </c>
      <c r="D7" s="623">
        <v>73</v>
      </c>
      <c r="E7" s="624">
        <v>81</v>
      </c>
      <c r="F7" s="623">
        <v>83</v>
      </c>
      <c r="G7" s="623">
        <v>79</v>
      </c>
      <c r="H7" s="624">
        <v>69</v>
      </c>
      <c r="I7" s="625">
        <v>71</v>
      </c>
      <c r="J7" s="623"/>
      <c r="K7" s="625"/>
      <c r="L7" s="625">
        <v>67</v>
      </c>
      <c r="M7" s="625"/>
      <c r="N7" s="625">
        <v>87</v>
      </c>
      <c r="O7" s="625">
        <v>89</v>
      </c>
      <c r="P7" s="625">
        <v>85</v>
      </c>
      <c r="Q7" s="625">
        <v>93</v>
      </c>
      <c r="R7" s="625">
        <v>95</v>
      </c>
      <c r="S7" s="625">
        <v>91</v>
      </c>
      <c r="T7" s="468"/>
    </row>
    <row r="8" spans="1:20">
      <c r="A8" s="73" t="s">
        <v>320</v>
      </c>
      <c r="B8" s="249">
        <f>'Distrib pivot table'!E$75</f>
        <v>2492371</v>
      </c>
      <c r="C8" s="249">
        <f>'Distrib pivot table'!E$77</f>
        <v>56242822</v>
      </c>
      <c r="D8" s="250">
        <f>'Distrib pivot table'!E$73</f>
        <v>0</v>
      </c>
      <c r="E8" s="244">
        <f>'Distrib pivot table'!E$81</f>
        <v>131177</v>
      </c>
      <c r="F8" s="249">
        <f>'Distrib pivot table'!E$83</f>
        <v>27399</v>
      </c>
      <c r="G8" s="249">
        <f>'Distrib pivot table'!E$79</f>
        <v>0</v>
      </c>
      <c r="H8" s="244">
        <f>'Distrib pivot table'!E$69</f>
        <v>10399</v>
      </c>
      <c r="I8" s="250">
        <f>'Distrib pivot table'!E$71</f>
        <v>1204489</v>
      </c>
      <c r="J8" s="243">
        <f t="shared" ref="J8:J23" si="0">+B8+E8+H8</f>
        <v>2633947</v>
      </c>
      <c r="K8" s="251">
        <f t="shared" ref="K8:K23" si="1">+C8+F8+I8</f>
        <v>57474710</v>
      </c>
      <c r="L8" s="244">
        <f>'Distrib pivot table'!E$67</f>
        <v>0</v>
      </c>
      <c r="M8" s="265">
        <f t="shared" ref="M8:M23" si="2">+D8+G8+J8+K8+L8</f>
        <v>60108657</v>
      </c>
      <c r="N8" s="244">
        <f>'Distrib pivot table'!E$87</f>
        <v>0</v>
      </c>
      <c r="O8" s="249">
        <f>'Distrib pivot table'!E$89</f>
        <v>112500</v>
      </c>
      <c r="P8" s="249">
        <f>'Distrib pivot table'!E$85</f>
        <v>0</v>
      </c>
      <c r="Q8" s="244">
        <f>'Distrib pivot table'!E$93</f>
        <v>0</v>
      </c>
      <c r="R8" s="249">
        <f>'Distrib pivot table'!E$95</f>
        <v>1915929</v>
      </c>
      <c r="S8" s="249">
        <f>'Distrib pivot table'!E$91</f>
        <v>0</v>
      </c>
      <c r="T8" s="268">
        <f t="shared" ref="T8:T23" si="3">+M8+N8+O8+P8+Q8+R8+S8</f>
        <v>62137086</v>
      </c>
    </row>
    <row r="9" spans="1:20">
      <c r="A9" s="73" t="s">
        <v>334</v>
      </c>
      <c r="B9" s="249">
        <f>'Distrib pivot table'!F$75</f>
        <v>8550500</v>
      </c>
      <c r="C9" s="249">
        <f>'Distrib pivot table'!F$77</f>
        <v>101848777.21327648</v>
      </c>
      <c r="D9" s="250">
        <f>'Distrib pivot table'!F$73</f>
        <v>1500000</v>
      </c>
      <c r="E9" s="244">
        <f>'Distrib pivot table'!F$81</f>
        <v>545000</v>
      </c>
      <c r="F9" s="249">
        <f>'Distrib pivot table'!F$83</f>
        <v>14836875.786723526</v>
      </c>
      <c r="G9" s="249">
        <f>'Distrib pivot table'!F$79</f>
        <v>0</v>
      </c>
      <c r="H9" s="244">
        <f>'Distrib pivot table'!F$69</f>
        <v>0</v>
      </c>
      <c r="I9" s="250">
        <f>'Distrib pivot table'!F$71</f>
        <v>175000</v>
      </c>
      <c r="J9" s="243">
        <f t="shared" si="0"/>
        <v>9095500</v>
      </c>
      <c r="K9" s="251">
        <f t="shared" si="1"/>
        <v>116860653</v>
      </c>
      <c r="L9" s="244">
        <f>'Distrib pivot table'!F$67</f>
        <v>0</v>
      </c>
      <c r="M9" s="265">
        <f t="shared" si="2"/>
        <v>127456153</v>
      </c>
      <c r="N9" s="244">
        <f>'Distrib pivot table'!F$87</f>
        <v>0</v>
      </c>
      <c r="O9" s="249">
        <f>'Distrib pivot table'!F$89</f>
        <v>300000</v>
      </c>
      <c r="P9" s="249">
        <f>'Distrib pivot table'!F$85</f>
        <v>0</v>
      </c>
      <c r="Q9" s="244">
        <f>'Distrib pivot table'!F$93</f>
        <v>0</v>
      </c>
      <c r="R9" s="249">
        <f>'Distrib pivot table'!F$95</f>
        <v>0</v>
      </c>
      <c r="S9" s="249">
        <f>'Distrib pivot table'!F$91</f>
        <v>0</v>
      </c>
      <c r="T9" s="268">
        <f t="shared" si="3"/>
        <v>127756153</v>
      </c>
    </row>
    <row r="10" spans="1:20">
      <c r="A10" s="73" t="s">
        <v>321</v>
      </c>
      <c r="B10" s="248">
        <f>'Distrib pivot table'!G$75</f>
        <v>240940</v>
      </c>
      <c r="C10" s="248">
        <f>'Distrib pivot table'!G$77</f>
        <v>910114</v>
      </c>
      <c r="D10" s="246">
        <f>'Distrib pivot table'!G$73</f>
        <v>0</v>
      </c>
      <c r="E10" s="245">
        <f>'Distrib pivot table'!G$81</f>
        <v>403044.65</v>
      </c>
      <c r="F10" s="248">
        <f>'Distrib pivot table'!G$83</f>
        <v>485207</v>
      </c>
      <c r="G10" s="249">
        <f>'Distrib pivot table'!G$79</f>
        <v>0</v>
      </c>
      <c r="H10" s="245">
        <f>'Distrib pivot table'!G$69</f>
        <v>7500</v>
      </c>
      <c r="I10" s="246">
        <f>'Distrib pivot table'!G$71</f>
        <v>1627000</v>
      </c>
      <c r="J10" s="247">
        <f t="shared" si="0"/>
        <v>651484.65</v>
      </c>
      <c r="K10" s="247">
        <f t="shared" si="1"/>
        <v>3022321</v>
      </c>
      <c r="L10" s="245">
        <f>'Distrib pivot table'!G$67</f>
        <v>2245201</v>
      </c>
      <c r="M10" s="265">
        <f t="shared" si="2"/>
        <v>5919006.6500000004</v>
      </c>
      <c r="N10" s="245">
        <f>'Distrib pivot table'!G$87</f>
        <v>0</v>
      </c>
      <c r="O10" s="248">
        <f>'Distrib pivot table'!G$89</f>
        <v>0</v>
      </c>
      <c r="P10" s="249">
        <f>'Distrib pivot table'!G$85</f>
        <v>0</v>
      </c>
      <c r="Q10" s="256">
        <f>'Distrib pivot table'!G$93</f>
        <v>0</v>
      </c>
      <c r="R10" s="6">
        <f>'Distrib pivot table'!G$95</f>
        <v>0</v>
      </c>
      <c r="S10" s="249">
        <f>'Distrib pivot table'!G$91</f>
        <v>0</v>
      </c>
      <c r="T10" s="268">
        <f t="shared" si="3"/>
        <v>5919006.6500000004</v>
      </c>
    </row>
    <row r="11" spans="1:20">
      <c r="A11" s="73" t="s">
        <v>328</v>
      </c>
      <c r="B11" s="248">
        <f>'Distrib pivot table'!H$75</f>
        <v>0</v>
      </c>
      <c r="C11" s="248">
        <f>'Distrib pivot table'!H$77</f>
        <v>0</v>
      </c>
      <c r="D11" s="246">
        <f>'Distrib pivot table'!H$73</f>
        <v>0</v>
      </c>
      <c r="E11" s="245">
        <f>'Distrib pivot table'!H$81</f>
        <v>0</v>
      </c>
      <c r="F11" s="248">
        <f>'Distrib pivot table'!H$83</f>
        <v>0</v>
      </c>
      <c r="G11" s="249">
        <f>'Distrib pivot table'!H$79</f>
        <v>0</v>
      </c>
      <c r="H11" s="245">
        <f>'Distrib pivot table'!H$69</f>
        <v>8569922</v>
      </c>
      <c r="I11" s="246">
        <f>'Distrib pivot table'!H$71</f>
        <v>269307642</v>
      </c>
      <c r="J11" s="247">
        <f t="shared" si="0"/>
        <v>8569922</v>
      </c>
      <c r="K11" s="247">
        <f t="shared" si="1"/>
        <v>269307642</v>
      </c>
      <c r="L11" s="245">
        <f>'Distrib pivot table'!H$67</f>
        <v>0</v>
      </c>
      <c r="M11" s="265">
        <f t="shared" si="2"/>
        <v>277877564</v>
      </c>
      <c r="N11" s="245">
        <f>'Distrib pivot table'!H$87</f>
        <v>114525243</v>
      </c>
      <c r="O11" s="248">
        <f>'Distrib pivot table'!H$89</f>
        <v>1256747</v>
      </c>
      <c r="P11" s="249">
        <f>'Distrib pivot table'!H$85</f>
        <v>0</v>
      </c>
      <c r="Q11" s="256">
        <f>'Distrib pivot table'!H$93</f>
        <v>31481678</v>
      </c>
      <c r="R11" s="6">
        <f>'Distrib pivot table'!H$95</f>
        <v>118048500</v>
      </c>
      <c r="S11" s="249">
        <f>'Distrib pivot table'!H$91</f>
        <v>0</v>
      </c>
      <c r="T11" s="268">
        <f t="shared" si="3"/>
        <v>543189732</v>
      </c>
    </row>
    <row r="12" spans="1:20">
      <c r="A12" s="73" t="s">
        <v>329</v>
      </c>
      <c r="B12" s="248">
        <f>'Distrib pivot table'!I$75</f>
        <v>0</v>
      </c>
      <c r="C12" s="248">
        <f>'Distrib pivot table'!I$77</f>
        <v>376761</v>
      </c>
      <c r="D12" s="246">
        <f>'Distrib pivot table'!I$73</f>
        <v>0</v>
      </c>
      <c r="E12" s="245">
        <f>'Distrib pivot table'!I$81</f>
        <v>0</v>
      </c>
      <c r="F12" s="248">
        <f>'Distrib pivot table'!I$83</f>
        <v>924000</v>
      </c>
      <c r="G12" s="249">
        <f>'Distrib pivot table'!I$79</f>
        <v>0</v>
      </c>
      <c r="H12" s="245">
        <f>'Distrib pivot table'!I$69</f>
        <v>0</v>
      </c>
      <c r="I12" s="246">
        <f>'Distrib pivot table'!I$71</f>
        <v>0</v>
      </c>
      <c r="J12" s="247">
        <f t="shared" si="0"/>
        <v>0</v>
      </c>
      <c r="K12" s="247">
        <f t="shared" si="1"/>
        <v>1300761</v>
      </c>
      <c r="L12" s="245">
        <f>'Distrib pivot table'!I$67</f>
        <v>0</v>
      </c>
      <c r="M12" s="265">
        <f t="shared" si="2"/>
        <v>1300761</v>
      </c>
      <c r="N12" s="245">
        <f>'Distrib pivot table'!I$87</f>
        <v>0</v>
      </c>
      <c r="O12" s="248">
        <f>'Distrib pivot table'!I$89</f>
        <v>446598286</v>
      </c>
      <c r="P12" s="249">
        <f>'Distrib pivot table'!I$85</f>
        <v>0</v>
      </c>
      <c r="Q12" s="256">
        <f>'Distrib pivot table'!I$93</f>
        <v>0</v>
      </c>
      <c r="R12" s="6">
        <f>'Distrib pivot table'!I$95</f>
        <v>1162611</v>
      </c>
      <c r="S12" s="249">
        <f>'Distrib pivot table'!I$91</f>
        <v>0</v>
      </c>
      <c r="T12" s="268">
        <f t="shared" si="3"/>
        <v>449061658</v>
      </c>
    </row>
    <row r="13" spans="1:20">
      <c r="A13" s="73" t="s">
        <v>322</v>
      </c>
      <c r="B13" s="249">
        <f>'Distrib pivot table'!J$75</f>
        <v>47284845</v>
      </c>
      <c r="C13" s="249">
        <f>'Distrib pivot table'!J$77</f>
        <v>88697051</v>
      </c>
      <c r="D13" s="250">
        <f>'Distrib pivot table'!J$73</f>
        <v>0</v>
      </c>
      <c r="E13" s="244">
        <f>'Distrib pivot table'!J$81</f>
        <v>13536733</v>
      </c>
      <c r="F13" s="249">
        <f>'Distrib pivot table'!J$83</f>
        <v>18398878</v>
      </c>
      <c r="G13" s="249">
        <f>'Distrib pivot table'!J$79</f>
        <v>0</v>
      </c>
      <c r="H13" s="244">
        <f>'Distrib pivot table'!J$69</f>
        <v>0</v>
      </c>
      <c r="I13" s="250">
        <f>'Distrib pivot table'!J$71</f>
        <v>0</v>
      </c>
      <c r="J13" s="251">
        <f t="shared" si="0"/>
        <v>60821578</v>
      </c>
      <c r="K13" s="251">
        <f t="shared" si="1"/>
        <v>107095929</v>
      </c>
      <c r="L13" s="244">
        <f>'Distrib pivot table'!J$67</f>
        <v>0</v>
      </c>
      <c r="M13" s="265">
        <f t="shared" si="2"/>
        <v>167917507</v>
      </c>
      <c r="N13" s="244">
        <f>'Distrib pivot table'!J$87</f>
        <v>0</v>
      </c>
      <c r="O13" s="249">
        <f>'Distrib pivot table'!J$89</f>
        <v>0</v>
      </c>
      <c r="P13" s="249">
        <f>'Distrib pivot table'!J$85</f>
        <v>0</v>
      </c>
      <c r="Q13" s="256">
        <f>'Distrib pivot table'!J$93</f>
        <v>28404440</v>
      </c>
      <c r="R13" s="6">
        <f>'Distrib pivot table'!J$95</f>
        <v>632616</v>
      </c>
      <c r="S13" s="249">
        <f>'Distrib pivot table'!J$91</f>
        <v>0</v>
      </c>
      <c r="T13" s="268">
        <f t="shared" si="3"/>
        <v>196954563</v>
      </c>
    </row>
    <row r="14" spans="1:20">
      <c r="A14" s="73" t="s">
        <v>217</v>
      </c>
      <c r="B14" s="249">
        <f>'Distrib pivot table'!K$75</f>
        <v>24619025</v>
      </c>
      <c r="C14" s="249">
        <f>'Distrib pivot table'!K$77</f>
        <v>247795287</v>
      </c>
      <c r="D14" s="250">
        <f>'Distrib pivot table'!K$73</f>
        <v>0</v>
      </c>
      <c r="E14" s="244">
        <f>'Distrib pivot table'!K$81</f>
        <v>2203104</v>
      </c>
      <c r="F14" s="249">
        <f>'Distrib pivot table'!K$83</f>
        <v>16536273</v>
      </c>
      <c r="G14" s="249">
        <f>'Distrib pivot table'!K$79</f>
        <v>0</v>
      </c>
      <c r="H14" s="244">
        <f>'Distrib pivot table'!K$69</f>
        <v>0</v>
      </c>
      <c r="I14" s="250">
        <f>'Distrib pivot table'!K$71</f>
        <v>0</v>
      </c>
      <c r="J14" s="251">
        <f t="shared" si="0"/>
        <v>26822129</v>
      </c>
      <c r="K14" s="251">
        <f t="shared" si="1"/>
        <v>264331560</v>
      </c>
      <c r="L14" s="244">
        <f>'Distrib pivot table'!K$67</f>
        <v>0</v>
      </c>
      <c r="M14" s="265">
        <f t="shared" si="2"/>
        <v>291153689</v>
      </c>
      <c r="N14" s="244">
        <f>'Distrib pivot table'!K$87</f>
        <v>0</v>
      </c>
      <c r="O14" s="249">
        <f>'Distrib pivot table'!K$89</f>
        <v>60000</v>
      </c>
      <c r="P14" s="249">
        <f>'Distrib pivot table'!K$85</f>
        <v>0</v>
      </c>
      <c r="Q14" s="256">
        <f>'Distrib pivot table'!K$93</f>
        <v>0</v>
      </c>
      <c r="R14" s="6">
        <f>'Distrib pivot table'!K$95</f>
        <v>0</v>
      </c>
      <c r="S14" s="249">
        <f>'Distrib pivot table'!K$91</f>
        <v>0</v>
      </c>
      <c r="T14" s="268">
        <f t="shared" si="3"/>
        <v>291213689</v>
      </c>
    </row>
    <row r="15" spans="1:20">
      <c r="A15" s="73" t="s">
        <v>333</v>
      </c>
      <c r="B15" s="249">
        <f>'Distrib pivot table'!L$75</f>
        <v>62537021</v>
      </c>
      <c r="C15" s="249">
        <f>'Distrib pivot table'!L$77</f>
        <v>8330943</v>
      </c>
      <c r="D15" s="250">
        <f>'Distrib pivot table'!L$73</f>
        <v>0</v>
      </c>
      <c r="E15" s="244">
        <f>'Distrib pivot table'!L$81</f>
        <v>8825600</v>
      </c>
      <c r="F15" s="249">
        <f>'Distrib pivot table'!L$83</f>
        <v>2105404</v>
      </c>
      <c r="G15" s="249">
        <f>'Distrib pivot table'!L$79</f>
        <v>0</v>
      </c>
      <c r="H15" s="244">
        <f>'Distrib pivot table'!L$69</f>
        <v>0</v>
      </c>
      <c r="I15" s="250">
        <f>'Distrib pivot table'!L$71</f>
        <v>0</v>
      </c>
      <c r="J15" s="251">
        <f t="shared" si="0"/>
        <v>71362621</v>
      </c>
      <c r="K15" s="251">
        <f t="shared" si="1"/>
        <v>10436347</v>
      </c>
      <c r="L15" s="244">
        <f>'Distrib pivot table'!L$67</f>
        <v>0</v>
      </c>
      <c r="M15" s="265">
        <f t="shared" si="2"/>
        <v>81798968</v>
      </c>
      <c r="N15" s="244">
        <f>'Distrib pivot table'!L$87</f>
        <v>62537021</v>
      </c>
      <c r="O15" s="249">
        <f>'Distrib pivot table'!L$89</f>
        <v>8330943</v>
      </c>
      <c r="P15" s="249">
        <f>'Distrib pivot table'!L$85</f>
        <v>0</v>
      </c>
      <c r="Q15" s="256">
        <f>'Distrib pivot table'!L$93</f>
        <v>8825600</v>
      </c>
      <c r="R15" s="6">
        <f>'Distrib pivot table'!L$95</f>
        <v>2105404</v>
      </c>
      <c r="S15" s="249">
        <f>'Distrib pivot table'!L$91</f>
        <v>0</v>
      </c>
      <c r="T15" s="268">
        <f t="shared" si="3"/>
        <v>163597936</v>
      </c>
    </row>
    <row r="16" spans="1:20">
      <c r="A16" s="73" t="s">
        <v>323</v>
      </c>
      <c r="B16" s="249">
        <f>'Distrib pivot table'!M$75</f>
        <v>11650819</v>
      </c>
      <c r="C16" s="249">
        <f>'Distrib pivot table'!M$77</f>
        <v>13027203</v>
      </c>
      <c r="D16" s="249">
        <f>'Distrib pivot table'!M$73</f>
        <v>570795.32000000007</v>
      </c>
      <c r="E16" s="244">
        <f>'Distrib pivot table'!M$81</f>
        <v>1010024</v>
      </c>
      <c r="F16" s="249">
        <f>'Distrib pivot table'!M$83</f>
        <v>3365342</v>
      </c>
      <c r="G16" s="249">
        <f>'Distrib pivot table'!M$79</f>
        <v>0</v>
      </c>
      <c r="H16" s="244">
        <f>'Distrib pivot table'!M$69</f>
        <v>0</v>
      </c>
      <c r="I16" s="250">
        <f>'Distrib pivot table'!M$71</f>
        <v>333716</v>
      </c>
      <c r="J16" s="251">
        <f t="shared" si="0"/>
        <v>12660843</v>
      </c>
      <c r="K16" s="251">
        <f t="shared" si="1"/>
        <v>16726261</v>
      </c>
      <c r="L16" s="244">
        <f>'Distrib pivot table'!M$67</f>
        <v>0</v>
      </c>
      <c r="M16" s="265">
        <f t="shared" si="2"/>
        <v>29957899.32</v>
      </c>
      <c r="N16" s="244">
        <f>'Distrib pivot table'!M$87</f>
        <v>750000</v>
      </c>
      <c r="O16" s="249">
        <f>'Distrib pivot table'!M$89</f>
        <v>9882479</v>
      </c>
      <c r="P16" s="249">
        <f>'Distrib pivot table'!M$85</f>
        <v>0</v>
      </c>
      <c r="Q16" s="256">
        <f>'Distrib pivot table'!M$93</f>
        <v>0</v>
      </c>
      <c r="R16" s="6">
        <f>'Distrib pivot table'!M$95</f>
        <v>0</v>
      </c>
      <c r="S16" s="249">
        <f>'Distrib pivot table'!M$91</f>
        <v>0</v>
      </c>
      <c r="T16" s="268">
        <f t="shared" si="3"/>
        <v>40590378.32</v>
      </c>
    </row>
    <row r="17" spans="1:40">
      <c r="A17" s="73" t="s">
        <v>324</v>
      </c>
      <c r="B17" s="249">
        <f>'Distrib pivot table'!N$75</f>
        <v>0</v>
      </c>
      <c r="C17" s="249">
        <f>'Distrib pivot table'!N$77</f>
        <v>0</v>
      </c>
      <c r="D17" s="250">
        <f>'Distrib pivot table'!N$73</f>
        <v>0</v>
      </c>
      <c r="E17" s="244">
        <f>'Distrib pivot table'!N$81</f>
        <v>0</v>
      </c>
      <c r="F17" s="249">
        <f>'Distrib pivot table'!N$83</f>
        <v>0</v>
      </c>
      <c r="G17" s="249">
        <f>'Distrib pivot table'!N$79</f>
        <v>0</v>
      </c>
      <c r="H17" s="244">
        <f>'Distrib pivot table'!N$69</f>
        <v>0</v>
      </c>
      <c r="I17" s="250">
        <f>'Distrib pivot table'!N$71</f>
        <v>22162388</v>
      </c>
      <c r="J17" s="251">
        <f t="shared" si="0"/>
        <v>0</v>
      </c>
      <c r="K17" s="251">
        <f t="shared" si="1"/>
        <v>22162388</v>
      </c>
      <c r="L17" s="244">
        <f>'Distrib pivot table'!N$67</f>
        <v>0</v>
      </c>
      <c r="M17" s="265">
        <f t="shared" si="2"/>
        <v>22162388</v>
      </c>
      <c r="N17" s="244">
        <f>'Distrib pivot table'!N$87</f>
        <v>121448381</v>
      </c>
      <c r="O17" s="249">
        <f>'Distrib pivot table'!N$89</f>
        <v>3258000</v>
      </c>
      <c r="P17" s="249">
        <f>'Distrib pivot table'!N$85</f>
        <v>0</v>
      </c>
      <c r="Q17" s="256">
        <f>'Distrib pivot table'!N$93</f>
        <v>86351588</v>
      </c>
      <c r="R17" s="6">
        <f>'Distrib pivot table'!N$95</f>
        <v>0</v>
      </c>
      <c r="S17" s="249">
        <f>'Distrib pivot table'!N$91</f>
        <v>0</v>
      </c>
      <c r="T17" s="268">
        <f t="shared" si="3"/>
        <v>233220357</v>
      </c>
    </row>
    <row r="18" spans="1:40">
      <c r="A18" s="73" t="s">
        <v>331</v>
      </c>
      <c r="B18" s="249">
        <f>'Distrib pivot table'!O$75</f>
        <v>0</v>
      </c>
      <c r="C18" s="249">
        <f>'Distrib pivot table'!O$77</f>
        <v>0</v>
      </c>
      <c r="D18" s="250">
        <f>'Distrib pivot table'!O$73</f>
        <v>0</v>
      </c>
      <c r="E18" s="244">
        <f>'Distrib pivot table'!O$81</f>
        <v>0</v>
      </c>
      <c r="F18" s="249">
        <f>'Distrib pivot table'!O$83</f>
        <v>0</v>
      </c>
      <c r="G18" s="249">
        <f>'Distrib pivot table'!O$79</f>
        <v>0</v>
      </c>
      <c r="H18" s="244">
        <f>'Distrib pivot table'!O$69</f>
        <v>0</v>
      </c>
      <c r="I18" s="250">
        <f>'Distrib pivot table'!O$71</f>
        <v>0</v>
      </c>
      <c r="J18" s="251">
        <f t="shared" si="0"/>
        <v>0</v>
      </c>
      <c r="K18" s="251">
        <f t="shared" si="1"/>
        <v>0</v>
      </c>
      <c r="L18" s="244">
        <f>'Distrib pivot table'!O$67</f>
        <v>77232704</v>
      </c>
      <c r="M18" s="265">
        <f t="shared" si="2"/>
        <v>77232704</v>
      </c>
      <c r="N18" s="244">
        <f>'Distrib pivot table'!O$87</f>
        <v>0</v>
      </c>
      <c r="O18" s="249">
        <f>'Distrib pivot table'!O$89</f>
        <v>0</v>
      </c>
      <c r="P18" s="249">
        <f>'Distrib pivot table'!O$85</f>
        <v>0</v>
      </c>
      <c r="Q18" s="256">
        <f>'Distrib pivot table'!O$93</f>
        <v>0</v>
      </c>
      <c r="R18" s="6">
        <f>'Distrib pivot table'!O$95</f>
        <v>0</v>
      </c>
      <c r="S18" s="249">
        <f>'Distrib pivot table'!O$91</f>
        <v>3406848</v>
      </c>
      <c r="T18" s="268">
        <f t="shared" si="3"/>
        <v>80639552</v>
      </c>
    </row>
    <row r="19" spans="1:40">
      <c r="A19" s="73" t="s">
        <v>325</v>
      </c>
      <c r="B19" s="249">
        <f>'Distrib pivot table'!P$75</f>
        <v>22514935</v>
      </c>
      <c r="C19" s="249">
        <f>'Distrib pivot table'!P$77</f>
        <v>260200729</v>
      </c>
      <c r="D19" s="250">
        <f>'Distrib pivot table'!P$73</f>
        <v>0</v>
      </c>
      <c r="E19" s="244">
        <f>'Distrib pivot table'!P$81</f>
        <v>5085065</v>
      </c>
      <c r="F19" s="249">
        <f>'Distrib pivot table'!P$83</f>
        <v>47094163</v>
      </c>
      <c r="G19" s="249">
        <f>'Distrib pivot table'!P$79</f>
        <v>0</v>
      </c>
      <c r="H19" s="244">
        <f>'Distrib pivot table'!P$69</f>
        <v>0</v>
      </c>
      <c r="I19" s="250">
        <f>'Distrib pivot table'!P$71</f>
        <v>4545000</v>
      </c>
      <c r="J19" s="251">
        <f t="shared" si="0"/>
        <v>27600000</v>
      </c>
      <c r="K19" s="251">
        <f t="shared" si="1"/>
        <v>311839892</v>
      </c>
      <c r="L19" s="244">
        <f>'Distrib pivot table'!P$67</f>
        <v>0</v>
      </c>
      <c r="M19" s="265">
        <f t="shared" si="2"/>
        <v>339439892</v>
      </c>
      <c r="N19" s="244">
        <f>'Distrib pivot table'!P$87</f>
        <v>0</v>
      </c>
      <c r="O19" s="249">
        <f>'Distrib pivot table'!P$89</f>
        <v>0</v>
      </c>
      <c r="P19" s="249">
        <f>'Distrib pivot table'!P$85</f>
        <v>0</v>
      </c>
      <c r="Q19" s="256">
        <f>'Distrib pivot table'!P$93</f>
        <v>31547386</v>
      </c>
      <c r="R19" s="6">
        <f>'Distrib pivot table'!P$95</f>
        <v>0</v>
      </c>
      <c r="S19" s="249">
        <f>'Distrib pivot table'!P$91</f>
        <v>0</v>
      </c>
      <c r="T19" s="268">
        <f t="shared" si="3"/>
        <v>370987278</v>
      </c>
    </row>
    <row r="20" spans="1:40">
      <c r="A20" s="73" t="s">
        <v>90</v>
      </c>
      <c r="B20" s="249">
        <f>'Distrib pivot table'!Q$75</f>
        <v>113022444</v>
      </c>
      <c r="C20" s="249">
        <f>'Distrib pivot table'!Q$77</f>
        <v>170568942</v>
      </c>
      <c r="D20" s="250">
        <f>'Distrib pivot table'!Q$73</f>
        <v>0</v>
      </c>
      <c r="E20" s="244">
        <f>'Distrib pivot table'!Q$81</f>
        <v>44129707.879999995</v>
      </c>
      <c r="F20" s="249">
        <f>'Distrib pivot table'!Q$83</f>
        <v>40319166</v>
      </c>
      <c r="G20" s="249">
        <f>'Distrib pivot table'!Q$79</f>
        <v>0</v>
      </c>
      <c r="H20" s="244">
        <f>'Distrib pivot table'!Q$69</f>
        <v>0</v>
      </c>
      <c r="I20" s="250">
        <f>'Distrib pivot table'!Q$71</f>
        <v>0</v>
      </c>
      <c r="J20" s="251">
        <f t="shared" si="0"/>
        <v>157152151.88</v>
      </c>
      <c r="K20" s="251">
        <f t="shared" si="1"/>
        <v>210888108</v>
      </c>
      <c r="L20" s="244">
        <f>'Distrib pivot table'!Q$67</f>
        <v>0</v>
      </c>
      <c r="M20" s="265">
        <f t="shared" si="2"/>
        <v>368040259.88</v>
      </c>
      <c r="N20" s="244">
        <f>'Distrib pivot table'!Q$87</f>
        <v>0</v>
      </c>
      <c r="O20" s="249">
        <f>'Distrib pivot table'!Q$89</f>
        <v>0</v>
      </c>
      <c r="P20" s="249">
        <f>'Distrib pivot table'!Q$85</f>
        <v>0</v>
      </c>
      <c r="Q20" s="256">
        <f>'Distrib pivot table'!Q$93</f>
        <v>0</v>
      </c>
      <c r="R20" s="6">
        <f>'Distrib pivot table'!Q$95</f>
        <v>0</v>
      </c>
      <c r="S20" s="249">
        <f>'Distrib pivot table'!Q$91</f>
        <v>0</v>
      </c>
      <c r="T20" s="268">
        <f t="shared" si="3"/>
        <v>368040259.88</v>
      </c>
    </row>
    <row r="21" spans="1:40">
      <c r="A21" s="73" t="s">
        <v>326</v>
      </c>
      <c r="B21" s="249">
        <f>'Distrib pivot table'!R$75</f>
        <v>0</v>
      </c>
      <c r="C21" s="249">
        <f>'Distrib pivot table'!R$77</f>
        <v>0</v>
      </c>
      <c r="D21" s="250">
        <f>'Distrib pivot table'!R$73</f>
        <v>0</v>
      </c>
      <c r="E21" s="244">
        <f>'Distrib pivot table'!R$81</f>
        <v>0</v>
      </c>
      <c r="F21" s="249">
        <f>'Distrib pivot table'!R$83</f>
        <v>0</v>
      </c>
      <c r="G21" s="249">
        <f>'Distrib pivot table'!R$79</f>
        <v>0</v>
      </c>
      <c r="H21" s="244">
        <f>'Distrib pivot table'!R$69</f>
        <v>0</v>
      </c>
      <c r="I21" s="250">
        <f>'Distrib pivot table'!R$71</f>
        <v>17664000</v>
      </c>
      <c r="J21" s="251">
        <f t="shared" si="0"/>
        <v>0</v>
      </c>
      <c r="K21" s="251">
        <f t="shared" si="1"/>
        <v>17664000</v>
      </c>
      <c r="L21" s="244">
        <f>'Distrib pivot table'!R$67</f>
        <v>429236144</v>
      </c>
      <c r="M21" s="265">
        <f t="shared" si="2"/>
        <v>446900144</v>
      </c>
      <c r="N21" s="244">
        <f>'Distrib pivot table'!R$87</f>
        <v>0</v>
      </c>
      <c r="O21" s="249">
        <f>'Distrib pivot table'!R$89</f>
        <v>0</v>
      </c>
      <c r="P21" s="249">
        <f>'Distrib pivot table'!R$85</f>
        <v>0</v>
      </c>
      <c r="Q21" s="256">
        <f>'Distrib pivot table'!R$93</f>
        <v>0</v>
      </c>
      <c r="R21" s="6">
        <f>'Distrib pivot table'!R$95</f>
        <v>0</v>
      </c>
      <c r="S21" s="262">
        <f>'Distrib pivot table'!R$91</f>
        <v>0</v>
      </c>
      <c r="T21" s="268">
        <f t="shared" si="3"/>
        <v>446900144</v>
      </c>
    </row>
    <row r="22" spans="1:40">
      <c r="A22" s="73" t="s">
        <v>327</v>
      </c>
      <c r="B22" s="249">
        <f>'Distrib pivot table'!S$75</f>
        <v>0</v>
      </c>
      <c r="C22" s="249">
        <f>'Distrib pivot table'!S$77</f>
        <v>1915000</v>
      </c>
      <c r="D22" s="250">
        <f>'Distrib pivot table'!S$73</f>
        <v>0</v>
      </c>
      <c r="E22" s="244">
        <f>'Distrib pivot table'!S$81</f>
        <v>0</v>
      </c>
      <c r="F22" s="249">
        <f>'Distrib pivot table'!S$83</f>
        <v>0</v>
      </c>
      <c r="G22" s="249">
        <f>'Distrib pivot table'!S$79</f>
        <v>0</v>
      </c>
      <c r="H22" s="244">
        <f>'Distrib pivot table'!S$69</f>
        <v>0</v>
      </c>
      <c r="I22" s="250">
        <f>'Distrib pivot table'!S$71</f>
        <v>0</v>
      </c>
      <c r="J22" s="251">
        <f t="shared" si="0"/>
        <v>0</v>
      </c>
      <c r="K22" s="251">
        <f t="shared" si="1"/>
        <v>1915000</v>
      </c>
      <c r="L22" s="244">
        <f>'Distrib pivot table'!S$67</f>
        <v>0</v>
      </c>
      <c r="M22" s="265">
        <f t="shared" si="2"/>
        <v>1915000</v>
      </c>
      <c r="N22" s="244">
        <f>'Distrib pivot table'!S$87</f>
        <v>169337459</v>
      </c>
      <c r="O22" s="249">
        <f>'Distrib pivot table'!S$89</f>
        <v>8156329</v>
      </c>
      <c r="P22" s="249">
        <f>'Distrib pivot table'!S$85</f>
        <v>1700000</v>
      </c>
      <c r="Q22" s="256">
        <f>'Distrib pivot table'!S$93</f>
        <v>0</v>
      </c>
      <c r="R22" s="6">
        <f>'Distrib pivot table'!S$95</f>
        <v>67959616</v>
      </c>
      <c r="S22" s="262">
        <f>'Distrib pivot table'!S$91</f>
        <v>0</v>
      </c>
      <c r="T22" s="268">
        <f t="shared" si="3"/>
        <v>249068404</v>
      </c>
    </row>
    <row r="23" spans="1:40">
      <c r="A23" s="74" t="s">
        <v>332</v>
      </c>
      <c r="B23" s="253">
        <f>'Distrib pivot table'!T$75</f>
        <v>37505851</v>
      </c>
      <c r="C23" s="253">
        <f>'Distrib pivot table'!T$77</f>
        <v>42934205</v>
      </c>
      <c r="D23" s="254">
        <f>'Distrib pivot table'!T$73</f>
        <v>0</v>
      </c>
      <c r="E23" s="252">
        <f>'Distrib pivot table'!T$81</f>
        <v>5693264</v>
      </c>
      <c r="F23" s="253">
        <f>'Distrib pivot table'!T$83</f>
        <v>4931410</v>
      </c>
      <c r="G23" s="253">
        <f>'Distrib pivot table'!T$79</f>
        <v>0</v>
      </c>
      <c r="H23" s="252">
        <f>'Distrib pivot table'!T$69</f>
        <v>0</v>
      </c>
      <c r="I23" s="254">
        <f>'Distrib pivot table'!T$71</f>
        <v>0</v>
      </c>
      <c r="J23" s="255">
        <f t="shared" si="0"/>
        <v>43199115</v>
      </c>
      <c r="K23" s="255">
        <f t="shared" si="1"/>
        <v>47865615</v>
      </c>
      <c r="L23" s="252">
        <f>'Distrib pivot table'!T$67</f>
        <v>0</v>
      </c>
      <c r="M23" s="266">
        <f t="shared" si="2"/>
        <v>91064730</v>
      </c>
      <c r="N23" s="252">
        <f>'Distrib pivot table'!T$87</f>
        <v>0</v>
      </c>
      <c r="O23" s="253">
        <f>'Distrib pivot table'!T$89</f>
        <v>0</v>
      </c>
      <c r="P23" s="253">
        <f>'Distrib pivot table'!T$85</f>
        <v>0</v>
      </c>
      <c r="Q23" s="259">
        <f>'Distrib pivot table'!T$93</f>
        <v>0</v>
      </c>
      <c r="R23" s="8">
        <f>'Distrib pivot table'!T$95</f>
        <v>0</v>
      </c>
      <c r="S23" s="263">
        <f>'Distrib pivot table'!T$91</f>
        <v>0</v>
      </c>
      <c r="T23" s="269">
        <f t="shared" si="3"/>
        <v>91064730</v>
      </c>
    </row>
    <row r="24" spans="1:40">
      <c r="A24" s="99"/>
      <c r="B24" s="75"/>
      <c r="C24" s="75"/>
      <c r="D24" s="75"/>
      <c r="E24" s="75"/>
      <c r="F24" s="75"/>
      <c r="G24" s="75"/>
      <c r="H24" s="75"/>
      <c r="I24" s="75"/>
      <c r="J24" s="75"/>
      <c r="K24" s="75"/>
      <c r="L24" s="75"/>
      <c r="M24" s="75"/>
      <c r="N24" s="107"/>
      <c r="O24" s="107"/>
      <c r="P24" s="107"/>
      <c r="S24" s="107"/>
      <c r="AN24" s="6"/>
    </row>
    <row r="25" spans="1:40" ht="15.75">
      <c r="A25" s="218" t="s">
        <v>375</v>
      </c>
      <c r="B25" s="92"/>
      <c r="C25" s="92"/>
      <c r="D25" s="92"/>
      <c r="E25" s="92"/>
      <c r="F25" s="92"/>
      <c r="G25" s="92"/>
      <c r="H25" s="92"/>
      <c r="I25" s="92"/>
      <c r="J25" s="92"/>
      <c r="K25" s="92"/>
      <c r="L25" s="92"/>
      <c r="M25" s="92"/>
      <c r="N25" s="92"/>
      <c r="O25" s="92"/>
      <c r="P25" s="92"/>
      <c r="S25" s="92"/>
      <c r="AN25" s="6"/>
    </row>
    <row r="26" spans="1:40">
      <c r="A26" s="96"/>
      <c r="B26" s="96"/>
      <c r="C26" s="96"/>
      <c r="D26" s="96"/>
      <c r="E26" s="96"/>
      <c r="F26" s="96"/>
      <c r="G26" s="96"/>
      <c r="H26" s="96"/>
      <c r="I26" s="96"/>
      <c r="J26" s="96"/>
      <c r="K26" s="96"/>
      <c r="L26" s="96"/>
      <c r="M26" s="96"/>
      <c r="N26" s="96"/>
      <c r="O26" s="97"/>
      <c r="P26" s="96"/>
      <c r="S26" s="96"/>
      <c r="T26" s="8"/>
      <c r="AN26" s="6"/>
    </row>
    <row r="27" spans="1:40" ht="15.75">
      <c r="A27" s="264"/>
      <c r="B27" s="152" t="s">
        <v>64</v>
      </c>
      <c r="C27" s="152"/>
      <c r="D27" s="152"/>
      <c r="E27" s="152"/>
      <c r="F27" s="152"/>
      <c r="G27" s="152"/>
      <c r="H27" s="152"/>
      <c r="I27" s="152"/>
      <c r="J27" s="152"/>
      <c r="K27" s="152"/>
      <c r="L27" s="152"/>
      <c r="M27" s="156"/>
      <c r="N27" s="239" t="s">
        <v>91</v>
      </c>
      <c r="O27" s="109"/>
      <c r="P27" s="109"/>
      <c r="Q27" s="239" t="s">
        <v>91</v>
      </c>
      <c r="R27" s="109"/>
      <c r="S27" s="109"/>
      <c r="T27" s="260"/>
      <c r="AN27" s="6"/>
    </row>
    <row r="28" spans="1:40" ht="22.5">
      <c r="A28" s="95"/>
      <c r="B28" s="234" t="s">
        <v>63</v>
      </c>
      <c r="C28" s="234"/>
      <c r="D28" s="234"/>
      <c r="E28" s="233" t="s">
        <v>65</v>
      </c>
      <c r="F28" s="234"/>
      <c r="G28" s="234"/>
      <c r="H28" s="233" t="s">
        <v>46</v>
      </c>
      <c r="I28" s="235"/>
      <c r="J28" s="240" t="s">
        <v>97</v>
      </c>
      <c r="K28" s="240"/>
      <c r="L28" s="258" t="s">
        <v>91</v>
      </c>
      <c r="M28" s="258" t="s">
        <v>91</v>
      </c>
      <c r="N28" s="237" t="s">
        <v>67</v>
      </c>
      <c r="O28" s="238"/>
      <c r="P28" s="238"/>
      <c r="Q28" s="237" t="s">
        <v>68</v>
      </c>
      <c r="R28" s="238"/>
      <c r="S28" s="238"/>
      <c r="T28" s="256"/>
      <c r="AN28" s="6"/>
    </row>
    <row r="29" spans="1:40" ht="45">
      <c r="A29" s="50"/>
      <c r="B29" s="51" t="s">
        <v>61</v>
      </c>
      <c r="C29" s="52" t="s">
        <v>62</v>
      </c>
      <c r="D29" s="52" t="s">
        <v>37</v>
      </c>
      <c r="E29" s="53" t="s">
        <v>61</v>
      </c>
      <c r="F29" s="52" t="s">
        <v>62</v>
      </c>
      <c r="G29" s="52" t="s">
        <v>37</v>
      </c>
      <c r="H29" s="53" t="s">
        <v>61</v>
      </c>
      <c r="I29" s="236" t="s">
        <v>62</v>
      </c>
      <c r="J29" s="241" t="s">
        <v>61</v>
      </c>
      <c r="K29" s="242" t="s">
        <v>62</v>
      </c>
      <c r="L29" s="237" t="s">
        <v>38</v>
      </c>
      <c r="M29" s="257" t="s">
        <v>335</v>
      </c>
      <c r="N29" s="53" t="s">
        <v>61</v>
      </c>
      <c r="O29" s="52" t="s">
        <v>62</v>
      </c>
      <c r="P29" s="52" t="s">
        <v>37</v>
      </c>
      <c r="Q29" s="53" t="s">
        <v>61</v>
      </c>
      <c r="R29" s="52" t="s">
        <v>62</v>
      </c>
      <c r="S29" s="52" t="s">
        <v>37</v>
      </c>
      <c r="T29" s="261" t="s">
        <v>335</v>
      </c>
      <c r="AN29" s="6"/>
    </row>
    <row r="30" spans="1:40">
      <c r="A30" s="73" t="s">
        <v>39</v>
      </c>
      <c r="B30" s="621">
        <f>'Distrib pivot table'!U$74</f>
        <v>340815919.72277033</v>
      </c>
      <c r="C30" s="626">
        <f>'Distrib pivot table'!U$76</f>
        <v>920077945.44716096</v>
      </c>
      <c r="D30" s="627">
        <f>'Distrib pivot table'!U$72</f>
        <v>1669891</v>
      </c>
      <c r="E30" s="628">
        <f>'Distrib pivot table'!U$80</f>
        <v>95261712.917229682</v>
      </c>
      <c r="F30" s="626">
        <f>'Distrib pivot table'!U$82</f>
        <v>143343939.87283903</v>
      </c>
      <c r="G30" s="621">
        <f>'Distrib pivot table'!U$78</f>
        <v>0</v>
      </c>
      <c r="H30" s="628">
        <f>'Distrib pivot table'!U$68</f>
        <v>8637821</v>
      </c>
      <c r="I30" s="629">
        <f>'Distrib pivot table'!U$70</f>
        <v>363195915</v>
      </c>
      <c r="J30" s="243">
        <f>+B30+E30+H30</f>
        <v>444715453.63999999</v>
      </c>
      <c r="K30" s="251">
        <f>+C30+F30+I30</f>
        <v>1426617800.3199999</v>
      </c>
      <c r="L30" s="628">
        <f>'Distrib pivot table'!U$66</f>
        <v>617251291</v>
      </c>
      <c r="M30" s="630">
        <f>+D30+G30+J30+K30+L30</f>
        <v>2490254435.96</v>
      </c>
      <c r="N30" s="628">
        <f>'Distrib pivot table'!U$86</f>
        <v>391455759</v>
      </c>
      <c r="O30" s="626">
        <f>'Distrib pivot table'!U$88</f>
        <v>451444726</v>
      </c>
      <c r="P30" s="621">
        <f>'Distrib pivot table'!U$84</f>
        <v>1650000</v>
      </c>
      <c r="Q30" s="628">
        <f>'Distrib pivot table'!U$92</f>
        <v>176167702</v>
      </c>
      <c r="R30" s="626">
        <f>'Distrib pivot table'!U$94</f>
        <v>161580881</v>
      </c>
      <c r="S30" s="621">
        <f>'Distrib pivot table'!U$90</f>
        <v>3406848</v>
      </c>
      <c r="T30" s="267">
        <f>+M30+N30+O30+P30+Q30+R30+S30</f>
        <v>3675960351.96</v>
      </c>
      <c r="AN30" s="6"/>
    </row>
    <row r="31" spans="1:40" s="470" customFormat="1">
      <c r="A31" s="622" t="s">
        <v>407</v>
      </c>
      <c r="B31" s="623">
        <v>74</v>
      </c>
      <c r="C31" s="623">
        <v>76</v>
      </c>
      <c r="D31" s="623">
        <v>72</v>
      </c>
      <c r="E31" s="624">
        <v>80</v>
      </c>
      <c r="F31" s="623">
        <v>82</v>
      </c>
      <c r="G31" s="623">
        <v>78</v>
      </c>
      <c r="H31" s="624">
        <v>68</v>
      </c>
      <c r="I31" s="625">
        <v>70</v>
      </c>
      <c r="J31" s="468"/>
      <c r="K31" s="467"/>
      <c r="L31" s="625">
        <v>66</v>
      </c>
      <c r="M31" s="469"/>
      <c r="N31" s="625">
        <v>86</v>
      </c>
      <c r="O31" s="625">
        <v>88</v>
      </c>
      <c r="P31" s="625">
        <v>84</v>
      </c>
      <c r="Q31" s="625">
        <v>92</v>
      </c>
      <c r="R31" s="625">
        <v>94</v>
      </c>
      <c r="S31" s="625">
        <v>90</v>
      </c>
      <c r="T31" s="468"/>
      <c r="AN31" s="471"/>
    </row>
    <row r="32" spans="1:40">
      <c r="A32" s="73" t="s">
        <v>320</v>
      </c>
      <c r="B32" s="249">
        <f>'Distrib pivot table'!E$74</f>
        <v>2143221</v>
      </c>
      <c r="C32" s="249">
        <f>'Distrib pivot table'!E$76</f>
        <v>54251412</v>
      </c>
      <c r="D32" s="250">
        <f>'Distrib pivot table'!E$72</f>
        <v>0</v>
      </c>
      <c r="E32" s="244">
        <f>'Distrib pivot table'!E$80</f>
        <v>492286</v>
      </c>
      <c r="F32" s="249">
        <f>'Distrib pivot table'!E$82</f>
        <v>27121</v>
      </c>
      <c r="G32" s="249">
        <f>'Distrib pivot table'!E$78</f>
        <v>0</v>
      </c>
      <c r="H32" s="244">
        <f>'Distrib pivot table'!E$68</f>
        <v>10399</v>
      </c>
      <c r="I32" s="250">
        <f>'Distrib pivot table'!E$70</f>
        <v>1204489</v>
      </c>
      <c r="J32" s="243">
        <f t="shared" ref="J32:J47" si="4">+B32+E32+H32</f>
        <v>2645906</v>
      </c>
      <c r="K32" s="251">
        <f t="shared" ref="K32:K47" si="5">+C32+F32+I32</f>
        <v>55483022</v>
      </c>
      <c r="L32" s="244">
        <f>'Distrib pivot table'!E$66</f>
        <v>0</v>
      </c>
      <c r="M32" s="265">
        <f t="shared" ref="M32:M47" si="6">+D32+G32+J32+K32+L32</f>
        <v>58128928</v>
      </c>
      <c r="N32" s="244">
        <f>'Distrib pivot table'!E$86</f>
        <v>0</v>
      </c>
      <c r="O32" s="249">
        <f>'Distrib pivot table'!E$88</f>
        <v>112500</v>
      </c>
      <c r="P32" s="249">
        <f>'Distrib pivot table'!E$84</f>
        <v>0</v>
      </c>
      <c r="Q32" s="244">
        <f>'Distrib pivot table'!E$92</f>
        <v>0</v>
      </c>
      <c r="R32" s="249">
        <f>'Distrib pivot table'!E$94</f>
        <v>1924587</v>
      </c>
      <c r="S32" s="249">
        <f>'Distrib pivot table'!E$90</f>
        <v>0</v>
      </c>
      <c r="T32" s="268">
        <f t="shared" ref="T32:T47" si="7">+M32+N32+O32+P32+Q32+R32+S32</f>
        <v>60166015</v>
      </c>
      <c r="AN32" s="6"/>
    </row>
    <row r="33" spans="1:40">
      <c r="A33" s="73" t="s">
        <v>334</v>
      </c>
      <c r="B33" s="249">
        <f>'Distrib pivot table'!F$74</f>
        <v>7793247</v>
      </c>
      <c r="C33" s="249">
        <f>'Distrib pivot table'!F$76</f>
        <v>112169037</v>
      </c>
      <c r="D33" s="250">
        <f>'Distrib pivot table'!F$72</f>
        <v>1076142</v>
      </c>
      <c r="E33" s="244">
        <f>'Distrib pivot table'!F$80</f>
        <v>489979</v>
      </c>
      <c r="F33" s="249">
        <f>'Distrib pivot table'!F$82</f>
        <v>15850785</v>
      </c>
      <c r="G33" s="249">
        <f>'Distrib pivot table'!F$78</f>
        <v>0</v>
      </c>
      <c r="H33" s="244">
        <f>'Distrib pivot table'!F$68</f>
        <v>0</v>
      </c>
      <c r="I33" s="250">
        <f>'Distrib pivot table'!F$70</f>
        <v>175000</v>
      </c>
      <c r="J33" s="243">
        <f t="shared" si="4"/>
        <v>8283226</v>
      </c>
      <c r="K33" s="251">
        <f t="shared" si="5"/>
        <v>128194822</v>
      </c>
      <c r="L33" s="244">
        <f>'Distrib pivot table'!F$66</f>
        <v>0</v>
      </c>
      <c r="M33" s="265">
        <f t="shared" si="6"/>
        <v>137554190</v>
      </c>
      <c r="N33" s="244">
        <f>'Distrib pivot table'!F$86</f>
        <v>0</v>
      </c>
      <c r="O33" s="249">
        <f>'Distrib pivot table'!F$88</f>
        <v>252849</v>
      </c>
      <c r="P33" s="249">
        <f>'Distrib pivot table'!F$84</f>
        <v>0</v>
      </c>
      <c r="Q33" s="244">
        <f>'Distrib pivot table'!F$92</f>
        <v>0</v>
      </c>
      <c r="R33" s="249">
        <f>'Distrib pivot table'!F$94</f>
        <v>0</v>
      </c>
      <c r="S33" s="249">
        <f>'Distrib pivot table'!F$90</f>
        <v>0</v>
      </c>
      <c r="T33" s="268">
        <f t="shared" si="7"/>
        <v>137807039</v>
      </c>
      <c r="AN33" s="6"/>
    </row>
    <row r="34" spans="1:40">
      <c r="A34" s="73" t="s">
        <v>321</v>
      </c>
      <c r="B34" s="248">
        <f>'Distrib pivot table'!G$74</f>
        <v>216362</v>
      </c>
      <c r="C34" s="248">
        <f>'Distrib pivot table'!G$76</f>
        <v>877848</v>
      </c>
      <c r="D34" s="246">
        <f>'Distrib pivot table'!G$72</f>
        <v>0</v>
      </c>
      <c r="E34" s="245">
        <f>'Distrib pivot table'!G$80</f>
        <v>388728</v>
      </c>
      <c r="F34" s="248">
        <f>'Distrib pivot table'!G$82</f>
        <v>483473</v>
      </c>
      <c r="G34" s="249">
        <f>'Distrib pivot table'!G$78</f>
        <v>0</v>
      </c>
      <c r="H34" s="245">
        <f>'Distrib pivot table'!G$68</f>
        <v>7500</v>
      </c>
      <c r="I34" s="246">
        <f>'Distrib pivot table'!G$70</f>
        <v>1419500</v>
      </c>
      <c r="J34" s="247">
        <f t="shared" si="4"/>
        <v>612590</v>
      </c>
      <c r="K34" s="247">
        <f t="shared" si="5"/>
        <v>2780821</v>
      </c>
      <c r="L34" s="245">
        <f>'Distrib pivot table'!G$66</f>
        <v>1549955</v>
      </c>
      <c r="M34" s="265">
        <f t="shared" si="6"/>
        <v>4943366</v>
      </c>
      <c r="N34" s="245">
        <f>'Distrib pivot table'!G$86</f>
        <v>0</v>
      </c>
      <c r="O34" s="248">
        <f>'Distrib pivot table'!G$88</f>
        <v>0</v>
      </c>
      <c r="P34" s="249">
        <f>'Distrib pivot table'!G$84</f>
        <v>0</v>
      </c>
      <c r="Q34" s="256">
        <f>'Distrib pivot table'!G$92</f>
        <v>0</v>
      </c>
      <c r="R34" s="6">
        <f>'Distrib pivot table'!G$94</f>
        <v>0</v>
      </c>
      <c r="S34" s="249">
        <f>'Distrib pivot table'!G$90</f>
        <v>0</v>
      </c>
      <c r="T34" s="268">
        <f t="shared" si="7"/>
        <v>4943366</v>
      </c>
      <c r="AN34" s="6"/>
    </row>
    <row r="35" spans="1:40">
      <c r="A35" s="73" t="s">
        <v>328</v>
      </c>
      <c r="B35" s="248">
        <f>'Distrib pivot table'!H$74</f>
        <v>0</v>
      </c>
      <c r="C35" s="248">
        <f>'Distrib pivot table'!H$76</f>
        <v>0</v>
      </c>
      <c r="D35" s="246">
        <f>'Distrib pivot table'!H$72</f>
        <v>0</v>
      </c>
      <c r="E35" s="245">
        <f>'Distrib pivot table'!H$80</f>
        <v>0</v>
      </c>
      <c r="F35" s="248">
        <f>'Distrib pivot table'!H$82</f>
        <v>0</v>
      </c>
      <c r="G35" s="249">
        <f>'Distrib pivot table'!H$78</f>
        <v>0</v>
      </c>
      <c r="H35" s="245">
        <f>'Distrib pivot table'!H$68</f>
        <v>8619922</v>
      </c>
      <c r="I35" s="246">
        <f>'Distrib pivot table'!H$70</f>
        <v>312309733</v>
      </c>
      <c r="J35" s="247">
        <f t="shared" si="4"/>
        <v>8619922</v>
      </c>
      <c r="K35" s="247">
        <f t="shared" si="5"/>
        <v>312309733</v>
      </c>
      <c r="L35" s="245">
        <f>'Distrib pivot table'!H$66</f>
        <v>0</v>
      </c>
      <c r="M35" s="265">
        <f t="shared" si="6"/>
        <v>320929655</v>
      </c>
      <c r="N35" s="245">
        <f>'Distrib pivot table'!H$86</f>
        <v>102964587</v>
      </c>
      <c r="O35" s="248">
        <f>'Distrib pivot table'!H$88</f>
        <v>945468</v>
      </c>
      <c r="P35" s="249">
        <f>'Distrib pivot table'!H$84</f>
        <v>0</v>
      </c>
      <c r="Q35" s="256">
        <f>'Distrib pivot table'!H$92</f>
        <v>28544751</v>
      </c>
      <c r="R35" s="6">
        <f>'Distrib pivot table'!H$94</f>
        <v>92904528</v>
      </c>
      <c r="S35" s="249">
        <f>'Distrib pivot table'!H$90</f>
        <v>0</v>
      </c>
      <c r="T35" s="268">
        <f t="shared" si="7"/>
        <v>546288989</v>
      </c>
      <c r="AN35" s="6"/>
    </row>
    <row r="36" spans="1:40">
      <c r="A36" s="73" t="s">
        <v>329</v>
      </c>
      <c r="B36" s="248">
        <f>'Distrib pivot table'!I$74</f>
        <v>0</v>
      </c>
      <c r="C36" s="248">
        <f>'Distrib pivot table'!I$76</f>
        <v>376761</v>
      </c>
      <c r="D36" s="246">
        <f>'Distrib pivot table'!I$72</f>
        <v>0</v>
      </c>
      <c r="E36" s="245">
        <f>'Distrib pivot table'!I$80</f>
        <v>0</v>
      </c>
      <c r="F36" s="248">
        <f>'Distrib pivot table'!I$82</f>
        <v>785250</v>
      </c>
      <c r="G36" s="249">
        <f>'Distrib pivot table'!I$78</f>
        <v>0</v>
      </c>
      <c r="H36" s="245">
        <f>'Distrib pivot table'!I$68</f>
        <v>0</v>
      </c>
      <c r="I36" s="246">
        <f>'Distrib pivot table'!I$70</f>
        <v>0</v>
      </c>
      <c r="J36" s="247">
        <f t="shared" si="4"/>
        <v>0</v>
      </c>
      <c r="K36" s="247">
        <f t="shared" si="5"/>
        <v>1162011</v>
      </c>
      <c r="L36" s="245">
        <f>'Distrib pivot table'!I$66</f>
        <v>0</v>
      </c>
      <c r="M36" s="265">
        <f t="shared" si="6"/>
        <v>1162011</v>
      </c>
      <c r="N36" s="245">
        <f>'Distrib pivot table'!I$86</f>
        <v>0</v>
      </c>
      <c r="O36" s="248">
        <f>'Distrib pivot table'!I$88</f>
        <v>424345076</v>
      </c>
      <c r="P36" s="249">
        <f>'Distrib pivot table'!I$84</f>
        <v>0</v>
      </c>
      <c r="Q36" s="256">
        <f>'Distrib pivot table'!I$92</f>
        <v>0</v>
      </c>
      <c r="R36" s="6">
        <f>'Distrib pivot table'!I$94</f>
        <v>1094862</v>
      </c>
      <c r="S36" s="249">
        <f>'Distrib pivot table'!I$90</f>
        <v>0</v>
      </c>
      <c r="T36" s="268">
        <f t="shared" si="7"/>
        <v>426601949</v>
      </c>
      <c r="AN36" s="6"/>
    </row>
    <row r="37" spans="1:40">
      <c r="A37" s="73" t="s">
        <v>322</v>
      </c>
      <c r="B37" s="249">
        <f>'Distrib pivot table'!J$74</f>
        <v>46607653</v>
      </c>
      <c r="C37" s="249">
        <f>'Distrib pivot table'!J$76</f>
        <v>85956246</v>
      </c>
      <c r="D37" s="250">
        <f>'Distrib pivot table'!J$72</f>
        <v>0</v>
      </c>
      <c r="E37" s="244">
        <f>'Distrib pivot table'!J$80</f>
        <v>15684986</v>
      </c>
      <c r="F37" s="249">
        <f>'Distrib pivot table'!J$82</f>
        <v>18420585</v>
      </c>
      <c r="G37" s="249">
        <f>'Distrib pivot table'!J$78</f>
        <v>0</v>
      </c>
      <c r="H37" s="244">
        <f>'Distrib pivot table'!J$68</f>
        <v>0</v>
      </c>
      <c r="I37" s="250">
        <f>'Distrib pivot table'!J$70</f>
        <v>0</v>
      </c>
      <c r="J37" s="251">
        <f t="shared" si="4"/>
        <v>62292639</v>
      </c>
      <c r="K37" s="251">
        <f t="shared" si="5"/>
        <v>104376831</v>
      </c>
      <c r="L37" s="244">
        <f>'Distrib pivot table'!J$66</f>
        <v>0</v>
      </c>
      <c r="M37" s="265">
        <f t="shared" si="6"/>
        <v>166669470</v>
      </c>
      <c r="N37" s="244">
        <f>'Distrib pivot table'!J$86</f>
        <v>0</v>
      </c>
      <c r="O37" s="249">
        <f>'Distrib pivot table'!J$88</f>
        <v>0</v>
      </c>
      <c r="P37" s="249">
        <f>'Distrib pivot table'!J$84</f>
        <v>0</v>
      </c>
      <c r="Q37" s="256">
        <f>'Distrib pivot table'!J$92</f>
        <v>29982741</v>
      </c>
      <c r="R37" s="6">
        <f>'Distrib pivot table'!J$94</f>
        <v>704295</v>
      </c>
      <c r="S37" s="249">
        <f>'Distrib pivot table'!J$90</f>
        <v>0</v>
      </c>
      <c r="T37" s="268">
        <f t="shared" si="7"/>
        <v>197356506</v>
      </c>
      <c r="AN37" s="6"/>
    </row>
    <row r="38" spans="1:40">
      <c r="A38" s="73" t="s">
        <v>217</v>
      </c>
      <c r="B38" s="249">
        <f>'Distrib pivot table'!K$74</f>
        <v>23783131</v>
      </c>
      <c r="C38" s="249">
        <f>'Distrib pivot table'!K$76</f>
        <v>199825710</v>
      </c>
      <c r="D38" s="250">
        <f>'Distrib pivot table'!K$72</f>
        <v>0</v>
      </c>
      <c r="E38" s="244">
        <f>'Distrib pivot table'!K$80</f>
        <v>2335638</v>
      </c>
      <c r="F38" s="249">
        <f>'Distrib pivot table'!K$82</f>
        <v>14866958</v>
      </c>
      <c r="G38" s="249">
        <f>'Distrib pivot table'!K$78</f>
        <v>0</v>
      </c>
      <c r="H38" s="244">
        <f>'Distrib pivot table'!K$68</f>
        <v>0</v>
      </c>
      <c r="I38" s="250">
        <f>'Distrib pivot table'!K$70</f>
        <v>0</v>
      </c>
      <c r="J38" s="251">
        <f t="shared" si="4"/>
        <v>26118769</v>
      </c>
      <c r="K38" s="251">
        <f t="shared" si="5"/>
        <v>214692668</v>
      </c>
      <c r="L38" s="244">
        <f>'Distrib pivot table'!K$66</f>
        <v>0</v>
      </c>
      <c r="M38" s="265">
        <f t="shared" si="6"/>
        <v>240811437</v>
      </c>
      <c r="N38" s="244">
        <f>'Distrib pivot table'!K$86</f>
        <v>0</v>
      </c>
      <c r="O38" s="249">
        <f>'Distrib pivot table'!K$88</f>
        <v>60000</v>
      </c>
      <c r="P38" s="249">
        <f>'Distrib pivot table'!K$84</f>
        <v>0</v>
      </c>
      <c r="Q38" s="256">
        <f>'Distrib pivot table'!K$92</f>
        <v>0</v>
      </c>
      <c r="R38" s="6">
        <f>'Distrib pivot table'!K$94</f>
        <v>0</v>
      </c>
      <c r="S38" s="249">
        <f>'Distrib pivot table'!K$90</f>
        <v>0</v>
      </c>
      <c r="T38" s="268">
        <f t="shared" si="7"/>
        <v>240871437</v>
      </c>
      <c r="AN38" s="6"/>
    </row>
    <row r="39" spans="1:40">
      <c r="A39" s="73" t="s">
        <v>333</v>
      </c>
      <c r="B39" s="249">
        <f>'Distrib pivot table'!L$74</f>
        <v>76152186</v>
      </c>
      <c r="C39" s="249">
        <f>'Distrib pivot table'!L$76</f>
        <v>8642361</v>
      </c>
      <c r="D39" s="250">
        <f>'Distrib pivot table'!L$72</f>
        <v>0</v>
      </c>
      <c r="E39" s="244">
        <f>'Distrib pivot table'!L$80</f>
        <v>16816125</v>
      </c>
      <c r="F39" s="249">
        <f>'Distrib pivot table'!L$82</f>
        <v>1913471</v>
      </c>
      <c r="G39" s="249">
        <f>'Distrib pivot table'!L$78</f>
        <v>0</v>
      </c>
      <c r="H39" s="244">
        <f>'Distrib pivot table'!L$68</f>
        <v>0</v>
      </c>
      <c r="I39" s="250">
        <f>'Distrib pivot table'!L$70</f>
        <v>0</v>
      </c>
      <c r="J39" s="251">
        <f t="shared" si="4"/>
        <v>92968311</v>
      </c>
      <c r="K39" s="251">
        <f t="shared" si="5"/>
        <v>10555832</v>
      </c>
      <c r="L39" s="244">
        <f>'Distrib pivot table'!L$66</f>
        <v>0</v>
      </c>
      <c r="M39" s="265">
        <f t="shared" si="6"/>
        <v>103524143</v>
      </c>
      <c r="N39" s="244">
        <f>'Distrib pivot table'!L$86</f>
        <v>0</v>
      </c>
      <c r="O39" s="249">
        <f>'Distrib pivot table'!L$88</f>
        <v>0</v>
      </c>
      <c r="P39" s="249">
        <f>'Distrib pivot table'!L$84</f>
        <v>0</v>
      </c>
      <c r="Q39" s="256">
        <f>'Distrib pivot table'!L$92</f>
        <v>0</v>
      </c>
      <c r="R39" s="6">
        <f>'Distrib pivot table'!L$94</f>
        <v>0</v>
      </c>
      <c r="S39" s="249">
        <f>'Distrib pivot table'!L$90</f>
        <v>0</v>
      </c>
      <c r="T39" s="268">
        <f t="shared" si="7"/>
        <v>103524143</v>
      </c>
      <c r="AN39" s="6"/>
    </row>
    <row r="40" spans="1:40">
      <c r="A40" s="73" t="s">
        <v>323</v>
      </c>
      <c r="B40" s="249">
        <f>'Distrib pivot table'!M$74</f>
        <v>9089281</v>
      </c>
      <c r="C40" s="249">
        <f>'Distrib pivot table'!M$76</f>
        <v>12723874</v>
      </c>
      <c r="D40" s="249">
        <f>'Distrib pivot table'!M$72</f>
        <v>593749</v>
      </c>
      <c r="E40" s="244">
        <f>'Distrib pivot table'!M$80</f>
        <v>758048</v>
      </c>
      <c r="F40" s="249">
        <f>'Distrib pivot table'!M$82</f>
        <v>3150248</v>
      </c>
      <c r="G40" s="249">
        <f>'Distrib pivot table'!M$78</f>
        <v>0</v>
      </c>
      <c r="H40" s="244">
        <f>'Distrib pivot table'!M$68</f>
        <v>0</v>
      </c>
      <c r="I40" s="250">
        <f>'Distrib pivot table'!M$70</f>
        <v>515805</v>
      </c>
      <c r="J40" s="251">
        <f t="shared" si="4"/>
        <v>9847329</v>
      </c>
      <c r="K40" s="251">
        <f t="shared" si="5"/>
        <v>16389927</v>
      </c>
      <c r="L40" s="244">
        <f>'Distrib pivot table'!M$66</f>
        <v>0</v>
      </c>
      <c r="M40" s="265">
        <f t="shared" si="6"/>
        <v>26831005</v>
      </c>
      <c r="N40" s="244">
        <f>'Distrib pivot table'!M$86</f>
        <v>881364</v>
      </c>
      <c r="O40" s="249">
        <f>'Distrib pivot table'!M$88</f>
        <v>9032802</v>
      </c>
      <c r="P40" s="249">
        <f>'Distrib pivot table'!M$84</f>
        <v>0</v>
      </c>
      <c r="Q40" s="256">
        <f>'Distrib pivot table'!M$92</f>
        <v>0</v>
      </c>
      <c r="R40" s="6">
        <f>'Distrib pivot table'!M$94</f>
        <v>0</v>
      </c>
      <c r="S40" s="249">
        <f>'Distrib pivot table'!M$90</f>
        <v>0</v>
      </c>
      <c r="T40" s="268">
        <f t="shared" si="7"/>
        <v>36745171</v>
      </c>
      <c r="AN40" s="6"/>
    </row>
    <row r="41" spans="1:40">
      <c r="A41" s="73" t="s">
        <v>324</v>
      </c>
      <c r="B41" s="249">
        <f>'Distrib pivot table'!N$74</f>
        <v>0</v>
      </c>
      <c r="C41" s="249">
        <f>'Distrib pivot table'!N$76</f>
        <v>0</v>
      </c>
      <c r="D41" s="250">
        <f>'Distrib pivot table'!N$72</f>
        <v>0</v>
      </c>
      <c r="E41" s="244">
        <f>'Distrib pivot table'!N$80</f>
        <v>0</v>
      </c>
      <c r="F41" s="249">
        <f>'Distrib pivot table'!N$82</f>
        <v>0</v>
      </c>
      <c r="G41" s="249">
        <f>'Distrib pivot table'!N$78</f>
        <v>0</v>
      </c>
      <c r="H41" s="244">
        <f>'Distrib pivot table'!N$68</f>
        <v>0</v>
      </c>
      <c r="I41" s="250">
        <f>'Distrib pivot table'!N$70</f>
        <v>22162388</v>
      </c>
      <c r="J41" s="251">
        <f t="shared" si="4"/>
        <v>0</v>
      </c>
      <c r="K41" s="251">
        <f t="shared" si="5"/>
        <v>22162388</v>
      </c>
      <c r="L41" s="244">
        <f>'Distrib pivot table'!N$66</f>
        <v>0</v>
      </c>
      <c r="M41" s="265">
        <f t="shared" si="6"/>
        <v>22162388</v>
      </c>
      <c r="N41" s="244">
        <f>'Distrib pivot table'!N$86</f>
        <v>122475842</v>
      </c>
      <c r="O41" s="249">
        <f>'Distrib pivot table'!N$88</f>
        <v>4336209</v>
      </c>
      <c r="P41" s="249">
        <f>'Distrib pivot table'!N$84</f>
        <v>0</v>
      </c>
      <c r="Q41" s="256">
        <f>'Distrib pivot table'!N$92</f>
        <v>86351588</v>
      </c>
      <c r="R41" s="6">
        <f>'Distrib pivot table'!N$94</f>
        <v>0</v>
      </c>
      <c r="S41" s="249">
        <f>'Distrib pivot table'!N$90</f>
        <v>0</v>
      </c>
      <c r="T41" s="268">
        <f t="shared" si="7"/>
        <v>235326027</v>
      </c>
      <c r="U41" s="408"/>
      <c r="AN41" s="6"/>
    </row>
    <row r="42" spans="1:40">
      <c r="A42" s="73" t="s">
        <v>331</v>
      </c>
      <c r="B42" s="249">
        <f>'Distrib pivot table'!O$74</f>
        <v>0</v>
      </c>
      <c r="C42" s="249">
        <f>'Distrib pivot table'!O$76</f>
        <v>0</v>
      </c>
      <c r="D42" s="250">
        <f>'Distrib pivot table'!O$72</f>
        <v>0</v>
      </c>
      <c r="E42" s="244">
        <f>'Distrib pivot table'!O$80</f>
        <v>0</v>
      </c>
      <c r="F42" s="249">
        <f>'Distrib pivot table'!O$82</f>
        <v>0</v>
      </c>
      <c r="G42" s="249">
        <f>'Distrib pivot table'!O$78</f>
        <v>0</v>
      </c>
      <c r="H42" s="244">
        <f>'Distrib pivot table'!O$68</f>
        <v>0</v>
      </c>
      <c r="I42" s="250">
        <f>'Distrib pivot table'!O$70</f>
        <v>0</v>
      </c>
      <c r="J42" s="251">
        <f t="shared" si="4"/>
        <v>0</v>
      </c>
      <c r="K42" s="251">
        <f t="shared" si="5"/>
        <v>0</v>
      </c>
      <c r="L42" s="244">
        <f>'Distrib pivot table'!O$66</f>
        <v>77232704</v>
      </c>
      <c r="M42" s="265">
        <f t="shared" si="6"/>
        <v>77232704</v>
      </c>
      <c r="N42" s="244">
        <f>'Distrib pivot table'!O$86</f>
        <v>0</v>
      </c>
      <c r="O42" s="249">
        <f>'Distrib pivot table'!O$88</f>
        <v>0</v>
      </c>
      <c r="P42" s="249">
        <f>'Distrib pivot table'!O$84</f>
        <v>0</v>
      </c>
      <c r="Q42" s="256">
        <f>'Distrib pivot table'!O$92</f>
        <v>0</v>
      </c>
      <c r="R42" s="6">
        <f>'Distrib pivot table'!O$94</f>
        <v>0</v>
      </c>
      <c r="S42" s="249">
        <f>'Distrib pivot table'!O$90</f>
        <v>3406848</v>
      </c>
      <c r="T42" s="268">
        <f t="shared" si="7"/>
        <v>80639552</v>
      </c>
      <c r="AN42" s="6"/>
    </row>
    <row r="43" spans="1:40">
      <c r="A43" s="73" t="s">
        <v>325</v>
      </c>
      <c r="B43" s="249">
        <f>'Distrib pivot table'!P$74</f>
        <v>20449021.582770318</v>
      </c>
      <c r="C43" s="249">
        <f>'Distrib pivot table'!P$76</f>
        <v>235151754.44716096</v>
      </c>
      <c r="D43" s="250">
        <f>'Distrib pivot table'!P$72</f>
        <v>0</v>
      </c>
      <c r="E43" s="244">
        <f>'Distrib pivot table'!P$80</f>
        <v>4550978.4172296831</v>
      </c>
      <c r="F43" s="249">
        <f>'Distrib pivot table'!P$82</f>
        <v>42236780.552839026</v>
      </c>
      <c r="G43" s="249">
        <f>'Distrib pivot table'!P$78</f>
        <v>0</v>
      </c>
      <c r="H43" s="244">
        <f>'Distrib pivot table'!P$68</f>
        <v>0</v>
      </c>
      <c r="I43" s="250">
        <f>'Distrib pivot table'!P$70</f>
        <v>4545000</v>
      </c>
      <c r="J43" s="251">
        <f t="shared" si="4"/>
        <v>25000000</v>
      </c>
      <c r="K43" s="251">
        <f t="shared" si="5"/>
        <v>281933535</v>
      </c>
      <c r="L43" s="244">
        <f>'Distrib pivot table'!P$66</f>
        <v>0</v>
      </c>
      <c r="M43" s="265">
        <f t="shared" si="6"/>
        <v>306933535</v>
      </c>
      <c r="N43" s="244">
        <f>'Distrib pivot table'!P$86</f>
        <v>0</v>
      </c>
      <c r="O43" s="249">
        <f>'Distrib pivot table'!P$88</f>
        <v>0</v>
      </c>
      <c r="P43" s="249">
        <f>'Distrib pivot table'!P$84</f>
        <v>0</v>
      </c>
      <c r="Q43" s="256">
        <f>'Distrib pivot table'!P$92</f>
        <v>31288622</v>
      </c>
      <c r="R43" s="6">
        <f>'Distrib pivot table'!P$94</f>
        <v>0</v>
      </c>
      <c r="S43" s="249">
        <f>'Distrib pivot table'!P$90</f>
        <v>0</v>
      </c>
      <c r="T43" s="268">
        <f t="shared" si="7"/>
        <v>338222157</v>
      </c>
      <c r="AN43" s="6"/>
    </row>
    <row r="44" spans="1:40">
      <c r="A44" s="73" t="s">
        <v>90</v>
      </c>
      <c r="B44" s="249">
        <f>'Distrib pivot table'!Q$74</f>
        <v>113858091.14</v>
      </c>
      <c r="C44" s="249">
        <f>'Distrib pivot table'!Q$76</f>
        <v>165956549</v>
      </c>
      <c r="D44" s="250">
        <f>'Distrib pivot table'!Q$72</f>
        <v>0</v>
      </c>
      <c r="E44" s="244">
        <f>'Distrib pivot table'!Q$80</f>
        <v>46943432.5</v>
      </c>
      <c r="F44" s="249">
        <f>'Distrib pivot table'!Q$82</f>
        <v>40567472.32</v>
      </c>
      <c r="G44" s="249">
        <f>'Distrib pivot table'!Q$78</f>
        <v>0</v>
      </c>
      <c r="H44" s="244">
        <f>'Distrib pivot table'!Q$68</f>
        <v>0</v>
      </c>
      <c r="I44" s="250">
        <f>'Distrib pivot table'!Q$70</f>
        <v>0</v>
      </c>
      <c r="J44" s="251">
        <f t="shared" si="4"/>
        <v>160801523.63999999</v>
      </c>
      <c r="K44" s="251">
        <f t="shared" si="5"/>
        <v>206524021.31999999</v>
      </c>
      <c r="L44" s="244">
        <f>'Distrib pivot table'!Q$66</f>
        <v>0</v>
      </c>
      <c r="M44" s="265">
        <f t="shared" si="6"/>
        <v>367325544.95999998</v>
      </c>
      <c r="N44" s="244">
        <f>'Distrib pivot table'!Q$86</f>
        <v>0</v>
      </c>
      <c r="O44" s="249">
        <f>'Distrib pivot table'!Q$88</f>
        <v>0</v>
      </c>
      <c r="P44" s="249">
        <f>'Distrib pivot table'!Q$84</f>
        <v>0</v>
      </c>
      <c r="Q44" s="256">
        <f>'Distrib pivot table'!Q$92</f>
        <v>0</v>
      </c>
      <c r="R44" s="6">
        <f>'Distrib pivot table'!Q$94</f>
        <v>0</v>
      </c>
      <c r="S44" s="249">
        <f>'Distrib pivot table'!Q$90</f>
        <v>0</v>
      </c>
      <c r="T44" s="268">
        <f t="shared" si="7"/>
        <v>367325544.95999998</v>
      </c>
      <c r="AN44" s="6"/>
    </row>
    <row r="45" spans="1:40">
      <c r="A45" s="73" t="s">
        <v>326</v>
      </c>
      <c r="B45" s="249">
        <f>'Distrib pivot table'!R$74</f>
        <v>0</v>
      </c>
      <c r="C45" s="249">
        <f>'Distrib pivot table'!R$76</f>
        <v>0</v>
      </c>
      <c r="D45" s="250">
        <f>'Distrib pivot table'!R$72</f>
        <v>0</v>
      </c>
      <c r="E45" s="244">
        <f>'Distrib pivot table'!R$80</f>
        <v>0</v>
      </c>
      <c r="F45" s="249">
        <f>'Distrib pivot table'!R$82</f>
        <v>0</v>
      </c>
      <c r="G45" s="249">
        <f>'Distrib pivot table'!R$78</f>
        <v>0</v>
      </c>
      <c r="H45" s="244">
        <f>'Distrib pivot table'!R$68</f>
        <v>0</v>
      </c>
      <c r="I45" s="250">
        <f>'Distrib pivot table'!R$70</f>
        <v>20864000</v>
      </c>
      <c r="J45" s="251">
        <f t="shared" si="4"/>
        <v>0</v>
      </c>
      <c r="K45" s="251">
        <f t="shared" si="5"/>
        <v>20864000</v>
      </c>
      <c r="L45" s="244">
        <f>'Distrib pivot table'!R$66</f>
        <v>538468632</v>
      </c>
      <c r="M45" s="265">
        <f t="shared" si="6"/>
        <v>559332632</v>
      </c>
      <c r="N45" s="244">
        <f>'Distrib pivot table'!R$86</f>
        <v>0</v>
      </c>
      <c r="O45" s="249">
        <f>'Distrib pivot table'!R$88</f>
        <v>0</v>
      </c>
      <c r="P45" s="249">
        <f>'Distrib pivot table'!R$84</f>
        <v>0</v>
      </c>
      <c r="Q45" s="256">
        <f>'Distrib pivot table'!R$92</f>
        <v>0</v>
      </c>
      <c r="R45" s="6">
        <f>'Distrib pivot table'!R$94</f>
        <v>0</v>
      </c>
      <c r="S45" s="262">
        <f>'Distrib pivot table'!R$90</f>
        <v>0</v>
      </c>
      <c r="T45" s="268">
        <f t="shared" si="7"/>
        <v>559332632</v>
      </c>
      <c r="AN45" s="6"/>
    </row>
    <row r="46" spans="1:40">
      <c r="A46" s="73" t="s">
        <v>327</v>
      </c>
      <c r="B46" s="249">
        <f>'Distrib pivot table'!S$74</f>
        <v>3372105</v>
      </c>
      <c r="C46" s="249">
        <f>'Distrib pivot table'!S$76</f>
        <v>1250000</v>
      </c>
      <c r="D46" s="250">
        <f>'Distrib pivot table'!S$72</f>
        <v>0</v>
      </c>
      <c r="E46" s="244">
        <f>'Distrib pivot table'!S$80</f>
        <v>1041645</v>
      </c>
      <c r="F46" s="249">
        <f>'Distrib pivot table'!S$82</f>
        <v>0</v>
      </c>
      <c r="G46" s="249">
        <f>'Distrib pivot table'!S$78</f>
        <v>0</v>
      </c>
      <c r="H46" s="244">
        <f>'Distrib pivot table'!S$68</f>
        <v>0</v>
      </c>
      <c r="I46" s="250">
        <f>'Distrib pivot table'!S$70</f>
        <v>0</v>
      </c>
      <c r="J46" s="251">
        <f t="shared" si="4"/>
        <v>4413750</v>
      </c>
      <c r="K46" s="251">
        <f t="shared" si="5"/>
        <v>1250000</v>
      </c>
      <c r="L46" s="244">
        <f>'Distrib pivot table'!S$66</f>
        <v>0</v>
      </c>
      <c r="M46" s="265">
        <f t="shared" si="6"/>
        <v>5663750</v>
      </c>
      <c r="N46" s="244">
        <f>'Distrib pivot table'!S$86</f>
        <v>165133966</v>
      </c>
      <c r="O46" s="249">
        <f>'Distrib pivot table'!S$88</f>
        <v>12359822</v>
      </c>
      <c r="P46" s="249">
        <f>'Distrib pivot table'!S$84</f>
        <v>1650000</v>
      </c>
      <c r="Q46" s="256">
        <f>'Distrib pivot table'!S$92</f>
        <v>0</v>
      </c>
      <c r="R46" s="6">
        <f>'Distrib pivot table'!S$94</f>
        <v>64952609</v>
      </c>
      <c r="S46" s="262">
        <f>'Distrib pivot table'!S$90</f>
        <v>0</v>
      </c>
      <c r="T46" s="268">
        <f t="shared" si="7"/>
        <v>249760147</v>
      </c>
      <c r="AN46" s="6"/>
    </row>
    <row r="47" spans="1:40">
      <c r="A47" s="74" t="s">
        <v>332</v>
      </c>
      <c r="B47" s="253">
        <f>'Distrib pivot table'!T$74</f>
        <v>37351621</v>
      </c>
      <c r="C47" s="253">
        <f>'Distrib pivot table'!T$76</f>
        <v>42896393</v>
      </c>
      <c r="D47" s="254">
        <f>'Distrib pivot table'!T$72</f>
        <v>0</v>
      </c>
      <c r="E47" s="252">
        <f>'Distrib pivot table'!T$80</f>
        <v>5759867</v>
      </c>
      <c r="F47" s="253">
        <f>'Distrib pivot table'!T$82</f>
        <v>5041796</v>
      </c>
      <c r="G47" s="253">
        <f>'Distrib pivot table'!T$78</f>
        <v>0</v>
      </c>
      <c r="H47" s="252">
        <f>'Distrib pivot table'!T$68</f>
        <v>0</v>
      </c>
      <c r="I47" s="254">
        <f>'Distrib pivot table'!T$70</f>
        <v>0</v>
      </c>
      <c r="J47" s="255">
        <f t="shared" si="4"/>
        <v>43111488</v>
      </c>
      <c r="K47" s="255">
        <f t="shared" si="5"/>
        <v>47938189</v>
      </c>
      <c r="L47" s="252">
        <f>'Distrib pivot table'!T$66</f>
        <v>0</v>
      </c>
      <c r="M47" s="266">
        <f t="shared" si="6"/>
        <v>91049677</v>
      </c>
      <c r="N47" s="252">
        <f>'Distrib pivot table'!T$86</f>
        <v>0</v>
      </c>
      <c r="O47" s="253">
        <f>'Distrib pivot table'!T$88</f>
        <v>0</v>
      </c>
      <c r="P47" s="253">
        <f>'Distrib pivot table'!T$84</f>
        <v>0</v>
      </c>
      <c r="Q47" s="259">
        <f>'Distrib pivot table'!T$92</f>
        <v>0</v>
      </c>
      <c r="R47" s="8">
        <f>'Distrib pivot table'!T$94</f>
        <v>0</v>
      </c>
      <c r="S47" s="263">
        <f>'Distrib pivot table'!T$90</f>
        <v>0</v>
      </c>
      <c r="T47" s="269">
        <f t="shared" si="7"/>
        <v>91049677</v>
      </c>
      <c r="AN47" s="6"/>
    </row>
    <row r="48" spans="1:40" ht="24" customHeight="1">
      <c r="A48" s="99"/>
      <c r="B48" s="75"/>
      <c r="C48" s="75"/>
      <c r="D48" s="75"/>
      <c r="E48" s="75"/>
      <c r="F48" s="75"/>
      <c r="G48" s="75"/>
      <c r="H48" s="75"/>
      <c r="I48" s="75"/>
      <c r="J48" s="75"/>
      <c r="K48" s="75"/>
      <c r="L48" s="75"/>
      <c r="M48" s="75"/>
      <c r="N48" s="107"/>
      <c r="O48" s="107"/>
      <c r="P48" s="107"/>
      <c r="S48" s="107"/>
      <c r="AN48" s="6"/>
    </row>
    <row r="49" spans="1:19" ht="24" customHeight="1">
      <c r="A49" s="295" t="s">
        <v>376</v>
      </c>
      <c r="B49" s="75"/>
      <c r="C49" s="75"/>
      <c r="D49" s="75"/>
      <c r="E49" s="75"/>
      <c r="F49" s="75"/>
      <c r="G49" s="75"/>
      <c r="H49" s="75"/>
      <c r="I49" s="75"/>
      <c r="J49" s="104"/>
      <c r="K49" s="75"/>
      <c r="L49" s="75"/>
      <c r="M49" s="75"/>
      <c r="N49" s="75"/>
      <c r="O49" s="75"/>
      <c r="P49" s="75"/>
      <c r="Q49" s="75"/>
      <c r="R49" s="75"/>
      <c r="S49" s="75"/>
    </row>
    <row r="50" spans="1:19" ht="26.25" customHeight="1">
      <c r="A50" s="95"/>
      <c r="B50" s="234" t="s">
        <v>63</v>
      </c>
      <c r="C50" s="234"/>
      <c r="D50" s="234"/>
      <c r="E50" s="233" t="s">
        <v>65</v>
      </c>
      <c r="F50" s="234"/>
      <c r="G50" s="234"/>
      <c r="H50" s="233" t="s">
        <v>46</v>
      </c>
      <c r="I50" s="235"/>
      <c r="J50" s="258" t="s">
        <v>91</v>
      </c>
      <c r="K50" s="272"/>
      <c r="L50" s="75"/>
      <c r="M50" s="75"/>
      <c r="N50" s="75"/>
      <c r="O50" s="75"/>
      <c r="P50" s="75"/>
      <c r="Q50" s="75"/>
      <c r="R50" s="75"/>
      <c r="S50" s="75"/>
    </row>
    <row r="51" spans="1:19" ht="57" customHeight="1">
      <c r="A51" s="50"/>
      <c r="B51" s="51" t="s">
        <v>61</v>
      </c>
      <c r="C51" s="52" t="s">
        <v>62</v>
      </c>
      <c r="D51" s="52" t="s">
        <v>37</v>
      </c>
      <c r="E51" s="53" t="s">
        <v>61</v>
      </c>
      <c r="F51" s="52" t="s">
        <v>62</v>
      </c>
      <c r="G51" s="52" t="s">
        <v>37</v>
      </c>
      <c r="H51" s="53" t="s">
        <v>61</v>
      </c>
      <c r="I51" s="236" t="s">
        <v>62</v>
      </c>
      <c r="J51" s="278" t="s">
        <v>38</v>
      </c>
      <c r="K51" s="270" t="s">
        <v>335</v>
      </c>
      <c r="L51" s="290"/>
      <c r="M51" s="75"/>
      <c r="N51" s="75"/>
      <c r="O51" s="75"/>
      <c r="P51" s="75"/>
      <c r="Q51" s="75"/>
      <c r="R51" s="75"/>
      <c r="S51" s="75"/>
    </row>
    <row r="52" spans="1:19" ht="24" customHeight="1">
      <c r="A52" s="73" t="s">
        <v>39</v>
      </c>
      <c r="B52" s="274">
        <f t="shared" ref="B52:G52" si="8">+B6+N6</f>
        <v>799016855</v>
      </c>
      <c r="C52" s="274">
        <f t="shared" si="8"/>
        <v>1470803118.2132764</v>
      </c>
      <c r="D52" s="273">
        <f t="shared" si="8"/>
        <v>3770795.3200000003</v>
      </c>
      <c r="E52" s="274">
        <f t="shared" si="8"/>
        <v>268173411.53</v>
      </c>
      <c r="F52" s="274">
        <f t="shared" si="8"/>
        <v>340848793.78672349</v>
      </c>
      <c r="G52" s="273">
        <f t="shared" si="8"/>
        <v>3406848</v>
      </c>
      <c r="H52" s="274">
        <f>+H6</f>
        <v>8587821</v>
      </c>
      <c r="I52" s="273">
        <f>+I6</f>
        <v>317019235</v>
      </c>
      <c r="J52" s="273">
        <f>+L6</f>
        <v>508714049</v>
      </c>
      <c r="K52" s="274">
        <f>SUM(B52:J52)</f>
        <v>3720340926.8500004</v>
      </c>
      <c r="L52" s="73" t="s">
        <v>39</v>
      </c>
      <c r="M52" s="75"/>
      <c r="N52" s="75"/>
      <c r="O52" s="75"/>
      <c r="P52" s="75"/>
      <c r="Q52" s="75"/>
      <c r="R52" s="75"/>
      <c r="S52" s="75"/>
    </row>
    <row r="53" spans="1:19" ht="9" customHeight="1">
      <c r="A53" s="73"/>
      <c r="B53" s="271"/>
      <c r="C53" s="271"/>
      <c r="D53" s="276"/>
      <c r="E53" s="271"/>
      <c r="F53" s="271"/>
      <c r="G53" s="276"/>
      <c r="H53" s="271"/>
      <c r="I53" s="276"/>
      <c r="J53" s="276"/>
      <c r="K53" s="271"/>
      <c r="L53" s="73"/>
      <c r="M53" s="75"/>
      <c r="N53" s="75"/>
      <c r="O53" s="75"/>
      <c r="P53" s="75"/>
      <c r="Q53" s="75"/>
      <c r="R53" s="75"/>
      <c r="S53" s="75"/>
    </row>
    <row r="54" spans="1:19">
      <c r="A54" s="73" t="s">
        <v>320</v>
      </c>
      <c r="B54" s="271">
        <f t="shared" ref="B54:B69" si="9">+B8+N8</f>
        <v>2492371</v>
      </c>
      <c r="C54" s="271">
        <f t="shared" ref="C54:C69" si="10">+C8+O8</f>
        <v>56355322</v>
      </c>
      <c r="D54" s="276">
        <f t="shared" ref="D54:D69" si="11">+D8+P8</f>
        <v>0</v>
      </c>
      <c r="E54" s="271">
        <f t="shared" ref="E54:E69" si="12">+E8+Q8</f>
        <v>131177</v>
      </c>
      <c r="F54" s="271">
        <f t="shared" ref="F54:F69" si="13">+F8+R8</f>
        <v>1943328</v>
      </c>
      <c r="G54" s="276">
        <f t="shared" ref="G54:G69" si="14">+G8+S8</f>
        <v>0</v>
      </c>
      <c r="H54" s="271">
        <f t="shared" ref="H54:I69" si="15">+H8</f>
        <v>10399</v>
      </c>
      <c r="I54" s="276">
        <f t="shared" si="15"/>
        <v>1204489</v>
      </c>
      <c r="J54" s="276">
        <f t="shared" ref="J54:J69" si="16">+L8</f>
        <v>0</v>
      </c>
      <c r="K54" s="271">
        <f>SUM(B54:J54)</f>
        <v>62137086</v>
      </c>
      <c r="L54" s="73" t="s">
        <v>320</v>
      </c>
    </row>
    <row r="55" spans="1:19">
      <c r="A55" s="73" t="s">
        <v>334</v>
      </c>
      <c r="B55" s="271">
        <f t="shared" si="9"/>
        <v>8550500</v>
      </c>
      <c r="C55" s="271">
        <f t="shared" si="10"/>
        <v>102148777.21327648</v>
      </c>
      <c r="D55" s="276">
        <f t="shared" si="11"/>
        <v>1500000</v>
      </c>
      <c r="E55" s="271">
        <f t="shared" si="12"/>
        <v>545000</v>
      </c>
      <c r="F55" s="271">
        <f t="shared" si="13"/>
        <v>14836875.786723526</v>
      </c>
      <c r="G55" s="276">
        <f t="shared" si="14"/>
        <v>0</v>
      </c>
      <c r="H55" s="271">
        <f t="shared" si="15"/>
        <v>0</v>
      </c>
      <c r="I55" s="276">
        <f t="shared" si="15"/>
        <v>175000</v>
      </c>
      <c r="J55" s="276">
        <f t="shared" si="16"/>
        <v>0</v>
      </c>
      <c r="K55" s="271">
        <f t="shared" ref="K55:K69" si="17">SUM(B55:J55)</f>
        <v>127756153</v>
      </c>
      <c r="L55" s="73" t="s">
        <v>334</v>
      </c>
    </row>
    <row r="56" spans="1:19">
      <c r="A56" s="73" t="s">
        <v>321</v>
      </c>
      <c r="B56" s="271">
        <f>+B10+N10</f>
        <v>240940</v>
      </c>
      <c r="C56" s="271">
        <f t="shared" si="10"/>
        <v>910114</v>
      </c>
      <c r="D56" s="276">
        <f t="shared" si="11"/>
        <v>0</v>
      </c>
      <c r="E56" s="271">
        <f t="shared" si="12"/>
        <v>403044.65</v>
      </c>
      <c r="F56" s="271">
        <f t="shared" si="13"/>
        <v>485207</v>
      </c>
      <c r="G56" s="276">
        <f t="shared" si="14"/>
        <v>0</v>
      </c>
      <c r="H56" s="271">
        <f t="shared" si="15"/>
        <v>7500</v>
      </c>
      <c r="I56" s="276">
        <f t="shared" si="15"/>
        <v>1627000</v>
      </c>
      <c r="J56" s="276">
        <f t="shared" si="16"/>
        <v>2245201</v>
      </c>
      <c r="K56" s="271">
        <f t="shared" si="17"/>
        <v>5919006.6500000004</v>
      </c>
      <c r="L56" s="73" t="s">
        <v>321</v>
      </c>
    </row>
    <row r="57" spans="1:19">
      <c r="A57" s="73" t="s">
        <v>328</v>
      </c>
      <c r="B57" s="271">
        <f t="shared" si="9"/>
        <v>114525243</v>
      </c>
      <c r="C57" s="271">
        <f t="shared" si="10"/>
        <v>1256747</v>
      </c>
      <c r="D57" s="276">
        <f t="shared" si="11"/>
        <v>0</v>
      </c>
      <c r="E57" s="271">
        <f t="shared" si="12"/>
        <v>31481678</v>
      </c>
      <c r="F57" s="271">
        <f t="shared" si="13"/>
        <v>118048500</v>
      </c>
      <c r="G57" s="276">
        <f t="shared" si="14"/>
        <v>0</v>
      </c>
      <c r="H57" s="271">
        <f t="shared" si="15"/>
        <v>8569922</v>
      </c>
      <c r="I57" s="276">
        <f t="shared" si="15"/>
        <v>269307642</v>
      </c>
      <c r="J57" s="276">
        <f t="shared" si="16"/>
        <v>0</v>
      </c>
      <c r="K57" s="271">
        <f t="shared" si="17"/>
        <v>543189732</v>
      </c>
      <c r="L57" s="73" t="s">
        <v>328</v>
      </c>
    </row>
    <row r="58" spans="1:19">
      <c r="A58" s="73" t="s">
        <v>329</v>
      </c>
      <c r="B58" s="271">
        <f t="shared" si="9"/>
        <v>0</v>
      </c>
      <c r="C58" s="271">
        <f t="shared" si="10"/>
        <v>446975047</v>
      </c>
      <c r="D58" s="276">
        <f t="shared" si="11"/>
        <v>0</v>
      </c>
      <c r="E58" s="271">
        <f t="shared" si="12"/>
        <v>0</v>
      </c>
      <c r="F58" s="271">
        <f t="shared" si="13"/>
        <v>2086611</v>
      </c>
      <c r="G58" s="276">
        <f t="shared" si="14"/>
        <v>0</v>
      </c>
      <c r="H58" s="271">
        <f t="shared" si="15"/>
        <v>0</v>
      </c>
      <c r="I58" s="276">
        <f t="shared" si="15"/>
        <v>0</v>
      </c>
      <c r="J58" s="276">
        <f t="shared" si="16"/>
        <v>0</v>
      </c>
      <c r="K58" s="271">
        <f t="shared" si="17"/>
        <v>449061658</v>
      </c>
      <c r="L58" s="73" t="s">
        <v>329</v>
      </c>
    </row>
    <row r="59" spans="1:19">
      <c r="A59" s="73" t="s">
        <v>322</v>
      </c>
      <c r="B59" s="271">
        <f t="shared" si="9"/>
        <v>47284845</v>
      </c>
      <c r="C59" s="271">
        <f t="shared" si="10"/>
        <v>88697051</v>
      </c>
      <c r="D59" s="276">
        <f t="shared" si="11"/>
        <v>0</v>
      </c>
      <c r="E59" s="271">
        <f t="shared" si="12"/>
        <v>41941173</v>
      </c>
      <c r="F59" s="271">
        <f t="shared" si="13"/>
        <v>19031494</v>
      </c>
      <c r="G59" s="276">
        <f t="shared" si="14"/>
        <v>0</v>
      </c>
      <c r="H59" s="271">
        <f t="shared" si="15"/>
        <v>0</v>
      </c>
      <c r="I59" s="276">
        <f t="shared" si="15"/>
        <v>0</v>
      </c>
      <c r="J59" s="276">
        <f t="shared" si="16"/>
        <v>0</v>
      </c>
      <c r="K59" s="271">
        <f t="shared" si="17"/>
        <v>196954563</v>
      </c>
      <c r="L59" s="73" t="s">
        <v>322</v>
      </c>
    </row>
    <row r="60" spans="1:19">
      <c r="A60" s="73" t="s">
        <v>217</v>
      </c>
      <c r="B60" s="271">
        <f t="shared" si="9"/>
        <v>24619025</v>
      </c>
      <c r="C60" s="271">
        <f t="shared" si="10"/>
        <v>247855287</v>
      </c>
      <c r="D60" s="276">
        <f t="shared" si="11"/>
        <v>0</v>
      </c>
      <c r="E60" s="271">
        <f t="shared" si="12"/>
        <v>2203104</v>
      </c>
      <c r="F60" s="271">
        <f t="shared" si="13"/>
        <v>16536273</v>
      </c>
      <c r="G60" s="276">
        <f t="shared" si="14"/>
        <v>0</v>
      </c>
      <c r="H60" s="271">
        <f t="shared" si="15"/>
        <v>0</v>
      </c>
      <c r="I60" s="276">
        <f t="shared" si="15"/>
        <v>0</v>
      </c>
      <c r="J60" s="276">
        <f t="shared" si="16"/>
        <v>0</v>
      </c>
      <c r="K60" s="271">
        <f t="shared" si="17"/>
        <v>291213689</v>
      </c>
      <c r="L60" s="73" t="s">
        <v>217</v>
      </c>
    </row>
    <row r="61" spans="1:19">
      <c r="A61" s="73" t="s">
        <v>333</v>
      </c>
      <c r="B61" s="271">
        <f t="shared" si="9"/>
        <v>125074042</v>
      </c>
      <c r="C61" s="271">
        <f t="shared" si="10"/>
        <v>16661886</v>
      </c>
      <c r="D61" s="276">
        <f t="shared" si="11"/>
        <v>0</v>
      </c>
      <c r="E61" s="271">
        <f t="shared" si="12"/>
        <v>17651200</v>
      </c>
      <c r="F61" s="271">
        <f t="shared" si="13"/>
        <v>4210808</v>
      </c>
      <c r="G61" s="276">
        <f t="shared" si="14"/>
        <v>0</v>
      </c>
      <c r="H61" s="271">
        <f t="shared" si="15"/>
        <v>0</v>
      </c>
      <c r="I61" s="276">
        <f t="shared" si="15"/>
        <v>0</v>
      </c>
      <c r="J61" s="276">
        <f t="shared" si="16"/>
        <v>0</v>
      </c>
      <c r="K61" s="271">
        <f t="shared" si="17"/>
        <v>163597936</v>
      </c>
      <c r="L61" s="73" t="s">
        <v>333</v>
      </c>
    </row>
    <row r="62" spans="1:19">
      <c r="A62" s="73" t="s">
        <v>323</v>
      </c>
      <c r="B62" s="271">
        <f t="shared" si="9"/>
        <v>12400819</v>
      </c>
      <c r="C62" s="271">
        <f t="shared" si="10"/>
        <v>22909682</v>
      </c>
      <c r="D62" s="276">
        <f t="shared" si="11"/>
        <v>570795.32000000007</v>
      </c>
      <c r="E62" s="271">
        <f t="shared" si="12"/>
        <v>1010024</v>
      </c>
      <c r="F62" s="271">
        <f t="shared" si="13"/>
        <v>3365342</v>
      </c>
      <c r="G62" s="276">
        <f t="shared" si="14"/>
        <v>0</v>
      </c>
      <c r="H62" s="271">
        <f t="shared" si="15"/>
        <v>0</v>
      </c>
      <c r="I62" s="276">
        <f t="shared" si="15"/>
        <v>333716</v>
      </c>
      <c r="J62" s="276">
        <f t="shared" si="16"/>
        <v>0</v>
      </c>
      <c r="K62" s="271">
        <f t="shared" si="17"/>
        <v>40590378.32</v>
      </c>
      <c r="L62" s="73" t="s">
        <v>323</v>
      </c>
    </row>
    <row r="63" spans="1:19">
      <c r="A63" s="73" t="s">
        <v>324</v>
      </c>
      <c r="B63" s="271">
        <f t="shared" si="9"/>
        <v>121448381</v>
      </c>
      <c r="C63" s="271">
        <f t="shared" si="10"/>
        <v>3258000</v>
      </c>
      <c r="D63" s="276">
        <f t="shared" si="11"/>
        <v>0</v>
      </c>
      <c r="E63" s="271">
        <f t="shared" si="12"/>
        <v>86351588</v>
      </c>
      <c r="F63" s="271">
        <f t="shared" si="13"/>
        <v>0</v>
      </c>
      <c r="G63" s="276">
        <f t="shared" si="14"/>
        <v>0</v>
      </c>
      <c r="H63" s="271">
        <f t="shared" si="15"/>
        <v>0</v>
      </c>
      <c r="I63" s="276">
        <f t="shared" si="15"/>
        <v>22162388</v>
      </c>
      <c r="J63" s="276">
        <f t="shared" si="16"/>
        <v>0</v>
      </c>
      <c r="K63" s="271">
        <f t="shared" si="17"/>
        <v>233220357</v>
      </c>
      <c r="L63" s="73" t="s">
        <v>324</v>
      </c>
    </row>
    <row r="64" spans="1:19">
      <c r="A64" s="73" t="s">
        <v>331</v>
      </c>
      <c r="B64" s="271">
        <f t="shared" si="9"/>
        <v>0</v>
      </c>
      <c r="C64" s="271">
        <f t="shared" si="10"/>
        <v>0</v>
      </c>
      <c r="D64" s="276">
        <f t="shared" si="11"/>
        <v>0</v>
      </c>
      <c r="E64" s="271">
        <f t="shared" si="12"/>
        <v>0</v>
      </c>
      <c r="F64" s="271">
        <f t="shared" si="13"/>
        <v>0</v>
      </c>
      <c r="G64" s="276">
        <f t="shared" si="14"/>
        <v>3406848</v>
      </c>
      <c r="H64" s="271">
        <f t="shared" si="15"/>
        <v>0</v>
      </c>
      <c r="I64" s="276">
        <f t="shared" si="15"/>
        <v>0</v>
      </c>
      <c r="J64" s="276">
        <f t="shared" si="16"/>
        <v>77232704</v>
      </c>
      <c r="K64" s="271">
        <f t="shared" si="17"/>
        <v>80639552</v>
      </c>
      <c r="L64" s="73" t="s">
        <v>331</v>
      </c>
    </row>
    <row r="65" spans="1:12">
      <c r="A65" s="73" t="s">
        <v>325</v>
      </c>
      <c r="B65" s="271">
        <f t="shared" si="9"/>
        <v>22514935</v>
      </c>
      <c r="C65" s="271">
        <f t="shared" si="10"/>
        <v>260200729</v>
      </c>
      <c r="D65" s="276">
        <f t="shared" si="11"/>
        <v>0</v>
      </c>
      <c r="E65" s="271">
        <f t="shared" si="12"/>
        <v>36632451</v>
      </c>
      <c r="F65" s="271">
        <f t="shared" si="13"/>
        <v>47094163</v>
      </c>
      <c r="G65" s="276">
        <f t="shared" si="14"/>
        <v>0</v>
      </c>
      <c r="H65" s="271">
        <f t="shared" si="15"/>
        <v>0</v>
      </c>
      <c r="I65" s="276">
        <f t="shared" si="15"/>
        <v>4545000</v>
      </c>
      <c r="J65" s="276">
        <f t="shared" si="16"/>
        <v>0</v>
      </c>
      <c r="K65" s="271">
        <f t="shared" si="17"/>
        <v>370987278</v>
      </c>
      <c r="L65" s="73" t="s">
        <v>325</v>
      </c>
    </row>
    <row r="66" spans="1:12">
      <c r="A66" s="73" t="s">
        <v>90</v>
      </c>
      <c r="B66" s="271">
        <f t="shared" si="9"/>
        <v>113022444</v>
      </c>
      <c r="C66" s="271">
        <f t="shared" si="10"/>
        <v>170568942</v>
      </c>
      <c r="D66" s="276">
        <f t="shared" si="11"/>
        <v>0</v>
      </c>
      <c r="E66" s="271">
        <f t="shared" si="12"/>
        <v>44129707.879999995</v>
      </c>
      <c r="F66" s="271">
        <f t="shared" si="13"/>
        <v>40319166</v>
      </c>
      <c r="G66" s="276">
        <f t="shared" si="14"/>
        <v>0</v>
      </c>
      <c r="H66" s="271">
        <f t="shared" si="15"/>
        <v>0</v>
      </c>
      <c r="I66" s="276">
        <f t="shared" si="15"/>
        <v>0</v>
      </c>
      <c r="J66" s="276">
        <f t="shared" si="16"/>
        <v>0</v>
      </c>
      <c r="K66" s="271">
        <f t="shared" si="17"/>
        <v>368040259.88</v>
      </c>
      <c r="L66" s="73" t="s">
        <v>90</v>
      </c>
    </row>
    <row r="67" spans="1:12">
      <c r="A67" s="73" t="s">
        <v>326</v>
      </c>
      <c r="B67" s="271">
        <f t="shared" si="9"/>
        <v>0</v>
      </c>
      <c r="C67" s="271">
        <f t="shared" si="10"/>
        <v>0</v>
      </c>
      <c r="D67" s="276">
        <f t="shared" si="11"/>
        <v>0</v>
      </c>
      <c r="E67" s="271">
        <f t="shared" si="12"/>
        <v>0</v>
      </c>
      <c r="F67" s="271">
        <f t="shared" si="13"/>
        <v>0</v>
      </c>
      <c r="G67" s="276">
        <f t="shared" si="14"/>
        <v>0</v>
      </c>
      <c r="H67" s="271">
        <f t="shared" si="15"/>
        <v>0</v>
      </c>
      <c r="I67" s="276">
        <f t="shared" si="15"/>
        <v>17664000</v>
      </c>
      <c r="J67" s="276">
        <f t="shared" si="16"/>
        <v>429236144</v>
      </c>
      <c r="K67" s="271">
        <f t="shared" si="17"/>
        <v>446900144</v>
      </c>
      <c r="L67" s="73" t="s">
        <v>326</v>
      </c>
    </row>
    <row r="68" spans="1:12">
      <c r="A68" s="73" t="s">
        <v>327</v>
      </c>
      <c r="B68" s="271">
        <f t="shared" si="9"/>
        <v>169337459</v>
      </c>
      <c r="C68" s="271">
        <f t="shared" si="10"/>
        <v>10071329</v>
      </c>
      <c r="D68" s="276">
        <f t="shared" si="11"/>
        <v>1700000</v>
      </c>
      <c r="E68" s="271">
        <f t="shared" si="12"/>
        <v>0</v>
      </c>
      <c r="F68" s="271">
        <f t="shared" si="13"/>
        <v>67959616</v>
      </c>
      <c r="G68" s="276">
        <f t="shared" si="14"/>
        <v>0</v>
      </c>
      <c r="H68" s="271">
        <f t="shared" si="15"/>
        <v>0</v>
      </c>
      <c r="I68" s="276">
        <f t="shared" si="15"/>
        <v>0</v>
      </c>
      <c r="J68" s="276">
        <f t="shared" si="16"/>
        <v>0</v>
      </c>
      <c r="K68" s="271">
        <f t="shared" si="17"/>
        <v>249068404</v>
      </c>
      <c r="L68" s="73" t="s">
        <v>327</v>
      </c>
    </row>
    <row r="69" spans="1:12">
      <c r="A69" s="74" t="s">
        <v>332</v>
      </c>
      <c r="B69" s="275">
        <f t="shared" si="9"/>
        <v>37505851</v>
      </c>
      <c r="C69" s="275">
        <f t="shared" si="10"/>
        <v>42934205</v>
      </c>
      <c r="D69" s="277">
        <f t="shared" si="11"/>
        <v>0</v>
      </c>
      <c r="E69" s="275">
        <f t="shared" si="12"/>
        <v>5693264</v>
      </c>
      <c r="F69" s="275">
        <f t="shared" si="13"/>
        <v>4931410</v>
      </c>
      <c r="G69" s="277">
        <f t="shared" si="14"/>
        <v>0</v>
      </c>
      <c r="H69" s="275">
        <f t="shared" si="15"/>
        <v>0</v>
      </c>
      <c r="I69" s="277">
        <f t="shared" si="15"/>
        <v>0</v>
      </c>
      <c r="J69" s="277">
        <f t="shared" si="16"/>
        <v>0</v>
      </c>
      <c r="K69" s="275">
        <f t="shared" si="17"/>
        <v>91064730</v>
      </c>
      <c r="L69" s="74" t="s">
        <v>332</v>
      </c>
    </row>
    <row r="71" spans="1:12" ht="15.75">
      <c r="A71" s="295" t="s">
        <v>377</v>
      </c>
    </row>
    <row r="72" spans="1:12" ht="15.75">
      <c r="A72" s="95"/>
      <c r="B72" s="234" t="s">
        <v>63</v>
      </c>
      <c r="C72" s="234"/>
      <c r="D72" s="234"/>
      <c r="E72" s="233" t="s">
        <v>65</v>
      </c>
      <c r="F72" s="234"/>
      <c r="G72" s="234"/>
      <c r="H72" s="233" t="s">
        <v>66</v>
      </c>
      <c r="I72" s="235"/>
      <c r="J72" s="258" t="s">
        <v>91</v>
      </c>
      <c r="K72" s="272"/>
    </row>
    <row r="73" spans="1:12" ht="45">
      <c r="A73" s="50"/>
      <c r="B73" s="51" t="s">
        <v>61</v>
      </c>
      <c r="C73" s="52" t="s">
        <v>62</v>
      </c>
      <c r="D73" s="52" t="s">
        <v>37</v>
      </c>
      <c r="E73" s="53" t="s">
        <v>61</v>
      </c>
      <c r="F73" s="52" t="s">
        <v>62</v>
      </c>
      <c r="G73" s="52" t="s">
        <v>37</v>
      </c>
      <c r="H73" s="53" t="s">
        <v>61</v>
      </c>
      <c r="I73" s="236" t="s">
        <v>62</v>
      </c>
      <c r="J73" s="278" t="s">
        <v>38</v>
      </c>
      <c r="K73" s="270" t="s">
        <v>335</v>
      </c>
    </row>
    <row r="74" spans="1:12">
      <c r="A74" s="73" t="s">
        <v>39</v>
      </c>
      <c r="B74" s="274">
        <f t="shared" ref="B74:G74" si="18">+B30+N30</f>
        <v>732271678.72277033</v>
      </c>
      <c r="C74" s="274">
        <f t="shared" si="18"/>
        <v>1371522671.447161</v>
      </c>
      <c r="D74" s="273">
        <f t="shared" si="18"/>
        <v>3319891</v>
      </c>
      <c r="E74" s="274">
        <f t="shared" si="18"/>
        <v>271429414.91722965</v>
      </c>
      <c r="F74" s="274">
        <f t="shared" si="18"/>
        <v>304924820.87283903</v>
      </c>
      <c r="G74" s="273">
        <f t="shared" si="18"/>
        <v>3406848</v>
      </c>
      <c r="H74" s="274">
        <f>+H30</f>
        <v>8637821</v>
      </c>
      <c r="I74" s="273">
        <f>+I30</f>
        <v>363195915</v>
      </c>
      <c r="J74" s="273">
        <f>+L30</f>
        <v>617251291</v>
      </c>
      <c r="K74" s="274">
        <f>SUM(B74:J74)</f>
        <v>3675960351.96</v>
      </c>
    </row>
    <row r="75" spans="1:12">
      <c r="A75" s="73"/>
      <c r="B75" s="271"/>
      <c r="C75" s="271"/>
      <c r="D75" s="276"/>
      <c r="E75" s="271"/>
      <c r="F75" s="271"/>
      <c r="G75" s="276"/>
      <c r="H75" s="271"/>
      <c r="I75" s="276"/>
      <c r="J75" s="276"/>
      <c r="K75" s="271"/>
    </row>
    <row r="76" spans="1:12">
      <c r="A76" s="73" t="s">
        <v>320</v>
      </c>
      <c r="B76" s="271">
        <f t="shared" ref="B76:B91" si="19">+B32+N32</f>
        <v>2143221</v>
      </c>
      <c r="C76" s="271">
        <f t="shared" ref="C76:C91" si="20">+C32+O32</f>
        <v>54363912</v>
      </c>
      <c r="D76" s="276">
        <f t="shared" ref="D76:D91" si="21">+D32+P32</f>
        <v>0</v>
      </c>
      <c r="E76" s="271">
        <f t="shared" ref="E76:E91" si="22">+E32+Q32</f>
        <v>492286</v>
      </c>
      <c r="F76" s="271">
        <f t="shared" ref="F76:F91" si="23">+F32+R32</f>
        <v>1951708</v>
      </c>
      <c r="G76" s="276">
        <f t="shared" ref="G76:G91" si="24">+G32+S32</f>
        <v>0</v>
      </c>
      <c r="H76" s="271">
        <f t="shared" ref="H76:I91" si="25">+H32</f>
        <v>10399</v>
      </c>
      <c r="I76" s="276">
        <f t="shared" si="25"/>
        <v>1204489</v>
      </c>
      <c r="J76" s="276">
        <f t="shared" ref="J76:J91" si="26">+L32</f>
        <v>0</v>
      </c>
      <c r="K76" s="271">
        <f t="shared" ref="K76:K91" si="27">SUM(B76:J76)</f>
        <v>60166015</v>
      </c>
    </row>
    <row r="77" spans="1:12">
      <c r="A77" s="73" t="s">
        <v>334</v>
      </c>
      <c r="B77" s="271">
        <f t="shared" si="19"/>
        <v>7793247</v>
      </c>
      <c r="C77" s="271">
        <f t="shared" si="20"/>
        <v>112421886</v>
      </c>
      <c r="D77" s="276">
        <f t="shared" si="21"/>
        <v>1076142</v>
      </c>
      <c r="E77" s="271">
        <f t="shared" si="22"/>
        <v>489979</v>
      </c>
      <c r="F77" s="271">
        <f t="shared" si="23"/>
        <v>15850785</v>
      </c>
      <c r="G77" s="276">
        <f t="shared" si="24"/>
        <v>0</v>
      </c>
      <c r="H77" s="271">
        <f t="shared" si="25"/>
        <v>0</v>
      </c>
      <c r="I77" s="276">
        <f t="shared" si="25"/>
        <v>175000</v>
      </c>
      <c r="J77" s="276">
        <f t="shared" si="26"/>
        <v>0</v>
      </c>
      <c r="K77" s="271">
        <f t="shared" si="27"/>
        <v>137807039</v>
      </c>
    </row>
    <row r="78" spans="1:12">
      <c r="A78" s="73" t="s">
        <v>321</v>
      </c>
      <c r="B78" s="271">
        <f t="shared" si="19"/>
        <v>216362</v>
      </c>
      <c r="C78" s="271">
        <f t="shared" si="20"/>
        <v>877848</v>
      </c>
      <c r="D78" s="276">
        <f t="shared" si="21"/>
        <v>0</v>
      </c>
      <c r="E78" s="271">
        <f t="shared" si="22"/>
        <v>388728</v>
      </c>
      <c r="F78" s="271">
        <f t="shared" si="23"/>
        <v>483473</v>
      </c>
      <c r="G78" s="276">
        <f t="shared" si="24"/>
        <v>0</v>
      </c>
      <c r="H78" s="271">
        <f t="shared" si="25"/>
        <v>7500</v>
      </c>
      <c r="I78" s="276">
        <f t="shared" si="25"/>
        <v>1419500</v>
      </c>
      <c r="J78" s="276">
        <f t="shared" si="26"/>
        <v>1549955</v>
      </c>
      <c r="K78" s="271">
        <f t="shared" si="27"/>
        <v>4943366</v>
      </c>
    </row>
    <row r="79" spans="1:12">
      <c r="A79" s="73" t="s">
        <v>328</v>
      </c>
      <c r="B79" s="271">
        <f t="shared" si="19"/>
        <v>102964587</v>
      </c>
      <c r="C79" s="271">
        <f t="shared" si="20"/>
        <v>945468</v>
      </c>
      <c r="D79" s="276">
        <f t="shared" si="21"/>
        <v>0</v>
      </c>
      <c r="E79" s="271">
        <f t="shared" si="22"/>
        <v>28544751</v>
      </c>
      <c r="F79" s="271">
        <f t="shared" si="23"/>
        <v>92904528</v>
      </c>
      <c r="G79" s="276">
        <f t="shared" si="24"/>
        <v>0</v>
      </c>
      <c r="H79" s="271">
        <f t="shared" si="25"/>
        <v>8619922</v>
      </c>
      <c r="I79" s="276">
        <f t="shared" si="25"/>
        <v>312309733</v>
      </c>
      <c r="J79" s="276">
        <f t="shared" si="26"/>
        <v>0</v>
      </c>
      <c r="K79" s="271">
        <f t="shared" si="27"/>
        <v>546288989</v>
      </c>
    </row>
    <row r="80" spans="1:12">
      <c r="A80" s="73" t="s">
        <v>329</v>
      </c>
      <c r="B80" s="271">
        <f t="shared" si="19"/>
        <v>0</v>
      </c>
      <c r="C80" s="271">
        <f t="shared" si="20"/>
        <v>424721837</v>
      </c>
      <c r="D80" s="276">
        <f t="shared" si="21"/>
        <v>0</v>
      </c>
      <c r="E80" s="271">
        <f t="shared" si="22"/>
        <v>0</v>
      </c>
      <c r="F80" s="271">
        <f t="shared" si="23"/>
        <v>1880112</v>
      </c>
      <c r="G80" s="276">
        <f t="shared" si="24"/>
        <v>0</v>
      </c>
      <c r="H80" s="271">
        <f t="shared" si="25"/>
        <v>0</v>
      </c>
      <c r="I80" s="276">
        <f t="shared" si="25"/>
        <v>0</v>
      </c>
      <c r="J80" s="276">
        <f t="shared" si="26"/>
        <v>0</v>
      </c>
      <c r="K80" s="271">
        <f t="shared" si="27"/>
        <v>426601949</v>
      </c>
    </row>
    <row r="81" spans="1:12">
      <c r="A81" s="73" t="s">
        <v>322</v>
      </c>
      <c r="B81" s="271">
        <f t="shared" si="19"/>
        <v>46607653</v>
      </c>
      <c r="C81" s="271">
        <f t="shared" si="20"/>
        <v>85956246</v>
      </c>
      <c r="D81" s="276">
        <f t="shared" si="21"/>
        <v>0</v>
      </c>
      <c r="E81" s="271">
        <f t="shared" si="22"/>
        <v>45667727</v>
      </c>
      <c r="F81" s="271">
        <f t="shared" si="23"/>
        <v>19124880</v>
      </c>
      <c r="G81" s="276">
        <f t="shared" si="24"/>
        <v>0</v>
      </c>
      <c r="H81" s="271">
        <f t="shared" si="25"/>
        <v>0</v>
      </c>
      <c r="I81" s="276">
        <f t="shared" si="25"/>
        <v>0</v>
      </c>
      <c r="J81" s="276">
        <f t="shared" si="26"/>
        <v>0</v>
      </c>
      <c r="K81" s="271">
        <f t="shared" si="27"/>
        <v>197356506</v>
      </c>
    </row>
    <row r="82" spans="1:12">
      <c r="A82" s="73" t="s">
        <v>217</v>
      </c>
      <c r="B82" s="271">
        <f t="shared" si="19"/>
        <v>23783131</v>
      </c>
      <c r="C82" s="271">
        <f t="shared" si="20"/>
        <v>199885710</v>
      </c>
      <c r="D82" s="276">
        <f t="shared" si="21"/>
        <v>0</v>
      </c>
      <c r="E82" s="271">
        <f t="shared" si="22"/>
        <v>2335638</v>
      </c>
      <c r="F82" s="271">
        <f t="shared" si="23"/>
        <v>14866958</v>
      </c>
      <c r="G82" s="276">
        <f t="shared" si="24"/>
        <v>0</v>
      </c>
      <c r="H82" s="271">
        <f t="shared" si="25"/>
        <v>0</v>
      </c>
      <c r="I82" s="276">
        <f t="shared" si="25"/>
        <v>0</v>
      </c>
      <c r="J82" s="276">
        <f t="shared" si="26"/>
        <v>0</v>
      </c>
      <c r="K82" s="271">
        <f t="shared" si="27"/>
        <v>240871437</v>
      </c>
    </row>
    <row r="83" spans="1:12">
      <c r="A83" s="73" t="s">
        <v>333</v>
      </c>
      <c r="B83" s="271">
        <f t="shared" si="19"/>
        <v>76152186</v>
      </c>
      <c r="C83" s="271">
        <f t="shared" si="20"/>
        <v>8642361</v>
      </c>
      <c r="D83" s="276">
        <f t="shared" si="21"/>
        <v>0</v>
      </c>
      <c r="E83" s="271">
        <f t="shared" si="22"/>
        <v>16816125</v>
      </c>
      <c r="F83" s="271">
        <f t="shared" si="23"/>
        <v>1913471</v>
      </c>
      <c r="G83" s="276">
        <f t="shared" si="24"/>
        <v>0</v>
      </c>
      <c r="H83" s="271">
        <f t="shared" si="25"/>
        <v>0</v>
      </c>
      <c r="I83" s="276">
        <f t="shared" si="25"/>
        <v>0</v>
      </c>
      <c r="J83" s="276">
        <f t="shared" si="26"/>
        <v>0</v>
      </c>
      <c r="K83" s="271">
        <f t="shared" si="27"/>
        <v>103524143</v>
      </c>
    </row>
    <row r="84" spans="1:12">
      <c r="A84" s="73" t="s">
        <v>323</v>
      </c>
      <c r="B84" s="271">
        <f t="shared" si="19"/>
        <v>9970645</v>
      </c>
      <c r="C84" s="271">
        <f t="shared" si="20"/>
        <v>21756676</v>
      </c>
      <c r="D84" s="276">
        <f t="shared" si="21"/>
        <v>593749</v>
      </c>
      <c r="E84" s="271">
        <f t="shared" si="22"/>
        <v>758048</v>
      </c>
      <c r="F84" s="271">
        <f t="shared" si="23"/>
        <v>3150248</v>
      </c>
      <c r="G84" s="276">
        <f t="shared" si="24"/>
        <v>0</v>
      </c>
      <c r="H84" s="271">
        <f t="shared" si="25"/>
        <v>0</v>
      </c>
      <c r="I84" s="276">
        <f t="shared" si="25"/>
        <v>515805</v>
      </c>
      <c r="J84" s="276">
        <f t="shared" si="26"/>
        <v>0</v>
      </c>
      <c r="K84" s="271">
        <f t="shared" si="27"/>
        <v>36745171</v>
      </c>
    </row>
    <row r="85" spans="1:12">
      <c r="A85" s="73" t="s">
        <v>324</v>
      </c>
      <c r="B85" s="271">
        <f t="shared" si="19"/>
        <v>122475842</v>
      </c>
      <c r="C85" s="271">
        <f t="shared" si="20"/>
        <v>4336209</v>
      </c>
      <c r="D85" s="276">
        <f t="shared" si="21"/>
        <v>0</v>
      </c>
      <c r="E85" s="271">
        <f t="shared" si="22"/>
        <v>86351588</v>
      </c>
      <c r="F85" s="271">
        <f t="shared" si="23"/>
        <v>0</v>
      </c>
      <c r="G85" s="276">
        <f t="shared" si="24"/>
        <v>0</v>
      </c>
      <c r="H85" s="271">
        <f t="shared" si="25"/>
        <v>0</v>
      </c>
      <c r="I85" s="276">
        <f t="shared" si="25"/>
        <v>22162388</v>
      </c>
      <c r="J85" s="276">
        <f t="shared" si="26"/>
        <v>0</v>
      </c>
      <c r="K85" s="271">
        <f t="shared" si="27"/>
        <v>235326027</v>
      </c>
    </row>
    <row r="86" spans="1:12">
      <c r="A86" s="73" t="s">
        <v>331</v>
      </c>
      <c r="B86" s="271">
        <f t="shared" si="19"/>
        <v>0</v>
      </c>
      <c r="C86" s="271">
        <f t="shared" si="20"/>
        <v>0</v>
      </c>
      <c r="D86" s="276">
        <f t="shared" si="21"/>
        <v>0</v>
      </c>
      <c r="E86" s="271">
        <f t="shared" si="22"/>
        <v>0</v>
      </c>
      <c r="F86" s="271">
        <f t="shared" si="23"/>
        <v>0</v>
      </c>
      <c r="G86" s="276">
        <f t="shared" si="24"/>
        <v>3406848</v>
      </c>
      <c r="H86" s="271">
        <f t="shared" si="25"/>
        <v>0</v>
      </c>
      <c r="I86" s="276">
        <f t="shared" si="25"/>
        <v>0</v>
      </c>
      <c r="J86" s="276">
        <f t="shared" si="26"/>
        <v>77232704</v>
      </c>
      <c r="K86" s="271">
        <f t="shared" si="27"/>
        <v>80639552</v>
      </c>
    </row>
    <row r="87" spans="1:12">
      <c r="A87" s="73" t="s">
        <v>325</v>
      </c>
      <c r="B87" s="271">
        <f t="shared" si="19"/>
        <v>20449021.582770318</v>
      </c>
      <c r="C87" s="271">
        <f t="shared" si="20"/>
        <v>235151754.44716096</v>
      </c>
      <c r="D87" s="276">
        <f t="shared" si="21"/>
        <v>0</v>
      </c>
      <c r="E87" s="271">
        <f t="shared" si="22"/>
        <v>35839600.417229682</v>
      </c>
      <c r="F87" s="271">
        <f t="shared" si="23"/>
        <v>42236780.552839026</v>
      </c>
      <c r="G87" s="276">
        <f t="shared" si="24"/>
        <v>0</v>
      </c>
      <c r="H87" s="271">
        <f t="shared" si="25"/>
        <v>0</v>
      </c>
      <c r="I87" s="276">
        <f t="shared" si="25"/>
        <v>4545000</v>
      </c>
      <c r="J87" s="276">
        <f t="shared" si="26"/>
        <v>0</v>
      </c>
      <c r="K87" s="271">
        <f t="shared" si="27"/>
        <v>338222157</v>
      </c>
    </row>
    <row r="88" spans="1:12">
      <c r="A88" s="73" t="s">
        <v>90</v>
      </c>
      <c r="B88" s="271">
        <f t="shared" si="19"/>
        <v>113858091.14</v>
      </c>
      <c r="C88" s="271">
        <f t="shared" si="20"/>
        <v>165956549</v>
      </c>
      <c r="D88" s="276">
        <f t="shared" si="21"/>
        <v>0</v>
      </c>
      <c r="E88" s="271">
        <f t="shared" si="22"/>
        <v>46943432.5</v>
      </c>
      <c r="F88" s="271">
        <f t="shared" si="23"/>
        <v>40567472.32</v>
      </c>
      <c r="G88" s="276">
        <f t="shared" si="24"/>
        <v>0</v>
      </c>
      <c r="H88" s="271">
        <f t="shared" si="25"/>
        <v>0</v>
      </c>
      <c r="I88" s="276">
        <f t="shared" si="25"/>
        <v>0</v>
      </c>
      <c r="J88" s="276">
        <f t="shared" si="26"/>
        <v>0</v>
      </c>
      <c r="K88" s="271">
        <f t="shared" si="27"/>
        <v>367325544.95999998</v>
      </c>
    </row>
    <row r="89" spans="1:12">
      <c r="A89" s="73" t="s">
        <v>326</v>
      </c>
      <c r="B89" s="271">
        <f t="shared" si="19"/>
        <v>0</v>
      </c>
      <c r="C89" s="271">
        <f t="shared" si="20"/>
        <v>0</v>
      </c>
      <c r="D89" s="276">
        <f t="shared" si="21"/>
        <v>0</v>
      </c>
      <c r="E89" s="271">
        <f t="shared" si="22"/>
        <v>0</v>
      </c>
      <c r="F89" s="271">
        <f t="shared" si="23"/>
        <v>0</v>
      </c>
      <c r="G89" s="276">
        <f t="shared" si="24"/>
        <v>0</v>
      </c>
      <c r="H89" s="271">
        <f t="shared" si="25"/>
        <v>0</v>
      </c>
      <c r="I89" s="276">
        <f t="shared" si="25"/>
        <v>20864000</v>
      </c>
      <c r="J89" s="276">
        <f t="shared" si="26"/>
        <v>538468632</v>
      </c>
      <c r="K89" s="271">
        <f t="shared" si="27"/>
        <v>559332632</v>
      </c>
    </row>
    <row r="90" spans="1:12">
      <c r="A90" s="73" t="s">
        <v>327</v>
      </c>
      <c r="B90" s="271">
        <f t="shared" si="19"/>
        <v>168506071</v>
      </c>
      <c r="C90" s="271">
        <f t="shared" si="20"/>
        <v>13609822</v>
      </c>
      <c r="D90" s="276">
        <f t="shared" si="21"/>
        <v>1650000</v>
      </c>
      <c r="E90" s="271">
        <f t="shared" si="22"/>
        <v>1041645</v>
      </c>
      <c r="F90" s="271">
        <f t="shared" si="23"/>
        <v>64952609</v>
      </c>
      <c r="G90" s="276">
        <f t="shared" si="24"/>
        <v>0</v>
      </c>
      <c r="H90" s="271">
        <f t="shared" si="25"/>
        <v>0</v>
      </c>
      <c r="I90" s="276">
        <f t="shared" si="25"/>
        <v>0</v>
      </c>
      <c r="J90" s="276">
        <f t="shared" si="26"/>
        <v>0</v>
      </c>
      <c r="K90" s="271">
        <f t="shared" si="27"/>
        <v>249760147</v>
      </c>
    </row>
    <row r="91" spans="1:12">
      <c r="A91" s="74" t="s">
        <v>332</v>
      </c>
      <c r="B91" s="275">
        <f t="shared" si="19"/>
        <v>37351621</v>
      </c>
      <c r="C91" s="275">
        <f t="shared" si="20"/>
        <v>42896393</v>
      </c>
      <c r="D91" s="277">
        <f t="shared" si="21"/>
        <v>0</v>
      </c>
      <c r="E91" s="275">
        <f t="shared" si="22"/>
        <v>5759867</v>
      </c>
      <c r="F91" s="275">
        <f t="shared" si="23"/>
        <v>5041796</v>
      </c>
      <c r="G91" s="277">
        <f t="shared" si="24"/>
        <v>0</v>
      </c>
      <c r="H91" s="275">
        <f t="shared" si="25"/>
        <v>0</v>
      </c>
      <c r="I91" s="277">
        <f t="shared" si="25"/>
        <v>0</v>
      </c>
      <c r="J91" s="277">
        <f t="shared" si="26"/>
        <v>0</v>
      </c>
      <c r="K91" s="275">
        <f t="shared" si="27"/>
        <v>91049677</v>
      </c>
    </row>
    <row r="93" spans="1:12" ht="15.75">
      <c r="A93" s="95" t="s">
        <v>405</v>
      </c>
    </row>
    <row r="94" spans="1:12" ht="33.75">
      <c r="A94" s="285"/>
      <c r="B94" s="53" t="s">
        <v>40</v>
      </c>
      <c r="C94" s="52" t="s">
        <v>41</v>
      </c>
      <c r="D94" s="52" t="s">
        <v>42</v>
      </c>
      <c r="E94" s="53" t="s">
        <v>43</v>
      </c>
      <c r="F94" s="52" t="s">
        <v>44</v>
      </c>
      <c r="G94" s="52" t="s">
        <v>45</v>
      </c>
      <c r="H94" s="53" t="s">
        <v>47</v>
      </c>
      <c r="I94" s="51" t="s">
        <v>48</v>
      </c>
      <c r="J94" s="233" t="s">
        <v>49</v>
      </c>
      <c r="K94" s="279" t="s">
        <v>335</v>
      </c>
    </row>
    <row r="95" spans="1:12">
      <c r="A95" s="73" t="s">
        <v>39</v>
      </c>
      <c r="B95" s="288">
        <f t="shared" ref="B95:K95" si="28">IF(B74&gt;0,(B52-B74)/B74,)</f>
        <v>9.1148105568751109E-2</v>
      </c>
      <c r="C95" s="281">
        <f t="shared" si="28"/>
        <v>7.2387025627042495E-2</v>
      </c>
      <c r="D95" s="281">
        <f t="shared" si="28"/>
        <v>0.13581901333507646</v>
      </c>
      <c r="E95" s="286">
        <f t="shared" si="28"/>
        <v>-1.1995764675035478E-2</v>
      </c>
      <c r="F95" s="280">
        <f t="shared" si="28"/>
        <v>0.11781255724297242</v>
      </c>
      <c r="G95" s="287">
        <f t="shared" si="28"/>
        <v>0</v>
      </c>
      <c r="H95" s="281">
        <f t="shared" si="28"/>
        <v>-5.788496890593125E-3</v>
      </c>
      <c r="I95" s="281">
        <f t="shared" si="28"/>
        <v>-0.1271398660967869</v>
      </c>
      <c r="J95" s="291">
        <f t="shared" si="28"/>
        <v>-0.1758396354654202</v>
      </c>
      <c r="K95" s="294">
        <f t="shared" si="28"/>
        <v>1.2073191939172273E-2</v>
      </c>
      <c r="L95" s="73" t="s">
        <v>39</v>
      </c>
    </row>
    <row r="96" spans="1:12">
      <c r="A96" s="73"/>
      <c r="B96" s="288"/>
      <c r="C96" s="281"/>
      <c r="D96" s="282"/>
      <c r="E96" s="281"/>
      <c r="F96" s="281"/>
      <c r="G96" s="282"/>
      <c r="H96" s="281"/>
      <c r="I96" s="282"/>
      <c r="J96" s="292"/>
      <c r="K96" s="294"/>
      <c r="L96" s="73"/>
    </row>
    <row r="97" spans="1:12">
      <c r="A97" s="73" t="s">
        <v>320</v>
      </c>
      <c r="B97" s="288">
        <f t="shared" ref="B97:K97" si="29">IF(B76&gt;0,(B54-B76)/B76,)</f>
        <v>0.16290900471766562</v>
      </c>
      <c r="C97" s="281">
        <f t="shared" si="29"/>
        <v>3.6631101897155599E-2</v>
      </c>
      <c r="D97" s="282">
        <f t="shared" si="29"/>
        <v>0</v>
      </c>
      <c r="E97" s="281">
        <f t="shared" si="29"/>
        <v>-0.73353497763495201</v>
      </c>
      <c r="F97" s="281">
        <f t="shared" si="29"/>
        <v>-4.2936750784441117E-3</v>
      </c>
      <c r="G97" s="282">
        <f t="shared" si="29"/>
        <v>0</v>
      </c>
      <c r="H97" s="281">
        <f t="shared" si="29"/>
        <v>0</v>
      </c>
      <c r="I97" s="282">
        <f t="shared" si="29"/>
        <v>0</v>
      </c>
      <c r="J97" s="292">
        <f t="shared" si="29"/>
        <v>0</v>
      </c>
      <c r="K97" s="294">
        <f t="shared" si="29"/>
        <v>3.276053765568486E-2</v>
      </c>
      <c r="L97" s="73" t="s">
        <v>320</v>
      </c>
    </row>
    <row r="98" spans="1:12">
      <c r="A98" s="73" t="s">
        <v>334</v>
      </c>
      <c r="B98" s="288">
        <f t="shared" ref="B98:K98" si="30">IF(B77&gt;0,(B55-B77)/B77,)</f>
        <v>9.7167842877301333E-2</v>
      </c>
      <c r="C98" s="281">
        <f t="shared" si="30"/>
        <v>-9.1379971927561546E-2</v>
      </c>
      <c r="D98" s="282">
        <f t="shared" si="30"/>
        <v>0.39386809547438906</v>
      </c>
      <c r="E98" s="281">
        <f t="shared" si="30"/>
        <v>0.11229256764065398</v>
      </c>
      <c r="F98" s="281">
        <f t="shared" si="30"/>
        <v>-6.3965867512332908E-2</v>
      </c>
      <c r="G98" s="282">
        <f t="shared" si="30"/>
        <v>0</v>
      </c>
      <c r="H98" s="281">
        <f t="shared" si="30"/>
        <v>0</v>
      </c>
      <c r="I98" s="282">
        <f t="shared" si="30"/>
        <v>0</v>
      </c>
      <c r="J98" s="292">
        <f t="shared" si="30"/>
        <v>0</v>
      </c>
      <c r="K98" s="294">
        <f t="shared" si="30"/>
        <v>-7.2934489217201748E-2</v>
      </c>
      <c r="L98" s="73" t="s">
        <v>334</v>
      </c>
    </row>
    <row r="99" spans="1:12">
      <c r="A99" s="73" t="s">
        <v>321</v>
      </c>
      <c r="B99" s="288">
        <f t="shared" ref="B99:K99" si="31">IF(B78&gt;0,(B56-B78)/B78,)</f>
        <v>0.11359665745371184</v>
      </c>
      <c r="C99" s="281">
        <f t="shared" si="31"/>
        <v>3.6755793713718093E-2</v>
      </c>
      <c r="D99" s="282">
        <f t="shared" si="31"/>
        <v>0</v>
      </c>
      <c r="E99" s="281">
        <f t="shared" si="31"/>
        <v>3.6829479739046385E-2</v>
      </c>
      <c r="F99" s="281">
        <f t="shared" si="31"/>
        <v>3.5865498176733757E-3</v>
      </c>
      <c r="G99" s="282">
        <f t="shared" si="31"/>
        <v>0</v>
      </c>
      <c r="H99" s="281">
        <f t="shared" si="31"/>
        <v>0</v>
      </c>
      <c r="I99" s="282">
        <f t="shared" si="31"/>
        <v>0.14617823177175063</v>
      </c>
      <c r="J99" s="292">
        <f t="shared" si="31"/>
        <v>0.44855882912729722</v>
      </c>
      <c r="K99" s="294">
        <f t="shared" si="31"/>
        <v>0.19736362834554438</v>
      </c>
      <c r="L99" s="73" t="s">
        <v>321</v>
      </c>
    </row>
    <row r="100" spans="1:12">
      <c r="A100" s="73" t="s">
        <v>328</v>
      </c>
      <c r="B100" s="288">
        <f t="shared" ref="B100:K100" si="32">IF(B79&gt;0,(B57-B79)/B79,)</f>
        <v>0.11227798155495929</v>
      </c>
      <c r="C100" s="281">
        <f t="shared" si="32"/>
        <v>0.32923271861131209</v>
      </c>
      <c r="D100" s="282">
        <f t="shared" si="32"/>
        <v>0</v>
      </c>
      <c r="E100" s="281">
        <f t="shared" si="32"/>
        <v>0.10288851354842787</v>
      </c>
      <c r="F100" s="281">
        <f t="shared" si="32"/>
        <v>0.27064312731883206</v>
      </c>
      <c r="G100" s="282">
        <f t="shared" si="32"/>
        <v>0</v>
      </c>
      <c r="H100" s="281">
        <f t="shared" si="32"/>
        <v>-5.800516524395464E-3</v>
      </c>
      <c r="I100" s="282">
        <f t="shared" si="32"/>
        <v>-0.13769052468179083</v>
      </c>
      <c r="J100" s="292">
        <f t="shared" si="32"/>
        <v>0</v>
      </c>
      <c r="K100" s="294">
        <f t="shared" si="32"/>
        <v>-5.673292089729453E-3</v>
      </c>
      <c r="L100" s="73" t="s">
        <v>328</v>
      </c>
    </row>
    <row r="101" spans="1:12">
      <c r="A101" s="73" t="s">
        <v>329</v>
      </c>
      <c r="B101" s="288">
        <f t="shared" ref="B101:K101" si="33">IF(B80&gt;0,(B58-B80)/B80,)</f>
        <v>0</v>
      </c>
      <c r="C101" s="281">
        <f t="shared" si="33"/>
        <v>5.2394786567096147E-2</v>
      </c>
      <c r="D101" s="282">
        <f t="shared" si="33"/>
        <v>0</v>
      </c>
      <c r="E101" s="281">
        <f t="shared" si="33"/>
        <v>0</v>
      </c>
      <c r="F101" s="281">
        <f t="shared" si="33"/>
        <v>0.10983335035359595</v>
      </c>
      <c r="G101" s="282">
        <f t="shared" si="33"/>
        <v>0</v>
      </c>
      <c r="H101" s="281">
        <f t="shared" si="33"/>
        <v>0</v>
      </c>
      <c r="I101" s="282">
        <f t="shared" si="33"/>
        <v>0</v>
      </c>
      <c r="J101" s="292">
        <f t="shared" si="33"/>
        <v>0</v>
      </c>
      <c r="K101" s="294">
        <f t="shared" si="33"/>
        <v>5.2647928713518373E-2</v>
      </c>
      <c r="L101" s="73" t="s">
        <v>329</v>
      </c>
    </row>
    <row r="102" spans="1:12">
      <c r="A102" s="73" t="s">
        <v>322</v>
      </c>
      <c r="B102" s="288">
        <f t="shared" ref="B102:K102" si="34">IF(B81&gt;0,(B59-B81)/B81,)</f>
        <v>1.4529631002874141E-2</v>
      </c>
      <c r="C102" s="281">
        <f t="shared" si="34"/>
        <v>3.1886048164551067E-2</v>
      </c>
      <c r="D102" s="282">
        <f t="shared" si="34"/>
        <v>0</v>
      </c>
      <c r="E102" s="281">
        <f t="shared" si="34"/>
        <v>-8.1601477559853156E-2</v>
      </c>
      <c r="F102" s="281">
        <f t="shared" si="34"/>
        <v>-4.8829587427476669E-3</v>
      </c>
      <c r="G102" s="282">
        <f t="shared" si="34"/>
        <v>0</v>
      </c>
      <c r="H102" s="281">
        <f t="shared" si="34"/>
        <v>0</v>
      </c>
      <c r="I102" s="282">
        <f t="shared" si="34"/>
        <v>0</v>
      </c>
      <c r="J102" s="292">
        <f t="shared" si="34"/>
        <v>0</v>
      </c>
      <c r="K102" s="294">
        <f t="shared" si="34"/>
        <v>-2.0366341507890295E-3</v>
      </c>
      <c r="L102" s="73" t="s">
        <v>322</v>
      </c>
    </row>
    <row r="103" spans="1:12">
      <c r="A103" s="73" t="s">
        <v>217</v>
      </c>
      <c r="B103" s="288">
        <f t="shared" ref="B103:K103" si="35">IF(B82&gt;0,(B60-B82)/B82,)</f>
        <v>3.5146507833640574E-2</v>
      </c>
      <c r="C103" s="281">
        <f t="shared" si="35"/>
        <v>0.2399850244422175</v>
      </c>
      <c r="D103" s="282">
        <f t="shared" si="35"/>
        <v>0</v>
      </c>
      <c r="E103" s="281">
        <f t="shared" si="35"/>
        <v>-5.6744238619169579E-2</v>
      </c>
      <c r="F103" s="281">
        <f t="shared" si="35"/>
        <v>0.1122835619768348</v>
      </c>
      <c r="G103" s="282">
        <f t="shared" si="35"/>
        <v>0</v>
      </c>
      <c r="H103" s="281">
        <f t="shared" si="35"/>
        <v>0</v>
      </c>
      <c r="I103" s="282">
        <f t="shared" si="35"/>
        <v>0</v>
      </c>
      <c r="J103" s="292">
        <f t="shared" si="35"/>
        <v>0</v>
      </c>
      <c r="K103" s="294">
        <f t="shared" si="35"/>
        <v>0.20900050511177878</v>
      </c>
      <c r="L103" s="73" t="s">
        <v>217</v>
      </c>
    </row>
    <row r="104" spans="1:12">
      <c r="A104" s="73" t="s">
        <v>333</v>
      </c>
      <c r="B104" s="288">
        <f t="shared" ref="B104:K104" si="36">IF(B83&gt;0,(B61-B83)/B83,)</f>
        <v>0.64242221490529505</v>
      </c>
      <c r="C104" s="281">
        <f t="shared" si="36"/>
        <v>0.92793219352905998</v>
      </c>
      <c r="D104" s="282">
        <f t="shared" si="36"/>
        <v>0</v>
      </c>
      <c r="E104" s="281">
        <f t="shared" si="36"/>
        <v>4.9659181291766087E-2</v>
      </c>
      <c r="F104" s="281">
        <f t="shared" si="36"/>
        <v>1.2006123949618259</v>
      </c>
      <c r="G104" s="282">
        <f t="shared" si="36"/>
        <v>0</v>
      </c>
      <c r="H104" s="281">
        <f t="shared" si="36"/>
        <v>0</v>
      </c>
      <c r="I104" s="282">
        <f t="shared" si="36"/>
        <v>0</v>
      </c>
      <c r="J104" s="292">
        <f t="shared" si="36"/>
        <v>0</v>
      </c>
      <c r="K104" s="294">
        <f t="shared" si="36"/>
        <v>0.58028775954223544</v>
      </c>
      <c r="L104" s="73" t="s">
        <v>333</v>
      </c>
    </row>
    <row r="105" spans="1:12">
      <c r="A105" s="73" t="s">
        <v>323</v>
      </c>
      <c r="B105" s="288">
        <f t="shared" ref="B105:K105" si="37">IF(B84&gt;0,(B62-B84)/B84,)</f>
        <v>0.24373287786296674</v>
      </c>
      <c r="C105" s="281">
        <f t="shared" si="37"/>
        <v>5.2995503541074011E-2</v>
      </c>
      <c r="D105" s="282">
        <f t="shared" si="37"/>
        <v>-3.8658894583401292E-2</v>
      </c>
      <c r="E105" s="281">
        <f t="shared" si="37"/>
        <v>0.33240111444130188</v>
      </c>
      <c r="F105" s="281">
        <f t="shared" si="37"/>
        <v>6.8278433951866641E-2</v>
      </c>
      <c r="G105" s="282">
        <f t="shared" si="37"/>
        <v>0</v>
      </c>
      <c r="H105" s="281">
        <f t="shared" si="37"/>
        <v>0</v>
      </c>
      <c r="I105" s="282">
        <f t="shared" si="37"/>
        <v>-0.35301906728317872</v>
      </c>
      <c r="J105" s="292">
        <f t="shared" si="37"/>
        <v>0</v>
      </c>
      <c r="K105" s="294">
        <f t="shared" si="37"/>
        <v>0.1046452422278835</v>
      </c>
      <c r="L105" s="73" t="s">
        <v>323</v>
      </c>
    </row>
    <row r="106" spans="1:12">
      <c r="A106" s="73" t="s">
        <v>324</v>
      </c>
      <c r="B106" s="288">
        <f t="shared" ref="B106:K106" si="38">IF(B85&gt;0,(B63-B85)/B85,)</f>
        <v>-8.3890911319474733E-3</v>
      </c>
      <c r="C106" s="281">
        <f t="shared" si="38"/>
        <v>-0.24865245194592789</v>
      </c>
      <c r="D106" s="282">
        <f t="shared" si="38"/>
        <v>0</v>
      </c>
      <c r="E106" s="281">
        <f t="shared" si="38"/>
        <v>0</v>
      </c>
      <c r="F106" s="281">
        <f t="shared" si="38"/>
        <v>0</v>
      </c>
      <c r="G106" s="282">
        <f t="shared" si="38"/>
        <v>0</v>
      </c>
      <c r="H106" s="281">
        <f t="shared" si="38"/>
        <v>0</v>
      </c>
      <c r="I106" s="282">
        <f t="shared" si="38"/>
        <v>0</v>
      </c>
      <c r="J106" s="292">
        <f t="shared" si="38"/>
        <v>0</v>
      </c>
      <c r="K106" s="294">
        <f t="shared" si="38"/>
        <v>-8.947884034943572E-3</v>
      </c>
      <c r="L106" s="73" t="s">
        <v>324</v>
      </c>
    </row>
    <row r="107" spans="1:12">
      <c r="A107" s="73" t="s">
        <v>331</v>
      </c>
      <c r="B107" s="288">
        <f t="shared" ref="B107:K107" si="39">IF(B86&gt;0,(B64-B86)/B86,)</f>
        <v>0</v>
      </c>
      <c r="C107" s="281">
        <f t="shared" si="39"/>
        <v>0</v>
      </c>
      <c r="D107" s="282">
        <f t="shared" si="39"/>
        <v>0</v>
      </c>
      <c r="E107" s="281">
        <f t="shared" si="39"/>
        <v>0</v>
      </c>
      <c r="F107" s="281">
        <f t="shared" si="39"/>
        <v>0</v>
      </c>
      <c r="G107" s="282">
        <f t="shared" si="39"/>
        <v>0</v>
      </c>
      <c r="H107" s="281">
        <f t="shared" si="39"/>
        <v>0</v>
      </c>
      <c r="I107" s="282">
        <f t="shared" si="39"/>
        <v>0</v>
      </c>
      <c r="J107" s="292">
        <f t="shared" si="39"/>
        <v>0</v>
      </c>
      <c r="K107" s="294">
        <f t="shared" si="39"/>
        <v>0</v>
      </c>
      <c r="L107" s="73" t="s">
        <v>331</v>
      </c>
    </row>
    <row r="108" spans="1:12">
      <c r="A108" s="73" t="s">
        <v>325</v>
      </c>
      <c r="B108" s="288">
        <f t="shared" ref="B108:K108" si="40">IF(B87&gt;0,(B65-B87)/B87,)</f>
        <v>0.10102749458538172</v>
      </c>
      <c r="C108" s="281">
        <f t="shared" si="40"/>
        <v>0.10652259266246551</v>
      </c>
      <c r="D108" s="282">
        <f t="shared" si="40"/>
        <v>0</v>
      </c>
      <c r="E108" s="281">
        <f t="shared" si="40"/>
        <v>2.2122193705852798E-2</v>
      </c>
      <c r="F108" s="281">
        <f t="shared" si="40"/>
        <v>0.11500361494371701</v>
      </c>
      <c r="G108" s="282">
        <f t="shared" si="40"/>
        <v>0</v>
      </c>
      <c r="H108" s="281">
        <f t="shared" si="40"/>
        <v>0</v>
      </c>
      <c r="I108" s="282">
        <f t="shared" si="40"/>
        <v>0</v>
      </c>
      <c r="J108" s="292">
        <f t="shared" si="40"/>
        <v>0</v>
      </c>
      <c r="K108" s="294">
        <f t="shared" si="40"/>
        <v>9.6874555146308758E-2</v>
      </c>
      <c r="L108" s="73" t="s">
        <v>325</v>
      </c>
    </row>
    <row r="109" spans="1:12">
      <c r="A109" s="73" t="s">
        <v>90</v>
      </c>
      <c r="B109" s="288">
        <f t="shared" ref="B109:K109" si="41">IF(B88&gt;0,(B66-B88)/B88,)</f>
        <v>-7.3393742300886479E-3</v>
      </c>
      <c r="C109" s="281">
        <f t="shared" si="41"/>
        <v>2.779277484252821E-2</v>
      </c>
      <c r="D109" s="282">
        <f t="shared" si="41"/>
        <v>0</v>
      </c>
      <c r="E109" s="281">
        <f t="shared" si="41"/>
        <v>-5.9938621233119348E-2</v>
      </c>
      <c r="F109" s="281">
        <f t="shared" si="41"/>
        <v>-6.1208230584675555E-3</v>
      </c>
      <c r="G109" s="282">
        <f t="shared" si="41"/>
        <v>0</v>
      </c>
      <c r="H109" s="281">
        <f t="shared" si="41"/>
        <v>0</v>
      </c>
      <c r="I109" s="282">
        <f t="shared" si="41"/>
        <v>0</v>
      </c>
      <c r="J109" s="292">
        <f t="shared" si="41"/>
        <v>0</v>
      </c>
      <c r="K109" s="294">
        <f t="shared" si="41"/>
        <v>1.9457261543785248E-3</v>
      </c>
      <c r="L109" s="73" t="s">
        <v>90</v>
      </c>
    </row>
    <row r="110" spans="1:12">
      <c r="A110" s="73" t="s">
        <v>326</v>
      </c>
      <c r="B110" s="288">
        <f t="shared" ref="B110:K110" si="42">IF(B89&gt;0,(B67-B89)/B89,)</f>
        <v>0</v>
      </c>
      <c r="C110" s="281">
        <f t="shared" si="42"/>
        <v>0</v>
      </c>
      <c r="D110" s="282">
        <f t="shared" si="42"/>
        <v>0</v>
      </c>
      <c r="E110" s="281">
        <f t="shared" si="42"/>
        <v>0</v>
      </c>
      <c r="F110" s="281">
        <f t="shared" si="42"/>
        <v>0</v>
      </c>
      <c r="G110" s="282">
        <f t="shared" si="42"/>
        <v>0</v>
      </c>
      <c r="H110" s="281">
        <f t="shared" si="42"/>
        <v>0</v>
      </c>
      <c r="I110" s="282">
        <f t="shared" si="42"/>
        <v>-0.15337423312883436</v>
      </c>
      <c r="J110" s="292">
        <f t="shared" si="42"/>
        <v>-0.20285766246825684</v>
      </c>
      <c r="K110" s="294">
        <f t="shared" si="42"/>
        <v>-0.20101185156670781</v>
      </c>
      <c r="L110" s="73" t="s">
        <v>326</v>
      </c>
    </row>
    <row r="111" spans="1:12">
      <c r="A111" s="73" t="s">
        <v>327</v>
      </c>
      <c r="B111" s="288">
        <f t="shared" ref="B111:K111" si="43">IF(B90&gt;0,(B68-B90)/B90,)</f>
        <v>4.9338756465338272E-3</v>
      </c>
      <c r="C111" s="281">
        <f t="shared" si="43"/>
        <v>-0.25999553851622748</v>
      </c>
      <c r="D111" s="282">
        <f t="shared" si="43"/>
        <v>3.0303030303030304E-2</v>
      </c>
      <c r="E111" s="281">
        <f t="shared" si="43"/>
        <v>-1</v>
      </c>
      <c r="F111" s="281">
        <f t="shared" si="43"/>
        <v>4.62953997737027E-2</v>
      </c>
      <c r="G111" s="282">
        <f t="shared" si="43"/>
        <v>0</v>
      </c>
      <c r="H111" s="281">
        <f t="shared" si="43"/>
        <v>0</v>
      </c>
      <c r="I111" s="282">
        <f t="shared" si="43"/>
        <v>0</v>
      </c>
      <c r="J111" s="292">
        <f t="shared" si="43"/>
        <v>0</v>
      </c>
      <c r="K111" s="294">
        <f t="shared" si="43"/>
        <v>-2.769629215504906E-3</v>
      </c>
      <c r="L111" s="73" t="s">
        <v>327</v>
      </c>
    </row>
    <row r="112" spans="1:12">
      <c r="A112" s="74" t="s">
        <v>332</v>
      </c>
      <c r="B112" s="289">
        <f t="shared" ref="B112:K112" si="44">IF(B91&gt;0,(B69-B91)/B91,)</f>
        <v>4.1291380633788292E-3</v>
      </c>
      <c r="C112" s="283">
        <f t="shared" si="44"/>
        <v>8.8147271496696704E-4</v>
      </c>
      <c r="D112" s="284">
        <f t="shared" si="44"/>
        <v>0</v>
      </c>
      <c r="E112" s="283">
        <f t="shared" si="44"/>
        <v>-1.1563287832861419E-2</v>
      </c>
      <c r="F112" s="283">
        <f t="shared" si="44"/>
        <v>-2.1894182152550401E-2</v>
      </c>
      <c r="G112" s="284">
        <f t="shared" si="44"/>
        <v>0</v>
      </c>
      <c r="H112" s="283">
        <f t="shared" si="44"/>
        <v>0</v>
      </c>
      <c r="I112" s="284">
        <f t="shared" si="44"/>
        <v>0</v>
      </c>
      <c r="J112" s="293">
        <f t="shared" si="44"/>
        <v>0</v>
      </c>
      <c r="K112" s="337">
        <f t="shared" si="44"/>
        <v>1.653273300464317E-4</v>
      </c>
      <c r="L112" s="74" t="s">
        <v>332</v>
      </c>
    </row>
    <row r="114" spans="1:16" ht="13.5" thickBot="1"/>
    <row r="115" spans="1:16" ht="13.5" thickBot="1">
      <c r="A115" s="510" t="s">
        <v>378</v>
      </c>
      <c r="B115" s="511"/>
      <c r="C115" s="511"/>
      <c r="D115" s="512"/>
      <c r="J115" s="73"/>
    </row>
    <row r="116" spans="1:16">
      <c r="A116" s="378"/>
      <c r="B116" s="505" t="s">
        <v>391</v>
      </c>
      <c r="C116" s="378"/>
      <c r="D116" s="378"/>
      <c r="E116" s="378"/>
      <c r="F116" s="378"/>
      <c r="H116" s="378"/>
      <c r="J116" s="73"/>
    </row>
    <row r="117" spans="1:16" ht="13.5" thickBot="1">
      <c r="A117" s="503"/>
      <c r="B117" s="499" t="s">
        <v>379</v>
      </c>
      <c r="C117" s="500" t="s">
        <v>406</v>
      </c>
      <c r="D117" s="378"/>
      <c r="E117" s="378"/>
      <c r="F117" s="378"/>
      <c r="H117" s="378"/>
    </row>
    <row r="118" spans="1:16">
      <c r="A118" s="386" t="str">
        <f>E118&amp;" ("&amp;TEXT(D118,)&amp;")"</f>
        <v>SREB states (3.7 billion)</v>
      </c>
      <c r="B118" s="736">
        <f>+K95</f>
        <v>1.2073191939172273E-2</v>
      </c>
      <c r="C118" s="620">
        <f>ROUND(+K52/1000000000,1)</f>
        <v>3.7</v>
      </c>
      <c r="D118" s="504" t="str">
        <f>C118 &amp; " "&amp;TEXT(F118,)</f>
        <v>3.7 billion</v>
      </c>
      <c r="E118" s="406" t="s">
        <v>39</v>
      </c>
      <c r="F118" s="378" t="s">
        <v>343</v>
      </c>
      <c r="H118" s="378"/>
    </row>
    <row r="119" spans="1:16">
      <c r="A119" s="406"/>
      <c r="B119" s="501"/>
      <c r="C119" s="502"/>
      <c r="D119" s="504"/>
      <c r="E119" s="406"/>
      <c r="F119" s="378"/>
      <c r="H119" s="378"/>
      <c r="P119" s="385"/>
    </row>
    <row r="120" spans="1:16">
      <c r="A120" s="386" t="str">
        <f t="shared" ref="A120:A135" si="45">E120&amp;" ("&amp;TEXT(D120,)&amp;")"</f>
        <v>Alabama (62.1 million)</v>
      </c>
      <c r="B120" s="501">
        <f t="shared" ref="B120:B135" si="46">+K97</f>
        <v>3.276053765568486E-2</v>
      </c>
      <c r="C120" s="620">
        <f t="shared" ref="C120:C135" si="47">ROUND(+K54/1000000,1)</f>
        <v>62.1</v>
      </c>
      <c r="D120" s="504" t="str">
        <f>C120 &amp; " "&amp;TEXT(F120,)</f>
        <v>62.1 million</v>
      </c>
      <c r="E120" s="406" t="s">
        <v>320</v>
      </c>
      <c r="F120" s="378" t="s">
        <v>344</v>
      </c>
      <c r="H120" s="378"/>
    </row>
    <row r="121" spans="1:16">
      <c r="A121" s="386" t="str">
        <f t="shared" si="45"/>
        <v>Arkansas (127.8 million)</v>
      </c>
      <c r="B121" s="501">
        <f t="shared" si="46"/>
        <v>-7.2934489217201748E-2</v>
      </c>
      <c r="C121" s="620">
        <f t="shared" si="47"/>
        <v>127.8</v>
      </c>
      <c r="D121" s="504" t="str">
        <f t="shared" ref="D121:D135" si="48">C121 &amp; " "&amp;TEXT(F121,)</f>
        <v>127.8 million</v>
      </c>
      <c r="E121" s="406" t="s">
        <v>334</v>
      </c>
      <c r="F121" s="378" t="s">
        <v>344</v>
      </c>
      <c r="H121" s="378"/>
      <c r="P121" s="385"/>
    </row>
    <row r="122" spans="1:16">
      <c r="A122" s="386" t="str">
        <f t="shared" si="45"/>
        <v>Delaware (5.9 million)</v>
      </c>
      <c r="B122" s="501">
        <f t="shared" si="46"/>
        <v>0.19736362834554438</v>
      </c>
      <c r="C122" s="620">
        <f t="shared" si="47"/>
        <v>5.9</v>
      </c>
      <c r="D122" s="504" t="str">
        <f t="shared" si="48"/>
        <v>5.9 million</v>
      </c>
      <c r="E122" s="406" t="s">
        <v>321</v>
      </c>
      <c r="F122" s="378" t="s">
        <v>344</v>
      </c>
      <c r="H122" s="378"/>
      <c r="P122" s="385"/>
    </row>
    <row r="123" spans="1:16">
      <c r="A123" s="386" t="str">
        <f t="shared" si="45"/>
        <v>Florida (543.2 million)</v>
      </c>
      <c r="B123" s="501">
        <f t="shared" si="46"/>
        <v>-5.673292089729453E-3</v>
      </c>
      <c r="C123" s="620">
        <f t="shared" si="47"/>
        <v>543.20000000000005</v>
      </c>
      <c r="D123" s="504" t="str">
        <f t="shared" si="48"/>
        <v>543.2 million</v>
      </c>
      <c r="E123" s="406" t="s">
        <v>328</v>
      </c>
      <c r="F123" s="378" t="s">
        <v>344</v>
      </c>
      <c r="H123" s="378"/>
      <c r="P123" s="385"/>
    </row>
    <row r="124" spans="1:16">
      <c r="A124" s="386" t="str">
        <f t="shared" si="45"/>
        <v>Georgia (449.1 million)</v>
      </c>
      <c r="B124" s="501">
        <f t="shared" si="46"/>
        <v>5.2647928713518373E-2</v>
      </c>
      <c r="C124" s="620">
        <f t="shared" si="47"/>
        <v>449.1</v>
      </c>
      <c r="D124" s="504" t="str">
        <f t="shared" si="48"/>
        <v>449.1 million</v>
      </c>
      <c r="E124" s="406" t="s">
        <v>329</v>
      </c>
      <c r="F124" s="378" t="s">
        <v>344</v>
      </c>
      <c r="H124" s="378"/>
      <c r="P124" s="385"/>
    </row>
    <row r="125" spans="1:16">
      <c r="A125" s="386" t="str">
        <f t="shared" si="45"/>
        <v>Kentucky (197 million)</v>
      </c>
      <c r="B125" s="501">
        <f t="shared" si="46"/>
        <v>-2.0366341507890295E-3</v>
      </c>
      <c r="C125" s="620">
        <f t="shared" si="47"/>
        <v>197</v>
      </c>
      <c r="D125" s="504" t="str">
        <f t="shared" si="48"/>
        <v>197 million</v>
      </c>
      <c r="E125" s="406" t="s">
        <v>322</v>
      </c>
      <c r="F125" s="378" t="s">
        <v>344</v>
      </c>
      <c r="H125" s="378"/>
      <c r="P125" s="385"/>
    </row>
    <row r="126" spans="1:16">
      <c r="A126" s="386" t="str">
        <f t="shared" si="45"/>
        <v>Louisiana (291.2 million)</v>
      </c>
      <c r="B126" s="501">
        <f t="shared" si="46"/>
        <v>0.20900050511177878</v>
      </c>
      <c r="C126" s="620">
        <f t="shared" si="47"/>
        <v>291.2</v>
      </c>
      <c r="D126" s="504" t="str">
        <f t="shared" si="48"/>
        <v>291.2 million</v>
      </c>
      <c r="E126" s="406" t="s">
        <v>330</v>
      </c>
      <c r="F126" s="378" t="s">
        <v>344</v>
      </c>
      <c r="H126" s="378"/>
      <c r="P126" s="385"/>
    </row>
    <row r="127" spans="1:16">
      <c r="A127" s="386" t="str">
        <f t="shared" si="45"/>
        <v>Maryland (163.6 million)</v>
      </c>
      <c r="B127" s="501">
        <f t="shared" si="46"/>
        <v>0.58028775954223544</v>
      </c>
      <c r="C127" s="620">
        <f t="shared" si="47"/>
        <v>163.6</v>
      </c>
      <c r="D127" s="504" t="str">
        <f t="shared" si="48"/>
        <v>163.6 million</v>
      </c>
      <c r="E127" s="406" t="s">
        <v>333</v>
      </c>
      <c r="F127" s="378" t="s">
        <v>344</v>
      </c>
      <c r="H127" s="378"/>
      <c r="P127" s="385"/>
    </row>
    <row r="128" spans="1:16">
      <c r="A128" s="386" t="str">
        <f t="shared" si="45"/>
        <v>Mississippi (40.6 million)</v>
      </c>
      <c r="B128" s="501">
        <f t="shared" si="46"/>
        <v>0.1046452422278835</v>
      </c>
      <c r="C128" s="620">
        <f t="shared" si="47"/>
        <v>40.6</v>
      </c>
      <c r="D128" s="504" t="str">
        <f t="shared" si="48"/>
        <v>40.6 million</v>
      </c>
      <c r="E128" s="406" t="s">
        <v>323</v>
      </c>
      <c r="F128" s="378" t="s">
        <v>344</v>
      </c>
      <c r="H128" s="378"/>
      <c r="P128" s="385"/>
    </row>
    <row r="129" spans="1:16">
      <c r="A129" s="386" t="str">
        <f t="shared" si="45"/>
        <v>North Carolina (233.2 million)</v>
      </c>
      <c r="B129" s="501">
        <f t="shared" si="46"/>
        <v>-8.947884034943572E-3</v>
      </c>
      <c r="C129" s="620">
        <f t="shared" si="47"/>
        <v>233.2</v>
      </c>
      <c r="D129" s="504" t="str">
        <f t="shared" si="48"/>
        <v>233.2 million</v>
      </c>
      <c r="E129" s="406" t="s">
        <v>324</v>
      </c>
      <c r="F129" s="378" t="s">
        <v>344</v>
      </c>
      <c r="H129" s="378"/>
      <c r="P129" s="385"/>
    </row>
    <row r="130" spans="1:16">
      <c r="A130" s="386" t="str">
        <f t="shared" si="45"/>
        <v>Oklahoma (80.6 million)</v>
      </c>
      <c r="B130" s="514">
        <f t="shared" si="46"/>
        <v>0</v>
      </c>
      <c r="C130" s="620">
        <f t="shared" si="47"/>
        <v>80.599999999999994</v>
      </c>
      <c r="D130" s="504" t="str">
        <f t="shared" si="48"/>
        <v>80.6 million</v>
      </c>
      <c r="E130" s="406" t="s">
        <v>331</v>
      </c>
      <c r="F130" s="378" t="s">
        <v>344</v>
      </c>
      <c r="H130" s="378"/>
      <c r="P130" s="385"/>
    </row>
    <row r="131" spans="1:16">
      <c r="A131" s="386" t="str">
        <f t="shared" si="45"/>
        <v>South Carolina (371 million)</v>
      </c>
      <c r="B131" s="501">
        <f t="shared" si="46"/>
        <v>9.6874555146308758E-2</v>
      </c>
      <c r="C131" s="620">
        <f t="shared" si="47"/>
        <v>371</v>
      </c>
      <c r="D131" s="504" t="str">
        <f t="shared" si="48"/>
        <v>371 million</v>
      </c>
      <c r="E131" s="406" t="s">
        <v>325</v>
      </c>
      <c r="F131" s="378" t="s">
        <v>344</v>
      </c>
      <c r="H131" s="378"/>
      <c r="P131" s="385"/>
    </row>
    <row r="132" spans="1:16">
      <c r="A132" s="386" t="str">
        <f t="shared" si="45"/>
        <v>Tennessee (368 million)</v>
      </c>
      <c r="B132" s="501">
        <f t="shared" si="46"/>
        <v>1.9457261543785248E-3</v>
      </c>
      <c r="C132" s="620">
        <f t="shared" si="47"/>
        <v>368</v>
      </c>
      <c r="D132" s="504" t="str">
        <f t="shared" si="48"/>
        <v>368 million</v>
      </c>
      <c r="E132" s="406" t="s">
        <v>90</v>
      </c>
      <c r="F132" s="378" t="s">
        <v>344</v>
      </c>
      <c r="H132" s="378"/>
      <c r="P132" s="385"/>
    </row>
    <row r="133" spans="1:16">
      <c r="A133" s="386" t="str">
        <f t="shared" si="45"/>
        <v>Texas (446.9 million)</v>
      </c>
      <c r="B133" s="501">
        <f t="shared" si="46"/>
        <v>-0.20101185156670781</v>
      </c>
      <c r="C133" s="620">
        <f t="shared" si="47"/>
        <v>446.9</v>
      </c>
      <c r="D133" s="504" t="str">
        <f t="shared" si="48"/>
        <v>446.9 million</v>
      </c>
      <c r="E133" s="406" t="s">
        <v>326</v>
      </c>
      <c r="F133" s="378" t="s">
        <v>344</v>
      </c>
      <c r="H133" s="378"/>
      <c r="P133" s="385"/>
    </row>
    <row r="134" spans="1:16">
      <c r="A134" s="386" t="str">
        <f t="shared" si="45"/>
        <v>Virginia (249.1 million)</v>
      </c>
      <c r="B134" s="501">
        <f t="shared" si="46"/>
        <v>-2.769629215504906E-3</v>
      </c>
      <c r="C134" s="620">
        <f t="shared" si="47"/>
        <v>249.1</v>
      </c>
      <c r="D134" s="504" t="str">
        <f t="shared" si="48"/>
        <v>249.1 million</v>
      </c>
      <c r="E134" s="406" t="s">
        <v>327</v>
      </c>
      <c r="F134" s="378" t="s">
        <v>344</v>
      </c>
      <c r="H134" s="378"/>
      <c r="P134" s="385"/>
    </row>
    <row r="135" spans="1:16">
      <c r="A135" s="386" t="str">
        <f t="shared" si="45"/>
        <v>West Virginia (91.1 million)</v>
      </c>
      <c r="B135" s="501">
        <f t="shared" si="46"/>
        <v>1.653273300464317E-4</v>
      </c>
      <c r="C135" s="620">
        <f t="shared" si="47"/>
        <v>91.1</v>
      </c>
      <c r="D135" s="504" t="str">
        <f t="shared" si="48"/>
        <v>91.1 million</v>
      </c>
      <c r="E135" s="407" t="s">
        <v>332</v>
      </c>
      <c r="F135" s="378" t="s">
        <v>344</v>
      </c>
      <c r="H135" s="378"/>
      <c r="P135" s="385"/>
    </row>
    <row r="136" spans="1:16">
      <c r="A136" s="378"/>
      <c r="B136" s="378"/>
      <c r="C136" s="378"/>
      <c r="D136" s="378"/>
      <c r="E136" s="378"/>
      <c r="F136" s="378"/>
      <c r="G136" s="378"/>
      <c r="H136" s="378"/>
      <c r="P136" s="385"/>
    </row>
    <row r="138" spans="1:16">
      <c r="I138"/>
    </row>
  </sheetData>
  <sortState ref="A120:F135">
    <sortCondition ref="F121:F136"/>
  </sortState>
  <phoneticPr fontId="17" type="noConversion"/>
  <pageMargins left="0.5" right="0.5" top="0.5" bottom="0.5" header="0.25" footer="0.25"/>
  <pageSetup scale="50" orientation="landscape" r:id="rId1"/>
  <headerFooter alignWithMargins="0"/>
  <rowBreaks count="1" manualBreakCount="1">
    <brk id="48" max="1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707"/>
  <sheetViews>
    <sheetView topLeftCell="A7" workbookViewId="0">
      <selection activeCell="I9" sqref="I9"/>
    </sheetView>
  </sheetViews>
  <sheetFormatPr defaultColWidth="10.25" defaultRowHeight="12.75"/>
  <cols>
    <col min="1" max="1" width="10.75" style="587" customWidth="1"/>
    <col min="2" max="2" width="13.25" style="587" customWidth="1"/>
    <col min="3" max="3" width="12.5" style="588" customWidth="1"/>
    <col min="4" max="5" width="10.875" style="587" customWidth="1"/>
    <col min="6" max="7" width="11.5" style="587" customWidth="1"/>
    <col min="8" max="8" width="12.5" style="587" customWidth="1"/>
    <col min="9" max="9" width="16" style="587" customWidth="1"/>
    <col min="10" max="10" width="10.25" style="587" customWidth="1"/>
    <col min="11" max="11" width="12.25" style="587" customWidth="1"/>
    <col min="12" max="12" width="12.375" style="587" customWidth="1"/>
    <col min="13" max="13" width="11.625" style="587" bestFit="1" customWidth="1"/>
    <col min="14" max="14" width="11.375" style="587" bestFit="1" customWidth="1"/>
    <col min="15" max="15" width="13.75" style="587" customWidth="1"/>
    <col min="16" max="16" width="13.875" style="587" customWidth="1"/>
    <col min="17" max="18" width="10.25" style="587" customWidth="1"/>
    <col min="19" max="19" width="14.625" style="587" customWidth="1"/>
    <col min="20" max="20" width="1.625" style="587" hidden="1" customWidth="1"/>
    <col min="21" max="21" width="15.75" style="587" customWidth="1"/>
    <col min="22" max="22" width="2" style="589" hidden="1" customWidth="1"/>
    <col min="23" max="23" width="12.375" style="587" customWidth="1"/>
    <col min="24" max="24" width="13.875" style="587" customWidth="1"/>
    <col min="25" max="25" width="10.25" style="587"/>
    <col min="26" max="26" width="12" style="587" bestFit="1" customWidth="1"/>
    <col min="27" max="16384" width="10.25" style="587"/>
  </cols>
  <sheetData>
    <row r="1" spans="1:26">
      <c r="A1" s="812" t="s">
        <v>125</v>
      </c>
      <c r="B1" s="809" t="s">
        <v>422</v>
      </c>
      <c r="C1" s="587"/>
      <c r="D1" s="592"/>
      <c r="V1" s="587"/>
    </row>
    <row r="2" spans="1:26">
      <c r="C2" s="587"/>
      <c r="V2" s="587"/>
    </row>
    <row r="3" spans="1:26" s="214" customFormat="1">
      <c r="A3" s="813"/>
      <c r="B3" s="814" t="s">
        <v>118</v>
      </c>
      <c r="C3" s="815"/>
      <c r="D3" s="815"/>
      <c r="E3" s="815"/>
      <c r="F3" s="815"/>
      <c r="G3" s="815"/>
      <c r="H3" s="815"/>
      <c r="I3" s="816"/>
      <c r="J3"/>
      <c r="K3"/>
      <c r="L3" s="593"/>
      <c r="M3" s="593"/>
      <c r="N3" s="593"/>
      <c r="O3" s="593"/>
      <c r="P3" s="593"/>
      <c r="Q3" s="593"/>
      <c r="R3" s="593"/>
      <c r="S3" s="593"/>
      <c r="T3" s="593"/>
      <c r="U3" s="593"/>
      <c r="V3" s="593"/>
      <c r="W3" s="593"/>
      <c r="X3" s="593"/>
      <c r="Y3" s="593"/>
      <c r="Z3" s="593"/>
    </row>
    <row r="4" spans="1:26" s="214" customFormat="1" ht="38.25">
      <c r="A4" s="814" t="s">
        <v>122</v>
      </c>
      <c r="B4" s="817" t="s">
        <v>190</v>
      </c>
      <c r="C4" s="818" t="s">
        <v>4</v>
      </c>
      <c r="D4" s="818" t="s">
        <v>195</v>
      </c>
      <c r="E4" s="818" t="s">
        <v>242</v>
      </c>
      <c r="F4" s="821" t="s">
        <v>5</v>
      </c>
      <c r="G4" s="821" t="s">
        <v>6</v>
      </c>
      <c r="H4" s="818" t="s">
        <v>223</v>
      </c>
      <c r="I4" s="819" t="s">
        <v>14</v>
      </c>
      <c r="J4"/>
      <c r="K4"/>
      <c r="L4" s="593"/>
      <c r="M4" s="593"/>
      <c r="N4" s="593"/>
      <c r="O4" s="593"/>
      <c r="P4" s="593"/>
      <c r="Q4" s="593"/>
      <c r="R4" s="593"/>
      <c r="S4" s="593"/>
      <c r="T4" s="593"/>
      <c r="U4" s="593"/>
      <c r="V4" s="593"/>
      <c r="W4" s="593"/>
      <c r="X4" s="593"/>
      <c r="Y4" s="593"/>
      <c r="Z4" s="593"/>
    </row>
    <row r="5" spans="1:26" s="214" customFormat="1">
      <c r="A5" s="806" t="s">
        <v>142</v>
      </c>
      <c r="B5" s="806">
        <v>292686249</v>
      </c>
      <c r="C5" s="807">
        <v>283300643</v>
      </c>
      <c r="D5" s="807">
        <v>129919873</v>
      </c>
      <c r="E5" s="807">
        <v>86767899</v>
      </c>
      <c r="F5" s="807"/>
      <c r="G5" s="807"/>
      <c r="H5" s="807">
        <v>783248693.35000002</v>
      </c>
      <c r="I5" s="810">
        <v>722060091</v>
      </c>
      <c r="J5"/>
      <c r="K5"/>
      <c r="L5" s="594"/>
      <c r="M5" s="594"/>
      <c r="N5" s="594"/>
      <c r="O5" s="594"/>
      <c r="P5" s="594"/>
      <c r="Q5" s="594"/>
      <c r="R5" s="594"/>
      <c r="S5" s="594"/>
      <c r="T5" s="594"/>
      <c r="U5" s="594"/>
      <c r="V5" s="594"/>
      <c r="W5" s="594"/>
      <c r="X5" s="594"/>
      <c r="Y5" s="594"/>
      <c r="Z5" s="594"/>
    </row>
    <row r="6" spans="1:26">
      <c r="A6" s="808" t="s">
        <v>143</v>
      </c>
      <c r="B6" s="808">
        <v>122747030.43859683</v>
      </c>
      <c r="C6" s="591">
        <v>122375196</v>
      </c>
      <c r="D6" s="591">
        <v>83035005.41125305</v>
      </c>
      <c r="E6" s="591">
        <v>83220445</v>
      </c>
      <c r="F6" s="591"/>
      <c r="G6" s="591"/>
      <c r="H6" s="591">
        <v>180716805</v>
      </c>
      <c r="I6" s="811">
        <v>194389640</v>
      </c>
      <c r="J6"/>
      <c r="K6"/>
      <c r="L6" s="593"/>
      <c r="M6" s="593"/>
      <c r="N6" s="593"/>
      <c r="O6" s="593"/>
      <c r="P6" s="593"/>
      <c r="Q6" s="593"/>
      <c r="R6" s="593"/>
      <c r="S6" s="593"/>
      <c r="T6" s="593"/>
      <c r="U6" s="593"/>
      <c r="V6" s="593"/>
      <c r="W6" s="593"/>
      <c r="X6" s="593"/>
      <c r="Y6" s="593"/>
      <c r="Z6" s="593"/>
    </row>
    <row r="7" spans="1:26" s="203" customFormat="1">
      <c r="A7" s="808" t="s">
        <v>148</v>
      </c>
      <c r="B7" s="808">
        <v>113279900</v>
      </c>
      <c r="C7" s="591">
        <v>114274900</v>
      </c>
      <c r="D7" s="591">
        <v>9818000</v>
      </c>
      <c r="E7" s="591">
        <v>10675100</v>
      </c>
      <c r="F7" s="591"/>
      <c r="G7" s="591"/>
      <c r="H7" s="591">
        <v>461765329</v>
      </c>
      <c r="I7" s="811">
        <v>482645088</v>
      </c>
      <c r="J7"/>
      <c r="K7"/>
      <c r="L7" s="593"/>
      <c r="M7" s="593"/>
      <c r="N7" s="593"/>
      <c r="O7" s="593"/>
      <c r="P7" s="593"/>
      <c r="Q7" s="593"/>
      <c r="R7" s="593"/>
      <c r="S7" s="593"/>
      <c r="T7" s="593"/>
      <c r="U7" s="593"/>
      <c r="V7" s="593"/>
      <c r="W7" s="593"/>
      <c r="X7" s="593"/>
      <c r="Y7" s="593"/>
      <c r="Z7" s="593"/>
    </row>
    <row r="8" spans="1:26" s="202" customFormat="1" ht="13.5" thickBot="1">
      <c r="A8" s="808" t="s">
        <v>149</v>
      </c>
      <c r="B8" s="808">
        <v>1152206957</v>
      </c>
      <c r="C8" s="591">
        <v>865774460</v>
      </c>
      <c r="D8" s="591">
        <v>179619380</v>
      </c>
      <c r="E8" s="591">
        <v>184443679</v>
      </c>
      <c r="F8" s="591"/>
      <c r="G8" s="591"/>
      <c r="H8" s="591">
        <v>1008903072</v>
      </c>
      <c r="I8" s="811">
        <v>1241590874.2751999</v>
      </c>
      <c r="J8"/>
      <c r="K8"/>
      <c r="L8" s="593"/>
      <c r="M8" s="593"/>
      <c r="N8" s="593"/>
      <c r="O8" s="593"/>
      <c r="P8" s="593"/>
      <c r="Q8" s="593"/>
      <c r="R8" s="593"/>
      <c r="S8" s="593"/>
      <c r="T8" s="593"/>
      <c r="U8" s="593"/>
      <c r="V8" s="593"/>
      <c r="W8" s="593"/>
      <c r="X8" s="593"/>
      <c r="Y8" s="593"/>
      <c r="Z8" s="593"/>
    </row>
    <row r="9" spans="1:26">
      <c r="A9" s="808" t="s">
        <v>144</v>
      </c>
      <c r="B9" s="808">
        <v>446187399</v>
      </c>
      <c r="C9" s="591">
        <v>453839524</v>
      </c>
      <c r="D9" s="591">
        <v>121626720</v>
      </c>
      <c r="E9" s="591">
        <v>127144081</v>
      </c>
      <c r="F9" s="591"/>
      <c r="G9" s="591"/>
      <c r="H9" s="591">
        <v>553632247</v>
      </c>
      <c r="I9" s="811">
        <v>588394267</v>
      </c>
      <c r="J9"/>
      <c r="K9"/>
      <c r="L9" s="593"/>
      <c r="M9" s="593"/>
      <c r="N9" s="593"/>
      <c r="O9" s="593"/>
      <c r="P9" s="593"/>
      <c r="Q9" s="593"/>
      <c r="R9" s="593"/>
      <c r="S9" s="593"/>
      <c r="T9" s="593"/>
      <c r="U9" s="593"/>
      <c r="V9" s="593"/>
      <c r="W9" s="593"/>
      <c r="X9" s="593"/>
      <c r="Y9" s="593"/>
      <c r="Z9" s="593"/>
    </row>
    <row r="10" spans="1:26" s="203" customFormat="1">
      <c r="A10" s="808" t="s">
        <v>150</v>
      </c>
      <c r="B10" s="808">
        <v>289028755</v>
      </c>
      <c r="C10" s="591">
        <v>289135629</v>
      </c>
      <c r="D10" s="591">
        <v>122088390</v>
      </c>
      <c r="E10" s="591">
        <v>120441576</v>
      </c>
      <c r="F10" s="591"/>
      <c r="G10" s="591"/>
      <c r="H10" s="591">
        <v>519301891.21450114</v>
      </c>
      <c r="I10" s="811">
        <v>561616654</v>
      </c>
      <c r="J10"/>
      <c r="K10"/>
      <c r="L10" s="593"/>
      <c r="M10" s="593"/>
      <c r="N10" s="593"/>
      <c r="O10" s="593"/>
      <c r="P10" s="593"/>
      <c r="Q10" s="593"/>
      <c r="R10" s="593"/>
      <c r="S10" s="593"/>
      <c r="T10" s="593"/>
      <c r="U10" s="593"/>
      <c r="V10" s="593"/>
      <c r="W10" s="593"/>
      <c r="X10" s="593"/>
      <c r="Y10" s="593"/>
      <c r="Z10" s="593"/>
    </row>
    <row r="11" spans="1:26" s="202" customFormat="1" ht="13.5" thickBot="1">
      <c r="A11" s="808" t="s">
        <v>145</v>
      </c>
      <c r="B11" s="808">
        <v>146882776</v>
      </c>
      <c r="C11" s="591">
        <v>127825095</v>
      </c>
      <c r="D11" s="591">
        <v>104445888</v>
      </c>
      <c r="E11" s="591">
        <v>95722075</v>
      </c>
      <c r="F11" s="591"/>
      <c r="G11" s="591"/>
      <c r="H11" s="591">
        <v>236191315</v>
      </c>
      <c r="I11" s="811">
        <v>277003285</v>
      </c>
      <c r="J11"/>
      <c r="K11"/>
      <c r="L11" s="593"/>
      <c r="M11" s="593"/>
      <c r="N11" s="593"/>
      <c r="O11" s="593"/>
      <c r="P11" s="593"/>
      <c r="Q11" s="593"/>
      <c r="R11" s="593"/>
      <c r="S11" s="593"/>
      <c r="T11" s="593"/>
      <c r="U11" s="593"/>
      <c r="V11" s="593"/>
      <c r="W11" s="593"/>
      <c r="X11" s="593"/>
      <c r="Y11" s="593"/>
      <c r="Z11" s="593"/>
    </row>
    <row r="12" spans="1:26">
      <c r="A12" s="808" t="s">
        <v>151</v>
      </c>
      <c r="B12" s="808">
        <v>413391061</v>
      </c>
      <c r="C12" s="591">
        <v>410197182</v>
      </c>
      <c r="D12" s="591">
        <v>63514437</v>
      </c>
      <c r="E12" s="591">
        <v>63001959</v>
      </c>
      <c r="F12" s="591"/>
      <c r="G12" s="591"/>
      <c r="H12" s="591">
        <v>460070041</v>
      </c>
      <c r="I12" s="811">
        <v>473762537</v>
      </c>
      <c r="J12"/>
      <c r="K12"/>
      <c r="L12" s="593"/>
      <c r="M12" s="593"/>
      <c r="N12" s="593"/>
      <c r="O12" s="593"/>
      <c r="P12" s="593"/>
      <c r="Q12" s="593"/>
      <c r="R12" s="593"/>
      <c r="S12" s="593"/>
      <c r="T12" s="593"/>
      <c r="U12" s="593"/>
      <c r="V12" s="593"/>
      <c r="W12" s="593"/>
      <c r="X12" s="593"/>
      <c r="Y12" s="593"/>
      <c r="Z12" s="593"/>
    </row>
    <row r="13" spans="1:26" s="203" customFormat="1">
      <c r="A13" s="808" t="s">
        <v>152</v>
      </c>
      <c r="B13" s="808">
        <v>165632648</v>
      </c>
      <c r="C13" s="591">
        <v>164398227</v>
      </c>
      <c r="D13" s="591">
        <v>71273900</v>
      </c>
      <c r="E13" s="591">
        <v>71425099.780000001</v>
      </c>
      <c r="F13" s="591"/>
      <c r="G13" s="591"/>
      <c r="H13" s="591">
        <v>242721674</v>
      </c>
      <c r="I13" s="811">
        <v>260245842</v>
      </c>
      <c r="J13"/>
      <c r="K13"/>
      <c r="L13" s="593"/>
      <c r="M13" s="593"/>
      <c r="N13" s="593"/>
      <c r="O13" s="593"/>
      <c r="P13" s="593"/>
      <c r="Q13" s="593"/>
      <c r="R13" s="593"/>
      <c r="S13" s="593"/>
      <c r="T13" s="593"/>
      <c r="U13" s="593"/>
      <c r="V13" s="593"/>
      <c r="W13" s="593"/>
      <c r="X13" s="593"/>
      <c r="Y13" s="593"/>
      <c r="Z13" s="593"/>
    </row>
    <row r="14" spans="1:26" s="202" customFormat="1" ht="13.5" thickBot="1">
      <c r="A14" s="808" t="s">
        <v>153</v>
      </c>
      <c r="B14" s="808">
        <v>753385913.99000001</v>
      </c>
      <c r="C14" s="591">
        <v>777782158.39999998</v>
      </c>
      <c r="D14" s="591">
        <v>130266268.72</v>
      </c>
      <c r="E14" s="591">
        <v>142717924</v>
      </c>
      <c r="F14" s="591"/>
      <c r="G14" s="591"/>
      <c r="H14" s="591">
        <v>574321856</v>
      </c>
      <c r="I14" s="811">
        <v>588373435</v>
      </c>
      <c r="J14"/>
      <c r="K14"/>
      <c r="L14" s="593"/>
      <c r="M14" s="593"/>
      <c r="N14" s="593"/>
      <c r="O14" s="593"/>
      <c r="P14" s="593"/>
      <c r="Q14" s="593"/>
      <c r="R14" s="593"/>
      <c r="S14" s="593"/>
      <c r="T14" s="593"/>
      <c r="U14" s="593"/>
      <c r="V14" s="593"/>
      <c r="W14" s="593"/>
      <c r="X14" s="593"/>
      <c r="Y14" s="593"/>
      <c r="Z14" s="593"/>
    </row>
    <row r="15" spans="1:26">
      <c r="A15" s="808" t="s">
        <v>154</v>
      </c>
      <c r="B15" s="808">
        <v>357003971</v>
      </c>
      <c r="C15" s="591">
        <v>357823649</v>
      </c>
      <c r="D15" s="591">
        <v>70095274</v>
      </c>
      <c r="E15" s="591">
        <v>71100277</v>
      </c>
      <c r="F15" s="591"/>
      <c r="G15" s="591"/>
      <c r="H15" s="591">
        <v>433670729</v>
      </c>
      <c r="I15" s="811">
        <v>463531299</v>
      </c>
      <c r="J15"/>
      <c r="K15"/>
      <c r="L15" s="593"/>
      <c r="M15" s="593"/>
      <c r="N15" s="593"/>
      <c r="O15" s="593"/>
      <c r="P15" s="593"/>
      <c r="Q15" s="593"/>
      <c r="R15" s="593"/>
      <c r="S15" s="593"/>
      <c r="T15" s="593"/>
      <c r="U15" s="593"/>
      <c r="V15" s="593"/>
      <c r="W15" s="593"/>
      <c r="X15" s="593"/>
      <c r="Y15" s="593"/>
      <c r="Z15" s="593"/>
    </row>
    <row r="16" spans="1:26" s="590" customFormat="1">
      <c r="A16" s="808" t="s">
        <v>146</v>
      </c>
      <c r="B16" s="808">
        <v>142673038</v>
      </c>
      <c r="C16" s="591">
        <v>149491430</v>
      </c>
      <c r="D16" s="591">
        <v>32472140</v>
      </c>
      <c r="E16" s="591">
        <v>47947862</v>
      </c>
      <c r="F16" s="591"/>
      <c r="G16" s="591"/>
      <c r="H16" s="591">
        <v>739816910.59438443</v>
      </c>
      <c r="I16" s="811">
        <v>739816910.59438443</v>
      </c>
      <c r="J16"/>
      <c r="K16"/>
      <c r="L16" s="593"/>
      <c r="M16" s="593"/>
      <c r="N16" s="593"/>
      <c r="O16" s="593"/>
      <c r="P16" s="593"/>
      <c r="Q16" s="593"/>
      <c r="R16" s="593"/>
      <c r="S16" s="593"/>
      <c r="T16" s="593"/>
      <c r="U16" s="593"/>
      <c r="V16" s="593"/>
      <c r="W16" s="593"/>
      <c r="X16" s="593"/>
      <c r="Y16" s="593"/>
      <c r="Z16" s="593"/>
    </row>
    <row r="17" spans="1:26" s="202" customFormat="1" ht="13.5" thickBot="1">
      <c r="A17" s="808" t="s">
        <v>155</v>
      </c>
      <c r="B17" s="808">
        <v>301588040</v>
      </c>
      <c r="C17" s="591">
        <v>313271469.79201627</v>
      </c>
      <c r="D17" s="591">
        <v>60287626</v>
      </c>
      <c r="E17" s="591">
        <v>63902686</v>
      </c>
      <c r="F17" s="591"/>
      <c r="G17" s="591"/>
      <c r="H17" s="591">
        <v>414915367</v>
      </c>
      <c r="I17" s="811">
        <v>442815355</v>
      </c>
      <c r="J17"/>
      <c r="K17"/>
      <c r="L17" s="593"/>
      <c r="M17" s="593"/>
      <c r="N17" s="593"/>
      <c r="O17" s="593"/>
      <c r="P17" s="593"/>
      <c r="Q17" s="593"/>
      <c r="R17" s="593"/>
      <c r="S17" s="593"/>
      <c r="T17" s="593"/>
      <c r="U17" s="593"/>
      <c r="V17" s="593"/>
      <c r="W17" s="593"/>
      <c r="X17" s="593"/>
      <c r="Y17" s="593"/>
      <c r="Z17" s="593"/>
    </row>
    <row r="18" spans="1:26">
      <c r="A18" s="808" t="s">
        <v>147</v>
      </c>
      <c r="B18" s="808">
        <v>1527699275</v>
      </c>
      <c r="C18" s="591">
        <v>1506120669</v>
      </c>
      <c r="D18" s="591">
        <v>316468817</v>
      </c>
      <c r="E18" s="591">
        <v>194586568</v>
      </c>
      <c r="F18" s="591"/>
      <c r="G18" s="591"/>
      <c r="H18" s="591">
        <v>2271854714</v>
      </c>
      <c r="I18" s="811">
        <v>2448367616</v>
      </c>
      <c r="J18"/>
      <c r="K18"/>
      <c r="L18" s="593"/>
      <c r="M18" s="593"/>
      <c r="N18" s="593"/>
      <c r="O18" s="593"/>
      <c r="P18" s="593"/>
      <c r="Q18" s="593"/>
      <c r="R18" s="593"/>
      <c r="S18" s="593"/>
      <c r="T18" s="593"/>
      <c r="U18" s="593"/>
      <c r="V18" s="593"/>
      <c r="W18" s="593"/>
      <c r="X18" s="593"/>
      <c r="Y18" s="593"/>
      <c r="Z18" s="593"/>
    </row>
    <row r="19" spans="1:26" s="590" customFormat="1">
      <c r="A19" s="808" t="s">
        <v>156</v>
      </c>
      <c r="B19" s="808">
        <v>416777124</v>
      </c>
      <c r="C19" s="591">
        <v>435805033</v>
      </c>
      <c r="D19" s="591">
        <v>144825119</v>
      </c>
      <c r="E19" s="591">
        <v>154250728</v>
      </c>
      <c r="F19" s="591"/>
      <c r="G19" s="591"/>
      <c r="H19" s="591">
        <v>1153062373</v>
      </c>
      <c r="I19" s="811">
        <v>1247730767</v>
      </c>
      <c r="J19"/>
      <c r="K19"/>
      <c r="L19" s="593"/>
      <c r="M19" s="593"/>
      <c r="N19" s="593"/>
      <c r="O19" s="593"/>
      <c r="P19" s="593"/>
      <c r="Q19" s="593"/>
      <c r="R19" s="593"/>
      <c r="S19" s="593"/>
      <c r="T19" s="593"/>
      <c r="U19" s="593"/>
      <c r="V19" s="593"/>
      <c r="W19" s="593"/>
      <c r="X19" s="593"/>
      <c r="Y19" s="593"/>
      <c r="Z19" s="593"/>
    </row>
    <row r="20" spans="1:26" s="202" customFormat="1" ht="13.5" thickBot="1">
      <c r="A20" s="808" t="s">
        <v>157</v>
      </c>
      <c r="B20" s="808">
        <v>80553201</v>
      </c>
      <c r="C20" s="591">
        <v>78213821</v>
      </c>
      <c r="D20" s="591">
        <v>39103734</v>
      </c>
      <c r="E20" s="591">
        <v>41781086</v>
      </c>
      <c r="F20" s="591"/>
      <c r="G20" s="591"/>
      <c r="H20" s="591">
        <v>258550401</v>
      </c>
      <c r="I20" s="811">
        <v>273315032</v>
      </c>
      <c r="J20"/>
      <c r="K20"/>
      <c r="L20" s="593"/>
      <c r="M20" s="593"/>
      <c r="N20" s="593"/>
      <c r="O20" s="593"/>
      <c r="P20" s="593"/>
      <c r="Q20" s="593"/>
      <c r="R20" s="593"/>
      <c r="S20" s="593"/>
      <c r="T20" s="593"/>
      <c r="U20" s="593"/>
      <c r="V20" s="593"/>
      <c r="W20" s="593"/>
      <c r="X20" s="593"/>
      <c r="Y20" s="593"/>
      <c r="Z20" s="593"/>
    </row>
    <row r="21" spans="1:26" s="214" customFormat="1">
      <c r="A21" s="820" t="s">
        <v>335</v>
      </c>
      <c r="B21" s="820">
        <v>6721723338.4285965</v>
      </c>
      <c r="C21" s="822">
        <v>6449629086.1920166</v>
      </c>
      <c r="D21" s="822">
        <v>1678860572.131253</v>
      </c>
      <c r="E21" s="822">
        <v>1559129044.78</v>
      </c>
      <c r="F21" s="822"/>
      <c r="G21" s="822"/>
      <c r="H21" s="822">
        <v>10292743418.158886</v>
      </c>
      <c r="I21" s="823">
        <v>11005658692.869583</v>
      </c>
      <c r="J21"/>
      <c r="K21"/>
      <c r="L21" s="595"/>
      <c r="M21" s="595"/>
      <c r="N21" s="595"/>
      <c r="O21" s="595"/>
      <c r="P21" s="595"/>
      <c r="Q21" s="595"/>
      <c r="R21" s="595"/>
      <c r="S21" s="595"/>
      <c r="T21" s="595"/>
      <c r="U21" s="595"/>
      <c r="V21" s="595"/>
      <c r="W21" s="595"/>
      <c r="X21" s="595"/>
      <c r="Y21" s="595"/>
      <c r="Z21" s="595"/>
    </row>
    <row r="22" spans="1:26" s="203" customFormat="1">
      <c r="A22"/>
      <c r="B22"/>
      <c r="C22"/>
      <c r="D22"/>
      <c r="E22"/>
      <c r="F22"/>
      <c r="G22"/>
      <c r="H22"/>
      <c r="I22"/>
      <c r="J22"/>
      <c r="K22"/>
      <c r="L22" s="593"/>
      <c r="M22" s="593"/>
      <c r="N22" s="593"/>
      <c r="O22" s="593"/>
      <c r="P22" s="593"/>
      <c r="Q22" s="593"/>
      <c r="R22" s="593"/>
      <c r="S22" s="593"/>
      <c r="T22" s="593"/>
      <c r="U22" s="593"/>
      <c r="V22" s="593"/>
      <c r="W22" s="593"/>
      <c r="X22" s="593"/>
      <c r="Y22" s="593"/>
      <c r="Z22" s="593"/>
    </row>
    <row r="23" spans="1:26" s="202" customFormat="1" ht="13.5" thickBot="1">
      <c r="A23"/>
      <c r="B23"/>
      <c r="C23"/>
      <c r="D23"/>
      <c r="E23"/>
      <c r="F23"/>
      <c r="G23"/>
      <c r="H23"/>
      <c r="I23"/>
      <c r="J23"/>
      <c r="K23"/>
      <c r="L23" s="593"/>
      <c r="M23" s="593"/>
      <c r="N23" s="593"/>
      <c r="O23" s="593"/>
      <c r="P23" s="593"/>
      <c r="Q23" s="593"/>
      <c r="R23" s="593"/>
      <c r="S23" s="593"/>
      <c r="T23" s="593"/>
      <c r="U23" s="593"/>
      <c r="V23" s="593"/>
      <c r="W23" s="593"/>
      <c r="X23" s="593"/>
      <c r="Y23" s="593"/>
      <c r="Z23" s="593"/>
    </row>
    <row r="24" spans="1:26">
      <c r="A24"/>
      <c r="B24"/>
      <c r="C24"/>
      <c r="D24"/>
      <c r="E24"/>
      <c r="F24"/>
      <c r="G24"/>
      <c r="H24"/>
      <c r="I24"/>
      <c r="J24"/>
      <c r="K24"/>
      <c r="L24" s="593"/>
      <c r="M24" s="593"/>
      <c r="N24" s="593"/>
      <c r="O24" s="593"/>
      <c r="P24" s="593"/>
      <c r="Q24" s="593"/>
      <c r="R24" s="593"/>
      <c r="S24" s="593"/>
      <c r="T24" s="593"/>
      <c r="U24" s="593"/>
      <c r="V24" s="593"/>
      <c r="W24" s="593"/>
      <c r="X24" s="593"/>
      <c r="Y24" s="593"/>
      <c r="Z24" s="593"/>
    </row>
    <row r="25" spans="1:26" s="203" customFormat="1">
      <c r="A25"/>
      <c r="B25"/>
      <c r="C25"/>
      <c r="D25"/>
      <c r="E25"/>
      <c r="F25"/>
      <c r="G25"/>
      <c r="H25"/>
      <c r="I25"/>
      <c r="J25"/>
      <c r="K25"/>
      <c r="L25" s="593"/>
      <c r="M25" s="593"/>
      <c r="N25" s="593"/>
      <c r="O25" s="593"/>
      <c r="P25" s="593"/>
      <c r="Q25" s="593"/>
      <c r="R25" s="593"/>
      <c r="S25" s="593"/>
      <c r="T25" s="593"/>
      <c r="U25" s="593"/>
      <c r="V25" s="593"/>
      <c r="W25" s="593"/>
      <c r="X25" s="593"/>
      <c r="Y25" s="593"/>
      <c r="Z25" s="593"/>
    </row>
    <row r="26" spans="1:26" s="202" customFormat="1" ht="13.5" thickBot="1">
      <c r="A26"/>
      <c r="B26"/>
      <c r="C26"/>
      <c r="D26"/>
      <c r="E26"/>
      <c r="F26"/>
      <c r="G26"/>
      <c r="H26"/>
      <c r="I26"/>
      <c r="J26"/>
      <c r="K26"/>
      <c r="L26" s="593"/>
      <c r="M26" s="593"/>
      <c r="N26" s="593"/>
      <c r="O26" s="593"/>
      <c r="P26" s="593"/>
      <c r="Q26" s="593"/>
      <c r="R26" s="593"/>
      <c r="S26" s="593"/>
      <c r="T26" s="593"/>
      <c r="U26" s="593"/>
      <c r="V26" s="593"/>
      <c r="W26" s="593"/>
      <c r="X26" s="593"/>
      <c r="Y26" s="593"/>
      <c r="Z26" s="593"/>
    </row>
    <row r="27" spans="1:26">
      <c r="A27"/>
      <c r="B27"/>
      <c r="C27"/>
      <c r="D27"/>
      <c r="E27"/>
      <c r="F27"/>
      <c r="G27"/>
      <c r="H27"/>
      <c r="I27"/>
      <c r="J27"/>
      <c r="K27"/>
      <c r="L27" s="593"/>
      <c r="M27" s="593"/>
      <c r="N27" s="593"/>
      <c r="O27" s="593"/>
      <c r="P27" s="593"/>
      <c r="Q27" s="593"/>
      <c r="R27" s="593"/>
      <c r="S27" s="593"/>
      <c r="T27" s="593"/>
      <c r="U27" s="593"/>
      <c r="V27" s="593"/>
      <c r="W27" s="593"/>
      <c r="X27" s="593"/>
      <c r="Y27" s="593"/>
      <c r="Z27" s="593"/>
    </row>
    <row r="28" spans="1:26" s="203" customFormat="1">
      <c r="A28"/>
      <c r="B28"/>
      <c r="C28"/>
      <c r="D28"/>
      <c r="E28"/>
      <c r="F28"/>
      <c r="G28"/>
      <c r="H28"/>
      <c r="I28"/>
      <c r="J28"/>
      <c r="K28"/>
      <c r="L28" s="593"/>
      <c r="M28" s="593"/>
      <c r="N28" s="593"/>
      <c r="O28" s="593"/>
      <c r="P28" s="593"/>
      <c r="Q28" s="593"/>
      <c r="R28" s="593"/>
      <c r="S28" s="593"/>
      <c r="T28" s="593"/>
      <c r="U28" s="593"/>
      <c r="V28" s="593"/>
      <c r="W28" s="593"/>
      <c r="X28" s="593"/>
      <c r="Y28" s="593"/>
      <c r="Z28" s="593"/>
    </row>
    <row r="29" spans="1:26" s="202" customFormat="1">
      <c r="A29"/>
      <c r="B29"/>
      <c r="C29"/>
      <c r="D29"/>
      <c r="E29"/>
      <c r="F29"/>
      <c r="G29"/>
      <c r="H29"/>
      <c r="I29"/>
      <c r="J29"/>
      <c r="K29"/>
      <c r="L29" s="593"/>
      <c r="M29" s="593"/>
      <c r="N29" s="593"/>
      <c r="O29" s="593"/>
      <c r="P29" s="593"/>
      <c r="Q29" s="593"/>
      <c r="R29" s="593"/>
      <c r="S29" s="593"/>
      <c r="T29" s="593"/>
      <c r="U29" s="593"/>
      <c r="V29" s="593"/>
      <c r="W29" s="593"/>
      <c r="X29" s="593"/>
      <c r="Y29" s="593"/>
      <c r="Z29" s="593"/>
    </row>
    <row r="30" spans="1:26">
      <c r="A30"/>
      <c r="B30"/>
      <c r="C30"/>
      <c r="D30"/>
      <c r="E30"/>
      <c r="F30"/>
      <c r="G30"/>
      <c r="H30"/>
      <c r="I30"/>
      <c r="J30"/>
      <c r="K30"/>
      <c r="L30" s="593"/>
      <c r="M30" s="593"/>
      <c r="N30" s="593"/>
      <c r="O30" s="593"/>
      <c r="P30" s="593"/>
      <c r="Q30" s="593"/>
      <c r="R30" s="593"/>
      <c r="S30" s="593"/>
      <c r="T30" s="593"/>
      <c r="U30" s="593"/>
      <c r="V30" s="593"/>
      <c r="W30" s="593"/>
      <c r="X30" s="593"/>
      <c r="Y30" s="593"/>
      <c r="Z30" s="593"/>
    </row>
    <row r="31" spans="1:26" s="203" customFormat="1">
      <c r="A31"/>
      <c r="B31"/>
      <c r="C31"/>
      <c r="D31"/>
      <c r="E31"/>
      <c r="F31"/>
      <c r="G31"/>
      <c r="H31"/>
      <c r="I31"/>
      <c r="J31"/>
      <c r="K31"/>
      <c r="L31" s="593"/>
      <c r="M31" s="593"/>
      <c r="N31" s="593"/>
      <c r="O31" s="593"/>
      <c r="P31" s="593"/>
      <c r="Q31" s="593"/>
      <c r="R31" s="593"/>
      <c r="S31" s="593"/>
      <c r="T31" s="593"/>
      <c r="U31" s="593"/>
      <c r="V31" s="593"/>
      <c r="W31" s="593"/>
      <c r="X31" s="593"/>
      <c r="Y31" s="593"/>
      <c r="Z31" s="593"/>
    </row>
    <row r="32" spans="1:26" s="202" customFormat="1" ht="13.5" thickBot="1">
      <c r="A32"/>
      <c r="B32"/>
      <c r="C32"/>
      <c r="D32"/>
      <c r="E32"/>
      <c r="F32"/>
      <c r="G32"/>
      <c r="H32"/>
      <c r="I32"/>
      <c r="J32"/>
      <c r="K32"/>
      <c r="L32" s="593"/>
      <c r="M32" s="593"/>
      <c r="N32" s="593"/>
      <c r="O32" s="593"/>
      <c r="P32" s="593"/>
      <c r="Q32" s="593"/>
      <c r="R32" s="593"/>
      <c r="S32" s="593"/>
      <c r="T32" s="593"/>
      <c r="U32" s="593"/>
      <c r="V32" s="593"/>
      <c r="W32" s="593"/>
      <c r="X32" s="593"/>
      <c r="Y32" s="593"/>
      <c r="Z32" s="593"/>
    </row>
    <row r="33" spans="1:26">
      <c r="A33"/>
      <c r="B33"/>
      <c r="C33"/>
      <c r="D33"/>
      <c r="E33"/>
      <c r="F33"/>
      <c r="G33"/>
      <c r="H33"/>
      <c r="I33"/>
      <c r="J33"/>
      <c r="K33"/>
      <c r="L33" s="593"/>
      <c r="M33" s="593"/>
      <c r="N33" s="593"/>
      <c r="O33" s="593"/>
      <c r="P33" s="593"/>
      <c r="Q33" s="593"/>
      <c r="R33" s="593"/>
      <c r="S33" s="593"/>
      <c r="T33" s="593"/>
      <c r="U33" s="593"/>
      <c r="V33" s="593"/>
      <c r="W33" s="593"/>
      <c r="X33" s="593"/>
      <c r="Y33" s="593"/>
      <c r="Z33" s="593"/>
    </row>
    <row r="34" spans="1:26" s="203" customFormat="1">
      <c r="A34"/>
      <c r="B34"/>
      <c r="C34"/>
      <c r="D34"/>
      <c r="E34"/>
      <c r="F34"/>
      <c r="G34"/>
      <c r="H34"/>
      <c r="I34"/>
      <c r="J34"/>
      <c r="K34"/>
      <c r="L34" s="593"/>
      <c r="M34" s="593"/>
      <c r="N34" s="593"/>
      <c r="O34" s="593"/>
      <c r="P34" s="593"/>
      <c r="Q34" s="593"/>
      <c r="R34" s="593"/>
      <c r="S34" s="593"/>
      <c r="T34" s="593"/>
      <c r="U34" s="593"/>
      <c r="V34" s="593"/>
      <c r="W34" s="593"/>
      <c r="X34" s="593"/>
      <c r="Y34" s="593"/>
      <c r="Z34" s="593"/>
    </row>
    <row r="35" spans="1:26" s="202" customFormat="1" ht="13.5" thickBot="1">
      <c r="A35"/>
      <c r="B35"/>
      <c r="C35"/>
      <c r="D35"/>
      <c r="E35"/>
      <c r="F35"/>
      <c r="G35"/>
      <c r="H35"/>
      <c r="I35"/>
      <c r="J35"/>
      <c r="K35"/>
      <c r="L35" s="593"/>
      <c r="M35" s="593"/>
      <c r="N35" s="593"/>
      <c r="O35" s="593"/>
      <c r="P35" s="593"/>
      <c r="Q35" s="593"/>
      <c r="R35" s="593"/>
      <c r="S35" s="593"/>
      <c r="T35" s="593"/>
      <c r="U35" s="593"/>
      <c r="V35" s="593"/>
      <c r="W35" s="593"/>
      <c r="X35" s="593"/>
      <c r="Y35" s="593"/>
      <c r="Z35" s="593"/>
    </row>
    <row r="36" spans="1:26">
      <c r="A36"/>
      <c r="B36"/>
      <c r="C36"/>
      <c r="D36"/>
      <c r="E36"/>
      <c r="F36"/>
      <c r="G36"/>
      <c r="H36"/>
      <c r="I36"/>
      <c r="J36"/>
      <c r="K36"/>
      <c r="L36" s="593"/>
      <c r="M36" s="593"/>
      <c r="N36" s="593"/>
      <c r="O36" s="593"/>
      <c r="P36" s="593"/>
      <c r="Q36" s="593"/>
      <c r="R36" s="593"/>
      <c r="S36" s="593"/>
      <c r="T36" s="593"/>
      <c r="U36" s="593"/>
      <c r="V36" s="593"/>
      <c r="W36" s="593"/>
      <c r="X36" s="593"/>
      <c r="Y36" s="593"/>
      <c r="Z36" s="593"/>
    </row>
    <row r="37" spans="1:26" s="203" customFormat="1">
      <c r="A37"/>
      <c r="B37"/>
      <c r="C37"/>
      <c r="D37"/>
      <c r="E37"/>
      <c r="F37"/>
      <c r="G37"/>
      <c r="H37"/>
      <c r="I37"/>
      <c r="J37"/>
      <c r="K37"/>
      <c r="L37" s="593"/>
      <c r="M37" s="593"/>
      <c r="N37" s="593"/>
      <c r="O37" s="593"/>
      <c r="P37" s="593"/>
      <c r="Q37" s="593"/>
      <c r="R37" s="593"/>
      <c r="S37" s="593"/>
      <c r="T37" s="593"/>
      <c r="U37" s="593"/>
      <c r="V37" s="593"/>
      <c r="W37" s="593"/>
      <c r="X37" s="593"/>
      <c r="Y37" s="593"/>
      <c r="Z37" s="593"/>
    </row>
    <row r="38" spans="1:26" s="202" customFormat="1" ht="13.5" thickBot="1">
      <c r="A38"/>
      <c r="B38"/>
      <c r="C38"/>
      <c r="D38"/>
      <c r="E38"/>
      <c r="F38"/>
      <c r="G38"/>
      <c r="H38"/>
      <c r="I38"/>
      <c r="J38"/>
      <c r="K38"/>
      <c r="L38" s="593"/>
      <c r="M38" s="593"/>
      <c r="N38" s="593"/>
      <c r="O38" s="593"/>
      <c r="P38" s="593"/>
      <c r="Q38" s="593"/>
      <c r="R38" s="593"/>
      <c r="S38" s="593"/>
      <c r="T38" s="593"/>
      <c r="U38" s="593"/>
      <c r="V38" s="593"/>
      <c r="W38" s="593"/>
      <c r="X38" s="593"/>
      <c r="Y38" s="593"/>
      <c r="Z38" s="593"/>
    </row>
    <row r="39" spans="1:26">
      <c r="A39"/>
      <c r="B39"/>
      <c r="C39"/>
      <c r="D39"/>
      <c r="E39"/>
      <c r="F39"/>
      <c r="G39"/>
      <c r="H39"/>
      <c r="I39"/>
      <c r="J39"/>
      <c r="K39"/>
      <c r="L39" s="593"/>
      <c r="M39" s="593"/>
      <c r="N39" s="593"/>
      <c r="O39" s="593"/>
      <c r="P39" s="593"/>
      <c r="Q39" s="593"/>
      <c r="R39" s="593"/>
      <c r="S39" s="593"/>
      <c r="T39" s="593"/>
      <c r="U39" s="593"/>
      <c r="V39" s="593"/>
      <c r="W39" s="593"/>
      <c r="X39" s="593"/>
      <c r="Y39" s="593"/>
      <c r="Z39" s="593"/>
    </row>
    <row r="40" spans="1:26" s="203" customFormat="1" ht="13.5" thickBot="1">
      <c r="A40"/>
      <c r="B40"/>
      <c r="C40"/>
      <c r="D40"/>
      <c r="E40"/>
      <c r="F40"/>
      <c r="G40"/>
      <c r="H40"/>
      <c r="I40"/>
      <c r="J40"/>
      <c r="K40"/>
      <c r="L40" s="593"/>
      <c r="M40" s="593"/>
      <c r="N40" s="593"/>
      <c r="O40" s="593"/>
      <c r="P40" s="593"/>
      <c r="Q40" s="593"/>
      <c r="R40" s="593"/>
      <c r="S40" s="593"/>
      <c r="T40" s="593"/>
      <c r="U40" s="593"/>
      <c r="V40" s="593"/>
      <c r="W40" s="593"/>
      <c r="X40" s="593"/>
      <c r="Y40" s="593"/>
      <c r="Z40" s="593"/>
    </row>
    <row r="41" spans="1:26" s="202" customFormat="1">
      <c r="A41" s="593"/>
      <c r="B41" s="593"/>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row>
    <row r="42" spans="1:26">
      <c r="A42" s="593"/>
      <c r="B42" s="593"/>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row>
    <row r="43" spans="1:26" s="203" customFormat="1" ht="13.5" thickBot="1">
      <c r="A43" s="593"/>
      <c r="B43" s="593"/>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row>
    <row r="44" spans="1:26" s="215" customFormat="1">
      <c r="A44" s="593"/>
      <c r="B44" s="593"/>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row>
    <row r="45" spans="1:26">
      <c r="A45" s="593"/>
      <c r="B45" s="593"/>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row>
    <row r="46" spans="1:26" s="203" customFormat="1" ht="13.5" thickBot="1">
      <c r="A46" s="593"/>
      <c r="B46" s="593"/>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row>
    <row r="47" spans="1:26" s="202" customFormat="1">
      <c r="A47" s="593"/>
      <c r="B47" s="593"/>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row>
    <row r="48" spans="1:26">
      <c r="A48" s="593"/>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row>
    <row r="49" spans="1:27" s="203" customFormat="1" ht="13.5" thickBot="1">
      <c r="A49" s="593"/>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row>
    <row r="50" spans="1:27" s="202" customFormat="1">
      <c r="A50" s="593"/>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row>
    <row r="51" spans="1:27">
      <c r="A51" s="593"/>
      <c r="B51" s="593"/>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row>
    <row r="52" spans="1:27" s="203" customFormat="1" ht="13.5" thickBot="1">
      <c r="A52" s="593"/>
      <c r="B52" s="593"/>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row>
    <row r="53" spans="1:27" s="202" customFormat="1">
      <c r="A53" s="593"/>
      <c r="B53" s="593"/>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row>
    <row r="54" spans="1:27" ht="13.5" hidden="1" thickBot="1">
      <c r="A54" s="593"/>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row>
    <row r="55" spans="1:27" s="203" customFormat="1" ht="13.5" hidden="1" thickBot="1">
      <c r="A55" s="593"/>
      <c r="B55" s="593"/>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87"/>
    </row>
    <row r="56" spans="1:27" s="202" customFormat="1" hidden="1">
      <c r="A56" s="593"/>
      <c r="B56" s="593"/>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87"/>
    </row>
    <row r="57" spans="1:27" hidden="1">
      <c r="A57" s="593"/>
      <c r="B57" s="593"/>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row>
    <row r="58" spans="1:27" s="203" customFormat="1" ht="13.5" hidden="1" thickBot="1">
      <c r="A58" s="593"/>
      <c r="B58" s="593"/>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row>
    <row r="59" spans="1:27" s="202" customFormat="1" ht="13.5" hidden="1" thickBot="1">
      <c r="A59" s="593"/>
      <c r="B59" s="593"/>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row>
    <row r="60" spans="1:27" ht="13.5" hidden="1" thickBot="1">
      <c r="A60" s="593"/>
      <c r="B60" s="593"/>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row>
    <row r="61" spans="1:27" s="203" customFormat="1" ht="13.5" hidden="1" thickBot="1">
      <c r="A61" s="593"/>
      <c r="B61" s="593"/>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row>
    <row r="62" spans="1:27" s="202" customFormat="1" ht="13.5" hidden="1" thickBot="1">
      <c r="A62" s="593"/>
      <c r="B62" s="593"/>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row>
    <row r="63" spans="1:27" hidden="1">
      <c r="A63" s="593"/>
      <c r="B63" s="593"/>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row>
    <row r="64" spans="1:27" s="203" customFormat="1" hidden="1">
      <c r="A64" s="593"/>
      <c r="B64" s="593"/>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row>
    <row r="65" spans="1:26" s="202" customFormat="1">
      <c r="A65" s="593"/>
      <c r="B65" s="593"/>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row>
    <row r="66" spans="1:26">
      <c r="A66" s="593"/>
      <c r="B66" s="593"/>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row>
    <row r="67" spans="1:26" s="203" customFormat="1">
      <c r="A67" s="593"/>
      <c r="B67" s="593"/>
      <c r="C67" s="593"/>
      <c r="D67" s="593"/>
      <c r="E67" s="593"/>
      <c r="F67" s="593"/>
      <c r="G67" s="593"/>
      <c r="H67" s="593"/>
      <c r="I67" s="593"/>
      <c r="J67" s="593"/>
      <c r="K67" s="593"/>
      <c r="L67" s="593"/>
      <c r="M67" s="593"/>
      <c r="N67" s="593"/>
      <c r="O67" s="593"/>
      <c r="P67" s="593"/>
      <c r="Q67" s="593"/>
      <c r="R67" s="593"/>
      <c r="S67" s="593"/>
      <c r="T67" s="593"/>
      <c r="U67" s="593"/>
      <c r="V67" s="593"/>
      <c r="W67" s="593"/>
      <c r="X67" s="593"/>
      <c r="Y67" s="593"/>
      <c r="Z67" s="593"/>
    </row>
    <row r="68" spans="1:26" s="202" customFormat="1">
      <c r="A68" s="593"/>
      <c r="B68" s="593"/>
      <c r="C68" s="593"/>
      <c r="D68" s="593"/>
      <c r="E68" s="593"/>
      <c r="F68" s="593"/>
      <c r="G68" s="593"/>
      <c r="H68" s="593"/>
      <c r="I68" s="593"/>
      <c r="J68" s="593"/>
      <c r="K68" s="593"/>
      <c r="L68" s="593"/>
      <c r="M68" s="593"/>
      <c r="N68" s="593"/>
      <c r="O68" s="593"/>
      <c r="P68" s="593"/>
      <c r="Q68" s="593"/>
      <c r="R68" s="593"/>
      <c r="S68" s="593"/>
      <c r="T68" s="593"/>
      <c r="U68" s="593"/>
      <c r="V68" s="593"/>
      <c r="W68" s="593"/>
      <c r="X68" s="593"/>
      <c r="Y68" s="593"/>
      <c r="Z68" s="593"/>
    </row>
    <row r="69" spans="1:26">
      <c r="A69" s="593"/>
      <c r="B69" s="593"/>
      <c r="C69" s="593"/>
      <c r="D69" s="593"/>
      <c r="E69" s="593"/>
      <c r="F69" s="593"/>
      <c r="G69" s="593"/>
      <c r="H69" s="593"/>
      <c r="I69" s="593"/>
      <c r="J69" s="593"/>
      <c r="K69" s="593"/>
      <c r="L69" s="593"/>
      <c r="M69" s="593"/>
      <c r="N69" s="593"/>
      <c r="O69" s="593"/>
      <c r="P69" s="593"/>
      <c r="Q69" s="593"/>
      <c r="R69" s="593"/>
      <c r="S69" s="593"/>
      <c r="T69" s="593"/>
      <c r="U69" s="593"/>
      <c r="V69" s="593"/>
      <c r="W69" s="593"/>
      <c r="X69" s="593"/>
      <c r="Y69" s="593"/>
      <c r="Z69" s="593"/>
    </row>
    <row r="70" spans="1:26" s="203" customFormat="1" ht="13.5" thickBot="1">
      <c r="A70" s="593"/>
      <c r="B70" s="593"/>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row>
    <row r="71" spans="1:26" s="202" customFormat="1">
      <c r="A71" s="593"/>
      <c r="B71" s="593"/>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row>
    <row r="72" spans="1:26">
      <c r="A72" s="593"/>
      <c r="B72" s="593"/>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row>
    <row r="73" spans="1:26" s="203" customFormat="1" ht="13.5" thickBot="1">
      <c r="A73" s="593"/>
      <c r="B73" s="593"/>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row>
    <row r="74" spans="1:26" s="202" customFormat="1">
      <c r="A74" s="593"/>
      <c r="B74" s="593"/>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row>
    <row r="75" spans="1:26" ht="13.5" thickBot="1">
      <c r="A75" s="593"/>
      <c r="B75" s="593"/>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row>
    <row r="76" spans="1:26" s="203" customFormat="1">
      <c r="A76" s="593"/>
      <c r="B76" s="593"/>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row>
    <row r="77" spans="1:26" s="202" customFormat="1" ht="13.5" thickBot="1">
      <c r="A77" s="593"/>
      <c r="B77" s="593"/>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row>
    <row r="78" spans="1:26" ht="13.5" thickBot="1">
      <c r="A78" s="593"/>
      <c r="B78" s="593"/>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row>
    <row r="79" spans="1:26" s="203" customFormat="1">
      <c r="A79" s="593"/>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row>
    <row r="80" spans="1:26" s="202" customFormat="1">
      <c r="A80" s="593"/>
      <c r="B80" s="593"/>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row>
    <row r="81" spans="1:26" ht="13.5" thickBot="1">
      <c r="A81" s="593"/>
      <c r="B81" s="593"/>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row>
    <row r="82" spans="1:26" s="203" customFormat="1">
      <c r="A82" s="593"/>
      <c r="B82" s="593"/>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row>
    <row r="83" spans="1:26" s="212" customFormat="1" ht="13.5" thickBot="1">
      <c r="A83" s="593"/>
      <c r="B83" s="593"/>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row>
    <row r="84" spans="1:26" ht="13.5" thickBot="1">
      <c r="A84" s="593"/>
      <c r="B84" s="593"/>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row>
    <row r="85" spans="1:26" s="203" customFormat="1">
      <c r="A85" s="593"/>
      <c r="B85" s="593"/>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row>
    <row r="86" spans="1:26" s="202" customFormat="1">
      <c r="A86" s="593"/>
      <c r="B86" s="593"/>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row>
    <row r="87" spans="1:26" ht="13.5" thickBot="1">
      <c r="A87" s="593"/>
      <c r="B87" s="593"/>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row>
    <row r="88" spans="1:26" s="203" customFormat="1">
      <c r="A88" s="593"/>
      <c r="B88" s="593"/>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row>
    <row r="89" spans="1:26" s="202" customFormat="1">
      <c r="A89" s="593"/>
      <c r="B89" s="593"/>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row>
    <row r="90" spans="1:26" ht="13.5" thickBot="1">
      <c r="A90" s="593"/>
      <c r="B90" s="593"/>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row>
    <row r="91" spans="1:26" s="203" customFormat="1">
      <c r="A91" s="593"/>
      <c r="B91" s="593"/>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row>
    <row r="92" spans="1:26" s="202" customFormat="1">
      <c r="A92" s="593"/>
      <c r="B92" s="593"/>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row>
    <row r="93" spans="1:26" ht="13.5" thickBot="1">
      <c r="A93" s="593"/>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row>
    <row r="94" spans="1:26" s="203" customFormat="1">
      <c r="A94" s="593"/>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row>
    <row r="95" spans="1:26" s="202" customFormat="1">
      <c r="A95" s="593"/>
      <c r="B95" s="593"/>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row>
    <row r="96" spans="1:26" ht="13.5" thickBot="1">
      <c r="A96" s="593"/>
      <c r="B96" s="593"/>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row>
    <row r="97" spans="1:26" s="203" customFormat="1">
      <c r="A97" s="593"/>
      <c r="B97" s="593"/>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row>
    <row r="98" spans="1:26" s="202" customFormat="1" ht="13.5" thickBot="1">
      <c r="A98" s="593"/>
      <c r="B98" s="593"/>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row>
    <row r="99" spans="1:26">
      <c r="A99" s="593"/>
      <c r="B99" s="593"/>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row>
    <row r="100" spans="1:26" s="203" customFormat="1" ht="13.5" thickBot="1">
      <c r="A100" s="593"/>
      <c r="B100" s="593"/>
      <c r="C100" s="593"/>
      <c r="D100" s="593"/>
      <c r="E100" s="593"/>
      <c r="F100" s="593"/>
      <c r="G100" s="593"/>
      <c r="H100" s="593"/>
      <c r="I100" s="593"/>
      <c r="J100" s="593"/>
      <c r="K100" s="593"/>
      <c r="L100" s="593"/>
      <c r="M100" s="593"/>
      <c r="N100" s="593"/>
      <c r="O100" s="593"/>
      <c r="P100" s="593"/>
      <c r="Q100" s="593"/>
      <c r="R100" s="593"/>
      <c r="S100" s="593"/>
      <c r="T100" s="593"/>
      <c r="U100" s="593"/>
      <c r="V100" s="593"/>
      <c r="W100" s="593"/>
      <c r="X100" s="593"/>
      <c r="Y100" s="593"/>
      <c r="Z100" s="593"/>
    </row>
    <row r="101" spans="1:26" s="202" customFormat="1">
      <c r="A101" s="593"/>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row>
    <row r="102" spans="1:26" ht="13.5" thickBot="1">
      <c r="A102" s="593"/>
      <c r="B102" s="593"/>
      <c r="C102" s="593"/>
      <c r="D102" s="593"/>
      <c r="E102" s="593"/>
      <c r="F102" s="593"/>
      <c r="G102" s="593"/>
      <c r="H102" s="593"/>
      <c r="I102" s="593"/>
      <c r="J102" s="593"/>
      <c r="K102" s="593"/>
      <c r="L102" s="593"/>
      <c r="M102" s="593"/>
      <c r="N102" s="593"/>
      <c r="O102" s="593"/>
      <c r="P102" s="593"/>
      <c r="Q102" s="593"/>
      <c r="R102" s="593"/>
      <c r="S102" s="593"/>
      <c r="T102" s="593"/>
      <c r="U102" s="593"/>
      <c r="V102" s="593"/>
      <c r="W102" s="593"/>
      <c r="X102" s="593"/>
      <c r="Y102" s="593"/>
      <c r="Z102" s="593"/>
    </row>
    <row r="103" spans="1:26" s="203" customFormat="1">
      <c r="A103" s="593"/>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row>
    <row r="104" spans="1:26" s="202" customFormat="1" ht="13.5" thickBot="1">
      <c r="A104" s="593"/>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row>
    <row r="105" spans="1:26">
      <c r="A105" s="593"/>
      <c r="B105" s="593"/>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row>
    <row r="106" spans="1:26" s="203" customFormat="1">
      <c r="A106" s="593"/>
      <c r="B106" s="593"/>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row>
    <row r="107" spans="1:26" s="202" customFormat="1">
      <c r="A107" s="593"/>
      <c r="B107" s="593"/>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row>
    <row r="108" spans="1:26">
      <c r="A108" s="593"/>
      <c r="B108" s="593"/>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row>
    <row r="109" spans="1:26" s="203" customFormat="1">
      <c r="A109" s="593"/>
      <c r="B109" s="593"/>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row>
    <row r="110" spans="1:26" s="202" customFormat="1" ht="13.5" thickBot="1">
      <c r="A110" s="593"/>
      <c r="B110" s="593"/>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row>
    <row r="111" spans="1:26">
      <c r="A111" s="593"/>
      <c r="B111" s="593"/>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row>
    <row r="112" spans="1:26" s="203" customFormat="1">
      <c r="A112" s="593"/>
      <c r="B112" s="593"/>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row>
    <row r="113" spans="1:26" s="202" customFormat="1" ht="13.5" thickBot="1">
      <c r="A113" s="593"/>
      <c r="B113" s="593"/>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row>
    <row r="114" spans="1:26">
      <c r="A114" s="593"/>
      <c r="B114" s="593"/>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row>
    <row r="115" spans="1:26" s="203" customFormat="1">
      <c r="A115" s="593"/>
      <c r="B115" s="593"/>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row>
    <row r="116" spans="1:26" s="202" customFormat="1" ht="13.5" thickBot="1">
      <c r="A116" s="593"/>
      <c r="B116" s="593"/>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row>
    <row r="117" spans="1:26">
      <c r="A117" s="593"/>
      <c r="B117" s="593"/>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row>
    <row r="118" spans="1:26" s="203" customFormat="1">
      <c r="A118" s="593"/>
      <c r="B118" s="593"/>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row>
    <row r="119" spans="1:26" s="202" customFormat="1" ht="13.5" thickBot="1">
      <c r="A119" s="593"/>
      <c r="B119" s="593"/>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row>
    <row r="120" spans="1:26">
      <c r="A120" s="593"/>
      <c r="B120" s="593"/>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row>
    <row r="121" spans="1:26" s="203" customFormat="1">
      <c r="A121" s="593"/>
      <c r="B121" s="593"/>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row>
    <row r="122" spans="1:26" s="212" customFormat="1" ht="13.5" thickBot="1">
      <c r="A122" s="593"/>
      <c r="B122" s="593"/>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row>
    <row r="123" spans="1:26">
      <c r="A123" s="593"/>
      <c r="B123" s="593"/>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row>
    <row r="124" spans="1:26" s="203" customFormat="1">
      <c r="A124" s="593"/>
      <c r="B124" s="593"/>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row>
    <row r="125" spans="1:26" s="202" customFormat="1" ht="13.5" thickBot="1">
      <c r="A125" s="593"/>
      <c r="B125" s="593"/>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row>
    <row r="126" spans="1:26">
      <c r="A126" s="593"/>
      <c r="B126" s="593"/>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row>
    <row r="127" spans="1:26" s="203" customFormat="1">
      <c r="A127" s="593"/>
      <c r="B127" s="593"/>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row>
    <row r="128" spans="1:26" s="202" customFormat="1" ht="13.5" thickBot="1">
      <c r="A128" s="593"/>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row>
    <row r="129" spans="1:26">
      <c r="A129" s="593"/>
      <c r="B129" s="593"/>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row>
    <row r="130" spans="1:26" s="203" customFormat="1">
      <c r="A130" s="593"/>
      <c r="B130" s="593"/>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row>
    <row r="131" spans="1:26" s="202" customFormat="1" ht="13.5" thickBot="1">
      <c r="A131" s="593"/>
      <c r="B131" s="593"/>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row>
    <row r="132" spans="1:26">
      <c r="A132" s="593"/>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row>
    <row r="133" spans="1:26" s="203" customFormat="1">
      <c r="A133" s="593"/>
      <c r="B133" s="593"/>
      <c r="C133" s="593"/>
      <c r="D133" s="593"/>
      <c r="E133" s="593"/>
      <c r="F133" s="593"/>
      <c r="G133" s="593"/>
      <c r="H133" s="593"/>
      <c r="I133" s="593"/>
      <c r="J133" s="593"/>
      <c r="K133" s="593"/>
      <c r="L133" s="593"/>
      <c r="M133" s="593"/>
      <c r="N133" s="593"/>
      <c r="O133" s="593"/>
      <c r="P133" s="593"/>
      <c r="Q133" s="593"/>
      <c r="R133" s="593"/>
      <c r="S133" s="593"/>
      <c r="T133" s="593"/>
      <c r="U133" s="593"/>
      <c r="V133" s="593"/>
      <c r="W133" s="593"/>
      <c r="X133" s="593"/>
      <c r="Y133" s="593"/>
      <c r="Z133" s="593"/>
    </row>
    <row r="134" spans="1:26" s="202" customFormat="1" ht="13.5" thickBot="1">
      <c r="A134" s="593"/>
      <c r="B134" s="593"/>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row>
    <row r="135" spans="1:26">
      <c r="A135" s="593"/>
      <c r="B135" s="593"/>
      <c r="C135" s="593"/>
      <c r="D135" s="593"/>
      <c r="E135" s="593"/>
      <c r="F135" s="593"/>
      <c r="G135" s="593"/>
      <c r="H135" s="593"/>
      <c r="I135" s="593"/>
      <c r="J135" s="593"/>
      <c r="K135" s="593"/>
      <c r="L135" s="593"/>
      <c r="M135" s="593"/>
      <c r="N135" s="593"/>
      <c r="O135" s="593"/>
      <c r="P135" s="593"/>
      <c r="Q135" s="593"/>
      <c r="R135" s="593"/>
      <c r="S135" s="593"/>
      <c r="T135" s="593"/>
      <c r="U135" s="593"/>
      <c r="V135" s="593"/>
      <c r="W135" s="593"/>
      <c r="X135" s="593"/>
      <c r="Y135" s="593"/>
      <c r="Z135" s="593"/>
    </row>
    <row r="136" spans="1:26" s="203" customFormat="1">
      <c r="A136" s="593"/>
      <c r="B136" s="593"/>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row>
    <row r="137" spans="1:26" s="202" customFormat="1" ht="13.5" thickBot="1">
      <c r="A137" s="593"/>
      <c r="B137" s="593"/>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row>
    <row r="138" spans="1:26">
      <c r="A138" s="593"/>
      <c r="B138" s="593"/>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row>
    <row r="139" spans="1:26" s="203" customFormat="1">
      <c r="A139" s="593"/>
      <c r="B139" s="593"/>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row>
    <row r="140" spans="1:26" s="202" customFormat="1" ht="13.5" thickBot="1">
      <c r="A140" s="593"/>
      <c r="B140" s="593"/>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row>
    <row r="141" spans="1:26">
      <c r="A141" s="593"/>
      <c r="B141" s="593"/>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row>
    <row r="142" spans="1:26" s="203" customFormat="1">
      <c r="A142" s="593"/>
      <c r="B142" s="593"/>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row>
    <row r="143" spans="1:26" s="202" customFormat="1" ht="13.5" thickBot="1">
      <c r="A143" s="593"/>
      <c r="B143" s="593"/>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row>
    <row r="144" spans="1:26">
      <c r="A144" s="593"/>
      <c r="B144" s="593"/>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row>
    <row r="145" spans="1:26" s="203" customFormat="1" ht="13.5" thickBot="1">
      <c r="A145" s="593"/>
      <c r="B145" s="593"/>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row>
    <row r="146" spans="1:26" s="202" customFormat="1">
      <c r="A146" s="593"/>
      <c r="B146" s="593"/>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row>
    <row r="147" spans="1:26">
      <c r="A147" s="593"/>
      <c r="B147" s="593"/>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row>
    <row r="148" spans="1:26" s="203" customFormat="1" ht="13.5" thickBot="1">
      <c r="A148" s="593"/>
      <c r="B148" s="593"/>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row>
    <row r="149" spans="1:26" s="202" customFormat="1">
      <c r="A149" s="593"/>
      <c r="B149" s="593"/>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row>
    <row r="150" spans="1:26">
      <c r="A150" s="593"/>
      <c r="B150" s="593"/>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row>
    <row r="151" spans="1:26" s="203" customFormat="1" ht="13.5" thickBot="1">
      <c r="A151" s="593"/>
      <c r="B151" s="593"/>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row>
    <row r="152" spans="1:26" s="202" customFormat="1">
      <c r="A152" s="593"/>
      <c r="B152" s="593"/>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row>
    <row r="153" spans="1:26">
      <c r="A153" s="593"/>
      <c r="B153" s="593"/>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row>
    <row r="154" spans="1:26" s="203" customFormat="1" ht="13.5" thickBot="1">
      <c r="A154" s="593"/>
      <c r="B154" s="593"/>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row>
    <row r="155" spans="1:26" s="202" customFormat="1">
      <c r="A155" s="593"/>
      <c r="B155" s="593"/>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row>
    <row r="156" spans="1:26">
      <c r="A156" s="593"/>
      <c r="B156" s="593"/>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row>
    <row r="157" spans="1:26" s="203" customFormat="1" ht="13.5" thickBot="1">
      <c r="A157" s="593"/>
      <c r="B157" s="593"/>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row>
    <row r="158" spans="1:26" s="202" customFormat="1">
      <c r="A158" s="593"/>
      <c r="B158" s="593"/>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row>
    <row r="159" spans="1:26">
      <c r="A159" s="593"/>
      <c r="B159" s="593"/>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row>
    <row r="160" spans="1:26" s="203" customFormat="1">
      <c r="A160" s="593"/>
      <c r="B160" s="593"/>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row>
    <row r="161" spans="1:26" s="212" customFormat="1" ht="13.5" thickBot="1">
      <c r="A161" s="593"/>
      <c r="B161" s="593"/>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row>
    <row r="162" spans="1:26">
      <c r="A162" s="593"/>
      <c r="B162" s="593"/>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row>
    <row r="163" spans="1:26" s="203" customFormat="1" ht="13.5" thickBot="1">
      <c r="A163" s="593"/>
      <c r="B163" s="593"/>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row>
    <row r="164" spans="1:26" s="202" customFormat="1">
      <c r="A164" s="593"/>
      <c r="B164" s="593"/>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row>
    <row r="165" spans="1:26">
      <c r="A165" s="593"/>
      <c r="B165" s="593"/>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row>
    <row r="166" spans="1:26" s="203" customFormat="1" ht="13.5" thickBot="1">
      <c r="A166" s="593"/>
      <c r="B166" s="593"/>
      <c r="C166" s="593"/>
      <c r="D166" s="593"/>
      <c r="E166" s="593"/>
      <c r="F166" s="593"/>
      <c r="G166" s="593"/>
      <c r="H166" s="593"/>
      <c r="I166" s="593"/>
      <c r="J166" s="593"/>
      <c r="K166" s="593"/>
      <c r="L166" s="593"/>
      <c r="M166" s="593"/>
      <c r="N166" s="593"/>
      <c r="O166" s="593"/>
      <c r="P166" s="593"/>
      <c r="Q166" s="593"/>
      <c r="R166" s="593"/>
      <c r="S166" s="593"/>
      <c r="T166" s="593"/>
      <c r="U166" s="593"/>
      <c r="V166" s="593"/>
      <c r="W166" s="593"/>
      <c r="X166" s="593"/>
      <c r="Y166" s="593"/>
      <c r="Z166" s="593"/>
    </row>
    <row r="167" spans="1:26" s="202" customFormat="1">
      <c r="A167" s="593"/>
      <c r="B167" s="593"/>
      <c r="C167" s="593"/>
      <c r="D167" s="593"/>
      <c r="E167" s="593"/>
      <c r="F167" s="593"/>
      <c r="G167" s="593"/>
      <c r="H167" s="593"/>
      <c r="I167" s="593"/>
      <c r="J167" s="593"/>
      <c r="K167" s="593"/>
      <c r="L167" s="593"/>
      <c r="M167" s="593"/>
      <c r="N167" s="593"/>
      <c r="O167" s="593"/>
      <c r="P167" s="593"/>
      <c r="Q167" s="593"/>
      <c r="R167" s="593"/>
      <c r="S167" s="593"/>
      <c r="T167" s="593"/>
      <c r="U167" s="593"/>
      <c r="V167" s="593"/>
      <c r="W167" s="593"/>
      <c r="X167" s="593"/>
      <c r="Y167" s="593"/>
      <c r="Z167" s="593"/>
    </row>
    <row r="168" spans="1:26">
      <c r="A168" s="593"/>
      <c r="B168" s="593"/>
      <c r="C168" s="593"/>
      <c r="D168" s="593"/>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row>
    <row r="169" spans="1:26" s="203" customFormat="1">
      <c r="A169" s="593"/>
      <c r="B169" s="593"/>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row>
    <row r="170" spans="1:26" s="202" customFormat="1" ht="13.5" thickBot="1">
      <c r="A170" s="593"/>
      <c r="B170" s="593"/>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row>
    <row r="171" spans="1:26">
      <c r="A171" s="593"/>
      <c r="B171" s="593"/>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row>
    <row r="172" spans="1:26" s="203" customFormat="1">
      <c r="A172" s="593"/>
      <c r="B172" s="593"/>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row>
    <row r="173" spans="1:26" s="202" customFormat="1">
      <c r="A173" s="593"/>
      <c r="B173" s="593"/>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row>
    <row r="174" spans="1:26" ht="13.5" thickBot="1">
      <c r="A174" s="593"/>
      <c r="B174" s="593"/>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row>
    <row r="175" spans="1:26" s="203" customFormat="1" ht="13.5" thickBot="1">
      <c r="A175" s="593"/>
      <c r="B175" s="593"/>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row>
    <row r="176" spans="1:26" s="202" customFormat="1">
      <c r="A176" s="593"/>
      <c r="B176" s="593"/>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row>
    <row r="177" spans="1:26">
      <c r="A177" s="593"/>
      <c r="B177" s="593"/>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row>
    <row r="178" spans="1:26" s="203" customFormat="1" ht="13.5" thickBot="1">
      <c r="A178" s="593"/>
      <c r="B178" s="593"/>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row>
    <row r="179" spans="1:26" s="202" customFormat="1">
      <c r="A179" s="593"/>
      <c r="B179" s="593"/>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row>
    <row r="180" spans="1:26" ht="13.5" thickBot="1">
      <c r="A180" s="593"/>
      <c r="B180" s="593"/>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row>
    <row r="181" spans="1:26" s="203" customFormat="1">
      <c r="A181" s="593"/>
      <c r="B181" s="593"/>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row>
    <row r="182" spans="1:26" s="202" customFormat="1">
      <c r="A182" s="593"/>
      <c r="B182" s="593"/>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row>
    <row r="183" spans="1:26" ht="13.5" thickBot="1">
      <c r="A183" s="593"/>
      <c r="B183" s="593"/>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row>
    <row r="184" spans="1:26" s="203" customFormat="1">
      <c r="A184" s="593"/>
      <c r="B184" s="593"/>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row>
    <row r="185" spans="1:26" s="202" customFormat="1">
      <c r="A185" s="593"/>
      <c r="B185" s="593"/>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row>
    <row r="186" spans="1:26" ht="13.5" thickBot="1">
      <c r="A186" s="593"/>
      <c r="B186" s="593"/>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row>
    <row r="187" spans="1:26" s="203" customFormat="1">
      <c r="A187" s="593"/>
      <c r="B187" s="593"/>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row>
    <row r="188" spans="1:26" s="202" customFormat="1" ht="13.5" thickBot="1">
      <c r="A188" s="593"/>
      <c r="B188" s="593"/>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row>
    <row r="189" spans="1:26" ht="13.5" thickBot="1">
      <c r="A189" s="593"/>
      <c r="B189" s="593"/>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row>
    <row r="190" spans="1:26" s="203" customFormat="1">
      <c r="A190" s="593"/>
      <c r="B190" s="593"/>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row>
    <row r="191" spans="1:26" s="202" customFormat="1">
      <c r="A191" s="593"/>
      <c r="B191" s="593"/>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row>
    <row r="192" spans="1:26" ht="13.5" thickBot="1">
      <c r="A192" s="593"/>
      <c r="B192" s="593"/>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row>
    <row r="193" spans="1:26" s="203" customFormat="1">
      <c r="A193" s="593"/>
      <c r="B193" s="593"/>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row>
    <row r="194" spans="1:26" s="202" customFormat="1" ht="13.5" thickBot="1">
      <c r="A194" s="593"/>
      <c r="B194" s="593"/>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row>
    <row r="195" spans="1:26">
      <c r="A195" s="593"/>
      <c r="B195" s="593"/>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row>
    <row r="196" spans="1:26" s="203" customFormat="1">
      <c r="A196" s="593"/>
      <c r="B196" s="593"/>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row>
    <row r="197" spans="1:26" s="202" customFormat="1" ht="13.5" thickBot="1">
      <c r="A197" s="593"/>
      <c r="B197" s="593"/>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row>
    <row r="198" spans="1:26" ht="13.5" thickBot="1">
      <c r="A198" s="593"/>
      <c r="B198" s="593"/>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row>
    <row r="199" spans="1:26" s="203" customFormat="1">
      <c r="A199" s="593"/>
      <c r="B199" s="593"/>
      <c r="C199" s="593"/>
      <c r="D199" s="593"/>
      <c r="E199" s="593"/>
      <c r="F199" s="593"/>
      <c r="G199" s="593"/>
      <c r="H199" s="593"/>
      <c r="I199" s="593"/>
      <c r="J199" s="593"/>
      <c r="K199" s="593"/>
      <c r="L199" s="593"/>
      <c r="M199" s="593"/>
      <c r="N199" s="593"/>
      <c r="O199" s="593"/>
      <c r="P199" s="593"/>
      <c r="Q199" s="593"/>
      <c r="R199" s="593"/>
      <c r="S199" s="593"/>
      <c r="T199" s="593"/>
      <c r="U199" s="593"/>
      <c r="V199" s="593"/>
      <c r="W199" s="593"/>
      <c r="X199" s="593"/>
      <c r="Y199" s="593"/>
      <c r="Z199" s="593"/>
    </row>
    <row r="200" spans="1:26" s="212" customFormat="1">
      <c r="A200" s="593"/>
      <c r="B200" s="593"/>
      <c r="C200" s="593"/>
      <c r="D200" s="593"/>
      <c r="E200" s="593"/>
      <c r="F200" s="593"/>
      <c r="G200" s="593"/>
      <c r="H200" s="593"/>
      <c r="I200" s="593"/>
      <c r="J200" s="593"/>
      <c r="K200" s="593"/>
      <c r="L200" s="593"/>
      <c r="M200" s="593"/>
      <c r="N200" s="593"/>
      <c r="O200" s="593"/>
      <c r="P200" s="593"/>
      <c r="Q200" s="593"/>
      <c r="R200" s="593"/>
      <c r="S200" s="593"/>
      <c r="T200" s="593"/>
      <c r="U200" s="593"/>
      <c r="V200" s="593"/>
      <c r="W200" s="593"/>
      <c r="X200" s="593"/>
      <c r="Y200" s="593"/>
      <c r="Z200" s="593"/>
    </row>
    <row r="201" spans="1:26" ht="13.5" thickBot="1">
      <c r="A201" s="593"/>
      <c r="B201" s="593"/>
      <c r="C201" s="593"/>
      <c r="D201" s="593"/>
      <c r="E201" s="593"/>
      <c r="F201" s="593"/>
      <c r="G201" s="593"/>
      <c r="H201" s="593"/>
      <c r="I201" s="593"/>
      <c r="J201" s="593"/>
      <c r="K201" s="593"/>
      <c r="L201" s="593"/>
      <c r="M201" s="593"/>
      <c r="N201" s="593"/>
      <c r="O201" s="593"/>
      <c r="P201" s="593"/>
      <c r="Q201" s="593"/>
      <c r="R201" s="593"/>
      <c r="S201" s="593"/>
      <c r="T201" s="593"/>
      <c r="U201" s="593"/>
      <c r="V201" s="593"/>
      <c r="W201" s="593"/>
      <c r="X201" s="593"/>
      <c r="Y201" s="593"/>
      <c r="Z201" s="593"/>
    </row>
    <row r="202" spans="1:26" s="203" customFormat="1">
      <c r="A202" s="593"/>
      <c r="B202" s="593"/>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row>
    <row r="203" spans="1:26" s="202" customFormat="1" ht="13.5" thickBot="1">
      <c r="A203" s="593"/>
      <c r="B203" s="593"/>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row>
    <row r="204" spans="1:26">
      <c r="A204" s="593"/>
      <c r="B204" s="593"/>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row>
    <row r="205" spans="1:26" s="203" customFormat="1">
      <c r="A205" s="593"/>
      <c r="B205" s="593"/>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row>
    <row r="206" spans="1:26" s="202" customFormat="1" ht="13.5" thickBot="1">
      <c r="A206" s="593"/>
      <c r="B206" s="593"/>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row>
    <row r="207" spans="1:26" ht="13.5" thickBot="1">
      <c r="A207" s="593"/>
      <c r="B207" s="593"/>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row>
    <row r="208" spans="1:26" s="203" customFormat="1">
      <c r="A208" s="593"/>
      <c r="B208" s="593"/>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row>
    <row r="209" spans="1:26" s="202" customFormat="1">
      <c r="A209" s="593"/>
      <c r="B209" s="593"/>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row>
    <row r="210" spans="1:26" ht="13.5" thickBot="1">
      <c r="A210" s="593"/>
      <c r="B210" s="593"/>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row>
    <row r="211" spans="1:26" s="203" customFormat="1">
      <c r="A211" s="593"/>
      <c r="B211" s="593"/>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row>
    <row r="212" spans="1:26" s="202" customFormat="1">
      <c r="A212" s="593"/>
      <c r="B212" s="593"/>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row>
    <row r="213" spans="1:26" ht="13.5" thickBot="1">
      <c r="A213" s="593"/>
      <c r="B213" s="593"/>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row>
    <row r="214" spans="1:26" s="203" customFormat="1">
      <c r="A214" s="593"/>
      <c r="B214" s="593"/>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row>
    <row r="215" spans="1:26" s="202" customFormat="1" ht="13.5" thickBot="1">
      <c r="A215" s="593"/>
      <c r="B215" s="593"/>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row>
    <row r="216" spans="1:26">
      <c r="A216" s="593"/>
      <c r="B216" s="593"/>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row>
    <row r="217" spans="1:26" s="203" customFormat="1">
      <c r="A217" s="593"/>
      <c r="B217" s="593"/>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row>
    <row r="218" spans="1:26" s="202" customFormat="1" ht="13.5" thickBot="1">
      <c r="A218" s="593"/>
      <c r="B218" s="593"/>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row>
    <row r="219" spans="1:26">
      <c r="A219" s="593"/>
      <c r="B219" s="593"/>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row>
    <row r="220" spans="1:26" s="203" customFormat="1">
      <c r="A220" s="593"/>
      <c r="B220" s="593"/>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row>
    <row r="221" spans="1:26" s="202" customFormat="1" ht="13.5" thickBot="1">
      <c r="A221" s="593"/>
      <c r="B221" s="593"/>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row>
    <row r="222" spans="1:26">
      <c r="A222" s="593"/>
      <c r="B222" s="593"/>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row>
    <row r="223" spans="1:26" s="203" customFormat="1">
      <c r="A223" s="593"/>
      <c r="B223" s="593"/>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row>
    <row r="224" spans="1:26" s="202" customFormat="1" ht="13.5" thickBot="1">
      <c r="A224" s="593"/>
      <c r="B224" s="593"/>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row>
    <row r="225" spans="1:26">
      <c r="A225" s="593"/>
      <c r="B225" s="593"/>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row>
    <row r="226" spans="1:26" s="203" customFormat="1">
      <c r="A226" s="593"/>
      <c r="B226" s="593"/>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row>
    <row r="227" spans="1:26" s="202" customFormat="1" ht="13.5" thickBot="1">
      <c r="A227" s="593"/>
      <c r="B227" s="593"/>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row>
    <row r="228" spans="1:26">
      <c r="A228" s="593"/>
      <c r="B228" s="593"/>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row>
    <row r="229" spans="1:26" s="203" customFormat="1">
      <c r="A229" s="593"/>
      <c r="B229" s="593"/>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row>
    <row r="230" spans="1:26" s="202" customFormat="1" ht="13.5" thickBot="1">
      <c r="A230" s="593"/>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row>
    <row r="231" spans="1:26">
      <c r="A231" s="593"/>
      <c r="B231" s="593"/>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row>
    <row r="232" spans="1:26" s="203" customFormat="1">
      <c r="A232" s="593"/>
      <c r="B232" s="593"/>
      <c r="C232" s="593"/>
      <c r="D232" s="593"/>
      <c r="E232" s="593"/>
      <c r="F232" s="593"/>
      <c r="G232" s="593"/>
      <c r="H232" s="593"/>
      <c r="I232" s="593"/>
      <c r="J232" s="593"/>
      <c r="K232" s="593"/>
      <c r="L232" s="593"/>
      <c r="M232" s="593"/>
      <c r="N232" s="593"/>
      <c r="O232" s="593"/>
      <c r="P232" s="593"/>
      <c r="Q232" s="593"/>
      <c r="R232" s="593"/>
      <c r="S232" s="593"/>
      <c r="T232" s="593"/>
      <c r="U232" s="593"/>
      <c r="V232" s="593"/>
      <c r="W232" s="593"/>
      <c r="X232" s="593"/>
      <c r="Y232" s="593"/>
      <c r="Z232" s="593"/>
    </row>
    <row r="233" spans="1:26" s="202" customFormat="1" ht="13.5" thickBot="1">
      <c r="A233" s="593"/>
      <c r="B233" s="593"/>
      <c r="C233" s="593"/>
      <c r="D233" s="593"/>
      <c r="E233" s="593"/>
      <c r="F233" s="593"/>
      <c r="G233" s="593"/>
      <c r="H233" s="593"/>
      <c r="I233" s="593"/>
      <c r="J233" s="593"/>
      <c r="K233" s="593"/>
      <c r="L233" s="593"/>
      <c r="M233" s="593"/>
      <c r="N233" s="593"/>
      <c r="O233" s="593"/>
      <c r="P233" s="593"/>
      <c r="Q233" s="593"/>
      <c r="R233" s="593"/>
      <c r="S233" s="593"/>
      <c r="T233" s="593"/>
      <c r="U233" s="593"/>
      <c r="V233" s="593"/>
      <c r="W233" s="593"/>
      <c r="X233" s="593"/>
      <c r="Y233" s="593"/>
      <c r="Z233" s="593"/>
    </row>
    <row r="234" spans="1:26">
      <c r="A234" s="593"/>
      <c r="B234" s="593"/>
      <c r="C234" s="593"/>
      <c r="D234" s="593"/>
      <c r="E234" s="593"/>
      <c r="F234" s="593"/>
      <c r="G234" s="593"/>
      <c r="H234" s="593"/>
      <c r="I234" s="593"/>
      <c r="J234" s="593"/>
      <c r="K234" s="593"/>
      <c r="L234" s="593"/>
      <c r="M234" s="593"/>
      <c r="N234" s="593"/>
      <c r="O234" s="593"/>
      <c r="P234" s="593"/>
      <c r="Q234" s="593"/>
      <c r="R234" s="593"/>
      <c r="S234" s="593"/>
      <c r="T234" s="593"/>
      <c r="U234" s="593"/>
      <c r="V234" s="593"/>
      <c r="W234" s="593"/>
      <c r="X234" s="593"/>
      <c r="Y234" s="593"/>
      <c r="Z234" s="593"/>
    </row>
    <row r="235" spans="1:26" s="203" customFormat="1">
      <c r="A235" s="593"/>
      <c r="B235" s="593"/>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row>
    <row r="236" spans="1:26" s="202" customFormat="1" ht="13.5" thickBot="1">
      <c r="A236" s="593"/>
      <c r="B236" s="593"/>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row>
    <row r="237" spans="1:26">
      <c r="A237" s="593"/>
      <c r="B237" s="593"/>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row>
    <row r="238" spans="1:26" s="203" customFormat="1">
      <c r="A238" s="593"/>
      <c r="B238" s="593"/>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row>
    <row r="239" spans="1:26" s="212" customFormat="1" ht="13.5" thickBot="1">
      <c r="A239" s="593"/>
      <c r="B239" s="593"/>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row>
    <row r="240" spans="1:26">
      <c r="A240" s="593"/>
      <c r="B240" s="593"/>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row>
    <row r="241" spans="1:26" s="203" customFormat="1">
      <c r="A241" s="593"/>
      <c r="B241" s="593"/>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row>
    <row r="242" spans="1:26" s="202" customFormat="1" ht="13.5" thickBot="1">
      <c r="A242" s="593"/>
      <c r="B242" s="593"/>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row>
    <row r="243" spans="1:26">
      <c r="A243" s="593"/>
      <c r="B243" s="593"/>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row>
    <row r="244" spans="1:26" s="203" customFormat="1">
      <c r="A244" s="593"/>
      <c r="B244" s="593"/>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row>
    <row r="245" spans="1:26" s="202" customFormat="1" ht="13.5" thickBot="1">
      <c r="A245" s="593"/>
      <c r="B245" s="593"/>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row>
    <row r="246" spans="1:26">
      <c r="A246" s="593"/>
      <c r="B246" s="593"/>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row>
    <row r="247" spans="1:26" s="203" customFormat="1">
      <c r="A247" s="593"/>
      <c r="B247" s="593"/>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row>
    <row r="248" spans="1:26" s="202" customFormat="1" ht="13.5" thickBot="1">
      <c r="A248" s="593"/>
      <c r="B248" s="593"/>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row>
    <row r="249" spans="1:26">
      <c r="A249" s="593"/>
      <c r="B249" s="593"/>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row>
    <row r="250" spans="1:26" s="203" customFormat="1" ht="13.5" thickBot="1">
      <c r="A250" s="593"/>
      <c r="B250" s="593"/>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row>
    <row r="251" spans="1:26" s="202" customFormat="1">
      <c r="A251" s="593"/>
      <c r="B251" s="593"/>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row>
    <row r="252" spans="1:26">
      <c r="A252" s="593"/>
      <c r="B252" s="593"/>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row>
    <row r="253" spans="1:26" s="203" customFormat="1" ht="13.5" thickBot="1">
      <c r="A253" s="593"/>
      <c r="B253" s="593"/>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row>
    <row r="254" spans="1:26" s="202" customFormat="1">
      <c r="A254" s="593"/>
      <c r="B254" s="593"/>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row>
    <row r="255" spans="1:26">
      <c r="A255" s="593"/>
      <c r="B255" s="593"/>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row>
    <row r="256" spans="1:26" s="203" customFormat="1" ht="13.5" thickBot="1">
      <c r="A256" s="593"/>
      <c r="B256" s="593"/>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row>
    <row r="257" spans="1:26" s="202" customFormat="1">
      <c r="A257" s="593"/>
      <c r="B257" s="593"/>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row>
    <row r="258" spans="1:26">
      <c r="A258" s="593"/>
      <c r="B258" s="593"/>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row>
    <row r="259" spans="1:26" s="203" customFormat="1" ht="13.5" thickBot="1">
      <c r="A259" s="593"/>
      <c r="B259" s="593"/>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row>
    <row r="260" spans="1:26" s="202" customFormat="1">
      <c r="A260" s="593"/>
      <c r="B260" s="593"/>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row>
    <row r="261" spans="1:26">
      <c r="A261" s="593"/>
      <c r="B261" s="593"/>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row>
    <row r="262" spans="1:26" s="203" customFormat="1" ht="13.5" thickBot="1">
      <c r="A262" s="593"/>
      <c r="B262" s="593"/>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row>
    <row r="263" spans="1:26" s="202" customFormat="1">
      <c r="A263" s="593"/>
      <c r="B263" s="593"/>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row>
    <row r="264" spans="1:26">
      <c r="A264" s="593"/>
      <c r="B264" s="593"/>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row>
    <row r="265" spans="1:26" s="203" customFormat="1">
      <c r="A265" s="593"/>
      <c r="B265" s="593"/>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row>
    <row r="266" spans="1:26" s="202" customFormat="1" ht="13.5" thickBot="1">
      <c r="A266" s="593"/>
      <c r="B266" s="593"/>
      <c r="C266" s="593"/>
      <c r="D266" s="593"/>
      <c r="E266" s="593"/>
      <c r="F266" s="593"/>
      <c r="G266" s="593"/>
      <c r="H266" s="593"/>
      <c r="I266" s="593"/>
      <c r="J266" s="593"/>
      <c r="K266" s="593"/>
      <c r="L266" s="593"/>
      <c r="M266" s="593"/>
      <c r="N266" s="593"/>
      <c r="O266" s="593"/>
      <c r="P266" s="593"/>
      <c r="Q266" s="593"/>
      <c r="R266" s="593"/>
      <c r="S266" s="593"/>
      <c r="T266" s="593"/>
      <c r="U266" s="593"/>
      <c r="V266" s="593"/>
      <c r="W266" s="593"/>
      <c r="X266" s="593"/>
      <c r="Y266" s="593"/>
      <c r="Z266" s="593"/>
    </row>
    <row r="267" spans="1:26">
      <c r="A267" s="593"/>
      <c r="B267" s="593"/>
      <c r="C267" s="593"/>
      <c r="D267" s="593"/>
      <c r="E267" s="593"/>
      <c r="F267" s="593"/>
      <c r="G267" s="593"/>
      <c r="H267" s="593"/>
      <c r="I267" s="593"/>
      <c r="J267" s="593"/>
      <c r="K267" s="593"/>
      <c r="L267" s="593"/>
      <c r="M267" s="593"/>
      <c r="N267" s="593"/>
      <c r="O267" s="593"/>
      <c r="P267" s="593"/>
      <c r="Q267" s="593"/>
      <c r="R267" s="593"/>
      <c r="S267" s="593"/>
      <c r="T267" s="593"/>
      <c r="U267" s="593"/>
      <c r="V267" s="593"/>
      <c r="W267" s="593"/>
      <c r="X267" s="593"/>
      <c r="Y267" s="593"/>
      <c r="Z267" s="593"/>
    </row>
    <row r="268" spans="1:26" s="203" customFormat="1" ht="13.5" thickBot="1">
      <c r="A268" s="593"/>
      <c r="B268" s="593"/>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row>
    <row r="269" spans="1:26" s="202" customFormat="1">
      <c r="A269" s="593"/>
      <c r="B269" s="593"/>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row>
    <row r="270" spans="1:26">
      <c r="A270" s="593"/>
      <c r="B270" s="593"/>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row>
    <row r="271" spans="1:26" s="203" customFormat="1" ht="13.5" thickBot="1">
      <c r="A271" s="593"/>
      <c r="B271" s="593"/>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row>
    <row r="272" spans="1:26" s="202" customFormat="1">
      <c r="A272" s="593"/>
      <c r="B272" s="593"/>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row>
    <row r="273" spans="1:26" ht="13.5" thickBot="1">
      <c r="A273" s="593"/>
      <c r="B273" s="593"/>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row>
    <row r="274" spans="1:26" s="203" customFormat="1">
      <c r="A274" s="593"/>
      <c r="B274" s="593"/>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row>
    <row r="275" spans="1:26" s="202" customFormat="1" ht="13.5" thickBot="1">
      <c r="A275" s="593"/>
      <c r="B275" s="593"/>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row>
    <row r="276" spans="1:26">
      <c r="A276" s="593"/>
      <c r="B276" s="593"/>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row>
    <row r="277" spans="1:26" s="203" customFormat="1">
      <c r="A277" s="593"/>
      <c r="B277" s="593"/>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row>
    <row r="278" spans="1:26" s="212" customFormat="1" ht="13.5" thickBot="1">
      <c r="A278" s="593"/>
      <c r="B278" s="593"/>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row>
    <row r="279" spans="1:26">
      <c r="A279" s="593"/>
      <c r="B279" s="593"/>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row>
    <row r="280" spans="1:26" s="203" customFormat="1" ht="13.5" thickBot="1">
      <c r="A280" s="593"/>
      <c r="B280" s="593"/>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row>
    <row r="281" spans="1:26" s="202" customFormat="1">
      <c r="A281" s="593"/>
      <c r="B281" s="593"/>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row>
    <row r="282" spans="1:26" ht="13.5" thickBot="1">
      <c r="A282" s="593"/>
      <c r="B282" s="593"/>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row>
    <row r="283" spans="1:26" s="203" customFormat="1">
      <c r="A283" s="593"/>
      <c r="B283" s="593"/>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row>
    <row r="284" spans="1:26" s="202" customFormat="1">
      <c r="A284" s="593"/>
      <c r="B284" s="593"/>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row>
    <row r="285" spans="1:26" ht="13.5" thickBot="1">
      <c r="A285" s="593"/>
      <c r="B285" s="593"/>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row>
    <row r="286" spans="1:26" s="203" customFormat="1">
      <c r="A286" s="593"/>
      <c r="B286" s="593"/>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row>
    <row r="287" spans="1:26" s="202" customFormat="1">
      <c r="A287" s="593"/>
      <c r="B287" s="593"/>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row>
    <row r="288" spans="1:26" ht="13.5" thickBot="1">
      <c r="A288" s="593"/>
      <c r="B288" s="593"/>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row>
    <row r="289" spans="1:26" s="203" customFormat="1">
      <c r="A289" s="593"/>
      <c r="B289" s="593"/>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row>
    <row r="290" spans="1:26" s="202" customFormat="1">
      <c r="A290" s="593"/>
      <c r="B290" s="593"/>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row>
    <row r="291" spans="1:26" ht="13.5" thickBot="1">
      <c r="A291" s="593"/>
      <c r="B291" s="593"/>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row>
    <row r="292" spans="1:26" s="203" customFormat="1">
      <c r="A292" s="593"/>
      <c r="B292" s="593"/>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row>
    <row r="293" spans="1:26" s="202" customFormat="1">
      <c r="A293" s="593"/>
      <c r="B293" s="593"/>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row>
    <row r="294" spans="1:26" ht="13.5" thickBot="1">
      <c r="A294" s="593"/>
      <c r="B294" s="593"/>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row>
    <row r="295" spans="1:26" s="203" customFormat="1">
      <c r="A295" s="593"/>
      <c r="B295" s="593"/>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row>
    <row r="296" spans="1:26" s="202" customFormat="1">
      <c r="A296" s="593"/>
      <c r="B296" s="593"/>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row>
    <row r="297" spans="1:26" ht="13.5" thickBot="1">
      <c r="A297" s="593"/>
      <c r="B297" s="593"/>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row>
    <row r="298" spans="1:26" s="203" customFormat="1">
      <c r="A298" s="593"/>
      <c r="B298" s="593"/>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row>
    <row r="299" spans="1:26" s="202" customFormat="1" ht="13.5" thickBot="1">
      <c r="A299" s="593"/>
      <c r="B299" s="593"/>
      <c r="C299" s="593"/>
      <c r="D299" s="593"/>
      <c r="E299" s="593"/>
      <c r="F299" s="593"/>
      <c r="G299" s="593"/>
      <c r="H299" s="593"/>
      <c r="I299" s="593"/>
      <c r="J299" s="593"/>
      <c r="K299" s="593"/>
      <c r="L299" s="593"/>
      <c r="M299" s="593"/>
      <c r="N299" s="593"/>
      <c r="O299" s="593"/>
      <c r="P299" s="593"/>
      <c r="Q299" s="593"/>
      <c r="R299" s="593"/>
      <c r="S299" s="593"/>
      <c r="T299" s="593"/>
      <c r="U299" s="593"/>
      <c r="V299" s="593"/>
      <c r="W299" s="593"/>
      <c r="X299" s="593"/>
      <c r="Y299" s="593"/>
      <c r="Z299" s="593"/>
    </row>
    <row r="300" spans="1:26">
      <c r="A300" s="593"/>
      <c r="B300" s="593"/>
      <c r="C300" s="593"/>
      <c r="D300" s="593"/>
      <c r="E300" s="593"/>
      <c r="F300" s="593"/>
      <c r="G300" s="593"/>
      <c r="H300" s="593"/>
      <c r="I300" s="593"/>
      <c r="J300" s="593"/>
      <c r="K300" s="593"/>
      <c r="L300" s="593"/>
      <c r="M300" s="593"/>
      <c r="N300" s="593"/>
      <c r="O300" s="593"/>
      <c r="P300" s="593"/>
      <c r="Q300" s="593"/>
      <c r="R300" s="593"/>
      <c r="S300" s="593"/>
      <c r="T300" s="593"/>
      <c r="U300" s="593"/>
      <c r="V300" s="593"/>
      <c r="W300" s="593"/>
      <c r="X300" s="593"/>
      <c r="Y300" s="593"/>
      <c r="Z300" s="593"/>
    </row>
    <row r="301" spans="1:26" s="203" customFormat="1">
      <c r="A301" s="593"/>
      <c r="B301" s="593"/>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row>
    <row r="302" spans="1:26" s="202" customFormat="1" ht="13.5" thickBot="1">
      <c r="A302" s="593"/>
      <c r="B302" s="593"/>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row>
    <row r="303" spans="1:26">
      <c r="A303" s="593"/>
      <c r="B303" s="593"/>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row>
    <row r="304" spans="1:26" s="203" customFormat="1">
      <c r="A304" s="593"/>
      <c r="B304" s="593"/>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row>
    <row r="305" spans="1:26" s="202" customFormat="1" ht="13.5" thickBot="1">
      <c r="A305" s="593"/>
      <c r="B305" s="593"/>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row>
    <row r="306" spans="1:26">
      <c r="A306" s="593"/>
      <c r="B306" s="593"/>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row>
    <row r="307" spans="1:26" s="203" customFormat="1" ht="13.5" thickBot="1">
      <c r="A307" s="593"/>
      <c r="B307" s="593"/>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row>
    <row r="308" spans="1:26" s="202" customFormat="1">
      <c r="A308" s="593"/>
      <c r="B308" s="593"/>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row>
    <row r="309" spans="1:26">
      <c r="A309" s="593"/>
      <c r="B309" s="593"/>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row>
    <row r="310" spans="1:26" s="203" customFormat="1" ht="13.5" thickBot="1">
      <c r="A310" s="593"/>
      <c r="B310" s="593"/>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row>
    <row r="311" spans="1:26" s="202" customFormat="1">
      <c r="A311" s="593"/>
      <c r="B311" s="593"/>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row>
    <row r="312" spans="1:26" ht="13.5" thickBot="1">
      <c r="A312" s="593"/>
      <c r="B312" s="593"/>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row>
    <row r="313" spans="1:26" s="203" customFormat="1">
      <c r="A313" s="593"/>
      <c r="B313" s="593"/>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row>
    <row r="314" spans="1:26" s="202" customFormat="1">
      <c r="A314" s="593"/>
      <c r="B314" s="593"/>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row>
    <row r="315" spans="1:26" ht="13.5" thickBot="1">
      <c r="A315" s="593"/>
      <c r="B315" s="593"/>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row>
    <row r="316" spans="1:26" s="203" customFormat="1">
      <c r="A316" s="593"/>
      <c r="B316" s="593"/>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row>
    <row r="317" spans="1:26" s="212" customFormat="1">
      <c r="A317" s="593"/>
      <c r="B317" s="593"/>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row>
    <row r="318" spans="1:26" ht="13.5" thickBot="1">
      <c r="A318" s="593"/>
      <c r="B318" s="593"/>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row>
    <row r="319" spans="1:26" s="203" customFormat="1">
      <c r="A319" s="593"/>
      <c r="B319" s="593"/>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row>
    <row r="320" spans="1:26" s="202" customFormat="1" ht="13.5" thickBot="1">
      <c r="A320" s="593"/>
      <c r="B320" s="593"/>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row>
    <row r="321" spans="1:26">
      <c r="A321" s="593"/>
      <c r="B321" s="593"/>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row>
    <row r="322" spans="1:26" s="203" customFormat="1">
      <c r="A322" s="593"/>
      <c r="B322" s="593"/>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row>
    <row r="323" spans="1:26" s="202" customFormat="1" ht="13.5" thickBot="1">
      <c r="A323" s="593"/>
      <c r="B323" s="593"/>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row>
    <row r="324" spans="1:26">
      <c r="A324" s="593"/>
      <c r="B324" s="593"/>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row>
    <row r="325" spans="1:26" s="203" customFormat="1">
      <c r="A325" s="593"/>
      <c r="B325" s="593"/>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row>
    <row r="326" spans="1:26" s="202" customFormat="1" ht="13.5" thickBot="1">
      <c r="A326" s="593"/>
      <c r="B326" s="593"/>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row>
    <row r="327" spans="1:26">
      <c r="A327" s="593"/>
      <c r="B327" s="593"/>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row>
    <row r="328" spans="1:26" s="203" customFormat="1">
      <c r="A328" s="593"/>
      <c r="B328" s="593"/>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row>
    <row r="329" spans="1:26" s="202" customFormat="1" ht="13.5" thickBot="1">
      <c r="A329" s="593"/>
      <c r="B329" s="593"/>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row>
    <row r="330" spans="1:26">
      <c r="A330" s="593"/>
      <c r="B330" s="593"/>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row>
    <row r="331" spans="1:26" s="203" customFormat="1">
      <c r="A331" s="593"/>
      <c r="B331" s="593"/>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row>
    <row r="332" spans="1:26" s="202" customFormat="1" ht="13.5" thickBot="1">
      <c r="A332" s="593"/>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row>
    <row r="333" spans="1:26">
      <c r="A333" s="593"/>
      <c r="B333" s="593"/>
      <c r="C333" s="593"/>
      <c r="D333" s="593"/>
      <c r="E333" s="593"/>
      <c r="F333" s="593"/>
      <c r="G333" s="593"/>
      <c r="H333" s="593"/>
      <c r="I333" s="593"/>
      <c r="J333" s="593"/>
      <c r="K333" s="593"/>
      <c r="L333" s="593"/>
      <c r="M333" s="593"/>
      <c r="N333" s="593"/>
      <c r="O333" s="593"/>
      <c r="P333" s="593"/>
      <c r="Q333" s="593"/>
      <c r="R333" s="593"/>
      <c r="S333" s="593"/>
      <c r="T333" s="593"/>
      <c r="U333" s="593"/>
      <c r="V333" s="593"/>
      <c r="W333" s="593"/>
      <c r="X333" s="593"/>
      <c r="Y333" s="593"/>
      <c r="Z333" s="593"/>
    </row>
    <row r="334" spans="1:26" s="203" customFormat="1">
      <c r="A334" s="593"/>
      <c r="B334" s="593"/>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row>
    <row r="335" spans="1:26" s="202" customFormat="1" ht="13.5" thickBot="1">
      <c r="A335" s="593"/>
      <c r="B335" s="593"/>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row>
    <row r="336" spans="1:26">
      <c r="A336" s="593"/>
      <c r="B336" s="593"/>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row>
    <row r="337" spans="1:26" s="203" customFormat="1">
      <c r="A337" s="593"/>
      <c r="B337" s="593"/>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row>
    <row r="338" spans="1:26" s="202" customFormat="1" ht="13.5" thickBot="1">
      <c r="A338" s="593"/>
      <c r="B338" s="593"/>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row>
    <row r="339" spans="1:26">
      <c r="A339" s="593"/>
      <c r="B339" s="593"/>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row>
    <row r="340" spans="1:26" s="203" customFormat="1">
      <c r="A340" s="593"/>
      <c r="B340" s="593"/>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row>
    <row r="341" spans="1:26" s="202" customFormat="1" ht="13.5" thickBot="1">
      <c r="A341" s="593"/>
      <c r="B341" s="593"/>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row>
    <row r="342" spans="1:26">
      <c r="A342" s="593"/>
      <c r="B342" s="593"/>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row>
    <row r="343" spans="1:26" s="203" customFormat="1">
      <c r="A343" s="593"/>
      <c r="B343" s="593"/>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row>
    <row r="344" spans="1:26" s="202" customFormat="1" ht="13.5" thickBot="1">
      <c r="A344" s="593"/>
      <c r="B344" s="593"/>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row>
    <row r="345" spans="1:26">
      <c r="A345" s="593"/>
      <c r="B345" s="593"/>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row>
    <row r="346" spans="1:26" s="203" customFormat="1">
      <c r="A346" s="593"/>
      <c r="B346" s="593"/>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row>
    <row r="347" spans="1:26" s="202" customFormat="1" ht="13.5" thickBot="1">
      <c r="A347" s="593"/>
      <c r="B347" s="593"/>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row>
    <row r="348" spans="1:26">
      <c r="A348" s="593"/>
      <c r="B348" s="593"/>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row>
    <row r="349" spans="1:26" s="203" customFormat="1">
      <c r="A349" s="593"/>
      <c r="B349" s="593"/>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row>
    <row r="350" spans="1:26" s="202" customFormat="1">
      <c r="A350" s="593"/>
      <c r="B350" s="593"/>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row>
    <row r="351" spans="1:26">
      <c r="A351" s="593"/>
      <c r="B351" s="593"/>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row>
    <row r="352" spans="1:26" s="203" customFormat="1">
      <c r="A352" s="593"/>
      <c r="B352" s="593"/>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row>
    <row r="353" spans="1:26" s="202" customFormat="1" ht="13.5" thickBot="1">
      <c r="A353" s="593"/>
      <c r="B353" s="593"/>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row>
    <row r="354" spans="1:26">
      <c r="A354" s="593"/>
      <c r="B354" s="593"/>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row>
    <row r="355" spans="1:26" s="203" customFormat="1" ht="13.5" thickBot="1">
      <c r="A355" s="593"/>
      <c r="B355" s="593"/>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row>
    <row r="356" spans="1:26" s="212" customFormat="1">
      <c r="A356" s="593"/>
      <c r="B356" s="593"/>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row>
    <row r="357" spans="1:26">
      <c r="A357" s="593"/>
      <c r="B357" s="593"/>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row>
    <row r="358" spans="1:26" s="203" customFormat="1" ht="13.5" thickBot="1">
      <c r="A358" s="593"/>
      <c r="B358" s="593"/>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row>
    <row r="359" spans="1:26" s="202" customFormat="1">
      <c r="A359" s="593"/>
      <c r="B359" s="593"/>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row>
    <row r="360" spans="1:26">
      <c r="A360" s="593"/>
      <c r="B360" s="593"/>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row>
    <row r="361" spans="1:26" s="203" customFormat="1" ht="13.5" thickBot="1">
      <c r="A361" s="593"/>
      <c r="B361" s="593"/>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row>
    <row r="362" spans="1:26" s="202" customFormat="1">
      <c r="A362" s="593"/>
      <c r="B362" s="593"/>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row>
    <row r="363" spans="1:26">
      <c r="A363" s="593"/>
      <c r="B363" s="593"/>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row>
    <row r="364" spans="1:26" s="203" customFormat="1" ht="13.5" thickBot="1">
      <c r="A364" s="593"/>
      <c r="B364" s="593"/>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row>
    <row r="365" spans="1:26" s="202" customFormat="1">
      <c r="A365" s="593"/>
      <c r="B365" s="593"/>
      <c r="C365" s="593"/>
      <c r="D365" s="593"/>
      <c r="E365" s="593"/>
      <c r="F365" s="593"/>
      <c r="G365" s="593"/>
      <c r="H365" s="593"/>
      <c r="I365" s="593"/>
      <c r="J365" s="593"/>
      <c r="K365" s="593"/>
      <c r="L365" s="593"/>
      <c r="M365" s="593"/>
      <c r="N365" s="593"/>
      <c r="O365" s="593"/>
      <c r="P365" s="593"/>
      <c r="Q365" s="593"/>
      <c r="R365" s="593"/>
      <c r="S365" s="593"/>
      <c r="T365" s="593"/>
      <c r="U365" s="593"/>
      <c r="V365" s="593"/>
      <c r="W365" s="593"/>
      <c r="X365" s="593"/>
      <c r="Y365" s="593"/>
      <c r="Z365" s="593"/>
    </row>
    <row r="366" spans="1:26">
      <c r="A366" s="593"/>
      <c r="B366" s="593"/>
      <c r="C366" s="593"/>
      <c r="D366" s="593"/>
      <c r="E366" s="593"/>
      <c r="F366" s="593"/>
      <c r="G366" s="593"/>
      <c r="H366" s="593"/>
      <c r="I366" s="593"/>
      <c r="J366" s="593"/>
      <c r="K366" s="593"/>
      <c r="L366" s="593"/>
      <c r="M366" s="593"/>
      <c r="N366" s="593"/>
      <c r="O366" s="593"/>
      <c r="P366" s="593"/>
      <c r="Q366" s="593"/>
      <c r="R366" s="593"/>
      <c r="S366" s="593"/>
      <c r="T366" s="593"/>
      <c r="U366" s="593"/>
      <c r="V366" s="593"/>
      <c r="W366" s="593"/>
      <c r="X366" s="593"/>
      <c r="Y366" s="593"/>
      <c r="Z366" s="593"/>
    </row>
    <row r="367" spans="1:26" s="203" customFormat="1" ht="13.5" thickBot="1">
      <c r="A367" s="593"/>
      <c r="B367" s="593"/>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row>
    <row r="368" spans="1:26" s="202" customFormat="1">
      <c r="A368" s="593"/>
      <c r="B368" s="593"/>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row>
    <row r="369" spans="1:26">
      <c r="A369" s="593"/>
      <c r="B369" s="593"/>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row>
    <row r="370" spans="1:26" s="203" customFormat="1" ht="13.5" thickBot="1">
      <c r="A370" s="593"/>
      <c r="B370" s="593"/>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row>
    <row r="371" spans="1:26" s="202" customFormat="1">
      <c r="A371" s="593"/>
      <c r="B371" s="593"/>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row>
    <row r="372" spans="1:26">
      <c r="A372" s="593"/>
      <c r="B372" s="593"/>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row>
    <row r="373" spans="1:26" s="203" customFormat="1" ht="13.5" thickBot="1">
      <c r="A373" s="593"/>
      <c r="B373" s="593"/>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row>
    <row r="374" spans="1:26" s="202" customFormat="1">
      <c r="A374" s="593"/>
      <c r="B374" s="593"/>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row>
    <row r="375" spans="1:26">
      <c r="A375" s="593"/>
      <c r="B375" s="593"/>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row>
    <row r="376" spans="1:26" s="203" customFormat="1">
      <c r="A376" s="593"/>
      <c r="B376" s="593"/>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row>
    <row r="377" spans="1:26" s="202" customFormat="1" ht="13.5" thickBot="1">
      <c r="A377" s="593"/>
      <c r="B377" s="593"/>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row>
    <row r="378" spans="1:26">
      <c r="A378" s="593"/>
      <c r="B378" s="593"/>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row>
    <row r="379" spans="1:26" s="203" customFormat="1">
      <c r="A379" s="593"/>
      <c r="B379" s="593"/>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row>
    <row r="380" spans="1:26" s="202" customFormat="1" ht="13.5" thickBot="1">
      <c r="A380" s="593"/>
      <c r="B380" s="593"/>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row>
    <row r="381" spans="1:26">
      <c r="A381" s="593"/>
      <c r="B381" s="593"/>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row>
    <row r="382" spans="1:26" s="203" customFormat="1">
      <c r="A382" s="593"/>
      <c r="B382" s="593"/>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row>
    <row r="383" spans="1:26" s="202" customFormat="1" ht="13.5" thickBot="1">
      <c r="A383" s="593"/>
      <c r="B383" s="593"/>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row>
    <row r="384" spans="1:26">
      <c r="A384" s="593"/>
      <c r="B384" s="593"/>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row>
    <row r="385" spans="1:26" s="203" customFormat="1">
      <c r="A385" s="593"/>
      <c r="B385" s="593"/>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row>
    <row r="386" spans="1:26" s="202" customFormat="1">
      <c r="A386" s="593"/>
      <c r="B386" s="593"/>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row>
    <row r="387" spans="1:26" ht="13.5" thickBot="1">
      <c r="A387" s="593"/>
      <c r="B387" s="593"/>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row>
    <row r="388" spans="1:26" s="203" customFormat="1">
      <c r="A388" s="593"/>
      <c r="B388" s="593"/>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row>
    <row r="389" spans="1:26" s="202" customFormat="1">
      <c r="A389" s="593"/>
      <c r="B389" s="593"/>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row>
    <row r="390" spans="1:26" ht="13.5" thickBot="1">
      <c r="A390" s="593"/>
      <c r="B390" s="593"/>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row>
    <row r="391" spans="1:26" s="203" customFormat="1">
      <c r="A391" s="593"/>
      <c r="B391" s="593"/>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row>
    <row r="392" spans="1:26" s="202" customFormat="1">
      <c r="A392" s="593"/>
      <c r="B392" s="593"/>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row>
    <row r="393" spans="1:26" ht="13.5" thickBot="1">
      <c r="A393" s="593"/>
      <c r="B393" s="593"/>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row>
    <row r="394" spans="1:26" s="203" customFormat="1">
      <c r="A394" s="593"/>
      <c r="B394" s="593"/>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row>
    <row r="395" spans="1:26" s="212" customFormat="1">
      <c r="A395" s="593"/>
      <c r="B395" s="593"/>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row>
    <row r="396" spans="1:26" ht="13.5" thickBot="1">
      <c r="A396" s="593"/>
      <c r="B396" s="593"/>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row>
    <row r="397" spans="1:26" s="203" customFormat="1">
      <c r="A397" s="593"/>
      <c r="B397" s="593"/>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row>
    <row r="398" spans="1:26" s="202" customFormat="1">
      <c r="A398" s="593"/>
      <c r="B398" s="593"/>
      <c r="C398" s="593"/>
      <c r="D398" s="593"/>
      <c r="E398" s="593"/>
      <c r="F398" s="593"/>
      <c r="G398" s="593"/>
      <c r="H398" s="593"/>
      <c r="I398" s="593"/>
      <c r="J398" s="593"/>
      <c r="K398" s="593"/>
      <c r="L398" s="593"/>
      <c r="M398" s="593"/>
      <c r="N398" s="593"/>
      <c r="O398" s="593"/>
      <c r="P398" s="593"/>
      <c r="Q398" s="593"/>
      <c r="R398" s="593"/>
      <c r="S398" s="593"/>
      <c r="T398" s="593"/>
      <c r="U398" s="593"/>
      <c r="V398" s="593"/>
      <c r="W398" s="593"/>
      <c r="X398" s="593"/>
      <c r="Y398" s="593"/>
      <c r="Z398" s="593"/>
    </row>
    <row r="399" spans="1:26" ht="13.5" thickBot="1">
      <c r="A399" s="593"/>
      <c r="B399" s="593"/>
      <c r="C399" s="593"/>
      <c r="D399" s="593"/>
      <c r="E399" s="593"/>
      <c r="F399" s="593"/>
      <c r="G399" s="593"/>
      <c r="H399" s="593"/>
      <c r="I399" s="593"/>
      <c r="J399" s="593"/>
      <c r="K399" s="593"/>
      <c r="L399" s="593"/>
      <c r="M399" s="593"/>
      <c r="N399" s="593"/>
      <c r="O399" s="593"/>
      <c r="P399" s="593"/>
      <c r="Q399" s="593"/>
      <c r="R399" s="593"/>
      <c r="S399" s="593"/>
      <c r="T399" s="593"/>
      <c r="U399" s="593"/>
      <c r="V399" s="593"/>
      <c r="W399" s="593"/>
      <c r="X399" s="593"/>
      <c r="Y399" s="593"/>
      <c r="Z399" s="593"/>
    </row>
    <row r="400" spans="1:26" s="203" customFormat="1">
      <c r="A400" s="593"/>
      <c r="B400" s="593"/>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row>
    <row r="401" spans="1:26" s="202" customFormat="1">
      <c r="A401" s="593"/>
      <c r="B401" s="593"/>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row>
    <row r="402" spans="1:26" ht="13.5" thickBot="1">
      <c r="A402" s="593"/>
      <c r="B402" s="593"/>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row>
    <row r="403" spans="1:26" s="203" customFormat="1">
      <c r="A403" s="593"/>
      <c r="B403" s="593"/>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row>
    <row r="404" spans="1:26" s="202" customFormat="1">
      <c r="A404" s="593"/>
      <c r="B404" s="593"/>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row>
    <row r="405" spans="1:26" ht="13.5" thickBot="1">
      <c r="A405" s="593"/>
      <c r="B405" s="593"/>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row>
    <row r="406" spans="1:26" s="203" customFormat="1">
      <c r="A406" s="593"/>
      <c r="B406" s="593"/>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row>
    <row r="407" spans="1:26" s="202" customFormat="1" ht="13.5" thickBot="1">
      <c r="A407" s="593"/>
      <c r="B407" s="593"/>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row>
    <row r="408" spans="1:26">
      <c r="A408" s="593"/>
      <c r="B408" s="593"/>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row>
    <row r="409" spans="1:26" s="203" customFormat="1">
      <c r="A409" s="593"/>
      <c r="B409" s="593"/>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row>
    <row r="410" spans="1:26" s="202" customFormat="1" ht="13.5" thickBot="1">
      <c r="A410" s="593"/>
      <c r="B410" s="593"/>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row>
    <row r="411" spans="1:26">
      <c r="A411" s="593"/>
      <c r="B411" s="593"/>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row>
    <row r="412" spans="1:26" s="203" customFormat="1">
      <c r="A412" s="593"/>
      <c r="B412" s="593"/>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row>
    <row r="413" spans="1:26" s="202" customFormat="1" ht="13.5" thickBot="1">
      <c r="A413" s="593"/>
      <c r="B413" s="593"/>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row>
    <row r="414" spans="1:26">
      <c r="A414" s="593"/>
      <c r="B414" s="593"/>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row>
    <row r="415" spans="1:26" s="203" customFormat="1">
      <c r="A415" s="593"/>
      <c r="B415" s="593"/>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row>
    <row r="416" spans="1:26" s="202" customFormat="1" ht="13.5" thickBot="1">
      <c r="A416" s="593"/>
      <c r="B416" s="593"/>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row>
    <row r="417" spans="1:26">
      <c r="A417" s="593"/>
      <c r="B417" s="593"/>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row>
    <row r="418" spans="1:26" s="203" customFormat="1" ht="13.5" thickBot="1">
      <c r="A418" s="593"/>
      <c r="B418" s="593"/>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row>
    <row r="419" spans="1:26" s="202" customFormat="1">
      <c r="A419" s="593"/>
      <c r="B419" s="593"/>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row>
    <row r="420" spans="1:26">
      <c r="A420" s="593"/>
      <c r="B420" s="593"/>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row>
    <row r="421" spans="1:26" s="203" customFormat="1" ht="13.5" thickBot="1">
      <c r="A421" s="593"/>
      <c r="B421" s="593"/>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row>
    <row r="422" spans="1:26" s="202" customFormat="1">
      <c r="A422" s="593"/>
      <c r="B422" s="593"/>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row>
    <row r="423" spans="1:26">
      <c r="A423" s="593"/>
      <c r="B423" s="593"/>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row>
    <row r="424" spans="1:26" s="203" customFormat="1" ht="13.5" thickBot="1">
      <c r="A424" s="593"/>
      <c r="B424" s="593"/>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row>
    <row r="425" spans="1:26" s="202" customFormat="1">
      <c r="A425" s="593"/>
      <c r="B425" s="593"/>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row>
    <row r="426" spans="1:26">
      <c r="A426" s="593"/>
      <c r="B426" s="593"/>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row>
    <row r="427" spans="1:26" s="203" customFormat="1" ht="13.5" thickBot="1">
      <c r="A427" s="593"/>
      <c r="B427" s="593"/>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row>
    <row r="428" spans="1:26" s="202" customFormat="1">
      <c r="A428" s="593"/>
      <c r="B428" s="593"/>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row>
    <row r="429" spans="1:26" ht="13.5" thickBot="1">
      <c r="A429" s="593"/>
      <c r="B429" s="593"/>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row>
    <row r="430" spans="1:26" s="203" customFormat="1">
      <c r="A430" s="593"/>
      <c r="B430" s="593"/>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row>
    <row r="431" spans="1:26" s="202" customFormat="1">
      <c r="A431" s="593"/>
      <c r="B431" s="593"/>
      <c r="C431" s="593"/>
      <c r="D431" s="593"/>
      <c r="E431" s="593"/>
      <c r="F431" s="593"/>
      <c r="G431" s="593"/>
      <c r="H431" s="593"/>
      <c r="I431" s="593"/>
      <c r="J431" s="593"/>
      <c r="K431" s="593"/>
      <c r="L431" s="593"/>
      <c r="M431" s="593"/>
      <c r="N431" s="593"/>
      <c r="O431" s="593"/>
      <c r="P431" s="593"/>
      <c r="Q431" s="593"/>
      <c r="R431" s="593"/>
      <c r="S431" s="593"/>
      <c r="T431" s="593"/>
      <c r="U431" s="593"/>
      <c r="V431" s="593"/>
      <c r="W431" s="593"/>
      <c r="X431" s="593"/>
      <c r="Y431" s="593"/>
      <c r="Z431" s="593"/>
    </row>
    <row r="432" spans="1:26" ht="13.5" thickBot="1">
      <c r="A432" s="593"/>
      <c r="B432" s="593"/>
      <c r="C432" s="593"/>
      <c r="D432" s="593"/>
      <c r="E432" s="593"/>
      <c r="F432" s="593"/>
      <c r="G432" s="593"/>
      <c r="H432" s="593"/>
      <c r="I432" s="593"/>
      <c r="J432" s="593"/>
      <c r="K432" s="593"/>
      <c r="L432" s="593"/>
      <c r="M432" s="593"/>
      <c r="N432" s="593"/>
      <c r="O432" s="593"/>
      <c r="P432" s="593"/>
      <c r="Q432" s="593"/>
      <c r="R432" s="593"/>
      <c r="S432" s="593"/>
      <c r="T432" s="593"/>
      <c r="U432" s="593"/>
      <c r="V432" s="593"/>
      <c r="W432" s="593"/>
      <c r="X432" s="593"/>
      <c r="Y432" s="593"/>
      <c r="Z432" s="593"/>
    </row>
    <row r="433" spans="1:26" s="203" customFormat="1">
      <c r="A433" s="593"/>
      <c r="B433" s="593"/>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row>
    <row r="434" spans="1:26" s="212" customFormat="1" ht="13.5" thickBot="1">
      <c r="A434" s="593"/>
      <c r="B434" s="593"/>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row>
    <row r="435" spans="1:26">
      <c r="A435" s="593"/>
      <c r="B435" s="593"/>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row>
    <row r="436" spans="1:26" s="203" customFormat="1">
      <c r="A436" s="593"/>
      <c r="B436" s="593"/>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row>
    <row r="437" spans="1:26" s="202" customFormat="1" ht="13.5" thickBot="1">
      <c r="A437" s="593"/>
      <c r="B437" s="593"/>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row>
    <row r="438" spans="1:26">
      <c r="A438" s="593"/>
      <c r="B438" s="593"/>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row>
    <row r="439" spans="1:26" s="203" customFormat="1">
      <c r="A439" s="593"/>
      <c r="B439" s="593"/>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row>
    <row r="440" spans="1:26" s="202" customFormat="1" ht="13.5" thickBot="1">
      <c r="A440" s="593"/>
      <c r="B440" s="593"/>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row>
    <row r="441" spans="1:26">
      <c r="A441" s="593"/>
      <c r="B441" s="593"/>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row>
    <row r="442" spans="1:26" s="203" customFormat="1">
      <c r="A442" s="593"/>
      <c r="B442" s="593"/>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row>
    <row r="443" spans="1:26" s="202" customFormat="1" ht="13.5" thickBot="1">
      <c r="A443" s="593"/>
      <c r="B443" s="593"/>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row>
    <row r="444" spans="1:26">
      <c r="A444" s="593"/>
      <c r="B444" s="593"/>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row>
    <row r="445" spans="1:26" s="203" customFormat="1">
      <c r="A445" s="593"/>
      <c r="B445" s="593"/>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row>
    <row r="446" spans="1:26" s="202" customFormat="1" ht="13.5" thickBot="1">
      <c r="A446" s="593"/>
      <c r="B446" s="593"/>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row>
    <row r="447" spans="1:26">
      <c r="A447" s="593"/>
      <c r="B447" s="593"/>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row>
    <row r="448" spans="1:26" s="203" customFormat="1" ht="13.5" thickBot="1">
      <c r="A448" s="593"/>
      <c r="B448" s="593"/>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row>
    <row r="449" spans="1:26" s="202" customFormat="1">
      <c r="A449" s="593"/>
      <c r="B449" s="593"/>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row>
    <row r="450" spans="1:26" ht="13.5" thickBot="1">
      <c r="A450" s="593"/>
      <c r="B450" s="593"/>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row>
    <row r="451" spans="1:26" s="203" customFormat="1">
      <c r="A451" s="593"/>
      <c r="B451" s="593"/>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row>
    <row r="452" spans="1:26" s="202" customFormat="1" ht="13.5" thickBot="1">
      <c r="A452" s="593"/>
      <c r="B452" s="593"/>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row>
    <row r="453" spans="1:26">
      <c r="A453" s="593"/>
      <c r="B453" s="593"/>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row>
    <row r="454" spans="1:26" s="203" customFormat="1">
      <c r="A454" s="593"/>
      <c r="B454" s="593"/>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row>
    <row r="455" spans="1:26" s="202" customFormat="1" ht="13.5" thickBot="1">
      <c r="A455" s="593"/>
      <c r="B455" s="593"/>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row>
    <row r="456" spans="1:26">
      <c r="A456" s="593"/>
      <c r="B456" s="593"/>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row>
    <row r="457" spans="1:26" s="203" customFormat="1">
      <c r="A457" s="593"/>
      <c r="B457" s="593"/>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row>
    <row r="458" spans="1:26" s="202" customFormat="1" ht="13.5" thickBot="1">
      <c r="A458" s="593"/>
      <c r="B458" s="593"/>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row>
    <row r="459" spans="1:26">
      <c r="A459" s="593"/>
      <c r="B459" s="593"/>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row>
    <row r="460" spans="1:26" s="203" customFormat="1" ht="13.5" thickBot="1">
      <c r="A460" s="593"/>
      <c r="B460" s="593"/>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row>
    <row r="461" spans="1:26" s="202" customFormat="1">
      <c r="A461" s="593"/>
      <c r="B461" s="593"/>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row>
    <row r="462" spans="1:26">
      <c r="A462" s="593"/>
      <c r="B462" s="593"/>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row>
    <row r="463" spans="1:26" s="203" customFormat="1" ht="13.5" thickBot="1">
      <c r="A463" s="593"/>
      <c r="B463" s="593"/>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row>
    <row r="464" spans="1:26" s="202" customFormat="1">
      <c r="A464" s="593"/>
      <c r="B464" s="593"/>
      <c r="C464" s="593"/>
      <c r="D464" s="593"/>
      <c r="E464" s="593"/>
      <c r="F464" s="593"/>
      <c r="G464" s="593"/>
      <c r="H464" s="593"/>
      <c r="I464" s="593"/>
      <c r="J464" s="593"/>
      <c r="K464" s="593"/>
      <c r="L464" s="593"/>
      <c r="M464" s="593"/>
      <c r="N464" s="593"/>
      <c r="O464" s="593"/>
      <c r="P464" s="593"/>
      <c r="Q464" s="593"/>
      <c r="R464" s="593"/>
      <c r="S464" s="593"/>
      <c r="T464" s="593"/>
      <c r="U464" s="593"/>
      <c r="V464" s="593"/>
      <c r="W464" s="593"/>
      <c r="X464" s="593"/>
      <c r="Y464" s="593"/>
      <c r="Z464" s="593"/>
    </row>
    <row r="465" spans="1:26">
      <c r="A465" s="593"/>
      <c r="B465" s="593"/>
      <c r="C465" s="593"/>
      <c r="D465" s="593"/>
      <c r="E465" s="593"/>
      <c r="F465" s="593"/>
      <c r="G465" s="593"/>
      <c r="H465" s="593"/>
      <c r="I465" s="593"/>
      <c r="J465" s="593"/>
      <c r="K465" s="593"/>
      <c r="L465" s="593"/>
      <c r="M465" s="593"/>
      <c r="N465" s="593"/>
      <c r="O465" s="593"/>
      <c r="P465" s="593"/>
      <c r="Q465" s="593"/>
      <c r="R465" s="593"/>
      <c r="S465" s="593"/>
      <c r="T465" s="593"/>
      <c r="U465" s="593"/>
      <c r="V465" s="593"/>
      <c r="W465" s="593"/>
      <c r="X465" s="593"/>
      <c r="Y465" s="593"/>
      <c r="Z465" s="593"/>
    </row>
    <row r="466" spans="1:26" s="203" customFormat="1" ht="13.5" thickBot="1">
      <c r="A466" s="593"/>
      <c r="B466" s="593"/>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row>
    <row r="467" spans="1:26" s="202" customFormat="1">
      <c r="A467" s="593"/>
      <c r="B467" s="593"/>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row>
    <row r="468" spans="1:26">
      <c r="A468" s="593"/>
      <c r="B468" s="593"/>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row>
    <row r="469" spans="1:26" s="203" customFormat="1" ht="13.5" thickBot="1">
      <c r="A469" s="593"/>
      <c r="B469" s="593"/>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row>
    <row r="470" spans="1:26" s="202" customFormat="1">
      <c r="A470" s="593"/>
      <c r="B470" s="593"/>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row>
    <row r="471" spans="1:26">
      <c r="A471" s="593"/>
      <c r="B471" s="593"/>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row>
    <row r="472" spans="1:26" s="203" customFormat="1" ht="13.5" thickBot="1">
      <c r="A472" s="593"/>
      <c r="B472" s="593"/>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row>
    <row r="473" spans="1:26" s="212" customFormat="1">
      <c r="A473" s="593"/>
      <c r="B473" s="593"/>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row>
    <row r="474" spans="1:26">
      <c r="A474" s="593"/>
      <c r="B474" s="593"/>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row>
    <row r="475" spans="1:26" s="203" customFormat="1" ht="13.5" thickBot="1">
      <c r="A475" s="593"/>
      <c r="B475" s="593"/>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row>
    <row r="476" spans="1:26" s="202" customFormat="1">
      <c r="A476" s="593"/>
      <c r="B476" s="593"/>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row>
    <row r="477" spans="1:26">
      <c r="A477" s="593"/>
      <c r="B477" s="593"/>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row>
    <row r="478" spans="1:26" s="203" customFormat="1" ht="13.5" thickBot="1">
      <c r="A478" s="593"/>
      <c r="B478" s="593"/>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row>
    <row r="479" spans="1:26" s="202" customFormat="1">
      <c r="A479" s="593"/>
      <c r="B479" s="593"/>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row>
    <row r="480" spans="1:26">
      <c r="A480" s="593"/>
      <c r="B480" s="593"/>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row>
    <row r="481" spans="1:26" s="203" customFormat="1" ht="13.5" thickBot="1">
      <c r="A481" s="593"/>
      <c r="B481" s="593"/>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row>
    <row r="482" spans="1:26" s="202" customFormat="1">
      <c r="A482" s="593"/>
      <c r="B482" s="593"/>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row>
    <row r="483" spans="1:26">
      <c r="A483" s="593"/>
      <c r="B483" s="593"/>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row>
    <row r="484" spans="1:26" s="203" customFormat="1">
      <c r="A484" s="593"/>
      <c r="B484" s="593"/>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row>
    <row r="485" spans="1:26" s="202" customFormat="1" ht="13.5" thickBot="1">
      <c r="A485" s="593"/>
      <c r="B485" s="593"/>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row>
    <row r="486" spans="1:26">
      <c r="A486" s="593"/>
      <c r="B486" s="593"/>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row>
    <row r="487" spans="1:26" s="203" customFormat="1" ht="13.5" thickBot="1">
      <c r="A487" s="593"/>
      <c r="B487" s="593"/>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row>
    <row r="488" spans="1:26" s="202" customFormat="1">
      <c r="A488" s="593"/>
      <c r="B488" s="593"/>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row>
    <row r="489" spans="1:26">
      <c r="A489" s="593"/>
      <c r="B489" s="593"/>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row>
    <row r="490" spans="1:26" s="203" customFormat="1" ht="13.5" thickBot="1">
      <c r="A490" s="593"/>
      <c r="B490" s="593"/>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row>
    <row r="491" spans="1:26" s="202" customFormat="1">
      <c r="A491" s="593"/>
      <c r="B491" s="593"/>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row>
    <row r="492" spans="1:26">
      <c r="A492" s="593"/>
      <c r="B492" s="593"/>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row>
    <row r="493" spans="1:26" s="203" customFormat="1" ht="13.5" thickBot="1">
      <c r="A493" s="593"/>
      <c r="B493" s="593"/>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row>
    <row r="494" spans="1:26" s="202" customFormat="1">
      <c r="A494" s="593"/>
      <c r="B494" s="593"/>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row>
    <row r="495" spans="1:26">
      <c r="A495" s="593"/>
      <c r="B495" s="593"/>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row>
    <row r="496" spans="1:26" s="203" customFormat="1">
      <c r="A496" s="593"/>
      <c r="B496" s="593"/>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row>
    <row r="497" spans="1:26" s="202" customFormat="1">
      <c r="A497" s="593"/>
      <c r="B497" s="593"/>
      <c r="C497" s="593"/>
      <c r="D497" s="593"/>
      <c r="E497" s="593"/>
      <c r="F497" s="593"/>
      <c r="G497" s="593"/>
      <c r="H497" s="593"/>
      <c r="I497" s="593"/>
      <c r="J497" s="593"/>
      <c r="K497" s="593"/>
      <c r="L497" s="593"/>
      <c r="M497" s="593"/>
      <c r="N497" s="593"/>
      <c r="O497" s="593"/>
      <c r="P497" s="593"/>
      <c r="Q497" s="593"/>
      <c r="R497" s="593"/>
      <c r="S497" s="593"/>
      <c r="T497" s="593"/>
      <c r="U497" s="593"/>
      <c r="V497" s="593"/>
      <c r="W497" s="593"/>
      <c r="X497" s="593"/>
      <c r="Y497" s="593"/>
      <c r="Z497" s="593"/>
    </row>
    <row r="498" spans="1:26" ht="13.5" thickBot="1">
      <c r="A498" s="593"/>
      <c r="B498" s="593"/>
      <c r="C498" s="593"/>
      <c r="D498" s="593"/>
      <c r="E498" s="593"/>
      <c r="F498" s="593"/>
      <c r="G498" s="593"/>
      <c r="H498" s="593"/>
      <c r="I498" s="593"/>
      <c r="J498" s="593"/>
      <c r="K498" s="593"/>
      <c r="L498" s="593"/>
      <c r="M498" s="593"/>
      <c r="N498" s="593"/>
      <c r="O498" s="593"/>
      <c r="P498" s="593"/>
      <c r="Q498" s="593"/>
      <c r="R498" s="593"/>
      <c r="S498" s="593"/>
      <c r="T498" s="593"/>
      <c r="U498" s="593"/>
      <c r="V498" s="593"/>
      <c r="W498" s="593"/>
      <c r="X498" s="593"/>
      <c r="Y498" s="593"/>
      <c r="Z498" s="593"/>
    </row>
    <row r="499" spans="1:26" s="203" customFormat="1">
      <c r="A499" s="593"/>
      <c r="B499" s="593"/>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row>
    <row r="500" spans="1:26" s="202" customFormat="1">
      <c r="A500" s="593"/>
      <c r="B500" s="593"/>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row>
    <row r="501" spans="1:26" ht="13.5" thickBot="1">
      <c r="A501" s="593"/>
      <c r="B501" s="593"/>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row>
    <row r="502" spans="1:26" s="203" customFormat="1">
      <c r="A502" s="593"/>
      <c r="B502" s="593"/>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row>
    <row r="503" spans="1:26" s="202" customFormat="1">
      <c r="A503" s="593"/>
      <c r="B503" s="593"/>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row>
    <row r="504" spans="1:26" ht="13.5" thickBot="1">
      <c r="A504" s="593"/>
      <c r="B504" s="593"/>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row>
    <row r="505" spans="1:26" s="203" customFormat="1">
      <c r="A505" s="593"/>
      <c r="B505" s="593"/>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row>
    <row r="506" spans="1:26" s="202" customFormat="1">
      <c r="A506" s="593"/>
      <c r="B506" s="593"/>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row>
    <row r="507" spans="1:26" ht="13.5" thickBot="1">
      <c r="A507" s="593"/>
      <c r="B507" s="593"/>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row>
    <row r="508" spans="1:26" s="203" customFormat="1">
      <c r="A508" s="593"/>
      <c r="B508" s="593"/>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row>
    <row r="509" spans="1:26" s="202" customFormat="1">
      <c r="A509" s="593"/>
      <c r="B509" s="593"/>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row>
    <row r="510" spans="1:26">
      <c r="A510" s="593"/>
      <c r="B510" s="593"/>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row>
    <row r="511" spans="1:26" s="203" customFormat="1" ht="13.5" thickBot="1">
      <c r="A511" s="593"/>
      <c r="B511" s="593"/>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row>
    <row r="512" spans="1:26" s="212" customFormat="1" ht="13.5" thickBot="1">
      <c r="A512" s="593"/>
      <c r="B512" s="593"/>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row>
    <row r="513" spans="1:26">
      <c r="A513" s="593"/>
      <c r="B513" s="593"/>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row>
    <row r="514" spans="1:26" s="203" customFormat="1">
      <c r="A514" s="593"/>
      <c r="B514" s="593"/>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row>
    <row r="515" spans="1:26" s="202" customFormat="1" ht="13.5" thickBot="1">
      <c r="A515" s="593"/>
      <c r="B515" s="593"/>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row>
    <row r="516" spans="1:26">
      <c r="A516" s="593"/>
      <c r="B516" s="593"/>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row>
    <row r="517" spans="1:26" s="203" customFormat="1">
      <c r="A517" s="593"/>
      <c r="B517" s="593"/>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row>
    <row r="518" spans="1:26" s="202" customFormat="1" ht="13.5" thickBot="1">
      <c r="A518" s="593"/>
      <c r="B518" s="593"/>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row>
    <row r="519" spans="1:26">
      <c r="A519" s="593"/>
      <c r="B519" s="593"/>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row>
    <row r="520" spans="1:26" s="203" customFormat="1">
      <c r="A520" s="593"/>
      <c r="B520" s="593"/>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row>
    <row r="521" spans="1:26" s="202" customFormat="1" ht="13.5" thickBot="1">
      <c r="A521" s="593"/>
      <c r="B521" s="593"/>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row>
    <row r="522" spans="1:26" ht="13.5" thickBot="1">
      <c r="A522" s="593"/>
      <c r="B522" s="593"/>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row>
    <row r="523" spans="1:26" s="203" customFormat="1">
      <c r="A523" s="593"/>
      <c r="B523" s="593"/>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row>
    <row r="524" spans="1:26" s="202" customFormat="1">
      <c r="A524" s="593"/>
      <c r="B524" s="593"/>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row>
    <row r="525" spans="1:26" ht="13.5" thickBot="1">
      <c r="A525" s="593"/>
      <c r="B525" s="593"/>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row>
    <row r="526" spans="1:26" s="203" customFormat="1">
      <c r="A526" s="593"/>
      <c r="B526" s="593"/>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row>
    <row r="527" spans="1:26" s="202" customFormat="1">
      <c r="A527" s="593"/>
      <c r="B527" s="593"/>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row>
    <row r="528" spans="1:26">
      <c r="A528" s="593"/>
      <c r="B528" s="593"/>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row>
    <row r="529" spans="1:26" s="203" customFormat="1" ht="13.5" thickBot="1">
      <c r="A529" s="593"/>
      <c r="B529" s="593"/>
      <c r="C529" s="593"/>
      <c r="D529" s="593"/>
      <c r="E529" s="593"/>
      <c r="F529" s="593"/>
      <c r="G529" s="593"/>
      <c r="H529" s="593"/>
      <c r="I529" s="593"/>
      <c r="J529" s="593"/>
      <c r="K529" s="593"/>
      <c r="L529" s="593"/>
      <c r="M529" s="593"/>
      <c r="N529" s="593"/>
      <c r="O529" s="593"/>
      <c r="P529" s="593"/>
      <c r="Q529" s="593"/>
      <c r="R529" s="593"/>
      <c r="S529" s="593"/>
      <c r="T529" s="593"/>
      <c r="U529" s="593"/>
      <c r="V529" s="593"/>
      <c r="W529" s="593"/>
      <c r="X529" s="593"/>
      <c r="Y529" s="593"/>
      <c r="Z529" s="593"/>
    </row>
    <row r="530" spans="1:26" s="202" customFormat="1" ht="13.5" thickBot="1">
      <c r="A530" s="593"/>
      <c r="B530" s="593"/>
      <c r="C530" s="593"/>
      <c r="D530" s="593"/>
      <c r="E530" s="593"/>
      <c r="F530" s="593"/>
      <c r="G530" s="593"/>
      <c r="H530" s="593"/>
      <c r="I530" s="593"/>
      <c r="J530" s="593"/>
      <c r="K530" s="593"/>
      <c r="L530" s="593"/>
      <c r="M530" s="593"/>
      <c r="N530" s="593"/>
      <c r="O530" s="593"/>
      <c r="P530" s="593"/>
      <c r="Q530" s="593"/>
      <c r="R530" s="593"/>
      <c r="S530" s="593"/>
      <c r="T530" s="593"/>
      <c r="U530" s="593"/>
      <c r="V530" s="593"/>
      <c r="W530" s="593"/>
      <c r="X530" s="593"/>
      <c r="Y530" s="593"/>
      <c r="Z530" s="593"/>
    </row>
    <row r="531" spans="1:26">
      <c r="A531" s="593"/>
      <c r="B531" s="593"/>
      <c r="C531" s="593"/>
      <c r="D531" s="593"/>
      <c r="E531" s="593"/>
      <c r="F531" s="593"/>
      <c r="G531" s="593"/>
      <c r="H531" s="593"/>
      <c r="I531" s="593"/>
      <c r="J531" s="593"/>
      <c r="K531" s="593"/>
      <c r="L531" s="593"/>
      <c r="M531" s="593"/>
      <c r="N531" s="593"/>
      <c r="O531" s="593"/>
      <c r="P531" s="593"/>
      <c r="Q531" s="593"/>
      <c r="R531" s="593"/>
      <c r="S531" s="593"/>
      <c r="T531" s="593"/>
      <c r="U531" s="593"/>
      <c r="V531" s="593"/>
      <c r="W531" s="593"/>
      <c r="X531" s="593"/>
      <c r="Y531" s="593"/>
      <c r="Z531" s="593"/>
    </row>
    <row r="532" spans="1:26" s="203" customFormat="1">
      <c r="A532" s="593"/>
      <c r="B532" s="593"/>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row>
    <row r="533" spans="1:26" s="202" customFormat="1" ht="13.5" thickBot="1">
      <c r="A533" s="593"/>
      <c r="B533" s="593"/>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row>
    <row r="534" spans="1:26">
      <c r="A534" s="593"/>
      <c r="B534" s="593"/>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row>
    <row r="535" spans="1:26" s="203" customFormat="1">
      <c r="A535" s="593"/>
      <c r="B535" s="593"/>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row>
    <row r="536" spans="1:26" s="202" customFormat="1" ht="13.5" thickBot="1">
      <c r="A536" s="593"/>
      <c r="B536" s="593"/>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row>
    <row r="537" spans="1:26">
      <c r="A537" s="593"/>
      <c r="B537" s="593"/>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row>
    <row r="538" spans="1:26" s="203" customFormat="1">
      <c r="A538" s="593"/>
      <c r="B538" s="593"/>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row>
    <row r="539" spans="1:26" s="202" customFormat="1" ht="13.5" thickBot="1">
      <c r="A539" s="593"/>
      <c r="B539" s="593"/>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row>
    <row r="540" spans="1:26">
      <c r="A540" s="593"/>
      <c r="B540" s="593"/>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row>
    <row r="541" spans="1:26" s="203" customFormat="1">
      <c r="A541" s="593"/>
      <c r="B541" s="593"/>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row>
    <row r="542" spans="1:26" s="202" customFormat="1" ht="13.5" thickBot="1">
      <c r="A542" s="593"/>
      <c r="B542" s="593"/>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row>
    <row r="543" spans="1:26">
      <c r="A543" s="593"/>
      <c r="B543" s="593"/>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row>
    <row r="544" spans="1:26" s="203" customFormat="1">
      <c r="A544" s="593"/>
      <c r="B544" s="593"/>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row>
    <row r="545" spans="1:26" s="202" customFormat="1" ht="13.5" thickBot="1">
      <c r="A545" s="593"/>
      <c r="B545" s="593"/>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row>
    <row r="546" spans="1:26">
      <c r="A546" s="593"/>
      <c r="B546" s="593"/>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row>
    <row r="547" spans="1:26" s="203" customFormat="1">
      <c r="A547" s="593"/>
      <c r="B547" s="593"/>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row>
    <row r="548" spans="1:26" s="202" customFormat="1" ht="13.5" thickBot="1">
      <c r="A548" s="593"/>
      <c r="B548" s="593"/>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row>
    <row r="549" spans="1:26">
      <c r="A549" s="593"/>
      <c r="B549" s="593"/>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row>
    <row r="550" spans="1:26" s="203" customFormat="1">
      <c r="A550" s="593"/>
      <c r="B550" s="593"/>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row>
    <row r="551" spans="1:26" s="212" customFormat="1" ht="13.5" thickBot="1">
      <c r="A551" s="593"/>
      <c r="B551" s="593"/>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row>
    <row r="552" spans="1:26">
      <c r="A552" s="593"/>
      <c r="B552" s="593"/>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row>
    <row r="553" spans="1:26" s="203" customFormat="1">
      <c r="A553" s="593"/>
      <c r="B553" s="593"/>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row>
    <row r="554" spans="1:26" s="202" customFormat="1" ht="13.5" thickBot="1">
      <c r="A554" s="593"/>
      <c r="B554" s="593"/>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row>
    <row r="555" spans="1:26">
      <c r="A555" s="593"/>
      <c r="B555" s="593"/>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row>
    <row r="556" spans="1:26" s="203" customFormat="1">
      <c r="A556" s="593"/>
      <c r="B556" s="593"/>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row>
    <row r="557" spans="1:26" s="202" customFormat="1" ht="13.5" thickBot="1">
      <c r="A557" s="593"/>
      <c r="B557" s="593"/>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row>
    <row r="558" spans="1:26">
      <c r="A558" s="593"/>
      <c r="B558" s="593"/>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row>
    <row r="559" spans="1:26" s="203" customFormat="1">
      <c r="A559" s="593"/>
      <c r="B559" s="593"/>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row>
    <row r="560" spans="1:26" s="202" customFormat="1" ht="13.5" thickBot="1">
      <c r="A560" s="593"/>
      <c r="B560" s="593"/>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row>
    <row r="561" spans="1:26">
      <c r="A561" s="593"/>
      <c r="B561" s="593"/>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row>
    <row r="562" spans="1:26" s="203" customFormat="1">
      <c r="A562" s="593"/>
      <c r="B562" s="593"/>
      <c r="C562" s="593"/>
      <c r="D562" s="593"/>
      <c r="E562" s="593"/>
      <c r="F562" s="593"/>
      <c r="G562" s="593"/>
      <c r="H562" s="593"/>
      <c r="I562" s="593"/>
      <c r="J562" s="593"/>
      <c r="K562" s="593"/>
      <c r="L562" s="593"/>
      <c r="M562" s="593"/>
      <c r="N562" s="593"/>
      <c r="O562" s="593"/>
      <c r="P562" s="593"/>
      <c r="Q562" s="593"/>
      <c r="R562" s="593"/>
      <c r="S562" s="593"/>
      <c r="T562" s="593"/>
      <c r="U562" s="593"/>
      <c r="V562" s="593"/>
      <c r="W562" s="593"/>
      <c r="X562" s="593"/>
      <c r="Y562" s="593"/>
      <c r="Z562" s="593"/>
    </row>
    <row r="563" spans="1:26" s="202" customFormat="1" ht="13.5" thickBot="1">
      <c r="A563" s="593"/>
      <c r="B563" s="593"/>
      <c r="C563" s="593"/>
      <c r="D563" s="593"/>
      <c r="E563" s="593"/>
      <c r="F563" s="593"/>
      <c r="G563" s="593"/>
      <c r="H563" s="593"/>
      <c r="I563" s="593"/>
      <c r="J563" s="593"/>
      <c r="K563" s="593"/>
      <c r="L563" s="593"/>
      <c r="M563" s="593"/>
      <c r="N563" s="593"/>
      <c r="O563" s="593"/>
      <c r="P563" s="593"/>
      <c r="Q563" s="593"/>
      <c r="R563" s="593"/>
      <c r="S563" s="593"/>
      <c r="T563" s="593"/>
      <c r="U563" s="593"/>
      <c r="V563" s="593"/>
      <c r="W563" s="593"/>
      <c r="X563" s="593"/>
      <c r="Y563" s="593"/>
      <c r="Z563" s="593"/>
    </row>
    <row r="564" spans="1:26">
      <c r="A564" s="593"/>
      <c r="B564" s="593"/>
      <c r="C564" s="593"/>
      <c r="D564" s="593"/>
      <c r="E564" s="593"/>
      <c r="F564" s="593"/>
      <c r="G564" s="593"/>
      <c r="H564" s="593"/>
      <c r="I564" s="593"/>
      <c r="J564" s="593"/>
      <c r="K564" s="593"/>
      <c r="L564" s="593"/>
      <c r="M564" s="593"/>
      <c r="N564" s="593"/>
      <c r="O564" s="593"/>
      <c r="P564" s="593"/>
      <c r="Q564" s="593"/>
      <c r="R564" s="593"/>
      <c r="S564" s="593"/>
      <c r="T564" s="593"/>
      <c r="U564" s="593"/>
      <c r="V564" s="593"/>
      <c r="W564" s="593"/>
      <c r="X564" s="593"/>
      <c r="Y564" s="593"/>
      <c r="Z564" s="593"/>
    </row>
    <row r="565" spans="1:26" s="203" customFormat="1">
      <c r="A565" s="593"/>
      <c r="B565" s="593"/>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row>
    <row r="566" spans="1:26" s="202" customFormat="1" ht="13.5" thickBot="1">
      <c r="A566" s="593"/>
      <c r="B566" s="593"/>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row>
    <row r="567" spans="1:26">
      <c r="A567" s="593"/>
      <c r="B567" s="593"/>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row>
    <row r="568" spans="1:26" s="203" customFormat="1">
      <c r="A568" s="593"/>
      <c r="B568" s="593"/>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row>
    <row r="569" spans="1:26" s="202" customFormat="1" ht="13.5" thickBot="1">
      <c r="A569" s="593"/>
      <c r="B569" s="593"/>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row>
    <row r="570" spans="1:26">
      <c r="A570" s="593"/>
      <c r="B570" s="593"/>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row>
    <row r="571" spans="1:26" s="203" customFormat="1">
      <c r="A571" s="593"/>
      <c r="B571" s="593"/>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row>
    <row r="572" spans="1:26" s="202" customFormat="1" ht="13.5" thickBot="1">
      <c r="A572" s="593"/>
      <c r="B572" s="593"/>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row>
    <row r="573" spans="1:26" ht="13.5" thickBot="1">
      <c r="A573" s="593"/>
      <c r="B573" s="593"/>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row>
    <row r="574" spans="1:26" s="203" customFormat="1">
      <c r="A574" s="593"/>
      <c r="B574" s="593"/>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row>
    <row r="575" spans="1:26" s="202" customFormat="1">
      <c r="A575" s="593"/>
      <c r="B575" s="593"/>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row>
    <row r="576" spans="1:26" ht="13.5" thickBot="1">
      <c r="A576" s="593"/>
      <c r="B576" s="593"/>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row>
    <row r="577" spans="1:26" s="203" customFormat="1">
      <c r="A577" s="593"/>
      <c r="B577" s="593"/>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row>
    <row r="578" spans="1:26" s="202" customFormat="1">
      <c r="A578" s="593"/>
      <c r="B578" s="593"/>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row>
    <row r="579" spans="1:26" ht="13.5" thickBot="1">
      <c r="A579" s="593"/>
      <c r="B579" s="593"/>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row>
    <row r="580" spans="1:26" s="203" customFormat="1">
      <c r="A580" s="593"/>
      <c r="B580" s="593"/>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row>
    <row r="581" spans="1:26" s="202" customFormat="1" ht="13.5" thickBot="1">
      <c r="A581" s="593"/>
      <c r="B581" s="593"/>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row>
    <row r="582" spans="1:26">
      <c r="A582" s="593"/>
      <c r="B582" s="593"/>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row>
    <row r="583" spans="1:26" s="203" customFormat="1">
      <c r="A583" s="593"/>
      <c r="B583" s="593"/>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row>
    <row r="584" spans="1:26" s="202" customFormat="1" ht="13.5" thickBot="1">
      <c r="A584" s="593"/>
      <c r="B584" s="593"/>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row>
    <row r="585" spans="1:26">
      <c r="A585" s="593"/>
      <c r="B585" s="593"/>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row>
    <row r="586" spans="1:26" s="203" customFormat="1">
      <c r="A586" s="593"/>
      <c r="B586" s="593"/>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row>
    <row r="587" spans="1:26" s="202" customFormat="1" ht="13.5" thickBot="1">
      <c r="A587" s="593"/>
      <c r="B587" s="593"/>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row>
    <row r="588" spans="1:26">
      <c r="A588" s="593"/>
      <c r="B588" s="593"/>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row>
    <row r="589" spans="1:26" s="203" customFormat="1" ht="13.5" thickBot="1">
      <c r="A589" s="593"/>
      <c r="B589" s="593"/>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row>
    <row r="590" spans="1:26" s="212" customFormat="1">
      <c r="A590" s="593"/>
      <c r="B590" s="593"/>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row>
    <row r="591" spans="1:26">
      <c r="A591" s="593"/>
      <c r="B591" s="593"/>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row>
    <row r="592" spans="1:26" s="203" customFormat="1" ht="13.5" thickBot="1">
      <c r="A592" s="593"/>
      <c r="B592" s="593"/>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row>
    <row r="593" spans="1:26" s="202" customFormat="1">
      <c r="A593" s="593"/>
      <c r="B593" s="593"/>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row>
    <row r="594" spans="1:26">
      <c r="A594" s="593"/>
      <c r="B594" s="593"/>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row>
    <row r="595" spans="1:26" s="203" customFormat="1" ht="13.5" thickBot="1">
      <c r="A595" s="593"/>
      <c r="B595" s="593"/>
      <c r="C595" s="593"/>
      <c r="D595" s="593"/>
      <c r="E595" s="593"/>
      <c r="F595" s="593"/>
      <c r="G595" s="593"/>
      <c r="H595" s="593"/>
      <c r="I595" s="593"/>
      <c r="J595" s="593"/>
      <c r="K595" s="593"/>
      <c r="L595" s="593"/>
      <c r="M595" s="593"/>
      <c r="N595" s="593"/>
      <c r="O595" s="593"/>
      <c r="P595" s="593"/>
      <c r="Q595" s="593"/>
      <c r="R595" s="593"/>
      <c r="S595" s="593"/>
      <c r="T595" s="593"/>
      <c r="U595" s="593"/>
      <c r="V595" s="593"/>
      <c r="W595" s="593"/>
      <c r="X595" s="593"/>
      <c r="Y595" s="593"/>
      <c r="Z595" s="593"/>
    </row>
    <row r="596" spans="1:26" s="202" customFormat="1">
      <c r="A596" s="593"/>
      <c r="B596" s="593"/>
      <c r="C596" s="593"/>
      <c r="D596" s="593"/>
      <c r="E596" s="593"/>
      <c r="F596" s="593"/>
      <c r="G596" s="593"/>
      <c r="H596" s="593"/>
      <c r="I596" s="593"/>
      <c r="J596" s="593"/>
      <c r="K596" s="593"/>
      <c r="L596" s="593"/>
      <c r="M596" s="593"/>
      <c r="N596" s="593"/>
      <c r="O596" s="593"/>
      <c r="P596" s="593"/>
      <c r="Q596" s="593"/>
      <c r="R596" s="593"/>
      <c r="S596" s="593"/>
      <c r="T596" s="593"/>
      <c r="U596" s="593"/>
      <c r="V596" s="593"/>
      <c r="W596" s="593"/>
      <c r="X596" s="593"/>
      <c r="Y596" s="593"/>
      <c r="Z596" s="593"/>
    </row>
    <row r="597" spans="1:26">
      <c r="A597" s="593"/>
      <c r="B597" s="593"/>
      <c r="C597" s="593"/>
      <c r="D597" s="593"/>
      <c r="E597" s="593"/>
      <c r="F597" s="593"/>
      <c r="G597" s="593"/>
      <c r="H597" s="593"/>
      <c r="I597" s="593"/>
      <c r="J597" s="593"/>
      <c r="K597" s="593"/>
      <c r="L597" s="593"/>
      <c r="M597" s="593"/>
      <c r="N597" s="593"/>
      <c r="O597" s="593"/>
      <c r="P597" s="593"/>
      <c r="Q597" s="593"/>
      <c r="R597" s="593"/>
      <c r="S597" s="593"/>
      <c r="T597" s="593"/>
      <c r="U597" s="593"/>
      <c r="V597" s="593"/>
      <c r="W597" s="593"/>
      <c r="X597" s="593"/>
      <c r="Y597" s="593"/>
      <c r="Z597" s="593"/>
    </row>
    <row r="598" spans="1:26" s="203" customFormat="1">
      <c r="A598" s="593"/>
      <c r="B598" s="593"/>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row>
    <row r="599" spans="1:26" s="202" customFormat="1" ht="13.5" thickBot="1">
      <c r="A599" s="593"/>
      <c r="B599" s="593"/>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row>
    <row r="600" spans="1:26">
      <c r="A600" s="593"/>
      <c r="B600" s="593"/>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row>
    <row r="601" spans="1:26" s="203" customFormat="1">
      <c r="A601" s="593"/>
      <c r="B601" s="593"/>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row>
    <row r="602" spans="1:26" s="202" customFormat="1" ht="13.5" thickBot="1">
      <c r="A602" s="593"/>
      <c r="B602" s="593"/>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row>
    <row r="603" spans="1:26">
      <c r="A603" s="593"/>
      <c r="B603" s="593"/>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row>
    <row r="604" spans="1:26" s="203" customFormat="1">
      <c r="A604" s="593"/>
      <c r="B604" s="593"/>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row>
    <row r="605" spans="1:26" s="202" customFormat="1" ht="13.5" thickBot="1">
      <c r="A605" s="593"/>
      <c r="B605" s="593"/>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row>
    <row r="606" spans="1:26">
      <c r="A606" s="593"/>
      <c r="B606" s="593"/>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row>
    <row r="607" spans="1:26" s="203" customFormat="1">
      <c r="A607" s="593"/>
      <c r="B607" s="593"/>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row>
    <row r="608" spans="1:26" s="202" customFormat="1" ht="13.5" thickBot="1">
      <c r="A608" s="593"/>
      <c r="B608" s="593"/>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row>
    <row r="609" spans="1:26">
      <c r="A609" s="593"/>
      <c r="B609" s="593"/>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row>
    <row r="610" spans="1:26" s="203" customFormat="1">
      <c r="A610" s="593"/>
      <c r="B610" s="593"/>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row>
    <row r="611" spans="1:26" s="202" customFormat="1" ht="13.5" thickBot="1">
      <c r="A611" s="593"/>
      <c r="B611" s="593"/>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row>
    <row r="612" spans="1:26">
      <c r="A612" s="593"/>
      <c r="B612" s="593"/>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row>
    <row r="613" spans="1:26" s="203" customFormat="1">
      <c r="A613" s="593"/>
      <c r="B613" s="593"/>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row>
    <row r="614" spans="1:26" s="202" customFormat="1">
      <c r="A614" s="593"/>
      <c r="B614" s="593"/>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row>
    <row r="615" spans="1:26">
      <c r="A615" s="593"/>
      <c r="B615" s="593"/>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row>
    <row r="616" spans="1:26" s="203" customFormat="1">
      <c r="A616" s="593"/>
      <c r="B616" s="593"/>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row>
    <row r="617" spans="1:26" s="202" customFormat="1">
      <c r="A617" s="593"/>
      <c r="B617" s="593"/>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row>
    <row r="618" spans="1:26">
      <c r="A618" s="593"/>
      <c r="B618" s="593"/>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row>
    <row r="619" spans="1:26" s="203" customFormat="1">
      <c r="A619" s="593"/>
      <c r="B619" s="593"/>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row>
    <row r="620" spans="1:26" s="202" customFormat="1" ht="13.5" thickBot="1">
      <c r="A620" s="593"/>
      <c r="B620" s="593"/>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row>
    <row r="621" spans="1:26">
      <c r="A621" s="593"/>
      <c r="B621" s="593"/>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row>
    <row r="622" spans="1:26" s="203" customFormat="1">
      <c r="A622" s="593"/>
      <c r="B622" s="593"/>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row>
    <row r="623" spans="1:26" s="202" customFormat="1" ht="13.5" thickBot="1">
      <c r="A623" s="593"/>
      <c r="B623" s="593"/>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row>
    <row r="624" spans="1:26">
      <c r="A624" s="593"/>
      <c r="B624" s="593"/>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row>
    <row r="625" spans="1:26" s="203" customFormat="1">
      <c r="A625" s="593"/>
      <c r="B625" s="593"/>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row>
    <row r="626" spans="1:26" s="202" customFormat="1" ht="13.5" thickBot="1">
      <c r="A626" s="593"/>
      <c r="B626" s="593"/>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row>
    <row r="627" spans="1:26">
      <c r="A627" s="593"/>
      <c r="B627" s="593"/>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row>
    <row r="628" spans="1:26" s="203" customFormat="1">
      <c r="A628" s="593"/>
      <c r="B628" s="593"/>
      <c r="C628" s="593"/>
      <c r="D628" s="593"/>
      <c r="E628" s="593"/>
      <c r="F628" s="593"/>
      <c r="G628" s="593"/>
      <c r="H628" s="593"/>
      <c r="I628" s="593"/>
      <c r="J628" s="593"/>
      <c r="K628" s="593"/>
      <c r="L628" s="593"/>
      <c r="M628" s="593"/>
      <c r="N628" s="593"/>
      <c r="O628" s="593"/>
      <c r="P628" s="593"/>
      <c r="Q628" s="593"/>
      <c r="R628" s="593"/>
      <c r="S628" s="593"/>
      <c r="T628" s="593"/>
      <c r="U628" s="593"/>
      <c r="V628" s="593"/>
      <c r="W628" s="593"/>
      <c r="X628" s="593"/>
      <c r="Y628" s="593"/>
      <c r="Z628" s="593"/>
    </row>
    <row r="629" spans="1:26" s="212" customFormat="1">
      <c r="A629" s="593"/>
      <c r="B629" s="593"/>
      <c r="C629" s="593"/>
      <c r="D629" s="593"/>
      <c r="E629" s="593"/>
      <c r="F629" s="593"/>
      <c r="G629" s="593"/>
      <c r="H629" s="593"/>
      <c r="I629" s="593"/>
      <c r="J629" s="593"/>
      <c r="K629" s="593"/>
      <c r="L629" s="593"/>
      <c r="M629" s="593"/>
      <c r="N629" s="593"/>
      <c r="O629" s="593"/>
      <c r="P629" s="593"/>
      <c r="Q629" s="593"/>
      <c r="R629" s="593"/>
      <c r="S629" s="593"/>
      <c r="T629" s="593"/>
      <c r="U629" s="593"/>
      <c r="V629" s="593"/>
      <c r="W629" s="593"/>
      <c r="X629" s="593"/>
      <c r="Y629" s="593"/>
      <c r="Z629" s="593"/>
    </row>
    <row r="630" spans="1:26">
      <c r="A630" s="593"/>
      <c r="B630" s="593"/>
      <c r="C630" s="593"/>
      <c r="D630" s="593"/>
      <c r="E630" s="593"/>
      <c r="F630" s="593"/>
      <c r="G630" s="593"/>
      <c r="H630" s="593"/>
      <c r="I630" s="593"/>
      <c r="J630" s="593"/>
      <c r="K630" s="593"/>
      <c r="L630" s="593"/>
      <c r="M630" s="593"/>
      <c r="N630" s="593"/>
      <c r="O630" s="593"/>
      <c r="P630" s="593"/>
      <c r="Q630" s="593"/>
      <c r="R630" s="593"/>
      <c r="S630" s="593"/>
      <c r="T630" s="593"/>
      <c r="U630" s="593"/>
      <c r="V630" s="593"/>
      <c r="W630" s="593"/>
      <c r="X630" s="593"/>
      <c r="Y630" s="593"/>
      <c r="Z630" s="593"/>
    </row>
    <row r="631" spans="1:26">
      <c r="A631" s="593"/>
      <c r="B631" s="593"/>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row>
    <row r="632" spans="1:26">
      <c r="A632" s="593"/>
      <c r="B632" s="593"/>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row>
    <row r="633" spans="1:26">
      <c r="A633" s="593"/>
      <c r="B633" s="593"/>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row>
    <row r="634" spans="1:26">
      <c r="A634" s="593"/>
      <c r="B634" s="593"/>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row>
    <row r="635" spans="1:26">
      <c r="A635" s="593"/>
      <c r="B635" s="593"/>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row>
    <row r="636" spans="1:26">
      <c r="A636" s="593"/>
      <c r="B636" s="593"/>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row>
    <row r="637" spans="1:26">
      <c r="A637" s="593"/>
      <c r="B637" s="593"/>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row>
    <row r="638" spans="1:26">
      <c r="A638" s="593"/>
      <c r="B638" s="593"/>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row>
    <row r="639" spans="1:26">
      <c r="A639" s="593"/>
      <c r="B639" s="593"/>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row>
    <row r="640" spans="1:26">
      <c r="A640" s="593"/>
      <c r="B640" s="593"/>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row>
    <row r="641" spans="1:26">
      <c r="A641" s="593"/>
      <c r="B641" s="593"/>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row>
    <row r="642" spans="1:26">
      <c r="A642" s="593"/>
      <c r="B642" s="593"/>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row>
    <row r="643" spans="1:26">
      <c r="A643" s="593"/>
      <c r="B643" s="593"/>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row>
    <row r="644" spans="1:26">
      <c r="A644" s="593"/>
      <c r="B644" s="593"/>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row>
    <row r="645" spans="1:26">
      <c r="A645" s="593"/>
      <c r="B645" s="593"/>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row>
    <row r="646" spans="1:26">
      <c r="A646" s="593"/>
      <c r="B646" s="593"/>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row>
    <row r="647" spans="1:26">
      <c r="A647" s="593"/>
      <c r="B647" s="593"/>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row>
    <row r="648" spans="1:26">
      <c r="A648" s="593"/>
      <c r="B648" s="593"/>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row>
    <row r="649" spans="1:26">
      <c r="A649" s="593"/>
      <c r="B649" s="593"/>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row>
    <row r="650" spans="1:26">
      <c r="A650" s="593"/>
      <c r="B650" s="593"/>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row>
    <row r="651" spans="1:26">
      <c r="A651" s="593"/>
      <c r="B651" s="593"/>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row>
    <row r="652" spans="1:26">
      <c r="A652" s="593"/>
      <c r="B652" s="593"/>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row>
    <row r="653" spans="1:26">
      <c r="A653" s="593"/>
      <c r="B653" s="593"/>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row>
    <row r="654" spans="1:26">
      <c r="A654" s="593"/>
      <c r="B654" s="593"/>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row>
    <row r="655" spans="1:26">
      <c r="A655" s="593"/>
      <c r="B655" s="593"/>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row>
    <row r="656" spans="1:26">
      <c r="A656" s="593"/>
      <c r="B656" s="593"/>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row>
    <row r="657" spans="1:26">
      <c r="A657" s="593"/>
      <c r="B657" s="593"/>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row>
    <row r="658" spans="1:26">
      <c r="A658" s="593"/>
      <c r="B658" s="593"/>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row>
    <row r="659" spans="1:26">
      <c r="A659" s="593"/>
      <c r="B659" s="593"/>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row>
    <row r="660" spans="1:26">
      <c r="A660" s="593"/>
      <c r="B660" s="593"/>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row>
    <row r="661" spans="1:26">
      <c r="A661" s="593"/>
      <c r="B661" s="593"/>
      <c r="C661" s="593"/>
      <c r="D661" s="593"/>
      <c r="E661" s="593"/>
      <c r="F661" s="593"/>
      <c r="G661" s="593"/>
      <c r="H661" s="593"/>
      <c r="I661" s="593"/>
      <c r="J661" s="593"/>
      <c r="K661" s="593"/>
      <c r="L661" s="593"/>
      <c r="M661" s="593"/>
      <c r="N661" s="593"/>
      <c r="O661" s="593"/>
      <c r="P661" s="593"/>
      <c r="Q661" s="593"/>
      <c r="R661" s="593"/>
      <c r="S661" s="593"/>
      <c r="T661" s="593"/>
      <c r="U661" s="593"/>
      <c r="V661" s="593"/>
      <c r="W661" s="593"/>
      <c r="X661" s="593"/>
      <c r="Y661" s="593"/>
      <c r="Z661" s="593"/>
    </row>
    <row r="662" spans="1:26">
      <c r="A662" s="593"/>
      <c r="B662" s="593"/>
      <c r="C662" s="593"/>
      <c r="D662" s="593"/>
      <c r="E662" s="593"/>
      <c r="F662" s="593"/>
      <c r="G662" s="593"/>
      <c r="H662" s="593"/>
      <c r="I662" s="593"/>
      <c r="J662" s="593"/>
      <c r="K662" s="593"/>
      <c r="L662" s="593"/>
      <c r="M662" s="593"/>
      <c r="N662" s="593"/>
      <c r="O662" s="593"/>
      <c r="P662" s="593"/>
      <c r="Q662" s="593"/>
      <c r="R662" s="593"/>
      <c r="S662" s="593"/>
      <c r="T662" s="593"/>
      <c r="U662" s="593"/>
      <c r="V662" s="593"/>
      <c r="W662" s="593"/>
      <c r="X662" s="593"/>
      <c r="Y662" s="593"/>
      <c r="Z662" s="593"/>
    </row>
    <row r="663" spans="1:26">
      <c r="A663" s="593"/>
      <c r="B663" s="593"/>
      <c r="C663" s="593"/>
      <c r="D663" s="593"/>
      <c r="E663" s="593"/>
      <c r="F663" s="593"/>
      <c r="G663" s="593"/>
      <c r="H663" s="593"/>
      <c r="I663" s="593"/>
      <c r="J663" s="593"/>
      <c r="K663" s="593"/>
      <c r="L663" s="593"/>
      <c r="M663" s="593"/>
      <c r="N663" s="593"/>
      <c r="O663" s="593"/>
      <c r="P663" s="593"/>
      <c r="Q663" s="593"/>
      <c r="R663" s="593"/>
      <c r="S663" s="593"/>
      <c r="T663" s="593"/>
      <c r="U663" s="593"/>
      <c r="V663" s="593"/>
      <c r="W663" s="593"/>
      <c r="X663" s="593"/>
      <c r="Y663" s="593"/>
      <c r="Z663" s="593"/>
    </row>
    <row r="664" spans="1:26">
      <c r="A664" s="593"/>
      <c r="B664" s="593"/>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row>
    <row r="665" spans="1:26">
      <c r="A665" s="593"/>
      <c r="B665" s="593"/>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row>
    <row r="666" spans="1:26">
      <c r="A666" s="593"/>
      <c r="B666" s="593"/>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row>
    <row r="667" spans="1:26">
      <c r="A667" s="593"/>
      <c r="B667" s="593"/>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row>
    <row r="668" spans="1:26">
      <c r="A668" s="593"/>
      <c r="B668" s="593"/>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row>
    <row r="669" spans="1:26">
      <c r="A669" s="591"/>
      <c r="B669" s="591"/>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row>
    <row r="670" spans="1:26">
      <c r="A670" s="591"/>
      <c r="B670" s="591"/>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row>
    <row r="671" spans="1:26">
      <c r="A671" s="591"/>
      <c r="B671" s="591"/>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row>
    <row r="672" spans="1:26">
      <c r="A672" s="591"/>
      <c r="B672" s="591"/>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row>
    <row r="673" spans="1:24">
      <c r="A673" s="591"/>
      <c r="B673" s="591"/>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row>
    <row r="674" spans="1:24">
      <c r="A674" s="591"/>
      <c r="B674" s="591"/>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row>
    <row r="675" spans="1:24">
      <c r="A675" s="591"/>
      <c r="B675" s="591"/>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row>
    <row r="676" spans="1:24">
      <c r="A676" s="591"/>
      <c r="B676" s="591"/>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row>
    <row r="677" spans="1:24">
      <c r="A677" s="591"/>
      <c r="B677" s="591"/>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row>
    <row r="678" spans="1:24">
      <c r="A678" s="591"/>
      <c r="B678" s="591"/>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row>
    <row r="679" spans="1:24">
      <c r="A679" s="591"/>
      <c r="B679" s="591"/>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row>
    <row r="680" spans="1:24">
      <c r="A680" s="591"/>
      <c r="B680" s="591"/>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row>
    <row r="681" spans="1:24">
      <c r="A681" s="591"/>
      <c r="B681" s="591"/>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row>
    <row r="682" spans="1:24">
      <c r="A682" s="591"/>
      <c r="B682" s="591"/>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row>
    <row r="683" spans="1:24">
      <c r="A683" s="591"/>
      <c r="B683" s="591"/>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row>
    <row r="684" spans="1:24">
      <c r="A684" s="591"/>
      <c r="B684" s="591"/>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row>
    <row r="685" spans="1:24">
      <c r="A685" s="591"/>
      <c r="B685" s="591"/>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row>
    <row r="686" spans="1:24">
      <c r="A686" s="591"/>
      <c r="B686" s="591"/>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row>
    <row r="687" spans="1:24">
      <c r="A687" s="591"/>
      <c r="B687" s="591"/>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row>
    <row r="688" spans="1:24">
      <c r="A688" s="591"/>
      <c r="B688" s="591"/>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row>
    <row r="689" spans="1:24">
      <c r="A689" s="591"/>
      <c r="B689" s="591"/>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row>
    <row r="690" spans="1:24">
      <c r="A690" s="591"/>
      <c r="B690" s="591"/>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row>
    <row r="691" spans="1:24">
      <c r="A691" s="591"/>
      <c r="B691" s="591"/>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row>
    <row r="692" spans="1:24">
      <c r="A692" s="591"/>
      <c r="B692" s="591"/>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row>
    <row r="693" spans="1:24">
      <c r="A693" s="591"/>
      <c r="B693" s="591"/>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row>
    <row r="694" spans="1:24">
      <c r="A694" s="591"/>
      <c r="B694" s="591"/>
      <c r="C694" s="591"/>
      <c r="D694" s="591"/>
      <c r="E694" s="591"/>
      <c r="F694" s="591"/>
      <c r="G694" s="591"/>
      <c r="H694" s="591"/>
      <c r="I694" s="591"/>
      <c r="J694" s="591"/>
      <c r="K694" s="591"/>
      <c r="L694" s="591"/>
      <c r="M694" s="591"/>
      <c r="N694" s="591"/>
      <c r="O694" s="591"/>
      <c r="P694" s="591"/>
      <c r="Q694" s="591"/>
      <c r="R694" s="591"/>
      <c r="S694" s="591"/>
      <c r="T694" s="591"/>
      <c r="U694" s="591"/>
      <c r="V694" s="591"/>
      <c r="W694" s="591"/>
      <c r="X694" s="591"/>
    </row>
    <row r="695" spans="1:24">
      <c r="A695" s="591"/>
      <c r="B695" s="591"/>
      <c r="C695" s="591"/>
      <c r="D695" s="591"/>
      <c r="E695" s="591"/>
      <c r="F695" s="591"/>
      <c r="G695" s="591"/>
      <c r="H695" s="591"/>
      <c r="I695" s="591"/>
      <c r="J695" s="591"/>
      <c r="K695" s="591"/>
      <c r="L695" s="591"/>
      <c r="M695" s="591"/>
      <c r="N695" s="591"/>
      <c r="O695" s="591"/>
      <c r="P695" s="591"/>
      <c r="Q695" s="591"/>
      <c r="R695" s="591"/>
      <c r="S695" s="591"/>
      <c r="T695" s="591"/>
      <c r="U695" s="591"/>
      <c r="V695" s="591"/>
      <c r="W695" s="591"/>
      <c r="X695" s="591"/>
    </row>
    <row r="696" spans="1:24">
      <c r="A696" s="591"/>
      <c r="B696" s="591"/>
      <c r="C696" s="591"/>
      <c r="D696" s="591"/>
      <c r="E696" s="591"/>
      <c r="F696" s="591"/>
      <c r="G696" s="591"/>
      <c r="H696" s="591"/>
      <c r="I696" s="591"/>
      <c r="J696" s="591"/>
      <c r="K696" s="591"/>
      <c r="L696" s="591"/>
      <c r="M696" s="591"/>
      <c r="N696" s="591"/>
      <c r="O696" s="591"/>
      <c r="P696" s="591"/>
      <c r="Q696" s="591"/>
      <c r="R696" s="591"/>
      <c r="S696" s="591"/>
      <c r="T696" s="591"/>
      <c r="U696" s="591"/>
      <c r="V696" s="591"/>
      <c r="W696" s="591"/>
      <c r="X696" s="591"/>
    </row>
    <row r="697" spans="1:24">
      <c r="A697" s="591"/>
      <c r="B697" s="591"/>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row>
    <row r="698" spans="1:24">
      <c r="A698" s="591"/>
      <c r="B698" s="591"/>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row>
    <row r="699" spans="1:24">
      <c r="A699" s="591"/>
      <c r="B699" s="591"/>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row>
    <row r="700" spans="1:24">
      <c r="A700" s="591"/>
      <c r="B700" s="591"/>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row>
    <row r="701" spans="1:24">
      <c r="A701" s="591"/>
      <c r="B701" s="591"/>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row>
    <row r="702" spans="1:24">
      <c r="A702" s="591"/>
      <c r="B702" s="591"/>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row>
    <row r="703" spans="1:24">
      <c r="A703" s="591"/>
      <c r="B703" s="591"/>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row>
    <row r="704" spans="1:24">
      <c r="A704" s="591"/>
      <c r="B704" s="591"/>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row>
    <row r="705" spans="1:24">
      <c r="A705" s="591"/>
      <c r="B705" s="591"/>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row>
    <row r="706" spans="1:24">
      <c r="A706" s="591"/>
      <c r="B706" s="591"/>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row>
    <row r="707" spans="1:24">
      <c r="A707" s="591"/>
      <c r="B707" s="591"/>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row>
  </sheetData>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18"/>
  </sheetPr>
  <dimension ref="A1:AJ4283"/>
  <sheetViews>
    <sheetView topLeftCell="A2" zoomScaleNormal="100" workbookViewId="0">
      <pane xSplit="6" ySplit="9" topLeftCell="G2836" activePane="bottomRight" state="frozen"/>
      <selection activeCell="A2" sqref="A2"/>
      <selection pane="topRight" activeCell="G2" sqref="G2"/>
      <selection pane="bottomLeft" activeCell="A11" sqref="A11"/>
      <selection pane="bottomRight" activeCell="V2837" sqref="V2837"/>
    </sheetView>
  </sheetViews>
  <sheetFormatPr defaultRowHeight="12.75"/>
  <cols>
    <col min="1" max="1" width="3.75" style="352" customWidth="1"/>
    <col min="2" max="2" width="5.875" style="353" bestFit="1" customWidth="1"/>
    <col min="3" max="3" width="35.75" style="354" customWidth="1"/>
    <col min="4" max="4" width="13.125" style="354" customWidth="1"/>
    <col min="5" max="5" width="7.375" style="355" customWidth="1"/>
    <col min="6" max="6" width="8" style="356" customWidth="1"/>
    <col min="7" max="7" width="12.5" style="352" customWidth="1"/>
    <col min="8" max="8" width="12.625" style="339" customWidth="1"/>
    <col min="9" max="9" width="12.5" style="352" customWidth="1"/>
    <col min="10" max="10" width="12.5" style="339" customWidth="1"/>
    <col min="11" max="11" width="12.5" style="352" customWidth="1"/>
    <col min="12" max="12" width="12.5" style="339" customWidth="1"/>
    <col min="13" max="15" width="12.5" style="357" customWidth="1"/>
    <col min="16" max="16" width="15.125" style="339" customWidth="1"/>
    <col min="17" max="17" width="12.5" style="339" customWidth="1"/>
    <col min="18" max="18" width="13.375" style="340" customWidth="1"/>
    <col min="19" max="19" width="12.5" style="358" customWidth="1"/>
    <col min="20" max="20" width="12.5" style="340" customWidth="1"/>
    <col min="21" max="21" width="13" style="358" customWidth="1"/>
    <col min="22" max="28" width="10.75" style="339" customWidth="1"/>
    <col min="29" max="29" width="10.75" style="358" customWidth="1"/>
    <col min="30" max="30" width="10.75" style="339" customWidth="1"/>
    <col min="31" max="32" width="10.75" style="358" customWidth="1"/>
    <col min="33" max="34" width="10.75" style="339" customWidth="1"/>
    <col min="35" max="35" width="12.5" style="358" customWidth="1"/>
    <col min="36" max="36" width="12.5" style="339" customWidth="1"/>
    <col min="37" max="16384" width="9" style="352"/>
  </cols>
  <sheetData>
    <row r="1" spans="1:36" s="606" customFormat="1" hidden="1">
      <c r="A1" s="671"/>
      <c r="B1" s="671"/>
      <c r="C1" s="671"/>
      <c r="D1" s="671"/>
      <c r="E1" s="671"/>
      <c r="F1" s="671"/>
      <c r="G1" s="671"/>
      <c r="H1" s="671"/>
      <c r="I1" s="671"/>
      <c r="J1" s="671"/>
      <c r="K1" s="671"/>
      <c r="L1" s="671"/>
      <c r="M1" s="671"/>
      <c r="N1" s="671"/>
      <c r="O1" s="737">
        <f>SUM(M1:N1)</f>
        <v>0</v>
      </c>
      <c r="P1" s="671"/>
      <c r="Q1" s="671"/>
      <c r="R1" s="738">
        <f>SUM(P1:Q1)</f>
        <v>0</v>
      </c>
      <c r="S1" s="737">
        <f t="shared" ref="S1" si="0">SUM(G1,I1,K1,M1)</f>
        <v>0</v>
      </c>
      <c r="T1" s="739">
        <f>SUM(H1,J1,L1,P1)</f>
        <v>0</v>
      </c>
      <c r="U1" s="671"/>
      <c r="V1" s="671"/>
      <c r="W1" s="671"/>
      <c r="X1" s="671"/>
      <c r="Y1" s="740">
        <f>SUM(W1:X1)</f>
        <v>0</v>
      </c>
      <c r="Z1" s="671"/>
      <c r="AA1" s="671"/>
      <c r="AB1" s="741">
        <f>SUM(Z1:AA1)</f>
        <v>0</v>
      </c>
      <c r="AC1" s="671"/>
      <c r="AD1" s="671"/>
      <c r="AE1" s="671"/>
      <c r="AF1" s="671"/>
      <c r="AG1" s="671"/>
      <c r="AH1" s="671"/>
      <c r="AI1" s="742">
        <f t="shared" ref="AI1" si="1">SUM(S1,U1,W1,AC1,AE1)</f>
        <v>0</v>
      </c>
      <c r="AJ1" s="743">
        <f>SUM(T1,V1,Z1,AD1,AG1)</f>
        <v>0</v>
      </c>
    </row>
    <row r="2" spans="1:36" s="345" customFormat="1" ht="15" thickBot="1">
      <c r="A2" s="733" t="s">
        <v>431</v>
      </c>
      <c r="B2" s="733"/>
      <c r="C2" s="733"/>
      <c r="D2" s="733"/>
      <c r="E2" s="733"/>
      <c r="F2" s="733"/>
      <c r="G2" s="341"/>
      <c r="H2" s="228"/>
      <c r="I2" s="341"/>
      <c r="J2" s="228"/>
      <c r="K2" s="341"/>
      <c r="L2" s="228"/>
      <c r="M2" s="342"/>
      <c r="N2" s="342"/>
      <c r="O2" s="342"/>
      <c r="P2" s="228"/>
      <c r="Q2" s="228"/>
      <c r="R2" s="229"/>
      <c r="S2" s="343"/>
      <c r="T2" s="229"/>
      <c r="U2" s="344"/>
      <c r="V2" s="228"/>
      <c r="W2" s="342"/>
      <c r="X2" s="342"/>
      <c r="Y2" s="342"/>
      <c r="Z2" s="228"/>
      <c r="AA2" s="228"/>
      <c r="AB2" s="229"/>
      <c r="AC2" s="344"/>
      <c r="AD2" s="228"/>
      <c r="AE2" s="344"/>
      <c r="AF2" s="344"/>
      <c r="AG2" s="228"/>
      <c r="AH2" s="228"/>
      <c r="AI2" s="343"/>
      <c r="AJ2" s="229"/>
    </row>
    <row r="3" spans="1:36" s="345" customFormat="1" ht="15" thickTop="1">
      <c r="A3" s="734" t="s">
        <v>417</v>
      </c>
      <c r="B3" s="199"/>
      <c r="C3" s="346"/>
      <c r="D3" s="346"/>
      <c r="E3" s="672"/>
      <c r="F3" s="217"/>
      <c r="G3" s="199"/>
      <c r="H3" s="200"/>
      <c r="I3" s="199"/>
      <c r="J3" s="200"/>
      <c r="K3" s="199"/>
      <c r="L3" s="200"/>
      <c r="M3" s="347"/>
      <c r="N3" s="347"/>
      <c r="O3" s="347"/>
      <c r="P3" s="200"/>
      <c r="Q3" s="200"/>
      <c r="R3" s="201"/>
      <c r="S3" s="348"/>
      <c r="T3" s="201"/>
      <c r="U3" s="348"/>
      <c r="V3" s="200"/>
      <c r="W3" s="347"/>
      <c r="X3" s="347"/>
      <c r="Y3" s="347"/>
      <c r="Z3" s="200"/>
      <c r="AA3" s="200"/>
      <c r="AB3" s="201"/>
      <c r="AC3" s="348"/>
      <c r="AD3" s="200"/>
      <c r="AE3" s="348"/>
      <c r="AF3" s="348"/>
      <c r="AG3" s="200"/>
      <c r="AH3" s="200"/>
      <c r="AI3" s="348"/>
      <c r="AJ3" s="201"/>
    </row>
    <row r="4" spans="1:36" s="345" customFormat="1" ht="27.75" customHeight="1">
      <c r="A4" s="673" t="s">
        <v>411</v>
      </c>
      <c r="B4" s="674"/>
      <c r="C4" s="675"/>
      <c r="D4" s="675"/>
      <c r="E4" s="676"/>
      <c r="F4" s="677"/>
      <c r="G4" s="678" t="s">
        <v>336</v>
      </c>
      <c r="H4" s="679"/>
      <c r="I4" s="224"/>
      <c r="J4" s="200"/>
      <c r="K4" s="224"/>
      <c r="L4" s="200"/>
      <c r="M4" s="349"/>
      <c r="N4" s="349"/>
      <c r="O4" s="349"/>
      <c r="P4" s="200"/>
      <c r="Q4" s="200"/>
      <c r="R4" s="225"/>
      <c r="S4" s="507"/>
      <c r="T4" s="506"/>
      <c r="U4" s="226" t="s">
        <v>421</v>
      </c>
      <c r="V4" s="200"/>
      <c r="W4" s="349"/>
      <c r="X4" s="349"/>
      <c r="Y4" s="349"/>
      <c r="Z4" s="200"/>
      <c r="AA4" s="200"/>
      <c r="AB4" s="225"/>
      <c r="AC4" s="431"/>
      <c r="AD4" s="200"/>
      <c r="AE4" s="431"/>
      <c r="AF4" s="431"/>
      <c r="AG4" s="200"/>
      <c r="AH4" s="200"/>
      <c r="AI4" s="605" t="s">
        <v>98</v>
      </c>
      <c r="AJ4" s="607"/>
    </row>
    <row r="5" spans="1:36" s="345" customFormat="1" ht="41.25" customHeight="1">
      <c r="A5" s="1570" t="s">
        <v>412</v>
      </c>
      <c r="B5" s="1571"/>
      <c r="C5" s="1571"/>
      <c r="D5" s="1571"/>
      <c r="E5" s="1571"/>
      <c r="F5" s="680"/>
      <c r="G5" s="1572" t="s">
        <v>87</v>
      </c>
      <c r="H5" s="1573"/>
      <c r="I5" s="1574" t="s">
        <v>89</v>
      </c>
      <c r="J5" s="1574"/>
      <c r="K5" s="1572" t="s">
        <v>88</v>
      </c>
      <c r="L5" s="1573"/>
      <c r="M5" s="227" t="s">
        <v>51</v>
      </c>
      <c r="N5" s="350"/>
      <c r="O5" s="350"/>
      <c r="P5" s="227" t="s">
        <v>51</v>
      </c>
      <c r="Q5" s="350"/>
      <c r="R5" s="350"/>
      <c r="S5" s="1568" t="s">
        <v>399</v>
      </c>
      <c r="T5" s="1569"/>
      <c r="U5" s="1557" t="s">
        <v>419</v>
      </c>
      <c r="V5" s="1558"/>
      <c r="W5" s="1558"/>
      <c r="X5" s="1558"/>
      <c r="Y5" s="1558"/>
      <c r="Z5" s="1558"/>
      <c r="AA5" s="1558"/>
      <c r="AB5" s="1558"/>
      <c r="AC5" s="601" t="s">
        <v>420</v>
      </c>
      <c r="AD5" s="338"/>
      <c r="AE5" s="432"/>
      <c r="AF5" s="432"/>
      <c r="AG5" s="602"/>
      <c r="AH5" s="603"/>
      <c r="AI5" s="735" t="s">
        <v>402</v>
      </c>
      <c r="AJ5" s="608"/>
    </row>
    <row r="6" spans="1:36" s="345" customFormat="1" ht="13.5" customHeight="1">
      <c r="A6" s="681"/>
      <c r="B6" s="682"/>
      <c r="C6" s="683"/>
      <c r="D6" s="683"/>
      <c r="E6" s="684"/>
      <c r="F6" s="680"/>
      <c r="G6" s="1574"/>
      <c r="H6" s="1559"/>
      <c r="I6" s="1574"/>
      <c r="J6" s="1574"/>
      <c r="K6" s="1574"/>
      <c r="L6" s="1559"/>
      <c r="M6" s="1575" t="s">
        <v>220</v>
      </c>
      <c r="N6" s="1555" t="s">
        <v>221</v>
      </c>
      <c r="O6" s="1562" t="s">
        <v>398</v>
      </c>
      <c r="P6" s="1564" t="s">
        <v>220</v>
      </c>
      <c r="Q6" s="1564" t="s">
        <v>221</v>
      </c>
      <c r="R6" s="1566" t="s">
        <v>398</v>
      </c>
      <c r="S6" s="1568"/>
      <c r="T6" s="1569"/>
      <c r="U6" s="619"/>
      <c r="V6" s="685"/>
      <c r="W6" s="686" t="s">
        <v>400</v>
      </c>
      <c r="X6" s="598"/>
      <c r="Y6" s="598"/>
      <c r="Z6" s="598"/>
      <c r="AA6" s="598"/>
      <c r="AB6" s="598"/>
      <c r="AC6" s="599"/>
      <c r="AD6" s="687"/>
      <c r="AE6" s="1559" t="s">
        <v>401</v>
      </c>
      <c r="AF6" s="1560"/>
      <c r="AG6" s="1560"/>
      <c r="AH6" s="1561"/>
      <c r="AI6" s="604"/>
      <c r="AJ6" s="609"/>
    </row>
    <row r="7" spans="1:36" s="345" customFormat="1" ht="39" customHeight="1">
      <c r="A7" s="681"/>
      <c r="B7" s="688" t="s">
        <v>262</v>
      </c>
      <c r="C7" s="683"/>
      <c r="D7" s="683"/>
      <c r="E7" s="689"/>
      <c r="F7" s="690"/>
      <c r="G7" s="1574"/>
      <c r="H7" s="1559"/>
      <c r="I7" s="1574"/>
      <c r="J7" s="1574"/>
      <c r="K7" s="1574"/>
      <c r="L7" s="1559"/>
      <c r="M7" s="1576"/>
      <c r="N7" s="1556"/>
      <c r="O7" s="1563"/>
      <c r="P7" s="1565"/>
      <c r="Q7" s="1565"/>
      <c r="R7" s="1567"/>
      <c r="S7" s="1568"/>
      <c r="T7" s="1569"/>
      <c r="U7" s="596" t="s">
        <v>11</v>
      </c>
      <c r="V7" s="597" t="s">
        <v>11</v>
      </c>
      <c r="W7" s="837" t="s">
        <v>220</v>
      </c>
      <c r="X7" s="837" t="s">
        <v>221</v>
      </c>
      <c r="Y7" s="833" t="s">
        <v>398</v>
      </c>
      <c r="Z7" s="834" t="s">
        <v>220</v>
      </c>
      <c r="AA7" s="834" t="s">
        <v>221</v>
      </c>
      <c r="AB7" s="835" t="s">
        <v>398</v>
      </c>
      <c r="AC7" s="600" t="s">
        <v>11</v>
      </c>
      <c r="AD7" s="691"/>
      <c r="AE7" s="837" t="s">
        <v>220</v>
      </c>
      <c r="AF7" s="837" t="s">
        <v>221</v>
      </c>
      <c r="AG7" s="834" t="s">
        <v>220</v>
      </c>
      <c r="AH7" s="834" t="s">
        <v>221</v>
      </c>
      <c r="AI7" s="604"/>
      <c r="AJ7" s="609"/>
    </row>
    <row r="8" spans="1:36" s="345" customFormat="1" ht="25.5">
      <c r="A8" s="709" t="s">
        <v>11</v>
      </c>
      <c r="B8" s="692"/>
      <c r="C8" s="710" t="s">
        <v>413</v>
      </c>
      <c r="D8" s="710" t="s">
        <v>414</v>
      </c>
      <c r="E8" s="711" t="s">
        <v>415</v>
      </c>
      <c r="F8" s="712" t="s">
        <v>416</v>
      </c>
      <c r="G8" s="713" t="s">
        <v>430</v>
      </c>
      <c r="H8" s="714" t="s">
        <v>447</v>
      </c>
      <c r="I8" s="713" t="s">
        <v>430</v>
      </c>
      <c r="J8" s="714" t="s">
        <v>447</v>
      </c>
      <c r="K8" s="715" t="s">
        <v>430</v>
      </c>
      <c r="L8" s="714" t="s">
        <v>447</v>
      </c>
      <c r="M8" s="713" t="s">
        <v>430</v>
      </c>
      <c r="N8" s="716" t="s">
        <v>430</v>
      </c>
      <c r="O8" s="717" t="s">
        <v>430</v>
      </c>
      <c r="P8" s="836" t="s">
        <v>447</v>
      </c>
      <c r="Q8" s="718" t="s">
        <v>447</v>
      </c>
      <c r="R8" s="719" t="s">
        <v>447</v>
      </c>
      <c r="S8" s="727" t="s">
        <v>430</v>
      </c>
      <c r="T8" s="720" t="s">
        <v>447</v>
      </c>
      <c r="U8" s="721" t="s">
        <v>430</v>
      </c>
      <c r="V8" s="714" t="s">
        <v>447</v>
      </c>
      <c r="W8" s="722" t="s">
        <v>430</v>
      </c>
      <c r="X8" s="713" t="s">
        <v>430</v>
      </c>
      <c r="Y8" s="723" t="s">
        <v>430</v>
      </c>
      <c r="Z8" s="718" t="s">
        <v>447</v>
      </c>
      <c r="AA8" s="718" t="s">
        <v>447</v>
      </c>
      <c r="AB8" s="719" t="s">
        <v>447</v>
      </c>
      <c r="AC8" s="713" t="s">
        <v>430</v>
      </c>
      <c r="AD8" s="714" t="s">
        <v>447</v>
      </c>
      <c r="AE8" s="713" t="s">
        <v>430</v>
      </c>
      <c r="AF8" s="721" t="s">
        <v>430</v>
      </c>
      <c r="AG8" s="718" t="s">
        <v>447</v>
      </c>
      <c r="AH8" s="718" t="s">
        <v>447</v>
      </c>
      <c r="AI8" s="724" t="s">
        <v>430</v>
      </c>
      <c r="AJ8" s="725" t="s">
        <v>447</v>
      </c>
    </row>
    <row r="9" spans="1:36" s="351" customFormat="1" ht="38.25" hidden="1">
      <c r="A9" s="610" t="s">
        <v>122</v>
      </c>
      <c r="B9" s="611" t="s">
        <v>124</v>
      </c>
      <c r="C9" s="610" t="s">
        <v>123</v>
      </c>
      <c r="D9" s="610" t="s">
        <v>403</v>
      </c>
      <c r="E9" s="612" t="s">
        <v>126</v>
      </c>
      <c r="F9" s="693" t="s">
        <v>125</v>
      </c>
      <c r="G9" s="613" t="s">
        <v>127</v>
      </c>
      <c r="H9" s="613" t="s">
        <v>128</v>
      </c>
      <c r="I9" s="613" t="s">
        <v>113</v>
      </c>
      <c r="J9" s="613" t="s">
        <v>114</v>
      </c>
      <c r="K9" s="613" t="s">
        <v>129</v>
      </c>
      <c r="L9" s="613" t="s">
        <v>130</v>
      </c>
      <c r="M9" s="613" t="s">
        <v>105</v>
      </c>
      <c r="N9" s="613" t="s">
        <v>106</v>
      </c>
      <c r="O9" s="726" t="s">
        <v>115</v>
      </c>
      <c r="P9" s="613" t="s">
        <v>107</v>
      </c>
      <c r="Q9" s="613" t="s">
        <v>108</v>
      </c>
      <c r="R9" s="614" t="s">
        <v>13</v>
      </c>
      <c r="S9" s="728" t="s">
        <v>202</v>
      </c>
      <c r="T9" s="615" t="s">
        <v>203</v>
      </c>
      <c r="U9" s="616" t="s">
        <v>135</v>
      </c>
      <c r="V9" s="613" t="s">
        <v>136</v>
      </c>
      <c r="W9" s="613" t="s">
        <v>170</v>
      </c>
      <c r="X9" s="613" t="s">
        <v>171</v>
      </c>
      <c r="Y9" s="614" t="s">
        <v>172</v>
      </c>
      <c r="Z9" s="613" t="s">
        <v>173</v>
      </c>
      <c r="AA9" s="613" t="s">
        <v>174</v>
      </c>
      <c r="AB9" s="614" t="s">
        <v>206</v>
      </c>
      <c r="AC9" s="617" t="s">
        <v>131</v>
      </c>
      <c r="AD9" s="613" t="s">
        <v>132</v>
      </c>
      <c r="AE9" s="613" t="s">
        <v>133</v>
      </c>
      <c r="AF9" s="613" t="s">
        <v>350</v>
      </c>
      <c r="AG9" s="613" t="s">
        <v>134</v>
      </c>
      <c r="AH9" s="613" t="s">
        <v>351</v>
      </c>
      <c r="AI9" s="610" t="s">
        <v>193</v>
      </c>
      <c r="AJ9" s="618" t="s">
        <v>194</v>
      </c>
    </row>
    <row r="10" spans="1:36">
      <c r="A10" s="915" t="s">
        <v>142</v>
      </c>
      <c r="B10" s="916" t="s">
        <v>264</v>
      </c>
      <c r="C10" s="916" t="s">
        <v>586</v>
      </c>
      <c r="D10" s="917"/>
      <c r="E10" s="918">
        <v>100858</v>
      </c>
      <c r="F10" s="919">
        <v>1</v>
      </c>
      <c r="G10" s="827">
        <v>139723512</v>
      </c>
      <c r="H10" s="838">
        <v>139188769</v>
      </c>
      <c r="I10" s="827"/>
      <c r="J10" s="838"/>
      <c r="K10" s="827"/>
      <c r="L10" s="838"/>
      <c r="M10" s="920">
        <v>357523761</v>
      </c>
      <c r="N10" s="920">
        <v>26470480</v>
      </c>
      <c r="O10" s="737">
        <f t="shared" ref="O10:O73" si="2">SUM(M10:N10)</f>
        <v>383994241</v>
      </c>
      <c r="P10" s="838">
        <v>329087976</v>
      </c>
      <c r="Q10" s="839">
        <v>25910152</v>
      </c>
      <c r="R10" s="738">
        <f t="shared" ref="R10" si="3">SUM(P10:Q10)</f>
        <v>354998128</v>
      </c>
      <c r="S10" s="737">
        <f t="shared" ref="S10" si="4">SUM(G10,I10,K10,M10)</f>
        <v>497247273</v>
      </c>
      <c r="T10" s="739">
        <f t="shared" ref="T10" si="5">SUM(H10,J10,L10,P10)</f>
        <v>468276745</v>
      </c>
      <c r="U10" s="827"/>
      <c r="V10" s="838"/>
      <c r="W10" s="827"/>
      <c r="X10" s="827"/>
      <c r="Y10" s="740">
        <f t="shared" ref="Y10:Y73" si="6">SUM(W10:X10)</f>
        <v>0</v>
      </c>
      <c r="Z10" s="838"/>
      <c r="AA10" s="839"/>
      <c r="AB10" s="741">
        <f t="shared" ref="AB10:AB73" si="7">SUM(Z10:AA10)</f>
        <v>0</v>
      </c>
      <c r="AC10" s="827"/>
      <c r="AD10" s="838"/>
      <c r="AE10" s="827"/>
      <c r="AF10" s="827"/>
      <c r="AG10" s="838"/>
      <c r="AH10" s="839"/>
      <c r="AI10" s="742">
        <f t="shared" ref="AI10" si="8">SUM(S10,U10,W10,AC10,AE10)</f>
        <v>497247273</v>
      </c>
      <c r="AJ10" s="743">
        <f t="shared" ref="AJ10" si="9">SUM(T10,V10,Z10,AD10,AG10)</f>
        <v>468276745</v>
      </c>
    </row>
    <row r="11" spans="1:36">
      <c r="A11" s="915" t="s">
        <v>142</v>
      </c>
      <c r="B11" s="916" t="s">
        <v>280</v>
      </c>
      <c r="C11" s="921" t="s">
        <v>30</v>
      </c>
      <c r="D11" s="917"/>
      <c r="E11" s="918">
        <v>100858</v>
      </c>
      <c r="F11" s="919">
        <v>1</v>
      </c>
      <c r="G11" s="846"/>
      <c r="H11" s="847"/>
      <c r="I11" s="846"/>
      <c r="J11" s="847"/>
      <c r="K11" s="846"/>
      <c r="L11" s="847"/>
      <c r="M11" s="846"/>
      <c r="N11" s="846"/>
      <c r="O11" s="737">
        <f t="shared" si="2"/>
        <v>0</v>
      </c>
      <c r="P11" s="847"/>
      <c r="Q11" s="847"/>
      <c r="R11" s="738">
        <f t="shared" ref="R11:R74" si="10">SUM(P11:Q11)</f>
        <v>0</v>
      </c>
      <c r="S11" s="737">
        <f t="shared" ref="S11:S74" si="11">SUM(G11,I11,K11,M11)</f>
        <v>0</v>
      </c>
      <c r="T11" s="739">
        <f t="shared" ref="T11:T74" si="12">SUM(H11,J11,L11,P11)</f>
        <v>0</v>
      </c>
      <c r="U11" s="846"/>
      <c r="V11" s="847"/>
      <c r="W11" s="846"/>
      <c r="X11" s="846"/>
      <c r="Y11" s="740">
        <f t="shared" si="6"/>
        <v>0</v>
      </c>
      <c r="Z11" s="847"/>
      <c r="AA11" s="847"/>
      <c r="AB11" s="741">
        <f t="shared" si="7"/>
        <v>0</v>
      </c>
      <c r="AC11" s="846"/>
      <c r="AD11" s="847"/>
      <c r="AE11" s="846"/>
      <c r="AF11" s="846"/>
      <c r="AG11" s="847"/>
      <c r="AH11" s="847"/>
      <c r="AI11" s="742">
        <f t="shared" ref="AI11:AI74" si="13">SUM(S11,U11,W11,AC11,AE11)</f>
        <v>0</v>
      </c>
      <c r="AJ11" s="743">
        <f t="shared" ref="AJ11:AJ74" si="14">SUM(T11,V11,Z11,AD11,AG11)</f>
        <v>0</v>
      </c>
    </row>
    <row r="12" spans="1:36">
      <c r="A12" s="915" t="s">
        <v>142</v>
      </c>
      <c r="B12" s="916" t="s">
        <v>280</v>
      </c>
      <c r="C12" s="922" t="s">
        <v>587</v>
      </c>
      <c r="D12" s="917"/>
      <c r="E12" s="918">
        <v>100858</v>
      </c>
      <c r="F12" s="919">
        <v>1</v>
      </c>
      <c r="G12" s="846"/>
      <c r="H12" s="847"/>
      <c r="I12" s="846"/>
      <c r="J12" s="847"/>
      <c r="K12" s="846"/>
      <c r="L12" s="847"/>
      <c r="M12" s="846"/>
      <c r="N12" s="846"/>
      <c r="O12" s="737">
        <f t="shared" si="2"/>
        <v>0</v>
      </c>
      <c r="P12" s="847"/>
      <c r="Q12" s="847"/>
      <c r="R12" s="738">
        <f t="shared" si="10"/>
        <v>0</v>
      </c>
      <c r="S12" s="737">
        <f t="shared" si="11"/>
        <v>0</v>
      </c>
      <c r="T12" s="739">
        <f t="shared" si="12"/>
        <v>0</v>
      </c>
      <c r="U12" s="846"/>
      <c r="V12" s="847"/>
      <c r="W12" s="846"/>
      <c r="X12" s="846"/>
      <c r="Y12" s="740">
        <f t="shared" si="6"/>
        <v>0</v>
      </c>
      <c r="Z12" s="847"/>
      <c r="AA12" s="847"/>
      <c r="AB12" s="741">
        <f t="shared" si="7"/>
        <v>0</v>
      </c>
      <c r="AC12" s="846">
        <v>18233022</v>
      </c>
      <c r="AD12" s="847">
        <v>19697682</v>
      </c>
      <c r="AE12" s="890">
        <v>19858692</v>
      </c>
      <c r="AF12" s="846"/>
      <c r="AG12" s="847">
        <v>24000000</v>
      </c>
      <c r="AH12" s="847"/>
      <c r="AI12" s="742">
        <f t="shared" si="13"/>
        <v>38091714</v>
      </c>
      <c r="AJ12" s="743">
        <f t="shared" si="14"/>
        <v>43697682</v>
      </c>
    </row>
    <row r="13" spans="1:36">
      <c r="A13" s="915" t="s">
        <v>142</v>
      </c>
      <c r="B13" s="916" t="s">
        <v>265</v>
      </c>
      <c r="C13" s="922" t="s">
        <v>588</v>
      </c>
      <c r="D13" s="917"/>
      <c r="E13" s="918">
        <v>100858</v>
      </c>
      <c r="F13" s="919">
        <v>1</v>
      </c>
      <c r="G13" s="846"/>
      <c r="H13" s="847"/>
      <c r="I13" s="846"/>
      <c r="J13" s="847"/>
      <c r="K13" s="846"/>
      <c r="L13" s="847"/>
      <c r="M13" s="846"/>
      <c r="N13" s="846"/>
      <c r="O13" s="737">
        <f t="shared" si="2"/>
        <v>0</v>
      </c>
      <c r="P13" s="847"/>
      <c r="Q13" s="847"/>
      <c r="R13" s="738">
        <f t="shared" si="10"/>
        <v>0</v>
      </c>
      <c r="S13" s="737">
        <f t="shared" si="11"/>
        <v>0</v>
      </c>
      <c r="T13" s="739">
        <f t="shared" si="12"/>
        <v>0</v>
      </c>
      <c r="U13" s="846"/>
      <c r="V13" s="847"/>
      <c r="W13" s="846"/>
      <c r="X13" s="846"/>
      <c r="Y13" s="740">
        <f t="shared" si="6"/>
        <v>0</v>
      </c>
      <c r="Z13" s="847"/>
      <c r="AA13" s="847"/>
      <c r="AB13" s="741">
        <f t="shared" si="7"/>
        <v>0</v>
      </c>
      <c r="AC13" s="846"/>
      <c r="AD13" s="847"/>
      <c r="AE13" s="846"/>
      <c r="AF13" s="846"/>
      <c r="AG13" s="847"/>
      <c r="AH13" s="847"/>
      <c r="AI13" s="742">
        <f t="shared" si="13"/>
        <v>0</v>
      </c>
      <c r="AJ13" s="743">
        <f t="shared" si="14"/>
        <v>0</v>
      </c>
    </row>
    <row r="14" spans="1:36">
      <c r="A14" s="915" t="s">
        <v>142</v>
      </c>
      <c r="B14" s="916" t="s">
        <v>266</v>
      </c>
      <c r="C14" s="921" t="s">
        <v>319</v>
      </c>
      <c r="D14" s="917"/>
      <c r="E14" s="918">
        <v>100858</v>
      </c>
      <c r="F14" s="919">
        <v>1</v>
      </c>
      <c r="G14" s="846"/>
      <c r="H14" s="847"/>
      <c r="I14" s="846"/>
      <c r="J14" s="847"/>
      <c r="K14" s="846"/>
      <c r="L14" s="847"/>
      <c r="M14" s="846"/>
      <c r="N14" s="846"/>
      <c r="O14" s="737">
        <f t="shared" si="2"/>
        <v>0</v>
      </c>
      <c r="P14" s="847"/>
      <c r="Q14" s="847"/>
      <c r="R14" s="738">
        <f t="shared" si="10"/>
        <v>0</v>
      </c>
      <c r="S14" s="737">
        <f t="shared" si="11"/>
        <v>0</v>
      </c>
      <c r="T14" s="739">
        <f t="shared" si="12"/>
        <v>0</v>
      </c>
      <c r="U14" s="846"/>
      <c r="V14" s="847"/>
      <c r="W14" s="846"/>
      <c r="X14" s="846"/>
      <c r="Y14" s="740">
        <f t="shared" si="6"/>
        <v>0</v>
      </c>
      <c r="Z14" s="847"/>
      <c r="AA14" s="847"/>
      <c r="AB14" s="741">
        <f t="shared" si="7"/>
        <v>0</v>
      </c>
      <c r="AC14" s="846"/>
      <c r="AD14" s="847"/>
      <c r="AE14" s="846"/>
      <c r="AF14" s="846"/>
      <c r="AG14" s="847"/>
      <c r="AH14" s="847"/>
      <c r="AI14" s="742">
        <f t="shared" si="13"/>
        <v>0</v>
      </c>
      <c r="AJ14" s="743">
        <f t="shared" si="14"/>
        <v>0</v>
      </c>
    </row>
    <row r="15" spans="1:36">
      <c r="A15" s="915" t="s">
        <v>142</v>
      </c>
      <c r="B15" s="916" t="s">
        <v>267</v>
      </c>
      <c r="C15" s="921" t="s">
        <v>258</v>
      </c>
      <c r="D15" s="917"/>
      <c r="E15" s="918">
        <v>100858</v>
      </c>
      <c r="F15" s="919">
        <v>1</v>
      </c>
      <c r="G15" s="846"/>
      <c r="H15" s="847"/>
      <c r="I15" s="846"/>
      <c r="J15" s="847"/>
      <c r="K15" s="846"/>
      <c r="L15" s="847"/>
      <c r="M15" s="846"/>
      <c r="N15" s="846"/>
      <c r="O15" s="737">
        <f t="shared" si="2"/>
        <v>0</v>
      </c>
      <c r="P15" s="847"/>
      <c r="Q15" s="847"/>
      <c r="R15" s="738">
        <f t="shared" si="10"/>
        <v>0</v>
      </c>
      <c r="S15" s="737">
        <f t="shared" si="11"/>
        <v>0</v>
      </c>
      <c r="T15" s="739">
        <f t="shared" si="12"/>
        <v>0</v>
      </c>
      <c r="U15" s="846"/>
      <c r="V15" s="847"/>
      <c r="W15" s="846"/>
      <c r="X15" s="846"/>
      <c r="Y15" s="740">
        <f t="shared" si="6"/>
        <v>0</v>
      </c>
      <c r="Z15" s="847"/>
      <c r="AA15" s="847"/>
      <c r="AB15" s="741">
        <f t="shared" si="7"/>
        <v>0</v>
      </c>
      <c r="AC15" s="846"/>
      <c r="AD15" s="847"/>
      <c r="AE15" s="846"/>
      <c r="AF15" s="846"/>
      <c r="AG15" s="847"/>
      <c r="AH15" s="847"/>
      <c r="AI15" s="742">
        <f t="shared" si="13"/>
        <v>0</v>
      </c>
      <c r="AJ15" s="743">
        <f t="shared" si="14"/>
        <v>0</v>
      </c>
    </row>
    <row r="16" spans="1:36">
      <c r="A16" s="915" t="s">
        <v>142</v>
      </c>
      <c r="B16" s="916" t="s">
        <v>267</v>
      </c>
      <c r="C16" s="922" t="s">
        <v>589</v>
      </c>
      <c r="D16" s="917"/>
      <c r="E16" s="918">
        <v>100858</v>
      </c>
      <c r="F16" s="919">
        <v>1</v>
      </c>
      <c r="G16" s="846"/>
      <c r="H16" s="847"/>
      <c r="I16" s="846">
        <v>223264</v>
      </c>
      <c r="J16" s="847">
        <v>223264</v>
      </c>
      <c r="K16" s="846"/>
      <c r="L16" s="847"/>
      <c r="M16" s="846"/>
      <c r="N16" s="846"/>
      <c r="O16" s="737">
        <f t="shared" si="2"/>
        <v>0</v>
      </c>
      <c r="P16" s="847"/>
      <c r="Q16" s="847"/>
      <c r="R16" s="738">
        <f t="shared" si="10"/>
        <v>0</v>
      </c>
      <c r="S16" s="737">
        <f t="shared" si="11"/>
        <v>223264</v>
      </c>
      <c r="T16" s="739">
        <f t="shared" si="12"/>
        <v>223264</v>
      </c>
      <c r="U16" s="846"/>
      <c r="V16" s="847"/>
      <c r="W16" s="846"/>
      <c r="X16" s="846"/>
      <c r="Y16" s="740">
        <f t="shared" si="6"/>
        <v>0</v>
      </c>
      <c r="Z16" s="847"/>
      <c r="AA16" s="847"/>
      <c r="AB16" s="741">
        <f t="shared" si="7"/>
        <v>0</v>
      </c>
      <c r="AC16" s="846"/>
      <c r="AD16" s="847"/>
      <c r="AE16" s="846"/>
      <c r="AF16" s="846"/>
      <c r="AG16" s="847"/>
      <c r="AH16" s="847"/>
      <c r="AI16" s="742">
        <f t="shared" si="13"/>
        <v>223264</v>
      </c>
      <c r="AJ16" s="743">
        <f t="shared" si="14"/>
        <v>223264</v>
      </c>
    </row>
    <row r="17" spans="1:36">
      <c r="A17" s="915" t="s">
        <v>142</v>
      </c>
      <c r="B17" s="916" t="s">
        <v>268</v>
      </c>
      <c r="C17" s="921" t="s">
        <v>257</v>
      </c>
      <c r="D17" s="917"/>
      <c r="E17" s="918">
        <v>100858</v>
      </c>
      <c r="F17" s="919">
        <v>1</v>
      </c>
      <c r="G17" s="846"/>
      <c r="H17" s="847"/>
      <c r="I17" s="846">
        <v>31621552</v>
      </c>
      <c r="J17" s="847">
        <v>32044401</v>
      </c>
      <c r="K17" s="846"/>
      <c r="L17" s="847"/>
      <c r="M17" s="846"/>
      <c r="N17" s="846"/>
      <c r="O17" s="737">
        <f t="shared" si="2"/>
        <v>0</v>
      </c>
      <c r="P17" s="847"/>
      <c r="Q17" s="847"/>
      <c r="R17" s="738">
        <f t="shared" si="10"/>
        <v>0</v>
      </c>
      <c r="S17" s="737">
        <f t="shared" si="11"/>
        <v>31621552</v>
      </c>
      <c r="T17" s="739">
        <f t="shared" si="12"/>
        <v>32044401</v>
      </c>
      <c r="U17" s="846"/>
      <c r="V17" s="847"/>
      <c r="W17" s="846"/>
      <c r="X17" s="846"/>
      <c r="Y17" s="740">
        <f t="shared" si="6"/>
        <v>0</v>
      </c>
      <c r="Z17" s="847"/>
      <c r="AA17" s="847"/>
      <c r="AB17" s="741">
        <f t="shared" si="7"/>
        <v>0</v>
      </c>
      <c r="AC17" s="846"/>
      <c r="AD17" s="847"/>
      <c r="AE17" s="846"/>
      <c r="AF17" s="846"/>
      <c r="AG17" s="847"/>
      <c r="AH17" s="847"/>
      <c r="AI17" s="742">
        <f t="shared" si="13"/>
        <v>31621552</v>
      </c>
      <c r="AJ17" s="743">
        <f t="shared" si="14"/>
        <v>32044401</v>
      </c>
    </row>
    <row r="18" spans="1:36">
      <c r="A18" s="915" t="s">
        <v>142</v>
      </c>
      <c r="B18" s="916" t="s">
        <v>269</v>
      </c>
      <c r="C18" s="921" t="s">
        <v>256</v>
      </c>
      <c r="D18" s="917"/>
      <c r="E18" s="918">
        <v>100858</v>
      </c>
      <c r="F18" s="919">
        <v>1</v>
      </c>
      <c r="G18" s="846"/>
      <c r="H18" s="847"/>
      <c r="I18" s="846">
        <v>30622954</v>
      </c>
      <c r="J18" s="847">
        <v>30634258</v>
      </c>
      <c r="K18" s="846"/>
      <c r="L18" s="847"/>
      <c r="M18" s="846"/>
      <c r="N18" s="846"/>
      <c r="O18" s="737">
        <f t="shared" si="2"/>
        <v>0</v>
      </c>
      <c r="P18" s="847"/>
      <c r="Q18" s="847"/>
      <c r="R18" s="738">
        <f t="shared" si="10"/>
        <v>0</v>
      </c>
      <c r="S18" s="737">
        <f t="shared" si="11"/>
        <v>30622954</v>
      </c>
      <c r="T18" s="739">
        <f t="shared" si="12"/>
        <v>30634258</v>
      </c>
      <c r="U18" s="846"/>
      <c r="V18" s="847"/>
      <c r="W18" s="846"/>
      <c r="X18" s="846"/>
      <c r="Y18" s="740">
        <f t="shared" si="6"/>
        <v>0</v>
      </c>
      <c r="Z18" s="847"/>
      <c r="AA18" s="847"/>
      <c r="AB18" s="741">
        <f t="shared" si="7"/>
        <v>0</v>
      </c>
      <c r="AC18" s="846"/>
      <c r="AD18" s="847"/>
      <c r="AE18" s="846"/>
      <c r="AF18" s="846"/>
      <c r="AG18" s="847"/>
      <c r="AH18" s="847"/>
      <c r="AI18" s="742">
        <f t="shared" si="13"/>
        <v>30622954</v>
      </c>
      <c r="AJ18" s="743">
        <f t="shared" si="14"/>
        <v>30634258</v>
      </c>
    </row>
    <row r="19" spans="1:36">
      <c r="A19" s="915" t="s">
        <v>142</v>
      </c>
      <c r="B19" s="916" t="s">
        <v>271</v>
      </c>
      <c r="C19" s="921" t="s">
        <v>309</v>
      </c>
      <c r="D19" s="917"/>
      <c r="E19" s="918">
        <v>100858</v>
      </c>
      <c r="F19" s="919">
        <v>1</v>
      </c>
      <c r="G19" s="846"/>
      <c r="H19" s="847"/>
      <c r="I19" s="846"/>
      <c r="J19" s="847"/>
      <c r="K19" s="846"/>
      <c r="L19" s="847"/>
      <c r="M19" s="846"/>
      <c r="N19" s="846"/>
      <c r="O19" s="737">
        <f t="shared" si="2"/>
        <v>0</v>
      </c>
      <c r="P19" s="847"/>
      <c r="Q19" s="847"/>
      <c r="R19" s="738">
        <f t="shared" si="10"/>
        <v>0</v>
      </c>
      <c r="S19" s="737">
        <f t="shared" si="11"/>
        <v>0</v>
      </c>
      <c r="T19" s="739">
        <f t="shared" si="12"/>
        <v>0</v>
      </c>
      <c r="U19" s="846"/>
      <c r="V19" s="847"/>
      <c r="W19" s="846"/>
      <c r="X19" s="846"/>
      <c r="Y19" s="740">
        <f t="shared" si="6"/>
        <v>0</v>
      </c>
      <c r="Z19" s="847"/>
      <c r="AA19" s="847"/>
      <c r="AB19" s="741">
        <f t="shared" si="7"/>
        <v>0</v>
      </c>
      <c r="AC19" s="846"/>
      <c r="AD19" s="847"/>
      <c r="AE19" s="846"/>
      <c r="AF19" s="846"/>
      <c r="AG19" s="847"/>
      <c r="AH19" s="847"/>
      <c r="AI19" s="742">
        <f t="shared" si="13"/>
        <v>0</v>
      </c>
      <c r="AJ19" s="743">
        <f t="shared" si="14"/>
        <v>0</v>
      </c>
    </row>
    <row r="20" spans="1:36">
      <c r="A20" s="915" t="s">
        <v>142</v>
      </c>
      <c r="B20" s="916" t="s">
        <v>271</v>
      </c>
      <c r="C20" s="922" t="s">
        <v>590</v>
      </c>
      <c r="D20" s="917"/>
      <c r="E20" s="918">
        <v>100858</v>
      </c>
      <c r="F20" s="919">
        <v>1</v>
      </c>
      <c r="G20" s="846"/>
      <c r="H20" s="847"/>
      <c r="I20" s="846"/>
      <c r="J20" s="847">
        <v>1000000</v>
      </c>
      <c r="K20" s="846"/>
      <c r="L20" s="847"/>
      <c r="M20" s="846"/>
      <c r="N20" s="846"/>
      <c r="O20" s="737">
        <f t="shared" si="2"/>
        <v>0</v>
      </c>
      <c r="P20" s="847"/>
      <c r="Q20" s="847"/>
      <c r="R20" s="738">
        <f t="shared" si="10"/>
        <v>0</v>
      </c>
      <c r="S20" s="737">
        <f t="shared" si="11"/>
        <v>0</v>
      </c>
      <c r="T20" s="739">
        <f t="shared" si="12"/>
        <v>1000000</v>
      </c>
      <c r="U20" s="846"/>
      <c r="V20" s="847"/>
      <c r="W20" s="846"/>
      <c r="X20" s="846"/>
      <c r="Y20" s="740">
        <f t="shared" si="6"/>
        <v>0</v>
      </c>
      <c r="Z20" s="847"/>
      <c r="AA20" s="847"/>
      <c r="AB20" s="741">
        <f t="shared" si="7"/>
        <v>0</v>
      </c>
      <c r="AC20" s="846"/>
      <c r="AD20" s="847"/>
      <c r="AE20" s="846"/>
      <c r="AF20" s="846"/>
      <c r="AG20" s="847"/>
      <c r="AH20" s="847"/>
      <c r="AI20" s="742">
        <f t="shared" si="13"/>
        <v>0</v>
      </c>
      <c r="AJ20" s="743">
        <f t="shared" si="14"/>
        <v>1000000</v>
      </c>
    </row>
    <row r="21" spans="1:36">
      <c r="A21" s="915" t="s">
        <v>142</v>
      </c>
      <c r="B21" s="916" t="s">
        <v>264</v>
      </c>
      <c r="C21" s="923" t="s">
        <v>591</v>
      </c>
      <c r="D21" s="924"/>
      <c r="E21" s="918">
        <v>100751</v>
      </c>
      <c r="F21" s="919">
        <v>1</v>
      </c>
      <c r="G21" s="846">
        <v>132149947</v>
      </c>
      <c r="H21" s="847">
        <v>132891068</v>
      </c>
      <c r="I21" s="846"/>
      <c r="J21" s="847"/>
      <c r="K21" s="846"/>
      <c r="L21" s="847"/>
      <c r="M21" s="890">
        <v>567384459</v>
      </c>
      <c r="N21" s="846">
        <v>3029139</v>
      </c>
      <c r="O21" s="737">
        <f t="shared" si="2"/>
        <v>570413598</v>
      </c>
      <c r="P21" s="847">
        <v>542956564</v>
      </c>
      <c r="Q21" s="847">
        <v>3029139</v>
      </c>
      <c r="R21" s="738">
        <f t="shared" si="10"/>
        <v>545985703</v>
      </c>
      <c r="S21" s="737">
        <f t="shared" si="11"/>
        <v>699534406</v>
      </c>
      <c r="T21" s="739">
        <f t="shared" si="12"/>
        <v>675847632</v>
      </c>
      <c r="U21" s="846"/>
      <c r="V21" s="847"/>
      <c r="W21" s="846"/>
      <c r="X21" s="846"/>
      <c r="Y21" s="740">
        <f t="shared" si="6"/>
        <v>0</v>
      </c>
      <c r="Z21" s="847"/>
      <c r="AA21" s="847"/>
      <c r="AB21" s="741">
        <f t="shared" si="7"/>
        <v>0</v>
      </c>
      <c r="AC21" s="846"/>
      <c r="AD21" s="847"/>
      <c r="AE21" s="846"/>
      <c r="AF21" s="846"/>
      <c r="AG21" s="847"/>
      <c r="AH21" s="847"/>
      <c r="AI21" s="742">
        <f t="shared" si="13"/>
        <v>699534406</v>
      </c>
      <c r="AJ21" s="743">
        <f t="shared" si="14"/>
        <v>675847632</v>
      </c>
    </row>
    <row r="22" spans="1:36">
      <c r="A22" s="915" t="s">
        <v>142</v>
      </c>
      <c r="B22" s="916" t="s">
        <v>280</v>
      </c>
      <c r="C22" s="921" t="s">
        <v>592</v>
      </c>
      <c r="D22" s="917"/>
      <c r="E22" s="918">
        <v>100751</v>
      </c>
      <c r="F22" s="919">
        <v>1</v>
      </c>
      <c r="G22" s="846"/>
      <c r="H22" s="847"/>
      <c r="I22" s="846"/>
      <c r="J22" s="847"/>
      <c r="K22" s="846"/>
      <c r="L22" s="847"/>
      <c r="M22" s="846"/>
      <c r="N22" s="846"/>
      <c r="O22" s="737">
        <f t="shared" si="2"/>
        <v>0</v>
      </c>
      <c r="P22" s="847"/>
      <c r="Q22" s="847"/>
      <c r="R22" s="738">
        <f t="shared" si="10"/>
        <v>0</v>
      </c>
      <c r="S22" s="737">
        <f t="shared" si="11"/>
        <v>0</v>
      </c>
      <c r="T22" s="739">
        <f t="shared" si="12"/>
        <v>0</v>
      </c>
      <c r="U22" s="846"/>
      <c r="V22" s="847"/>
      <c r="W22" s="846"/>
      <c r="X22" s="846"/>
      <c r="Y22" s="740">
        <f t="shared" si="6"/>
        <v>0</v>
      </c>
      <c r="Z22" s="847"/>
      <c r="AA22" s="847"/>
      <c r="AB22" s="741">
        <f t="shared" si="7"/>
        <v>0</v>
      </c>
      <c r="AC22" s="846">
        <v>9453297</v>
      </c>
      <c r="AD22" s="847">
        <v>9900246</v>
      </c>
      <c r="AE22" s="846">
        <v>1606920</v>
      </c>
      <c r="AF22" s="846"/>
      <c r="AG22" s="847">
        <v>1683130</v>
      </c>
      <c r="AH22" s="847"/>
      <c r="AI22" s="742">
        <f t="shared" si="13"/>
        <v>11060217</v>
      </c>
      <c r="AJ22" s="743">
        <f t="shared" si="14"/>
        <v>11583376</v>
      </c>
    </row>
    <row r="23" spans="1:36">
      <c r="A23" s="915" t="s">
        <v>142</v>
      </c>
      <c r="B23" s="916" t="s">
        <v>266</v>
      </c>
      <c r="C23" s="921" t="s">
        <v>319</v>
      </c>
      <c r="D23" s="917"/>
      <c r="E23" s="918">
        <v>100751</v>
      </c>
      <c r="F23" s="919">
        <v>1</v>
      </c>
      <c r="G23" s="846"/>
      <c r="H23" s="847"/>
      <c r="I23" s="846"/>
      <c r="J23" s="847"/>
      <c r="K23" s="846"/>
      <c r="L23" s="847"/>
      <c r="M23" s="846"/>
      <c r="N23" s="846"/>
      <c r="O23" s="737">
        <f t="shared" si="2"/>
        <v>0</v>
      </c>
      <c r="P23" s="847"/>
      <c r="Q23" s="847"/>
      <c r="R23" s="738">
        <f t="shared" si="10"/>
        <v>0</v>
      </c>
      <c r="S23" s="737">
        <f t="shared" si="11"/>
        <v>0</v>
      </c>
      <c r="T23" s="739">
        <f t="shared" si="12"/>
        <v>0</v>
      </c>
      <c r="U23" s="846"/>
      <c r="V23" s="847"/>
      <c r="W23" s="846"/>
      <c r="X23" s="846"/>
      <c r="Y23" s="740">
        <f t="shared" si="6"/>
        <v>0</v>
      </c>
      <c r="Z23" s="847"/>
      <c r="AA23" s="847"/>
      <c r="AB23" s="741">
        <f t="shared" si="7"/>
        <v>0</v>
      </c>
      <c r="AC23" s="846"/>
      <c r="AD23" s="847"/>
      <c r="AE23" s="846"/>
      <c r="AF23" s="846"/>
      <c r="AG23" s="847"/>
      <c r="AH23" s="847"/>
      <c r="AI23" s="742">
        <f t="shared" si="13"/>
        <v>0</v>
      </c>
      <c r="AJ23" s="743">
        <f t="shared" si="14"/>
        <v>0</v>
      </c>
    </row>
    <row r="24" spans="1:36">
      <c r="A24" s="915" t="s">
        <v>142</v>
      </c>
      <c r="B24" s="916" t="s">
        <v>266</v>
      </c>
      <c r="C24" s="922" t="s">
        <v>593</v>
      </c>
      <c r="D24" s="917"/>
      <c r="E24" s="918">
        <v>100751</v>
      </c>
      <c r="F24" s="919">
        <v>1</v>
      </c>
      <c r="G24" s="846"/>
      <c r="H24" s="847"/>
      <c r="I24" s="846">
        <v>95000</v>
      </c>
      <c r="J24" s="847">
        <v>95000</v>
      </c>
      <c r="K24" s="846"/>
      <c r="L24" s="847"/>
      <c r="M24" s="846"/>
      <c r="N24" s="846"/>
      <c r="O24" s="737">
        <f t="shared" si="2"/>
        <v>0</v>
      </c>
      <c r="P24" s="847"/>
      <c r="Q24" s="847"/>
      <c r="R24" s="738">
        <f t="shared" si="10"/>
        <v>0</v>
      </c>
      <c r="S24" s="737">
        <f t="shared" si="11"/>
        <v>95000</v>
      </c>
      <c r="T24" s="739">
        <f t="shared" si="12"/>
        <v>95000</v>
      </c>
      <c r="U24" s="846"/>
      <c r="V24" s="847"/>
      <c r="W24" s="846"/>
      <c r="X24" s="846"/>
      <c r="Y24" s="740">
        <f t="shared" si="6"/>
        <v>0</v>
      </c>
      <c r="Z24" s="847"/>
      <c r="AA24" s="847"/>
      <c r="AB24" s="741">
        <f t="shared" si="7"/>
        <v>0</v>
      </c>
      <c r="AC24" s="846"/>
      <c r="AD24" s="847"/>
      <c r="AE24" s="846"/>
      <c r="AF24" s="846"/>
      <c r="AG24" s="847"/>
      <c r="AH24" s="847"/>
      <c r="AI24" s="742">
        <f t="shared" si="13"/>
        <v>95000</v>
      </c>
      <c r="AJ24" s="743">
        <f t="shared" si="14"/>
        <v>95000</v>
      </c>
    </row>
    <row r="25" spans="1:36">
      <c r="A25" s="915" t="s">
        <v>142</v>
      </c>
      <c r="B25" s="916" t="s">
        <v>266</v>
      </c>
      <c r="C25" s="922" t="s">
        <v>594</v>
      </c>
      <c r="D25" s="917"/>
      <c r="E25" s="918">
        <v>100751</v>
      </c>
      <c r="F25" s="919">
        <v>1</v>
      </c>
      <c r="G25" s="846"/>
      <c r="H25" s="847"/>
      <c r="I25" s="846">
        <v>596600</v>
      </c>
      <c r="J25" s="847">
        <v>786600</v>
      </c>
      <c r="K25" s="846"/>
      <c r="L25" s="847"/>
      <c r="M25" s="846"/>
      <c r="N25" s="846"/>
      <c r="O25" s="737">
        <f t="shared" si="2"/>
        <v>0</v>
      </c>
      <c r="P25" s="847"/>
      <c r="Q25" s="847"/>
      <c r="R25" s="738">
        <f t="shared" si="10"/>
        <v>0</v>
      </c>
      <c r="S25" s="737">
        <f t="shared" si="11"/>
        <v>596600</v>
      </c>
      <c r="T25" s="739">
        <f t="shared" si="12"/>
        <v>786600</v>
      </c>
      <c r="U25" s="846"/>
      <c r="V25" s="847"/>
      <c r="W25" s="846"/>
      <c r="X25" s="846"/>
      <c r="Y25" s="740">
        <f t="shared" si="6"/>
        <v>0</v>
      </c>
      <c r="Z25" s="847"/>
      <c r="AA25" s="847"/>
      <c r="AB25" s="741">
        <f t="shared" si="7"/>
        <v>0</v>
      </c>
      <c r="AC25" s="846"/>
      <c r="AD25" s="847"/>
      <c r="AE25" s="846"/>
      <c r="AF25" s="846"/>
      <c r="AG25" s="847"/>
      <c r="AH25" s="847"/>
      <c r="AI25" s="742">
        <f t="shared" si="13"/>
        <v>596600</v>
      </c>
      <c r="AJ25" s="743">
        <f t="shared" si="14"/>
        <v>786600</v>
      </c>
    </row>
    <row r="26" spans="1:36">
      <c r="A26" s="915" t="s">
        <v>142</v>
      </c>
      <c r="B26" s="916" t="s">
        <v>266</v>
      </c>
      <c r="C26" s="922" t="s">
        <v>595</v>
      </c>
      <c r="D26" s="917"/>
      <c r="E26" s="918">
        <v>100751</v>
      </c>
      <c r="F26" s="919">
        <v>1</v>
      </c>
      <c r="G26" s="846"/>
      <c r="H26" s="847"/>
      <c r="I26" s="846">
        <v>95000</v>
      </c>
      <c r="J26" s="847">
        <v>95000</v>
      </c>
      <c r="K26" s="846"/>
      <c r="L26" s="847"/>
      <c r="M26" s="846"/>
      <c r="N26" s="846"/>
      <c r="O26" s="737">
        <f t="shared" si="2"/>
        <v>0</v>
      </c>
      <c r="P26" s="847"/>
      <c r="Q26" s="847"/>
      <c r="R26" s="738">
        <f t="shared" si="10"/>
        <v>0</v>
      </c>
      <c r="S26" s="737">
        <f t="shared" si="11"/>
        <v>95000</v>
      </c>
      <c r="T26" s="739">
        <f t="shared" si="12"/>
        <v>95000</v>
      </c>
      <c r="U26" s="846"/>
      <c r="V26" s="847"/>
      <c r="W26" s="846"/>
      <c r="X26" s="846"/>
      <c r="Y26" s="740">
        <f t="shared" si="6"/>
        <v>0</v>
      </c>
      <c r="Z26" s="847"/>
      <c r="AA26" s="847"/>
      <c r="AB26" s="741">
        <f t="shared" si="7"/>
        <v>0</v>
      </c>
      <c r="AC26" s="846"/>
      <c r="AD26" s="847"/>
      <c r="AE26" s="846"/>
      <c r="AF26" s="846"/>
      <c r="AG26" s="847"/>
      <c r="AH26" s="847"/>
      <c r="AI26" s="742">
        <f t="shared" si="13"/>
        <v>95000</v>
      </c>
      <c r="AJ26" s="743">
        <f t="shared" si="14"/>
        <v>95000</v>
      </c>
    </row>
    <row r="27" spans="1:36">
      <c r="A27" s="915" t="s">
        <v>142</v>
      </c>
      <c r="B27" s="916" t="s">
        <v>271</v>
      </c>
      <c r="C27" s="922" t="s">
        <v>596</v>
      </c>
      <c r="D27" s="917"/>
      <c r="E27" s="918">
        <v>100751</v>
      </c>
      <c r="F27" s="919">
        <v>1</v>
      </c>
      <c r="G27" s="846"/>
      <c r="H27" s="847"/>
      <c r="I27" s="846">
        <v>500000</v>
      </c>
      <c r="J27" s="847">
        <v>1000000</v>
      </c>
      <c r="K27" s="846"/>
      <c r="L27" s="847"/>
      <c r="M27" s="846"/>
      <c r="N27" s="846"/>
      <c r="O27" s="737">
        <f t="shared" si="2"/>
        <v>0</v>
      </c>
      <c r="P27" s="847"/>
      <c r="Q27" s="847"/>
      <c r="R27" s="738">
        <f t="shared" si="10"/>
        <v>0</v>
      </c>
      <c r="S27" s="737">
        <f t="shared" si="11"/>
        <v>500000</v>
      </c>
      <c r="T27" s="739">
        <f t="shared" si="12"/>
        <v>1000000</v>
      </c>
      <c r="U27" s="846"/>
      <c r="V27" s="847"/>
      <c r="W27" s="846"/>
      <c r="X27" s="846"/>
      <c r="Y27" s="740">
        <f t="shared" si="6"/>
        <v>0</v>
      </c>
      <c r="Z27" s="847"/>
      <c r="AA27" s="847"/>
      <c r="AB27" s="741">
        <f t="shared" si="7"/>
        <v>0</v>
      </c>
      <c r="AC27" s="846"/>
      <c r="AD27" s="847"/>
      <c r="AE27" s="846"/>
      <c r="AF27" s="846"/>
      <c r="AG27" s="847"/>
      <c r="AH27" s="847"/>
      <c r="AI27" s="742">
        <f t="shared" si="13"/>
        <v>500000</v>
      </c>
      <c r="AJ27" s="743">
        <f t="shared" si="14"/>
        <v>1000000</v>
      </c>
    </row>
    <row r="28" spans="1:36">
      <c r="A28" s="915" t="s">
        <v>142</v>
      </c>
      <c r="B28" s="916" t="s">
        <v>266</v>
      </c>
      <c r="C28" s="922" t="s">
        <v>597</v>
      </c>
      <c r="D28" s="917"/>
      <c r="E28" s="918">
        <v>100751</v>
      </c>
      <c r="F28" s="919">
        <v>1</v>
      </c>
      <c r="G28" s="846"/>
      <c r="H28" s="847"/>
      <c r="I28" s="846">
        <v>95000</v>
      </c>
      <c r="J28" s="847">
        <v>95000</v>
      </c>
      <c r="K28" s="846"/>
      <c r="L28" s="847"/>
      <c r="M28" s="846"/>
      <c r="N28" s="846"/>
      <c r="O28" s="737">
        <f t="shared" si="2"/>
        <v>0</v>
      </c>
      <c r="P28" s="847"/>
      <c r="Q28" s="847"/>
      <c r="R28" s="738">
        <f t="shared" si="10"/>
        <v>0</v>
      </c>
      <c r="S28" s="737">
        <f t="shared" si="11"/>
        <v>95000</v>
      </c>
      <c r="T28" s="739">
        <f t="shared" si="12"/>
        <v>95000</v>
      </c>
      <c r="U28" s="846"/>
      <c r="V28" s="847"/>
      <c r="W28" s="846"/>
      <c r="X28" s="846"/>
      <c r="Y28" s="740">
        <f t="shared" si="6"/>
        <v>0</v>
      </c>
      <c r="Z28" s="847"/>
      <c r="AA28" s="847"/>
      <c r="AB28" s="741">
        <f t="shared" si="7"/>
        <v>0</v>
      </c>
      <c r="AC28" s="846"/>
      <c r="AD28" s="847"/>
      <c r="AE28" s="846"/>
      <c r="AF28" s="846"/>
      <c r="AG28" s="847"/>
      <c r="AH28" s="847"/>
      <c r="AI28" s="742">
        <f t="shared" si="13"/>
        <v>95000</v>
      </c>
      <c r="AJ28" s="743">
        <f t="shared" si="14"/>
        <v>95000</v>
      </c>
    </row>
    <row r="29" spans="1:36">
      <c r="A29" s="915" t="s">
        <v>142</v>
      </c>
      <c r="B29" s="916" t="s">
        <v>266</v>
      </c>
      <c r="C29" s="922" t="s">
        <v>598</v>
      </c>
      <c r="D29" s="917"/>
      <c r="E29" s="918">
        <v>100751</v>
      </c>
      <c r="F29" s="919">
        <v>1</v>
      </c>
      <c r="G29" s="846"/>
      <c r="H29" s="847"/>
      <c r="I29" s="846">
        <v>250000</v>
      </c>
      <c r="J29" s="847"/>
      <c r="K29" s="846"/>
      <c r="L29" s="847"/>
      <c r="M29" s="846"/>
      <c r="N29" s="846"/>
      <c r="O29" s="737">
        <f t="shared" si="2"/>
        <v>0</v>
      </c>
      <c r="P29" s="847"/>
      <c r="Q29" s="847"/>
      <c r="R29" s="738">
        <f t="shared" si="10"/>
        <v>0</v>
      </c>
      <c r="S29" s="737">
        <f t="shared" si="11"/>
        <v>250000</v>
      </c>
      <c r="T29" s="739">
        <f t="shared" si="12"/>
        <v>0</v>
      </c>
      <c r="U29" s="846"/>
      <c r="V29" s="847"/>
      <c r="W29" s="846"/>
      <c r="X29" s="846"/>
      <c r="Y29" s="740">
        <f t="shared" si="6"/>
        <v>0</v>
      </c>
      <c r="Z29" s="847"/>
      <c r="AA29" s="847"/>
      <c r="AB29" s="741">
        <f t="shared" si="7"/>
        <v>0</v>
      </c>
      <c r="AC29" s="846"/>
      <c r="AD29" s="847"/>
      <c r="AE29" s="846"/>
      <c r="AF29" s="846"/>
      <c r="AG29" s="847"/>
      <c r="AH29" s="847"/>
      <c r="AI29" s="742">
        <f t="shared" si="13"/>
        <v>250000</v>
      </c>
      <c r="AJ29" s="743">
        <f t="shared" si="14"/>
        <v>0</v>
      </c>
    </row>
    <row r="30" spans="1:36">
      <c r="A30" s="915" t="s">
        <v>142</v>
      </c>
      <c r="B30" s="916" t="s">
        <v>267</v>
      </c>
      <c r="C30" s="921" t="s">
        <v>258</v>
      </c>
      <c r="D30" s="917"/>
      <c r="E30" s="918">
        <v>100751</v>
      </c>
      <c r="F30" s="919">
        <v>1</v>
      </c>
      <c r="G30" s="846"/>
      <c r="H30" s="847"/>
      <c r="I30" s="846"/>
      <c r="J30" s="847"/>
      <c r="K30" s="846"/>
      <c r="L30" s="847"/>
      <c r="M30" s="846"/>
      <c r="N30" s="846"/>
      <c r="O30" s="737">
        <f t="shared" si="2"/>
        <v>0</v>
      </c>
      <c r="P30" s="847"/>
      <c r="Q30" s="847"/>
      <c r="R30" s="738">
        <f t="shared" si="10"/>
        <v>0</v>
      </c>
      <c r="S30" s="737">
        <f t="shared" si="11"/>
        <v>0</v>
      </c>
      <c r="T30" s="739">
        <f t="shared" si="12"/>
        <v>0</v>
      </c>
      <c r="U30" s="846"/>
      <c r="V30" s="847"/>
      <c r="W30" s="846"/>
      <c r="X30" s="846"/>
      <c r="Y30" s="740">
        <f t="shared" si="6"/>
        <v>0</v>
      </c>
      <c r="Z30" s="847"/>
      <c r="AA30" s="847"/>
      <c r="AB30" s="741">
        <f t="shared" si="7"/>
        <v>0</v>
      </c>
      <c r="AC30" s="846"/>
      <c r="AD30" s="847"/>
      <c r="AE30" s="846"/>
      <c r="AF30" s="846"/>
      <c r="AG30" s="847"/>
      <c r="AH30" s="847"/>
      <c r="AI30" s="742">
        <f t="shared" si="13"/>
        <v>0</v>
      </c>
      <c r="AJ30" s="743">
        <f t="shared" si="14"/>
        <v>0</v>
      </c>
    </row>
    <row r="31" spans="1:36">
      <c r="A31" s="915" t="s">
        <v>142</v>
      </c>
      <c r="B31" s="916" t="s">
        <v>267</v>
      </c>
      <c r="C31" s="922" t="s">
        <v>589</v>
      </c>
      <c r="D31" s="917"/>
      <c r="E31" s="918">
        <v>100751</v>
      </c>
      <c r="F31" s="919">
        <v>1</v>
      </c>
      <c r="G31" s="846"/>
      <c r="H31" s="847"/>
      <c r="I31" s="846">
        <v>203625</v>
      </c>
      <c r="J31" s="847">
        <v>203625</v>
      </c>
      <c r="K31" s="846"/>
      <c r="L31" s="847"/>
      <c r="M31" s="846"/>
      <c r="N31" s="846"/>
      <c r="O31" s="737">
        <f t="shared" si="2"/>
        <v>0</v>
      </c>
      <c r="P31" s="847"/>
      <c r="Q31" s="847"/>
      <c r="R31" s="738">
        <f t="shared" si="10"/>
        <v>0</v>
      </c>
      <c r="S31" s="737">
        <f t="shared" si="11"/>
        <v>203625</v>
      </c>
      <c r="T31" s="739">
        <f t="shared" si="12"/>
        <v>203625</v>
      </c>
      <c r="U31" s="846"/>
      <c r="V31" s="847"/>
      <c r="W31" s="846"/>
      <c r="X31" s="846"/>
      <c r="Y31" s="740">
        <f t="shared" si="6"/>
        <v>0</v>
      </c>
      <c r="Z31" s="847"/>
      <c r="AA31" s="847"/>
      <c r="AB31" s="741">
        <f t="shared" si="7"/>
        <v>0</v>
      </c>
      <c r="AC31" s="846"/>
      <c r="AD31" s="847"/>
      <c r="AE31" s="846"/>
      <c r="AF31" s="846"/>
      <c r="AG31" s="847"/>
      <c r="AH31" s="847"/>
      <c r="AI31" s="742">
        <f t="shared" si="13"/>
        <v>203625</v>
      </c>
      <c r="AJ31" s="743">
        <f t="shared" si="14"/>
        <v>203625</v>
      </c>
    </row>
    <row r="32" spans="1:36">
      <c r="A32" s="915" t="s">
        <v>142</v>
      </c>
      <c r="B32" s="916" t="s">
        <v>271</v>
      </c>
      <c r="C32" s="921" t="s">
        <v>309</v>
      </c>
      <c r="D32" s="917"/>
      <c r="E32" s="918">
        <v>100751</v>
      </c>
      <c r="F32" s="919">
        <v>1</v>
      </c>
      <c r="G32" s="846"/>
      <c r="H32" s="847"/>
      <c r="I32" s="846"/>
      <c r="J32" s="847"/>
      <c r="K32" s="846"/>
      <c r="L32" s="847"/>
      <c r="M32" s="846"/>
      <c r="N32" s="846"/>
      <c r="O32" s="737">
        <f t="shared" si="2"/>
        <v>0</v>
      </c>
      <c r="P32" s="847"/>
      <c r="Q32" s="847"/>
      <c r="R32" s="738">
        <f t="shared" si="10"/>
        <v>0</v>
      </c>
      <c r="S32" s="737">
        <f t="shared" si="11"/>
        <v>0</v>
      </c>
      <c r="T32" s="739">
        <f t="shared" si="12"/>
        <v>0</v>
      </c>
      <c r="U32" s="846"/>
      <c r="V32" s="847"/>
      <c r="W32" s="846"/>
      <c r="X32" s="846"/>
      <c r="Y32" s="740">
        <f t="shared" si="6"/>
        <v>0</v>
      </c>
      <c r="Z32" s="847"/>
      <c r="AA32" s="847"/>
      <c r="AB32" s="741">
        <f t="shared" si="7"/>
        <v>0</v>
      </c>
      <c r="AC32" s="846"/>
      <c r="AD32" s="847"/>
      <c r="AE32" s="846"/>
      <c r="AF32" s="846"/>
      <c r="AG32" s="847"/>
      <c r="AH32" s="847"/>
      <c r="AI32" s="742">
        <f t="shared" si="13"/>
        <v>0</v>
      </c>
      <c r="AJ32" s="743">
        <f t="shared" si="14"/>
        <v>0</v>
      </c>
    </row>
    <row r="33" spans="1:36">
      <c r="A33" s="915" t="s">
        <v>142</v>
      </c>
      <c r="B33" s="916" t="s">
        <v>271</v>
      </c>
      <c r="C33" s="922" t="s">
        <v>599</v>
      </c>
      <c r="D33" s="917"/>
      <c r="E33" s="918">
        <v>100751</v>
      </c>
      <c r="F33" s="919">
        <v>1</v>
      </c>
      <c r="G33" s="846"/>
      <c r="H33" s="847"/>
      <c r="I33" s="846">
        <v>1000000</v>
      </c>
      <c r="J33" s="847">
        <v>1000000</v>
      </c>
      <c r="K33" s="846"/>
      <c r="L33" s="847"/>
      <c r="M33" s="846"/>
      <c r="N33" s="846"/>
      <c r="O33" s="737">
        <f t="shared" si="2"/>
        <v>0</v>
      </c>
      <c r="P33" s="847"/>
      <c r="Q33" s="847"/>
      <c r="R33" s="738">
        <f t="shared" si="10"/>
        <v>0</v>
      </c>
      <c r="S33" s="737">
        <f t="shared" si="11"/>
        <v>1000000</v>
      </c>
      <c r="T33" s="739">
        <f t="shared" si="12"/>
        <v>1000000</v>
      </c>
      <c r="U33" s="846"/>
      <c r="V33" s="847"/>
      <c r="W33" s="846"/>
      <c r="X33" s="846"/>
      <c r="Y33" s="740">
        <f t="shared" si="6"/>
        <v>0</v>
      </c>
      <c r="Z33" s="847"/>
      <c r="AA33" s="847"/>
      <c r="AB33" s="741">
        <f t="shared" si="7"/>
        <v>0</v>
      </c>
      <c r="AC33" s="846"/>
      <c r="AD33" s="847"/>
      <c r="AE33" s="846"/>
      <c r="AF33" s="846"/>
      <c r="AG33" s="847"/>
      <c r="AH33" s="847"/>
      <c r="AI33" s="742">
        <f t="shared" si="13"/>
        <v>1000000</v>
      </c>
      <c r="AJ33" s="743">
        <f t="shared" si="14"/>
        <v>1000000</v>
      </c>
    </row>
    <row r="34" spans="1:36">
      <c r="A34" s="915" t="s">
        <v>142</v>
      </c>
      <c r="B34" s="916" t="s">
        <v>271</v>
      </c>
      <c r="C34" s="922" t="s">
        <v>600</v>
      </c>
      <c r="D34" s="917"/>
      <c r="E34" s="918">
        <v>100751</v>
      </c>
      <c r="F34" s="919">
        <v>1</v>
      </c>
      <c r="G34" s="846"/>
      <c r="H34" s="847"/>
      <c r="I34" s="846"/>
      <c r="J34" s="847">
        <v>360000</v>
      </c>
      <c r="K34" s="846"/>
      <c r="L34" s="847"/>
      <c r="M34" s="846"/>
      <c r="N34" s="846"/>
      <c r="O34" s="737">
        <f t="shared" si="2"/>
        <v>0</v>
      </c>
      <c r="P34" s="847"/>
      <c r="Q34" s="847"/>
      <c r="R34" s="738">
        <f t="shared" si="10"/>
        <v>0</v>
      </c>
      <c r="S34" s="737">
        <f t="shared" si="11"/>
        <v>0</v>
      </c>
      <c r="T34" s="739">
        <f t="shared" si="12"/>
        <v>360000</v>
      </c>
      <c r="U34" s="846"/>
      <c r="V34" s="847"/>
      <c r="W34" s="846"/>
      <c r="X34" s="846"/>
      <c r="Y34" s="740">
        <f t="shared" si="6"/>
        <v>0</v>
      </c>
      <c r="Z34" s="847"/>
      <c r="AA34" s="847"/>
      <c r="AB34" s="741">
        <f t="shared" si="7"/>
        <v>0</v>
      </c>
      <c r="AC34" s="846"/>
      <c r="AD34" s="847"/>
      <c r="AE34" s="846"/>
      <c r="AF34" s="846"/>
      <c r="AG34" s="847"/>
      <c r="AH34" s="847"/>
      <c r="AI34" s="742">
        <f t="shared" si="13"/>
        <v>0</v>
      </c>
      <c r="AJ34" s="743">
        <f t="shared" si="14"/>
        <v>360000</v>
      </c>
    </row>
    <row r="35" spans="1:36">
      <c r="A35" s="915" t="s">
        <v>142</v>
      </c>
      <c r="B35" s="916" t="s">
        <v>264</v>
      </c>
      <c r="C35" s="925" t="s">
        <v>601</v>
      </c>
      <c r="D35" s="928" t="s">
        <v>708</v>
      </c>
      <c r="E35" s="918">
        <v>100663</v>
      </c>
      <c r="F35" s="929">
        <v>2</v>
      </c>
      <c r="G35" s="846">
        <v>30702789</v>
      </c>
      <c r="H35" s="847">
        <v>44257019</v>
      </c>
      <c r="I35" s="846"/>
      <c r="J35" s="847"/>
      <c r="K35" s="846"/>
      <c r="L35" s="847"/>
      <c r="M35" s="890">
        <v>127796790</v>
      </c>
      <c r="N35" s="846"/>
      <c r="O35" s="737">
        <f t="shared" si="2"/>
        <v>127796790</v>
      </c>
      <c r="P35" s="847">
        <v>128174096</v>
      </c>
      <c r="Q35" s="847"/>
      <c r="R35" s="738">
        <f t="shared" si="10"/>
        <v>128174096</v>
      </c>
      <c r="S35" s="737">
        <f t="shared" si="11"/>
        <v>158499579</v>
      </c>
      <c r="T35" s="739">
        <f t="shared" si="12"/>
        <v>172431115</v>
      </c>
      <c r="U35" s="846"/>
      <c r="V35" s="847"/>
      <c r="W35" s="846"/>
      <c r="X35" s="846"/>
      <c r="Y35" s="740">
        <f t="shared" si="6"/>
        <v>0</v>
      </c>
      <c r="Z35" s="847"/>
      <c r="AA35" s="847"/>
      <c r="AB35" s="741">
        <f t="shared" si="7"/>
        <v>0</v>
      </c>
      <c r="AC35" s="846"/>
      <c r="AD35" s="847"/>
      <c r="AE35" s="846"/>
      <c r="AF35" s="846"/>
      <c r="AG35" s="847"/>
      <c r="AH35" s="847"/>
      <c r="AI35" s="742">
        <f t="shared" si="13"/>
        <v>158499579</v>
      </c>
      <c r="AJ35" s="743">
        <f t="shared" si="14"/>
        <v>172431115</v>
      </c>
    </row>
    <row r="36" spans="1:36">
      <c r="A36" s="915" t="s">
        <v>142</v>
      </c>
      <c r="B36" s="916" t="s">
        <v>280</v>
      </c>
      <c r="C36" s="921" t="s">
        <v>30</v>
      </c>
      <c r="D36" s="917"/>
      <c r="E36" s="918">
        <v>100663</v>
      </c>
      <c r="F36" s="929">
        <v>2</v>
      </c>
      <c r="G36" s="846"/>
      <c r="H36" s="847"/>
      <c r="I36" s="846"/>
      <c r="J36" s="847"/>
      <c r="K36" s="846"/>
      <c r="L36" s="847"/>
      <c r="M36" s="846"/>
      <c r="N36" s="846"/>
      <c r="O36" s="737">
        <f t="shared" si="2"/>
        <v>0</v>
      </c>
      <c r="P36" s="847"/>
      <c r="Q36" s="847"/>
      <c r="R36" s="738">
        <f t="shared" si="10"/>
        <v>0</v>
      </c>
      <c r="S36" s="737">
        <f t="shared" si="11"/>
        <v>0</v>
      </c>
      <c r="T36" s="739">
        <f t="shared" si="12"/>
        <v>0</v>
      </c>
      <c r="U36" s="846"/>
      <c r="V36" s="847"/>
      <c r="W36" s="846"/>
      <c r="X36" s="846"/>
      <c r="Y36" s="740">
        <f t="shared" si="6"/>
        <v>0</v>
      </c>
      <c r="Z36" s="847"/>
      <c r="AA36" s="847"/>
      <c r="AB36" s="741">
        <f t="shared" si="7"/>
        <v>0</v>
      </c>
      <c r="AC36" s="846"/>
      <c r="AD36" s="847"/>
      <c r="AE36" s="846"/>
      <c r="AF36" s="846"/>
      <c r="AG36" s="847"/>
      <c r="AH36" s="847"/>
      <c r="AI36" s="742">
        <f t="shared" si="13"/>
        <v>0</v>
      </c>
      <c r="AJ36" s="743">
        <f t="shared" si="14"/>
        <v>0</v>
      </c>
    </row>
    <row r="37" spans="1:36">
      <c r="A37" s="915" t="s">
        <v>142</v>
      </c>
      <c r="B37" s="916" t="s">
        <v>280</v>
      </c>
      <c r="C37" s="922" t="s">
        <v>602</v>
      </c>
      <c r="D37" s="917"/>
      <c r="E37" s="918">
        <v>100663</v>
      </c>
      <c r="F37" s="929">
        <v>2</v>
      </c>
      <c r="G37" s="846"/>
      <c r="H37" s="847"/>
      <c r="I37" s="846"/>
      <c r="J37" s="847"/>
      <c r="K37" s="846"/>
      <c r="L37" s="847"/>
      <c r="M37" s="846"/>
      <c r="N37" s="846"/>
      <c r="O37" s="737">
        <f t="shared" si="2"/>
        <v>0</v>
      </c>
      <c r="P37" s="847"/>
      <c r="Q37" s="847"/>
      <c r="R37" s="738">
        <f t="shared" si="10"/>
        <v>0</v>
      </c>
      <c r="S37" s="737">
        <f t="shared" si="11"/>
        <v>0</v>
      </c>
      <c r="T37" s="739">
        <f t="shared" si="12"/>
        <v>0</v>
      </c>
      <c r="U37" s="846"/>
      <c r="V37" s="847"/>
      <c r="W37" s="846"/>
      <c r="X37" s="846"/>
      <c r="Y37" s="740">
        <f t="shared" si="6"/>
        <v>0</v>
      </c>
      <c r="Z37" s="847"/>
      <c r="AA37" s="847"/>
      <c r="AB37" s="741">
        <f t="shared" si="7"/>
        <v>0</v>
      </c>
      <c r="AC37" s="846">
        <v>227720713</v>
      </c>
      <c r="AD37" s="847">
        <v>216336429</v>
      </c>
      <c r="AE37" s="890">
        <v>85711372</v>
      </c>
      <c r="AF37" s="846"/>
      <c r="AG37" s="847">
        <v>88825904</v>
      </c>
      <c r="AH37" s="847"/>
      <c r="AI37" s="742">
        <f t="shared" si="13"/>
        <v>313432085</v>
      </c>
      <c r="AJ37" s="743">
        <f t="shared" si="14"/>
        <v>305162333</v>
      </c>
    </row>
    <row r="38" spans="1:36">
      <c r="A38" s="915" t="s">
        <v>142</v>
      </c>
      <c r="B38" s="916" t="s">
        <v>280</v>
      </c>
      <c r="C38" s="922" t="s">
        <v>603</v>
      </c>
      <c r="D38" s="917"/>
      <c r="E38" s="918">
        <v>100663</v>
      </c>
      <c r="F38" s="929">
        <v>2</v>
      </c>
      <c r="G38" s="846"/>
      <c r="H38" s="847"/>
      <c r="I38" s="846"/>
      <c r="J38" s="847"/>
      <c r="K38" s="846"/>
      <c r="L38" s="847"/>
      <c r="M38" s="846"/>
      <c r="N38" s="846"/>
      <c r="O38" s="737">
        <f t="shared" si="2"/>
        <v>0</v>
      </c>
      <c r="P38" s="847"/>
      <c r="Q38" s="847"/>
      <c r="R38" s="738">
        <f t="shared" si="10"/>
        <v>0</v>
      </c>
      <c r="S38" s="737">
        <f t="shared" si="11"/>
        <v>0</v>
      </c>
      <c r="T38" s="739">
        <f t="shared" si="12"/>
        <v>0</v>
      </c>
      <c r="U38" s="846"/>
      <c r="V38" s="847"/>
      <c r="W38" s="846"/>
      <c r="X38" s="846"/>
      <c r="Y38" s="740">
        <f t="shared" si="6"/>
        <v>0</v>
      </c>
      <c r="Z38" s="847"/>
      <c r="AA38" s="847"/>
      <c r="AB38" s="741">
        <f t="shared" si="7"/>
        <v>0</v>
      </c>
      <c r="AC38" s="846">
        <v>3236628</v>
      </c>
      <c r="AD38" s="847">
        <v>3236628</v>
      </c>
      <c r="AE38" s="846"/>
      <c r="AF38" s="846"/>
      <c r="AG38" s="847"/>
      <c r="AH38" s="847"/>
      <c r="AI38" s="742">
        <f t="shared" si="13"/>
        <v>3236628</v>
      </c>
      <c r="AJ38" s="743">
        <f t="shared" si="14"/>
        <v>3236628</v>
      </c>
    </row>
    <row r="39" spans="1:36">
      <c r="A39" s="915" t="s">
        <v>142</v>
      </c>
      <c r="B39" s="916" t="s">
        <v>280</v>
      </c>
      <c r="C39" s="922" t="s">
        <v>604</v>
      </c>
      <c r="D39" s="917"/>
      <c r="E39" s="918">
        <v>100663</v>
      </c>
      <c r="F39" s="929">
        <v>2</v>
      </c>
      <c r="G39" s="846"/>
      <c r="H39" s="847"/>
      <c r="I39" s="846"/>
      <c r="J39" s="847"/>
      <c r="K39" s="846"/>
      <c r="L39" s="847"/>
      <c r="M39" s="846"/>
      <c r="N39" s="846"/>
      <c r="O39" s="737">
        <f t="shared" si="2"/>
        <v>0</v>
      </c>
      <c r="P39" s="847"/>
      <c r="Q39" s="847"/>
      <c r="R39" s="738">
        <f t="shared" si="10"/>
        <v>0</v>
      </c>
      <c r="S39" s="737">
        <f t="shared" si="11"/>
        <v>0</v>
      </c>
      <c r="T39" s="739">
        <f t="shared" si="12"/>
        <v>0</v>
      </c>
      <c r="U39" s="846"/>
      <c r="V39" s="847"/>
      <c r="W39" s="846"/>
      <c r="X39" s="846"/>
      <c r="Y39" s="740">
        <f t="shared" si="6"/>
        <v>0</v>
      </c>
      <c r="Z39" s="847"/>
      <c r="AA39" s="847"/>
      <c r="AB39" s="741">
        <f t="shared" si="7"/>
        <v>0</v>
      </c>
      <c r="AC39" s="846"/>
      <c r="AD39" s="847"/>
      <c r="AE39" s="846"/>
      <c r="AF39" s="846"/>
      <c r="AG39" s="847"/>
      <c r="AH39" s="847"/>
      <c r="AI39" s="742">
        <f t="shared" si="13"/>
        <v>0</v>
      </c>
      <c r="AJ39" s="743">
        <f t="shared" si="14"/>
        <v>0</v>
      </c>
    </row>
    <row r="40" spans="1:36">
      <c r="A40" s="915" t="s">
        <v>142</v>
      </c>
      <c r="B40" s="916" t="s">
        <v>280</v>
      </c>
      <c r="C40" s="922" t="s">
        <v>605</v>
      </c>
      <c r="D40" s="917"/>
      <c r="E40" s="918">
        <v>100663</v>
      </c>
      <c r="F40" s="929">
        <v>2</v>
      </c>
      <c r="G40" s="846"/>
      <c r="H40" s="847"/>
      <c r="I40" s="846"/>
      <c r="J40" s="847"/>
      <c r="K40" s="846"/>
      <c r="L40" s="847"/>
      <c r="M40" s="846"/>
      <c r="N40" s="846"/>
      <c r="O40" s="737">
        <f t="shared" si="2"/>
        <v>0</v>
      </c>
      <c r="P40" s="847"/>
      <c r="Q40" s="847"/>
      <c r="R40" s="738">
        <f t="shared" si="10"/>
        <v>0</v>
      </c>
      <c r="S40" s="737">
        <f t="shared" si="11"/>
        <v>0</v>
      </c>
      <c r="T40" s="739">
        <f t="shared" si="12"/>
        <v>0</v>
      </c>
      <c r="U40" s="846"/>
      <c r="V40" s="847"/>
      <c r="W40" s="846"/>
      <c r="X40" s="846"/>
      <c r="Y40" s="740">
        <f t="shared" si="6"/>
        <v>0</v>
      </c>
      <c r="Z40" s="847"/>
      <c r="AA40" s="847"/>
      <c r="AB40" s="741">
        <f t="shared" si="7"/>
        <v>0</v>
      </c>
      <c r="AC40" s="846">
        <v>500000</v>
      </c>
      <c r="AD40" s="847">
        <v>500000</v>
      </c>
      <c r="AE40" s="846"/>
      <c r="AF40" s="846"/>
      <c r="AG40" s="847"/>
      <c r="AH40" s="847"/>
      <c r="AI40" s="742">
        <f t="shared" si="13"/>
        <v>500000</v>
      </c>
      <c r="AJ40" s="743">
        <f t="shared" si="14"/>
        <v>500000</v>
      </c>
    </row>
    <row r="41" spans="1:36">
      <c r="A41" s="915" t="s">
        <v>142</v>
      </c>
      <c r="B41" s="916" t="s">
        <v>280</v>
      </c>
      <c r="C41" s="922" t="s">
        <v>606</v>
      </c>
      <c r="D41" s="917"/>
      <c r="E41" s="918">
        <v>100663</v>
      </c>
      <c r="F41" s="929">
        <v>2</v>
      </c>
      <c r="G41" s="846"/>
      <c r="H41" s="847"/>
      <c r="I41" s="846"/>
      <c r="J41" s="847"/>
      <c r="K41" s="846"/>
      <c r="L41" s="847"/>
      <c r="M41" s="846"/>
      <c r="N41" s="846"/>
      <c r="O41" s="737">
        <f t="shared" si="2"/>
        <v>0</v>
      </c>
      <c r="P41" s="847"/>
      <c r="Q41" s="847"/>
      <c r="R41" s="738">
        <f t="shared" si="10"/>
        <v>0</v>
      </c>
      <c r="S41" s="737">
        <f t="shared" si="11"/>
        <v>0</v>
      </c>
      <c r="T41" s="739">
        <f t="shared" si="12"/>
        <v>0</v>
      </c>
      <c r="U41" s="846"/>
      <c r="V41" s="847"/>
      <c r="W41" s="846"/>
      <c r="X41" s="846"/>
      <c r="Y41" s="740">
        <f t="shared" si="6"/>
        <v>0</v>
      </c>
      <c r="Z41" s="847"/>
      <c r="AA41" s="847"/>
      <c r="AB41" s="741">
        <f t="shared" si="7"/>
        <v>0</v>
      </c>
      <c r="AC41" s="846">
        <v>400000</v>
      </c>
      <c r="AD41" s="847"/>
      <c r="AE41" s="846"/>
      <c r="AF41" s="846"/>
      <c r="AG41" s="847"/>
      <c r="AH41" s="847"/>
      <c r="AI41" s="742">
        <f t="shared" si="13"/>
        <v>400000</v>
      </c>
      <c r="AJ41" s="743">
        <f t="shared" si="14"/>
        <v>0</v>
      </c>
    </row>
    <row r="42" spans="1:36">
      <c r="A42" s="915" t="s">
        <v>142</v>
      </c>
      <c r="B42" s="916" t="s">
        <v>266</v>
      </c>
      <c r="C42" s="921" t="s">
        <v>319</v>
      </c>
      <c r="D42" s="917"/>
      <c r="E42" s="918">
        <v>100663</v>
      </c>
      <c r="F42" s="929">
        <v>2</v>
      </c>
      <c r="G42" s="846"/>
      <c r="H42" s="847"/>
      <c r="I42" s="846"/>
      <c r="J42" s="847"/>
      <c r="K42" s="846"/>
      <c r="L42" s="847"/>
      <c r="M42" s="846"/>
      <c r="N42" s="846"/>
      <c r="O42" s="737">
        <f t="shared" si="2"/>
        <v>0</v>
      </c>
      <c r="P42" s="847"/>
      <c r="Q42" s="847"/>
      <c r="R42" s="738">
        <f t="shared" si="10"/>
        <v>0</v>
      </c>
      <c r="S42" s="737">
        <f t="shared" si="11"/>
        <v>0</v>
      </c>
      <c r="T42" s="739">
        <f t="shared" si="12"/>
        <v>0</v>
      </c>
      <c r="U42" s="846"/>
      <c r="V42" s="847"/>
      <c r="W42" s="846"/>
      <c r="X42" s="846"/>
      <c r="Y42" s="740">
        <f t="shared" si="6"/>
        <v>0</v>
      </c>
      <c r="Z42" s="847"/>
      <c r="AA42" s="847"/>
      <c r="AB42" s="741">
        <f t="shared" si="7"/>
        <v>0</v>
      </c>
      <c r="AC42" s="846"/>
      <c r="AD42" s="847"/>
      <c r="AE42" s="846"/>
      <c r="AF42" s="846"/>
      <c r="AG42" s="847"/>
      <c r="AH42" s="847"/>
      <c r="AI42" s="742">
        <f t="shared" si="13"/>
        <v>0</v>
      </c>
      <c r="AJ42" s="743">
        <f t="shared" si="14"/>
        <v>0</v>
      </c>
    </row>
    <row r="43" spans="1:36">
      <c r="A43" s="915" t="s">
        <v>142</v>
      </c>
      <c r="B43" s="916" t="s">
        <v>266</v>
      </c>
      <c r="C43" s="922" t="s">
        <v>607</v>
      </c>
      <c r="D43" s="917"/>
      <c r="E43" s="918">
        <v>100663</v>
      </c>
      <c r="F43" s="929">
        <v>2</v>
      </c>
      <c r="G43" s="846"/>
      <c r="H43" s="847"/>
      <c r="I43" s="846">
        <v>376473</v>
      </c>
      <c r="J43" s="847">
        <v>376473</v>
      </c>
      <c r="K43" s="846"/>
      <c r="L43" s="847"/>
      <c r="M43" s="846"/>
      <c r="N43" s="846"/>
      <c r="O43" s="737">
        <f t="shared" si="2"/>
        <v>0</v>
      </c>
      <c r="P43" s="847"/>
      <c r="Q43" s="847"/>
      <c r="R43" s="738">
        <f t="shared" si="10"/>
        <v>0</v>
      </c>
      <c r="S43" s="737">
        <f t="shared" si="11"/>
        <v>376473</v>
      </c>
      <c r="T43" s="739">
        <f t="shared" si="12"/>
        <v>376473</v>
      </c>
      <c r="U43" s="846"/>
      <c r="V43" s="847"/>
      <c r="W43" s="846"/>
      <c r="X43" s="846"/>
      <c r="Y43" s="740">
        <f t="shared" si="6"/>
        <v>0</v>
      </c>
      <c r="Z43" s="847"/>
      <c r="AA43" s="847"/>
      <c r="AB43" s="741">
        <f t="shared" si="7"/>
        <v>0</v>
      </c>
      <c r="AC43" s="846"/>
      <c r="AD43" s="847"/>
      <c r="AE43" s="846"/>
      <c r="AF43" s="846"/>
      <c r="AG43" s="847"/>
      <c r="AH43" s="847"/>
      <c r="AI43" s="742">
        <f t="shared" si="13"/>
        <v>376473</v>
      </c>
      <c r="AJ43" s="743">
        <f t="shared" si="14"/>
        <v>376473</v>
      </c>
    </row>
    <row r="44" spans="1:36">
      <c r="A44" s="915" t="s">
        <v>142</v>
      </c>
      <c r="B44" s="916" t="s">
        <v>267</v>
      </c>
      <c r="C44" s="921" t="s">
        <v>258</v>
      </c>
      <c r="D44" s="917"/>
      <c r="E44" s="918">
        <v>100663</v>
      </c>
      <c r="F44" s="929">
        <v>2</v>
      </c>
      <c r="G44" s="846"/>
      <c r="H44" s="847"/>
      <c r="I44" s="846"/>
      <c r="J44" s="847"/>
      <c r="K44" s="846"/>
      <c r="L44" s="847"/>
      <c r="M44" s="846"/>
      <c r="N44" s="846"/>
      <c r="O44" s="737">
        <f t="shared" si="2"/>
        <v>0</v>
      </c>
      <c r="P44" s="847"/>
      <c r="Q44" s="847"/>
      <c r="R44" s="738">
        <f t="shared" si="10"/>
        <v>0</v>
      </c>
      <c r="S44" s="737">
        <f t="shared" si="11"/>
        <v>0</v>
      </c>
      <c r="T44" s="739">
        <f t="shared" si="12"/>
        <v>0</v>
      </c>
      <c r="U44" s="846"/>
      <c r="V44" s="847"/>
      <c r="W44" s="846"/>
      <c r="X44" s="846"/>
      <c r="Y44" s="740">
        <f t="shared" si="6"/>
        <v>0</v>
      </c>
      <c r="Z44" s="847"/>
      <c r="AA44" s="847"/>
      <c r="AB44" s="741">
        <f t="shared" si="7"/>
        <v>0</v>
      </c>
      <c r="AC44" s="846"/>
      <c r="AD44" s="847"/>
      <c r="AE44" s="846"/>
      <c r="AF44" s="846"/>
      <c r="AG44" s="847"/>
      <c r="AH44" s="847"/>
      <c r="AI44" s="742">
        <f t="shared" si="13"/>
        <v>0</v>
      </c>
      <c r="AJ44" s="743">
        <f t="shared" si="14"/>
        <v>0</v>
      </c>
    </row>
    <row r="45" spans="1:36">
      <c r="A45" s="915" t="s">
        <v>142</v>
      </c>
      <c r="B45" s="916" t="s">
        <v>267</v>
      </c>
      <c r="C45" s="922" t="s">
        <v>589</v>
      </c>
      <c r="D45" s="917"/>
      <c r="E45" s="918">
        <v>100663</v>
      </c>
      <c r="F45" s="929">
        <v>2</v>
      </c>
      <c r="G45" s="846"/>
      <c r="H45" s="847"/>
      <c r="I45" s="846">
        <v>281923</v>
      </c>
      <c r="J45" s="847">
        <v>281923</v>
      </c>
      <c r="K45" s="846"/>
      <c r="L45" s="847"/>
      <c r="M45" s="846"/>
      <c r="N45" s="846"/>
      <c r="O45" s="737">
        <f t="shared" si="2"/>
        <v>0</v>
      </c>
      <c r="P45" s="847"/>
      <c r="Q45" s="847"/>
      <c r="R45" s="738">
        <f t="shared" si="10"/>
        <v>0</v>
      </c>
      <c r="S45" s="737">
        <f t="shared" si="11"/>
        <v>281923</v>
      </c>
      <c r="T45" s="739">
        <f t="shared" si="12"/>
        <v>281923</v>
      </c>
      <c r="U45" s="846"/>
      <c r="V45" s="847"/>
      <c r="W45" s="846"/>
      <c r="X45" s="846"/>
      <c r="Y45" s="740">
        <f t="shared" si="6"/>
        <v>0</v>
      </c>
      <c r="Z45" s="847"/>
      <c r="AA45" s="847"/>
      <c r="AB45" s="741">
        <f t="shared" si="7"/>
        <v>0</v>
      </c>
      <c r="AC45" s="846"/>
      <c r="AD45" s="847"/>
      <c r="AE45" s="846"/>
      <c r="AF45" s="846"/>
      <c r="AG45" s="847"/>
      <c r="AH45" s="847"/>
      <c r="AI45" s="742">
        <f t="shared" si="13"/>
        <v>281923</v>
      </c>
      <c r="AJ45" s="743">
        <f t="shared" si="14"/>
        <v>281923</v>
      </c>
    </row>
    <row r="46" spans="1:36">
      <c r="A46" s="915" t="s">
        <v>142</v>
      </c>
      <c r="B46" s="916" t="s">
        <v>264</v>
      </c>
      <c r="C46" s="925" t="s">
        <v>608</v>
      </c>
      <c r="D46" s="926"/>
      <c r="E46" s="918">
        <v>100706</v>
      </c>
      <c r="F46" s="919">
        <v>2</v>
      </c>
      <c r="G46" s="846">
        <v>42852390</v>
      </c>
      <c r="H46" s="847">
        <v>43147235</v>
      </c>
      <c r="I46" s="846"/>
      <c r="J46" s="847"/>
      <c r="K46" s="846"/>
      <c r="L46" s="847"/>
      <c r="M46" s="890">
        <v>70913243</v>
      </c>
      <c r="N46" s="846">
        <v>1800000</v>
      </c>
      <c r="O46" s="737">
        <f t="shared" si="2"/>
        <v>72713243</v>
      </c>
      <c r="P46" s="847">
        <v>75485797</v>
      </c>
      <c r="Q46" s="847">
        <v>1800000</v>
      </c>
      <c r="R46" s="738">
        <f t="shared" si="10"/>
        <v>77285797</v>
      </c>
      <c r="S46" s="737">
        <f t="shared" si="11"/>
        <v>113765633</v>
      </c>
      <c r="T46" s="739">
        <f t="shared" si="12"/>
        <v>118633032</v>
      </c>
      <c r="U46" s="846"/>
      <c r="V46" s="847"/>
      <c r="W46" s="846"/>
      <c r="X46" s="846"/>
      <c r="Y46" s="740">
        <f t="shared" si="6"/>
        <v>0</v>
      </c>
      <c r="Z46" s="847"/>
      <c r="AA46" s="847"/>
      <c r="AB46" s="741">
        <f t="shared" si="7"/>
        <v>0</v>
      </c>
      <c r="AC46" s="846"/>
      <c r="AD46" s="847"/>
      <c r="AE46" s="846"/>
      <c r="AF46" s="846"/>
      <c r="AG46" s="847"/>
      <c r="AH46" s="847"/>
      <c r="AI46" s="742">
        <f t="shared" si="13"/>
        <v>113765633</v>
      </c>
      <c r="AJ46" s="743">
        <f t="shared" si="14"/>
        <v>118633032</v>
      </c>
    </row>
    <row r="47" spans="1:36">
      <c r="A47" s="915" t="s">
        <v>142</v>
      </c>
      <c r="B47" s="916" t="s">
        <v>266</v>
      </c>
      <c r="C47" s="921" t="s">
        <v>319</v>
      </c>
      <c r="D47" s="917"/>
      <c r="E47" s="918">
        <v>100706</v>
      </c>
      <c r="F47" s="919">
        <v>2</v>
      </c>
      <c r="G47" s="846"/>
      <c r="H47" s="847"/>
      <c r="I47" s="846"/>
      <c r="J47" s="847"/>
      <c r="K47" s="846"/>
      <c r="L47" s="847"/>
      <c r="M47" s="846"/>
      <c r="N47" s="846"/>
      <c r="O47" s="737">
        <f t="shared" si="2"/>
        <v>0</v>
      </c>
      <c r="P47" s="847"/>
      <c r="Q47" s="847"/>
      <c r="R47" s="738">
        <f t="shared" si="10"/>
        <v>0</v>
      </c>
      <c r="S47" s="737">
        <f t="shared" si="11"/>
        <v>0</v>
      </c>
      <c r="T47" s="739">
        <f t="shared" si="12"/>
        <v>0</v>
      </c>
      <c r="U47" s="846"/>
      <c r="V47" s="847"/>
      <c r="W47" s="846"/>
      <c r="X47" s="846"/>
      <c r="Y47" s="740">
        <f t="shared" si="6"/>
        <v>0</v>
      </c>
      <c r="Z47" s="847"/>
      <c r="AA47" s="847"/>
      <c r="AB47" s="741">
        <f t="shared" si="7"/>
        <v>0</v>
      </c>
      <c r="AC47" s="846"/>
      <c r="AD47" s="847"/>
      <c r="AE47" s="846"/>
      <c r="AF47" s="846"/>
      <c r="AG47" s="847"/>
      <c r="AH47" s="847"/>
      <c r="AI47" s="742">
        <f t="shared" si="13"/>
        <v>0</v>
      </c>
      <c r="AJ47" s="743">
        <f t="shared" si="14"/>
        <v>0</v>
      </c>
    </row>
    <row r="48" spans="1:36">
      <c r="A48" s="915" t="s">
        <v>142</v>
      </c>
      <c r="B48" s="916" t="s">
        <v>266</v>
      </c>
      <c r="C48" s="922" t="s">
        <v>609</v>
      </c>
      <c r="D48" s="917"/>
      <c r="E48" s="918">
        <v>100706</v>
      </c>
      <c r="F48" s="919">
        <v>2</v>
      </c>
      <c r="G48" s="846"/>
      <c r="H48" s="847"/>
      <c r="I48" s="846">
        <v>250000</v>
      </c>
      <c r="J48" s="847">
        <v>850000</v>
      </c>
      <c r="K48" s="846"/>
      <c r="L48" s="847"/>
      <c r="M48" s="846"/>
      <c r="N48" s="846"/>
      <c r="O48" s="737">
        <f t="shared" si="2"/>
        <v>0</v>
      </c>
      <c r="P48" s="847"/>
      <c r="Q48" s="847"/>
      <c r="R48" s="738">
        <f t="shared" si="10"/>
        <v>0</v>
      </c>
      <c r="S48" s="737">
        <f t="shared" si="11"/>
        <v>250000</v>
      </c>
      <c r="T48" s="739">
        <f t="shared" si="12"/>
        <v>850000</v>
      </c>
      <c r="U48" s="846"/>
      <c r="V48" s="847"/>
      <c r="W48" s="846"/>
      <c r="X48" s="846"/>
      <c r="Y48" s="740">
        <f t="shared" si="6"/>
        <v>0</v>
      </c>
      <c r="Z48" s="847"/>
      <c r="AA48" s="847"/>
      <c r="AB48" s="741">
        <f t="shared" si="7"/>
        <v>0</v>
      </c>
      <c r="AC48" s="846"/>
      <c r="AD48" s="847"/>
      <c r="AE48" s="846"/>
      <c r="AF48" s="846"/>
      <c r="AG48" s="847"/>
      <c r="AH48" s="847"/>
      <c r="AI48" s="742">
        <f t="shared" si="13"/>
        <v>250000</v>
      </c>
      <c r="AJ48" s="743">
        <f t="shared" si="14"/>
        <v>850000</v>
      </c>
    </row>
    <row r="49" spans="1:36">
      <c r="A49" s="915" t="s">
        <v>142</v>
      </c>
      <c r="B49" s="916" t="s">
        <v>264</v>
      </c>
      <c r="C49" s="923" t="s">
        <v>610</v>
      </c>
      <c r="D49" s="924"/>
      <c r="E49" s="918">
        <v>100654</v>
      </c>
      <c r="F49" s="919">
        <v>3</v>
      </c>
      <c r="G49" s="846">
        <v>32115942</v>
      </c>
      <c r="H49" s="847">
        <v>32236649</v>
      </c>
      <c r="I49" s="846"/>
      <c r="J49" s="847"/>
      <c r="K49" s="846"/>
      <c r="L49" s="847"/>
      <c r="M49" s="890">
        <v>48446422</v>
      </c>
      <c r="N49" s="846">
        <v>1295544</v>
      </c>
      <c r="O49" s="737">
        <f t="shared" si="2"/>
        <v>49741966</v>
      </c>
      <c r="P49" s="847">
        <v>49748713</v>
      </c>
      <c r="Q49" s="847">
        <v>1389522</v>
      </c>
      <c r="R49" s="738">
        <f t="shared" si="10"/>
        <v>51138235</v>
      </c>
      <c r="S49" s="737">
        <f t="shared" si="11"/>
        <v>80562364</v>
      </c>
      <c r="T49" s="739">
        <f t="shared" si="12"/>
        <v>81985362</v>
      </c>
      <c r="U49" s="846"/>
      <c r="V49" s="847"/>
      <c r="W49" s="846"/>
      <c r="X49" s="846"/>
      <c r="Y49" s="740">
        <f t="shared" si="6"/>
        <v>0</v>
      </c>
      <c r="Z49" s="847"/>
      <c r="AA49" s="847"/>
      <c r="AB49" s="741">
        <f t="shared" si="7"/>
        <v>0</v>
      </c>
      <c r="AC49" s="846"/>
      <c r="AD49" s="847"/>
      <c r="AE49" s="846"/>
      <c r="AF49" s="846"/>
      <c r="AG49" s="847"/>
      <c r="AH49" s="847"/>
      <c r="AI49" s="742">
        <f t="shared" si="13"/>
        <v>80562364</v>
      </c>
      <c r="AJ49" s="743">
        <f t="shared" si="14"/>
        <v>81985362</v>
      </c>
    </row>
    <row r="50" spans="1:36">
      <c r="A50" s="915" t="s">
        <v>142</v>
      </c>
      <c r="B50" s="916" t="s">
        <v>266</v>
      </c>
      <c r="C50" s="921" t="s">
        <v>319</v>
      </c>
      <c r="D50" s="917"/>
      <c r="E50" s="918">
        <v>100654</v>
      </c>
      <c r="F50" s="919">
        <v>3</v>
      </c>
      <c r="G50" s="846"/>
      <c r="H50" s="847"/>
      <c r="I50" s="846"/>
      <c r="J50" s="847"/>
      <c r="K50" s="846"/>
      <c r="L50" s="847"/>
      <c r="M50" s="846"/>
      <c r="N50" s="846"/>
      <c r="O50" s="737">
        <f t="shared" si="2"/>
        <v>0</v>
      </c>
      <c r="P50" s="847"/>
      <c r="Q50" s="847"/>
      <c r="R50" s="738">
        <f t="shared" si="10"/>
        <v>0</v>
      </c>
      <c r="S50" s="737">
        <f t="shared" si="11"/>
        <v>0</v>
      </c>
      <c r="T50" s="739">
        <f t="shared" si="12"/>
        <v>0</v>
      </c>
      <c r="U50" s="846"/>
      <c r="V50" s="847"/>
      <c r="W50" s="846"/>
      <c r="X50" s="846"/>
      <c r="Y50" s="740">
        <f t="shared" si="6"/>
        <v>0</v>
      </c>
      <c r="Z50" s="847"/>
      <c r="AA50" s="847"/>
      <c r="AB50" s="741">
        <f t="shared" si="7"/>
        <v>0</v>
      </c>
      <c r="AC50" s="846"/>
      <c r="AD50" s="847"/>
      <c r="AE50" s="846"/>
      <c r="AF50" s="846"/>
      <c r="AG50" s="847"/>
      <c r="AH50" s="847"/>
      <c r="AI50" s="742">
        <f t="shared" si="13"/>
        <v>0</v>
      </c>
      <c r="AJ50" s="743">
        <f t="shared" si="14"/>
        <v>0</v>
      </c>
    </row>
    <row r="51" spans="1:36">
      <c r="A51" s="915" t="s">
        <v>142</v>
      </c>
      <c r="B51" s="916" t="s">
        <v>266</v>
      </c>
      <c r="C51" s="922" t="s">
        <v>611</v>
      </c>
      <c r="D51" s="917"/>
      <c r="E51" s="918">
        <v>100654</v>
      </c>
      <c r="F51" s="919">
        <v>3</v>
      </c>
      <c r="G51" s="846"/>
      <c r="H51" s="847"/>
      <c r="I51" s="846"/>
      <c r="J51" s="847"/>
      <c r="K51" s="846"/>
      <c r="L51" s="847"/>
      <c r="M51" s="846"/>
      <c r="N51" s="846"/>
      <c r="O51" s="737">
        <f t="shared" si="2"/>
        <v>0</v>
      </c>
      <c r="P51" s="847"/>
      <c r="Q51" s="847"/>
      <c r="R51" s="738">
        <f t="shared" si="10"/>
        <v>0</v>
      </c>
      <c r="S51" s="737">
        <f t="shared" si="11"/>
        <v>0</v>
      </c>
      <c r="T51" s="739">
        <f t="shared" si="12"/>
        <v>0</v>
      </c>
      <c r="U51" s="846"/>
      <c r="V51" s="847"/>
      <c r="W51" s="846"/>
      <c r="X51" s="846"/>
      <c r="Y51" s="740">
        <f t="shared" si="6"/>
        <v>0</v>
      </c>
      <c r="Z51" s="847"/>
      <c r="AA51" s="847"/>
      <c r="AB51" s="741">
        <f t="shared" si="7"/>
        <v>0</v>
      </c>
      <c r="AC51" s="846"/>
      <c r="AD51" s="847"/>
      <c r="AE51" s="846"/>
      <c r="AF51" s="846"/>
      <c r="AG51" s="847"/>
      <c r="AH51" s="847"/>
      <c r="AI51" s="742">
        <f t="shared" si="13"/>
        <v>0</v>
      </c>
      <c r="AJ51" s="743">
        <f t="shared" si="14"/>
        <v>0</v>
      </c>
    </row>
    <row r="52" spans="1:36">
      <c r="A52" s="915" t="s">
        <v>142</v>
      </c>
      <c r="B52" s="916" t="s">
        <v>266</v>
      </c>
      <c r="C52" s="922" t="s">
        <v>612</v>
      </c>
      <c r="D52" s="917"/>
      <c r="E52" s="918">
        <v>100654</v>
      </c>
      <c r="F52" s="919">
        <v>3</v>
      </c>
      <c r="G52" s="846"/>
      <c r="H52" s="847"/>
      <c r="I52" s="846"/>
      <c r="J52" s="847">
        <v>100000</v>
      </c>
      <c r="K52" s="846"/>
      <c r="L52" s="847"/>
      <c r="M52" s="846"/>
      <c r="N52" s="846"/>
      <c r="O52" s="737">
        <f t="shared" si="2"/>
        <v>0</v>
      </c>
      <c r="P52" s="847"/>
      <c r="Q52" s="847"/>
      <c r="R52" s="738">
        <f t="shared" si="10"/>
        <v>0</v>
      </c>
      <c r="S52" s="737">
        <f t="shared" si="11"/>
        <v>0</v>
      </c>
      <c r="T52" s="739">
        <f t="shared" si="12"/>
        <v>100000</v>
      </c>
      <c r="U52" s="846"/>
      <c r="V52" s="847"/>
      <c r="W52" s="846"/>
      <c r="X52" s="846"/>
      <c r="Y52" s="740">
        <f t="shared" si="6"/>
        <v>0</v>
      </c>
      <c r="Z52" s="847"/>
      <c r="AA52" s="847"/>
      <c r="AB52" s="741">
        <f t="shared" si="7"/>
        <v>0</v>
      </c>
      <c r="AC52" s="846"/>
      <c r="AD52" s="847"/>
      <c r="AE52" s="846"/>
      <c r="AF52" s="846"/>
      <c r="AG52" s="847"/>
      <c r="AH52" s="847"/>
      <c r="AI52" s="742">
        <f t="shared" si="13"/>
        <v>0</v>
      </c>
      <c r="AJ52" s="743">
        <f t="shared" si="14"/>
        <v>100000</v>
      </c>
    </row>
    <row r="53" spans="1:36">
      <c r="A53" s="915" t="s">
        <v>142</v>
      </c>
      <c r="B53" s="916" t="s">
        <v>267</v>
      </c>
      <c r="C53" s="921" t="s">
        <v>258</v>
      </c>
      <c r="D53" s="917"/>
      <c r="E53" s="918">
        <v>100654</v>
      </c>
      <c r="F53" s="919">
        <v>3</v>
      </c>
      <c r="G53" s="846"/>
      <c r="H53" s="847"/>
      <c r="I53" s="846"/>
      <c r="J53" s="847"/>
      <c r="K53" s="846"/>
      <c r="L53" s="847"/>
      <c r="M53" s="846"/>
      <c r="N53" s="846"/>
      <c r="O53" s="737">
        <f t="shared" si="2"/>
        <v>0</v>
      </c>
      <c r="P53" s="847"/>
      <c r="Q53" s="847"/>
      <c r="R53" s="738">
        <f t="shared" si="10"/>
        <v>0</v>
      </c>
      <c r="S53" s="737">
        <f t="shared" si="11"/>
        <v>0</v>
      </c>
      <c r="T53" s="739">
        <f t="shared" si="12"/>
        <v>0</v>
      </c>
      <c r="U53" s="846"/>
      <c r="V53" s="847"/>
      <c r="W53" s="846"/>
      <c r="X53" s="846"/>
      <c r="Y53" s="740">
        <f t="shared" si="6"/>
        <v>0</v>
      </c>
      <c r="Z53" s="847"/>
      <c r="AA53" s="847"/>
      <c r="AB53" s="741">
        <f t="shared" si="7"/>
        <v>0</v>
      </c>
      <c r="AC53" s="846"/>
      <c r="AD53" s="847"/>
      <c r="AE53" s="846"/>
      <c r="AF53" s="846"/>
      <c r="AG53" s="847"/>
      <c r="AH53" s="847"/>
      <c r="AI53" s="742">
        <f t="shared" si="13"/>
        <v>0</v>
      </c>
      <c r="AJ53" s="743">
        <f t="shared" si="14"/>
        <v>0</v>
      </c>
    </row>
    <row r="54" spans="1:36">
      <c r="A54" s="915" t="s">
        <v>142</v>
      </c>
      <c r="B54" s="916" t="s">
        <v>267</v>
      </c>
      <c r="C54" s="922" t="s">
        <v>589</v>
      </c>
      <c r="D54" s="917"/>
      <c r="E54" s="918">
        <v>100654</v>
      </c>
      <c r="F54" s="919">
        <v>3</v>
      </c>
      <c r="G54" s="846"/>
      <c r="H54" s="847"/>
      <c r="I54" s="846">
        <v>256858</v>
      </c>
      <c r="J54" s="847">
        <v>256858</v>
      </c>
      <c r="K54" s="846"/>
      <c r="L54" s="847"/>
      <c r="M54" s="846"/>
      <c r="N54" s="846"/>
      <c r="O54" s="737">
        <f t="shared" si="2"/>
        <v>0</v>
      </c>
      <c r="P54" s="847"/>
      <c r="Q54" s="847"/>
      <c r="R54" s="738">
        <f t="shared" si="10"/>
        <v>0</v>
      </c>
      <c r="S54" s="737">
        <f t="shared" si="11"/>
        <v>256858</v>
      </c>
      <c r="T54" s="739">
        <f t="shared" si="12"/>
        <v>256858</v>
      </c>
      <c r="U54" s="846"/>
      <c r="V54" s="847"/>
      <c r="W54" s="846"/>
      <c r="X54" s="846"/>
      <c r="Y54" s="740">
        <f t="shared" si="6"/>
        <v>0</v>
      </c>
      <c r="Z54" s="847"/>
      <c r="AA54" s="847"/>
      <c r="AB54" s="741">
        <f t="shared" si="7"/>
        <v>0</v>
      </c>
      <c r="AC54" s="846"/>
      <c r="AD54" s="847"/>
      <c r="AE54" s="846"/>
      <c r="AF54" s="846"/>
      <c r="AG54" s="847"/>
      <c r="AH54" s="847"/>
      <c r="AI54" s="742">
        <f t="shared" si="13"/>
        <v>256858</v>
      </c>
      <c r="AJ54" s="743">
        <f t="shared" si="14"/>
        <v>256858</v>
      </c>
    </row>
    <row r="55" spans="1:36">
      <c r="A55" s="915" t="s">
        <v>142</v>
      </c>
      <c r="B55" s="916" t="s">
        <v>268</v>
      </c>
      <c r="C55" s="921" t="s">
        <v>613</v>
      </c>
      <c r="D55" s="917"/>
      <c r="E55" s="918">
        <v>100654</v>
      </c>
      <c r="F55" s="919">
        <v>3</v>
      </c>
      <c r="G55" s="846"/>
      <c r="H55" s="847"/>
      <c r="I55" s="846">
        <v>5215567</v>
      </c>
      <c r="J55" s="847">
        <v>5215567</v>
      </c>
      <c r="K55" s="846"/>
      <c r="L55" s="847"/>
      <c r="M55" s="846"/>
      <c r="N55" s="846"/>
      <c r="O55" s="737">
        <f t="shared" si="2"/>
        <v>0</v>
      </c>
      <c r="P55" s="847"/>
      <c r="Q55" s="847"/>
      <c r="R55" s="738">
        <f t="shared" si="10"/>
        <v>0</v>
      </c>
      <c r="S55" s="737">
        <f t="shared" si="11"/>
        <v>5215567</v>
      </c>
      <c r="T55" s="739">
        <f t="shared" si="12"/>
        <v>5215567</v>
      </c>
      <c r="U55" s="846"/>
      <c r="V55" s="847"/>
      <c r="W55" s="846"/>
      <c r="X55" s="846"/>
      <c r="Y55" s="740">
        <f t="shared" si="6"/>
        <v>0</v>
      </c>
      <c r="Z55" s="847"/>
      <c r="AA55" s="847"/>
      <c r="AB55" s="741">
        <f t="shared" si="7"/>
        <v>0</v>
      </c>
      <c r="AC55" s="846"/>
      <c r="AD55" s="847"/>
      <c r="AE55" s="846"/>
      <c r="AF55" s="846"/>
      <c r="AG55" s="847"/>
      <c r="AH55" s="847"/>
      <c r="AI55" s="742">
        <f t="shared" si="13"/>
        <v>5215567</v>
      </c>
      <c r="AJ55" s="743">
        <f t="shared" si="14"/>
        <v>5215567</v>
      </c>
    </row>
    <row r="56" spans="1:36">
      <c r="A56" s="915" t="s">
        <v>142</v>
      </c>
      <c r="B56" s="916" t="s">
        <v>268</v>
      </c>
      <c r="C56" s="922" t="s">
        <v>614</v>
      </c>
      <c r="D56" s="917"/>
      <c r="E56" s="918">
        <v>100654</v>
      </c>
      <c r="F56" s="919">
        <v>3</v>
      </c>
      <c r="G56" s="846"/>
      <c r="H56" s="847"/>
      <c r="I56" s="846">
        <v>2153416</v>
      </c>
      <c r="J56" s="847">
        <v>2153416</v>
      </c>
      <c r="K56" s="846"/>
      <c r="L56" s="847"/>
      <c r="M56" s="846"/>
      <c r="N56" s="846"/>
      <c r="O56" s="737">
        <f t="shared" si="2"/>
        <v>0</v>
      </c>
      <c r="P56" s="847"/>
      <c r="Q56" s="847"/>
      <c r="R56" s="738">
        <f t="shared" si="10"/>
        <v>0</v>
      </c>
      <c r="S56" s="737">
        <f t="shared" si="11"/>
        <v>2153416</v>
      </c>
      <c r="T56" s="739">
        <f t="shared" si="12"/>
        <v>2153416</v>
      </c>
      <c r="U56" s="846"/>
      <c r="V56" s="847"/>
      <c r="W56" s="846"/>
      <c r="X56" s="846"/>
      <c r="Y56" s="740">
        <f t="shared" si="6"/>
        <v>0</v>
      </c>
      <c r="Z56" s="847"/>
      <c r="AA56" s="847"/>
      <c r="AB56" s="741">
        <f t="shared" si="7"/>
        <v>0</v>
      </c>
      <c r="AC56" s="846"/>
      <c r="AD56" s="847"/>
      <c r="AE56" s="846"/>
      <c r="AF56" s="846"/>
      <c r="AG56" s="847"/>
      <c r="AH56" s="847"/>
      <c r="AI56" s="742">
        <f t="shared" si="13"/>
        <v>2153416</v>
      </c>
      <c r="AJ56" s="743">
        <f t="shared" si="14"/>
        <v>2153416</v>
      </c>
    </row>
    <row r="57" spans="1:36">
      <c r="A57" s="915" t="s">
        <v>142</v>
      </c>
      <c r="B57" s="916" t="s">
        <v>264</v>
      </c>
      <c r="C57" s="923" t="s">
        <v>615</v>
      </c>
      <c r="D57" s="924"/>
      <c r="E57" s="918">
        <v>101480</v>
      </c>
      <c r="F57" s="919">
        <v>3</v>
      </c>
      <c r="G57" s="846">
        <v>35444357</v>
      </c>
      <c r="H57" s="847">
        <v>35753125</v>
      </c>
      <c r="I57" s="846"/>
      <c r="J57" s="847"/>
      <c r="K57" s="846"/>
      <c r="L57" s="847"/>
      <c r="M57" s="890">
        <v>59477467</v>
      </c>
      <c r="N57" s="846">
        <v>6144129</v>
      </c>
      <c r="O57" s="737">
        <f t="shared" si="2"/>
        <v>65621596</v>
      </c>
      <c r="P57" s="847">
        <v>59878219</v>
      </c>
      <c r="Q57" s="847">
        <v>6130656</v>
      </c>
      <c r="R57" s="738">
        <f t="shared" si="10"/>
        <v>66008875</v>
      </c>
      <c r="S57" s="737">
        <f t="shared" si="11"/>
        <v>94921824</v>
      </c>
      <c r="T57" s="739">
        <f t="shared" si="12"/>
        <v>95631344</v>
      </c>
      <c r="U57" s="846"/>
      <c r="V57" s="847"/>
      <c r="W57" s="846"/>
      <c r="X57" s="846"/>
      <c r="Y57" s="740">
        <f t="shared" si="6"/>
        <v>0</v>
      </c>
      <c r="Z57" s="847"/>
      <c r="AA57" s="847"/>
      <c r="AB57" s="741">
        <f t="shared" si="7"/>
        <v>0</v>
      </c>
      <c r="AC57" s="846"/>
      <c r="AD57" s="847"/>
      <c r="AE57" s="846"/>
      <c r="AF57" s="846"/>
      <c r="AG57" s="847"/>
      <c r="AH57" s="847"/>
      <c r="AI57" s="742">
        <f t="shared" si="13"/>
        <v>94921824</v>
      </c>
      <c r="AJ57" s="743">
        <f t="shared" si="14"/>
        <v>95631344</v>
      </c>
    </row>
    <row r="58" spans="1:36">
      <c r="A58" s="915" t="s">
        <v>142</v>
      </c>
      <c r="B58" s="916" t="s">
        <v>266</v>
      </c>
      <c r="C58" s="921" t="s">
        <v>319</v>
      </c>
      <c r="D58" s="917"/>
      <c r="E58" s="918">
        <v>101480</v>
      </c>
      <c r="F58" s="919">
        <v>3</v>
      </c>
      <c r="G58" s="846"/>
      <c r="H58" s="847"/>
      <c r="I58" s="846"/>
      <c r="J58" s="847"/>
      <c r="K58" s="846"/>
      <c r="L58" s="847"/>
      <c r="M58" s="846"/>
      <c r="N58" s="846"/>
      <c r="O58" s="737">
        <f t="shared" si="2"/>
        <v>0</v>
      </c>
      <c r="P58" s="847"/>
      <c r="Q58" s="847"/>
      <c r="R58" s="738">
        <f t="shared" si="10"/>
        <v>0</v>
      </c>
      <c r="S58" s="737">
        <f t="shared" si="11"/>
        <v>0</v>
      </c>
      <c r="T58" s="739">
        <f t="shared" si="12"/>
        <v>0</v>
      </c>
      <c r="U58" s="846"/>
      <c r="V58" s="847"/>
      <c r="W58" s="846"/>
      <c r="X58" s="846"/>
      <c r="Y58" s="740">
        <f t="shared" si="6"/>
        <v>0</v>
      </c>
      <c r="Z58" s="847"/>
      <c r="AA58" s="847"/>
      <c r="AB58" s="741">
        <f t="shared" si="7"/>
        <v>0</v>
      </c>
      <c r="AC58" s="846"/>
      <c r="AD58" s="847"/>
      <c r="AE58" s="846"/>
      <c r="AF58" s="846"/>
      <c r="AG58" s="847"/>
      <c r="AH58" s="847"/>
      <c r="AI58" s="742">
        <f t="shared" si="13"/>
        <v>0</v>
      </c>
      <c r="AJ58" s="743">
        <f t="shared" si="14"/>
        <v>0</v>
      </c>
    </row>
    <row r="59" spans="1:36">
      <c r="A59" s="915" t="s">
        <v>142</v>
      </c>
      <c r="B59" s="916" t="s">
        <v>266</v>
      </c>
      <c r="C59" s="922" t="s">
        <v>616</v>
      </c>
      <c r="D59" s="917"/>
      <c r="E59" s="918">
        <v>101480</v>
      </c>
      <c r="F59" s="919">
        <v>3</v>
      </c>
      <c r="G59" s="846"/>
      <c r="H59" s="847"/>
      <c r="I59" s="846">
        <v>188233</v>
      </c>
      <c r="J59" s="1466">
        <v>251334</v>
      </c>
      <c r="K59" s="846"/>
      <c r="L59" s="847"/>
      <c r="M59" s="846"/>
      <c r="N59" s="846"/>
      <c r="O59" s="737">
        <f t="shared" si="2"/>
        <v>0</v>
      </c>
      <c r="P59" s="847"/>
      <c r="Q59" s="847"/>
      <c r="R59" s="738">
        <f t="shared" si="10"/>
        <v>0</v>
      </c>
      <c r="S59" s="737">
        <f t="shared" si="11"/>
        <v>188233</v>
      </c>
      <c r="T59" s="739">
        <f t="shared" si="12"/>
        <v>251334</v>
      </c>
      <c r="U59" s="846"/>
      <c r="V59" s="847"/>
      <c r="W59" s="846"/>
      <c r="X59" s="846"/>
      <c r="Y59" s="740">
        <f t="shared" si="6"/>
        <v>0</v>
      </c>
      <c r="Z59" s="847"/>
      <c r="AA59" s="847"/>
      <c r="AB59" s="741">
        <f t="shared" si="7"/>
        <v>0</v>
      </c>
      <c r="AC59" s="846"/>
      <c r="AD59" s="847"/>
      <c r="AE59" s="846"/>
      <c r="AF59" s="846"/>
      <c r="AG59" s="847"/>
      <c r="AH59" s="847"/>
      <c r="AI59" s="742">
        <f t="shared" si="13"/>
        <v>188233</v>
      </c>
      <c r="AJ59" s="743">
        <f t="shared" si="14"/>
        <v>251334</v>
      </c>
    </row>
    <row r="60" spans="1:36">
      <c r="A60" s="915" t="s">
        <v>142</v>
      </c>
      <c r="B60" s="916" t="s">
        <v>266</v>
      </c>
      <c r="C60" s="922" t="s">
        <v>617</v>
      </c>
      <c r="D60" s="917"/>
      <c r="E60" s="918">
        <v>101480</v>
      </c>
      <c r="F60" s="919">
        <v>3</v>
      </c>
      <c r="G60" s="846"/>
      <c r="H60" s="847"/>
      <c r="I60" s="846">
        <v>226194</v>
      </c>
      <c r="J60" s="1466">
        <v>100000</v>
      </c>
      <c r="K60" s="846"/>
      <c r="L60" s="847"/>
      <c r="M60" s="846"/>
      <c r="N60" s="846"/>
      <c r="O60" s="737">
        <f t="shared" si="2"/>
        <v>0</v>
      </c>
      <c r="P60" s="847"/>
      <c r="Q60" s="847"/>
      <c r="R60" s="738">
        <f t="shared" si="10"/>
        <v>0</v>
      </c>
      <c r="S60" s="737">
        <f t="shared" si="11"/>
        <v>226194</v>
      </c>
      <c r="T60" s="739">
        <f t="shared" si="12"/>
        <v>100000</v>
      </c>
      <c r="U60" s="846"/>
      <c r="V60" s="847"/>
      <c r="W60" s="846"/>
      <c r="X60" s="846"/>
      <c r="Y60" s="740">
        <f t="shared" si="6"/>
        <v>0</v>
      </c>
      <c r="Z60" s="847"/>
      <c r="AA60" s="847"/>
      <c r="AB60" s="741">
        <f t="shared" si="7"/>
        <v>0</v>
      </c>
      <c r="AC60" s="846"/>
      <c r="AD60" s="847"/>
      <c r="AE60" s="846"/>
      <c r="AF60" s="846"/>
      <c r="AG60" s="847"/>
      <c r="AH60" s="847"/>
      <c r="AI60" s="742">
        <f t="shared" si="13"/>
        <v>226194</v>
      </c>
      <c r="AJ60" s="743">
        <f t="shared" si="14"/>
        <v>100000</v>
      </c>
    </row>
    <row r="61" spans="1:36">
      <c r="A61" s="915" t="s">
        <v>142</v>
      </c>
      <c r="B61" s="916" t="s">
        <v>266</v>
      </c>
      <c r="C61" s="922" t="s">
        <v>618</v>
      </c>
      <c r="D61" s="917"/>
      <c r="E61" s="918">
        <v>101480</v>
      </c>
      <c r="F61" s="919">
        <v>3</v>
      </c>
      <c r="G61" s="846"/>
      <c r="H61" s="847"/>
      <c r="I61" s="846">
        <v>100000</v>
      </c>
      <c r="J61" s="847">
        <v>100000</v>
      </c>
      <c r="K61" s="846"/>
      <c r="L61" s="847"/>
      <c r="M61" s="846"/>
      <c r="N61" s="846"/>
      <c r="O61" s="737">
        <f t="shared" si="2"/>
        <v>0</v>
      </c>
      <c r="P61" s="847"/>
      <c r="Q61" s="847"/>
      <c r="R61" s="738">
        <f t="shared" si="10"/>
        <v>0</v>
      </c>
      <c r="S61" s="737">
        <f t="shared" si="11"/>
        <v>100000</v>
      </c>
      <c r="T61" s="739">
        <f t="shared" si="12"/>
        <v>100000</v>
      </c>
      <c r="U61" s="846"/>
      <c r="V61" s="847"/>
      <c r="W61" s="846"/>
      <c r="X61" s="846"/>
      <c r="Y61" s="740">
        <f t="shared" si="6"/>
        <v>0</v>
      </c>
      <c r="Z61" s="847"/>
      <c r="AA61" s="847"/>
      <c r="AB61" s="741">
        <f t="shared" si="7"/>
        <v>0</v>
      </c>
      <c r="AC61" s="846"/>
      <c r="AD61" s="847"/>
      <c r="AE61" s="846"/>
      <c r="AF61" s="846"/>
      <c r="AG61" s="847"/>
      <c r="AH61" s="847"/>
      <c r="AI61" s="742">
        <f t="shared" si="13"/>
        <v>100000</v>
      </c>
      <c r="AJ61" s="743">
        <f t="shared" si="14"/>
        <v>100000</v>
      </c>
    </row>
    <row r="62" spans="1:36">
      <c r="A62" s="915" t="s">
        <v>142</v>
      </c>
      <c r="B62" s="916" t="s">
        <v>267</v>
      </c>
      <c r="C62" s="921" t="s">
        <v>258</v>
      </c>
      <c r="D62" s="917"/>
      <c r="E62" s="918">
        <v>101480</v>
      </c>
      <c r="F62" s="919">
        <v>3</v>
      </c>
      <c r="G62" s="846"/>
      <c r="H62" s="847"/>
      <c r="I62" s="846"/>
      <c r="J62" s="847"/>
      <c r="K62" s="846"/>
      <c r="L62" s="847"/>
      <c r="M62" s="846"/>
      <c r="N62" s="846"/>
      <c r="O62" s="737">
        <f t="shared" si="2"/>
        <v>0</v>
      </c>
      <c r="P62" s="847"/>
      <c r="Q62" s="847"/>
      <c r="R62" s="738">
        <f t="shared" si="10"/>
        <v>0</v>
      </c>
      <c r="S62" s="737">
        <f t="shared" si="11"/>
        <v>0</v>
      </c>
      <c r="T62" s="739">
        <f t="shared" si="12"/>
        <v>0</v>
      </c>
      <c r="U62" s="846"/>
      <c r="V62" s="847"/>
      <c r="W62" s="846"/>
      <c r="X62" s="846"/>
      <c r="Y62" s="740">
        <f t="shared" si="6"/>
        <v>0</v>
      </c>
      <c r="Z62" s="847"/>
      <c r="AA62" s="847"/>
      <c r="AB62" s="741">
        <f t="shared" si="7"/>
        <v>0</v>
      </c>
      <c r="AC62" s="846"/>
      <c r="AD62" s="847"/>
      <c r="AE62" s="846"/>
      <c r="AF62" s="846"/>
      <c r="AG62" s="847"/>
      <c r="AH62" s="847"/>
      <c r="AI62" s="742">
        <f t="shared" si="13"/>
        <v>0</v>
      </c>
      <c r="AJ62" s="743">
        <f t="shared" si="14"/>
        <v>0</v>
      </c>
    </row>
    <row r="63" spans="1:36">
      <c r="A63" s="915" t="s">
        <v>142</v>
      </c>
      <c r="B63" s="916" t="s">
        <v>267</v>
      </c>
      <c r="C63" s="922" t="s">
        <v>589</v>
      </c>
      <c r="D63" s="917"/>
      <c r="E63" s="918">
        <v>101480</v>
      </c>
      <c r="F63" s="919">
        <v>3</v>
      </c>
      <c r="G63" s="846"/>
      <c r="H63" s="847"/>
      <c r="I63" s="846">
        <v>218872</v>
      </c>
      <c r="J63" s="847">
        <v>218872</v>
      </c>
      <c r="K63" s="846"/>
      <c r="L63" s="847"/>
      <c r="M63" s="846"/>
      <c r="N63" s="846"/>
      <c r="O63" s="737">
        <f t="shared" si="2"/>
        <v>0</v>
      </c>
      <c r="P63" s="847"/>
      <c r="Q63" s="847"/>
      <c r="R63" s="738">
        <f t="shared" si="10"/>
        <v>0</v>
      </c>
      <c r="S63" s="737">
        <f t="shared" si="11"/>
        <v>218872</v>
      </c>
      <c r="T63" s="739">
        <f t="shared" si="12"/>
        <v>218872</v>
      </c>
      <c r="U63" s="846"/>
      <c r="V63" s="847"/>
      <c r="W63" s="846"/>
      <c r="X63" s="846"/>
      <c r="Y63" s="740">
        <f t="shared" si="6"/>
        <v>0</v>
      </c>
      <c r="Z63" s="847"/>
      <c r="AA63" s="847"/>
      <c r="AB63" s="741">
        <f t="shared" si="7"/>
        <v>0</v>
      </c>
      <c r="AC63" s="846"/>
      <c r="AD63" s="847"/>
      <c r="AE63" s="846"/>
      <c r="AF63" s="846"/>
      <c r="AG63" s="847"/>
      <c r="AH63" s="847"/>
      <c r="AI63" s="742">
        <f t="shared" si="13"/>
        <v>218872</v>
      </c>
      <c r="AJ63" s="743">
        <f t="shared" si="14"/>
        <v>218872</v>
      </c>
    </row>
    <row r="64" spans="1:36">
      <c r="A64" s="915" t="s">
        <v>142</v>
      </c>
      <c r="B64" s="916" t="s">
        <v>264</v>
      </c>
      <c r="C64" s="923" t="s">
        <v>619</v>
      </c>
      <c r="D64" s="924"/>
      <c r="E64" s="918">
        <v>102368</v>
      </c>
      <c r="F64" s="919">
        <v>3</v>
      </c>
      <c r="G64" s="846">
        <v>45411069</v>
      </c>
      <c r="H64" s="847">
        <v>45580458</v>
      </c>
      <c r="I64" s="846"/>
      <c r="J64" s="847"/>
      <c r="K64" s="846"/>
      <c r="L64" s="847"/>
      <c r="M64" s="890">
        <v>69901605</v>
      </c>
      <c r="N64" s="890">
        <v>9919270</v>
      </c>
      <c r="O64" s="737">
        <f t="shared" si="2"/>
        <v>79820875</v>
      </c>
      <c r="P64" s="847">
        <v>72028950</v>
      </c>
      <c r="Q64" s="847">
        <v>11350000</v>
      </c>
      <c r="R64" s="738">
        <f t="shared" si="10"/>
        <v>83378950</v>
      </c>
      <c r="S64" s="737">
        <f t="shared" si="11"/>
        <v>115312674</v>
      </c>
      <c r="T64" s="739">
        <f t="shared" si="12"/>
        <v>117609408</v>
      </c>
      <c r="U64" s="846"/>
      <c r="V64" s="847"/>
      <c r="W64" s="846"/>
      <c r="X64" s="846"/>
      <c r="Y64" s="740">
        <f t="shared" si="6"/>
        <v>0</v>
      </c>
      <c r="Z64" s="847"/>
      <c r="AA64" s="847"/>
      <c r="AB64" s="741">
        <f t="shared" si="7"/>
        <v>0</v>
      </c>
      <c r="AC64" s="846"/>
      <c r="AD64" s="847"/>
      <c r="AE64" s="846"/>
      <c r="AF64" s="846"/>
      <c r="AG64" s="847"/>
      <c r="AH64" s="847"/>
      <c r="AI64" s="742">
        <f t="shared" si="13"/>
        <v>115312674</v>
      </c>
      <c r="AJ64" s="743">
        <f t="shared" si="14"/>
        <v>117609408</v>
      </c>
    </row>
    <row r="65" spans="1:36">
      <c r="A65" s="915" t="s">
        <v>142</v>
      </c>
      <c r="B65" s="916" t="s">
        <v>266</v>
      </c>
      <c r="C65" s="921" t="s">
        <v>319</v>
      </c>
      <c r="D65" s="917"/>
      <c r="E65" s="918">
        <v>102368</v>
      </c>
      <c r="F65" s="919">
        <v>3</v>
      </c>
      <c r="G65" s="846"/>
      <c r="H65" s="847"/>
      <c r="I65" s="846"/>
      <c r="J65" s="847"/>
      <c r="K65" s="846"/>
      <c r="L65" s="847"/>
      <c r="M65" s="846"/>
      <c r="N65" s="846"/>
      <c r="O65" s="737">
        <f t="shared" si="2"/>
        <v>0</v>
      </c>
      <c r="P65" s="847"/>
      <c r="Q65" s="847"/>
      <c r="R65" s="738">
        <f t="shared" si="10"/>
        <v>0</v>
      </c>
      <c r="S65" s="737">
        <f t="shared" si="11"/>
        <v>0</v>
      </c>
      <c r="T65" s="739">
        <f t="shared" si="12"/>
        <v>0</v>
      </c>
      <c r="U65" s="846"/>
      <c r="V65" s="847"/>
      <c r="W65" s="846"/>
      <c r="X65" s="846"/>
      <c r="Y65" s="740">
        <f t="shared" si="6"/>
        <v>0</v>
      </c>
      <c r="Z65" s="847"/>
      <c r="AA65" s="847"/>
      <c r="AB65" s="741">
        <f t="shared" si="7"/>
        <v>0</v>
      </c>
      <c r="AC65" s="846"/>
      <c r="AD65" s="847"/>
      <c r="AE65" s="846"/>
      <c r="AF65" s="846"/>
      <c r="AG65" s="847"/>
      <c r="AH65" s="847"/>
      <c r="AI65" s="742">
        <f t="shared" si="13"/>
        <v>0</v>
      </c>
      <c r="AJ65" s="743">
        <f t="shared" si="14"/>
        <v>0</v>
      </c>
    </row>
    <row r="66" spans="1:36">
      <c r="A66" s="915" t="s">
        <v>142</v>
      </c>
      <c r="B66" s="916" t="s">
        <v>266</v>
      </c>
      <c r="C66" s="922" t="s">
        <v>620</v>
      </c>
      <c r="D66" s="917"/>
      <c r="E66" s="918">
        <v>102368</v>
      </c>
      <c r="F66" s="919">
        <v>3</v>
      </c>
      <c r="G66" s="846"/>
      <c r="H66" s="847"/>
      <c r="I66" s="846">
        <v>37647</v>
      </c>
      <c r="J66" s="847">
        <v>37647</v>
      </c>
      <c r="K66" s="846"/>
      <c r="L66" s="847"/>
      <c r="M66" s="846"/>
      <c r="N66" s="846"/>
      <c r="O66" s="737">
        <f t="shared" si="2"/>
        <v>0</v>
      </c>
      <c r="P66" s="847"/>
      <c r="Q66" s="847"/>
      <c r="R66" s="738">
        <f t="shared" si="10"/>
        <v>0</v>
      </c>
      <c r="S66" s="737">
        <f t="shared" si="11"/>
        <v>37647</v>
      </c>
      <c r="T66" s="739">
        <f t="shared" si="12"/>
        <v>37647</v>
      </c>
      <c r="U66" s="846"/>
      <c r="V66" s="847"/>
      <c r="W66" s="846"/>
      <c r="X66" s="846"/>
      <c r="Y66" s="740">
        <f t="shared" si="6"/>
        <v>0</v>
      </c>
      <c r="Z66" s="847"/>
      <c r="AA66" s="847"/>
      <c r="AB66" s="741">
        <f t="shared" si="7"/>
        <v>0</v>
      </c>
      <c r="AC66" s="846"/>
      <c r="AD66" s="847"/>
      <c r="AE66" s="846"/>
      <c r="AF66" s="846"/>
      <c r="AG66" s="847"/>
      <c r="AH66" s="847"/>
      <c r="AI66" s="742">
        <f t="shared" si="13"/>
        <v>37647</v>
      </c>
      <c r="AJ66" s="743">
        <f t="shared" si="14"/>
        <v>37647</v>
      </c>
    </row>
    <row r="67" spans="1:36">
      <c r="A67" s="915" t="s">
        <v>142</v>
      </c>
      <c r="B67" s="916" t="s">
        <v>266</v>
      </c>
      <c r="C67" s="922" t="s">
        <v>621</v>
      </c>
      <c r="D67" s="917"/>
      <c r="E67" s="918">
        <v>102368</v>
      </c>
      <c r="F67" s="919">
        <v>3</v>
      </c>
      <c r="G67" s="846"/>
      <c r="H67" s="847"/>
      <c r="I67" s="846">
        <v>250000</v>
      </c>
      <c r="J67" s="847">
        <v>250000</v>
      </c>
      <c r="K67" s="846"/>
      <c r="L67" s="847"/>
      <c r="M67" s="846"/>
      <c r="N67" s="846"/>
      <c r="O67" s="737">
        <f t="shared" si="2"/>
        <v>0</v>
      </c>
      <c r="P67" s="847"/>
      <c r="Q67" s="847"/>
      <c r="R67" s="738">
        <f t="shared" si="10"/>
        <v>0</v>
      </c>
      <c r="S67" s="737">
        <f t="shared" si="11"/>
        <v>250000</v>
      </c>
      <c r="T67" s="739">
        <f t="shared" si="12"/>
        <v>250000</v>
      </c>
      <c r="U67" s="846"/>
      <c r="V67" s="847"/>
      <c r="W67" s="846"/>
      <c r="X67" s="846"/>
      <c r="Y67" s="740">
        <f t="shared" si="6"/>
        <v>0</v>
      </c>
      <c r="Z67" s="847"/>
      <c r="AA67" s="847"/>
      <c r="AB67" s="741">
        <f t="shared" si="7"/>
        <v>0</v>
      </c>
      <c r="AC67" s="846"/>
      <c r="AD67" s="847"/>
      <c r="AE67" s="846"/>
      <c r="AF67" s="846"/>
      <c r="AG67" s="847"/>
      <c r="AH67" s="847"/>
      <c r="AI67" s="742">
        <f t="shared" si="13"/>
        <v>250000</v>
      </c>
      <c r="AJ67" s="743">
        <f t="shared" si="14"/>
        <v>250000</v>
      </c>
    </row>
    <row r="68" spans="1:36">
      <c r="A68" s="915" t="s">
        <v>142</v>
      </c>
      <c r="B68" s="916" t="s">
        <v>267</v>
      </c>
      <c r="C68" s="921" t="s">
        <v>258</v>
      </c>
      <c r="D68" s="917"/>
      <c r="E68" s="918">
        <v>102368</v>
      </c>
      <c r="F68" s="919">
        <v>3</v>
      </c>
      <c r="G68" s="846"/>
      <c r="H68" s="847"/>
      <c r="I68" s="846"/>
      <c r="J68" s="847"/>
      <c r="K68" s="846"/>
      <c r="L68" s="847"/>
      <c r="M68" s="846"/>
      <c r="N68" s="846"/>
      <c r="O68" s="737">
        <f t="shared" si="2"/>
        <v>0</v>
      </c>
      <c r="P68" s="847"/>
      <c r="Q68" s="847"/>
      <c r="R68" s="738">
        <f t="shared" si="10"/>
        <v>0</v>
      </c>
      <c r="S68" s="737">
        <f t="shared" si="11"/>
        <v>0</v>
      </c>
      <c r="T68" s="739">
        <f t="shared" si="12"/>
        <v>0</v>
      </c>
      <c r="U68" s="846"/>
      <c r="V68" s="847"/>
      <c r="W68" s="846"/>
      <c r="X68" s="846"/>
      <c r="Y68" s="740">
        <f t="shared" si="6"/>
        <v>0</v>
      </c>
      <c r="Z68" s="847"/>
      <c r="AA68" s="847"/>
      <c r="AB68" s="741">
        <f t="shared" si="7"/>
        <v>0</v>
      </c>
      <c r="AC68" s="846"/>
      <c r="AD68" s="847"/>
      <c r="AE68" s="846"/>
      <c r="AF68" s="846"/>
      <c r="AG68" s="847"/>
      <c r="AH68" s="847"/>
      <c r="AI68" s="742">
        <f t="shared" si="13"/>
        <v>0</v>
      </c>
      <c r="AJ68" s="743">
        <f t="shared" si="14"/>
        <v>0</v>
      </c>
    </row>
    <row r="69" spans="1:36">
      <c r="A69" s="915" t="s">
        <v>142</v>
      </c>
      <c r="B69" s="916" t="s">
        <v>267</v>
      </c>
      <c r="C69" s="922" t="s">
        <v>589</v>
      </c>
      <c r="D69" s="917"/>
      <c r="E69" s="918">
        <v>102368</v>
      </c>
      <c r="F69" s="919">
        <v>3</v>
      </c>
      <c r="G69" s="846"/>
      <c r="H69" s="847"/>
      <c r="I69" s="846">
        <v>232309</v>
      </c>
      <c r="J69" s="847">
        <v>232309</v>
      </c>
      <c r="K69" s="846"/>
      <c r="L69" s="847"/>
      <c r="M69" s="846"/>
      <c r="N69" s="846"/>
      <c r="O69" s="737">
        <f t="shared" si="2"/>
        <v>0</v>
      </c>
      <c r="P69" s="847"/>
      <c r="Q69" s="847"/>
      <c r="R69" s="738">
        <f t="shared" si="10"/>
        <v>0</v>
      </c>
      <c r="S69" s="737">
        <f t="shared" si="11"/>
        <v>232309</v>
      </c>
      <c r="T69" s="739">
        <f t="shared" si="12"/>
        <v>232309</v>
      </c>
      <c r="U69" s="846"/>
      <c r="V69" s="847"/>
      <c r="W69" s="846"/>
      <c r="X69" s="846"/>
      <c r="Y69" s="740">
        <f t="shared" si="6"/>
        <v>0</v>
      </c>
      <c r="Z69" s="847"/>
      <c r="AA69" s="847"/>
      <c r="AB69" s="741">
        <f t="shared" si="7"/>
        <v>0</v>
      </c>
      <c r="AC69" s="846"/>
      <c r="AD69" s="847"/>
      <c r="AE69" s="846"/>
      <c r="AF69" s="846"/>
      <c r="AG69" s="847"/>
      <c r="AH69" s="847"/>
      <c r="AI69" s="742">
        <f t="shared" si="13"/>
        <v>232309</v>
      </c>
      <c r="AJ69" s="743">
        <f t="shared" si="14"/>
        <v>232309</v>
      </c>
    </row>
    <row r="70" spans="1:36">
      <c r="A70" s="915" t="s">
        <v>142</v>
      </c>
      <c r="B70" s="916" t="s">
        <v>264</v>
      </c>
      <c r="C70" s="923" t="s">
        <v>622</v>
      </c>
      <c r="D70" s="924"/>
      <c r="E70" s="918">
        <v>102094</v>
      </c>
      <c r="F70" s="919">
        <v>3</v>
      </c>
      <c r="G70" s="846">
        <v>19414513</v>
      </c>
      <c r="H70" s="847">
        <v>21248256</v>
      </c>
      <c r="I70" s="846"/>
      <c r="J70" s="847"/>
      <c r="K70" s="846"/>
      <c r="L70" s="847"/>
      <c r="M70" s="890">
        <v>61886631</v>
      </c>
      <c r="N70" s="890">
        <v>16208583</v>
      </c>
      <c r="O70" s="737">
        <f t="shared" si="2"/>
        <v>78095214</v>
      </c>
      <c r="P70" s="847">
        <v>62415327</v>
      </c>
      <c r="Q70" s="847">
        <v>16347052</v>
      </c>
      <c r="R70" s="738">
        <f t="shared" si="10"/>
        <v>78762379</v>
      </c>
      <c r="S70" s="737">
        <f t="shared" si="11"/>
        <v>81301144</v>
      </c>
      <c r="T70" s="739">
        <f t="shared" si="12"/>
        <v>83663583</v>
      </c>
      <c r="U70" s="846"/>
      <c r="V70" s="847"/>
      <c r="W70" s="846"/>
      <c r="X70" s="846"/>
      <c r="Y70" s="740">
        <f t="shared" si="6"/>
        <v>0</v>
      </c>
      <c r="Z70" s="847"/>
      <c r="AA70" s="847"/>
      <c r="AB70" s="741">
        <f t="shared" si="7"/>
        <v>0</v>
      </c>
      <c r="AC70" s="846"/>
      <c r="AD70" s="847"/>
      <c r="AE70" s="846"/>
      <c r="AF70" s="846"/>
      <c r="AG70" s="847"/>
      <c r="AH70" s="847"/>
      <c r="AI70" s="742">
        <f t="shared" si="13"/>
        <v>81301144</v>
      </c>
      <c r="AJ70" s="743">
        <f t="shared" si="14"/>
        <v>83663583</v>
      </c>
    </row>
    <row r="71" spans="1:36">
      <c r="A71" s="915" t="s">
        <v>142</v>
      </c>
      <c r="B71" s="916" t="s">
        <v>280</v>
      </c>
      <c r="C71" s="921" t="s">
        <v>30</v>
      </c>
      <c r="D71" s="917"/>
      <c r="E71" s="918">
        <v>102094</v>
      </c>
      <c r="F71" s="919">
        <v>3</v>
      </c>
      <c r="G71" s="846"/>
      <c r="H71" s="847"/>
      <c r="I71" s="846"/>
      <c r="J71" s="847"/>
      <c r="K71" s="846"/>
      <c r="L71" s="847"/>
      <c r="M71" s="846"/>
      <c r="N71" s="846"/>
      <c r="O71" s="737">
        <f t="shared" si="2"/>
        <v>0</v>
      </c>
      <c r="P71" s="847"/>
      <c r="Q71" s="847"/>
      <c r="R71" s="738">
        <f t="shared" si="10"/>
        <v>0</v>
      </c>
      <c r="S71" s="737">
        <f t="shared" si="11"/>
        <v>0</v>
      </c>
      <c r="T71" s="739">
        <f t="shared" si="12"/>
        <v>0</v>
      </c>
      <c r="U71" s="846"/>
      <c r="V71" s="847"/>
      <c r="W71" s="846"/>
      <c r="X71" s="846"/>
      <c r="Y71" s="740">
        <f t="shared" si="6"/>
        <v>0</v>
      </c>
      <c r="Z71" s="847"/>
      <c r="AA71" s="847"/>
      <c r="AB71" s="741">
        <f t="shared" si="7"/>
        <v>0</v>
      </c>
      <c r="AC71" s="846"/>
      <c r="AD71" s="847"/>
      <c r="AE71" s="846"/>
      <c r="AF71" s="846"/>
      <c r="AG71" s="847"/>
      <c r="AH71" s="847"/>
      <c r="AI71" s="742">
        <f t="shared" si="13"/>
        <v>0</v>
      </c>
      <c r="AJ71" s="743">
        <f t="shared" si="14"/>
        <v>0</v>
      </c>
    </row>
    <row r="72" spans="1:36">
      <c r="A72" s="915" t="s">
        <v>142</v>
      </c>
      <c r="B72" s="916" t="s">
        <v>280</v>
      </c>
      <c r="C72" s="922" t="s">
        <v>602</v>
      </c>
      <c r="D72" s="917"/>
      <c r="E72" s="918">
        <v>102094</v>
      </c>
      <c r="F72" s="919">
        <v>3</v>
      </c>
      <c r="G72" s="846"/>
      <c r="H72" s="847"/>
      <c r="I72" s="846"/>
      <c r="J72" s="847"/>
      <c r="K72" s="846"/>
      <c r="L72" s="847"/>
      <c r="M72" s="846"/>
      <c r="N72" s="846"/>
      <c r="O72" s="737">
        <f t="shared" si="2"/>
        <v>0</v>
      </c>
      <c r="P72" s="847"/>
      <c r="Q72" s="847"/>
      <c r="R72" s="738">
        <f t="shared" si="10"/>
        <v>0</v>
      </c>
      <c r="S72" s="737">
        <f t="shared" si="11"/>
        <v>0</v>
      </c>
      <c r="T72" s="739">
        <f t="shared" si="12"/>
        <v>0</v>
      </c>
      <c r="U72" s="846"/>
      <c r="V72" s="847"/>
      <c r="W72" s="846"/>
      <c r="X72" s="846"/>
      <c r="Y72" s="740">
        <f t="shared" si="6"/>
        <v>0</v>
      </c>
      <c r="Z72" s="847"/>
      <c r="AA72" s="847"/>
      <c r="AB72" s="741">
        <f t="shared" si="7"/>
        <v>0</v>
      </c>
      <c r="AC72" s="846">
        <v>83280987</v>
      </c>
      <c r="AD72" s="847">
        <v>82175328</v>
      </c>
      <c r="AE72" s="890">
        <v>51803744</v>
      </c>
      <c r="AF72" s="846"/>
      <c r="AG72" s="847">
        <v>52246300</v>
      </c>
      <c r="AH72" s="847"/>
      <c r="AI72" s="742">
        <f t="shared" si="13"/>
        <v>135084731</v>
      </c>
      <c r="AJ72" s="743">
        <f t="shared" si="14"/>
        <v>134421628</v>
      </c>
    </row>
    <row r="73" spans="1:36">
      <c r="A73" s="915" t="s">
        <v>142</v>
      </c>
      <c r="B73" s="916" t="s">
        <v>267</v>
      </c>
      <c r="C73" s="921" t="s">
        <v>258</v>
      </c>
      <c r="D73" s="917"/>
      <c r="E73" s="918">
        <v>102094</v>
      </c>
      <c r="F73" s="919">
        <v>3</v>
      </c>
      <c r="G73" s="846"/>
      <c r="H73" s="847"/>
      <c r="I73" s="846"/>
      <c r="J73" s="847"/>
      <c r="K73" s="846"/>
      <c r="L73" s="847"/>
      <c r="M73" s="846"/>
      <c r="N73" s="846"/>
      <c r="O73" s="737">
        <f t="shared" si="2"/>
        <v>0</v>
      </c>
      <c r="P73" s="847"/>
      <c r="Q73" s="847"/>
      <c r="R73" s="738">
        <f t="shared" si="10"/>
        <v>0</v>
      </c>
      <c r="S73" s="737">
        <f t="shared" si="11"/>
        <v>0</v>
      </c>
      <c r="T73" s="739">
        <f t="shared" si="12"/>
        <v>0</v>
      </c>
      <c r="U73" s="846"/>
      <c r="V73" s="847"/>
      <c r="W73" s="846"/>
      <c r="X73" s="846"/>
      <c r="Y73" s="740">
        <f t="shared" si="6"/>
        <v>0</v>
      </c>
      <c r="Z73" s="847"/>
      <c r="AA73" s="847"/>
      <c r="AB73" s="741">
        <f t="shared" si="7"/>
        <v>0</v>
      </c>
      <c r="AC73" s="846"/>
      <c r="AD73" s="847"/>
      <c r="AE73" s="846"/>
      <c r="AF73" s="846"/>
      <c r="AG73" s="847"/>
      <c r="AH73" s="847"/>
      <c r="AI73" s="742">
        <f t="shared" si="13"/>
        <v>0</v>
      </c>
      <c r="AJ73" s="743">
        <f t="shared" si="14"/>
        <v>0</v>
      </c>
    </row>
    <row r="74" spans="1:36">
      <c r="A74" s="915" t="s">
        <v>142</v>
      </c>
      <c r="B74" s="916" t="s">
        <v>267</v>
      </c>
      <c r="C74" s="922" t="s">
        <v>589</v>
      </c>
      <c r="D74" s="917"/>
      <c r="E74" s="918">
        <v>102094</v>
      </c>
      <c r="F74" s="919">
        <v>3</v>
      </c>
      <c r="G74" s="846"/>
      <c r="H74" s="847"/>
      <c r="I74" s="846">
        <v>302337</v>
      </c>
      <c r="J74" s="847">
        <v>302337</v>
      </c>
      <c r="K74" s="846"/>
      <c r="L74" s="847"/>
      <c r="M74" s="846"/>
      <c r="N74" s="846"/>
      <c r="O74" s="737">
        <f t="shared" ref="O74:O137" si="15">SUM(M74:N74)</f>
        <v>0</v>
      </c>
      <c r="P74" s="847"/>
      <c r="Q74" s="847"/>
      <c r="R74" s="738">
        <f t="shared" si="10"/>
        <v>0</v>
      </c>
      <c r="S74" s="737">
        <f t="shared" si="11"/>
        <v>302337</v>
      </c>
      <c r="T74" s="739">
        <f t="shared" si="12"/>
        <v>302337</v>
      </c>
      <c r="U74" s="846"/>
      <c r="V74" s="847"/>
      <c r="W74" s="846"/>
      <c r="X74" s="846"/>
      <c r="Y74" s="740">
        <f t="shared" ref="Y74:Y137" si="16">SUM(W74:X74)</f>
        <v>0</v>
      </c>
      <c r="Z74" s="847"/>
      <c r="AA74" s="847"/>
      <c r="AB74" s="741">
        <f t="shared" ref="AB74:AB137" si="17">SUM(Z74:AA74)</f>
        <v>0</v>
      </c>
      <c r="AC74" s="846"/>
      <c r="AD74" s="847"/>
      <c r="AE74" s="846"/>
      <c r="AF74" s="846"/>
      <c r="AG74" s="847"/>
      <c r="AH74" s="847"/>
      <c r="AI74" s="742">
        <f t="shared" si="13"/>
        <v>302337</v>
      </c>
      <c r="AJ74" s="743">
        <f t="shared" si="14"/>
        <v>302337</v>
      </c>
    </row>
    <row r="75" spans="1:36">
      <c r="A75" s="915" t="s">
        <v>142</v>
      </c>
      <c r="B75" s="916" t="s">
        <v>264</v>
      </c>
      <c r="C75" s="923" t="s">
        <v>623</v>
      </c>
      <c r="D75" s="924"/>
      <c r="E75" s="918">
        <v>100724</v>
      </c>
      <c r="F75" s="919">
        <v>4</v>
      </c>
      <c r="G75" s="846">
        <v>41590224</v>
      </c>
      <c r="H75" s="847">
        <v>41880782</v>
      </c>
      <c r="I75" s="846"/>
      <c r="J75" s="847"/>
      <c r="K75" s="846"/>
      <c r="L75" s="847"/>
      <c r="M75" s="890">
        <v>44669096</v>
      </c>
      <c r="N75" s="890">
        <v>15997710</v>
      </c>
      <c r="O75" s="737">
        <f t="shared" si="15"/>
        <v>60666806</v>
      </c>
      <c r="P75" s="847">
        <v>39311852</v>
      </c>
      <c r="Q75" s="847">
        <v>16290000</v>
      </c>
      <c r="R75" s="738">
        <f t="shared" ref="R75:R138" si="18">SUM(P75:Q75)</f>
        <v>55601852</v>
      </c>
      <c r="S75" s="737">
        <f t="shared" ref="S75:S138" si="19">SUM(G75,I75,K75,M75)</f>
        <v>86259320</v>
      </c>
      <c r="T75" s="739">
        <f t="shared" ref="T75:T138" si="20">SUM(H75,J75,L75,P75)</f>
        <v>81192634</v>
      </c>
      <c r="U75" s="846"/>
      <c r="V75" s="847"/>
      <c r="W75" s="846"/>
      <c r="X75" s="846"/>
      <c r="Y75" s="740">
        <f t="shared" si="16"/>
        <v>0</v>
      </c>
      <c r="Z75" s="847"/>
      <c r="AA75" s="847"/>
      <c r="AB75" s="741">
        <f t="shared" si="17"/>
        <v>0</v>
      </c>
      <c r="AC75" s="846"/>
      <c r="AD75" s="847"/>
      <c r="AE75" s="846"/>
      <c r="AF75" s="846"/>
      <c r="AG75" s="847"/>
      <c r="AH75" s="847"/>
      <c r="AI75" s="742">
        <f t="shared" ref="AI75:AI138" si="21">SUM(S75,U75,W75,AC75,AE75)</f>
        <v>86259320</v>
      </c>
      <c r="AJ75" s="743">
        <f t="shared" ref="AJ75:AJ138" si="22">SUM(T75,V75,Z75,AD75,AG75)</f>
        <v>81192634</v>
      </c>
    </row>
    <row r="76" spans="1:36">
      <c r="A76" s="915" t="s">
        <v>142</v>
      </c>
      <c r="B76" s="916" t="s">
        <v>266</v>
      </c>
      <c r="C76" s="921" t="s">
        <v>319</v>
      </c>
      <c r="D76" s="917"/>
      <c r="E76" s="918">
        <v>100724</v>
      </c>
      <c r="F76" s="919">
        <v>4</v>
      </c>
      <c r="G76" s="846"/>
      <c r="H76" s="847"/>
      <c r="I76" s="846"/>
      <c r="J76" s="847"/>
      <c r="K76" s="846"/>
      <c r="L76" s="847"/>
      <c r="M76" s="846"/>
      <c r="N76" s="846"/>
      <c r="O76" s="737">
        <f t="shared" si="15"/>
        <v>0</v>
      </c>
      <c r="P76" s="847"/>
      <c r="Q76" s="847"/>
      <c r="R76" s="738">
        <f t="shared" si="18"/>
        <v>0</v>
      </c>
      <c r="S76" s="737">
        <f t="shared" si="19"/>
        <v>0</v>
      </c>
      <c r="T76" s="739">
        <f t="shared" si="20"/>
        <v>0</v>
      </c>
      <c r="U76" s="846"/>
      <c r="V76" s="847"/>
      <c r="W76" s="846"/>
      <c r="X76" s="846"/>
      <c r="Y76" s="740">
        <f t="shared" si="16"/>
        <v>0</v>
      </c>
      <c r="Z76" s="847"/>
      <c r="AA76" s="847"/>
      <c r="AB76" s="741">
        <f t="shared" si="17"/>
        <v>0</v>
      </c>
      <c r="AC76" s="846"/>
      <c r="AD76" s="847"/>
      <c r="AE76" s="846"/>
      <c r="AF76" s="846"/>
      <c r="AG76" s="847"/>
      <c r="AH76" s="847"/>
      <c r="AI76" s="742">
        <f t="shared" si="21"/>
        <v>0</v>
      </c>
      <c r="AJ76" s="743">
        <f t="shared" si="22"/>
        <v>0</v>
      </c>
    </row>
    <row r="77" spans="1:36">
      <c r="A77" s="915" t="s">
        <v>142</v>
      </c>
      <c r="B77" s="916" t="s">
        <v>267</v>
      </c>
      <c r="C77" s="921" t="s">
        <v>258</v>
      </c>
      <c r="D77" s="917"/>
      <c r="E77" s="918">
        <v>100724</v>
      </c>
      <c r="F77" s="919">
        <v>4</v>
      </c>
      <c r="G77" s="846"/>
      <c r="H77" s="847"/>
      <c r="I77" s="846"/>
      <c r="J77" s="847"/>
      <c r="K77" s="846"/>
      <c r="L77" s="847"/>
      <c r="M77" s="846"/>
      <c r="N77" s="846"/>
      <c r="O77" s="737">
        <f t="shared" si="15"/>
        <v>0</v>
      </c>
      <c r="P77" s="847"/>
      <c r="Q77" s="847"/>
      <c r="R77" s="738">
        <f t="shared" si="18"/>
        <v>0</v>
      </c>
      <c r="S77" s="737">
        <f t="shared" si="19"/>
        <v>0</v>
      </c>
      <c r="T77" s="739">
        <f t="shared" si="20"/>
        <v>0</v>
      </c>
      <c r="U77" s="846"/>
      <c r="V77" s="847"/>
      <c r="W77" s="846"/>
      <c r="X77" s="846"/>
      <c r="Y77" s="740">
        <f t="shared" si="16"/>
        <v>0</v>
      </c>
      <c r="Z77" s="847"/>
      <c r="AA77" s="847"/>
      <c r="AB77" s="741">
        <f t="shared" si="17"/>
        <v>0</v>
      </c>
      <c r="AC77" s="846"/>
      <c r="AD77" s="847"/>
      <c r="AE77" s="846"/>
      <c r="AF77" s="846"/>
      <c r="AG77" s="847"/>
      <c r="AH77" s="847"/>
      <c r="AI77" s="742">
        <f t="shared" si="21"/>
        <v>0</v>
      </c>
      <c r="AJ77" s="743">
        <f t="shared" si="22"/>
        <v>0</v>
      </c>
    </row>
    <row r="78" spans="1:36">
      <c r="A78" s="915" t="s">
        <v>142</v>
      </c>
      <c r="B78" s="916" t="s">
        <v>267</v>
      </c>
      <c r="C78" s="922" t="s">
        <v>589</v>
      </c>
      <c r="D78" s="917"/>
      <c r="E78" s="918">
        <v>100724</v>
      </c>
      <c r="F78" s="919">
        <v>4</v>
      </c>
      <c r="G78" s="846"/>
      <c r="H78" s="847"/>
      <c r="I78" s="846">
        <v>221456</v>
      </c>
      <c r="J78" s="847">
        <v>221456</v>
      </c>
      <c r="K78" s="846"/>
      <c r="L78" s="847"/>
      <c r="M78" s="846"/>
      <c r="N78" s="846"/>
      <c r="O78" s="737">
        <f t="shared" si="15"/>
        <v>0</v>
      </c>
      <c r="P78" s="847"/>
      <c r="Q78" s="847"/>
      <c r="R78" s="738">
        <f t="shared" si="18"/>
        <v>0</v>
      </c>
      <c r="S78" s="737">
        <f t="shared" si="19"/>
        <v>221456</v>
      </c>
      <c r="T78" s="739">
        <f t="shared" si="20"/>
        <v>221456</v>
      </c>
      <c r="U78" s="846"/>
      <c r="V78" s="847"/>
      <c r="W78" s="846"/>
      <c r="X78" s="846"/>
      <c r="Y78" s="740">
        <f t="shared" si="16"/>
        <v>0</v>
      </c>
      <c r="Z78" s="847"/>
      <c r="AA78" s="847"/>
      <c r="AB78" s="741">
        <f t="shared" si="17"/>
        <v>0</v>
      </c>
      <c r="AC78" s="846"/>
      <c r="AD78" s="847"/>
      <c r="AE78" s="846"/>
      <c r="AF78" s="846"/>
      <c r="AG78" s="847"/>
      <c r="AH78" s="847"/>
      <c r="AI78" s="742">
        <f t="shared" si="21"/>
        <v>221456</v>
      </c>
      <c r="AJ78" s="743">
        <f t="shared" si="22"/>
        <v>221456</v>
      </c>
    </row>
    <row r="79" spans="1:36">
      <c r="A79" s="915" t="s">
        <v>142</v>
      </c>
      <c r="B79" s="916" t="s">
        <v>264</v>
      </c>
      <c r="C79" s="923" t="s">
        <v>624</v>
      </c>
      <c r="D79" s="924"/>
      <c r="E79" s="918">
        <v>100830</v>
      </c>
      <c r="F79" s="919">
        <v>4</v>
      </c>
      <c r="G79" s="846">
        <v>22143812</v>
      </c>
      <c r="H79" s="847">
        <v>22298886</v>
      </c>
      <c r="I79" s="846"/>
      <c r="J79" s="847"/>
      <c r="K79" s="846"/>
      <c r="L79" s="847"/>
      <c r="M79" s="890">
        <v>36126432</v>
      </c>
      <c r="N79" s="890">
        <v>5537085</v>
      </c>
      <c r="O79" s="737">
        <f t="shared" si="15"/>
        <v>41663517</v>
      </c>
      <c r="P79" s="847">
        <v>31173024</v>
      </c>
      <c r="Q79" s="847">
        <v>6575444</v>
      </c>
      <c r="R79" s="738">
        <f t="shared" si="18"/>
        <v>37748468</v>
      </c>
      <c r="S79" s="737">
        <f t="shared" si="19"/>
        <v>58270244</v>
      </c>
      <c r="T79" s="739">
        <f t="shared" si="20"/>
        <v>53471910</v>
      </c>
      <c r="U79" s="846"/>
      <c r="V79" s="847"/>
      <c r="W79" s="846"/>
      <c r="X79" s="846"/>
      <c r="Y79" s="740">
        <f t="shared" si="16"/>
        <v>0</v>
      </c>
      <c r="Z79" s="847"/>
      <c r="AA79" s="847"/>
      <c r="AB79" s="741">
        <f t="shared" si="17"/>
        <v>0</v>
      </c>
      <c r="AC79" s="846"/>
      <c r="AD79" s="847"/>
      <c r="AE79" s="846"/>
      <c r="AF79" s="846"/>
      <c r="AG79" s="847"/>
      <c r="AH79" s="847"/>
      <c r="AI79" s="742">
        <f t="shared" si="21"/>
        <v>58270244</v>
      </c>
      <c r="AJ79" s="743">
        <f t="shared" si="22"/>
        <v>53471910</v>
      </c>
    </row>
    <row r="80" spans="1:36">
      <c r="A80" s="915" t="s">
        <v>142</v>
      </c>
      <c r="B80" s="916" t="s">
        <v>266</v>
      </c>
      <c r="C80" s="921" t="s">
        <v>319</v>
      </c>
      <c r="D80" s="917"/>
      <c r="E80" s="918">
        <v>100830</v>
      </c>
      <c r="F80" s="919">
        <v>4</v>
      </c>
      <c r="G80" s="846"/>
      <c r="H80" s="847"/>
      <c r="I80" s="846"/>
      <c r="J80" s="847"/>
      <c r="K80" s="846"/>
      <c r="L80" s="847"/>
      <c r="M80" s="846"/>
      <c r="N80" s="846"/>
      <c r="O80" s="737">
        <f t="shared" si="15"/>
        <v>0</v>
      </c>
      <c r="P80" s="847"/>
      <c r="Q80" s="847"/>
      <c r="R80" s="738">
        <f t="shared" si="18"/>
        <v>0</v>
      </c>
      <c r="S80" s="737">
        <f t="shared" si="19"/>
        <v>0</v>
      </c>
      <c r="T80" s="739">
        <f t="shared" si="20"/>
        <v>0</v>
      </c>
      <c r="U80" s="846"/>
      <c r="V80" s="847"/>
      <c r="W80" s="846"/>
      <c r="X80" s="846"/>
      <c r="Y80" s="740">
        <f t="shared" si="16"/>
        <v>0</v>
      </c>
      <c r="Z80" s="847"/>
      <c r="AA80" s="847"/>
      <c r="AB80" s="741">
        <f t="shared" si="17"/>
        <v>0</v>
      </c>
      <c r="AC80" s="846"/>
      <c r="AD80" s="847"/>
      <c r="AE80" s="846"/>
      <c r="AF80" s="846"/>
      <c r="AG80" s="847"/>
      <c r="AH80" s="847"/>
      <c r="AI80" s="742">
        <f t="shared" si="21"/>
        <v>0</v>
      </c>
      <c r="AJ80" s="743">
        <f t="shared" si="22"/>
        <v>0</v>
      </c>
    </row>
    <row r="81" spans="1:36">
      <c r="A81" s="915" t="s">
        <v>142</v>
      </c>
      <c r="B81" s="916" t="s">
        <v>266</v>
      </c>
      <c r="C81" s="922" t="s">
        <v>625</v>
      </c>
      <c r="D81" s="917"/>
      <c r="E81" s="918">
        <v>100830</v>
      </c>
      <c r="F81" s="919">
        <v>4</v>
      </c>
      <c r="G81" s="846"/>
      <c r="H81" s="847"/>
      <c r="I81" s="846">
        <v>299000</v>
      </c>
      <c r="J81" s="847">
        <v>250000</v>
      </c>
      <c r="K81" s="846"/>
      <c r="L81" s="847"/>
      <c r="M81" s="846"/>
      <c r="N81" s="846"/>
      <c r="O81" s="737">
        <f t="shared" si="15"/>
        <v>0</v>
      </c>
      <c r="P81" s="847"/>
      <c r="Q81" s="847"/>
      <c r="R81" s="738">
        <f t="shared" si="18"/>
        <v>0</v>
      </c>
      <c r="S81" s="737">
        <f t="shared" si="19"/>
        <v>299000</v>
      </c>
      <c r="T81" s="739">
        <f t="shared" si="20"/>
        <v>250000</v>
      </c>
      <c r="U81" s="846"/>
      <c r="V81" s="847"/>
      <c r="W81" s="846"/>
      <c r="X81" s="846"/>
      <c r="Y81" s="740">
        <f t="shared" si="16"/>
        <v>0</v>
      </c>
      <c r="Z81" s="847"/>
      <c r="AA81" s="847"/>
      <c r="AB81" s="741">
        <f t="shared" si="17"/>
        <v>0</v>
      </c>
      <c r="AC81" s="846"/>
      <c r="AD81" s="847"/>
      <c r="AE81" s="846"/>
      <c r="AF81" s="846"/>
      <c r="AG81" s="847"/>
      <c r="AH81" s="847"/>
      <c r="AI81" s="742">
        <f t="shared" si="21"/>
        <v>299000</v>
      </c>
      <c r="AJ81" s="743">
        <f t="shared" si="22"/>
        <v>250000</v>
      </c>
    </row>
    <row r="82" spans="1:36">
      <c r="A82" s="915" t="s">
        <v>142</v>
      </c>
      <c r="B82" s="916" t="s">
        <v>266</v>
      </c>
      <c r="C82" s="922" t="s">
        <v>626</v>
      </c>
      <c r="D82" s="917"/>
      <c r="E82" s="918">
        <v>100830</v>
      </c>
      <c r="F82" s="919">
        <v>4</v>
      </c>
      <c r="G82" s="846"/>
      <c r="H82" s="847"/>
      <c r="I82" s="846">
        <v>114915</v>
      </c>
      <c r="J82" s="847">
        <v>114915</v>
      </c>
      <c r="K82" s="846"/>
      <c r="L82" s="847"/>
      <c r="M82" s="846"/>
      <c r="N82" s="846"/>
      <c r="O82" s="737">
        <f t="shared" si="15"/>
        <v>0</v>
      </c>
      <c r="P82" s="847"/>
      <c r="Q82" s="847"/>
      <c r="R82" s="738">
        <f t="shared" si="18"/>
        <v>0</v>
      </c>
      <c r="S82" s="737">
        <f t="shared" si="19"/>
        <v>114915</v>
      </c>
      <c r="T82" s="739">
        <f t="shared" si="20"/>
        <v>114915</v>
      </c>
      <c r="U82" s="846"/>
      <c r="V82" s="847"/>
      <c r="W82" s="846"/>
      <c r="X82" s="846"/>
      <c r="Y82" s="740">
        <f t="shared" si="16"/>
        <v>0</v>
      </c>
      <c r="Z82" s="847"/>
      <c r="AA82" s="847"/>
      <c r="AB82" s="741">
        <f t="shared" si="17"/>
        <v>0</v>
      </c>
      <c r="AC82" s="846"/>
      <c r="AD82" s="847"/>
      <c r="AE82" s="846"/>
      <c r="AF82" s="846"/>
      <c r="AG82" s="847"/>
      <c r="AH82" s="847"/>
      <c r="AI82" s="742">
        <f t="shared" si="21"/>
        <v>114915</v>
      </c>
      <c r="AJ82" s="743">
        <f t="shared" si="22"/>
        <v>114915</v>
      </c>
    </row>
    <row r="83" spans="1:36">
      <c r="A83" s="915" t="s">
        <v>142</v>
      </c>
      <c r="B83" s="916" t="s">
        <v>264</v>
      </c>
      <c r="C83" s="923" t="s">
        <v>627</v>
      </c>
      <c r="D83" s="928" t="s">
        <v>709</v>
      </c>
      <c r="E83" s="918">
        <v>101879</v>
      </c>
      <c r="F83" s="919">
        <v>4</v>
      </c>
      <c r="G83" s="846">
        <v>25917319</v>
      </c>
      <c r="H83" s="847">
        <v>26351275</v>
      </c>
      <c r="I83" s="846"/>
      <c r="J83" s="847"/>
      <c r="K83" s="846"/>
      <c r="L83" s="847"/>
      <c r="M83" s="890">
        <v>47811765</v>
      </c>
      <c r="N83" s="890">
        <v>1957541</v>
      </c>
      <c r="O83" s="737">
        <f t="shared" si="15"/>
        <v>49769306</v>
      </c>
      <c r="P83" s="847">
        <v>45746859</v>
      </c>
      <c r="Q83" s="847">
        <v>1957541</v>
      </c>
      <c r="R83" s="738">
        <f t="shared" si="18"/>
        <v>47704400</v>
      </c>
      <c r="S83" s="737">
        <f t="shared" si="19"/>
        <v>73729084</v>
      </c>
      <c r="T83" s="739">
        <f t="shared" si="20"/>
        <v>72098134</v>
      </c>
      <c r="U83" s="846"/>
      <c r="V83" s="847"/>
      <c r="W83" s="846"/>
      <c r="X83" s="846"/>
      <c r="Y83" s="740">
        <f t="shared" si="16"/>
        <v>0</v>
      </c>
      <c r="Z83" s="847"/>
      <c r="AA83" s="847"/>
      <c r="AB83" s="741">
        <f t="shared" si="17"/>
        <v>0</v>
      </c>
      <c r="AC83" s="846"/>
      <c r="AD83" s="847"/>
      <c r="AE83" s="846"/>
      <c r="AF83" s="846"/>
      <c r="AG83" s="847"/>
      <c r="AH83" s="847"/>
      <c r="AI83" s="742">
        <f t="shared" si="21"/>
        <v>73729084</v>
      </c>
      <c r="AJ83" s="743">
        <f t="shared" si="22"/>
        <v>72098134</v>
      </c>
    </row>
    <row r="84" spans="1:36">
      <c r="A84" s="915" t="s">
        <v>142</v>
      </c>
      <c r="B84" s="916" t="s">
        <v>267</v>
      </c>
      <c r="C84" s="921" t="s">
        <v>258</v>
      </c>
      <c r="D84" s="917"/>
      <c r="E84" s="918">
        <v>101879</v>
      </c>
      <c r="F84" s="919">
        <v>4</v>
      </c>
      <c r="G84" s="846"/>
      <c r="H84" s="847"/>
      <c r="I84" s="846"/>
      <c r="J84" s="847"/>
      <c r="K84" s="846"/>
      <c r="L84" s="847"/>
      <c r="M84" s="846"/>
      <c r="N84" s="846"/>
      <c r="O84" s="737">
        <f t="shared" si="15"/>
        <v>0</v>
      </c>
      <c r="P84" s="847"/>
      <c r="Q84" s="847"/>
      <c r="R84" s="738">
        <f t="shared" si="18"/>
        <v>0</v>
      </c>
      <c r="S84" s="737">
        <f t="shared" si="19"/>
        <v>0</v>
      </c>
      <c r="T84" s="739">
        <f t="shared" si="20"/>
        <v>0</v>
      </c>
      <c r="U84" s="846"/>
      <c r="V84" s="847"/>
      <c r="W84" s="846"/>
      <c r="X84" s="846"/>
      <c r="Y84" s="740">
        <f t="shared" si="16"/>
        <v>0</v>
      </c>
      <c r="Z84" s="847"/>
      <c r="AA84" s="847"/>
      <c r="AB84" s="741">
        <f t="shared" si="17"/>
        <v>0</v>
      </c>
      <c r="AC84" s="846"/>
      <c r="AD84" s="847"/>
      <c r="AE84" s="846"/>
      <c r="AF84" s="846"/>
      <c r="AG84" s="847"/>
      <c r="AH84" s="847"/>
      <c r="AI84" s="742">
        <f t="shared" si="21"/>
        <v>0</v>
      </c>
      <c r="AJ84" s="743">
        <f t="shared" si="22"/>
        <v>0</v>
      </c>
    </row>
    <row r="85" spans="1:36">
      <c r="A85" s="915" t="s">
        <v>142</v>
      </c>
      <c r="B85" s="916" t="s">
        <v>267</v>
      </c>
      <c r="C85" s="922" t="s">
        <v>589</v>
      </c>
      <c r="D85" s="917"/>
      <c r="E85" s="918">
        <v>101879</v>
      </c>
      <c r="F85" s="919">
        <v>4</v>
      </c>
      <c r="G85" s="846"/>
      <c r="H85" s="847"/>
      <c r="I85" s="846">
        <v>198974</v>
      </c>
      <c r="J85" s="847">
        <v>198974</v>
      </c>
      <c r="K85" s="846"/>
      <c r="L85" s="847"/>
      <c r="M85" s="846"/>
      <c r="N85" s="846"/>
      <c r="O85" s="737">
        <f t="shared" si="15"/>
        <v>0</v>
      </c>
      <c r="P85" s="847"/>
      <c r="Q85" s="847"/>
      <c r="R85" s="738">
        <f t="shared" si="18"/>
        <v>0</v>
      </c>
      <c r="S85" s="737">
        <f t="shared" si="19"/>
        <v>198974</v>
      </c>
      <c r="T85" s="739">
        <f t="shared" si="20"/>
        <v>198974</v>
      </c>
      <c r="U85" s="846"/>
      <c r="V85" s="847"/>
      <c r="W85" s="846"/>
      <c r="X85" s="846"/>
      <c r="Y85" s="740">
        <f t="shared" si="16"/>
        <v>0</v>
      </c>
      <c r="Z85" s="847"/>
      <c r="AA85" s="847"/>
      <c r="AB85" s="741">
        <f t="shared" si="17"/>
        <v>0</v>
      </c>
      <c r="AC85" s="846"/>
      <c r="AD85" s="847"/>
      <c r="AE85" s="846"/>
      <c r="AF85" s="846"/>
      <c r="AG85" s="847"/>
      <c r="AH85" s="847"/>
      <c r="AI85" s="742">
        <f t="shared" si="21"/>
        <v>198974</v>
      </c>
      <c r="AJ85" s="743">
        <f t="shared" si="22"/>
        <v>198974</v>
      </c>
    </row>
    <row r="86" spans="1:36">
      <c r="A86" s="915" t="s">
        <v>142</v>
      </c>
      <c r="B86" s="916" t="s">
        <v>264</v>
      </c>
      <c r="C86" s="923" t="s">
        <v>628</v>
      </c>
      <c r="D86" s="924"/>
      <c r="E86" s="918">
        <v>101709</v>
      </c>
      <c r="F86" s="919">
        <v>5</v>
      </c>
      <c r="G86" s="846">
        <v>17801513</v>
      </c>
      <c r="H86" s="847">
        <v>18176178</v>
      </c>
      <c r="I86" s="846"/>
      <c r="J86" s="847"/>
      <c r="K86" s="846"/>
      <c r="L86" s="847"/>
      <c r="M86" s="890">
        <v>30416724</v>
      </c>
      <c r="N86" s="846"/>
      <c r="O86" s="737">
        <f t="shared" si="15"/>
        <v>30416724</v>
      </c>
      <c r="P86" s="847">
        <v>32334072</v>
      </c>
      <c r="Q86" s="847"/>
      <c r="R86" s="738">
        <f t="shared" si="18"/>
        <v>32334072</v>
      </c>
      <c r="S86" s="737">
        <f t="shared" si="19"/>
        <v>48218237</v>
      </c>
      <c r="T86" s="739">
        <f t="shared" si="20"/>
        <v>50510250</v>
      </c>
      <c r="U86" s="846"/>
      <c r="V86" s="847"/>
      <c r="W86" s="846"/>
      <c r="X86" s="846"/>
      <c r="Y86" s="740">
        <f t="shared" si="16"/>
        <v>0</v>
      </c>
      <c r="Z86" s="847"/>
      <c r="AA86" s="847"/>
      <c r="AB86" s="741">
        <f t="shared" si="17"/>
        <v>0</v>
      </c>
      <c r="AC86" s="846"/>
      <c r="AD86" s="847"/>
      <c r="AE86" s="846"/>
      <c r="AF86" s="846"/>
      <c r="AG86" s="847"/>
      <c r="AH86" s="847"/>
      <c r="AI86" s="742">
        <f t="shared" si="21"/>
        <v>48218237</v>
      </c>
      <c r="AJ86" s="743">
        <f t="shared" si="22"/>
        <v>50510250</v>
      </c>
    </row>
    <row r="87" spans="1:36">
      <c r="A87" s="915" t="s">
        <v>142</v>
      </c>
      <c r="B87" s="916" t="s">
        <v>266</v>
      </c>
      <c r="C87" s="922" t="s">
        <v>629</v>
      </c>
      <c r="D87" s="924"/>
      <c r="E87" s="918">
        <v>101709</v>
      </c>
      <c r="F87" s="919">
        <v>5</v>
      </c>
      <c r="G87" s="846"/>
      <c r="H87" s="847"/>
      <c r="I87" s="846">
        <v>25000</v>
      </c>
      <c r="J87" s="847">
        <v>25000</v>
      </c>
      <c r="K87" s="846"/>
      <c r="L87" s="847"/>
      <c r="M87" s="846"/>
      <c r="N87" s="846"/>
      <c r="O87" s="737">
        <f t="shared" si="15"/>
        <v>0</v>
      </c>
      <c r="P87" s="847"/>
      <c r="Q87" s="847"/>
      <c r="R87" s="738">
        <f t="shared" si="18"/>
        <v>0</v>
      </c>
      <c r="S87" s="737">
        <f t="shared" si="19"/>
        <v>25000</v>
      </c>
      <c r="T87" s="739">
        <f t="shared" si="20"/>
        <v>25000</v>
      </c>
      <c r="U87" s="846"/>
      <c r="V87" s="847"/>
      <c r="W87" s="846"/>
      <c r="X87" s="846"/>
      <c r="Y87" s="740">
        <f t="shared" si="16"/>
        <v>0</v>
      </c>
      <c r="Z87" s="847"/>
      <c r="AA87" s="847"/>
      <c r="AB87" s="741">
        <f t="shared" si="17"/>
        <v>0</v>
      </c>
      <c r="AC87" s="846"/>
      <c r="AD87" s="847"/>
      <c r="AE87" s="846"/>
      <c r="AF87" s="846"/>
      <c r="AG87" s="847"/>
      <c r="AH87" s="847"/>
      <c r="AI87" s="742">
        <f t="shared" si="21"/>
        <v>25000</v>
      </c>
      <c r="AJ87" s="743">
        <f t="shared" si="22"/>
        <v>25000</v>
      </c>
    </row>
    <row r="88" spans="1:36">
      <c r="A88" s="915" t="s">
        <v>142</v>
      </c>
      <c r="B88" s="916" t="s">
        <v>267</v>
      </c>
      <c r="C88" s="921" t="s">
        <v>258</v>
      </c>
      <c r="D88" s="917"/>
      <c r="E88" s="918">
        <v>101709</v>
      </c>
      <c r="F88" s="919">
        <v>5</v>
      </c>
      <c r="G88" s="846"/>
      <c r="H88" s="847"/>
      <c r="I88" s="846"/>
      <c r="J88" s="847"/>
      <c r="K88" s="846"/>
      <c r="L88" s="847"/>
      <c r="M88" s="846"/>
      <c r="N88" s="846"/>
      <c r="O88" s="737">
        <f t="shared" si="15"/>
        <v>0</v>
      </c>
      <c r="P88" s="847"/>
      <c r="Q88" s="847"/>
      <c r="R88" s="738">
        <f t="shared" si="18"/>
        <v>0</v>
      </c>
      <c r="S88" s="737">
        <f t="shared" si="19"/>
        <v>0</v>
      </c>
      <c r="T88" s="739">
        <f t="shared" si="20"/>
        <v>0</v>
      </c>
      <c r="U88" s="846"/>
      <c r="V88" s="847"/>
      <c r="W88" s="846"/>
      <c r="X88" s="846"/>
      <c r="Y88" s="740">
        <f t="shared" si="16"/>
        <v>0</v>
      </c>
      <c r="Z88" s="847"/>
      <c r="AA88" s="847"/>
      <c r="AB88" s="741">
        <f t="shared" si="17"/>
        <v>0</v>
      </c>
      <c r="AC88" s="846"/>
      <c r="AD88" s="847"/>
      <c r="AE88" s="846"/>
      <c r="AF88" s="846"/>
      <c r="AG88" s="847"/>
      <c r="AH88" s="847"/>
      <c r="AI88" s="742">
        <f t="shared" si="21"/>
        <v>0</v>
      </c>
      <c r="AJ88" s="743">
        <f t="shared" si="22"/>
        <v>0</v>
      </c>
    </row>
    <row r="89" spans="1:36">
      <c r="A89" s="915" t="s">
        <v>142</v>
      </c>
      <c r="B89" s="916" t="s">
        <v>267</v>
      </c>
      <c r="C89" s="922" t="s">
        <v>589</v>
      </c>
      <c r="D89" s="917"/>
      <c r="E89" s="918">
        <v>101709</v>
      </c>
      <c r="F89" s="919">
        <v>5</v>
      </c>
      <c r="G89" s="846"/>
      <c r="H89" s="847"/>
      <c r="I89" s="846">
        <v>229983</v>
      </c>
      <c r="J89" s="847">
        <v>229983</v>
      </c>
      <c r="K89" s="846"/>
      <c r="L89" s="847"/>
      <c r="M89" s="846"/>
      <c r="N89" s="846"/>
      <c r="O89" s="737">
        <f t="shared" si="15"/>
        <v>0</v>
      </c>
      <c r="P89" s="847"/>
      <c r="Q89" s="847"/>
      <c r="R89" s="738">
        <f t="shared" si="18"/>
        <v>0</v>
      </c>
      <c r="S89" s="737">
        <f t="shared" si="19"/>
        <v>229983</v>
      </c>
      <c r="T89" s="739">
        <f t="shared" si="20"/>
        <v>229983</v>
      </c>
      <c r="U89" s="846"/>
      <c r="V89" s="847"/>
      <c r="W89" s="846"/>
      <c r="X89" s="846"/>
      <c r="Y89" s="740">
        <f t="shared" si="16"/>
        <v>0</v>
      </c>
      <c r="Z89" s="847"/>
      <c r="AA89" s="847"/>
      <c r="AB89" s="741">
        <f t="shared" si="17"/>
        <v>0</v>
      </c>
      <c r="AC89" s="846"/>
      <c r="AD89" s="847"/>
      <c r="AE89" s="846"/>
      <c r="AF89" s="846"/>
      <c r="AG89" s="847"/>
      <c r="AH89" s="847"/>
      <c r="AI89" s="742">
        <f t="shared" si="21"/>
        <v>229983</v>
      </c>
      <c r="AJ89" s="743">
        <f t="shared" si="22"/>
        <v>229983</v>
      </c>
    </row>
    <row r="90" spans="1:36">
      <c r="A90" s="915" t="s">
        <v>142</v>
      </c>
      <c r="B90" s="916" t="s">
        <v>264</v>
      </c>
      <c r="C90" s="923" t="s">
        <v>630</v>
      </c>
      <c r="D90" s="924"/>
      <c r="E90" s="918">
        <v>101587</v>
      </c>
      <c r="F90" s="919">
        <v>5</v>
      </c>
      <c r="G90" s="846">
        <v>12547410</v>
      </c>
      <c r="H90" s="847">
        <v>12633529</v>
      </c>
      <c r="I90" s="846"/>
      <c r="J90" s="847"/>
      <c r="K90" s="846"/>
      <c r="L90" s="847"/>
      <c r="M90" s="846">
        <v>14547970</v>
      </c>
      <c r="N90" s="846"/>
      <c r="O90" s="737">
        <f t="shared" si="15"/>
        <v>14547970</v>
      </c>
      <c r="P90" s="847">
        <v>15049875</v>
      </c>
      <c r="Q90" s="847"/>
      <c r="R90" s="738">
        <f t="shared" si="18"/>
        <v>15049875</v>
      </c>
      <c r="S90" s="737">
        <f t="shared" si="19"/>
        <v>27095380</v>
      </c>
      <c r="T90" s="739">
        <f t="shared" si="20"/>
        <v>27683404</v>
      </c>
      <c r="U90" s="846"/>
      <c r="V90" s="847"/>
      <c r="W90" s="846"/>
      <c r="X90" s="846"/>
      <c r="Y90" s="740">
        <f t="shared" si="16"/>
        <v>0</v>
      </c>
      <c r="Z90" s="847"/>
      <c r="AA90" s="847"/>
      <c r="AB90" s="741">
        <f t="shared" si="17"/>
        <v>0</v>
      </c>
      <c r="AC90" s="846"/>
      <c r="AD90" s="847"/>
      <c r="AE90" s="846"/>
      <c r="AF90" s="846"/>
      <c r="AG90" s="847"/>
      <c r="AH90" s="847"/>
      <c r="AI90" s="742">
        <f t="shared" si="21"/>
        <v>27095380</v>
      </c>
      <c r="AJ90" s="743">
        <f t="shared" si="22"/>
        <v>27683404</v>
      </c>
    </row>
    <row r="91" spans="1:36">
      <c r="A91" s="915" t="s">
        <v>142</v>
      </c>
      <c r="B91" s="916" t="s">
        <v>266</v>
      </c>
      <c r="C91" s="921" t="s">
        <v>319</v>
      </c>
      <c r="D91" s="917"/>
      <c r="E91" s="918">
        <v>101587</v>
      </c>
      <c r="F91" s="919">
        <v>5</v>
      </c>
      <c r="G91" s="846"/>
      <c r="H91" s="847"/>
      <c r="I91" s="846"/>
      <c r="J91" s="847"/>
      <c r="K91" s="846"/>
      <c r="L91" s="847"/>
      <c r="M91" s="846"/>
      <c r="N91" s="846"/>
      <c r="O91" s="737">
        <f t="shared" si="15"/>
        <v>0</v>
      </c>
      <c r="P91" s="847"/>
      <c r="Q91" s="847"/>
      <c r="R91" s="738">
        <f t="shared" si="18"/>
        <v>0</v>
      </c>
      <c r="S91" s="737">
        <f t="shared" si="19"/>
        <v>0</v>
      </c>
      <c r="T91" s="739">
        <f t="shared" si="20"/>
        <v>0</v>
      </c>
      <c r="U91" s="846"/>
      <c r="V91" s="847"/>
      <c r="W91" s="846"/>
      <c r="X91" s="846"/>
      <c r="Y91" s="740">
        <f t="shared" si="16"/>
        <v>0</v>
      </c>
      <c r="Z91" s="847"/>
      <c r="AA91" s="847"/>
      <c r="AB91" s="741">
        <f t="shared" si="17"/>
        <v>0</v>
      </c>
      <c r="AC91" s="846"/>
      <c r="AD91" s="847"/>
      <c r="AE91" s="846"/>
      <c r="AF91" s="846"/>
      <c r="AG91" s="847"/>
      <c r="AH91" s="847"/>
      <c r="AI91" s="742">
        <f t="shared" si="21"/>
        <v>0</v>
      </c>
      <c r="AJ91" s="743">
        <f t="shared" si="22"/>
        <v>0</v>
      </c>
    </row>
    <row r="92" spans="1:36">
      <c r="A92" s="915" t="s">
        <v>142</v>
      </c>
      <c r="B92" s="916" t="s">
        <v>266</v>
      </c>
      <c r="C92" s="922" t="s">
        <v>631</v>
      </c>
      <c r="D92" s="917"/>
      <c r="E92" s="918">
        <v>101587</v>
      </c>
      <c r="F92" s="919">
        <v>5</v>
      </c>
      <c r="G92" s="846"/>
      <c r="H92" s="847"/>
      <c r="I92" s="846">
        <v>690652</v>
      </c>
      <c r="J92" s="847">
        <v>810652</v>
      </c>
      <c r="K92" s="846"/>
      <c r="L92" s="847"/>
      <c r="M92" s="846"/>
      <c r="N92" s="846"/>
      <c r="O92" s="737">
        <f t="shared" si="15"/>
        <v>0</v>
      </c>
      <c r="P92" s="847"/>
      <c r="Q92" s="847"/>
      <c r="R92" s="738">
        <f t="shared" si="18"/>
        <v>0</v>
      </c>
      <c r="S92" s="737">
        <f t="shared" si="19"/>
        <v>690652</v>
      </c>
      <c r="T92" s="739">
        <f t="shared" si="20"/>
        <v>810652</v>
      </c>
      <c r="U92" s="846"/>
      <c r="V92" s="847"/>
      <c r="W92" s="846"/>
      <c r="X92" s="846"/>
      <c r="Y92" s="740">
        <f t="shared" si="16"/>
        <v>0</v>
      </c>
      <c r="Z92" s="847"/>
      <c r="AA92" s="847"/>
      <c r="AB92" s="741">
        <f t="shared" si="17"/>
        <v>0</v>
      </c>
      <c r="AC92" s="846"/>
      <c r="AD92" s="847"/>
      <c r="AE92" s="846"/>
      <c r="AF92" s="846"/>
      <c r="AG92" s="847"/>
      <c r="AH92" s="847"/>
      <c r="AI92" s="742">
        <f t="shared" si="21"/>
        <v>690652</v>
      </c>
      <c r="AJ92" s="743">
        <f t="shared" si="22"/>
        <v>810652</v>
      </c>
    </row>
    <row r="93" spans="1:36">
      <c r="A93" s="915" t="s">
        <v>142</v>
      </c>
      <c r="B93" s="916" t="s">
        <v>266</v>
      </c>
      <c r="C93" s="922" t="s">
        <v>632</v>
      </c>
      <c r="D93" s="917"/>
      <c r="E93" s="918">
        <v>101587</v>
      </c>
      <c r="F93" s="919">
        <v>5</v>
      </c>
      <c r="G93" s="846"/>
      <c r="H93" s="847"/>
      <c r="I93" s="846">
        <v>188236</v>
      </c>
      <c r="J93" s="847">
        <v>400000</v>
      </c>
      <c r="K93" s="846"/>
      <c r="L93" s="847"/>
      <c r="M93" s="846"/>
      <c r="N93" s="846"/>
      <c r="O93" s="737">
        <f t="shared" si="15"/>
        <v>0</v>
      </c>
      <c r="P93" s="847"/>
      <c r="Q93" s="847"/>
      <c r="R93" s="738">
        <f t="shared" si="18"/>
        <v>0</v>
      </c>
      <c r="S93" s="737">
        <f t="shared" si="19"/>
        <v>188236</v>
      </c>
      <c r="T93" s="739">
        <f t="shared" si="20"/>
        <v>400000</v>
      </c>
      <c r="U93" s="846"/>
      <c r="V93" s="847"/>
      <c r="W93" s="846"/>
      <c r="X93" s="846"/>
      <c r="Y93" s="740">
        <f t="shared" si="16"/>
        <v>0</v>
      </c>
      <c r="Z93" s="847"/>
      <c r="AA93" s="847"/>
      <c r="AB93" s="741">
        <f t="shared" si="17"/>
        <v>0</v>
      </c>
      <c r="AC93" s="846"/>
      <c r="AD93" s="847"/>
      <c r="AE93" s="846"/>
      <c r="AF93" s="846"/>
      <c r="AG93" s="847"/>
      <c r="AH93" s="847"/>
      <c r="AI93" s="742">
        <f t="shared" si="21"/>
        <v>188236</v>
      </c>
      <c r="AJ93" s="743">
        <f t="shared" si="22"/>
        <v>400000</v>
      </c>
    </row>
    <row r="94" spans="1:36">
      <c r="A94" s="915" t="s">
        <v>142</v>
      </c>
      <c r="B94" s="916" t="s">
        <v>266</v>
      </c>
      <c r="C94" s="922" t="s">
        <v>633</v>
      </c>
      <c r="D94" s="917"/>
      <c r="E94" s="918">
        <v>101587</v>
      </c>
      <c r="F94" s="919">
        <v>5</v>
      </c>
      <c r="G94" s="846"/>
      <c r="H94" s="847"/>
      <c r="I94" s="846">
        <v>50000</v>
      </c>
      <c r="J94" s="847">
        <v>50000</v>
      </c>
      <c r="K94" s="846"/>
      <c r="L94" s="847"/>
      <c r="M94" s="846"/>
      <c r="N94" s="846"/>
      <c r="O94" s="737">
        <f t="shared" si="15"/>
        <v>0</v>
      </c>
      <c r="P94" s="847"/>
      <c r="Q94" s="847"/>
      <c r="R94" s="738">
        <f t="shared" si="18"/>
        <v>0</v>
      </c>
      <c r="S94" s="737">
        <f t="shared" si="19"/>
        <v>50000</v>
      </c>
      <c r="T94" s="739">
        <f t="shared" si="20"/>
        <v>50000</v>
      </c>
      <c r="U94" s="846"/>
      <c r="V94" s="847"/>
      <c r="W94" s="846"/>
      <c r="X94" s="846"/>
      <c r="Y94" s="740">
        <f t="shared" si="16"/>
        <v>0</v>
      </c>
      <c r="Z94" s="847"/>
      <c r="AA94" s="847"/>
      <c r="AB94" s="741">
        <f t="shared" si="17"/>
        <v>0</v>
      </c>
      <c r="AC94" s="846"/>
      <c r="AD94" s="847"/>
      <c r="AE94" s="846"/>
      <c r="AF94" s="846"/>
      <c r="AG94" s="847"/>
      <c r="AH94" s="847"/>
      <c r="AI94" s="742">
        <f t="shared" si="21"/>
        <v>50000</v>
      </c>
      <c r="AJ94" s="743">
        <f t="shared" si="22"/>
        <v>50000</v>
      </c>
    </row>
    <row r="95" spans="1:36">
      <c r="A95" s="915" t="s">
        <v>142</v>
      </c>
      <c r="B95" s="916" t="s">
        <v>264</v>
      </c>
      <c r="C95" s="923" t="s">
        <v>634</v>
      </c>
      <c r="D95" s="924"/>
      <c r="E95" s="927">
        <v>100812</v>
      </c>
      <c r="F95" s="919">
        <v>6</v>
      </c>
      <c r="G95" s="846">
        <v>11264712</v>
      </c>
      <c r="H95" s="847">
        <v>11343599</v>
      </c>
      <c r="I95" s="846"/>
      <c r="J95" s="847"/>
      <c r="K95" s="846"/>
      <c r="L95" s="847"/>
      <c r="M95" s="890">
        <v>15847044</v>
      </c>
      <c r="N95" s="890">
        <v>1153379</v>
      </c>
      <c r="O95" s="737">
        <f t="shared" si="15"/>
        <v>17000423</v>
      </c>
      <c r="P95" s="847">
        <v>15926145</v>
      </c>
      <c r="Q95" s="847">
        <v>1568719</v>
      </c>
      <c r="R95" s="738">
        <f t="shared" si="18"/>
        <v>17494864</v>
      </c>
      <c r="S95" s="737">
        <f t="shared" si="19"/>
        <v>27111756</v>
      </c>
      <c r="T95" s="739">
        <f t="shared" si="20"/>
        <v>27269744</v>
      </c>
      <c r="U95" s="846"/>
      <c r="V95" s="847"/>
      <c r="W95" s="846"/>
      <c r="X95" s="846"/>
      <c r="Y95" s="740">
        <f t="shared" si="16"/>
        <v>0</v>
      </c>
      <c r="Z95" s="847"/>
      <c r="AA95" s="847"/>
      <c r="AB95" s="741">
        <f t="shared" si="17"/>
        <v>0</v>
      </c>
      <c r="AC95" s="846"/>
      <c r="AD95" s="847"/>
      <c r="AE95" s="846"/>
      <c r="AF95" s="846"/>
      <c r="AG95" s="847"/>
      <c r="AH95" s="847"/>
      <c r="AI95" s="742">
        <f t="shared" si="21"/>
        <v>27111756</v>
      </c>
      <c r="AJ95" s="743">
        <f t="shared" si="22"/>
        <v>27269744</v>
      </c>
    </row>
    <row r="96" spans="1:36">
      <c r="A96" s="915" t="s">
        <v>142</v>
      </c>
      <c r="B96" s="916" t="s">
        <v>267</v>
      </c>
      <c r="C96" s="921" t="s">
        <v>258</v>
      </c>
      <c r="D96" s="917"/>
      <c r="E96" s="927">
        <v>100812</v>
      </c>
      <c r="F96" s="919">
        <v>6</v>
      </c>
      <c r="G96" s="846"/>
      <c r="H96" s="847"/>
      <c r="I96" s="846"/>
      <c r="J96" s="847"/>
      <c r="K96" s="846"/>
      <c r="L96" s="847"/>
      <c r="M96" s="846"/>
      <c r="N96" s="846"/>
      <c r="O96" s="737">
        <f t="shared" si="15"/>
        <v>0</v>
      </c>
      <c r="P96" s="847"/>
      <c r="Q96" s="847"/>
      <c r="R96" s="738">
        <f t="shared" si="18"/>
        <v>0</v>
      </c>
      <c r="S96" s="737">
        <f t="shared" si="19"/>
        <v>0</v>
      </c>
      <c r="T96" s="739">
        <f t="shared" si="20"/>
        <v>0</v>
      </c>
      <c r="U96" s="846"/>
      <c r="V96" s="847"/>
      <c r="W96" s="846"/>
      <c r="X96" s="846"/>
      <c r="Y96" s="740">
        <f t="shared" si="16"/>
        <v>0</v>
      </c>
      <c r="Z96" s="847"/>
      <c r="AA96" s="847"/>
      <c r="AB96" s="741">
        <f t="shared" si="17"/>
        <v>0</v>
      </c>
      <c r="AC96" s="846"/>
      <c r="AD96" s="847"/>
      <c r="AE96" s="846"/>
      <c r="AF96" s="846"/>
      <c r="AG96" s="847"/>
      <c r="AH96" s="847"/>
      <c r="AI96" s="742">
        <f t="shared" si="21"/>
        <v>0</v>
      </c>
      <c r="AJ96" s="743">
        <f t="shared" si="22"/>
        <v>0</v>
      </c>
    </row>
    <row r="97" spans="1:36">
      <c r="A97" s="915" t="s">
        <v>142</v>
      </c>
      <c r="B97" s="916" t="s">
        <v>267</v>
      </c>
      <c r="C97" s="922" t="s">
        <v>589</v>
      </c>
      <c r="D97" s="917"/>
      <c r="E97" s="927">
        <v>100812</v>
      </c>
      <c r="F97" s="919">
        <v>6</v>
      </c>
      <c r="G97" s="846"/>
      <c r="H97" s="847"/>
      <c r="I97" s="846">
        <v>214479</v>
      </c>
      <c r="J97" s="847">
        <v>214479</v>
      </c>
      <c r="K97" s="846"/>
      <c r="L97" s="847"/>
      <c r="M97" s="846"/>
      <c r="N97" s="846"/>
      <c r="O97" s="737">
        <f t="shared" si="15"/>
        <v>0</v>
      </c>
      <c r="P97" s="847"/>
      <c r="Q97" s="847"/>
      <c r="R97" s="738">
        <f t="shared" si="18"/>
        <v>0</v>
      </c>
      <c r="S97" s="737">
        <f t="shared" si="19"/>
        <v>214479</v>
      </c>
      <c r="T97" s="739">
        <f t="shared" si="20"/>
        <v>214479</v>
      </c>
      <c r="U97" s="846"/>
      <c r="V97" s="847"/>
      <c r="W97" s="846"/>
      <c r="X97" s="846"/>
      <c r="Y97" s="740">
        <f t="shared" si="16"/>
        <v>0</v>
      </c>
      <c r="Z97" s="847"/>
      <c r="AA97" s="847"/>
      <c r="AB97" s="741">
        <f t="shared" si="17"/>
        <v>0</v>
      </c>
      <c r="AC97" s="846"/>
      <c r="AD97" s="847"/>
      <c r="AE97" s="846"/>
      <c r="AF97" s="846"/>
      <c r="AG97" s="847"/>
      <c r="AH97" s="847"/>
      <c r="AI97" s="742">
        <f t="shared" si="21"/>
        <v>214479</v>
      </c>
      <c r="AJ97" s="743">
        <f t="shared" si="22"/>
        <v>214479</v>
      </c>
    </row>
    <row r="98" spans="1:36">
      <c r="A98" s="915" t="s">
        <v>142</v>
      </c>
      <c r="B98" s="916" t="s">
        <v>264</v>
      </c>
      <c r="C98" s="925" t="s">
        <v>635</v>
      </c>
      <c r="D98" s="928" t="s">
        <v>710</v>
      </c>
      <c r="E98" s="918">
        <v>101240</v>
      </c>
      <c r="F98" s="929">
        <v>8</v>
      </c>
      <c r="G98" s="846">
        <v>22261228</v>
      </c>
      <c r="H98" s="1466">
        <v>22266732</v>
      </c>
      <c r="I98" s="846"/>
      <c r="J98" s="847"/>
      <c r="K98" s="890">
        <v>761070</v>
      </c>
      <c r="L98" s="847">
        <v>740000</v>
      </c>
      <c r="M98" s="890">
        <v>16847161</v>
      </c>
      <c r="N98" s="890">
        <v>1280928</v>
      </c>
      <c r="O98" s="737">
        <f t="shared" si="15"/>
        <v>18128089</v>
      </c>
      <c r="P98" s="847">
        <v>16866805</v>
      </c>
      <c r="Q98" s="847">
        <v>1190195</v>
      </c>
      <c r="R98" s="738">
        <f t="shared" si="18"/>
        <v>18057000</v>
      </c>
      <c r="S98" s="737">
        <f t="shared" si="19"/>
        <v>39869459</v>
      </c>
      <c r="T98" s="739">
        <f t="shared" si="20"/>
        <v>39873537</v>
      </c>
      <c r="U98" s="846"/>
      <c r="V98" s="847"/>
      <c r="W98" s="846"/>
      <c r="X98" s="846"/>
      <c r="Y98" s="740">
        <f t="shared" si="16"/>
        <v>0</v>
      </c>
      <c r="Z98" s="847"/>
      <c r="AA98" s="847"/>
      <c r="AB98" s="741">
        <f t="shared" si="17"/>
        <v>0</v>
      </c>
      <c r="AC98" s="846"/>
      <c r="AD98" s="847"/>
      <c r="AE98" s="846"/>
      <c r="AF98" s="846"/>
      <c r="AG98" s="847"/>
      <c r="AH98" s="847"/>
      <c r="AI98" s="742">
        <f t="shared" si="21"/>
        <v>39869459</v>
      </c>
      <c r="AJ98" s="743">
        <f t="shared" si="22"/>
        <v>39873537</v>
      </c>
    </row>
    <row r="99" spans="1:36">
      <c r="A99" s="915" t="s">
        <v>142</v>
      </c>
      <c r="B99" s="916" t="s">
        <v>272</v>
      </c>
      <c r="C99" s="921" t="s">
        <v>636</v>
      </c>
      <c r="D99" s="917"/>
      <c r="E99" s="918">
        <v>101240</v>
      </c>
      <c r="F99" s="929">
        <v>8</v>
      </c>
      <c r="G99" s="846"/>
      <c r="H99" s="847"/>
      <c r="I99" s="846"/>
      <c r="J99" s="847"/>
      <c r="K99" s="846"/>
      <c r="L99" s="847"/>
      <c r="M99" s="846"/>
      <c r="N99" s="846"/>
      <c r="O99" s="737">
        <f t="shared" si="15"/>
        <v>0</v>
      </c>
      <c r="P99" s="847"/>
      <c r="Q99" s="847"/>
      <c r="R99" s="738">
        <f t="shared" si="18"/>
        <v>0</v>
      </c>
      <c r="S99" s="737">
        <f t="shared" si="19"/>
        <v>0</v>
      </c>
      <c r="T99" s="739">
        <f t="shared" si="20"/>
        <v>0</v>
      </c>
      <c r="U99" s="846"/>
      <c r="V99" s="847"/>
      <c r="W99" s="846"/>
      <c r="X99" s="846"/>
      <c r="Y99" s="740">
        <f t="shared" si="16"/>
        <v>0</v>
      </c>
      <c r="Z99" s="847"/>
      <c r="AA99" s="847"/>
      <c r="AB99" s="741">
        <f t="shared" si="17"/>
        <v>0</v>
      </c>
      <c r="AC99" s="846"/>
      <c r="AD99" s="847"/>
      <c r="AE99" s="846"/>
      <c r="AF99" s="846"/>
      <c r="AG99" s="847"/>
      <c r="AH99" s="847"/>
      <c r="AI99" s="742">
        <f t="shared" si="21"/>
        <v>0</v>
      </c>
      <c r="AJ99" s="743">
        <f t="shared" si="22"/>
        <v>0</v>
      </c>
    </row>
    <row r="100" spans="1:36">
      <c r="A100" s="915" t="s">
        <v>142</v>
      </c>
      <c r="B100" s="916" t="s">
        <v>272</v>
      </c>
      <c r="C100" s="922" t="s">
        <v>637</v>
      </c>
      <c r="D100" s="917"/>
      <c r="E100" s="918">
        <v>101240</v>
      </c>
      <c r="F100" s="929">
        <v>8</v>
      </c>
      <c r="G100" s="846"/>
      <c r="H100" s="847"/>
      <c r="I100" s="846">
        <v>230307</v>
      </c>
      <c r="J100" s="1466">
        <v>106255</v>
      </c>
      <c r="K100" s="846"/>
      <c r="L100" s="847"/>
      <c r="M100" s="846"/>
      <c r="N100" s="846"/>
      <c r="O100" s="737">
        <f t="shared" si="15"/>
        <v>0</v>
      </c>
      <c r="P100" s="847"/>
      <c r="Q100" s="847"/>
      <c r="R100" s="738">
        <f t="shared" si="18"/>
        <v>0</v>
      </c>
      <c r="S100" s="737">
        <f t="shared" si="19"/>
        <v>230307</v>
      </c>
      <c r="T100" s="739">
        <f t="shared" si="20"/>
        <v>106255</v>
      </c>
      <c r="U100" s="846"/>
      <c r="V100" s="847"/>
      <c r="W100" s="846"/>
      <c r="X100" s="846"/>
      <c r="Y100" s="740">
        <f t="shared" si="16"/>
        <v>0</v>
      </c>
      <c r="Z100" s="847"/>
      <c r="AA100" s="847"/>
      <c r="AB100" s="741">
        <f t="shared" si="17"/>
        <v>0</v>
      </c>
      <c r="AC100" s="846"/>
      <c r="AD100" s="847"/>
      <c r="AE100" s="846"/>
      <c r="AF100" s="846"/>
      <c r="AG100" s="847"/>
      <c r="AH100" s="847"/>
      <c r="AI100" s="742">
        <f t="shared" si="21"/>
        <v>230307</v>
      </c>
      <c r="AJ100" s="743">
        <f t="shared" si="22"/>
        <v>106255</v>
      </c>
    </row>
    <row r="101" spans="1:36">
      <c r="A101" s="915" t="s">
        <v>142</v>
      </c>
      <c r="B101" s="916" t="s">
        <v>272</v>
      </c>
      <c r="C101" s="922" t="s">
        <v>638</v>
      </c>
      <c r="D101" s="917"/>
      <c r="E101" s="918">
        <v>101240</v>
      </c>
      <c r="F101" s="929">
        <v>8</v>
      </c>
      <c r="G101" s="846"/>
      <c r="H101" s="847"/>
      <c r="I101" s="846">
        <v>690214</v>
      </c>
      <c r="J101" s="1466">
        <v>696720</v>
      </c>
      <c r="K101" s="846"/>
      <c r="L101" s="847"/>
      <c r="M101" s="846"/>
      <c r="N101" s="846"/>
      <c r="O101" s="737">
        <f t="shared" si="15"/>
        <v>0</v>
      </c>
      <c r="P101" s="847"/>
      <c r="Q101" s="847"/>
      <c r="R101" s="738">
        <f t="shared" si="18"/>
        <v>0</v>
      </c>
      <c r="S101" s="737">
        <f t="shared" si="19"/>
        <v>690214</v>
      </c>
      <c r="T101" s="739">
        <f t="shared" si="20"/>
        <v>696720</v>
      </c>
      <c r="U101" s="846"/>
      <c r="V101" s="847"/>
      <c r="W101" s="846"/>
      <c r="X101" s="846"/>
      <c r="Y101" s="740">
        <f t="shared" si="16"/>
        <v>0</v>
      </c>
      <c r="Z101" s="847"/>
      <c r="AA101" s="847"/>
      <c r="AB101" s="741">
        <f t="shared" si="17"/>
        <v>0</v>
      </c>
      <c r="AC101" s="846"/>
      <c r="AD101" s="847"/>
      <c r="AE101" s="846"/>
      <c r="AF101" s="846"/>
      <c r="AG101" s="847"/>
      <c r="AH101" s="847"/>
      <c r="AI101" s="742">
        <f t="shared" si="21"/>
        <v>690214</v>
      </c>
      <c r="AJ101" s="743">
        <f t="shared" si="22"/>
        <v>696720</v>
      </c>
    </row>
    <row r="102" spans="1:36">
      <c r="A102" s="915" t="s">
        <v>142</v>
      </c>
      <c r="B102" s="916" t="s">
        <v>272</v>
      </c>
      <c r="C102" s="922" t="s">
        <v>639</v>
      </c>
      <c r="D102" s="917"/>
      <c r="E102" s="918">
        <v>101240</v>
      </c>
      <c r="F102" s="929">
        <v>8</v>
      </c>
      <c r="G102" s="846"/>
      <c r="H102" s="847"/>
      <c r="I102" s="846">
        <v>197041</v>
      </c>
      <c r="J102" s="1466">
        <v>127510</v>
      </c>
      <c r="K102" s="846"/>
      <c r="L102" s="847"/>
      <c r="M102" s="846"/>
      <c r="N102" s="846"/>
      <c r="O102" s="737">
        <f t="shared" si="15"/>
        <v>0</v>
      </c>
      <c r="P102" s="847"/>
      <c r="Q102" s="847"/>
      <c r="R102" s="738">
        <f t="shared" si="18"/>
        <v>0</v>
      </c>
      <c r="S102" s="737">
        <f t="shared" si="19"/>
        <v>197041</v>
      </c>
      <c r="T102" s="739">
        <f t="shared" si="20"/>
        <v>127510</v>
      </c>
      <c r="U102" s="846"/>
      <c r="V102" s="847"/>
      <c r="W102" s="846"/>
      <c r="X102" s="846"/>
      <c r="Y102" s="740">
        <f t="shared" si="16"/>
        <v>0</v>
      </c>
      <c r="Z102" s="847"/>
      <c r="AA102" s="847"/>
      <c r="AB102" s="741">
        <f t="shared" si="17"/>
        <v>0</v>
      </c>
      <c r="AC102" s="846"/>
      <c r="AD102" s="847"/>
      <c r="AE102" s="846"/>
      <c r="AF102" s="846"/>
      <c r="AG102" s="847"/>
      <c r="AH102" s="847"/>
      <c r="AI102" s="742">
        <f t="shared" si="21"/>
        <v>197041</v>
      </c>
      <c r="AJ102" s="743">
        <f t="shared" si="22"/>
        <v>127510</v>
      </c>
    </row>
    <row r="103" spans="1:36">
      <c r="A103" s="915" t="s">
        <v>142</v>
      </c>
      <c r="B103" s="916" t="s">
        <v>272</v>
      </c>
      <c r="C103" s="922" t="s">
        <v>640</v>
      </c>
      <c r="D103" s="917"/>
      <c r="E103" s="918">
        <v>101240</v>
      </c>
      <c r="F103" s="929">
        <v>8</v>
      </c>
      <c r="G103" s="846"/>
      <c r="H103" s="847"/>
      <c r="I103" s="846"/>
      <c r="J103" s="847">
        <v>275000</v>
      </c>
      <c r="K103" s="846"/>
      <c r="L103" s="847"/>
      <c r="M103" s="846"/>
      <c r="N103" s="846"/>
      <c r="O103" s="737">
        <f t="shared" si="15"/>
        <v>0</v>
      </c>
      <c r="P103" s="847"/>
      <c r="Q103" s="847"/>
      <c r="R103" s="738">
        <f t="shared" si="18"/>
        <v>0</v>
      </c>
      <c r="S103" s="737">
        <f t="shared" si="19"/>
        <v>0</v>
      </c>
      <c r="T103" s="739">
        <f t="shared" si="20"/>
        <v>275000</v>
      </c>
      <c r="U103" s="846"/>
      <c r="V103" s="847"/>
      <c r="W103" s="846"/>
      <c r="X103" s="846"/>
      <c r="Y103" s="740">
        <f t="shared" si="16"/>
        <v>0</v>
      </c>
      <c r="Z103" s="847"/>
      <c r="AA103" s="847"/>
      <c r="AB103" s="741">
        <f t="shared" si="17"/>
        <v>0</v>
      </c>
      <c r="AC103" s="846"/>
      <c r="AD103" s="847"/>
      <c r="AE103" s="846"/>
      <c r="AF103" s="846"/>
      <c r="AG103" s="847"/>
      <c r="AH103" s="847"/>
      <c r="AI103" s="742">
        <f t="shared" si="21"/>
        <v>0</v>
      </c>
      <c r="AJ103" s="743">
        <f t="shared" si="22"/>
        <v>275000</v>
      </c>
    </row>
    <row r="104" spans="1:36">
      <c r="A104" s="915" t="s">
        <v>142</v>
      </c>
      <c r="B104" s="916" t="s">
        <v>264</v>
      </c>
      <c r="C104" s="923" t="s">
        <v>641</v>
      </c>
      <c r="D104" s="924"/>
      <c r="E104" s="918">
        <v>101505</v>
      </c>
      <c r="F104" s="919">
        <v>8</v>
      </c>
      <c r="G104" s="846">
        <v>19277983</v>
      </c>
      <c r="H104" s="1466">
        <v>19955750</v>
      </c>
      <c r="I104" s="846"/>
      <c r="J104" s="847"/>
      <c r="K104" s="890">
        <v>0</v>
      </c>
      <c r="L104" s="847">
        <v>870000</v>
      </c>
      <c r="M104" s="890">
        <v>21302108</v>
      </c>
      <c r="N104" s="890">
        <v>4614198</v>
      </c>
      <c r="O104" s="737">
        <f t="shared" si="15"/>
        <v>25916306</v>
      </c>
      <c r="P104" s="847">
        <v>21975791</v>
      </c>
      <c r="Q104" s="847">
        <v>4617022</v>
      </c>
      <c r="R104" s="738">
        <f t="shared" si="18"/>
        <v>26592813</v>
      </c>
      <c r="S104" s="737">
        <f t="shared" si="19"/>
        <v>40580091</v>
      </c>
      <c r="T104" s="739">
        <f t="shared" si="20"/>
        <v>42801541</v>
      </c>
      <c r="U104" s="846"/>
      <c r="V104" s="847"/>
      <c r="W104" s="846"/>
      <c r="X104" s="846"/>
      <c r="Y104" s="740">
        <f t="shared" si="16"/>
        <v>0</v>
      </c>
      <c r="Z104" s="847"/>
      <c r="AA104" s="847"/>
      <c r="AB104" s="741">
        <f t="shared" si="17"/>
        <v>0</v>
      </c>
      <c r="AC104" s="846"/>
      <c r="AD104" s="847"/>
      <c r="AE104" s="846"/>
      <c r="AF104" s="846"/>
      <c r="AG104" s="847"/>
      <c r="AH104" s="847"/>
      <c r="AI104" s="742">
        <f t="shared" si="21"/>
        <v>40580091</v>
      </c>
      <c r="AJ104" s="743">
        <f t="shared" si="22"/>
        <v>42801541</v>
      </c>
    </row>
    <row r="105" spans="1:36">
      <c r="A105" s="915" t="s">
        <v>142</v>
      </c>
      <c r="B105" s="916" t="s">
        <v>272</v>
      </c>
      <c r="C105" s="922" t="s">
        <v>637</v>
      </c>
      <c r="D105" s="917"/>
      <c r="E105" s="918">
        <v>101505</v>
      </c>
      <c r="F105" s="919">
        <v>8</v>
      </c>
      <c r="G105" s="846"/>
      <c r="H105" s="847"/>
      <c r="I105" s="846">
        <v>27363</v>
      </c>
      <c r="J105" s="1466">
        <v>45000</v>
      </c>
      <c r="K105" s="846"/>
      <c r="L105" s="847"/>
      <c r="M105" s="846"/>
      <c r="N105" s="846"/>
      <c r="O105" s="737">
        <f t="shared" si="15"/>
        <v>0</v>
      </c>
      <c r="P105" s="847"/>
      <c r="Q105" s="847"/>
      <c r="R105" s="738">
        <f t="shared" si="18"/>
        <v>0</v>
      </c>
      <c r="S105" s="737">
        <f t="shared" si="19"/>
        <v>27363</v>
      </c>
      <c r="T105" s="739">
        <f t="shared" si="20"/>
        <v>45000</v>
      </c>
      <c r="U105" s="846"/>
      <c r="V105" s="847"/>
      <c r="W105" s="846"/>
      <c r="X105" s="846"/>
      <c r="Y105" s="740">
        <f t="shared" si="16"/>
        <v>0</v>
      </c>
      <c r="Z105" s="847"/>
      <c r="AA105" s="847"/>
      <c r="AB105" s="741">
        <f t="shared" si="17"/>
        <v>0</v>
      </c>
      <c r="AC105" s="846"/>
      <c r="AD105" s="847"/>
      <c r="AE105" s="846"/>
      <c r="AF105" s="846"/>
      <c r="AG105" s="847"/>
      <c r="AH105" s="847"/>
      <c r="AI105" s="742">
        <f t="shared" si="21"/>
        <v>27363</v>
      </c>
      <c r="AJ105" s="743">
        <f t="shared" si="22"/>
        <v>45000</v>
      </c>
    </row>
    <row r="106" spans="1:36">
      <c r="A106" s="915" t="s">
        <v>142</v>
      </c>
      <c r="B106" s="916" t="s">
        <v>272</v>
      </c>
      <c r="C106" s="922" t="s">
        <v>638</v>
      </c>
      <c r="D106" s="917"/>
      <c r="E106" s="918">
        <v>101505</v>
      </c>
      <c r="F106" s="919">
        <v>8</v>
      </c>
      <c r="G106" s="846"/>
      <c r="H106" s="847"/>
      <c r="I106" s="846">
        <v>701960</v>
      </c>
      <c r="J106" s="1466">
        <v>708073</v>
      </c>
      <c r="K106" s="846"/>
      <c r="L106" s="847"/>
      <c r="M106" s="846"/>
      <c r="N106" s="846"/>
      <c r="O106" s="737">
        <f t="shared" si="15"/>
        <v>0</v>
      </c>
      <c r="P106" s="847"/>
      <c r="Q106" s="847"/>
      <c r="R106" s="738">
        <f t="shared" si="18"/>
        <v>0</v>
      </c>
      <c r="S106" s="737">
        <f t="shared" si="19"/>
        <v>701960</v>
      </c>
      <c r="T106" s="739">
        <f t="shared" si="20"/>
        <v>708073</v>
      </c>
      <c r="U106" s="846"/>
      <c r="V106" s="847"/>
      <c r="W106" s="846"/>
      <c r="X106" s="846"/>
      <c r="Y106" s="740">
        <f t="shared" si="16"/>
        <v>0</v>
      </c>
      <c r="Z106" s="847"/>
      <c r="AA106" s="847"/>
      <c r="AB106" s="741">
        <f t="shared" si="17"/>
        <v>0</v>
      </c>
      <c r="AC106" s="846"/>
      <c r="AD106" s="847"/>
      <c r="AE106" s="846"/>
      <c r="AF106" s="846"/>
      <c r="AG106" s="847"/>
      <c r="AH106" s="847"/>
      <c r="AI106" s="742">
        <f t="shared" si="21"/>
        <v>701960</v>
      </c>
      <c r="AJ106" s="743">
        <f t="shared" si="22"/>
        <v>708073</v>
      </c>
    </row>
    <row r="107" spans="1:36">
      <c r="A107" s="915" t="s">
        <v>142</v>
      </c>
      <c r="B107" s="916" t="s">
        <v>272</v>
      </c>
      <c r="C107" s="922" t="s">
        <v>639</v>
      </c>
      <c r="D107" s="917"/>
      <c r="E107" s="918">
        <v>101505</v>
      </c>
      <c r="F107" s="919">
        <v>8</v>
      </c>
      <c r="G107" s="846"/>
      <c r="H107" s="847"/>
      <c r="I107" s="890">
        <v>227428.73</v>
      </c>
      <c r="J107" s="1466">
        <v>322991</v>
      </c>
      <c r="K107" s="846"/>
      <c r="L107" s="847"/>
      <c r="M107" s="846"/>
      <c r="N107" s="846"/>
      <c r="O107" s="737">
        <f t="shared" si="15"/>
        <v>0</v>
      </c>
      <c r="P107" s="847"/>
      <c r="Q107" s="847"/>
      <c r="R107" s="738">
        <f t="shared" si="18"/>
        <v>0</v>
      </c>
      <c r="S107" s="737">
        <f t="shared" si="19"/>
        <v>227428.73</v>
      </c>
      <c r="T107" s="739">
        <f t="shared" si="20"/>
        <v>322991</v>
      </c>
      <c r="U107" s="846"/>
      <c r="V107" s="847"/>
      <c r="W107" s="846"/>
      <c r="X107" s="846"/>
      <c r="Y107" s="740">
        <f t="shared" si="16"/>
        <v>0</v>
      </c>
      <c r="Z107" s="847"/>
      <c r="AA107" s="847"/>
      <c r="AB107" s="741">
        <f t="shared" si="17"/>
        <v>0</v>
      </c>
      <c r="AC107" s="846"/>
      <c r="AD107" s="847"/>
      <c r="AE107" s="846"/>
      <c r="AF107" s="846"/>
      <c r="AG107" s="847"/>
      <c r="AH107" s="847"/>
      <c r="AI107" s="742">
        <f t="shared" si="21"/>
        <v>227428.73</v>
      </c>
      <c r="AJ107" s="743">
        <f t="shared" si="22"/>
        <v>322991</v>
      </c>
    </row>
    <row r="108" spans="1:36">
      <c r="A108" s="915" t="s">
        <v>142</v>
      </c>
      <c r="B108" s="916" t="s">
        <v>272</v>
      </c>
      <c r="C108" s="922" t="s">
        <v>640</v>
      </c>
      <c r="D108" s="917"/>
      <c r="E108" s="918">
        <v>101505</v>
      </c>
      <c r="F108" s="919">
        <v>8</v>
      </c>
      <c r="G108" s="846"/>
      <c r="H108" s="847"/>
      <c r="I108" s="846"/>
      <c r="J108" s="1466">
        <v>195000</v>
      </c>
      <c r="K108" s="846"/>
      <c r="L108" s="847"/>
      <c r="M108" s="846"/>
      <c r="N108" s="846"/>
      <c r="O108" s="737">
        <f t="shared" si="15"/>
        <v>0</v>
      </c>
      <c r="P108" s="847"/>
      <c r="Q108" s="847"/>
      <c r="R108" s="738">
        <f t="shared" si="18"/>
        <v>0</v>
      </c>
      <c r="S108" s="737">
        <f t="shared" si="19"/>
        <v>0</v>
      </c>
      <c r="T108" s="739">
        <f t="shared" si="20"/>
        <v>195000</v>
      </c>
      <c r="U108" s="846"/>
      <c r="V108" s="847"/>
      <c r="W108" s="846"/>
      <c r="X108" s="846"/>
      <c r="Y108" s="740">
        <f t="shared" si="16"/>
        <v>0</v>
      </c>
      <c r="Z108" s="847"/>
      <c r="AA108" s="847"/>
      <c r="AB108" s="741">
        <f t="shared" si="17"/>
        <v>0</v>
      </c>
      <c r="AC108" s="846"/>
      <c r="AD108" s="847"/>
      <c r="AE108" s="846"/>
      <c r="AF108" s="846"/>
      <c r="AG108" s="847"/>
      <c r="AH108" s="847"/>
      <c r="AI108" s="742">
        <f t="shared" si="21"/>
        <v>0</v>
      </c>
      <c r="AJ108" s="743">
        <f t="shared" si="22"/>
        <v>195000</v>
      </c>
    </row>
    <row r="109" spans="1:36">
      <c r="A109" s="915" t="s">
        <v>142</v>
      </c>
      <c r="B109" s="916" t="s">
        <v>264</v>
      </c>
      <c r="C109" s="923" t="s">
        <v>642</v>
      </c>
      <c r="D109" s="924"/>
      <c r="E109" s="918">
        <v>101514</v>
      </c>
      <c r="F109" s="919">
        <v>8</v>
      </c>
      <c r="G109" s="846">
        <v>22211649</v>
      </c>
      <c r="H109" s="1466">
        <v>22973322</v>
      </c>
      <c r="I109" s="846"/>
      <c r="J109" s="847"/>
      <c r="K109" s="846"/>
      <c r="L109" s="847"/>
      <c r="M109" s="890">
        <v>32260335</v>
      </c>
      <c r="N109" s="846">
        <v>2773200</v>
      </c>
      <c r="O109" s="737">
        <f t="shared" si="15"/>
        <v>35033535</v>
      </c>
      <c r="P109" s="847">
        <v>31722066</v>
      </c>
      <c r="Q109" s="847">
        <v>2778050</v>
      </c>
      <c r="R109" s="738">
        <f t="shared" si="18"/>
        <v>34500116</v>
      </c>
      <c r="S109" s="737">
        <f t="shared" si="19"/>
        <v>54471984</v>
      </c>
      <c r="T109" s="739">
        <f t="shared" si="20"/>
        <v>54695388</v>
      </c>
      <c r="U109" s="846"/>
      <c r="V109" s="847"/>
      <c r="W109" s="846"/>
      <c r="X109" s="846"/>
      <c r="Y109" s="740">
        <f t="shared" si="16"/>
        <v>0</v>
      </c>
      <c r="Z109" s="847"/>
      <c r="AA109" s="847"/>
      <c r="AB109" s="741">
        <f t="shared" si="17"/>
        <v>0</v>
      </c>
      <c r="AC109" s="846"/>
      <c r="AD109" s="847"/>
      <c r="AE109" s="846"/>
      <c r="AF109" s="846"/>
      <c r="AG109" s="847"/>
      <c r="AH109" s="847"/>
      <c r="AI109" s="742">
        <f t="shared" si="21"/>
        <v>54471984</v>
      </c>
      <c r="AJ109" s="743">
        <f t="shared" si="22"/>
        <v>54695388</v>
      </c>
    </row>
    <row r="110" spans="1:36">
      <c r="A110" s="915" t="s">
        <v>142</v>
      </c>
      <c r="B110" s="916" t="s">
        <v>272</v>
      </c>
      <c r="C110" s="921" t="s">
        <v>636</v>
      </c>
      <c r="D110" s="917"/>
      <c r="E110" s="918">
        <v>101514</v>
      </c>
      <c r="F110" s="919">
        <v>8</v>
      </c>
      <c r="G110" s="846"/>
      <c r="H110" s="847"/>
      <c r="I110" s="846"/>
      <c r="J110" s="847"/>
      <c r="K110" s="846"/>
      <c r="L110" s="847"/>
      <c r="M110" s="846"/>
      <c r="N110" s="846"/>
      <c r="O110" s="737">
        <f t="shared" si="15"/>
        <v>0</v>
      </c>
      <c r="P110" s="847"/>
      <c r="Q110" s="847"/>
      <c r="R110" s="738">
        <f t="shared" si="18"/>
        <v>0</v>
      </c>
      <c r="S110" s="737">
        <f t="shared" si="19"/>
        <v>0</v>
      </c>
      <c r="T110" s="739">
        <f t="shared" si="20"/>
        <v>0</v>
      </c>
      <c r="U110" s="846"/>
      <c r="V110" s="847"/>
      <c r="W110" s="846"/>
      <c r="X110" s="846"/>
      <c r="Y110" s="740">
        <f t="shared" si="16"/>
        <v>0</v>
      </c>
      <c r="Z110" s="847"/>
      <c r="AA110" s="847"/>
      <c r="AB110" s="741">
        <f t="shared" si="17"/>
        <v>0</v>
      </c>
      <c r="AC110" s="846"/>
      <c r="AD110" s="847"/>
      <c r="AE110" s="846"/>
      <c r="AF110" s="846"/>
      <c r="AG110" s="847"/>
      <c r="AH110" s="847"/>
      <c r="AI110" s="742">
        <f t="shared" si="21"/>
        <v>0</v>
      </c>
      <c r="AJ110" s="743">
        <f t="shared" si="22"/>
        <v>0</v>
      </c>
    </row>
    <row r="111" spans="1:36">
      <c r="A111" s="915" t="s">
        <v>142</v>
      </c>
      <c r="B111" s="916" t="s">
        <v>272</v>
      </c>
      <c r="C111" s="922" t="s">
        <v>637</v>
      </c>
      <c r="D111" s="917"/>
      <c r="E111" s="918">
        <v>101514</v>
      </c>
      <c r="F111" s="919">
        <v>8</v>
      </c>
      <c r="G111" s="846"/>
      <c r="H111" s="847"/>
      <c r="I111" s="846"/>
      <c r="J111" s="1466">
        <v>197303</v>
      </c>
      <c r="K111" s="846"/>
      <c r="L111" s="847"/>
      <c r="M111" s="846"/>
      <c r="N111" s="846"/>
      <c r="O111" s="737">
        <f t="shared" si="15"/>
        <v>0</v>
      </c>
      <c r="P111" s="847"/>
      <c r="Q111" s="847"/>
      <c r="R111" s="738">
        <f t="shared" si="18"/>
        <v>0</v>
      </c>
      <c r="S111" s="737">
        <f t="shared" si="19"/>
        <v>0</v>
      </c>
      <c r="T111" s="739">
        <f t="shared" si="20"/>
        <v>197303</v>
      </c>
      <c r="U111" s="846"/>
      <c r="V111" s="847"/>
      <c r="W111" s="846"/>
      <c r="X111" s="846"/>
      <c r="Y111" s="740">
        <f t="shared" si="16"/>
        <v>0</v>
      </c>
      <c r="Z111" s="847"/>
      <c r="AA111" s="847"/>
      <c r="AB111" s="741">
        <f t="shared" si="17"/>
        <v>0</v>
      </c>
      <c r="AC111" s="846"/>
      <c r="AD111" s="847"/>
      <c r="AE111" s="846"/>
      <c r="AF111" s="846"/>
      <c r="AG111" s="847"/>
      <c r="AH111" s="847"/>
      <c r="AI111" s="742">
        <f t="shared" si="21"/>
        <v>0</v>
      </c>
      <c r="AJ111" s="743">
        <f t="shared" si="22"/>
        <v>197303</v>
      </c>
    </row>
    <row r="112" spans="1:36">
      <c r="A112" s="915" t="s">
        <v>142</v>
      </c>
      <c r="B112" s="916" t="s">
        <v>272</v>
      </c>
      <c r="C112" s="922" t="s">
        <v>638</v>
      </c>
      <c r="D112" s="917"/>
      <c r="E112" s="918">
        <v>101514</v>
      </c>
      <c r="F112" s="919">
        <v>8</v>
      </c>
      <c r="G112" s="846"/>
      <c r="H112" s="847"/>
      <c r="I112" s="846">
        <v>827264</v>
      </c>
      <c r="J112" s="1466">
        <v>777081</v>
      </c>
      <c r="K112" s="846"/>
      <c r="L112" s="847"/>
      <c r="M112" s="846"/>
      <c r="N112" s="846"/>
      <c r="O112" s="737">
        <f t="shared" si="15"/>
        <v>0</v>
      </c>
      <c r="P112" s="847"/>
      <c r="Q112" s="847"/>
      <c r="R112" s="738">
        <f t="shared" si="18"/>
        <v>0</v>
      </c>
      <c r="S112" s="737">
        <f t="shared" si="19"/>
        <v>827264</v>
      </c>
      <c r="T112" s="739">
        <f t="shared" si="20"/>
        <v>777081</v>
      </c>
      <c r="U112" s="846"/>
      <c r="V112" s="847"/>
      <c r="W112" s="846"/>
      <c r="X112" s="846"/>
      <c r="Y112" s="740">
        <f t="shared" si="16"/>
        <v>0</v>
      </c>
      <c r="Z112" s="847"/>
      <c r="AA112" s="847"/>
      <c r="AB112" s="741">
        <f t="shared" si="17"/>
        <v>0</v>
      </c>
      <c r="AC112" s="846"/>
      <c r="AD112" s="847"/>
      <c r="AE112" s="846"/>
      <c r="AF112" s="846"/>
      <c r="AG112" s="847"/>
      <c r="AH112" s="847"/>
      <c r="AI112" s="742">
        <f t="shared" si="21"/>
        <v>827264</v>
      </c>
      <c r="AJ112" s="743">
        <f t="shared" si="22"/>
        <v>777081</v>
      </c>
    </row>
    <row r="113" spans="1:36">
      <c r="A113" s="915" t="s">
        <v>142</v>
      </c>
      <c r="B113" s="916" t="s">
        <v>272</v>
      </c>
      <c r="C113" s="922" t="s">
        <v>639</v>
      </c>
      <c r="D113" s="917"/>
      <c r="E113" s="918">
        <v>101514</v>
      </c>
      <c r="F113" s="919">
        <v>8</v>
      </c>
      <c r="G113" s="846"/>
      <c r="H113" s="847"/>
      <c r="I113" s="846">
        <v>192175</v>
      </c>
      <c r="J113" s="1466">
        <v>240340</v>
      </c>
      <c r="K113" s="846"/>
      <c r="L113" s="847"/>
      <c r="M113" s="846"/>
      <c r="N113" s="846"/>
      <c r="O113" s="737">
        <f t="shared" si="15"/>
        <v>0</v>
      </c>
      <c r="P113" s="847"/>
      <c r="Q113" s="847"/>
      <c r="R113" s="738">
        <f t="shared" si="18"/>
        <v>0</v>
      </c>
      <c r="S113" s="737">
        <f t="shared" si="19"/>
        <v>192175</v>
      </c>
      <c r="T113" s="739">
        <f t="shared" si="20"/>
        <v>240340</v>
      </c>
      <c r="U113" s="846"/>
      <c r="V113" s="847"/>
      <c r="W113" s="846"/>
      <c r="X113" s="846"/>
      <c r="Y113" s="740">
        <f t="shared" si="16"/>
        <v>0</v>
      </c>
      <c r="Z113" s="847"/>
      <c r="AA113" s="847"/>
      <c r="AB113" s="741">
        <f t="shared" si="17"/>
        <v>0</v>
      </c>
      <c r="AC113" s="846"/>
      <c r="AD113" s="847"/>
      <c r="AE113" s="846"/>
      <c r="AF113" s="846"/>
      <c r="AG113" s="847"/>
      <c r="AH113" s="847"/>
      <c r="AI113" s="742">
        <f t="shared" si="21"/>
        <v>192175</v>
      </c>
      <c r="AJ113" s="743">
        <f t="shared" si="22"/>
        <v>240340</v>
      </c>
    </row>
    <row r="114" spans="1:36">
      <c r="A114" s="915" t="s">
        <v>142</v>
      </c>
      <c r="B114" s="916" t="s">
        <v>272</v>
      </c>
      <c r="C114" s="922" t="s">
        <v>640</v>
      </c>
      <c r="D114" s="917"/>
      <c r="E114" s="918">
        <v>101514</v>
      </c>
      <c r="F114" s="919">
        <v>8</v>
      </c>
      <c r="G114" s="846"/>
      <c r="H114" s="847"/>
      <c r="I114" s="846"/>
      <c r="J114" s="1466">
        <v>301200</v>
      </c>
      <c r="K114" s="846"/>
      <c r="L114" s="847"/>
      <c r="M114" s="846"/>
      <c r="N114" s="846"/>
      <c r="O114" s="737">
        <f t="shared" si="15"/>
        <v>0</v>
      </c>
      <c r="P114" s="847"/>
      <c r="Q114" s="847"/>
      <c r="R114" s="738">
        <f t="shared" si="18"/>
        <v>0</v>
      </c>
      <c r="S114" s="737">
        <f t="shared" si="19"/>
        <v>0</v>
      </c>
      <c r="T114" s="739">
        <f t="shared" si="20"/>
        <v>301200</v>
      </c>
      <c r="U114" s="846"/>
      <c r="V114" s="847"/>
      <c r="W114" s="846"/>
      <c r="X114" s="846"/>
      <c r="Y114" s="740">
        <f t="shared" si="16"/>
        <v>0</v>
      </c>
      <c r="Z114" s="847"/>
      <c r="AA114" s="847"/>
      <c r="AB114" s="741">
        <f t="shared" si="17"/>
        <v>0</v>
      </c>
      <c r="AC114" s="846"/>
      <c r="AD114" s="847"/>
      <c r="AE114" s="846"/>
      <c r="AF114" s="846"/>
      <c r="AG114" s="847"/>
      <c r="AH114" s="847"/>
      <c r="AI114" s="742">
        <f t="shared" si="21"/>
        <v>0</v>
      </c>
      <c r="AJ114" s="743">
        <f t="shared" si="22"/>
        <v>301200</v>
      </c>
    </row>
    <row r="115" spans="1:36">
      <c r="A115" s="915" t="s">
        <v>142</v>
      </c>
      <c r="B115" s="916" t="s">
        <v>264</v>
      </c>
      <c r="C115" s="925" t="s">
        <v>643</v>
      </c>
      <c r="D115" s="930" t="s">
        <v>711</v>
      </c>
      <c r="E115" s="918">
        <v>101295</v>
      </c>
      <c r="F115" s="949">
        <v>9</v>
      </c>
      <c r="G115" s="846">
        <v>18328943</v>
      </c>
      <c r="H115" s="1466">
        <v>18511168</v>
      </c>
      <c r="I115" s="846"/>
      <c r="J115" s="847"/>
      <c r="K115" s="846"/>
      <c r="L115" s="847"/>
      <c r="M115" s="890">
        <v>15228692</v>
      </c>
      <c r="N115" s="846">
        <v>3657088</v>
      </c>
      <c r="O115" s="737">
        <f t="shared" si="15"/>
        <v>18885780</v>
      </c>
      <c r="P115" s="847">
        <v>14734195</v>
      </c>
      <c r="Q115" s="847">
        <v>3651000</v>
      </c>
      <c r="R115" s="738">
        <f t="shared" si="18"/>
        <v>18385195</v>
      </c>
      <c r="S115" s="737">
        <f t="shared" si="19"/>
        <v>33557635</v>
      </c>
      <c r="T115" s="739">
        <f t="shared" si="20"/>
        <v>33245363</v>
      </c>
      <c r="U115" s="846"/>
      <c r="V115" s="847"/>
      <c r="W115" s="846"/>
      <c r="X115" s="846"/>
      <c r="Y115" s="740">
        <f t="shared" si="16"/>
        <v>0</v>
      </c>
      <c r="Z115" s="847"/>
      <c r="AA115" s="847"/>
      <c r="AB115" s="741">
        <f t="shared" si="17"/>
        <v>0</v>
      </c>
      <c r="AC115" s="846"/>
      <c r="AD115" s="847"/>
      <c r="AE115" s="846"/>
      <c r="AF115" s="846"/>
      <c r="AG115" s="847"/>
      <c r="AH115" s="847"/>
      <c r="AI115" s="742">
        <f t="shared" si="21"/>
        <v>33557635</v>
      </c>
      <c r="AJ115" s="743">
        <f t="shared" si="22"/>
        <v>33245363</v>
      </c>
    </row>
    <row r="116" spans="1:36">
      <c r="A116" s="915" t="s">
        <v>142</v>
      </c>
      <c r="B116" s="916" t="s">
        <v>272</v>
      </c>
      <c r="C116" s="921" t="s">
        <v>636</v>
      </c>
      <c r="D116" s="917"/>
      <c r="E116" s="918">
        <v>101295</v>
      </c>
      <c r="F116" s="949">
        <v>9</v>
      </c>
      <c r="G116" s="846"/>
      <c r="H116" s="847"/>
      <c r="I116" s="846"/>
      <c r="J116" s="847"/>
      <c r="K116" s="846"/>
      <c r="L116" s="847"/>
      <c r="M116" s="846"/>
      <c r="N116" s="846"/>
      <c r="O116" s="737">
        <f t="shared" si="15"/>
        <v>0</v>
      </c>
      <c r="P116" s="847"/>
      <c r="Q116" s="847"/>
      <c r="R116" s="738">
        <f t="shared" si="18"/>
        <v>0</v>
      </c>
      <c r="S116" s="737">
        <f t="shared" si="19"/>
        <v>0</v>
      </c>
      <c r="T116" s="739">
        <f t="shared" si="20"/>
        <v>0</v>
      </c>
      <c r="U116" s="846"/>
      <c r="V116" s="847"/>
      <c r="W116" s="846"/>
      <c r="X116" s="846"/>
      <c r="Y116" s="740">
        <f t="shared" si="16"/>
        <v>0</v>
      </c>
      <c r="Z116" s="847"/>
      <c r="AA116" s="847"/>
      <c r="AB116" s="741">
        <f t="shared" si="17"/>
        <v>0</v>
      </c>
      <c r="AC116" s="846"/>
      <c r="AD116" s="847"/>
      <c r="AE116" s="846"/>
      <c r="AF116" s="846"/>
      <c r="AG116" s="847"/>
      <c r="AH116" s="847"/>
      <c r="AI116" s="742">
        <f t="shared" si="21"/>
        <v>0</v>
      </c>
      <c r="AJ116" s="743">
        <f t="shared" si="22"/>
        <v>0</v>
      </c>
    </row>
    <row r="117" spans="1:36">
      <c r="A117" s="915" t="s">
        <v>142</v>
      </c>
      <c r="B117" s="916" t="s">
        <v>272</v>
      </c>
      <c r="C117" s="922" t="s">
        <v>637</v>
      </c>
      <c r="D117" s="917"/>
      <c r="E117" s="918">
        <v>101295</v>
      </c>
      <c r="F117" s="949">
        <v>9</v>
      </c>
      <c r="G117" s="846"/>
      <c r="H117" s="847"/>
      <c r="I117" s="846">
        <v>245774</v>
      </c>
      <c r="J117" s="1466">
        <v>215366</v>
      </c>
      <c r="K117" s="846"/>
      <c r="L117" s="847"/>
      <c r="M117" s="846"/>
      <c r="N117" s="846"/>
      <c r="O117" s="737">
        <f t="shared" si="15"/>
        <v>0</v>
      </c>
      <c r="P117" s="847"/>
      <c r="Q117" s="847"/>
      <c r="R117" s="738">
        <f t="shared" si="18"/>
        <v>0</v>
      </c>
      <c r="S117" s="737">
        <f t="shared" si="19"/>
        <v>245774</v>
      </c>
      <c r="T117" s="739">
        <f t="shared" si="20"/>
        <v>215366</v>
      </c>
      <c r="U117" s="846"/>
      <c r="V117" s="847"/>
      <c r="W117" s="846"/>
      <c r="X117" s="846"/>
      <c r="Y117" s="740">
        <f t="shared" si="16"/>
        <v>0</v>
      </c>
      <c r="Z117" s="847"/>
      <c r="AA117" s="847"/>
      <c r="AB117" s="741">
        <f t="shared" si="17"/>
        <v>0</v>
      </c>
      <c r="AC117" s="846"/>
      <c r="AD117" s="847"/>
      <c r="AE117" s="846"/>
      <c r="AF117" s="846"/>
      <c r="AG117" s="847"/>
      <c r="AH117" s="847"/>
      <c r="AI117" s="742">
        <f t="shared" si="21"/>
        <v>245774</v>
      </c>
      <c r="AJ117" s="743">
        <f t="shared" si="22"/>
        <v>215366</v>
      </c>
    </row>
    <row r="118" spans="1:36">
      <c r="A118" s="915" t="s">
        <v>142</v>
      </c>
      <c r="B118" s="916" t="s">
        <v>272</v>
      </c>
      <c r="C118" s="922" t="s">
        <v>638</v>
      </c>
      <c r="D118" s="917"/>
      <c r="E118" s="918">
        <v>101295</v>
      </c>
      <c r="F118" s="949">
        <v>9</v>
      </c>
      <c r="G118" s="846"/>
      <c r="H118" s="847"/>
      <c r="I118" s="846">
        <v>401399</v>
      </c>
      <c r="J118" s="1466">
        <v>355980</v>
      </c>
      <c r="K118" s="846"/>
      <c r="L118" s="847"/>
      <c r="M118" s="846"/>
      <c r="N118" s="846"/>
      <c r="O118" s="737">
        <f t="shared" si="15"/>
        <v>0</v>
      </c>
      <c r="P118" s="847"/>
      <c r="Q118" s="847"/>
      <c r="R118" s="738">
        <f t="shared" si="18"/>
        <v>0</v>
      </c>
      <c r="S118" s="737">
        <f t="shared" si="19"/>
        <v>401399</v>
      </c>
      <c r="T118" s="739">
        <f t="shared" si="20"/>
        <v>355980</v>
      </c>
      <c r="U118" s="846"/>
      <c r="V118" s="847"/>
      <c r="W118" s="846"/>
      <c r="X118" s="846"/>
      <c r="Y118" s="740">
        <f t="shared" si="16"/>
        <v>0</v>
      </c>
      <c r="Z118" s="847"/>
      <c r="AA118" s="847"/>
      <c r="AB118" s="741">
        <f t="shared" si="17"/>
        <v>0</v>
      </c>
      <c r="AC118" s="846"/>
      <c r="AD118" s="847"/>
      <c r="AE118" s="846"/>
      <c r="AF118" s="846"/>
      <c r="AG118" s="847"/>
      <c r="AH118" s="847"/>
      <c r="AI118" s="742">
        <f t="shared" si="21"/>
        <v>401399</v>
      </c>
      <c r="AJ118" s="743">
        <f t="shared" si="22"/>
        <v>355980</v>
      </c>
    </row>
    <row r="119" spans="1:36">
      <c r="A119" s="915" t="s">
        <v>142</v>
      </c>
      <c r="B119" s="916" t="s">
        <v>272</v>
      </c>
      <c r="C119" s="922" t="s">
        <v>639</v>
      </c>
      <c r="D119" s="917"/>
      <c r="E119" s="918">
        <v>101295</v>
      </c>
      <c r="F119" s="949">
        <v>9</v>
      </c>
      <c r="G119" s="846"/>
      <c r="H119" s="847"/>
      <c r="I119" s="846">
        <v>134580</v>
      </c>
      <c r="J119" s="847">
        <v>30000</v>
      </c>
      <c r="K119" s="846"/>
      <c r="L119" s="847"/>
      <c r="M119" s="846"/>
      <c r="N119" s="846"/>
      <c r="O119" s="737">
        <f t="shared" si="15"/>
        <v>0</v>
      </c>
      <c r="P119" s="847"/>
      <c r="Q119" s="847"/>
      <c r="R119" s="738">
        <f t="shared" si="18"/>
        <v>0</v>
      </c>
      <c r="S119" s="737">
        <f t="shared" si="19"/>
        <v>134580</v>
      </c>
      <c r="T119" s="739">
        <f t="shared" si="20"/>
        <v>30000</v>
      </c>
      <c r="U119" s="846"/>
      <c r="V119" s="847"/>
      <c r="W119" s="846"/>
      <c r="X119" s="846"/>
      <c r="Y119" s="740">
        <f t="shared" si="16"/>
        <v>0</v>
      </c>
      <c r="Z119" s="847"/>
      <c r="AA119" s="847"/>
      <c r="AB119" s="741">
        <f t="shared" si="17"/>
        <v>0</v>
      </c>
      <c r="AC119" s="846"/>
      <c r="AD119" s="847"/>
      <c r="AE119" s="846"/>
      <c r="AF119" s="846"/>
      <c r="AG119" s="847"/>
      <c r="AH119" s="847"/>
      <c r="AI119" s="742">
        <f t="shared" si="21"/>
        <v>134580</v>
      </c>
      <c r="AJ119" s="743">
        <f t="shared" si="22"/>
        <v>30000</v>
      </c>
    </row>
    <row r="120" spans="1:36">
      <c r="A120" s="915" t="s">
        <v>142</v>
      </c>
      <c r="B120" s="916" t="s">
        <v>272</v>
      </c>
      <c r="C120" s="922" t="s">
        <v>640</v>
      </c>
      <c r="D120" s="917"/>
      <c r="E120" s="918">
        <v>101295</v>
      </c>
      <c r="F120" s="949">
        <v>9</v>
      </c>
      <c r="G120" s="846"/>
      <c r="H120" s="847"/>
      <c r="I120" s="846"/>
      <c r="J120" s="847">
        <v>225000</v>
      </c>
      <c r="K120" s="846"/>
      <c r="L120" s="847"/>
      <c r="M120" s="846"/>
      <c r="N120" s="846"/>
      <c r="O120" s="737">
        <f t="shared" si="15"/>
        <v>0</v>
      </c>
      <c r="P120" s="847"/>
      <c r="Q120" s="847"/>
      <c r="R120" s="738">
        <f t="shared" si="18"/>
        <v>0</v>
      </c>
      <c r="S120" s="737">
        <f t="shared" si="19"/>
        <v>0</v>
      </c>
      <c r="T120" s="739">
        <f t="shared" si="20"/>
        <v>225000</v>
      </c>
      <c r="U120" s="846"/>
      <c r="V120" s="847"/>
      <c r="W120" s="846"/>
      <c r="X120" s="846"/>
      <c r="Y120" s="740">
        <f t="shared" si="16"/>
        <v>0</v>
      </c>
      <c r="Z120" s="847"/>
      <c r="AA120" s="847"/>
      <c r="AB120" s="741">
        <f t="shared" si="17"/>
        <v>0</v>
      </c>
      <c r="AC120" s="846"/>
      <c r="AD120" s="847"/>
      <c r="AE120" s="846"/>
      <c r="AF120" s="846"/>
      <c r="AG120" s="847"/>
      <c r="AH120" s="847"/>
      <c r="AI120" s="742">
        <f t="shared" si="21"/>
        <v>0</v>
      </c>
      <c r="AJ120" s="743">
        <f t="shared" si="22"/>
        <v>225000</v>
      </c>
    </row>
    <row r="121" spans="1:36">
      <c r="A121" s="915" t="s">
        <v>142</v>
      </c>
      <c r="B121" s="916" t="s">
        <v>264</v>
      </c>
      <c r="C121" s="923" t="s">
        <v>644</v>
      </c>
      <c r="D121" s="924"/>
      <c r="E121" s="918">
        <v>102429</v>
      </c>
      <c r="F121" s="919">
        <v>9</v>
      </c>
      <c r="G121" s="846">
        <v>15634641</v>
      </c>
      <c r="H121" s="1466">
        <v>15390019</v>
      </c>
      <c r="I121" s="846"/>
      <c r="J121" s="847"/>
      <c r="K121" s="846"/>
      <c r="L121" s="847"/>
      <c r="M121" s="890">
        <v>10388097</v>
      </c>
      <c r="N121" s="846">
        <v>1628103</v>
      </c>
      <c r="O121" s="737">
        <f t="shared" si="15"/>
        <v>12016200</v>
      </c>
      <c r="P121" s="847">
        <v>10301118</v>
      </c>
      <c r="Q121" s="847">
        <v>1630033</v>
      </c>
      <c r="R121" s="738">
        <f t="shared" si="18"/>
        <v>11931151</v>
      </c>
      <c r="S121" s="737">
        <f t="shared" si="19"/>
        <v>26022738</v>
      </c>
      <c r="T121" s="739">
        <f t="shared" si="20"/>
        <v>25691137</v>
      </c>
      <c r="U121" s="846"/>
      <c r="V121" s="847"/>
      <c r="W121" s="846"/>
      <c r="X121" s="846"/>
      <c r="Y121" s="740">
        <f t="shared" si="16"/>
        <v>0</v>
      </c>
      <c r="Z121" s="847"/>
      <c r="AA121" s="847"/>
      <c r="AB121" s="741">
        <f t="shared" si="17"/>
        <v>0</v>
      </c>
      <c r="AC121" s="846"/>
      <c r="AD121" s="847"/>
      <c r="AE121" s="846"/>
      <c r="AF121" s="846"/>
      <c r="AG121" s="847"/>
      <c r="AH121" s="847"/>
      <c r="AI121" s="742">
        <f t="shared" si="21"/>
        <v>26022738</v>
      </c>
      <c r="AJ121" s="743">
        <f t="shared" si="22"/>
        <v>25691137</v>
      </c>
    </row>
    <row r="122" spans="1:36">
      <c r="A122" s="915" t="s">
        <v>142</v>
      </c>
      <c r="B122" s="916" t="s">
        <v>272</v>
      </c>
      <c r="C122" s="921" t="s">
        <v>636</v>
      </c>
      <c r="D122" s="917"/>
      <c r="E122" s="918">
        <v>102429</v>
      </c>
      <c r="F122" s="919">
        <v>9</v>
      </c>
      <c r="G122" s="846"/>
      <c r="H122" s="847"/>
      <c r="I122" s="846"/>
      <c r="J122" s="847"/>
      <c r="K122" s="846"/>
      <c r="L122" s="847"/>
      <c r="M122" s="846"/>
      <c r="N122" s="846"/>
      <c r="O122" s="737">
        <f t="shared" si="15"/>
        <v>0</v>
      </c>
      <c r="P122" s="847"/>
      <c r="Q122" s="847"/>
      <c r="R122" s="738">
        <f t="shared" si="18"/>
        <v>0</v>
      </c>
      <c r="S122" s="737">
        <f t="shared" si="19"/>
        <v>0</v>
      </c>
      <c r="T122" s="739">
        <f t="shared" si="20"/>
        <v>0</v>
      </c>
      <c r="U122" s="846"/>
      <c r="V122" s="847"/>
      <c r="W122" s="846"/>
      <c r="X122" s="846"/>
      <c r="Y122" s="740">
        <f t="shared" si="16"/>
        <v>0</v>
      </c>
      <c r="Z122" s="847"/>
      <c r="AA122" s="847"/>
      <c r="AB122" s="741">
        <f t="shared" si="17"/>
        <v>0</v>
      </c>
      <c r="AC122" s="846"/>
      <c r="AD122" s="847"/>
      <c r="AE122" s="846"/>
      <c r="AF122" s="846"/>
      <c r="AG122" s="847"/>
      <c r="AH122" s="847"/>
      <c r="AI122" s="742">
        <f t="shared" si="21"/>
        <v>0</v>
      </c>
      <c r="AJ122" s="743">
        <f t="shared" si="22"/>
        <v>0</v>
      </c>
    </row>
    <row r="123" spans="1:36">
      <c r="A123" s="915" t="s">
        <v>142</v>
      </c>
      <c r="B123" s="916" t="s">
        <v>272</v>
      </c>
      <c r="C123" s="922" t="s">
        <v>637</v>
      </c>
      <c r="D123" s="917"/>
      <c r="E123" s="918">
        <v>102429</v>
      </c>
      <c r="F123" s="919">
        <v>9</v>
      </c>
      <c r="G123" s="846"/>
      <c r="H123" s="847"/>
      <c r="I123" s="846">
        <v>194848</v>
      </c>
      <c r="J123" s="1466">
        <v>276368</v>
      </c>
      <c r="K123" s="846"/>
      <c r="L123" s="847"/>
      <c r="M123" s="846"/>
      <c r="N123" s="846"/>
      <c r="O123" s="737">
        <f t="shared" si="15"/>
        <v>0</v>
      </c>
      <c r="P123" s="847"/>
      <c r="Q123" s="847"/>
      <c r="R123" s="738">
        <f t="shared" si="18"/>
        <v>0</v>
      </c>
      <c r="S123" s="737">
        <f t="shared" si="19"/>
        <v>194848</v>
      </c>
      <c r="T123" s="739">
        <f t="shared" si="20"/>
        <v>276368</v>
      </c>
      <c r="U123" s="846"/>
      <c r="V123" s="847"/>
      <c r="W123" s="846"/>
      <c r="X123" s="846"/>
      <c r="Y123" s="740">
        <f t="shared" si="16"/>
        <v>0</v>
      </c>
      <c r="Z123" s="847"/>
      <c r="AA123" s="847"/>
      <c r="AB123" s="741">
        <f t="shared" si="17"/>
        <v>0</v>
      </c>
      <c r="AC123" s="846"/>
      <c r="AD123" s="847"/>
      <c r="AE123" s="846"/>
      <c r="AF123" s="846"/>
      <c r="AG123" s="847"/>
      <c r="AH123" s="847"/>
      <c r="AI123" s="742">
        <f t="shared" si="21"/>
        <v>194848</v>
      </c>
      <c r="AJ123" s="743">
        <f t="shared" si="22"/>
        <v>276368</v>
      </c>
    </row>
    <row r="124" spans="1:36">
      <c r="A124" s="915" t="s">
        <v>142</v>
      </c>
      <c r="B124" s="916" t="s">
        <v>272</v>
      </c>
      <c r="C124" s="922" t="s">
        <v>638</v>
      </c>
      <c r="D124" s="917"/>
      <c r="E124" s="918">
        <v>102429</v>
      </c>
      <c r="F124" s="919">
        <v>9</v>
      </c>
      <c r="G124" s="846"/>
      <c r="H124" s="847"/>
      <c r="I124" s="846">
        <v>439068</v>
      </c>
      <c r="J124" s="1466">
        <v>414978</v>
      </c>
      <c r="K124" s="846"/>
      <c r="L124" s="847"/>
      <c r="M124" s="846"/>
      <c r="N124" s="846"/>
      <c r="O124" s="737">
        <f t="shared" si="15"/>
        <v>0</v>
      </c>
      <c r="P124" s="847"/>
      <c r="Q124" s="847"/>
      <c r="R124" s="738">
        <f t="shared" si="18"/>
        <v>0</v>
      </c>
      <c r="S124" s="737">
        <f t="shared" si="19"/>
        <v>439068</v>
      </c>
      <c r="T124" s="739">
        <f t="shared" si="20"/>
        <v>414978</v>
      </c>
      <c r="U124" s="846"/>
      <c r="V124" s="847"/>
      <c r="W124" s="846"/>
      <c r="X124" s="846"/>
      <c r="Y124" s="740">
        <f t="shared" si="16"/>
        <v>0</v>
      </c>
      <c r="Z124" s="847"/>
      <c r="AA124" s="847"/>
      <c r="AB124" s="741">
        <f t="shared" si="17"/>
        <v>0</v>
      </c>
      <c r="AC124" s="846"/>
      <c r="AD124" s="847"/>
      <c r="AE124" s="846"/>
      <c r="AF124" s="846"/>
      <c r="AG124" s="847"/>
      <c r="AH124" s="847"/>
      <c r="AI124" s="742">
        <f t="shared" si="21"/>
        <v>439068</v>
      </c>
      <c r="AJ124" s="743">
        <f t="shared" si="22"/>
        <v>414978</v>
      </c>
    </row>
    <row r="125" spans="1:36">
      <c r="A125" s="915" t="s">
        <v>142</v>
      </c>
      <c r="B125" s="916" t="s">
        <v>272</v>
      </c>
      <c r="C125" s="922" t="s">
        <v>639</v>
      </c>
      <c r="D125" s="917"/>
      <c r="E125" s="918">
        <v>102429</v>
      </c>
      <c r="F125" s="919">
        <v>9</v>
      </c>
      <c r="G125" s="846"/>
      <c r="H125" s="847"/>
      <c r="I125" s="846">
        <v>80653</v>
      </c>
      <c r="J125" s="1466">
        <v>183568</v>
      </c>
      <c r="K125" s="846"/>
      <c r="L125" s="847"/>
      <c r="M125" s="846"/>
      <c r="N125" s="846"/>
      <c r="O125" s="737">
        <f t="shared" si="15"/>
        <v>0</v>
      </c>
      <c r="P125" s="847"/>
      <c r="Q125" s="847"/>
      <c r="R125" s="738">
        <f t="shared" si="18"/>
        <v>0</v>
      </c>
      <c r="S125" s="737">
        <f t="shared" si="19"/>
        <v>80653</v>
      </c>
      <c r="T125" s="739">
        <f t="shared" si="20"/>
        <v>183568</v>
      </c>
      <c r="U125" s="846"/>
      <c r="V125" s="847"/>
      <c r="W125" s="846"/>
      <c r="X125" s="846"/>
      <c r="Y125" s="740">
        <f t="shared" si="16"/>
        <v>0</v>
      </c>
      <c r="Z125" s="847"/>
      <c r="AA125" s="847"/>
      <c r="AB125" s="741">
        <f t="shared" si="17"/>
        <v>0</v>
      </c>
      <c r="AC125" s="846"/>
      <c r="AD125" s="847"/>
      <c r="AE125" s="846"/>
      <c r="AF125" s="846"/>
      <c r="AG125" s="847"/>
      <c r="AH125" s="847"/>
      <c r="AI125" s="742">
        <f t="shared" si="21"/>
        <v>80653</v>
      </c>
      <c r="AJ125" s="743">
        <f t="shared" si="22"/>
        <v>183568</v>
      </c>
    </row>
    <row r="126" spans="1:36">
      <c r="A126" s="915" t="s">
        <v>142</v>
      </c>
      <c r="B126" s="916" t="s">
        <v>272</v>
      </c>
      <c r="C126" s="922" t="s">
        <v>640</v>
      </c>
      <c r="D126" s="917"/>
      <c r="E126" s="918">
        <v>102429</v>
      </c>
      <c r="F126" s="919">
        <v>9</v>
      </c>
      <c r="G126" s="846"/>
      <c r="H126" s="847"/>
      <c r="I126" s="846"/>
      <c r="J126" s="1466">
        <v>199989</v>
      </c>
      <c r="K126" s="846"/>
      <c r="L126" s="847"/>
      <c r="M126" s="846"/>
      <c r="N126" s="846"/>
      <c r="O126" s="737">
        <f t="shared" si="15"/>
        <v>0</v>
      </c>
      <c r="P126" s="847"/>
      <c r="Q126" s="847"/>
      <c r="R126" s="738">
        <f t="shared" si="18"/>
        <v>0</v>
      </c>
      <c r="S126" s="737">
        <f t="shared" si="19"/>
        <v>0</v>
      </c>
      <c r="T126" s="739">
        <f t="shared" si="20"/>
        <v>199989</v>
      </c>
      <c r="U126" s="846"/>
      <c r="V126" s="847"/>
      <c r="W126" s="846"/>
      <c r="X126" s="846"/>
      <c r="Y126" s="740">
        <f t="shared" si="16"/>
        <v>0</v>
      </c>
      <c r="Z126" s="847"/>
      <c r="AA126" s="847"/>
      <c r="AB126" s="741">
        <f t="shared" si="17"/>
        <v>0</v>
      </c>
      <c r="AC126" s="846"/>
      <c r="AD126" s="847"/>
      <c r="AE126" s="846"/>
      <c r="AF126" s="846"/>
      <c r="AG126" s="847"/>
      <c r="AH126" s="847"/>
      <c r="AI126" s="742">
        <f t="shared" si="21"/>
        <v>0</v>
      </c>
      <c r="AJ126" s="743">
        <f t="shared" si="22"/>
        <v>199989</v>
      </c>
    </row>
    <row r="127" spans="1:36">
      <c r="A127" s="915" t="s">
        <v>142</v>
      </c>
      <c r="B127" s="916" t="s">
        <v>264</v>
      </c>
      <c r="C127" s="923" t="s">
        <v>645</v>
      </c>
      <c r="D127" s="924"/>
      <c r="E127" s="918">
        <v>102030</v>
      </c>
      <c r="F127" s="919">
        <v>9</v>
      </c>
      <c r="G127" s="846">
        <v>13812655</v>
      </c>
      <c r="H127" s="847">
        <v>13550464</v>
      </c>
      <c r="I127" s="846"/>
      <c r="J127" s="847"/>
      <c r="K127" s="890">
        <v>20596</v>
      </c>
      <c r="L127" s="847">
        <v>18000</v>
      </c>
      <c r="M127" s="890">
        <v>11353099</v>
      </c>
      <c r="N127" s="890">
        <v>589291</v>
      </c>
      <c r="O127" s="737">
        <f t="shared" si="15"/>
        <v>11942390</v>
      </c>
      <c r="P127" s="847">
        <v>12007840</v>
      </c>
      <c r="Q127" s="847">
        <v>596735</v>
      </c>
      <c r="R127" s="738">
        <f t="shared" si="18"/>
        <v>12604575</v>
      </c>
      <c r="S127" s="737">
        <f t="shared" si="19"/>
        <v>25186350</v>
      </c>
      <c r="T127" s="739">
        <f t="shared" si="20"/>
        <v>25576304</v>
      </c>
      <c r="U127" s="846"/>
      <c r="V127" s="847"/>
      <c r="W127" s="846"/>
      <c r="X127" s="846"/>
      <c r="Y127" s="740">
        <f t="shared" si="16"/>
        <v>0</v>
      </c>
      <c r="Z127" s="847"/>
      <c r="AA127" s="847"/>
      <c r="AB127" s="741">
        <f t="shared" si="17"/>
        <v>0</v>
      </c>
      <c r="AC127" s="846"/>
      <c r="AD127" s="847"/>
      <c r="AE127" s="846"/>
      <c r="AF127" s="846"/>
      <c r="AG127" s="847"/>
      <c r="AH127" s="847"/>
      <c r="AI127" s="742">
        <f t="shared" si="21"/>
        <v>25186350</v>
      </c>
      <c r="AJ127" s="743">
        <f t="shared" si="22"/>
        <v>25576304</v>
      </c>
    </row>
    <row r="128" spans="1:36">
      <c r="A128" s="915" t="s">
        <v>142</v>
      </c>
      <c r="B128" s="916" t="s">
        <v>272</v>
      </c>
      <c r="C128" s="921" t="s">
        <v>636</v>
      </c>
      <c r="D128" s="917"/>
      <c r="E128" s="918">
        <v>102030</v>
      </c>
      <c r="F128" s="919">
        <v>9</v>
      </c>
      <c r="G128" s="846"/>
      <c r="H128" s="847"/>
      <c r="I128" s="846"/>
      <c r="J128" s="847"/>
      <c r="K128" s="846"/>
      <c r="L128" s="847"/>
      <c r="M128" s="846"/>
      <c r="N128" s="846"/>
      <c r="O128" s="737">
        <f t="shared" si="15"/>
        <v>0</v>
      </c>
      <c r="P128" s="847"/>
      <c r="Q128" s="847"/>
      <c r="R128" s="738">
        <f t="shared" si="18"/>
        <v>0</v>
      </c>
      <c r="S128" s="737">
        <f t="shared" si="19"/>
        <v>0</v>
      </c>
      <c r="T128" s="739">
        <f t="shared" si="20"/>
        <v>0</v>
      </c>
      <c r="U128" s="846"/>
      <c r="V128" s="847"/>
      <c r="W128" s="846"/>
      <c r="X128" s="846"/>
      <c r="Y128" s="740">
        <f t="shared" si="16"/>
        <v>0</v>
      </c>
      <c r="Z128" s="847"/>
      <c r="AA128" s="847"/>
      <c r="AB128" s="741">
        <f t="shared" si="17"/>
        <v>0</v>
      </c>
      <c r="AC128" s="846"/>
      <c r="AD128" s="847"/>
      <c r="AE128" s="846"/>
      <c r="AF128" s="846"/>
      <c r="AG128" s="847"/>
      <c r="AH128" s="847"/>
      <c r="AI128" s="742">
        <f t="shared" si="21"/>
        <v>0</v>
      </c>
      <c r="AJ128" s="743">
        <f t="shared" si="22"/>
        <v>0</v>
      </c>
    </row>
    <row r="129" spans="1:36">
      <c r="A129" s="915" t="s">
        <v>142</v>
      </c>
      <c r="B129" s="916" t="s">
        <v>272</v>
      </c>
      <c r="C129" s="922" t="s">
        <v>637</v>
      </c>
      <c r="D129" s="917"/>
      <c r="E129" s="918">
        <v>102030</v>
      </c>
      <c r="F129" s="919">
        <v>9</v>
      </c>
      <c r="G129" s="846"/>
      <c r="H129" s="847"/>
      <c r="I129" s="846">
        <v>189516</v>
      </c>
      <c r="J129" s="847">
        <v>178700</v>
      </c>
      <c r="K129" s="846"/>
      <c r="L129" s="847"/>
      <c r="M129" s="846"/>
      <c r="N129" s="846"/>
      <c r="O129" s="737">
        <f t="shared" si="15"/>
        <v>0</v>
      </c>
      <c r="P129" s="847"/>
      <c r="Q129" s="847"/>
      <c r="R129" s="738">
        <f t="shared" si="18"/>
        <v>0</v>
      </c>
      <c r="S129" s="737">
        <f t="shared" si="19"/>
        <v>189516</v>
      </c>
      <c r="T129" s="739">
        <f t="shared" si="20"/>
        <v>178700</v>
      </c>
      <c r="U129" s="846"/>
      <c r="V129" s="847"/>
      <c r="W129" s="846"/>
      <c r="X129" s="846"/>
      <c r="Y129" s="740">
        <f t="shared" si="16"/>
        <v>0</v>
      </c>
      <c r="Z129" s="847"/>
      <c r="AA129" s="847"/>
      <c r="AB129" s="741">
        <f t="shared" si="17"/>
        <v>0</v>
      </c>
      <c r="AC129" s="846"/>
      <c r="AD129" s="847"/>
      <c r="AE129" s="846"/>
      <c r="AF129" s="846"/>
      <c r="AG129" s="847"/>
      <c r="AH129" s="847"/>
      <c r="AI129" s="742">
        <f t="shared" si="21"/>
        <v>189516</v>
      </c>
      <c r="AJ129" s="743">
        <f t="shared" si="22"/>
        <v>178700</v>
      </c>
    </row>
    <row r="130" spans="1:36">
      <c r="A130" s="915" t="s">
        <v>142</v>
      </c>
      <c r="B130" s="916" t="s">
        <v>272</v>
      </c>
      <c r="C130" s="922" t="s">
        <v>638</v>
      </c>
      <c r="D130" s="917"/>
      <c r="E130" s="918">
        <v>102030</v>
      </c>
      <c r="F130" s="919">
        <v>9</v>
      </c>
      <c r="G130" s="846"/>
      <c r="H130" s="847"/>
      <c r="I130" s="846">
        <v>470302</v>
      </c>
      <c r="J130" s="1466">
        <v>443731</v>
      </c>
      <c r="K130" s="846"/>
      <c r="L130" s="847"/>
      <c r="M130" s="846"/>
      <c r="N130" s="846"/>
      <c r="O130" s="737">
        <f t="shared" si="15"/>
        <v>0</v>
      </c>
      <c r="P130" s="847"/>
      <c r="Q130" s="847"/>
      <c r="R130" s="738">
        <f t="shared" si="18"/>
        <v>0</v>
      </c>
      <c r="S130" s="737">
        <f t="shared" si="19"/>
        <v>470302</v>
      </c>
      <c r="T130" s="739">
        <f t="shared" si="20"/>
        <v>443731</v>
      </c>
      <c r="U130" s="846"/>
      <c r="V130" s="847"/>
      <c r="W130" s="846"/>
      <c r="X130" s="846"/>
      <c r="Y130" s="740">
        <f t="shared" si="16"/>
        <v>0</v>
      </c>
      <c r="Z130" s="847"/>
      <c r="AA130" s="847"/>
      <c r="AB130" s="741">
        <f t="shared" si="17"/>
        <v>0</v>
      </c>
      <c r="AC130" s="846"/>
      <c r="AD130" s="847"/>
      <c r="AE130" s="846"/>
      <c r="AF130" s="846"/>
      <c r="AG130" s="847"/>
      <c r="AH130" s="847"/>
      <c r="AI130" s="742">
        <f t="shared" si="21"/>
        <v>470302</v>
      </c>
      <c r="AJ130" s="743">
        <f t="shared" si="22"/>
        <v>443731</v>
      </c>
    </row>
    <row r="131" spans="1:36">
      <c r="A131" s="915" t="s">
        <v>142</v>
      </c>
      <c r="B131" s="916" t="s">
        <v>272</v>
      </c>
      <c r="C131" s="922" t="s">
        <v>639</v>
      </c>
      <c r="D131" s="917"/>
      <c r="E131" s="918">
        <v>102030</v>
      </c>
      <c r="F131" s="919">
        <v>9</v>
      </c>
      <c r="G131" s="846"/>
      <c r="H131" s="847"/>
      <c r="I131" s="846">
        <v>9673</v>
      </c>
      <c r="J131" s="847">
        <v>30000</v>
      </c>
      <c r="K131" s="846"/>
      <c r="L131" s="847"/>
      <c r="M131" s="846"/>
      <c r="N131" s="846"/>
      <c r="O131" s="737">
        <f t="shared" si="15"/>
        <v>0</v>
      </c>
      <c r="P131" s="847"/>
      <c r="Q131" s="847"/>
      <c r="R131" s="738">
        <f t="shared" si="18"/>
        <v>0</v>
      </c>
      <c r="S131" s="737">
        <f t="shared" si="19"/>
        <v>9673</v>
      </c>
      <c r="T131" s="739">
        <f t="shared" si="20"/>
        <v>30000</v>
      </c>
      <c r="U131" s="846"/>
      <c r="V131" s="847"/>
      <c r="W131" s="846"/>
      <c r="X131" s="846"/>
      <c r="Y131" s="740">
        <f t="shared" si="16"/>
        <v>0</v>
      </c>
      <c r="Z131" s="847"/>
      <c r="AA131" s="847"/>
      <c r="AB131" s="741">
        <f t="shared" si="17"/>
        <v>0</v>
      </c>
      <c r="AC131" s="846"/>
      <c r="AD131" s="847"/>
      <c r="AE131" s="846"/>
      <c r="AF131" s="846"/>
      <c r="AG131" s="847"/>
      <c r="AH131" s="847"/>
      <c r="AI131" s="742">
        <f t="shared" si="21"/>
        <v>9673</v>
      </c>
      <c r="AJ131" s="743">
        <f t="shared" si="22"/>
        <v>30000</v>
      </c>
    </row>
    <row r="132" spans="1:36">
      <c r="A132" s="915" t="s">
        <v>142</v>
      </c>
      <c r="B132" s="916" t="s">
        <v>272</v>
      </c>
      <c r="C132" s="922" t="s">
        <v>640</v>
      </c>
      <c r="D132" s="917"/>
      <c r="E132" s="918">
        <v>102030</v>
      </c>
      <c r="F132" s="919">
        <v>9</v>
      </c>
      <c r="G132" s="846"/>
      <c r="H132" s="847"/>
      <c r="I132" s="846"/>
      <c r="J132" s="847">
        <v>225000</v>
      </c>
      <c r="K132" s="846"/>
      <c r="L132" s="847"/>
      <c r="M132" s="846"/>
      <c r="N132" s="846"/>
      <c r="O132" s="737">
        <f t="shared" si="15"/>
        <v>0</v>
      </c>
      <c r="P132" s="847"/>
      <c r="Q132" s="847"/>
      <c r="R132" s="738">
        <f t="shared" si="18"/>
        <v>0</v>
      </c>
      <c r="S132" s="737">
        <f t="shared" si="19"/>
        <v>0</v>
      </c>
      <c r="T132" s="739">
        <f t="shared" si="20"/>
        <v>225000</v>
      </c>
      <c r="U132" s="846"/>
      <c r="V132" s="847"/>
      <c r="W132" s="846"/>
      <c r="X132" s="846"/>
      <c r="Y132" s="740">
        <f t="shared" si="16"/>
        <v>0</v>
      </c>
      <c r="Z132" s="847"/>
      <c r="AA132" s="847"/>
      <c r="AB132" s="741">
        <f t="shared" si="17"/>
        <v>0</v>
      </c>
      <c r="AC132" s="846"/>
      <c r="AD132" s="847"/>
      <c r="AE132" s="846"/>
      <c r="AF132" s="846"/>
      <c r="AG132" s="847"/>
      <c r="AH132" s="847"/>
      <c r="AI132" s="742">
        <f t="shared" si="21"/>
        <v>0</v>
      </c>
      <c r="AJ132" s="743">
        <f t="shared" si="22"/>
        <v>225000</v>
      </c>
    </row>
    <row r="133" spans="1:36">
      <c r="A133" s="915" t="s">
        <v>142</v>
      </c>
      <c r="B133" s="916" t="s">
        <v>264</v>
      </c>
      <c r="C133" s="925" t="s">
        <v>646</v>
      </c>
      <c r="D133" s="930" t="s">
        <v>712</v>
      </c>
      <c r="E133" s="918">
        <v>100760</v>
      </c>
      <c r="F133" s="949">
        <v>10</v>
      </c>
      <c r="G133" s="846">
        <v>8165944</v>
      </c>
      <c r="H133" s="1466">
        <v>8622249</v>
      </c>
      <c r="I133" s="846"/>
      <c r="J133" s="847"/>
      <c r="K133" s="846"/>
      <c r="L133" s="847"/>
      <c r="M133" s="890">
        <v>5740406</v>
      </c>
      <c r="N133" s="890">
        <v>683919</v>
      </c>
      <c r="O133" s="737">
        <f t="shared" si="15"/>
        <v>6424325</v>
      </c>
      <c r="P133" s="847">
        <v>5934120</v>
      </c>
      <c r="Q133" s="847">
        <v>669704</v>
      </c>
      <c r="R133" s="738">
        <f t="shared" si="18"/>
        <v>6603824</v>
      </c>
      <c r="S133" s="737">
        <f t="shared" si="19"/>
        <v>13906350</v>
      </c>
      <c r="T133" s="739">
        <f t="shared" si="20"/>
        <v>14556369</v>
      </c>
      <c r="U133" s="846"/>
      <c r="V133" s="847"/>
      <c r="W133" s="846"/>
      <c r="X133" s="846"/>
      <c r="Y133" s="740">
        <f t="shared" si="16"/>
        <v>0</v>
      </c>
      <c r="Z133" s="847"/>
      <c r="AA133" s="847"/>
      <c r="AB133" s="741">
        <f t="shared" si="17"/>
        <v>0</v>
      </c>
      <c r="AC133" s="846"/>
      <c r="AD133" s="847"/>
      <c r="AE133" s="846"/>
      <c r="AF133" s="846"/>
      <c r="AG133" s="847"/>
      <c r="AH133" s="847"/>
      <c r="AI133" s="742">
        <f t="shared" si="21"/>
        <v>13906350</v>
      </c>
      <c r="AJ133" s="743">
        <f t="shared" si="22"/>
        <v>14556369</v>
      </c>
    </row>
    <row r="134" spans="1:36">
      <c r="A134" s="915" t="s">
        <v>142</v>
      </c>
      <c r="B134" s="916" t="s">
        <v>272</v>
      </c>
      <c r="C134" s="921" t="s">
        <v>636</v>
      </c>
      <c r="D134" s="917"/>
      <c r="E134" s="918">
        <v>100760</v>
      </c>
      <c r="F134" s="949">
        <v>10</v>
      </c>
      <c r="G134" s="846"/>
      <c r="H134" s="847"/>
      <c r="I134" s="846"/>
      <c r="J134" s="847"/>
      <c r="K134" s="846"/>
      <c r="L134" s="847"/>
      <c r="M134" s="846"/>
      <c r="N134" s="846"/>
      <c r="O134" s="737">
        <f t="shared" si="15"/>
        <v>0</v>
      </c>
      <c r="P134" s="847"/>
      <c r="Q134" s="847"/>
      <c r="R134" s="738">
        <f t="shared" si="18"/>
        <v>0</v>
      </c>
      <c r="S134" s="737">
        <f t="shared" si="19"/>
        <v>0</v>
      </c>
      <c r="T134" s="739">
        <f t="shared" si="20"/>
        <v>0</v>
      </c>
      <c r="U134" s="846"/>
      <c r="V134" s="847"/>
      <c r="W134" s="846"/>
      <c r="X134" s="846"/>
      <c r="Y134" s="740">
        <f t="shared" si="16"/>
        <v>0</v>
      </c>
      <c r="Z134" s="847"/>
      <c r="AA134" s="847"/>
      <c r="AB134" s="741">
        <f t="shared" si="17"/>
        <v>0</v>
      </c>
      <c r="AC134" s="846"/>
      <c r="AD134" s="847"/>
      <c r="AE134" s="846"/>
      <c r="AF134" s="846"/>
      <c r="AG134" s="847"/>
      <c r="AH134" s="847"/>
      <c r="AI134" s="742">
        <f t="shared" si="21"/>
        <v>0</v>
      </c>
      <c r="AJ134" s="743">
        <f t="shared" si="22"/>
        <v>0</v>
      </c>
    </row>
    <row r="135" spans="1:36">
      <c r="A135" s="915" t="s">
        <v>142</v>
      </c>
      <c r="B135" s="916" t="s">
        <v>272</v>
      </c>
      <c r="C135" s="922" t="s">
        <v>637</v>
      </c>
      <c r="D135" s="917"/>
      <c r="E135" s="918">
        <v>100760</v>
      </c>
      <c r="F135" s="949">
        <v>10</v>
      </c>
      <c r="G135" s="846"/>
      <c r="H135" s="847"/>
      <c r="I135" s="846">
        <v>140144</v>
      </c>
      <c r="J135" s="1466">
        <v>399966</v>
      </c>
      <c r="K135" s="846"/>
      <c r="L135" s="847"/>
      <c r="M135" s="846"/>
      <c r="N135" s="846"/>
      <c r="O135" s="737">
        <f t="shared" si="15"/>
        <v>0</v>
      </c>
      <c r="P135" s="847"/>
      <c r="Q135" s="847"/>
      <c r="R135" s="738">
        <f t="shared" si="18"/>
        <v>0</v>
      </c>
      <c r="S135" s="737">
        <f t="shared" si="19"/>
        <v>140144</v>
      </c>
      <c r="T135" s="739">
        <f t="shared" si="20"/>
        <v>399966</v>
      </c>
      <c r="U135" s="846"/>
      <c r="V135" s="847"/>
      <c r="W135" s="846"/>
      <c r="X135" s="846"/>
      <c r="Y135" s="740">
        <f t="shared" si="16"/>
        <v>0</v>
      </c>
      <c r="Z135" s="847"/>
      <c r="AA135" s="847"/>
      <c r="AB135" s="741">
        <f t="shared" si="17"/>
        <v>0</v>
      </c>
      <c r="AC135" s="846"/>
      <c r="AD135" s="847"/>
      <c r="AE135" s="846"/>
      <c r="AF135" s="846"/>
      <c r="AG135" s="847"/>
      <c r="AH135" s="847"/>
      <c r="AI135" s="742">
        <f t="shared" si="21"/>
        <v>140144</v>
      </c>
      <c r="AJ135" s="743">
        <f t="shared" si="22"/>
        <v>399966</v>
      </c>
    </row>
    <row r="136" spans="1:36">
      <c r="A136" s="915" t="s">
        <v>142</v>
      </c>
      <c r="B136" s="916" t="s">
        <v>272</v>
      </c>
      <c r="C136" s="922" t="s">
        <v>638</v>
      </c>
      <c r="D136" s="917"/>
      <c r="E136" s="918">
        <v>100760</v>
      </c>
      <c r="F136" s="949">
        <v>10</v>
      </c>
      <c r="G136" s="846"/>
      <c r="H136" s="847"/>
      <c r="I136" s="846">
        <v>484698</v>
      </c>
      <c r="J136" s="1466">
        <v>464386</v>
      </c>
      <c r="K136" s="846"/>
      <c r="L136" s="847"/>
      <c r="M136" s="846"/>
      <c r="N136" s="846"/>
      <c r="O136" s="737">
        <f t="shared" si="15"/>
        <v>0</v>
      </c>
      <c r="P136" s="847"/>
      <c r="Q136" s="847"/>
      <c r="R136" s="738">
        <f t="shared" si="18"/>
        <v>0</v>
      </c>
      <c r="S136" s="737">
        <f t="shared" si="19"/>
        <v>484698</v>
      </c>
      <c r="T136" s="739">
        <f t="shared" si="20"/>
        <v>464386</v>
      </c>
      <c r="U136" s="846"/>
      <c r="V136" s="847"/>
      <c r="W136" s="846"/>
      <c r="X136" s="846"/>
      <c r="Y136" s="740">
        <f t="shared" si="16"/>
        <v>0</v>
      </c>
      <c r="Z136" s="847"/>
      <c r="AA136" s="847"/>
      <c r="AB136" s="741">
        <f t="shared" si="17"/>
        <v>0</v>
      </c>
      <c r="AC136" s="846"/>
      <c r="AD136" s="847"/>
      <c r="AE136" s="846"/>
      <c r="AF136" s="846"/>
      <c r="AG136" s="847"/>
      <c r="AH136" s="847"/>
      <c r="AI136" s="742">
        <f t="shared" si="21"/>
        <v>484698</v>
      </c>
      <c r="AJ136" s="743">
        <f t="shared" si="22"/>
        <v>464386</v>
      </c>
    </row>
    <row r="137" spans="1:36">
      <c r="A137" s="915" t="s">
        <v>142</v>
      </c>
      <c r="B137" s="916" t="s">
        <v>272</v>
      </c>
      <c r="C137" s="922" t="s">
        <v>639</v>
      </c>
      <c r="D137" s="917"/>
      <c r="E137" s="918">
        <v>100760</v>
      </c>
      <c r="F137" s="949">
        <v>10</v>
      </c>
      <c r="G137" s="846"/>
      <c r="H137" s="847"/>
      <c r="I137" s="846">
        <v>30858</v>
      </c>
      <c r="J137" s="1466">
        <v>117431</v>
      </c>
      <c r="K137" s="846"/>
      <c r="L137" s="847"/>
      <c r="M137" s="846"/>
      <c r="N137" s="846"/>
      <c r="O137" s="737">
        <f t="shared" si="15"/>
        <v>0</v>
      </c>
      <c r="P137" s="847"/>
      <c r="Q137" s="847"/>
      <c r="R137" s="738">
        <f t="shared" si="18"/>
        <v>0</v>
      </c>
      <c r="S137" s="737">
        <f t="shared" si="19"/>
        <v>30858</v>
      </c>
      <c r="T137" s="739">
        <f t="shared" si="20"/>
        <v>117431</v>
      </c>
      <c r="U137" s="846"/>
      <c r="V137" s="847"/>
      <c r="W137" s="846"/>
      <c r="X137" s="846"/>
      <c r="Y137" s="740">
        <f t="shared" si="16"/>
        <v>0</v>
      </c>
      <c r="Z137" s="847"/>
      <c r="AA137" s="847"/>
      <c r="AB137" s="741">
        <f t="shared" si="17"/>
        <v>0</v>
      </c>
      <c r="AC137" s="846"/>
      <c r="AD137" s="847"/>
      <c r="AE137" s="846"/>
      <c r="AF137" s="846"/>
      <c r="AG137" s="847"/>
      <c r="AH137" s="847"/>
      <c r="AI137" s="742">
        <f t="shared" si="21"/>
        <v>30858</v>
      </c>
      <c r="AJ137" s="743">
        <f t="shared" si="22"/>
        <v>117431</v>
      </c>
    </row>
    <row r="138" spans="1:36">
      <c r="A138" s="915" t="s">
        <v>142</v>
      </c>
      <c r="B138" s="916" t="s">
        <v>272</v>
      </c>
      <c r="C138" s="922" t="s">
        <v>640</v>
      </c>
      <c r="D138" s="917"/>
      <c r="E138" s="918">
        <v>100760</v>
      </c>
      <c r="F138" s="949">
        <v>10</v>
      </c>
      <c r="G138" s="846"/>
      <c r="H138" s="847"/>
      <c r="I138" s="846"/>
      <c r="J138" s="847">
        <v>200000</v>
      </c>
      <c r="K138" s="846"/>
      <c r="L138" s="847"/>
      <c r="M138" s="846"/>
      <c r="N138" s="846"/>
      <c r="O138" s="737">
        <f t="shared" ref="O138:O201" si="23">SUM(M138:N138)</f>
        <v>0</v>
      </c>
      <c r="P138" s="847"/>
      <c r="Q138" s="847"/>
      <c r="R138" s="738">
        <f t="shared" si="18"/>
        <v>0</v>
      </c>
      <c r="S138" s="737">
        <f t="shared" si="19"/>
        <v>0</v>
      </c>
      <c r="T138" s="739">
        <f t="shared" si="20"/>
        <v>200000</v>
      </c>
      <c r="U138" s="846"/>
      <c r="V138" s="847"/>
      <c r="W138" s="846"/>
      <c r="X138" s="846"/>
      <c r="Y138" s="740">
        <f t="shared" ref="Y138:Y201" si="24">SUM(W138:X138)</f>
        <v>0</v>
      </c>
      <c r="Z138" s="847"/>
      <c r="AA138" s="847"/>
      <c r="AB138" s="741">
        <f t="shared" ref="AB138:AB201" si="25">SUM(Z138:AA138)</f>
        <v>0</v>
      </c>
      <c r="AC138" s="846"/>
      <c r="AD138" s="847"/>
      <c r="AE138" s="846"/>
      <c r="AF138" s="846"/>
      <c r="AG138" s="847"/>
      <c r="AH138" s="847"/>
      <c r="AI138" s="742">
        <f t="shared" si="21"/>
        <v>0</v>
      </c>
      <c r="AJ138" s="743">
        <f t="shared" si="22"/>
        <v>200000</v>
      </c>
    </row>
    <row r="139" spans="1:36">
      <c r="A139" s="915" t="s">
        <v>142</v>
      </c>
      <c r="B139" s="916" t="s">
        <v>264</v>
      </c>
      <c r="C139" s="916" t="s">
        <v>647</v>
      </c>
      <c r="D139" s="928" t="s">
        <v>532</v>
      </c>
      <c r="E139" s="918">
        <v>101143</v>
      </c>
      <c r="F139" s="929">
        <v>9</v>
      </c>
      <c r="G139" s="846">
        <v>9704499</v>
      </c>
      <c r="H139" s="1466">
        <v>9517875</v>
      </c>
      <c r="I139" s="846"/>
      <c r="J139" s="847"/>
      <c r="K139" s="846"/>
      <c r="L139" s="847"/>
      <c r="M139" s="890">
        <v>7594950</v>
      </c>
      <c r="N139" s="890">
        <v>734851</v>
      </c>
      <c r="O139" s="737">
        <f t="shared" si="23"/>
        <v>8329801</v>
      </c>
      <c r="P139" s="847">
        <v>8628982</v>
      </c>
      <c r="Q139" s="847">
        <v>437482</v>
      </c>
      <c r="R139" s="738">
        <f t="shared" ref="R139:R202" si="26">SUM(P139:Q139)</f>
        <v>9066464</v>
      </c>
      <c r="S139" s="737">
        <f t="shared" ref="S139:S202" si="27">SUM(G139,I139,K139,M139)</f>
        <v>17299449</v>
      </c>
      <c r="T139" s="739">
        <f t="shared" ref="T139:T202" si="28">SUM(H139,J139,L139,P139)</f>
        <v>18146857</v>
      </c>
      <c r="U139" s="846"/>
      <c r="V139" s="847"/>
      <c r="W139" s="846"/>
      <c r="X139" s="846"/>
      <c r="Y139" s="740">
        <f t="shared" si="24"/>
        <v>0</v>
      </c>
      <c r="Z139" s="847"/>
      <c r="AA139" s="847"/>
      <c r="AB139" s="741">
        <f t="shared" si="25"/>
        <v>0</v>
      </c>
      <c r="AC139" s="846"/>
      <c r="AD139" s="847"/>
      <c r="AE139" s="846"/>
      <c r="AF139" s="846"/>
      <c r="AG139" s="847"/>
      <c r="AH139" s="847"/>
      <c r="AI139" s="742">
        <f t="shared" ref="AI139:AI202" si="29">SUM(S139,U139,W139,AC139,AE139)</f>
        <v>17299449</v>
      </c>
      <c r="AJ139" s="743">
        <f t="shared" ref="AJ139:AJ202" si="30">SUM(T139,V139,Z139,AD139,AG139)</f>
        <v>18146857</v>
      </c>
    </row>
    <row r="140" spans="1:36">
      <c r="A140" s="915" t="s">
        <v>142</v>
      </c>
      <c r="B140" s="916" t="s">
        <v>272</v>
      </c>
      <c r="C140" s="921" t="s">
        <v>636</v>
      </c>
      <c r="D140" s="917"/>
      <c r="E140" s="918">
        <v>101143</v>
      </c>
      <c r="F140" s="929">
        <v>9</v>
      </c>
      <c r="G140" s="846"/>
      <c r="H140" s="847"/>
      <c r="I140" s="846"/>
      <c r="J140" s="847"/>
      <c r="K140" s="846"/>
      <c r="L140" s="847"/>
      <c r="M140" s="846"/>
      <c r="N140" s="846"/>
      <c r="O140" s="737">
        <f t="shared" si="23"/>
        <v>0</v>
      </c>
      <c r="P140" s="847"/>
      <c r="Q140" s="847"/>
      <c r="R140" s="738">
        <f t="shared" si="26"/>
        <v>0</v>
      </c>
      <c r="S140" s="737">
        <f t="shared" si="27"/>
        <v>0</v>
      </c>
      <c r="T140" s="739">
        <f t="shared" si="28"/>
        <v>0</v>
      </c>
      <c r="U140" s="846"/>
      <c r="V140" s="847"/>
      <c r="W140" s="846"/>
      <c r="X140" s="846"/>
      <c r="Y140" s="740">
        <f t="shared" si="24"/>
        <v>0</v>
      </c>
      <c r="Z140" s="847"/>
      <c r="AA140" s="847"/>
      <c r="AB140" s="741">
        <f t="shared" si="25"/>
        <v>0</v>
      </c>
      <c r="AC140" s="846"/>
      <c r="AD140" s="847"/>
      <c r="AE140" s="846"/>
      <c r="AF140" s="846"/>
      <c r="AG140" s="847"/>
      <c r="AH140" s="847"/>
      <c r="AI140" s="742">
        <f t="shared" si="29"/>
        <v>0</v>
      </c>
      <c r="AJ140" s="743">
        <f t="shared" si="30"/>
        <v>0</v>
      </c>
    </row>
    <row r="141" spans="1:36">
      <c r="A141" s="915" t="s">
        <v>142</v>
      </c>
      <c r="B141" s="916" t="s">
        <v>272</v>
      </c>
      <c r="C141" s="922" t="s">
        <v>637</v>
      </c>
      <c r="D141" s="917"/>
      <c r="E141" s="918">
        <v>101143</v>
      </c>
      <c r="F141" s="929">
        <v>9</v>
      </c>
      <c r="G141" s="846"/>
      <c r="H141" s="847"/>
      <c r="I141" s="846">
        <v>349243</v>
      </c>
      <c r="J141" s="847"/>
      <c r="K141" s="846"/>
      <c r="L141" s="847"/>
      <c r="M141" s="846"/>
      <c r="N141" s="846"/>
      <c r="O141" s="737">
        <f t="shared" si="23"/>
        <v>0</v>
      </c>
      <c r="P141" s="847"/>
      <c r="Q141" s="847"/>
      <c r="R141" s="738">
        <f t="shared" si="26"/>
        <v>0</v>
      </c>
      <c r="S141" s="737">
        <f t="shared" si="27"/>
        <v>349243</v>
      </c>
      <c r="T141" s="739">
        <f t="shared" si="28"/>
        <v>0</v>
      </c>
      <c r="U141" s="846"/>
      <c r="V141" s="847"/>
      <c r="W141" s="846"/>
      <c r="X141" s="846"/>
      <c r="Y141" s="740">
        <f t="shared" si="24"/>
        <v>0</v>
      </c>
      <c r="Z141" s="847"/>
      <c r="AA141" s="847"/>
      <c r="AB141" s="741">
        <f t="shared" si="25"/>
        <v>0</v>
      </c>
      <c r="AC141" s="846"/>
      <c r="AD141" s="847"/>
      <c r="AE141" s="846"/>
      <c r="AF141" s="846"/>
      <c r="AG141" s="847"/>
      <c r="AH141" s="847"/>
      <c r="AI141" s="742">
        <f t="shared" si="29"/>
        <v>349243</v>
      </c>
      <c r="AJ141" s="743">
        <f t="shared" si="30"/>
        <v>0</v>
      </c>
    </row>
    <row r="142" spans="1:36">
      <c r="A142" s="915" t="s">
        <v>142</v>
      </c>
      <c r="B142" s="916" t="s">
        <v>272</v>
      </c>
      <c r="C142" s="922" t="s">
        <v>638</v>
      </c>
      <c r="D142" s="917"/>
      <c r="E142" s="918">
        <v>101143</v>
      </c>
      <c r="F142" s="929">
        <v>9</v>
      </c>
      <c r="G142" s="846"/>
      <c r="H142" s="847"/>
      <c r="I142" s="846">
        <v>355446</v>
      </c>
      <c r="J142" s="1466">
        <v>344287</v>
      </c>
      <c r="K142" s="846"/>
      <c r="L142" s="847"/>
      <c r="M142" s="846"/>
      <c r="N142" s="846"/>
      <c r="O142" s="737">
        <f t="shared" si="23"/>
        <v>0</v>
      </c>
      <c r="P142" s="847"/>
      <c r="Q142" s="847"/>
      <c r="R142" s="738">
        <f t="shared" si="26"/>
        <v>0</v>
      </c>
      <c r="S142" s="737">
        <f t="shared" si="27"/>
        <v>355446</v>
      </c>
      <c r="T142" s="739">
        <f t="shared" si="28"/>
        <v>344287</v>
      </c>
      <c r="U142" s="846"/>
      <c r="V142" s="847"/>
      <c r="W142" s="846"/>
      <c r="X142" s="846"/>
      <c r="Y142" s="740">
        <f t="shared" si="24"/>
        <v>0</v>
      </c>
      <c r="Z142" s="847"/>
      <c r="AA142" s="847"/>
      <c r="AB142" s="741">
        <f t="shared" si="25"/>
        <v>0</v>
      </c>
      <c r="AC142" s="846"/>
      <c r="AD142" s="847"/>
      <c r="AE142" s="846"/>
      <c r="AF142" s="846"/>
      <c r="AG142" s="847"/>
      <c r="AH142" s="847"/>
      <c r="AI142" s="742">
        <f t="shared" si="29"/>
        <v>355446</v>
      </c>
      <c r="AJ142" s="743">
        <f t="shared" si="30"/>
        <v>344287</v>
      </c>
    </row>
    <row r="143" spans="1:36">
      <c r="A143" s="915" t="s">
        <v>142</v>
      </c>
      <c r="B143" s="916" t="s">
        <v>272</v>
      </c>
      <c r="C143" s="922" t="s">
        <v>639</v>
      </c>
      <c r="D143" s="917"/>
      <c r="E143" s="918">
        <v>101143</v>
      </c>
      <c r="F143" s="929">
        <v>9</v>
      </c>
      <c r="G143" s="846"/>
      <c r="H143" s="847"/>
      <c r="I143" s="846">
        <v>296494</v>
      </c>
      <c r="J143" s="847">
        <v>115518</v>
      </c>
      <c r="K143" s="846"/>
      <c r="L143" s="847"/>
      <c r="M143" s="846"/>
      <c r="N143" s="846"/>
      <c r="O143" s="737">
        <f t="shared" si="23"/>
        <v>0</v>
      </c>
      <c r="P143" s="847"/>
      <c r="Q143" s="847"/>
      <c r="R143" s="738">
        <f t="shared" si="26"/>
        <v>0</v>
      </c>
      <c r="S143" s="737">
        <f t="shared" si="27"/>
        <v>296494</v>
      </c>
      <c r="T143" s="739">
        <f t="shared" si="28"/>
        <v>115518</v>
      </c>
      <c r="U143" s="846"/>
      <c r="V143" s="847"/>
      <c r="W143" s="846"/>
      <c r="X143" s="846"/>
      <c r="Y143" s="740">
        <f t="shared" si="24"/>
        <v>0</v>
      </c>
      <c r="Z143" s="847"/>
      <c r="AA143" s="847"/>
      <c r="AB143" s="741">
        <f t="shared" si="25"/>
        <v>0</v>
      </c>
      <c r="AC143" s="846"/>
      <c r="AD143" s="847"/>
      <c r="AE143" s="846"/>
      <c r="AF143" s="846"/>
      <c r="AG143" s="847"/>
      <c r="AH143" s="847"/>
      <c r="AI143" s="742">
        <f t="shared" si="29"/>
        <v>296494</v>
      </c>
      <c r="AJ143" s="743">
        <f t="shared" si="30"/>
        <v>115518</v>
      </c>
    </row>
    <row r="144" spans="1:36">
      <c r="A144" s="915" t="s">
        <v>142</v>
      </c>
      <c r="B144" s="916" t="s">
        <v>272</v>
      </c>
      <c r="C144" s="922" t="s">
        <v>640</v>
      </c>
      <c r="D144" s="917"/>
      <c r="E144" s="918">
        <v>101143</v>
      </c>
      <c r="F144" s="929">
        <v>9</v>
      </c>
      <c r="G144" s="846"/>
      <c r="H144" s="847"/>
      <c r="I144" s="846"/>
      <c r="J144" s="847">
        <v>398800</v>
      </c>
      <c r="K144" s="846"/>
      <c r="L144" s="847"/>
      <c r="M144" s="846"/>
      <c r="N144" s="846"/>
      <c r="O144" s="737">
        <f t="shared" si="23"/>
        <v>0</v>
      </c>
      <c r="P144" s="847"/>
      <c r="Q144" s="847"/>
      <c r="R144" s="738">
        <f t="shared" si="26"/>
        <v>0</v>
      </c>
      <c r="S144" s="737">
        <f t="shared" si="27"/>
        <v>0</v>
      </c>
      <c r="T144" s="739">
        <f t="shared" si="28"/>
        <v>398800</v>
      </c>
      <c r="U144" s="846"/>
      <c r="V144" s="847"/>
      <c r="W144" s="846"/>
      <c r="X144" s="846"/>
      <c r="Y144" s="740">
        <f t="shared" si="24"/>
        <v>0</v>
      </c>
      <c r="Z144" s="847"/>
      <c r="AA144" s="847"/>
      <c r="AB144" s="741">
        <f t="shared" si="25"/>
        <v>0</v>
      </c>
      <c r="AC144" s="846"/>
      <c r="AD144" s="847"/>
      <c r="AE144" s="846"/>
      <c r="AF144" s="846"/>
      <c r="AG144" s="847"/>
      <c r="AH144" s="847"/>
      <c r="AI144" s="742">
        <f t="shared" si="29"/>
        <v>0</v>
      </c>
      <c r="AJ144" s="743">
        <f t="shared" si="30"/>
        <v>398800</v>
      </c>
    </row>
    <row r="145" spans="1:36">
      <c r="A145" s="915" t="s">
        <v>142</v>
      </c>
      <c r="B145" s="916" t="s">
        <v>264</v>
      </c>
      <c r="C145" s="923" t="s">
        <v>648</v>
      </c>
      <c r="D145" s="924"/>
      <c r="E145" s="918">
        <v>101286</v>
      </c>
      <c r="F145" s="919">
        <v>9</v>
      </c>
      <c r="G145" s="846">
        <v>14881674</v>
      </c>
      <c r="H145" s="1466">
        <v>15025307</v>
      </c>
      <c r="I145" s="846"/>
      <c r="J145" s="847"/>
      <c r="K145" s="846"/>
      <c r="L145" s="847"/>
      <c r="M145" s="890">
        <v>14035135</v>
      </c>
      <c r="N145" s="890">
        <v>848911</v>
      </c>
      <c r="O145" s="737">
        <f t="shared" si="23"/>
        <v>14884046</v>
      </c>
      <c r="P145" s="847">
        <v>13533986</v>
      </c>
      <c r="Q145" s="847">
        <v>849129</v>
      </c>
      <c r="R145" s="738">
        <f t="shared" si="26"/>
        <v>14383115</v>
      </c>
      <c r="S145" s="737">
        <f t="shared" si="27"/>
        <v>28916809</v>
      </c>
      <c r="T145" s="739">
        <f t="shared" si="28"/>
        <v>28559293</v>
      </c>
      <c r="U145" s="846"/>
      <c r="V145" s="847"/>
      <c r="W145" s="846"/>
      <c r="X145" s="846"/>
      <c r="Y145" s="740">
        <f t="shared" si="24"/>
        <v>0</v>
      </c>
      <c r="Z145" s="847"/>
      <c r="AA145" s="847"/>
      <c r="AB145" s="741">
        <f t="shared" si="25"/>
        <v>0</v>
      </c>
      <c r="AC145" s="846"/>
      <c r="AD145" s="847"/>
      <c r="AE145" s="846"/>
      <c r="AF145" s="846"/>
      <c r="AG145" s="847"/>
      <c r="AH145" s="847"/>
      <c r="AI145" s="742">
        <f t="shared" si="29"/>
        <v>28916809</v>
      </c>
      <c r="AJ145" s="743">
        <f t="shared" si="30"/>
        <v>28559293</v>
      </c>
    </row>
    <row r="146" spans="1:36">
      <c r="A146" s="915" t="s">
        <v>142</v>
      </c>
      <c r="B146" s="916" t="s">
        <v>272</v>
      </c>
      <c r="C146" s="921" t="s">
        <v>636</v>
      </c>
      <c r="D146" s="917"/>
      <c r="E146" s="918">
        <v>101286</v>
      </c>
      <c r="F146" s="919">
        <v>9</v>
      </c>
      <c r="G146" s="846"/>
      <c r="H146" s="847"/>
      <c r="I146" s="846"/>
      <c r="J146" s="847"/>
      <c r="K146" s="846"/>
      <c r="L146" s="847"/>
      <c r="M146" s="846"/>
      <c r="N146" s="846"/>
      <c r="O146" s="737">
        <f t="shared" si="23"/>
        <v>0</v>
      </c>
      <c r="P146" s="847"/>
      <c r="Q146" s="847"/>
      <c r="R146" s="738">
        <f t="shared" si="26"/>
        <v>0</v>
      </c>
      <c r="S146" s="737">
        <f t="shared" si="27"/>
        <v>0</v>
      </c>
      <c r="T146" s="739">
        <f t="shared" si="28"/>
        <v>0</v>
      </c>
      <c r="U146" s="846"/>
      <c r="V146" s="847"/>
      <c r="W146" s="846"/>
      <c r="X146" s="846"/>
      <c r="Y146" s="740">
        <f t="shared" si="24"/>
        <v>0</v>
      </c>
      <c r="Z146" s="847"/>
      <c r="AA146" s="847"/>
      <c r="AB146" s="741">
        <f t="shared" si="25"/>
        <v>0</v>
      </c>
      <c r="AC146" s="846"/>
      <c r="AD146" s="847"/>
      <c r="AE146" s="846"/>
      <c r="AF146" s="846"/>
      <c r="AG146" s="847"/>
      <c r="AH146" s="847"/>
      <c r="AI146" s="742">
        <f t="shared" si="29"/>
        <v>0</v>
      </c>
      <c r="AJ146" s="743">
        <f t="shared" si="30"/>
        <v>0</v>
      </c>
    </row>
    <row r="147" spans="1:36">
      <c r="A147" s="915" t="s">
        <v>142</v>
      </c>
      <c r="B147" s="916" t="s">
        <v>272</v>
      </c>
      <c r="C147" s="922" t="s">
        <v>637</v>
      </c>
      <c r="D147" s="917"/>
      <c r="E147" s="918">
        <v>101286</v>
      </c>
      <c r="F147" s="919">
        <v>9</v>
      </c>
      <c r="G147" s="846"/>
      <c r="H147" s="847"/>
      <c r="I147" s="846">
        <v>194112</v>
      </c>
      <c r="J147" s="1466">
        <v>148136</v>
      </c>
      <c r="K147" s="846"/>
      <c r="L147" s="847"/>
      <c r="M147" s="846"/>
      <c r="N147" s="846"/>
      <c r="O147" s="737">
        <f t="shared" si="23"/>
        <v>0</v>
      </c>
      <c r="P147" s="847"/>
      <c r="Q147" s="847"/>
      <c r="R147" s="738">
        <f t="shared" si="26"/>
        <v>0</v>
      </c>
      <c r="S147" s="737">
        <f t="shared" si="27"/>
        <v>194112</v>
      </c>
      <c r="T147" s="739">
        <f t="shared" si="28"/>
        <v>148136</v>
      </c>
      <c r="U147" s="846"/>
      <c r="V147" s="847"/>
      <c r="W147" s="846"/>
      <c r="X147" s="846"/>
      <c r="Y147" s="740">
        <f t="shared" si="24"/>
        <v>0</v>
      </c>
      <c r="Z147" s="847"/>
      <c r="AA147" s="847"/>
      <c r="AB147" s="741">
        <f t="shared" si="25"/>
        <v>0</v>
      </c>
      <c r="AC147" s="846"/>
      <c r="AD147" s="847"/>
      <c r="AE147" s="846"/>
      <c r="AF147" s="846"/>
      <c r="AG147" s="847"/>
      <c r="AH147" s="847"/>
      <c r="AI147" s="742">
        <f t="shared" si="29"/>
        <v>194112</v>
      </c>
      <c r="AJ147" s="743">
        <f t="shared" si="30"/>
        <v>148136</v>
      </c>
    </row>
    <row r="148" spans="1:36">
      <c r="A148" s="915" t="s">
        <v>142</v>
      </c>
      <c r="B148" s="916" t="s">
        <v>272</v>
      </c>
      <c r="C148" s="922" t="s">
        <v>638</v>
      </c>
      <c r="D148" s="917"/>
      <c r="E148" s="918">
        <v>101286</v>
      </c>
      <c r="F148" s="919">
        <v>9</v>
      </c>
      <c r="G148" s="846"/>
      <c r="H148" s="847"/>
      <c r="I148" s="846">
        <v>552230</v>
      </c>
      <c r="J148" s="1466">
        <v>2305574</v>
      </c>
      <c r="K148" s="846"/>
      <c r="L148" s="847"/>
      <c r="M148" s="846"/>
      <c r="N148" s="846"/>
      <c r="O148" s="737">
        <f t="shared" si="23"/>
        <v>0</v>
      </c>
      <c r="P148" s="847"/>
      <c r="Q148" s="847"/>
      <c r="R148" s="738">
        <f t="shared" si="26"/>
        <v>0</v>
      </c>
      <c r="S148" s="737">
        <f t="shared" si="27"/>
        <v>552230</v>
      </c>
      <c r="T148" s="739">
        <f t="shared" si="28"/>
        <v>2305574</v>
      </c>
      <c r="U148" s="846"/>
      <c r="V148" s="847"/>
      <c r="W148" s="846"/>
      <c r="X148" s="846"/>
      <c r="Y148" s="740">
        <f t="shared" si="24"/>
        <v>0</v>
      </c>
      <c r="Z148" s="847"/>
      <c r="AA148" s="847"/>
      <c r="AB148" s="741">
        <f t="shared" si="25"/>
        <v>0</v>
      </c>
      <c r="AC148" s="846"/>
      <c r="AD148" s="847"/>
      <c r="AE148" s="846"/>
      <c r="AF148" s="846"/>
      <c r="AG148" s="847"/>
      <c r="AH148" s="847"/>
      <c r="AI148" s="742">
        <f t="shared" si="29"/>
        <v>552230</v>
      </c>
      <c r="AJ148" s="743">
        <f t="shared" si="30"/>
        <v>2305574</v>
      </c>
    </row>
    <row r="149" spans="1:36">
      <c r="A149" s="915" t="s">
        <v>142</v>
      </c>
      <c r="B149" s="916" t="s">
        <v>272</v>
      </c>
      <c r="C149" s="922" t="s">
        <v>639</v>
      </c>
      <c r="D149" s="917"/>
      <c r="E149" s="918">
        <v>101286</v>
      </c>
      <c r="F149" s="919">
        <v>9</v>
      </c>
      <c r="G149" s="846"/>
      <c r="H149" s="847"/>
      <c r="I149" s="846">
        <v>85688</v>
      </c>
      <c r="J149" s="1466">
        <v>173507</v>
      </c>
      <c r="K149" s="846"/>
      <c r="L149" s="847"/>
      <c r="M149" s="846"/>
      <c r="N149" s="846"/>
      <c r="O149" s="737">
        <f t="shared" si="23"/>
        <v>0</v>
      </c>
      <c r="P149" s="847"/>
      <c r="Q149" s="847"/>
      <c r="R149" s="738">
        <f t="shared" si="26"/>
        <v>0</v>
      </c>
      <c r="S149" s="737">
        <f t="shared" si="27"/>
        <v>85688</v>
      </c>
      <c r="T149" s="739">
        <f t="shared" si="28"/>
        <v>173507</v>
      </c>
      <c r="U149" s="846"/>
      <c r="V149" s="847"/>
      <c r="W149" s="846"/>
      <c r="X149" s="846"/>
      <c r="Y149" s="740">
        <f t="shared" si="24"/>
        <v>0</v>
      </c>
      <c r="Z149" s="847"/>
      <c r="AA149" s="847"/>
      <c r="AB149" s="741">
        <f t="shared" si="25"/>
        <v>0</v>
      </c>
      <c r="AC149" s="846"/>
      <c r="AD149" s="847"/>
      <c r="AE149" s="846"/>
      <c r="AF149" s="846"/>
      <c r="AG149" s="847"/>
      <c r="AH149" s="847"/>
      <c r="AI149" s="742">
        <f t="shared" si="29"/>
        <v>85688</v>
      </c>
      <c r="AJ149" s="743">
        <f t="shared" si="30"/>
        <v>173507</v>
      </c>
    </row>
    <row r="150" spans="1:36">
      <c r="A150" s="915" t="s">
        <v>142</v>
      </c>
      <c r="B150" s="916" t="s">
        <v>272</v>
      </c>
      <c r="C150" s="922" t="s">
        <v>640</v>
      </c>
      <c r="D150" s="917"/>
      <c r="E150" s="918">
        <v>101286</v>
      </c>
      <c r="F150" s="919">
        <v>9</v>
      </c>
      <c r="G150" s="846"/>
      <c r="H150" s="847"/>
      <c r="I150" s="846"/>
      <c r="J150" s="1466">
        <v>197106</v>
      </c>
      <c r="K150" s="846"/>
      <c r="L150" s="847"/>
      <c r="M150" s="846"/>
      <c r="N150" s="846"/>
      <c r="O150" s="737">
        <f t="shared" si="23"/>
        <v>0</v>
      </c>
      <c r="P150" s="847"/>
      <c r="Q150" s="847"/>
      <c r="R150" s="738">
        <f t="shared" si="26"/>
        <v>0</v>
      </c>
      <c r="S150" s="737">
        <f t="shared" si="27"/>
        <v>0</v>
      </c>
      <c r="T150" s="739">
        <f t="shared" si="28"/>
        <v>197106</v>
      </c>
      <c r="U150" s="846"/>
      <c r="V150" s="847"/>
      <c r="W150" s="846"/>
      <c r="X150" s="846"/>
      <c r="Y150" s="740">
        <f t="shared" si="24"/>
        <v>0</v>
      </c>
      <c r="Z150" s="847"/>
      <c r="AA150" s="847"/>
      <c r="AB150" s="741">
        <f t="shared" si="25"/>
        <v>0</v>
      </c>
      <c r="AC150" s="846"/>
      <c r="AD150" s="847"/>
      <c r="AE150" s="846"/>
      <c r="AF150" s="846"/>
      <c r="AG150" s="847"/>
      <c r="AH150" s="847"/>
      <c r="AI150" s="742">
        <f t="shared" si="29"/>
        <v>0</v>
      </c>
      <c r="AJ150" s="743">
        <f t="shared" si="30"/>
        <v>197106</v>
      </c>
    </row>
    <row r="151" spans="1:36">
      <c r="A151" s="915" t="s">
        <v>142</v>
      </c>
      <c r="B151" s="916" t="s">
        <v>264</v>
      </c>
      <c r="C151" s="923" t="s">
        <v>649</v>
      </c>
      <c r="D151" s="924"/>
      <c r="E151" s="918">
        <v>101161</v>
      </c>
      <c r="F151" s="919">
        <v>9</v>
      </c>
      <c r="G151" s="846">
        <v>11374947</v>
      </c>
      <c r="H151" s="847">
        <v>11799099</v>
      </c>
      <c r="I151" s="846"/>
      <c r="J151" s="847"/>
      <c r="K151" s="890">
        <v>1385432</v>
      </c>
      <c r="L151" s="847">
        <v>950000</v>
      </c>
      <c r="M151" s="890">
        <v>15263955</v>
      </c>
      <c r="N151" s="890">
        <v>1989785</v>
      </c>
      <c r="O151" s="737">
        <f t="shared" si="23"/>
        <v>17253740</v>
      </c>
      <c r="P151" s="847">
        <v>13251324</v>
      </c>
      <c r="Q151" s="847">
        <v>1888693</v>
      </c>
      <c r="R151" s="738">
        <f t="shared" si="26"/>
        <v>15140017</v>
      </c>
      <c r="S151" s="737">
        <f t="shared" si="27"/>
        <v>28024334</v>
      </c>
      <c r="T151" s="739">
        <f t="shared" si="28"/>
        <v>26000423</v>
      </c>
      <c r="U151" s="846"/>
      <c r="V151" s="847"/>
      <c r="W151" s="846"/>
      <c r="X151" s="846"/>
      <c r="Y151" s="740">
        <f t="shared" si="24"/>
        <v>0</v>
      </c>
      <c r="Z151" s="847"/>
      <c r="AA151" s="847"/>
      <c r="AB151" s="741">
        <f t="shared" si="25"/>
        <v>0</v>
      </c>
      <c r="AC151" s="846"/>
      <c r="AD151" s="847"/>
      <c r="AE151" s="846"/>
      <c r="AF151" s="846"/>
      <c r="AG151" s="847"/>
      <c r="AH151" s="847"/>
      <c r="AI151" s="742">
        <f t="shared" si="29"/>
        <v>28024334</v>
      </c>
      <c r="AJ151" s="743">
        <f t="shared" si="30"/>
        <v>26000423</v>
      </c>
    </row>
    <row r="152" spans="1:36">
      <c r="A152" s="915" t="s">
        <v>142</v>
      </c>
      <c r="B152" s="916" t="s">
        <v>272</v>
      </c>
      <c r="C152" s="921" t="s">
        <v>636</v>
      </c>
      <c r="D152" s="917"/>
      <c r="E152" s="918">
        <v>101161</v>
      </c>
      <c r="F152" s="919">
        <v>9</v>
      </c>
      <c r="G152" s="846"/>
      <c r="H152" s="847"/>
      <c r="I152" s="846"/>
      <c r="J152" s="847"/>
      <c r="K152" s="846"/>
      <c r="L152" s="847"/>
      <c r="M152" s="846"/>
      <c r="N152" s="846"/>
      <c r="O152" s="737">
        <f t="shared" si="23"/>
        <v>0</v>
      </c>
      <c r="P152" s="847"/>
      <c r="Q152" s="847"/>
      <c r="R152" s="738">
        <f t="shared" si="26"/>
        <v>0</v>
      </c>
      <c r="S152" s="737">
        <f t="shared" si="27"/>
        <v>0</v>
      </c>
      <c r="T152" s="739">
        <f t="shared" si="28"/>
        <v>0</v>
      </c>
      <c r="U152" s="846"/>
      <c r="V152" s="847"/>
      <c r="W152" s="846"/>
      <c r="X152" s="846"/>
      <c r="Y152" s="740">
        <f t="shared" si="24"/>
        <v>0</v>
      </c>
      <c r="Z152" s="847"/>
      <c r="AA152" s="847"/>
      <c r="AB152" s="741">
        <f t="shared" si="25"/>
        <v>0</v>
      </c>
      <c r="AC152" s="846"/>
      <c r="AD152" s="847"/>
      <c r="AE152" s="846"/>
      <c r="AF152" s="846"/>
      <c r="AG152" s="847"/>
      <c r="AH152" s="847"/>
      <c r="AI152" s="742">
        <f t="shared" si="29"/>
        <v>0</v>
      </c>
      <c r="AJ152" s="743">
        <f t="shared" si="30"/>
        <v>0</v>
      </c>
    </row>
    <row r="153" spans="1:36">
      <c r="A153" s="915" t="s">
        <v>142</v>
      </c>
      <c r="B153" s="916" t="s">
        <v>272</v>
      </c>
      <c r="C153" s="922" t="s">
        <v>637</v>
      </c>
      <c r="D153" s="917"/>
      <c r="E153" s="918">
        <v>101161</v>
      </c>
      <c r="F153" s="919">
        <v>9</v>
      </c>
      <c r="G153" s="846"/>
      <c r="H153" s="847"/>
      <c r="I153" s="846">
        <v>32045</v>
      </c>
      <c r="J153" s="1466">
        <v>25049</v>
      </c>
      <c r="K153" s="846"/>
      <c r="L153" s="847"/>
      <c r="M153" s="846"/>
      <c r="N153" s="846"/>
      <c r="O153" s="737">
        <f t="shared" si="23"/>
        <v>0</v>
      </c>
      <c r="P153" s="847"/>
      <c r="Q153" s="847"/>
      <c r="R153" s="738">
        <f t="shared" si="26"/>
        <v>0</v>
      </c>
      <c r="S153" s="737">
        <f t="shared" si="27"/>
        <v>32045</v>
      </c>
      <c r="T153" s="739">
        <f t="shared" si="28"/>
        <v>25049</v>
      </c>
      <c r="U153" s="846"/>
      <c r="V153" s="847"/>
      <c r="W153" s="846"/>
      <c r="X153" s="846"/>
      <c r="Y153" s="740">
        <f t="shared" si="24"/>
        <v>0</v>
      </c>
      <c r="Z153" s="847"/>
      <c r="AA153" s="847"/>
      <c r="AB153" s="741">
        <f t="shared" si="25"/>
        <v>0</v>
      </c>
      <c r="AC153" s="846"/>
      <c r="AD153" s="847"/>
      <c r="AE153" s="846"/>
      <c r="AF153" s="846"/>
      <c r="AG153" s="847"/>
      <c r="AH153" s="847"/>
      <c r="AI153" s="742">
        <f t="shared" si="29"/>
        <v>32045</v>
      </c>
      <c r="AJ153" s="743">
        <f t="shared" si="30"/>
        <v>25049</v>
      </c>
    </row>
    <row r="154" spans="1:36">
      <c r="A154" s="915" t="s">
        <v>142</v>
      </c>
      <c r="B154" s="916" t="s">
        <v>272</v>
      </c>
      <c r="C154" s="922" t="s">
        <v>638</v>
      </c>
      <c r="D154" s="917"/>
      <c r="E154" s="918">
        <v>101161</v>
      </c>
      <c r="F154" s="919">
        <v>9</v>
      </c>
      <c r="G154" s="846"/>
      <c r="H154" s="847"/>
      <c r="I154" s="846">
        <v>385877</v>
      </c>
      <c r="J154" s="1466">
        <v>385843</v>
      </c>
      <c r="K154" s="846"/>
      <c r="L154" s="847"/>
      <c r="M154" s="846"/>
      <c r="N154" s="846"/>
      <c r="O154" s="737">
        <f t="shared" si="23"/>
        <v>0</v>
      </c>
      <c r="P154" s="847"/>
      <c r="Q154" s="847"/>
      <c r="R154" s="738">
        <f t="shared" si="26"/>
        <v>0</v>
      </c>
      <c r="S154" s="737">
        <f t="shared" si="27"/>
        <v>385877</v>
      </c>
      <c r="T154" s="739">
        <f t="shared" si="28"/>
        <v>385843</v>
      </c>
      <c r="U154" s="846"/>
      <c r="V154" s="847"/>
      <c r="W154" s="846"/>
      <c r="X154" s="846"/>
      <c r="Y154" s="740">
        <f t="shared" si="24"/>
        <v>0</v>
      </c>
      <c r="Z154" s="847"/>
      <c r="AA154" s="847"/>
      <c r="AB154" s="741">
        <f t="shared" si="25"/>
        <v>0</v>
      </c>
      <c r="AC154" s="846"/>
      <c r="AD154" s="847"/>
      <c r="AE154" s="846"/>
      <c r="AF154" s="846"/>
      <c r="AG154" s="847"/>
      <c r="AH154" s="847"/>
      <c r="AI154" s="742">
        <f t="shared" si="29"/>
        <v>385877</v>
      </c>
      <c r="AJ154" s="743">
        <f t="shared" si="30"/>
        <v>385843</v>
      </c>
    </row>
    <row r="155" spans="1:36">
      <c r="A155" s="915" t="s">
        <v>142</v>
      </c>
      <c r="B155" s="916" t="s">
        <v>272</v>
      </c>
      <c r="C155" s="922" t="s">
        <v>639</v>
      </c>
      <c r="D155" s="917"/>
      <c r="E155" s="918">
        <v>101161</v>
      </c>
      <c r="F155" s="919">
        <v>9</v>
      </c>
      <c r="G155" s="846"/>
      <c r="H155" s="847"/>
      <c r="I155" s="846">
        <v>221122</v>
      </c>
      <c r="J155" s="1466">
        <v>222935</v>
      </c>
      <c r="K155" s="846"/>
      <c r="L155" s="847"/>
      <c r="M155" s="846"/>
      <c r="N155" s="846"/>
      <c r="O155" s="737">
        <f t="shared" si="23"/>
        <v>0</v>
      </c>
      <c r="P155" s="847"/>
      <c r="Q155" s="847"/>
      <c r="R155" s="738">
        <f t="shared" si="26"/>
        <v>0</v>
      </c>
      <c r="S155" s="737">
        <f t="shared" si="27"/>
        <v>221122</v>
      </c>
      <c r="T155" s="739">
        <f t="shared" si="28"/>
        <v>222935</v>
      </c>
      <c r="U155" s="846"/>
      <c r="V155" s="847"/>
      <c r="W155" s="846"/>
      <c r="X155" s="846"/>
      <c r="Y155" s="740">
        <f t="shared" si="24"/>
        <v>0</v>
      </c>
      <c r="Z155" s="847"/>
      <c r="AA155" s="847"/>
      <c r="AB155" s="741">
        <f t="shared" si="25"/>
        <v>0</v>
      </c>
      <c r="AC155" s="846"/>
      <c r="AD155" s="847"/>
      <c r="AE155" s="846"/>
      <c r="AF155" s="846"/>
      <c r="AG155" s="847"/>
      <c r="AH155" s="847"/>
      <c r="AI155" s="742">
        <f t="shared" si="29"/>
        <v>221122</v>
      </c>
      <c r="AJ155" s="743">
        <f t="shared" si="30"/>
        <v>222935</v>
      </c>
    </row>
    <row r="156" spans="1:36">
      <c r="A156" s="915" t="s">
        <v>142</v>
      </c>
      <c r="B156" s="916" t="s">
        <v>272</v>
      </c>
      <c r="C156" s="922" t="s">
        <v>640</v>
      </c>
      <c r="D156" s="917"/>
      <c r="E156" s="918">
        <v>101161</v>
      </c>
      <c r="F156" s="919">
        <v>9</v>
      </c>
      <c r="G156" s="846"/>
      <c r="H156" s="847"/>
      <c r="I156" s="846"/>
      <c r="J156" s="1466">
        <v>367359</v>
      </c>
      <c r="K156" s="846"/>
      <c r="L156" s="847"/>
      <c r="M156" s="846"/>
      <c r="N156" s="846"/>
      <c r="O156" s="737">
        <f t="shared" si="23"/>
        <v>0</v>
      </c>
      <c r="P156" s="847"/>
      <c r="Q156" s="847"/>
      <c r="R156" s="738">
        <f t="shared" si="26"/>
        <v>0</v>
      </c>
      <c r="S156" s="737">
        <f t="shared" si="27"/>
        <v>0</v>
      </c>
      <c r="T156" s="739">
        <f t="shared" si="28"/>
        <v>367359</v>
      </c>
      <c r="U156" s="846"/>
      <c r="V156" s="847"/>
      <c r="W156" s="846"/>
      <c r="X156" s="846"/>
      <c r="Y156" s="740">
        <f t="shared" si="24"/>
        <v>0</v>
      </c>
      <c r="Z156" s="847"/>
      <c r="AA156" s="847"/>
      <c r="AB156" s="741">
        <f t="shared" si="25"/>
        <v>0</v>
      </c>
      <c r="AC156" s="846"/>
      <c r="AD156" s="847"/>
      <c r="AE156" s="846"/>
      <c r="AF156" s="846"/>
      <c r="AG156" s="847"/>
      <c r="AH156" s="847"/>
      <c r="AI156" s="742">
        <f t="shared" si="29"/>
        <v>0</v>
      </c>
      <c r="AJ156" s="743">
        <f t="shared" si="30"/>
        <v>367359</v>
      </c>
    </row>
    <row r="157" spans="1:36">
      <c r="A157" s="915" t="s">
        <v>142</v>
      </c>
      <c r="B157" s="916" t="s">
        <v>264</v>
      </c>
      <c r="C157" s="923" t="s">
        <v>650</v>
      </c>
      <c r="D157" s="924"/>
      <c r="E157" s="918">
        <v>101569</v>
      </c>
      <c r="F157" s="919">
        <v>9</v>
      </c>
      <c r="G157" s="846">
        <v>13909345</v>
      </c>
      <c r="H157" s="1466">
        <v>13750317</v>
      </c>
      <c r="I157" s="846"/>
      <c r="J157" s="847"/>
      <c r="K157" s="890">
        <v>0</v>
      </c>
      <c r="L157" s="847">
        <v>50000</v>
      </c>
      <c r="M157" s="890">
        <v>9578096</v>
      </c>
      <c r="N157" s="890">
        <v>1227429</v>
      </c>
      <c r="O157" s="737">
        <f t="shared" si="23"/>
        <v>10805525</v>
      </c>
      <c r="P157" s="847">
        <v>10089738</v>
      </c>
      <c r="Q157" s="847">
        <v>957359</v>
      </c>
      <c r="R157" s="738">
        <f t="shared" si="26"/>
        <v>11047097</v>
      </c>
      <c r="S157" s="737">
        <f t="shared" si="27"/>
        <v>23487441</v>
      </c>
      <c r="T157" s="739">
        <f t="shared" si="28"/>
        <v>23890055</v>
      </c>
      <c r="U157" s="846"/>
      <c r="V157" s="847"/>
      <c r="W157" s="846"/>
      <c r="X157" s="846"/>
      <c r="Y157" s="740">
        <f t="shared" si="24"/>
        <v>0</v>
      </c>
      <c r="Z157" s="847"/>
      <c r="AA157" s="847"/>
      <c r="AB157" s="741">
        <f t="shared" si="25"/>
        <v>0</v>
      </c>
      <c r="AC157" s="846"/>
      <c r="AD157" s="847"/>
      <c r="AE157" s="846"/>
      <c r="AF157" s="846"/>
      <c r="AG157" s="847"/>
      <c r="AH157" s="847"/>
      <c r="AI157" s="742">
        <f t="shared" si="29"/>
        <v>23487441</v>
      </c>
      <c r="AJ157" s="743">
        <f t="shared" si="30"/>
        <v>23890055</v>
      </c>
    </row>
    <row r="158" spans="1:36">
      <c r="A158" s="915" t="s">
        <v>142</v>
      </c>
      <c r="B158" s="916" t="s">
        <v>272</v>
      </c>
      <c r="C158" s="921" t="s">
        <v>636</v>
      </c>
      <c r="D158" s="917"/>
      <c r="E158" s="918">
        <v>101569</v>
      </c>
      <c r="F158" s="919">
        <v>9</v>
      </c>
      <c r="G158" s="846"/>
      <c r="H158" s="847"/>
      <c r="I158" s="846"/>
      <c r="J158" s="847"/>
      <c r="K158" s="846"/>
      <c r="L158" s="847"/>
      <c r="M158" s="846"/>
      <c r="N158" s="846"/>
      <c r="O158" s="737">
        <f t="shared" si="23"/>
        <v>0</v>
      </c>
      <c r="P158" s="847"/>
      <c r="Q158" s="847"/>
      <c r="R158" s="738">
        <f t="shared" si="26"/>
        <v>0</v>
      </c>
      <c r="S158" s="737">
        <f t="shared" si="27"/>
        <v>0</v>
      </c>
      <c r="T158" s="739">
        <f t="shared" si="28"/>
        <v>0</v>
      </c>
      <c r="U158" s="846"/>
      <c r="V158" s="847"/>
      <c r="W158" s="846"/>
      <c r="X158" s="846"/>
      <c r="Y158" s="740">
        <f t="shared" si="24"/>
        <v>0</v>
      </c>
      <c r="Z158" s="847"/>
      <c r="AA158" s="847"/>
      <c r="AB158" s="741">
        <f t="shared" si="25"/>
        <v>0</v>
      </c>
      <c r="AC158" s="846"/>
      <c r="AD158" s="847"/>
      <c r="AE158" s="846"/>
      <c r="AF158" s="846"/>
      <c r="AG158" s="847"/>
      <c r="AH158" s="847"/>
      <c r="AI158" s="742">
        <f t="shared" si="29"/>
        <v>0</v>
      </c>
      <c r="AJ158" s="743">
        <f t="shared" si="30"/>
        <v>0</v>
      </c>
    </row>
    <row r="159" spans="1:36">
      <c r="A159" s="915" t="s">
        <v>142</v>
      </c>
      <c r="B159" s="916" t="s">
        <v>272</v>
      </c>
      <c r="C159" s="922" t="s">
        <v>637</v>
      </c>
      <c r="D159" s="917"/>
      <c r="E159" s="918">
        <v>101569</v>
      </c>
      <c r="F159" s="919">
        <v>9</v>
      </c>
      <c r="G159" s="846"/>
      <c r="H159" s="847"/>
      <c r="I159" s="846">
        <v>112873</v>
      </c>
      <c r="J159" s="1466">
        <v>207655</v>
      </c>
      <c r="K159" s="846"/>
      <c r="L159" s="847"/>
      <c r="M159" s="846"/>
      <c r="N159" s="846"/>
      <c r="O159" s="737">
        <f t="shared" si="23"/>
        <v>0</v>
      </c>
      <c r="P159" s="847"/>
      <c r="Q159" s="847"/>
      <c r="R159" s="738">
        <f t="shared" si="26"/>
        <v>0</v>
      </c>
      <c r="S159" s="737">
        <f t="shared" si="27"/>
        <v>112873</v>
      </c>
      <c r="T159" s="739">
        <f t="shared" si="28"/>
        <v>207655</v>
      </c>
      <c r="U159" s="846"/>
      <c r="V159" s="847"/>
      <c r="W159" s="846"/>
      <c r="X159" s="846"/>
      <c r="Y159" s="740">
        <f t="shared" si="24"/>
        <v>0</v>
      </c>
      <c r="Z159" s="847"/>
      <c r="AA159" s="847"/>
      <c r="AB159" s="741">
        <f t="shared" si="25"/>
        <v>0</v>
      </c>
      <c r="AC159" s="846"/>
      <c r="AD159" s="847"/>
      <c r="AE159" s="846"/>
      <c r="AF159" s="846"/>
      <c r="AG159" s="847"/>
      <c r="AH159" s="847"/>
      <c r="AI159" s="742">
        <f t="shared" si="29"/>
        <v>112873</v>
      </c>
      <c r="AJ159" s="743">
        <f t="shared" si="30"/>
        <v>207655</v>
      </c>
    </row>
    <row r="160" spans="1:36">
      <c r="A160" s="915" t="s">
        <v>142</v>
      </c>
      <c r="B160" s="916" t="s">
        <v>272</v>
      </c>
      <c r="C160" s="922" t="s">
        <v>638</v>
      </c>
      <c r="D160" s="917"/>
      <c r="E160" s="918">
        <v>101569</v>
      </c>
      <c r="F160" s="919">
        <v>9</v>
      </c>
      <c r="G160" s="846"/>
      <c r="H160" s="847"/>
      <c r="I160" s="846">
        <v>371764</v>
      </c>
      <c r="J160" s="1466">
        <v>357287</v>
      </c>
      <c r="K160" s="846"/>
      <c r="L160" s="847"/>
      <c r="M160" s="846"/>
      <c r="N160" s="846"/>
      <c r="O160" s="737">
        <f t="shared" si="23"/>
        <v>0</v>
      </c>
      <c r="P160" s="847"/>
      <c r="Q160" s="847"/>
      <c r="R160" s="738">
        <f t="shared" si="26"/>
        <v>0</v>
      </c>
      <c r="S160" s="737">
        <f t="shared" si="27"/>
        <v>371764</v>
      </c>
      <c r="T160" s="739">
        <f t="shared" si="28"/>
        <v>357287</v>
      </c>
      <c r="U160" s="846"/>
      <c r="V160" s="847"/>
      <c r="W160" s="846"/>
      <c r="X160" s="846"/>
      <c r="Y160" s="740">
        <f t="shared" si="24"/>
        <v>0</v>
      </c>
      <c r="Z160" s="847"/>
      <c r="AA160" s="847"/>
      <c r="AB160" s="741">
        <f t="shared" si="25"/>
        <v>0</v>
      </c>
      <c r="AC160" s="846"/>
      <c r="AD160" s="847"/>
      <c r="AE160" s="846"/>
      <c r="AF160" s="846"/>
      <c r="AG160" s="847"/>
      <c r="AH160" s="847"/>
      <c r="AI160" s="742">
        <f t="shared" si="29"/>
        <v>371764</v>
      </c>
      <c r="AJ160" s="743">
        <f t="shared" si="30"/>
        <v>357287</v>
      </c>
    </row>
    <row r="161" spans="1:36">
      <c r="A161" s="915" t="s">
        <v>142</v>
      </c>
      <c r="B161" s="916" t="s">
        <v>272</v>
      </c>
      <c r="C161" s="922" t="s">
        <v>639</v>
      </c>
      <c r="D161" s="917"/>
      <c r="E161" s="918">
        <v>101569</v>
      </c>
      <c r="F161" s="919">
        <v>9</v>
      </c>
      <c r="G161" s="846"/>
      <c r="H161" s="847"/>
      <c r="I161" s="846">
        <v>25013</v>
      </c>
      <c r="J161" s="847">
        <v>30000</v>
      </c>
      <c r="K161" s="846"/>
      <c r="L161" s="847"/>
      <c r="M161" s="846"/>
      <c r="N161" s="846"/>
      <c r="O161" s="737">
        <f t="shared" si="23"/>
        <v>0</v>
      </c>
      <c r="P161" s="847"/>
      <c r="Q161" s="847"/>
      <c r="R161" s="738">
        <f t="shared" si="26"/>
        <v>0</v>
      </c>
      <c r="S161" s="737">
        <f t="shared" si="27"/>
        <v>25013</v>
      </c>
      <c r="T161" s="739">
        <f t="shared" si="28"/>
        <v>30000</v>
      </c>
      <c r="U161" s="846"/>
      <c r="V161" s="847"/>
      <c r="W161" s="846"/>
      <c r="X161" s="846"/>
      <c r="Y161" s="740">
        <f t="shared" si="24"/>
        <v>0</v>
      </c>
      <c r="Z161" s="847"/>
      <c r="AA161" s="847"/>
      <c r="AB161" s="741">
        <f t="shared" si="25"/>
        <v>0</v>
      </c>
      <c r="AC161" s="846"/>
      <c r="AD161" s="847"/>
      <c r="AE161" s="846"/>
      <c r="AF161" s="846"/>
      <c r="AG161" s="847"/>
      <c r="AH161" s="847"/>
      <c r="AI161" s="742">
        <f t="shared" si="29"/>
        <v>25013</v>
      </c>
      <c r="AJ161" s="743">
        <f t="shared" si="30"/>
        <v>30000</v>
      </c>
    </row>
    <row r="162" spans="1:36">
      <c r="A162" s="915" t="s">
        <v>142</v>
      </c>
      <c r="B162" s="916" t="s">
        <v>272</v>
      </c>
      <c r="C162" s="922" t="s">
        <v>640</v>
      </c>
      <c r="D162" s="917"/>
      <c r="E162" s="918">
        <v>101569</v>
      </c>
      <c r="F162" s="919">
        <v>9</v>
      </c>
      <c r="G162" s="846"/>
      <c r="H162" s="847"/>
      <c r="I162" s="846"/>
      <c r="J162" s="847">
        <v>150000</v>
      </c>
      <c r="K162" s="846"/>
      <c r="L162" s="847"/>
      <c r="M162" s="846"/>
      <c r="N162" s="846"/>
      <c r="O162" s="737">
        <f t="shared" si="23"/>
        <v>0</v>
      </c>
      <c r="P162" s="847"/>
      <c r="Q162" s="847"/>
      <c r="R162" s="738">
        <f t="shared" si="26"/>
        <v>0</v>
      </c>
      <c r="S162" s="737">
        <f t="shared" si="27"/>
        <v>0</v>
      </c>
      <c r="T162" s="739">
        <f t="shared" si="28"/>
        <v>150000</v>
      </c>
      <c r="U162" s="846"/>
      <c r="V162" s="847"/>
      <c r="W162" s="846"/>
      <c r="X162" s="846"/>
      <c r="Y162" s="740">
        <f t="shared" si="24"/>
        <v>0</v>
      </c>
      <c r="Z162" s="847"/>
      <c r="AA162" s="847"/>
      <c r="AB162" s="741">
        <f t="shared" si="25"/>
        <v>0</v>
      </c>
      <c r="AC162" s="846"/>
      <c r="AD162" s="847"/>
      <c r="AE162" s="846"/>
      <c r="AF162" s="846"/>
      <c r="AG162" s="847"/>
      <c r="AH162" s="847"/>
      <c r="AI162" s="742">
        <f t="shared" si="29"/>
        <v>0</v>
      </c>
      <c r="AJ162" s="743">
        <f t="shared" si="30"/>
        <v>150000</v>
      </c>
    </row>
    <row r="163" spans="1:36">
      <c r="A163" s="915" t="s">
        <v>142</v>
      </c>
      <c r="B163" s="916" t="s">
        <v>264</v>
      </c>
      <c r="C163" s="931" t="s">
        <v>651</v>
      </c>
      <c r="D163" s="932"/>
      <c r="E163" s="918">
        <v>101897</v>
      </c>
      <c r="F163" s="929">
        <v>9</v>
      </c>
      <c r="G163" s="846">
        <v>7337886</v>
      </c>
      <c r="H163" s="847">
        <v>7627169</v>
      </c>
      <c r="I163" s="846"/>
      <c r="J163" s="847"/>
      <c r="K163" s="846"/>
      <c r="L163" s="847"/>
      <c r="M163" s="890">
        <v>7981327</v>
      </c>
      <c r="N163" s="890">
        <v>786897</v>
      </c>
      <c r="O163" s="737">
        <f t="shared" si="23"/>
        <v>8768224</v>
      </c>
      <c r="P163" s="847">
        <v>8483053</v>
      </c>
      <c r="Q163" s="847">
        <v>785907</v>
      </c>
      <c r="R163" s="738">
        <f t="shared" si="26"/>
        <v>9268960</v>
      </c>
      <c r="S163" s="737">
        <f t="shared" si="27"/>
        <v>15319213</v>
      </c>
      <c r="T163" s="739">
        <f t="shared" si="28"/>
        <v>16110222</v>
      </c>
      <c r="U163" s="846"/>
      <c r="V163" s="847"/>
      <c r="W163" s="846"/>
      <c r="X163" s="846"/>
      <c r="Y163" s="740">
        <f t="shared" si="24"/>
        <v>0</v>
      </c>
      <c r="Z163" s="847"/>
      <c r="AA163" s="847"/>
      <c r="AB163" s="741">
        <f t="shared" si="25"/>
        <v>0</v>
      </c>
      <c r="AC163" s="846"/>
      <c r="AD163" s="847"/>
      <c r="AE163" s="846"/>
      <c r="AF163" s="846"/>
      <c r="AG163" s="847"/>
      <c r="AH163" s="847"/>
      <c r="AI163" s="742">
        <f t="shared" si="29"/>
        <v>15319213</v>
      </c>
      <c r="AJ163" s="743">
        <f t="shared" si="30"/>
        <v>16110222</v>
      </c>
    </row>
    <row r="164" spans="1:36">
      <c r="A164" s="915" t="s">
        <v>142</v>
      </c>
      <c r="B164" s="916" t="s">
        <v>272</v>
      </c>
      <c r="C164" s="921" t="s">
        <v>636</v>
      </c>
      <c r="D164" s="917"/>
      <c r="E164" s="918">
        <v>101897</v>
      </c>
      <c r="F164" s="929">
        <v>9</v>
      </c>
      <c r="G164" s="846"/>
      <c r="H164" s="847"/>
      <c r="I164" s="846"/>
      <c r="J164" s="847"/>
      <c r="K164" s="846"/>
      <c r="L164" s="847"/>
      <c r="M164" s="846"/>
      <c r="N164" s="846"/>
      <c r="O164" s="737">
        <f t="shared" si="23"/>
        <v>0</v>
      </c>
      <c r="P164" s="847"/>
      <c r="Q164" s="847"/>
      <c r="R164" s="738">
        <f t="shared" si="26"/>
        <v>0</v>
      </c>
      <c r="S164" s="737">
        <f t="shared" si="27"/>
        <v>0</v>
      </c>
      <c r="T164" s="739">
        <f t="shared" si="28"/>
        <v>0</v>
      </c>
      <c r="U164" s="846"/>
      <c r="V164" s="847"/>
      <c r="W164" s="846"/>
      <c r="X164" s="846"/>
      <c r="Y164" s="740">
        <f t="shared" si="24"/>
        <v>0</v>
      </c>
      <c r="Z164" s="847"/>
      <c r="AA164" s="847"/>
      <c r="AB164" s="741">
        <f t="shared" si="25"/>
        <v>0</v>
      </c>
      <c r="AC164" s="846"/>
      <c r="AD164" s="847"/>
      <c r="AE164" s="846"/>
      <c r="AF164" s="846"/>
      <c r="AG164" s="847"/>
      <c r="AH164" s="847"/>
      <c r="AI164" s="742">
        <f t="shared" si="29"/>
        <v>0</v>
      </c>
      <c r="AJ164" s="743">
        <f t="shared" si="30"/>
        <v>0</v>
      </c>
    </row>
    <row r="165" spans="1:36">
      <c r="A165" s="915" t="s">
        <v>142</v>
      </c>
      <c r="B165" s="916" t="s">
        <v>272</v>
      </c>
      <c r="C165" s="922" t="s">
        <v>637</v>
      </c>
      <c r="D165" s="917"/>
      <c r="E165" s="918">
        <v>101897</v>
      </c>
      <c r="F165" s="929">
        <v>9</v>
      </c>
      <c r="G165" s="846"/>
      <c r="H165" s="847"/>
      <c r="I165" s="846">
        <v>159116</v>
      </c>
      <c r="J165" s="1466">
        <v>85025</v>
      </c>
      <c r="K165" s="846"/>
      <c r="L165" s="847"/>
      <c r="M165" s="846"/>
      <c r="N165" s="846"/>
      <c r="O165" s="737">
        <f t="shared" si="23"/>
        <v>0</v>
      </c>
      <c r="P165" s="847"/>
      <c r="Q165" s="847"/>
      <c r="R165" s="738">
        <f t="shared" si="26"/>
        <v>0</v>
      </c>
      <c r="S165" s="737">
        <f t="shared" si="27"/>
        <v>159116</v>
      </c>
      <c r="T165" s="739">
        <f t="shared" si="28"/>
        <v>85025</v>
      </c>
      <c r="U165" s="846"/>
      <c r="V165" s="847"/>
      <c r="W165" s="846"/>
      <c r="X165" s="846"/>
      <c r="Y165" s="740">
        <f t="shared" si="24"/>
        <v>0</v>
      </c>
      <c r="Z165" s="847"/>
      <c r="AA165" s="847"/>
      <c r="AB165" s="741">
        <f t="shared" si="25"/>
        <v>0</v>
      </c>
      <c r="AC165" s="846"/>
      <c r="AD165" s="847"/>
      <c r="AE165" s="846"/>
      <c r="AF165" s="846"/>
      <c r="AG165" s="847"/>
      <c r="AH165" s="847"/>
      <c r="AI165" s="742">
        <f t="shared" si="29"/>
        <v>159116</v>
      </c>
      <c r="AJ165" s="743">
        <f t="shared" si="30"/>
        <v>85025</v>
      </c>
    </row>
    <row r="166" spans="1:36">
      <c r="A166" s="915" t="s">
        <v>142</v>
      </c>
      <c r="B166" s="916" t="s">
        <v>272</v>
      </c>
      <c r="C166" s="922" t="s">
        <v>638</v>
      </c>
      <c r="D166" s="917"/>
      <c r="E166" s="918">
        <v>101897</v>
      </c>
      <c r="F166" s="929">
        <v>9</v>
      </c>
      <c r="G166" s="846"/>
      <c r="H166" s="847"/>
      <c r="I166" s="846">
        <v>858032</v>
      </c>
      <c r="J166" s="1466">
        <v>741088</v>
      </c>
      <c r="K166" s="846"/>
      <c r="L166" s="847"/>
      <c r="M166" s="846"/>
      <c r="N166" s="846"/>
      <c r="O166" s="737">
        <f t="shared" si="23"/>
        <v>0</v>
      </c>
      <c r="P166" s="847"/>
      <c r="Q166" s="847"/>
      <c r="R166" s="738">
        <f t="shared" si="26"/>
        <v>0</v>
      </c>
      <c r="S166" s="737">
        <f t="shared" si="27"/>
        <v>858032</v>
      </c>
      <c r="T166" s="739">
        <f t="shared" si="28"/>
        <v>741088</v>
      </c>
      <c r="U166" s="846"/>
      <c r="V166" s="847"/>
      <c r="W166" s="846"/>
      <c r="X166" s="846"/>
      <c r="Y166" s="740">
        <f t="shared" si="24"/>
        <v>0</v>
      </c>
      <c r="Z166" s="847"/>
      <c r="AA166" s="847"/>
      <c r="AB166" s="741">
        <f t="shared" si="25"/>
        <v>0</v>
      </c>
      <c r="AC166" s="846"/>
      <c r="AD166" s="847"/>
      <c r="AE166" s="846"/>
      <c r="AF166" s="846"/>
      <c r="AG166" s="847"/>
      <c r="AH166" s="847"/>
      <c r="AI166" s="742">
        <f t="shared" si="29"/>
        <v>858032</v>
      </c>
      <c r="AJ166" s="743">
        <f t="shared" si="30"/>
        <v>741088</v>
      </c>
    </row>
    <row r="167" spans="1:36">
      <c r="A167" s="915" t="s">
        <v>142</v>
      </c>
      <c r="B167" s="916" t="s">
        <v>272</v>
      </c>
      <c r="C167" s="922" t="s">
        <v>639</v>
      </c>
      <c r="D167" s="917"/>
      <c r="E167" s="918">
        <v>101897</v>
      </c>
      <c r="F167" s="929">
        <v>9</v>
      </c>
      <c r="G167" s="846"/>
      <c r="H167" s="847"/>
      <c r="I167" s="846">
        <v>104362</v>
      </c>
      <c r="J167" s="847">
        <v>30000</v>
      </c>
      <c r="K167" s="846"/>
      <c r="L167" s="847"/>
      <c r="M167" s="846"/>
      <c r="N167" s="846"/>
      <c r="O167" s="737">
        <f t="shared" si="23"/>
        <v>0</v>
      </c>
      <c r="P167" s="847"/>
      <c r="Q167" s="847"/>
      <c r="R167" s="738">
        <f t="shared" si="26"/>
        <v>0</v>
      </c>
      <c r="S167" s="737">
        <f t="shared" si="27"/>
        <v>104362</v>
      </c>
      <c r="T167" s="739">
        <f t="shared" si="28"/>
        <v>30000</v>
      </c>
      <c r="U167" s="846"/>
      <c r="V167" s="847"/>
      <c r="W167" s="846"/>
      <c r="X167" s="846"/>
      <c r="Y167" s="740">
        <f t="shared" si="24"/>
        <v>0</v>
      </c>
      <c r="Z167" s="847"/>
      <c r="AA167" s="847"/>
      <c r="AB167" s="741">
        <f t="shared" si="25"/>
        <v>0</v>
      </c>
      <c r="AC167" s="846"/>
      <c r="AD167" s="847"/>
      <c r="AE167" s="846"/>
      <c r="AF167" s="846"/>
      <c r="AG167" s="847"/>
      <c r="AH167" s="847"/>
      <c r="AI167" s="742">
        <f t="shared" si="29"/>
        <v>104362</v>
      </c>
      <c r="AJ167" s="743">
        <f t="shared" si="30"/>
        <v>30000</v>
      </c>
    </row>
    <row r="168" spans="1:36">
      <c r="A168" s="915" t="s">
        <v>142</v>
      </c>
      <c r="B168" s="916" t="s">
        <v>272</v>
      </c>
      <c r="C168" s="922" t="s">
        <v>640</v>
      </c>
      <c r="D168" s="917"/>
      <c r="E168" s="918">
        <v>101897</v>
      </c>
      <c r="F168" s="929">
        <v>9</v>
      </c>
      <c r="G168" s="846"/>
      <c r="H168" s="847"/>
      <c r="I168" s="846"/>
      <c r="J168" s="1466">
        <v>274998</v>
      </c>
      <c r="K168" s="846"/>
      <c r="L168" s="847"/>
      <c r="M168" s="846"/>
      <c r="N168" s="846"/>
      <c r="O168" s="737">
        <f t="shared" si="23"/>
        <v>0</v>
      </c>
      <c r="P168" s="847"/>
      <c r="Q168" s="847"/>
      <c r="R168" s="738">
        <f t="shared" si="26"/>
        <v>0</v>
      </c>
      <c r="S168" s="737">
        <f t="shared" si="27"/>
        <v>0</v>
      </c>
      <c r="T168" s="739">
        <f t="shared" si="28"/>
        <v>274998</v>
      </c>
      <c r="U168" s="846"/>
      <c r="V168" s="847"/>
      <c r="W168" s="846"/>
      <c r="X168" s="846"/>
      <c r="Y168" s="740">
        <f t="shared" si="24"/>
        <v>0</v>
      </c>
      <c r="Z168" s="847"/>
      <c r="AA168" s="847"/>
      <c r="AB168" s="741">
        <f t="shared" si="25"/>
        <v>0</v>
      </c>
      <c r="AC168" s="846"/>
      <c r="AD168" s="847"/>
      <c r="AE168" s="846"/>
      <c r="AF168" s="846"/>
      <c r="AG168" s="847"/>
      <c r="AH168" s="847"/>
      <c r="AI168" s="742">
        <f t="shared" si="29"/>
        <v>0</v>
      </c>
      <c r="AJ168" s="743">
        <f t="shared" si="30"/>
        <v>274998</v>
      </c>
    </row>
    <row r="169" spans="1:36">
      <c r="A169" s="915" t="s">
        <v>142</v>
      </c>
      <c r="B169" s="916" t="s">
        <v>264</v>
      </c>
      <c r="C169" s="923" t="s">
        <v>652</v>
      </c>
      <c r="D169" s="924"/>
      <c r="E169" s="918">
        <v>101736</v>
      </c>
      <c r="F169" s="919">
        <v>9</v>
      </c>
      <c r="G169" s="846">
        <v>11329268</v>
      </c>
      <c r="H169" s="847">
        <v>11497552</v>
      </c>
      <c r="I169" s="846"/>
      <c r="J169" s="847"/>
      <c r="K169" s="846"/>
      <c r="L169" s="847"/>
      <c r="M169" s="890">
        <v>11102713</v>
      </c>
      <c r="N169" s="890">
        <v>879823</v>
      </c>
      <c r="O169" s="737">
        <f t="shared" si="23"/>
        <v>11982536</v>
      </c>
      <c r="P169" s="847">
        <v>11148396</v>
      </c>
      <c r="Q169" s="847">
        <v>545637</v>
      </c>
      <c r="R169" s="738">
        <f t="shared" si="26"/>
        <v>11694033</v>
      </c>
      <c r="S169" s="737">
        <f t="shared" si="27"/>
        <v>22431981</v>
      </c>
      <c r="T169" s="739">
        <f t="shared" si="28"/>
        <v>22645948</v>
      </c>
      <c r="U169" s="846"/>
      <c r="V169" s="847"/>
      <c r="W169" s="846"/>
      <c r="X169" s="846"/>
      <c r="Y169" s="740">
        <f t="shared" si="24"/>
        <v>0</v>
      </c>
      <c r="Z169" s="847"/>
      <c r="AA169" s="847"/>
      <c r="AB169" s="741">
        <f t="shared" si="25"/>
        <v>0</v>
      </c>
      <c r="AC169" s="846"/>
      <c r="AD169" s="847"/>
      <c r="AE169" s="846"/>
      <c r="AF169" s="846"/>
      <c r="AG169" s="847"/>
      <c r="AH169" s="847"/>
      <c r="AI169" s="742">
        <f t="shared" si="29"/>
        <v>22431981</v>
      </c>
      <c r="AJ169" s="743">
        <f t="shared" si="30"/>
        <v>22645948</v>
      </c>
    </row>
    <row r="170" spans="1:36">
      <c r="A170" s="915" t="s">
        <v>142</v>
      </c>
      <c r="B170" s="916" t="s">
        <v>272</v>
      </c>
      <c r="C170" s="921" t="s">
        <v>636</v>
      </c>
      <c r="D170" s="917"/>
      <c r="E170" s="918">
        <v>101736</v>
      </c>
      <c r="F170" s="919">
        <v>9</v>
      </c>
      <c r="G170" s="846"/>
      <c r="H170" s="847"/>
      <c r="I170" s="846"/>
      <c r="J170" s="847"/>
      <c r="K170" s="846"/>
      <c r="L170" s="847"/>
      <c r="M170" s="846"/>
      <c r="N170" s="846"/>
      <c r="O170" s="737">
        <f t="shared" si="23"/>
        <v>0</v>
      </c>
      <c r="P170" s="847"/>
      <c r="Q170" s="847"/>
      <c r="R170" s="738">
        <f t="shared" si="26"/>
        <v>0</v>
      </c>
      <c r="S170" s="737">
        <f t="shared" si="27"/>
        <v>0</v>
      </c>
      <c r="T170" s="739">
        <f t="shared" si="28"/>
        <v>0</v>
      </c>
      <c r="U170" s="846"/>
      <c r="V170" s="847"/>
      <c r="W170" s="846"/>
      <c r="X170" s="846"/>
      <c r="Y170" s="740">
        <f t="shared" si="24"/>
        <v>0</v>
      </c>
      <c r="Z170" s="847"/>
      <c r="AA170" s="847"/>
      <c r="AB170" s="741">
        <f t="shared" si="25"/>
        <v>0</v>
      </c>
      <c r="AC170" s="846"/>
      <c r="AD170" s="847"/>
      <c r="AE170" s="846"/>
      <c r="AF170" s="846"/>
      <c r="AG170" s="847"/>
      <c r="AH170" s="847"/>
      <c r="AI170" s="742">
        <f t="shared" si="29"/>
        <v>0</v>
      </c>
      <c r="AJ170" s="743">
        <f t="shared" si="30"/>
        <v>0</v>
      </c>
    </row>
    <row r="171" spans="1:36">
      <c r="A171" s="915" t="s">
        <v>142</v>
      </c>
      <c r="B171" s="916" t="s">
        <v>272</v>
      </c>
      <c r="C171" s="922" t="s">
        <v>637</v>
      </c>
      <c r="D171" s="917"/>
      <c r="E171" s="918">
        <v>101736</v>
      </c>
      <c r="F171" s="919">
        <v>9</v>
      </c>
      <c r="G171" s="846"/>
      <c r="H171" s="847"/>
      <c r="I171" s="846">
        <v>640821</v>
      </c>
      <c r="J171" s="847">
        <v>133710</v>
      </c>
      <c r="K171" s="846"/>
      <c r="L171" s="847"/>
      <c r="M171" s="846"/>
      <c r="N171" s="846"/>
      <c r="O171" s="737">
        <f t="shared" si="23"/>
        <v>0</v>
      </c>
      <c r="P171" s="847"/>
      <c r="Q171" s="847"/>
      <c r="R171" s="738">
        <f t="shared" si="26"/>
        <v>0</v>
      </c>
      <c r="S171" s="737">
        <f t="shared" si="27"/>
        <v>640821</v>
      </c>
      <c r="T171" s="739">
        <f t="shared" si="28"/>
        <v>133710</v>
      </c>
      <c r="U171" s="846"/>
      <c r="V171" s="847"/>
      <c r="W171" s="846"/>
      <c r="X171" s="846"/>
      <c r="Y171" s="740">
        <f t="shared" si="24"/>
        <v>0</v>
      </c>
      <c r="Z171" s="847"/>
      <c r="AA171" s="847"/>
      <c r="AB171" s="741">
        <f t="shared" si="25"/>
        <v>0</v>
      </c>
      <c r="AC171" s="846"/>
      <c r="AD171" s="847"/>
      <c r="AE171" s="846"/>
      <c r="AF171" s="846"/>
      <c r="AG171" s="847"/>
      <c r="AH171" s="847"/>
      <c r="AI171" s="742">
        <f t="shared" si="29"/>
        <v>640821</v>
      </c>
      <c r="AJ171" s="743">
        <f t="shared" si="30"/>
        <v>133710</v>
      </c>
    </row>
    <row r="172" spans="1:36">
      <c r="A172" s="915" t="s">
        <v>142</v>
      </c>
      <c r="B172" s="916" t="s">
        <v>272</v>
      </c>
      <c r="C172" s="922" t="s">
        <v>638</v>
      </c>
      <c r="D172" s="917"/>
      <c r="E172" s="918">
        <v>101736</v>
      </c>
      <c r="F172" s="919">
        <v>9</v>
      </c>
      <c r="G172" s="846"/>
      <c r="H172" s="847"/>
      <c r="I172" s="846">
        <v>460895</v>
      </c>
      <c r="J172" s="1466">
        <v>498592</v>
      </c>
      <c r="K172" s="846"/>
      <c r="L172" s="847"/>
      <c r="M172" s="846"/>
      <c r="N172" s="846"/>
      <c r="O172" s="737">
        <f t="shared" si="23"/>
        <v>0</v>
      </c>
      <c r="P172" s="847"/>
      <c r="Q172" s="847"/>
      <c r="R172" s="738">
        <f t="shared" si="26"/>
        <v>0</v>
      </c>
      <c r="S172" s="737">
        <f t="shared" si="27"/>
        <v>460895</v>
      </c>
      <c r="T172" s="739">
        <f t="shared" si="28"/>
        <v>498592</v>
      </c>
      <c r="U172" s="846"/>
      <c r="V172" s="847"/>
      <c r="W172" s="846"/>
      <c r="X172" s="846"/>
      <c r="Y172" s="740">
        <f t="shared" si="24"/>
        <v>0</v>
      </c>
      <c r="Z172" s="847"/>
      <c r="AA172" s="847"/>
      <c r="AB172" s="741">
        <f t="shared" si="25"/>
        <v>0</v>
      </c>
      <c r="AC172" s="846"/>
      <c r="AD172" s="847"/>
      <c r="AE172" s="846"/>
      <c r="AF172" s="846"/>
      <c r="AG172" s="847"/>
      <c r="AH172" s="847"/>
      <c r="AI172" s="742">
        <f t="shared" si="29"/>
        <v>460895</v>
      </c>
      <c r="AJ172" s="743">
        <f t="shared" si="30"/>
        <v>498592</v>
      </c>
    </row>
    <row r="173" spans="1:36">
      <c r="A173" s="915" t="s">
        <v>142</v>
      </c>
      <c r="B173" s="916" t="s">
        <v>272</v>
      </c>
      <c r="C173" s="922" t="s">
        <v>639</v>
      </c>
      <c r="D173" s="917"/>
      <c r="E173" s="918">
        <v>101736</v>
      </c>
      <c r="F173" s="919">
        <v>9</v>
      </c>
      <c r="G173" s="846"/>
      <c r="H173" s="847"/>
      <c r="I173" s="846">
        <v>226149</v>
      </c>
      <c r="J173" s="1466">
        <v>90470</v>
      </c>
      <c r="K173" s="846"/>
      <c r="L173" s="847"/>
      <c r="M173" s="846"/>
      <c r="N173" s="846"/>
      <c r="O173" s="737">
        <f t="shared" si="23"/>
        <v>0</v>
      </c>
      <c r="P173" s="847"/>
      <c r="Q173" s="847"/>
      <c r="R173" s="738">
        <f t="shared" si="26"/>
        <v>0</v>
      </c>
      <c r="S173" s="737">
        <f t="shared" si="27"/>
        <v>226149</v>
      </c>
      <c r="T173" s="739">
        <f t="shared" si="28"/>
        <v>90470</v>
      </c>
      <c r="U173" s="846"/>
      <c r="V173" s="847"/>
      <c r="W173" s="846"/>
      <c r="X173" s="846"/>
      <c r="Y173" s="740">
        <f t="shared" si="24"/>
        <v>0</v>
      </c>
      <c r="Z173" s="847"/>
      <c r="AA173" s="847"/>
      <c r="AB173" s="741">
        <f t="shared" si="25"/>
        <v>0</v>
      </c>
      <c r="AC173" s="846"/>
      <c r="AD173" s="847"/>
      <c r="AE173" s="846"/>
      <c r="AF173" s="846"/>
      <c r="AG173" s="847"/>
      <c r="AH173" s="847"/>
      <c r="AI173" s="742">
        <f t="shared" si="29"/>
        <v>226149</v>
      </c>
      <c r="AJ173" s="743">
        <f t="shared" si="30"/>
        <v>90470</v>
      </c>
    </row>
    <row r="174" spans="1:36">
      <c r="A174" s="915" t="s">
        <v>142</v>
      </c>
      <c r="B174" s="916" t="s">
        <v>272</v>
      </c>
      <c r="C174" s="922" t="s">
        <v>640</v>
      </c>
      <c r="D174" s="917"/>
      <c r="E174" s="918">
        <v>101736</v>
      </c>
      <c r="F174" s="919">
        <v>9</v>
      </c>
      <c r="G174" s="846"/>
      <c r="H174" s="847"/>
      <c r="I174" s="846"/>
      <c r="J174" s="1466">
        <v>403710</v>
      </c>
      <c r="K174" s="846"/>
      <c r="L174" s="847"/>
      <c r="M174" s="846"/>
      <c r="N174" s="846"/>
      <c r="O174" s="737">
        <f t="shared" si="23"/>
        <v>0</v>
      </c>
      <c r="P174" s="847"/>
      <c r="Q174" s="847"/>
      <c r="R174" s="738">
        <f t="shared" si="26"/>
        <v>0</v>
      </c>
      <c r="S174" s="737">
        <f t="shared" si="27"/>
        <v>0</v>
      </c>
      <c r="T174" s="739">
        <f t="shared" si="28"/>
        <v>403710</v>
      </c>
      <c r="U174" s="846"/>
      <c r="V174" s="847"/>
      <c r="W174" s="846"/>
      <c r="X174" s="846"/>
      <c r="Y174" s="740">
        <f t="shared" si="24"/>
        <v>0</v>
      </c>
      <c r="Z174" s="847"/>
      <c r="AA174" s="847"/>
      <c r="AB174" s="741">
        <f t="shared" si="25"/>
        <v>0</v>
      </c>
      <c r="AC174" s="846"/>
      <c r="AD174" s="847"/>
      <c r="AE174" s="846"/>
      <c r="AF174" s="846"/>
      <c r="AG174" s="847"/>
      <c r="AH174" s="847"/>
      <c r="AI174" s="742">
        <f t="shared" si="29"/>
        <v>0</v>
      </c>
      <c r="AJ174" s="743">
        <f t="shared" si="30"/>
        <v>403710</v>
      </c>
    </row>
    <row r="175" spans="1:36">
      <c r="A175" s="915" t="s">
        <v>142</v>
      </c>
      <c r="B175" s="916" t="s">
        <v>264</v>
      </c>
      <c r="C175" s="925" t="s">
        <v>653</v>
      </c>
      <c r="D175" s="926"/>
      <c r="E175" s="918">
        <v>102067</v>
      </c>
      <c r="F175" s="919">
        <v>9</v>
      </c>
      <c r="G175" s="846">
        <v>17239491</v>
      </c>
      <c r="H175" s="1466">
        <v>16986787</v>
      </c>
      <c r="I175" s="846"/>
      <c r="J175" s="847"/>
      <c r="K175" s="846"/>
      <c r="L175" s="847"/>
      <c r="M175" s="890">
        <v>16256949</v>
      </c>
      <c r="N175" s="846"/>
      <c r="O175" s="737">
        <f t="shared" si="23"/>
        <v>16256949</v>
      </c>
      <c r="P175" s="847">
        <v>17191184</v>
      </c>
      <c r="Q175" s="847"/>
      <c r="R175" s="738">
        <f t="shared" si="26"/>
        <v>17191184</v>
      </c>
      <c r="S175" s="737">
        <f t="shared" si="27"/>
        <v>33496440</v>
      </c>
      <c r="T175" s="739">
        <f t="shared" si="28"/>
        <v>34177971</v>
      </c>
      <c r="U175" s="846"/>
      <c r="V175" s="847"/>
      <c r="W175" s="846"/>
      <c r="X175" s="846"/>
      <c r="Y175" s="740">
        <f t="shared" si="24"/>
        <v>0</v>
      </c>
      <c r="Z175" s="847"/>
      <c r="AA175" s="847"/>
      <c r="AB175" s="741">
        <f t="shared" si="25"/>
        <v>0</v>
      </c>
      <c r="AC175" s="846"/>
      <c r="AD175" s="847"/>
      <c r="AE175" s="846"/>
      <c r="AF175" s="846"/>
      <c r="AG175" s="847"/>
      <c r="AH175" s="847"/>
      <c r="AI175" s="742">
        <f t="shared" si="29"/>
        <v>33496440</v>
      </c>
      <c r="AJ175" s="743">
        <f t="shared" si="30"/>
        <v>34177971</v>
      </c>
    </row>
    <row r="176" spans="1:36">
      <c r="A176" s="915" t="s">
        <v>142</v>
      </c>
      <c r="B176" s="916" t="s">
        <v>266</v>
      </c>
      <c r="C176" s="921" t="s">
        <v>319</v>
      </c>
      <c r="D176" s="917"/>
      <c r="E176" s="918">
        <v>102067</v>
      </c>
      <c r="F176" s="919">
        <v>9</v>
      </c>
      <c r="G176" s="846"/>
      <c r="H176" s="847"/>
      <c r="I176" s="846"/>
      <c r="J176" s="847"/>
      <c r="K176" s="846"/>
      <c r="L176" s="847"/>
      <c r="M176" s="846"/>
      <c r="N176" s="846"/>
      <c r="O176" s="737">
        <f t="shared" si="23"/>
        <v>0</v>
      </c>
      <c r="P176" s="847"/>
      <c r="Q176" s="847"/>
      <c r="R176" s="738">
        <f t="shared" si="26"/>
        <v>0</v>
      </c>
      <c r="S176" s="737">
        <f t="shared" si="27"/>
        <v>0</v>
      </c>
      <c r="T176" s="739">
        <f t="shared" si="28"/>
        <v>0</v>
      </c>
      <c r="U176" s="846"/>
      <c r="V176" s="847"/>
      <c r="W176" s="846"/>
      <c r="X176" s="846"/>
      <c r="Y176" s="740">
        <f t="shared" si="24"/>
        <v>0</v>
      </c>
      <c r="Z176" s="847"/>
      <c r="AA176" s="847"/>
      <c r="AB176" s="741">
        <f t="shared" si="25"/>
        <v>0</v>
      </c>
      <c r="AC176" s="846"/>
      <c r="AD176" s="847"/>
      <c r="AE176" s="846"/>
      <c r="AF176" s="846"/>
      <c r="AG176" s="847"/>
      <c r="AH176" s="847"/>
      <c r="AI176" s="742">
        <f t="shared" si="29"/>
        <v>0</v>
      </c>
      <c r="AJ176" s="743">
        <f t="shared" si="30"/>
        <v>0</v>
      </c>
    </row>
    <row r="177" spans="1:36">
      <c r="A177" s="915" t="s">
        <v>142</v>
      </c>
      <c r="B177" s="916" t="s">
        <v>272</v>
      </c>
      <c r="C177" s="921" t="s">
        <v>636</v>
      </c>
      <c r="D177" s="917"/>
      <c r="E177" s="918">
        <v>102067</v>
      </c>
      <c r="F177" s="919">
        <v>9</v>
      </c>
      <c r="G177" s="846"/>
      <c r="H177" s="847"/>
      <c r="I177" s="846"/>
      <c r="J177" s="847"/>
      <c r="K177" s="846"/>
      <c r="L177" s="847"/>
      <c r="M177" s="846"/>
      <c r="N177" s="846"/>
      <c r="O177" s="737">
        <f t="shared" si="23"/>
        <v>0</v>
      </c>
      <c r="P177" s="847"/>
      <c r="Q177" s="847"/>
      <c r="R177" s="738">
        <f t="shared" si="26"/>
        <v>0</v>
      </c>
      <c r="S177" s="737">
        <f t="shared" si="27"/>
        <v>0</v>
      </c>
      <c r="T177" s="739">
        <f t="shared" si="28"/>
        <v>0</v>
      </c>
      <c r="U177" s="846"/>
      <c r="V177" s="847"/>
      <c r="W177" s="846"/>
      <c r="X177" s="846"/>
      <c r="Y177" s="740">
        <f t="shared" si="24"/>
        <v>0</v>
      </c>
      <c r="Z177" s="847"/>
      <c r="AA177" s="847"/>
      <c r="AB177" s="741">
        <f t="shared" si="25"/>
        <v>0</v>
      </c>
      <c r="AC177" s="846"/>
      <c r="AD177" s="847"/>
      <c r="AE177" s="846"/>
      <c r="AF177" s="846"/>
      <c r="AG177" s="847"/>
      <c r="AH177" s="847"/>
      <c r="AI177" s="742">
        <f t="shared" si="29"/>
        <v>0</v>
      </c>
      <c r="AJ177" s="743">
        <f t="shared" si="30"/>
        <v>0</v>
      </c>
    </row>
    <row r="178" spans="1:36">
      <c r="A178" s="915" t="s">
        <v>142</v>
      </c>
      <c r="B178" s="916" t="s">
        <v>272</v>
      </c>
      <c r="C178" s="922" t="s">
        <v>637</v>
      </c>
      <c r="D178" s="917"/>
      <c r="E178" s="918">
        <v>102067</v>
      </c>
      <c r="F178" s="919">
        <v>9</v>
      </c>
      <c r="G178" s="846"/>
      <c r="H178" s="847"/>
      <c r="I178" s="846">
        <v>332238</v>
      </c>
      <c r="J178" s="1466">
        <v>318952</v>
      </c>
      <c r="K178" s="846"/>
      <c r="L178" s="847"/>
      <c r="M178" s="846"/>
      <c r="N178" s="846"/>
      <c r="O178" s="737">
        <f t="shared" si="23"/>
        <v>0</v>
      </c>
      <c r="P178" s="847"/>
      <c r="Q178" s="847"/>
      <c r="R178" s="738">
        <f t="shared" si="26"/>
        <v>0</v>
      </c>
      <c r="S178" s="737">
        <f t="shared" si="27"/>
        <v>332238</v>
      </c>
      <c r="T178" s="739">
        <f t="shared" si="28"/>
        <v>318952</v>
      </c>
      <c r="U178" s="846"/>
      <c r="V178" s="847"/>
      <c r="W178" s="846"/>
      <c r="X178" s="846"/>
      <c r="Y178" s="740">
        <f t="shared" si="24"/>
        <v>0</v>
      </c>
      <c r="Z178" s="847"/>
      <c r="AA178" s="847"/>
      <c r="AB178" s="741">
        <f t="shared" si="25"/>
        <v>0</v>
      </c>
      <c r="AC178" s="846"/>
      <c r="AD178" s="847"/>
      <c r="AE178" s="846"/>
      <c r="AF178" s="846"/>
      <c r="AG178" s="847"/>
      <c r="AH178" s="847"/>
      <c r="AI178" s="742">
        <f t="shared" si="29"/>
        <v>332238</v>
      </c>
      <c r="AJ178" s="743">
        <f t="shared" si="30"/>
        <v>318952</v>
      </c>
    </row>
    <row r="179" spans="1:36">
      <c r="A179" s="915" t="s">
        <v>142</v>
      </c>
      <c r="B179" s="916" t="s">
        <v>272</v>
      </c>
      <c r="C179" s="922" t="s">
        <v>638</v>
      </c>
      <c r="D179" s="917"/>
      <c r="E179" s="918">
        <v>102067</v>
      </c>
      <c r="F179" s="919">
        <v>9</v>
      </c>
      <c r="G179" s="846"/>
      <c r="H179" s="847"/>
      <c r="I179" s="846">
        <v>558830</v>
      </c>
      <c r="J179" s="1466">
        <v>509971</v>
      </c>
      <c r="K179" s="846"/>
      <c r="L179" s="847"/>
      <c r="M179" s="846"/>
      <c r="N179" s="846"/>
      <c r="O179" s="737">
        <f t="shared" si="23"/>
        <v>0</v>
      </c>
      <c r="P179" s="847"/>
      <c r="Q179" s="847"/>
      <c r="R179" s="738">
        <f t="shared" si="26"/>
        <v>0</v>
      </c>
      <c r="S179" s="737">
        <f t="shared" si="27"/>
        <v>558830</v>
      </c>
      <c r="T179" s="739">
        <f t="shared" si="28"/>
        <v>509971</v>
      </c>
      <c r="U179" s="846"/>
      <c r="V179" s="847"/>
      <c r="W179" s="846"/>
      <c r="X179" s="846"/>
      <c r="Y179" s="740">
        <f t="shared" si="24"/>
        <v>0</v>
      </c>
      <c r="Z179" s="847"/>
      <c r="AA179" s="847"/>
      <c r="AB179" s="741">
        <f t="shared" si="25"/>
        <v>0</v>
      </c>
      <c r="AC179" s="846"/>
      <c r="AD179" s="847"/>
      <c r="AE179" s="846"/>
      <c r="AF179" s="846"/>
      <c r="AG179" s="847"/>
      <c r="AH179" s="847"/>
      <c r="AI179" s="742">
        <f t="shared" si="29"/>
        <v>558830</v>
      </c>
      <c r="AJ179" s="743">
        <f t="shared" si="30"/>
        <v>509971</v>
      </c>
    </row>
    <row r="180" spans="1:36">
      <c r="A180" s="915" t="s">
        <v>142</v>
      </c>
      <c r="B180" s="916" t="s">
        <v>272</v>
      </c>
      <c r="C180" s="922" t="s">
        <v>639</v>
      </c>
      <c r="D180" s="917"/>
      <c r="E180" s="918">
        <v>102067</v>
      </c>
      <c r="F180" s="919">
        <v>9</v>
      </c>
      <c r="G180" s="846"/>
      <c r="H180" s="847"/>
      <c r="I180" s="846">
        <v>45000</v>
      </c>
      <c r="J180" s="1466">
        <v>25000</v>
      </c>
      <c r="K180" s="846"/>
      <c r="L180" s="847"/>
      <c r="M180" s="846"/>
      <c r="N180" s="846"/>
      <c r="O180" s="737">
        <f t="shared" si="23"/>
        <v>0</v>
      </c>
      <c r="P180" s="847"/>
      <c r="Q180" s="847"/>
      <c r="R180" s="738">
        <f t="shared" si="26"/>
        <v>0</v>
      </c>
      <c r="S180" s="737">
        <f t="shared" si="27"/>
        <v>45000</v>
      </c>
      <c r="T180" s="739">
        <f t="shared" si="28"/>
        <v>25000</v>
      </c>
      <c r="U180" s="846"/>
      <c r="V180" s="847"/>
      <c r="W180" s="846"/>
      <c r="X180" s="846"/>
      <c r="Y180" s="740">
        <f t="shared" si="24"/>
        <v>0</v>
      </c>
      <c r="Z180" s="847"/>
      <c r="AA180" s="847"/>
      <c r="AB180" s="741">
        <f t="shared" si="25"/>
        <v>0</v>
      </c>
      <c r="AC180" s="846"/>
      <c r="AD180" s="847"/>
      <c r="AE180" s="846"/>
      <c r="AF180" s="846"/>
      <c r="AG180" s="847"/>
      <c r="AH180" s="847"/>
      <c r="AI180" s="742">
        <f t="shared" si="29"/>
        <v>45000</v>
      </c>
      <c r="AJ180" s="743">
        <f t="shared" si="30"/>
        <v>25000</v>
      </c>
    </row>
    <row r="181" spans="1:36">
      <c r="A181" s="915" t="s">
        <v>142</v>
      </c>
      <c r="B181" s="916" t="s">
        <v>272</v>
      </c>
      <c r="C181" s="922" t="s">
        <v>640</v>
      </c>
      <c r="D181" s="917"/>
      <c r="E181" s="918">
        <v>102067</v>
      </c>
      <c r="F181" s="919">
        <v>9</v>
      </c>
      <c r="G181" s="846"/>
      <c r="H181" s="847"/>
      <c r="I181" s="846"/>
      <c r="J181" s="847">
        <v>75000</v>
      </c>
      <c r="K181" s="846"/>
      <c r="L181" s="847"/>
      <c r="M181" s="846"/>
      <c r="N181" s="846"/>
      <c r="O181" s="737">
        <f t="shared" si="23"/>
        <v>0</v>
      </c>
      <c r="P181" s="847"/>
      <c r="Q181" s="847"/>
      <c r="R181" s="738">
        <f t="shared" si="26"/>
        <v>0</v>
      </c>
      <c r="S181" s="737">
        <f t="shared" si="27"/>
        <v>0</v>
      </c>
      <c r="T181" s="739">
        <f t="shared" si="28"/>
        <v>75000</v>
      </c>
      <c r="U181" s="846"/>
      <c r="V181" s="847"/>
      <c r="W181" s="846"/>
      <c r="X181" s="846"/>
      <c r="Y181" s="740">
        <f t="shared" si="24"/>
        <v>0</v>
      </c>
      <c r="Z181" s="847"/>
      <c r="AA181" s="847"/>
      <c r="AB181" s="741">
        <f t="shared" si="25"/>
        <v>0</v>
      </c>
      <c r="AC181" s="846"/>
      <c r="AD181" s="847"/>
      <c r="AE181" s="846"/>
      <c r="AF181" s="846"/>
      <c r="AG181" s="847"/>
      <c r="AH181" s="847"/>
      <c r="AI181" s="742">
        <f t="shared" si="29"/>
        <v>0</v>
      </c>
      <c r="AJ181" s="743">
        <f t="shared" si="30"/>
        <v>75000</v>
      </c>
    </row>
    <row r="182" spans="1:36">
      <c r="A182" s="915" t="s">
        <v>142</v>
      </c>
      <c r="B182" s="916" t="s">
        <v>264</v>
      </c>
      <c r="C182" s="923" t="s">
        <v>654</v>
      </c>
      <c r="D182" s="924"/>
      <c r="E182" s="918">
        <v>251260</v>
      </c>
      <c r="F182" s="919">
        <v>9</v>
      </c>
      <c r="G182" s="846">
        <v>13873887</v>
      </c>
      <c r="H182" s="847">
        <v>14137942</v>
      </c>
      <c r="I182" s="846"/>
      <c r="J182" s="847"/>
      <c r="K182" s="846"/>
      <c r="L182" s="847"/>
      <c r="M182" s="890">
        <v>13651395</v>
      </c>
      <c r="N182" s="890">
        <v>2411407</v>
      </c>
      <c r="O182" s="737">
        <f t="shared" si="23"/>
        <v>16062802</v>
      </c>
      <c r="P182" s="847">
        <v>13016539</v>
      </c>
      <c r="Q182" s="847">
        <v>2760071</v>
      </c>
      <c r="R182" s="738">
        <f t="shared" si="26"/>
        <v>15776610</v>
      </c>
      <c r="S182" s="737">
        <f t="shared" si="27"/>
        <v>27525282</v>
      </c>
      <c r="T182" s="739">
        <f t="shared" si="28"/>
        <v>27154481</v>
      </c>
      <c r="U182" s="846"/>
      <c r="V182" s="847"/>
      <c r="W182" s="846"/>
      <c r="X182" s="846"/>
      <c r="Y182" s="740">
        <f t="shared" si="24"/>
        <v>0</v>
      </c>
      <c r="Z182" s="847"/>
      <c r="AA182" s="847"/>
      <c r="AB182" s="741">
        <f t="shared" si="25"/>
        <v>0</v>
      </c>
      <c r="AC182" s="846"/>
      <c r="AD182" s="847"/>
      <c r="AE182" s="846"/>
      <c r="AF182" s="846"/>
      <c r="AG182" s="847"/>
      <c r="AH182" s="847"/>
      <c r="AI182" s="742">
        <f t="shared" si="29"/>
        <v>27525282</v>
      </c>
      <c r="AJ182" s="743">
        <f t="shared" si="30"/>
        <v>27154481</v>
      </c>
    </row>
    <row r="183" spans="1:36">
      <c r="A183" s="915" t="s">
        <v>142</v>
      </c>
      <c r="B183" s="916" t="s">
        <v>272</v>
      </c>
      <c r="C183" s="921" t="s">
        <v>636</v>
      </c>
      <c r="D183" s="917"/>
      <c r="E183" s="918">
        <v>251260</v>
      </c>
      <c r="F183" s="919">
        <v>9</v>
      </c>
      <c r="G183" s="846"/>
      <c r="H183" s="847"/>
      <c r="I183" s="846"/>
      <c r="J183" s="847"/>
      <c r="K183" s="846"/>
      <c r="L183" s="847"/>
      <c r="M183" s="846"/>
      <c r="N183" s="846"/>
      <c r="O183" s="737">
        <f t="shared" si="23"/>
        <v>0</v>
      </c>
      <c r="P183" s="847"/>
      <c r="Q183" s="847"/>
      <c r="R183" s="738">
        <f t="shared" si="26"/>
        <v>0</v>
      </c>
      <c r="S183" s="737">
        <f t="shared" si="27"/>
        <v>0</v>
      </c>
      <c r="T183" s="739">
        <f t="shared" si="28"/>
        <v>0</v>
      </c>
      <c r="U183" s="846"/>
      <c r="V183" s="847"/>
      <c r="W183" s="846"/>
      <c r="X183" s="846"/>
      <c r="Y183" s="740">
        <f t="shared" si="24"/>
        <v>0</v>
      </c>
      <c r="Z183" s="847"/>
      <c r="AA183" s="847"/>
      <c r="AB183" s="741">
        <f t="shared" si="25"/>
        <v>0</v>
      </c>
      <c r="AC183" s="846"/>
      <c r="AD183" s="847"/>
      <c r="AE183" s="846"/>
      <c r="AF183" s="846"/>
      <c r="AG183" s="847"/>
      <c r="AH183" s="847"/>
      <c r="AI183" s="742">
        <f t="shared" si="29"/>
        <v>0</v>
      </c>
      <c r="AJ183" s="743">
        <f t="shared" si="30"/>
        <v>0</v>
      </c>
    </row>
    <row r="184" spans="1:36">
      <c r="A184" s="915" t="s">
        <v>142</v>
      </c>
      <c r="B184" s="916" t="s">
        <v>272</v>
      </c>
      <c r="C184" s="922" t="s">
        <v>637</v>
      </c>
      <c r="D184" s="917"/>
      <c r="E184" s="918">
        <v>251260</v>
      </c>
      <c r="F184" s="919">
        <v>9</v>
      </c>
      <c r="G184" s="846"/>
      <c r="H184" s="847"/>
      <c r="I184" s="846">
        <v>26950</v>
      </c>
      <c r="J184" s="1466">
        <v>574219</v>
      </c>
      <c r="K184" s="846"/>
      <c r="L184" s="847"/>
      <c r="M184" s="846"/>
      <c r="N184" s="846"/>
      <c r="O184" s="737">
        <f t="shared" si="23"/>
        <v>0</v>
      </c>
      <c r="P184" s="847"/>
      <c r="Q184" s="847"/>
      <c r="R184" s="738">
        <f t="shared" si="26"/>
        <v>0</v>
      </c>
      <c r="S184" s="737">
        <f t="shared" si="27"/>
        <v>26950</v>
      </c>
      <c r="T184" s="739">
        <f t="shared" si="28"/>
        <v>574219</v>
      </c>
      <c r="U184" s="846"/>
      <c r="V184" s="847"/>
      <c r="W184" s="846"/>
      <c r="X184" s="846"/>
      <c r="Y184" s="740">
        <f t="shared" si="24"/>
        <v>0</v>
      </c>
      <c r="Z184" s="847"/>
      <c r="AA184" s="847"/>
      <c r="AB184" s="741">
        <f t="shared" si="25"/>
        <v>0</v>
      </c>
      <c r="AC184" s="846"/>
      <c r="AD184" s="847"/>
      <c r="AE184" s="846"/>
      <c r="AF184" s="846"/>
      <c r="AG184" s="847"/>
      <c r="AH184" s="847"/>
      <c r="AI184" s="742">
        <f t="shared" si="29"/>
        <v>26950</v>
      </c>
      <c r="AJ184" s="743">
        <f t="shared" si="30"/>
        <v>574219</v>
      </c>
    </row>
    <row r="185" spans="1:36">
      <c r="A185" s="915" t="s">
        <v>142</v>
      </c>
      <c r="B185" s="916" t="s">
        <v>272</v>
      </c>
      <c r="C185" s="922" t="s">
        <v>638</v>
      </c>
      <c r="D185" s="917"/>
      <c r="E185" s="918">
        <v>251260</v>
      </c>
      <c r="F185" s="919">
        <v>9</v>
      </c>
      <c r="G185" s="846"/>
      <c r="H185" s="847"/>
      <c r="I185" s="846">
        <v>1396883</v>
      </c>
      <c r="J185" s="1466">
        <v>220259</v>
      </c>
      <c r="K185" s="846"/>
      <c r="L185" s="847"/>
      <c r="M185" s="846"/>
      <c r="N185" s="846"/>
      <c r="O185" s="737">
        <f t="shared" si="23"/>
        <v>0</v>
      </c>
      <c r="P185" s="847"/>
      <c r="Q185" s="847"/>
      <c r="R185" s="738">
        <f t="shared" si="26"/>
        <v>0</v>
      </c>
      <c r="S185" s="737">
        <f t="shared" si="27"/>
        <v>1396883</v>
      </c>
      <c r="T185" s="739">
        <f t="shared" si="28"/>
        <v>220259</v>
      </c>
      <c r="U185" s="846"/>
      <c r="V185" s="847"/>
      <c r="W185" s="846"/>
      <c r="X185" s="846"/>
      <c r="Y185" s="740">
        <f t="shared" si="24"/>
        <v>0</v>
      </c>
      <c r="Z185" s="847"/>
      <c r="AA185" s="847"/>
      <c r="AB185" s="741">
        <f t="shared" si="25"/>
        <v>0</v>
      </c>
      <c r="AC185" s="846"/>
      <c r="AD185" s="847"/>
      <c r="AE185" s="846"/>
      <c r="AF185" s="846"/>
      <c r="AG185" s="847"/>
      <c r="AH185" s="847"/>
      <c r="AI185" s="742">
        <f t="shared" si="29"/>
        <v>1396883</v>
      </c>
      <c r="AJ185" s="743">
        <f t="shared" si="30"/>
        <v>220259</v>
      </c>
    </row>
    <row r="186" spans="1:36">
      <c r="A186" s="915" t="s">
        <v>142</v>
      </c>
      <c r="B186" s="916" t="s">
        <v>272</v>
      </c>
      <c r="C186" s="922" t="s">
        <v>639</v>
      </c>
      <c r="D186" s="917"/>
      <c r="E186" s="918">
        <v>251260</v>
      </c>
      <c r="F186" s="919">
        <v>9</v>
      </c>
      <c r="G186" s="846"/>
      <c r="H186" s="847"/>
      <c r="I186" s="846">
        <v>34064</v>
      </c>
      <c r="J186" s="847">
        <v>30000</v>
      </c>
      <c r="K186" s="846"/>
      <c r="L186" s="847"/>
      <c r="M186" s="846"/>
      <c r="N186" s="846"/>
      <c r="O186" s="737">
        <f t="shared" si="23"/>
        <v>0</v>
      </c>
      <c r="P186" s="847"/>
      <c r="Q186" s="847"/>
      <c r="R186" s="738">
        <f t="shared" si="26"/>
        <v>0</v>
      </c>
      <c r="S186" s="737">
        <f t="shared" si="27"/>
        <v>34064</v>
      </c>
      <c r="T186" s="739">
        <f t="shared" si="28"/>
        <v>30000</v>
      </c>
      <c r="U186" s="846"/>
      <c r="V186" s="847"/>
      <c r="W186" s="846"/>
      <c r="X186" s="846"/>
      <c r="Y186" s="740">
        <f t="shared" si="24"/>
        <v>0</v>
      </c>
      <c r="Z186" s="847"/>
      <c r="AA186" s="847"/>
      <c r="AB186" s="741">
        <f t="shared" si="25"/>
        <v>0</v>
      </c>
      <c r="AC186" s="846"/>
      <c r="AD186" s="847"/>
      <c r="AE186" s="846"/>
      <c r="AF186" s="846"/>
      <c r="AG186" s="847"/>
      <c r="AH186" s="847"/>
      <c r="AI186" s="742">
        <f t="shared" si="29"/>
        <v>34064</v>
      </c>
      <c r="AJ186" s="743">
        <f t="shared" si="30"/>
        <v>30000</v>
      </c>
    </row>
    <row r="187" spans="1:36">
      <c r="A187" s="915" t="s">
        <v>142</v>
      </c>
      <c r="B187" s="916" t="s">
        <v>272</v>
      </c>
      <c r="C187" s="922" t="s">
        <v>640</v>
      </c>
      <c r="D187" s="917"/>
      <c r="E187" s="918">
        <v>251260</v>
      </c>
      <c r="F187" s="919">
        <v>9</v>
      </c>
      <c r="G187" s="846"/>
      <c r="H187" s="847"/>
      <c r="I187" s="846"/>
      <c r="J187" s="1466">
        <v>69150</v>
      </c>
      <c r="K187" s="846"/>
      <c r="L187" s="847"/>
      <c r="M187" s="846"/>
      <c r="N187" s="846"/>
      <c r="O187" s="737">
        <f t="shared" si="23"/>
        <v>0</v>
      </c>
      <c r="P187" s="847"/>
      <c r="Q187" s="847"/>
      <c r="R187" s="738">
        <f t="shared" si="26"/>
        <v>0</v>
      </c>
      <c r="S187" s="737">
        <f t="shared" si="27"/>
        <v>0</v>
      </c>
      <c r="T187" s="739">
        <f t="shared" si="28"/>
        <v>69150</v>
      </c>
      <c r="U187" s="846"/>
      <c r="V187" s="847"/>
      <c r="W187" s="846"/>
      <c r="X187" s="846"/>
      <c r="Y187" s="740">
        <f t="shared" si="24"/>
        <v>0</v>
      </c>
      <c r="Z187" s="847"/>
      <c r="AA187" s="847"/>
      <c r="AB187" s="741">
        <f t="shared" si="25"/>
        <v>0</v>
      </c>
      <c r="AC187" s="846"/>
      <c r="AD187" s="847"/>
      <c r="AE187" s="846"/>
      <c r="AF187" s="846"/>
      <c r="AG187" s="847"/>
      <c r="AH187" s="847"/>
      <c r="AI187" s="742">
        <f t="shared" si="29"/>
        <v>0</v>
      </c>
      <c r="AJ187" s="743">
        <f t="shared" si="30"/>
        <v>69150</v>
      </c>
    </row>
    <row r="188" spans="1:36">
      <c r="A188" s="915" t="s">
        <v>142</v>
      </c>
      <c r="B188" s="916" t="s">
        <v>264</v>
      </c>
      <c r="C188" s="923" t="s">
        <v>655</v>
      </c>
      <c r="D188" s="924"/>
      <c r="E188" s="918">
        <v>101949</v>
      </c>
      <c r="F188" s="919">
        <v>10</v>
      </c>
      <c r="G188" s="846">
        <v>6176730</v>
      </c>
      <c r="H188" s="847">
        <v>6235135</v>
      </c>
      <c r="I188" s="846"/>
      <c r="J188" s="847"/>
      <c r="K188" s="846"/>
      <c r="L188" s="847"/>
      <c r="M188" s="890">
        <v>4779857</v>
      </c>
      <c r="N188" s="846">
        <v>218056</v>
      </c>
      <c r="O188" s="737">
        <f t="shared" si="23"/>
        <v>4997913</v>
      </c>
      <c r="P188" s="847">
        <v>4723333</v>
      </c>
      <c r="Q188" s="847">
        <v>217725</v>
      </c>
      <c r="R188" s="738">
        <f t="shared" si="26"/>
        <v>4941058</v>
      </c>
      <c r="S188" s="737">
        <f t="shared" si="27"/>
        <v>10956587</v>
      </c>
      <c r="T188" s="739">
        <f t="shared" si="28"/>
        <v>10958468</v>
      </c>
      <c r="U188" s="846"/>
      <c r="V188" s="847"/>
      <c r="W188" s="846"/>
      <c r="X188" s="846"/>
      <c r="Y188" s="740">
        <f t="shared" si="24"/>
        <v>0</v>
      </c>
      <c r="Z188" s="847"/>
      <c r="AA188" s="847"/>
      <c r="AB188" s="741">
        <f t="shared" si="25"/>
        <v>0</v>
      </c>
      <c r="AC188" s="846"/>
      <c r="AD188" s="847"/>
      <c r="AE188" s="846"/>
      <c r="AF188" s="846"/>
      <c r="AG188" s="847"/>
      <c r="AH188" s="847"/>
      <c r="AI188" s="742">
        <f t="shared" si="29"/>
        <v>10956587</v>
      </c>
      <c r="AJ188" s="743">
        <f t="shared" si="30"/>
        <v>10958468</v>
      </c>
    </row>
    <row r="189" spans="1:36">
      <c r="A189" s="915" t="s">
        <v>142</v>
      </c>
      <c r="B189" s="916" t="s">
        <v>272</v>
      </c>
      <c r="C189" s="921" t="s">
        <v>636</v>
      </c>
      <c r="D189" s="917"/>
      <c r="E189" s="918">
        <v>101949</v>
      </c>
      <c r="F189" s="919">
        <v>10</v>
      </c>
      <c r="G189" s="846"/>
      <c r="H189" s="847"/>
      <c r="I189" s="846"/>
      <c r="J189" s="847"/>
      <c r="K189" s="846"/>
      <c r="L189" s="847"/>
      <c r="M189" s="846"/>
      <c r="N189" s="846"/>
      <c r="O189" s="737">
        <f t="shared" si="23"/>
        <v>0</v>
      </c>
      <c r="P189" s="847"/>
      <c r="Q189" s="847"/>
      <c r="R189" s="738">
        <f t="shared" si="26"/>
        <v>0</v>
      </c>
      <c r="S189" s="737">
        <f t="shared" si="27"/>
        <v>0</v>
      </c>
      <c r="T189" s="739">
        <f t="shared" si="28"/>
        <v>0</v>
      </c>
      <c r="U189" s="846"/>
      <c r="V189" s="847"/>
      <c r="W189" s="846"/>
      <c r="X189" s="846"/>
      <c r="Y189" s="740">
        <f t="shared" si="24"/>
        <v>0</v>
      </c>
      <c r="Z189" s="847"/>
      <c r="AA189" s="847"/>
      <c r="AB189" s="741">
        <f t="shared" si="25"/>
        <v>0</v>
      </c>
      <c r="AC189" s="846"/>
      <c r="AD189" s="847"/>
      <c r="AE189" s="846"/>
      <c r="AF189" s="846"/>
      <c r="AG189" s="847"/>
      <c r="AH189" s="847"/>
      <c r="AI189" s="742">
        <f t="shared" si="29"/>
        <v>0</v>
      </c>
      <c r="AJ189" s="743">
        <f t="shared" si="30"/>
        <v>0</v>
      </c>
    </row>
    <row r="190" spans="1:36">
      <c r="A190" s="915" t="s">
        <v>142</v>
      </c>
      <c r="B190" s="916" t="s">
        <v>272</v>
      </c>
      <c r="C190" s="922" t="s">
        <v>637</v>
      </c>
      <c r="D190" s="917"/>
      <c r="E190" s="918">
        <v>101949</v>
      </c>
      <c r="F190" s="919">
        <v>10</v>
      </c>
      <c r="G190" s="846"/>
      <c r="H190" s="847"/>
      <c r="I190" s="846">
        <v>26140</v>
      </c>
      <c r="J190" s="1466">
        <v>54018</v>
      </c>
      <c r="K190" s="846"/>
      <c r="L190" s="847"/>
      <c r="M190" s="846"/>
      <c r="N190" s="846"/>
      <c r="O190" s="737">
        <f t="shared" si="23"/>
        <v>0</v>
      </c>
      <c r="P190" s="847"/>
      <c r="Q190" s="847"/>
      <c r="R190" s="738">
        <f t="shared" si="26"/>
        <v>0</v>
      </c>
      <c r="S190" s="737">
        <f t="shared" si="27"/>
        <v>26140</v>
      </c>
      <c r="T190" s="739">
        <f t="shared" si="28"/>
        <v>54018</v>
      </c>
      <c r="U190" s="846"/>
      <c r="V190" s="847"/>
      <c r="W190" s="846"/>
      <c r="X190" s="846"/>
      <c r="Y190" s="740">
        <f t="shared" si="24"/>
        <v>0</v>
      </c>
      <c r="Z190" s="847"/>
      <c r="AA190" s="847"/>
      <c r="AB190" s="741">
        <f t="shared" si="25"/>
        <v>0</v>
      </c>
      <c r="AC190" s="846"/>
      <c r="AD190" s="847"/>
      <c r="AE190" s="846"/>
      <c r="AF190" s="846"/>
      <c r="AG190" s="847"/>
      <c r="AH190" s="847"/>
      <c r="AI190" s="742">
        <f t="shared" si="29"/>
        <v>26140</v>
      </c>
      <c r="AJ190" s="743">
        <f t="shared" si="30"/>
        <v>54018</v>
      </c>
    </row>
    <row r="191" spans="1:36">
      <c r="A191" s="915" t="s">
        <v>142</v>
      </c>
      <c r="B191" s="916" t="s">
        <v>272</v>
      </c>
      <c r="C191" s="922" t="s">
        <v>638</v>
      </c>
      <c r="D191" s="917"/>
      <c r="E191" s="918">
        <v>101949</v>
      </c>
      <c r="F191" s="919">
        <v>10</v>
      </c>
      <c r="G191" s="846"/>
      <c r="H191" s="847"/>
      <c r="I191" s="846">
        <v>337859</v>
      </c>
      <c r="J191" s="1466">
        <v>356585</v>
      </c>
      <c r="K191" s="846"/>
      <c r="L191" s="847"/>
      <c r="M191" s="846"/>
      <c r="N191" s="846"/>
      <c r="O191" s="737">
        <f t="shared" si="23"/>
        <v>0</v>
      </c>
      <c r="P191" s="847"/>
      <c r="Q191" s="847"/>
      <c r="R191" s="738">
        <f t="shared" si="26"/>
        <v>0</v>
      </c>
      <c r="S191" s="737">
        <f t="shared" si="27"/>
        <v>337859</v>
      </c>
      <c r="T191" s="739">
        <f t="shared" si="28"/>
        <v>356585</v>
      </c>
      <c r="U191" s="846"/>
      <c r="V191" s="847"/>
      <c r="W191" s="846"/>
      <c r="X191" s="846"/>
      <c r="Y191" s="740">
        <f t="shared" si="24"/>
        <v>0</v>
      </c>
      <c r="Z191" s="847"/>
      <c r="AA191" s="847"/>
      <c r="AB191" s="741">
        <f t="shared" si="25"/>
        <v>0</v>
      </c>
      <c r="AC191" s="846"/>
      <c r="AD191" s="847"/>
      <c r="AE191" s="846"/>
      <c r="AF191" s="846"/>
      <c r="AG191" s="847"/>
      <c r="AH191" s="847"/>
      <c r="AI191" s="742">
        <f t="shared" si="29"/>
        <v>337859</v>
      </c>
      <c r="AJ191" s="743">
        <f t="shared" si="30"/>
        <v>356585</v>
      </c>
    </row>
    <row r="192" spans="1:36">
      <c r="A192" s="915" t="s">
        <v>142</v>
      </c>
      <c r="B192" s="916" t="s">
        <v>272</v>
      </c>
      <c r="C192" s="922" t="s">
        <v>639</v>
      </c>
      <c r="D192" s="917"/>
      <c r="E192" s="918">
        <v>101949</v>
      </c>
      <c r="F192" s="919">
        <v>10</v>
      </c>
      <c r="G192" s="846"/>
      <c r="H192" s="847"/>
      <c r="I192" s="846">
        <v>90000</v>
      </c>
      <c r="J192" s="847"/>
      <c r="K192" s="846"/>
      <c r="L192" s="847"/>
      <c r="M192" s="846"/>
      <c r="N192" s="846"/>
      <c r="O192" s="737">
        <f t="shared" si="23"/>
        <v>0</v>
      </c>
      <c r="P192" s="847"/>
      <c r="Q192" s="847"/>
      <c r="R192" s="738">
        <f t="shared" si="26"/>
        <v>0</v>
      </c>
      <c r="S192" s="737">
        <f t="shared" si="27"/>
        <v>90000</v>
      </c>
      <c r="T192" s="739">
        <f t="shared" si="28"/>
        <v>0</v>
      </c>
      <c r="U192" s="846"/>
      <c r="V192" s="847"/>
      <c r="W192" s="846"/>
      <c r="X192" s="846"/>
      <c r="Y192" s="740">
        <f t="shared" si="24"/>
        <v>0</v>
      </c>
      <c r="Z192" s="847"/>
      <c r="AA192" s="847"/>
      <c r="AB192" s="741">
        <f t="shared" si="25"/>
        <v>0</v>
      </c>
      <c r="AC192" s="846"/>
      <c r="AD192" s="847"/>
      <c r="AE192" s="846"/>
      <c r="AF192" s="846"/>
      <c r="AG192" s="847"/>
      <c r="AH192" s="847"/>
      <c r="AI192" s="742">
        <f t="shared" si="29"/>
        <v>90000</v>
      </c>
      <c r="AJ192" s="743">
        <f t="shared" si="30"/>
        <v>0</v>
      </c>
    </row>
    <row r="193" spans="1:36">
      <c r="A193" s="915" t="s">
        <v>142</v>
      </c>
      <c r="B193" s="916" t="s">
        <v>272</v>
      </c>
      <c r="C193" s="922" t="s">
        <v>640</v>
      </c>
      <c r="D193" s="917"/>
      <c r="E193" s="918">
        <v>101949</v>
      </c>
      <c r="F193" s="919">
        <v>10</v>
      </c>
      <c r="G193" s="846"/>
      <c r="H193" s="847"/>
      <c r="I193" s="846"/>
      <c r="J193" s="847">
        <v>138000</v>
      </c>
      <c r="K193" s="846"/>
      <c r="L193" s="847"/>
      <c r="M193" s="846"/>
      <c r="N193" s="846"/>
      <c r="O193" s="737">
        <f t="shared" si="23"/>
        <v>0</v>
      </c>
      <c r="P193" s="847"/>
      <c r="Q193" s="847"/>
      <c r="R193" s="738">
        <f t="shared" si="26"/>
        <v>0</v>
      </c>
      <c r="S193" s="737">
        <f t="shared" si="27"/>
        <v>0</v>
      </c>
      <c r="T193" s="739">
        <f t="shared" si="28"/>
        <v>138000</v>
      </c>
      <c r="U193" s="846"/>
      <c r="V193" s="847"/>
      <c r="W193" s="846"/>
      <c r="X193" s="846"/>
      <c r="Y193" s="740">
        <f t="shared" si="24"/>
        <v>0</v>
      </c>
      <c r="Z193" s="847"/>
      <c r="AA193" s="847"/>
      <c r="AB193" s="741">
        <f t="shared" si="25"/>
        <v>0</v>
      </c>
      <c r="AC193" s="846"/>
      <c r="AD193" s="847"/>
      <c r="AE193" s="846"/>
      <c r="AF193" s="846"/>
      <c r="AG193" s="847"/>
      <c r="AH193" s="847"/>
      <c r="AI193" s="742">
        <f t="shared" si="29"/>
        <v>0</v>
      </c>
      <c r="AJ193" s="743">
        <f t="shared" si="30"/>
        <v>138000</v>
      </c>
    </row>
    <row r="194" spans="1:36">
      <c r="A194" s="915" t="s">
        <v>142</v>
      </c>
      <c r="B194" s="916" t="s">
        <v>264</v>
      </c>
      <c r="C194" s="923" t="s">
        <v>656</v>
      </c>
      <c r="D194" s="924"/>
      <c r="E194" s="918">
        <v>101028</v>
      </c>
      <c r="F194" s="919">
        <v>10</v>
      </c>
      <c r="G194" s="846">
        <v>5568270</v>
      </c>
      <c r="H194" s="1466">
        <v>5765606</v>
      </c>
      <c r="I194" s="846"/>
      <c r="J194" s="847"/>
      <c r="K194" s="890">
        <v>0</v>
      </c>
      <c r="L194" s="847">
        <v>90000</v>
      </c>
      <c r="M194" s="890">
        <v>5916751</v>
      </c>
      <c r="N194" s="846">
        <v>615088</v>
      </c>
      <c r="O194" s="737">
        <f t="shared" si="23"/>
        <v>6531839</v>
      </c>
      <c r="P194" s="847">
        <v>5985117</v>
      </c>
      <c r="Q194" s="847">
        <v>612348</v>
      </c>
      <c r="R194" s="738">
        <f t="shared" si="26"/>
        <v>6597465</v>
      </c>
      <c r="S194" s="737">
        <f t="shared" si="27"/>
        <v>11485021</v>
      </c>
      <c r="T194" s="739">
        <f t="shared" si="28"/>
        <v>11840723</v>
      </c>
      <c r="U194" s="846"/>
      <c r="V194" s="847"/>
      <c r="W194" s="846"/>
      <c r="X194" s="846"/>
      <c r="Y194" s="740">
        <f t="shared" si="24"/>
        <v>0</v>
      </c>
      <c r="Z194" s="847"/>
      <c r="AA194" s="847"/>
      <c r="AB194" s="741">
        <f t="shared" si="25"/>
        <v>0</v>
      </c>
      <c r="AC194" s="846"/>
      <c r="AD194" s="847"/>
      <c r="AE194" s="846"/>
      <c r="AF194" s="846"/>
      <c r="AG194" s="847"/>
      <c r="AH194" s="847"/>
      <c r="AI194" s="742">
        <f t="shared" si="29"/>
        <v>11485021</v>
      </c>
      <c r="AJ194" s="743">
        <f t="shared" si="30"/>
        <v>11840723</v>
      </c>
    </row>
    <row r="195" spans="1:36">
      <c r="A195" s="915" t="s">
        <v>142</v>
      </c>
      <c r="B195" s="916" t="s">
        <v>272</v>
      </c>
      <c r="C195" s="921" t="s">
        <v>636</v>
      </c>
      <c r="D195" s="917"/>
      <c r="E195" s="918">
        <v>101028</v>
      </c>
      <c r="F195" s="919">
        <v>10</v>
      </c>
      <c r="G195" s="846"/>
      <c r="H195" s="847"/>
      <c r="I195" s="846"/>
      <c r="J195" s="847"/>
      <c r="K195" s="846"/>
      <c r="L195" s="847"/>
      <c r="M195" s="846"/>
      <c r="N195" s="846"/>
      <c r="O195" s="737">
        <f t="shared" si="23"/>
        <v>0</v>
      </c>
      <c r="P195" s="847"/>
      <c r="Q195" s="847"/>
      <c r="R195" s="738">
        <f t="shared" si="26"/>
        <v>0</v>
      </c>
      <c r="S195" s="737">
        <f t="shared" si="27"/>
        <v>0</v>
      </c>
      <c r="T195" s="739">
        <f t="shared" si="28"/>
        <v>0</v>
      </c>
      <c r="U195" s="846"/>
      <c r="V195" s="847"/>
      <c r="W195" s="846"/>
      <c r="X195" s="846"/>
      <c r="Y195" s="740">
        <f t="shared" si="24"/>
        <v>0</v>
      </c>
      <c r="Z195" s="847"/>
      <c r="AA195" s="847"/>
      <c r="AB195" s="741">
        <f t="shared" si="25"/>
        <v>0</v>
      </c>
      <c r="AC195" s="846"/>
      <c r="AD195" s="847"/>
      <c r="AE195" s="846"/>
      <c r="AF195" s="846"/>
      <c r="AG195" s="847"/>
      <c r="AH195" s="847"/>
      <c r="AI195" s="742">
        <f t="shared" si="29"/>
        <v>0</v>
      </c>
      <c r="AJ195" s="743">
        <f t="shared" si="30"/>
        <v>0</v>
      </c>
    </row>
    <row r="196" spans="1:36">
      <c r="A196" s="915" t="s">
        <v>142</v>
      </c>
      <c r="B196" s="916" t="s">
        <v>272</v>
      </c>
      <c r="C196" s="922" t="s">
        <v>637</v>
      </c>
      <c r="D196" s="917"/>
      <c r="E196" s="918">
        <v>101028</v>
      </c>
      <c r="F196" s="919">
        <v>10</v>
      </c>
      <c r="G196" s="846"/>
      <c r="H196" s="847"/>
      <c r="I196" s="846">
        <v>141023</v>
      </c>
      <c r="J196" s="1466">
        <v>16127</v>
      </c>
      <c r="K196" s="846"/>
      <c r="L196" s="847"/>
      <c r="M196" s="846"/>
      <c r="N196" s="846"/>
      <c r="O196" s="737">
        <f t="shared" si="23"/>
        <v>0</v>
      </c>
      <c r="P196" s="847"/>
      <c r="Q196" s="847"/>
      <c r="R196" s="738">
        <f t="shared" si="26"/>
        <v>0</v>
      </c>
      <c r="S196" s="737">
        <f t="shared" si="27"/>
        <v>141023</v>
      </c>
      <c r="T196" s="739">
        <f t="shared" si="28"/>
        <v>16127</v>
      </c>
      <c r="U196" s="846"/>
      <c r="V196" s="847"/>
      <c r="W196" s="846"/>
      <c r="X196" s="846"/>
      <c r="Y196" s="740">
        <f t="shared" si="24"/>
        <v>0</v>
      </c>
      <c r="Z196" s="847"/>
      <c r="AA196" s="847"/>
      <c r="AB196" s="741">
        <f t="shared" si="25"/>
        <v>0</v>
      </c>
      <c r="AC196" s="846"/>
      <c r="AD196" s="847"/>
      <c r="AE196" s="846"/>
      <c r="AF196" s="846"/>
      <c r="AG196" s="847"/>
      <c r="AH196" s="847"/>
      <c r="AI196" s="742">
        <f t="shared" si="29"/>
        <v>141023</v>
      </c>
      <c r="AJ196" s="743">
        <f t="shared" si="30"/>
        <v>16127</v>
      </c>
    </row>
    <row r="197" spans="1:36">
      <c r="A197" s="915" t="s">
        <v>142</v>
      </c>
      <c r="B197" s="916" t="s">
        <v>272</v>
      </c>
      <c r="C197" s="922" t="s">
        <v>638</v>
      </c>
      <c r="D197" s="917"/>
      <c r="E197" s="918">
        <v>101028</v>
      </c>
      <c r="F197" s="919">
        <v>10</v>
      </c>
      <c r="G197" s="846"/>
      <c r="H197" s="847"/>
      <c r="I197" s="846">
        <v>121576</v>
      </c>
      <c r="J197" s="1466">
        <v>146476</v>
      </c>
      <c r="K197" s="846"/>
      <c r="L197" s="847"/>
      <c r="M197" s="846"/>
      <c r="N197" s="846"/>
      <c r="O197" s="737">
        <f t="shared" si="23"/>
        <v>0</v>
      </c>
      <c r="P197" s="847"/>
      <c r="Q197" s="847"/>
      <c r="R197" s="738">
        <f t="shared" si="26"/>
        <v>0</v>
      </c>
      <c r="S197" s="737">
        <f t="shared" si="27"/>
        <v>121576</v>
      </c>
      <c r="T197" s="739">
        <f t="shared" si="28"/>
        <v>146476</v>
      </c>
      <c r="U197" s="846"/>
      <c r="V197" s="847"/>
      <c r="W197" s="846"/>
      <c r="X197" s="846"/>
      <c r="Y197" s="740">
        <f t="shared" si="24"/>
        <v>0</v>
      </c>
      <c r="Z197" s="847"/>
      <c r="AA197" s="847"/>
      <c r="AB197" s="741">
        <f t="shared" si="25"/>
        <v>0</v>
      </c>
      <c r="AC197" s="846"/>
      <c r="AD197" s="847"/>
      <c r="AE197" s="846"/>
      <c r="AF197" s="846"/>
      <c r="AG197" s="847"/>
      <c r="AH197" s="847"/>
      <c r="AI197" s="742">
        <f t="shared" si="29"/>
        <v>121576</v>
      </c>
      <c r="AJ197" s="743">
        <f t="shared" si="30"/>
        <v>146476</v>
      </c>
    </row>
    <row r="198" spans="1:36">
      <c r="A198" s="915" t="s">
        <v>142</v>
      </c>
      <c r="B198" s="916" t="s">
        <v>272</v>
      </c>
      <c r="C198" s="922" t="s">
        <v>639</v>
      </c>
      <c r="D198" s="917"/>
      <c r="E198" s="918">
        <v>101028</v>
      </c>
      <c r="F198" s="919">
        <v>10</v>
      </c>
      <c r="G198" s="846"/>
      <c r="H198" s="847"/>
      <c r="I198" s="846">
        <v>24151</v>
      </c>
      <c r="J198" s="1466">
        <v>93609</v>
      </c>
      <c r="K198" s="846"/>
      <c r="L198" s="847"/>
      <c r="M198" s="846"/>
      <c r="N198" s="846"/>
      <c r="O198" s="737">
        <f t="shared" si="23"/>
        <v>0</v>
      </c>
      <c r="P198" s="847"/>
      <c r="Q198" s="847"/>
      <c r="R198" s="738">
        <f t="shared" si="26"/>
        <v>0</v>
      </c>
      <c r="S198" s="737">
        <f t="shared" si="27"/>
        <v>24151</v>
      </c>
      <c r="T198" s="739">
        <f t="shared" si="28"/>
        <v>93609</v>
      </c>
      <c r="U198" s="846"/>
      <c r="V198" s="847"/>
      <c r="W198" s="846"/>
      <c r="X198" s="846"/>
      <c r="Y198" s="740">
        <f t="shared" si="24"/>
        <v>0</v>
      </c>
      <c r="Z198" s="847"/>
      <c r="AA198" s="847"/>
      <c r="AB198" s="741">
        <f t="shared" si="25"/>
        <v>0</v>
      </c>
      <c r="AC198" s="846"/>
      <c r="AD198" s="847"/>
      <c r="AE198" s="846"/>
      <c r="AF198" s="846"/>
      <c r="AG198" s="847"/>
      <c r="AH198" s="847"/>
      <c r="AI198" s="742">
        <f t="shared" si="29"/>
        <v>24151</v>
      </c>
      <c r="AJ198" s="743">
        <f t="shared" si="30"/>
        <v>93609</v>
      </c>
    </row>
    <row r="199" spans="1:36">
      <c r="A199" s="915" t="s">
        <v>142</v>
      </c>
      <c r="B199" s="916" t="s">
        <v>272</v>
      </c>
      <c r="C199" s="922" t="s">
        <v>640</v>
      </c>
      <c r="D199" s="917"/>
      <c r="E199" s="918">
        <v>101028</v>
      </c>
      <c r="F199" s="919">
        <v>10</v>
      </c>
      <c r="G199" s="846"/>
      <c r="H199" s="847"/>
      <c r="I199" s="846"/>
      <c r="J199" s="847">
        <v>45000</v>
      </c>
      <c r="K199" s="846"/>
      <c r="L199" s="847"/>
      <c r="M199" s="846"/>
      <c r="N199" s="846"/>
      <c r="O199" s="737">
        <f t="shared" si="23"/>
        <v>0</v>
      </c>
      <c r="P199" s="847"/>
      <c r="Q199" s="847"/>
      <c r="R199" s="738">
        <f t="shared" si="26"/>
        <v>0</v>
      </c>
      <c r="S199" s="737">
        <f t="shared" si="27"/>
        <v>0</v>
      </c>
      <c r="T199" s="739">
        <f t="shared" si="28"/>
        <v>45000</v>
      </c>
      <c r="U199" s="846"/>
      <c r="V199" s="847"/>
      <c r="W199" s="846"/>
      <c r="X199" s="846"/>
      <c r="Y199" s="740">
        <f t="shared" si="24"/>
        <v>0</v>
      </c>
      <c r="Z199" s="847"/>
      <c r="AA199" s="847"/>
      <c r="AB199" s="741">
        <f t="shared" si="25"/>
        <v>0</v>
      </c>
      <c r="AC199" s="846"/>
      <c r="AD199" s="847"/>
      <c r="AE199" s="846"/>
      <c r="AF199" s="846"/>
      <c r="AG199" s="847"/>
      <c r="AH199" s="847"/>
      <c r="AI199" s="742">
        <f t="shared" si="29"/>
        <v>0</v>
      </c>
      <c r="AJ199" s="743">
        <f t="shared" si="30"/>
        <v>45000</v>
      </c>
    </row>
    <row r="200" spans="1:36">
      <c r="A200" s="915" t="s">
        <v>142</v>
      </c>
      <c r="B200" s="916" t="s">
        <v>264</v>
      </c>
      <c r="C200" s="923" t="s">
        <v>657</v>
      </c>
      <c r="D200" s="926"/>
      <c r="E200" s="918">
        <v>101301</v>
      </c>
      <c r="F200" s="919">
        <v>10</v>
      </c>
      <c r="G200" s="846">
        <v>7815790</v>
      </c>
      <c r="H200" s="847">
        <v>7912529</v>
      </c>
      <c r="I200" s="846"/>
      <c r="J200" s="847"/>
      <c r="K200" s="846"/>
      <c r="L200" s="847"/>
      <c r="M200" s="890">
        <v>5890360</v>
      </c>
      <c r="N200" s="846"/>
      <c r="O200" s="737">
        <f t="shared" si="23"/>
        <v>5890360</v>
      </c>
      <c r="P200" s="847">
        <v>6335556</v>
      </c>
      <c r="Q200" s="847"/>
      <c r="R200" s="738">
        <f t="shared" si="26"/>
        <v>6335556</v>
      </c>
      <c r="S200" s="737">
        <f t="shared" si="27"/>
        <v>13706150</v>
      </c>
      <c r="T200" s="739">
        <f t="shared" si="28"/>
        <v>14248085</v>
      </c>
      <c r="U200" s="846"/>
      <c r="V200" s="847"/>
      <c r="W200" s="846"/>
      <c r="X200" s="846"/>
      <c r="Y200" s="740">
        <f t="shared" si="24"/>
        <v>0</v>
      </c>
      <c r="Z200" s="847"/>
      <c r="AA200" s="847"/>
      <c r="AB200" s="741">
        <f t="shared" si="25"/>
        <v>0</v>
      </c>
      <c r="AC200" s="846"/>
      <c r="AD200" s="847"/>
      <c r="AE200" s="846"/>
      <c r="AF200" s="846"/>
      <c r="AG200" s="847"/>
      <c r="AH200" s="847"/>
      <c r="AI200" s="742">
        <f t="shared" si="29"/>
        <v>13706150</v>
      </c>
      <c r="AJ200" s="743">
        <f t="shared" si="30"/>
        <v>14248085</v>
      </c>
    </row>
    <row r="201" spans="1:36">
      <c r="A201" s="915" t="s">
        <v>142</v>
      </c>
      <c r="B201" s="916" t="s">
        <v>272</v>
      </c>
      <c r="C201" s="921" t="s">
        <v>636</v>
      </c>
      <c r="D201" s="917"/>
      <c r="E201" s="918">
        <v>101301</v>
      </c>
      <c r="F201" s="919">
        <v>10</v>
      </c>
      <c r="G201" s="846"/>
      <c r="H201" s="847"/>
      <c r="I201" s="846"/>
      <c r="J201" s="847"/>
      <c r="K201" s="846"/>
      <c r="L201" s="847"/>
      <c r="M201" s="846"/>
      <c r="N201" s="846"/>
      <c r="O201" s="737">
        <f t="shared" si="23"/>
        <v>0</v>
      </c>
      <c r="P201" s="847"/>
      <c r="Q201" s="847"/>
      <c r="R201" s="738">
        <f t="shared" si="26"/>
        <v>0</v>
      </c>
      <c r="S201" s="737">
        <f t="shared" si="27"/>
        <v>0</v>
      </c>
      <c r="T201" s="739">
        <f t="shared" si="28"/>
        <v>0</v>
      </c>
      <c r="U201" s="846"/>
      <c r="V201" s="847"/>
      <c r="W201" s="846"/>
      <c r="X201" s="846"/>
      <c r="Y201" s="740">
        <f t="shared" si="24"/>
        <v>0</v>
      </c>
      <c r="Z201" s="847"/>
      <c r="AA201" s="847"/>
      <c r="AB201" s="741">
        <f t="shared" si="25"/>
        <v>0</v>
      </c>
      <c r="AC201" s="846"/>
      <c r="AD201" s="847"/>
      <c r="AE201" s="846"/>
      <c r="AF201" s="846"/>
      <c r="AG201" s="847"/>
      <c r="AH201" s="847"/>
      <c r="AI201" s="742">
        <f t="shared" si="29"/>
        <v>0</v>
      </c>
      <c r="AJ201" s="743">
        <f t="shared" si="30"/>
        <v>0</v>
      </c>
    </row>
    <row r="202" spans="1:36">
      <c r="A202" s="915" t="s">
        <v>142</v>
      </c>
      <c r="B202" s="916" t="s">
        <v>272</v>
      </c>
      <c r="C202" s="922" t="s">
        <v>637</v>
      </c>
      <c r="D202" s="917"/>
      <c r="E202" s="918">
        <v>101301</v>
      </c>
      <c r="F202" s="919">
        <v>10</v>
      </c>
      <c r="G202" s="846"/>
      <c r="H202" s="847"/>
      <c r="I202" s="846">
        <v>44955</v>
      </c>
      <c r="J202" s="1466">
        <v>46913</v>
      </c>
      <c r="K202" s="846"/>
      <c r="L202" s="847"/>
      <c r="M202" s="846"/>
      <c r="N202" s="846"/>
      <c r="O202" s="737">
        <f t="shared" ref="O202:O265" si="31">SUM(M202:N202)</f>
        <v>0</v>
      </c>
      <c r="P202" s="847"/>
      <c r="Q202" s="847"/>
      <c r="R202" s="738">
        <f t="shared" si="26"/>
        <v>0</v>
      </c>
      <c r="S202" s="737">
        <f t="shared" si="27"/>
        <v>44955</v>
      </c>
      <c r="T202" s="739">
        <f t="shared" si="28"/>
        <v>46913</v>
      </c>
      <c r="U202" s="846"/>
      <c r="V202" s="847"/>
      <c r="W202" s="846"/>
      <c r="X202" s="846"/>
      <c r="Y202" s="740">
        <f t="shared" ref="Y202:Y265" si="32">SUM(W202:X202)</f>
        <v>0</v>
      </c>
      <c r="Z202" s="847"/>
      <c r="AA202" s="847"/>
      <c r="AB202" s="741">
        <f t="shared" ref="AB202:AB265" si="33">SUM(Z202:AA202)</f>
        <v>0</v>
      </c>
      <c r="AC202" s="846"/>
      <c r="AD202" s="847"/>
      <c r="AE202" s="846"/>
      <c r="AF202" s="846"/>
      <c r="AG202" s="847"/>
      <c r="AH202" s="847"/>
      <c r="AI202" s="742">
        <f t="shared" si="29"/>
        <v>44955</v>
      </c>
      <c r="AJ202" s="743">
        <f t="shared" si="30"/>
        <v>46913</v>
      </c>
    </row>
    <row r="203" spans="1:36">
      <c r="A203" s="915" t="s">
        <v>142</v>
      </c>
      <c r="B203" s="916" t="s">
        <v>272</v>
      </c>
      <c r="C203" s="922" t="s">
        <v>638</v>
      </c>
      <c r="D203" s="917"/>
      <c r="E203" s="918">
        <v>101301</v>
      </c>
      <c r="F203" s="919">
        <v>10</v>
      </c>
      <c r="G203" s="846"/>
      <c r="H203" s="847"/>
      <c r="I203" s="846">
        <v>197317</v>
      </c>
      <c r="J203" s="1466">
        <v>178558</v>
      </c>
      <c r="K203" s="846"/>
      <c r="L203" s="847"/>
      <c r="M203" s="846"/>
      <c r="N203" s="846"/>
      <c r="O203" s="737">
        <f t="shared" si="31"/>
        <v>0</v>
      </c>
      <c r="P203" s="847"/>
      <c r="Q203" s="847"/>
      <c r="R203" s="738">
        <f t="shared" ref="R203:R266" si="34">SUM(P203:Q203)</f>
        <v>0</v>
      </c>
      <c r="S203" s="737">
        <f t="shared" ref="S203:S266" si="35">SUM(G203,I203,K203,M203)</f>
        <v>197317</v>
      </c>
      <c r="T203" s="739">
        <f t="shared" ref="T203:T266" si="36">SUM(H203,J203,L203,P203)</f>
        <v>178558</v>
      </c>
      <c r="U203" s="846"/>
      <c r="V203" s="847"/>
      <c r="W203" s="846"/>
      <c r="X203" s="846"/>
      <c r="Y203" s="740">
        <f t="shared" si="32"/>
        <v>0</v>
      </c>
      <c r="Z203" s="847"/>
      <c r="AA203" s="847"/>
      <c r="AB203" s="741">
        <f t="shared" si="33"/>
        <v>0</v>
      </c>
      <c r="AC203" s="846"/>
      <c r="AD203" s="847"/>
      <c r="AE203" s="846"/>
      <c r="AF203" s="846"/>
      <c r="AG203" s="847"/>
      <c r="AH203" s="847"/>
      <c r="AI203" s="742">
        <f t="shared" ref="AI203:AI266" si="37">SUM(S203,U203,W203,AC203,AE203)</f>
        <v>197317</v>
      </c>
      <c r="AJ203" s="743">
        <f t="shared" ref="AJ203:AJ266" si="38">SUM(T203,V203,Z203,AD203,AG203)</f>
        <v>178558</v>
      </c>
    </row>
    <row r="204" spans="1:36">
      <c r="A204" s="915" t="s">
        <v>142</v>
      </c>
      <c r="B204" s="916" t="s">
        <v>272</v>
      </c>
      <c r="C204" s="922" t="s">
        <v>639</v>
      </c>
      <c r="D204" s="917"/>
      <c r="E204" s="918">
        <v>101301</v>
      </c>
      <c r="F204" s="919">
        <v>10</v>
      </c>
      <c r="G204" s="846"/>
      <c r="H204" s="847"/>
      <c r="I204" s="890">
        <v>31499.96</v>
      </c>
      <c r="J204" s="847">
        <v>30000</v>
      </c>
      <c r="K204" s="846"/>
      <c r="L204" s="847"/>
      <c r="M204" s="846"/>
      <c r="N204" s="846"/>
      <c r="O204" s="737">
        <f t="shared" si="31"/>
        <v>0</v>
      </c>
      <c r="P204" s="847"/>
      <c r="Q204" s="847"/>
      <c r="R204" s="738">
        <f t="shared" si="34"/>
        <v>0</v>
      </c>
      <c r="S204" s="737">
        <f t="shared" si="35"/>
        <v>31499.96</v>
      </c>
      <c r="T204" s="739">
        <f t="shared" si="36"/>
        <v>30000</v>
      </c>
      <c r="U204" s="846"/>
      <c r="V204" s="847"/>
      <c r="W204" s="846"/>
      <c r="X204" s="846"/>
      <c r="Y204" s="740">
        <f t="shared" si="32"/>
        <v>0</v>
      </c>
      <c r="Z204" s="847"/>
      <c r="AA204" s="847"/>
      <c r="AB204" s="741">
        <f t="shared" si="33"/>
        <v>0</v>
      </c>
      <c r="AC204" s="846"/>
      <c r="AD204" s="847"/>
      <c r="AE204" s="846"/>
      <c r="AF204" s="846"/>
      <c r="AG204" s="847"/>
      <c r="AH204" s="847"/>
      <c r="AI204" s="742">
        <f t="shared" si="37"/>
        <v>31499.96</v>
      </c>
      <c r="AJ204" s="743">
        <f t="shared" si="38"/>
        <v>30000</v>
      </c>
    </row>
    <row r="205" spans="1:36">
      <c r="A205" s="915" t="s">
        <v>142</v>
      </c>
      <c r="B205" s="916" t="s">
        <v>272</v>
      </c>
      <c r="C205" s="922" t="s">
        <v>640</v>
      </c>
      <c r="D205" s="917"/>
      <c r="E205" s="918">
        <v>101301</v>
      </c>
      <c r="F205" s="919">
        <v>10</v>
      </c>
      <c r="G205" s="846"/>
      <c r="H205" s="847"/>
      <c r="I205" s="846"/>
      <c r="J205" s="847">
        <v>175000</v>
      </c>
      <c r="K205" s="846"/>
      <c r="L205" s="847"/>
      <c r="M205" s="846"/>
      <c r="N205" s="846"/>
      <c r="O205" s="737">
        <f t="shared" si="31"/>
        <v>0</v>
      </c>
      <c r="P205" s="847"/>
      <c r="Q205" s="847"/>
      <c r="R205" s="738">
        <f t="shared" si="34"/>
        <v>0</v>
      </c>
      <c r="S205" s="737">
        <f t="shared" si="35"/>
        <v>0</v>
      </c>
      <c r="T205" s="739">
        <f t="shared" si="36"/>
        <v>175000</v>
      </c>
      <c r="U205" s="846"/>
      <c r="V205" s="847"/>
      <c r="W205" s="846"/>
      <c r="X205" s="846"/>
      <c r="Y205" s="740">
        <f t="shared" si="32"/>
        <v>0</v>
      </c>
      <c r="Z205" s="847"/>
      <c r="AA205" s="847"/>
      <c r="AB205" s="741">
        <f t="shared" si="33"/>
        <v>0</v>
      </c>
      <c r="AC205" s="846"/>
      <c r="AD205" s="847"/>
      <c r="AE205" s="846"/>
      <c r="AF205" s="846"/>
      <c r="AG205" s="847"/>
      <c r="AH205" s="847"/>
      <c r="AI205" s="742">
        <f t="shared" si="37"/>
        <v>0</v>
      </c>
      <c r="AJ205" s="743">
        <f t="shared" si="38"/>
        <v>175000</v>
      </c>
    </row>
    <row r="206" spans="1:36">
      <c r="A206" s="915" t="s">
        <v>142</v>
      </c>
      <c r="B206" s="916" t="s">
        <v>264</v>
      </c>
      <c r="C206" s="923" t="s">
        <v>658</v>
      </c>
      <c r="D206" s="924"/>
      <c r="E206" s="918">
        <v>101499</v>
      </c>
      <c r="F206" s="919">
        <v>10</v>
      </c>
      <c r="G206" s="846">
        <v>5936091</v>
      </c>
      <c r="H206" s="847">
        <v>5954284</v>
      </c>
      <c r="I206" s="846"/>
      <c r="J206" s="847"/>
      <c r="K206" s="846"/>
      <c r="L206" s="847"/>
      <c r="M206" s="890">
        <v>3696780</v>
      </c>
      <c r="N206" s="890">
        <v>10784</v>
      </c>
      <c r="O206" s="737">
        <f t="shared" si="31"/>
        <v>3707564</v>
      </c>
      <c r="P206" s="847">
        <v>3749467</v>
      </c>
      <c r="Q206" s="847"/>
      <c r="R206" s="738">
        <f t="shared" si="34"/>
        <v>3749467</v>
      </c>
      <c r="S206" s="737">
        <f t="shared" si="35"/>
        <v>9632871</v>
      </c>
      <c r="T206" s="739">
        <f t="shared" si="36"/>
        <v>9703751</v>
      </c>
      <c r="U206" s="846"/>
      <c r="V206" s="847"/>
      <c r="W206" s="846"/>
      <c r="X206" s="846"/>
      <c r="Y206" s="740">
        <f t="shared" si="32"/>
        <v>0</v>
      </c>
      <c r="Z206" s="847"/>
      <c r="AA206" s="847"/>
      <c r="AB206" s="741">
        <f t="shared" si="33"/>
        <v>0</v>
      </c>
      <c r="AC206" s="846"/>
      <c r="AD206" s="847"/>
      <c r="AE206" s="846"/>
      <c r="AF206" s="846"/>
      <c r="AG206" s="847"/>
      <c r="AH206" s="847"/>
      <c r="AI206" s="742">
        <f t="shared" si="37"/>
        <v>9632871</v>
      </c>
      <c r="AJ206" s="743">
        <f t="shared" si="38"/>
        <v>9703751</v>
      </c>
    </row>
    <row r="207" spans="1:36">
      <c r="A207" s="915" t="s">
        <v>142</v>
      </c>
      <c r="B207" s="916" t="s">
        <v>272</v>
      </c>
      <c r="C207" s="921" t="s">
        <v>636</v>
      </c>
      <c r="D207" s="917"/>
      <c r="E207" s="918">
        <v>101499</v>
      </c>
      <c r="F207" s="919">
        <v>10</v>
      </c>
      <c r="G207" s="846"/>
      <c r="H207" s="847"/>
      <c r="I207" s="846"/>
      <c r="J207" s="847"/>
      <c r="K207" s="846"/>
      <c r="L207" s="847"/>
      <c r="M207" s="846"/>
      <c r="N207" s="846"/>
      <c r="O207" s="737">
        <f t="shared" si="31"/>
        <v>0</v>
      </c>
      <c r="P207" s="847"/>
      <c r="Q207" s="847"/>
      <c r="R207" s="738">
        <f t="shared" si="34"/>
        <v>0</v>
      </c>
      <c r="S207" s="737">
        <f t="shared" si="35"/>
        <v>0</v>
      </c>
      <c r="T207" s="739">
        <f t="shared" si="36"/>
        <v>0</v>
      </c>
      <c r="U207" s="846"/>
      <c r="V207" s="847"/>
      <c r="W207" s="846"/>
      <c r="X207" s="846"/>
      <c r="Y207" s="740">
        <f t="shared" si="32"/>
        <v>0</v>
      </c>
      <c r="Z207" s="847"/>
      <c r="AA207" s="847"/>
      <c r="AB207" s="741">
        <f t="shared" si="33"/>
        <v>0</v>
      </c>
      <c r="AC207" s="846"/>
      <c r="AD207" s="847"/>
      <c r="AE207" s="846"/>
      <c r="AF207" s="846"/>
      <c r="AG207" s="847"/>
      <c r="AH207" s="847"/>
      <c r="AI207" s="742">
        <f t="shared" si="37"/>
        <v>0</v>
      </c>
      <c r="AJ207" s="743">
        <f t="shared" si="38"/>
        <v>0</v>
      </c>
    </row>
    <row r="208" spans="1:36">
      <c r="A208" s="915" t="s">
        <v>142</v>
      </c>
      <c r="B208" s="916" t="s">
        <v>272</v>
      </c>
      <c r="C208" s="922" t="s">
        <v>637</v>
      </c>
      <c r="D208" s="917"/>
      <c r="E208" s="918">
        <v>101499</v>
      </c>
      <c r="F208" s="919">
        <v>10</v>
      </c>
      <c r="G208" s="846"/>
      <c r="H208" s="847"/>
      <c r="I208" s="846">
        <v>33694</v>
      </c>
      <c r="J208" s="847">
        <v>170000</v>
      </c>
      <c r="K208" s="846"/>
      <c r="L208" s="847"/>
      <c r="M208" s="846"/>
      <c r="N208" s="846"/>
      <c r="O208" s="737">
        <f t="shared" si="31"/>
        <v>0</v>
      </c>
      <c r="P208" s="847"/>
      <c r="Q208" s="847"/>
      <c r="R208" s="738">
        <f t="shared" si="34"/>
        <v>0</v>
      </c>
      <c r="S208" s="737">
        <f t="shared" si="35"/>
        <v>33694</v>
      </c>
      <c r="T208" s="739">
        <f t="shared" si="36"/>
        <v>170000</v>
      </c>
      <c r="U208" s="846"/>
      <c r="V208" s="847"/>
      <c r="W208" s="846"/>
      <c r="X208" s="846"/>
      <c r="Y208" s="740">
        <f t="shared" si="32"/>
        <v>0</v>
      </c>
      <c r="Z208" s="847"/>
      <c r="AA208" s="847"/>
      <c r="AB208" s="741">
        <f t="shared" si="33"/>
        <v>0</v>
      </c>
      <c r="AC208" s="846"/>
      <c r="AD208" s="847"/>
      <c r="AE208" s="846"/>
      <c r="AF208" s="846"/>
      <c r="AG208" s="847"/>
      <c r="AH208" s="847"/>
      <c r="AI208" s="742">
        <f t="shared" si="37"/>
        <v>33694</v>
      </c>
      <c r="AJ208" s="743">
        <f t="shared" si="38"/>
        <v>170000</v>
      </c>
    </row>
    <row r="209" spans="1:36">
      <c r="A209" s="915" t="s">
        <v>142</v>
      </c>
      <c r="B209" s="916" t="s">
        <v>272</v>
      </c>
      <c r="C209" s="922" t="s">
        <v>638</v>
      </c>
      <c r="D209" s="917"/>
      <c r="E209" s="918">
        <v>101499</v>
      </c>
      <c r="F209" s="919">
        <v>10</v>
      </c>
      <c r="G209" s="846"/>
      <c r="H209" s="847"/>
      <c r="I209" s="846">
        <v>248034</v>
      </c>
      <c r="J209" s="1466">
        <v>231236</v>
      </c>
      <c r="K209" s="846"/>
      <c r="L209" s="847"/>
      <c r="M209" s="846"/>
      <c r="N209" s="846"/>
      <c r="O209" s="737">
        <f t="shared" si="31"/>
        <v>0</v>
      </c>
      <c r="P209" s="847"/>
      <c r="Q209" s="847"/>
      <c r="R209" s="738">
        <f t="shared" si="34"/>
        <v>0</v>
      </c>
      <c r="S209" s="737">
        <f t="shared" si="35"/>
        <v>248034</v>
      </c>
      <c r="T209" s="739">
        <f t="shared" si="36"/>
        <v>231236</v>
      </c>
      <c r="U209" s="846"/>
      <c r="V209" s="847"/>
      <c r="W209" s="846"/>
      <c r="X209" s="846"/>
      <c r="Y209" s="740">
        <f t="shared" si="32"/>
        <v>0</v>
      </c>
      <c r="Z209" s="847"/>
      <c r="AA209" s="847"/>
      <c r="AB209" s="741">
        <f t="shared" si="33"/>
        <v>0</v>
      </c>
      <c r="AC209" s="846"/>
      <c r="AD209" s="847"/>
      <c r="AE209" s="846"/>
      <c r="AF209" s="846"/>
      <c r="AG209" s="847"/>
      <c r="AH209" s="847"/>
      <c r="AI209" s="742">
        <f t="shared" si="37"/>
        <v>248034</v>
      </c>
      <c r="AJ209" s="743">
        <f t="shared" si="38"/>
        <v>231236</v>
      </c>
    </row>
    <row r="210" spans="1:36">
      <c r="A210" s="915" t="s">
        <v>142</v>
      </c>
      <c r="B210" s="916" t="s">
        <v>272</v>
      </c>
      <c r="C210" s="922" t="s">
        <v>639</v>
      </c>
      <c r="D210" s="917"/>
      <c r="E210" s="918">
        <v>101499</v>
      </c>
      <c r="F210" s="919">
        <v>10</v>
      </c>
      <c r="G210" s="846"/>
      <c r="H210" s="847"/>
      <c r="I210" s="846"/>
      <c r="J210" s="1466"/>
      <c r="K210" s="846"/>
      <c r="L210" s="847"/>
      <c r="M210" s="846"/>
      <c r="N210" s="846"/>
      <c r="O210" s="737">
        <f t="shared" si="31"/>
        <v>0</v>
      </c>
      <c r="P210" s="847"/>
      <c r="Q210" s="847"/>
      <c r="R210" s="738">
        <f t="shared" si="34"/>
        <v>0</v>
      </c>
      <c r="S210" s="737">
        <f t="shared" si="35"/>
        <v>0</v>
      </c>
      <c r="T210" s="739">
        <f t="shared" si="36"/>
        <v>0</v>
      </c>
      <c r="U210" s="846"/>
      <c r="V210" s="847"/>
      <c r="W210" s="846"/>
      <c r="X210" s="846"/>
      <c r="Y210" s="740">
        <f t="shared" si="32"/>
        <v>0</v>
      </c>
      <c r="Z210" s="847"/>
      <c r="AA210" s="847"/>
      <c r="AB210" s="741">
        <f t="shared" si="33"/>
        <v>0</v>
      </c>
      <c r="AC210" s="846"/>
      <c r="AD210" s="847"/>
      <c r="AE210" s="846"/>
      <c r="AF210" s="846"/>
      <c r="AG210" s="847"/>
      <c r="AH210" s="847"/>
      <c r="AI210" s="742">
        <f t="shared" si="37"/>
        <v>0</v>
      </c>
      <c r="AJ210" s="743">
        <f t="shared" si="38"/>
        <v>0</v>
      </c>
    </row>
    <row r="211" spans="1:36">
      <c r="A211" s="915" t="s">
        <v>142</v>
      </c>
      <c r="B211" s="916" t="s">
        <v>272</v>
      </c>
      <c r="C211" s="922" t="s">
        <v>640</v>
      </c>
      <c r="D211" s="917"/>
      <c r="E211" s="918">
        <v>101499</v>
      </c>
      <c r="F211" s="919">
        <v>10</v>
      </c>
      <c r="G211" s="846"/>
      <c r="H211" s="847"/>
      <c r="I211" s="846"/>
      <c r="J211" s="1466">
        <v>40778</v>
      </c>
      <c r="K211" s="846"/>
      <c r="L211" s="847"/>
      <c r="M211" s="846"/>
      <c r="N211" s="846"/>
      <c r="O211" s="737">
        <f t="shared" si="31"/>
        <v>0</v>
      </c>
      <c r="P211" s="847"/>
      <c r="Q211" s="847"/>
      <c r="R211" s="738">
        <f t="shared" si="34"/>
        <v>0</v>
      </c>
      <c r="S211" s="737">
        <f t="shared" si="35"/>
        <v>0</v>
      </c>
      <c r="T211" s="739">
        <f t="shared" si="36"/>
        <v>40778</v>
      </c>
      <c r="U211" s="846"/>
      <c r="V211" s="847"/>
      <c r="W211" s="846"/>
      <c r="X211" s="846"/>
      <c r="Y211" s="740">
        <f t="shared" si="32"/>
        <v>0</v>
      </c>
      <c r="Z211" s="847"/>
      <c r="AA211" s="847"/>
      <c r="AB211" s="741">
        <f t="shared" si="33"/>
        <v>0</v>
      </c>
      <c r="AC211" s="846"/>
      <c r="AD211" s="847"/>
      <c r="AE211" s="846"/>
      <c r="AF211" s="846"/>
      <c r="AG211" s="847"/>
      <c r="AH211" s="847"/>
      <c r="AI211" s="742">
        <f t="shared" si="37"/>
        <v>0</v>
      </c>
      <c r="AJ211" s="743">
        <f t="shared" si="38"/>
        <v>40778</v>
      </c>
    </row>
    <row r="212" spans="1:36">
      <c r="A212" s="915" t="s">
        <v>142</v>
      </c>
      <c r="B212" s="916" t="s">
        <v>264</v>
      </c>
      <c r="C212" s="923" t="s">
        <v>659</v>
      </c>
      <c r="D212" s="924"/>
      <c r="E212" s="918">
        <v>101602</v>
      </c>
      <c r="F212" s="919">
        <v>10</v>
      </c>
      <c r="G212" s="846">
        <v>6900659</v>
      </c>
      <c r="H212" s="1466">
        <v>6929285</v>
      </c>
      <c r="I212" s="846"/>
      <c r="J212" s="847"/>
      <c r="K212" s="890">
        <v>229019</v>
      </c>
      <c r="L212" s="847">
        <v>219000</v>
      </c>
      <c r="M212" s="890">
        <v>5319962</v>
      </c>
      <c r="N212" s="890">
        <v>355113</v>
      </c>
      <c r="O212" s="737">
        <f t="shared" si="31"/>
        <v>5675075</v>
      </c>
      <c r="P212" s="847">
        <v>5364659</v>
      </c>
      <c r="Q212" s="847">
        <v>366403</v>
      </c>
      <c r="R212" s="738">
        <f t="shared" si="34"/>
        <v>5731062</v>
      </c>
      <c r="S212" s="737">
        <f t="shared" si="35"/>
        <v>12449640</v>
      </c>
      <c r="T212" s="739">
        <f t="shared" si="36"/>
        <v>12512944</v>
      </c>
      <c r="U212" s="846"/>
      <c r="V212" s="847"/>
      <c r="W212" s="846"/>
      <c r="X212" s="846"/>
      <c r="Y212" s="740">
        <f t="shared" si="32"/>
        <v>0</v>
      </c>
      <c r="Z212" s="847"/>
      <c r="AA212" s="847"/>
      <c r="AB212" s="741">
        <f t="shared" si="33"/>
        <v>0</v>
      </c>
      <c r="AC212" s="846"/>
      <c r="AD212" s="847"/>
      <c r="AE212" s="846"/>
      <c r="AF212" s="846"/>
      <c r="AG212" s="847"/>
      <c r="AH212" s="847"/>
      <c r="AI212" s="742">
        <f t="shared" si="37"/>
        <v>12449640</v>
      </c>
      <c r="AJ212" s="743">
        <f t="shared" si="38"/>
        <v>12512944</v>
      </c>
    </row>
    <row r="213" spans="1:36">
      <c r="A213" s="915" t="s">
        <v>142</v>
      </c>
      <c r="B213" s="916" t="s">
        <v>272</v>
      </c>
      <c r="C213" s="921" t="s">
        <v>636</v>
      </c>
      <c r="D213" s="917"/>
      <c r="E213" s="918">
        <v>101602</v>
      </c>
      <c r="F213" s="919">
        <v>10</v>
      </c>
      <c r="G213" s="846"/>
      <c r="H213" s="847"/>
      <c r="I213" s="846"/>
      <c r="J213" s="847"/>
      <c r="K213" s="846"/>
      <c r="L213" s="847"/>
      <c r="M213" s="846"/>
      <c r="N213" s="846"/>
      <c r="O213" s="737">
        <f t="shared" si="31"/>
        <v>0</v>
      </c>
      <c r="P213" s="847"/>
      <c r="Q213" s="847"/>
      <c r="R213" s="738">
        <f t="shared" si="34"/>
        <v>0</v>
      </c>
      <c r="S213" s="737">
        <f t="shared" si="35"/>
        <v>0</v>
      </c>
      <c r="T213" s="739">
        <f t="shared" si="36"/>
        <v>0</v>
      </c>
      <c r="U213" s="846"/>
      <c r="V213" s="847"/>
      <c r="W213" s="846"/>
      <c r="X213" s="846"/>
      <c r="Y213" s="740">
        <f t="shared" si="32"/>
        <v>0</v>
      </c>
      <c r="Z213" s="847"/>
      <c r="AA213" s="847"/>
      <c r="AB213" s="741">
        <f t="shared" si="33"/>
        <v>0</v>
      </c>
      <c r="AC213" s="846"/>
      <c r="AD213" s="847"/>
      <c r="AE213" s="846"/>
      <c r="AF213" s="846"/>
      <c r="AG213" s="847"/>
      <c r="AH213" s="847"/>
      <c r="AI213" s="742">
        <f t="shared" si="37"/>
        <v>0</v>
      </c>
      <c r="AJ213" s="743">
        <f t="shared" si="38"/>
        <v>0</v>
      </c>
    </row>
    <row r="214" spans="1:36">
      <c r="A214" s="915" t="s">
        <v>142</v>
      </c>
      <c r="B214" s="916" t="s">
        <v>272</v>
      </c>
      <c r="C214" s="922" t="s">
        <v>637</v>
      </c>
      <c r="D214" s="917"/>
      <c r="E214" s="918">
        <v>101602</v>
      </c>
      <c r="F214" s="919">
        <v>10</v>
      </c>
      <c r="G214" s="846"/>
      <c r="H214" s="847"/>
      <c r="I214" s="846">
        <v>19674</v>
      </c>
      <c r="J214" s="1466">
        <v>107885</v>
      </c>
      <c r="K214" s="846"/>
      <c r="L214" s="847"/>
      <c r="M214" s="846"/>
      <c r="N214" s="846"/>
      <c r="O214" s="737">
        <f t="shared" si="31"/>
        <v>0</v>
      </c>
      <c r="P214" s="847"/>
      <c r="Q214" s="847"/>
      <c r="R214" s="738">
        <f t="shared" si="34"/>
        <v>0</v>
      </c>
      <c r="S214" s="737">
        <f t="shared" si="35"/>
        <v>19674</v>
      </c>
      <c r="T214" s="739">
        <f t="shared" si="36"/>
        <v>107885</v>
      </c>
      <c r="U214" s="846"/>
      <c r="V214" s="847"/>
      <c r="W214" s="846"/>
      <c r="X214" s="846"/>
      <c r="Y214" s="740">
        <f t="shared" si="32"/>
        <v>0</v>
      </c>
      <c r="Z214" s="847"/>
      <c r="AA214" s="847"/>
      <c r="AB214" s="741">
        <f t="shared" si="33"/>
        <v>0</v>
      </c>
      <c r="AC214" s="846"/>
      <c r="AD214" s="847"/>
      <c r="AE214" s="846"/>
      <c r="AF214" s="846"/>
      <c r="AG214" s="847"/>
      <c r="AH214" s="847"/>
      <c r="AI214" s="742">
        <f t="shared" si="37"/>
        <v>19674</v>
      </c>
      <c r="AJ214" s="743">
        <f t="shared" si="38"/>
        <v>107885</v>
      </c>
    </row>
    <row r="215" spans="1:36">
      <c r="A215" s="915" t="s">
        <v>142</v>
      </c>
      <c r="B215" s="916" t="s">
        <v>272</v>
      </c>
      <c r="C215" s="922" t="s">
        <v>638</v>
      </c>
      <c r="D215" s="917"/>
      <c r="E215" s="918">
        <v>101602</v>
      </c>
      <c r="F215" s="919">
        <v>10</v>
      </c>
      <c r="G215" s="846"/>
      <c r="H215" s="847"/>
      <c r="I215" s="846">
        <v>278706</v>
      </c>
      <c r="J215" s="1466">
        <v>167271</v>
      </c>
      <c r="K215" s="846"/>
      <c r="L215" s="847"/>
      <c r="M215" s="846"/>
      <c r="N215" s="846"/>
      <c r="O215" s="737">
        <f t="shared" si="31"/>
        <v>0</v>
      </c>
      <c r="P215" s="847"/>
      <c r="Q215" s="847"/>
      <c r="R215" s="738">
        <f t="shared" si="34"/>
        <v>0</v>
      </c>
      <c r="S215" s="737">
        <f t="shared" si="35"/>
        <v>278706</v>
      </c>
      <c r="T215" s="739">
        <f t="shared" si="36"/>
        <v>167271</v>
      </c>
      <c r="U215" s="846"/>
      <c r="V215" s="847"/>
      <c r="W215" s="846"/>
      <c r="X215" s="846"/>
      <c r="Y215" s="740">
        <f t="shared" si="32"/>
        <v>0</v>
      </c>
      <c r="Z215" s="847"/>
      <c r="AA215" s="847"/>
      <c r="AB215" s="741">
        <f t="shared" si="33"/>
        <v>0</v>
      </c>
      <c r="AC215" s="846"/>
      <c r="AD215" s="847"/>
      <c r="AE215" s="846"/>
      <c r="AF215" s="846"/>
      <c r="AG215" s="847"/>
      <c r="AH215" s="847"/>
      <c r="AI215" s="742">
        <f t="shared" si="37"/>
        <v>278706</v>
      </c>
      <c r="AJ215" s="743">
        <f t="shared" si="38"/>
        <v>167271</v>
      </c>
    </row>
    <row r="216" spans="1:36">
      <c r="A216" s="915" t="s">
        <v>142</v>
      </c>
      <c r="B216" s="916" t="s">
        <v>272</v>
      </c>
      <c r="C216" s="922" t="s">
        <v>639</v>
      </c>
      <c r="D216" s="917"/>
      <c r="E216" s="918">
        <v>101602</v>
      </c>
      <c r="F216" s="919">
        <v>10</v>
      </c>
      <c r="G216" s="846"/>
      <c r="H216" s="847"/>
      <c r="I216" s="846">
        <v>131391</v>
      </c>
      <c r="J216" s="1466">
        <v>99019</v>
      </c>
      <c r="K216" s="846"/>
      <c r="L216" s="847"/>
      <c r="M216" s="846"/>
      <c r="N216" s="846"/>
      <c r="O216" s="737">
        <f t="shared" si="31"/>
        <v>0</v>
      </c>
      <c r="P216" s="847"/>
      <c r="Q216" s="847"/>
      <c r="R216" s="738">
        <f t="shared" si="34"/>
        <v>0</v>
      </c>
      <c r="S216" s="737">
        <f t="shared" si="35"/>
        <v>131391</v>
      </c>
      <c r="T216" s="739">
        <f t="shared" si="36"/>
        <v>99019</v>
      </c>
      <c r="U216" s="846"/>
      <c r="V216" s="847"/>
      <c r="W216" s="846"/>
      <c r="X216" s="846"/>
      <c r="Y216" s="740">
        <f t="shared" si="32"/>
        <v>0</v>
      </c>
      <c r="Z216" s="847"/>
      <c r="AA216" s="847"/>
      <c r="AB216" s="741">
        <f t="shared" si="33"/>
        <v>0</v>
      </c>
      <c r="AC216" s="846"/>
      <c r="AD216" s="847"/>
      <c r="AE216" s="846"/>
      <c r="AF216" s="846"/>
      <c r="AG216" s="847"/>
      <c r="AH216" s="847"/>
      <c r="AI216" s="742">
        <f t="shared" si="37"/>
        <v>131391</v>
      </c>
      <c r="AJ216" s="743">
        <f t="shared" si="38"/>
        <v>99019</v>
      </c>
    </row>
    <row r="217" spans="1:36">
      <c r="A217" s="915" t="s">
        <v>142</v>
      </c>
      <c r="B217" s="916" t="s">
        <v>272</v>
      </c>
      <c r="C217" s="922" t="s">
        <v>640</v>
      </c>
      <c r="D217" s="917"/>
      <c r="E217" s="918">
        <v>101602</v>
      </c>
      <c r="F217" s="919">
        <v>10</v>
      </c>
      <c r="G217" s="846"/>
      <c r="H217" s="847"/>
      <c r="I217" s="846"/>
      <c r="J217" s="847">
        <v>175000</v>
      </c>
      <c r="K217" s="846"/>
      <c r="L217" s="847"/>
      <c r="M217" s="846"/>
      <c r="N217" s="846"/>
      <c r="O217" s="737">
        <f t="shared" si="31"/>
        <v>0</v>
      </c>
      <c r="P217" s="847"/>
      <c r="Q217" s="847"/>
      <c r="R217" s="738">
        <f t="shared" si="34"/>
        <v>0</v>
      </c>
      <c r="S217" s="737">
        <f t="shared" si="35"/>
        <v>0</v>
      </c>
      <c r="T217" s="739">
        <f t="shared" si="36"/>
        <v>175000</v>
      </c>
      <c r="U217" s="846"/>
      <c r="V217" s="847"/>
      <c r="W217" s="846"/>
      <c r="X217" s="846"/>
      <c r="Y217" s="740">
        <f t="shared" si="32"/>
        <v>0</v>
      </c>
      <c r="Z217" s="847"/>
      <c r="AA217" s="847"/>
      <c r="AB217" s="741">
        <f t="shared" si="33"/>
        <v>0</v>
      </c>
      <c r="AC217" s="846"/>
      <c r="AD217" s="847"/>
      <c r="AE217" s="846"/>
      <c r="AF217" s="846"/>
      <c r="AG217" s="847"/>
      <c r="AH217" s="847"/>
      <c r="AI217" s="742">
        <f t="shared" si="37"/>
        <v>0</v>
      </c>
      <c r="AJ217" s="743">
        <f t="shared" si="38"/>
        <v>175000</v>
      </c>
    </row>
    <row r="218" spans="1:36">
      <c r="A218" s="915" t="s">
        <v>142</v>
      </c>
      <c r="B218" s="916" t="s">
        <v>264</v>
      </c>
      <c r="C218" s="925" t="s">
        <v>660</v>
      </c>
      <c r="D218" s="926"/>
      <c r="E218" s="918">
        <v>102076</v>
      </c>
      <c r="F218" s="919">
        <v>10</v>
      </c>
      <c r="G218" s="846">
        <v>6524636</v>
      </c>
      <c r="H218" s="847">
        <v>6873406</v>
      </c>
      <c r="I218" s="846"/>
      <c r="J218" s="847"/>
      <c r="K218" s="846"/>
      <c r="L218" s="847"/>
      <c r="M218" s="890">
        <v>8016711</v>
      </c>
      <c r="N218" s="890">
        <v>886256</v>
      </c>
      <c r="O218" s="737">
        <f t="shared" si="31"/>
        <v>8902967</v>
      </c>
      <c r="P218" s="847">
        <v>7504899</v>
      </c>
      <c r="Q218" s="847">
        <v>1386701</v>
      </c>
      <c r="R218" s="738">
        <f t="shared" si="34"/>
        <v>8891600</v>
      </c>
      <c r="S218" s="737">
        <f t="shared" si="35"/>
        <v>14541347</v>
      </c>
      <c r="T218" s="739">
        <f t="shared" si="36"/>
        <v>14378305</v>
      </c>
      <c r="U218" s="846"/>
      <c r="V218" s="847"/>
      <c r="W218" s="846"/>
      <c r="X218" s="846"/>
      <c r="Y218" s="740">
        <f t="shared" si="32"/>
        <v>0</v>
      </c>
      <c r="Z218" s="847"/>
      <c r="AA218" s="847"/>
      <c r="AB218" s="741">
        <f t="shared" si="33"/>
        <v>0</v>
      </c>
      <c r="AC218" s="846"/>
      <c r="AD218" s="847"/>
      <c r="AE218" s="846"/>
      <c r="AF218" s="846"/>
      <c r="AG218" s="847"/>
      <c r="AH218" s="847"/>
      <c r="AI218" s="742">
        <f t="shared" si="37"/>
        <v>14541347</v>
      </c>
      <c r="AJ218" s="743">
        <f t="shared" si="38"/>
        <v>14378305</v>
      </c>
    </row>
    <row r="219" spans="1:36">
      <c r="A219" s="915" t="s">
        <v>142</v>
      </c>
      <c r="B219" s="916" t="s">
        <v>272</v>
      </c>
      <c r="C219" s="921" t="s">
        <v>636</v>
      </c>
      <c r="D219" s="917"/>
      <c r="E219" s="918">
        <v>102076</v>
      </c>
      <c r="F219" s="919">
        <v>10</v>
      </c>
      <c r="G219" s="846"/>
      <c r="H219" s="847"/>
      <c r="I219" s="846"/>
      <c r="J219" s="847"/>
      <c r="K219" s="846"/>
      <c r="L219" s="847"/>
      <c r="M219" s="846"/>
      <c r="N219" s="846"/>
      <c r="O219" s="737">
        <f t="shared" si="31"/>
        <v>0</v>
      </c>
      <c r="P219" s="847"/>
      <c r="Q219" s="847"/>
      <c r="R219" s="738">
        <f t="shared" si="34"/>
        <v>0</v>
      </c>
      <c r="S219" s="737">
        <f t="shared" si="35"/>
        <v>0</v>
      </c>
      <c r="T219" s="739">
        <f t="shared" si="36"/>
        <v>0</v>
      </c>
      <c r="U219" s="846"/>
      <c r="V219" s="847"/>
      <c r="W219" s="846"/>
      <c r="X219" s="846"/>
      <c r="Y219" s="740">
        <f t="shared" si="32"/>
        <v>0</v>
      </c>
      <c r="Z219" s="847"/>
      <c r="AA219" s="847"/>
      <c r="AB219" s="741">
        <f t="shared" si="33"/>
        <v>0</v>
      </c>
      <c r="AC219" s="846"/>
      <c r="AD219" s="847"/>
      <c r="AE219" s="846"/>
      <c r="AF219" s="846"/>
      <c r="AG219" s="847"/>
      <c r="AH219" s="847"/>
      <c r="AI219" s="742">
        <f t="shared" si="37"/>
        <v>0</v>
      </c>
      <c r="AJ219" s="743">
        <f t="shared" si="38"/>
        <v>0</v>
      </c>
    </row>
    <row r="220" spans="1:36">
      <c r="A220" s="915" t="s">
        <v>142</v>
      </c>
      <c r="B220" s="916" t="s">
        <v>272</v>
      </c>
      <c r="C220" s="922" t="s">
        <v>637</v>
      </c>
      <c r="D220" s="917"/>
      <c r="E220" s="918">
        <v>102076</v>
      </c>
      <c r="F220" s="919">
        <v>10</v>
      </c>
      <c r="G220" s="846"/>
      <c r="H220" s="847"/>
      <c r="I220" s="846">
        <v>151900</v>
      </c>
      <c r="J220" s="1466">
        <v>48818</v>
      </c>
      <c r="K220" s="846"/>
      <c r="L220" s="847"/>
      <c r="M220" s="846"/>
      <c r="N220" s="846"/>
      <c r="O220" s="737">
        <f t="shared" si="31"/>
        <v>0</v>
      </c>
      <c r="P220" s="847"/>
      <c r="Q220" s="847"/>
      <c r="R220" s="738">
        <f t="shared" si="34"/>
        <v>0</v>
      </c>
      <c r="S220" s="737">
        <f t="shared" si="35"/>
        <v>151900</v>
      </c>
      <c r="T220" s="739">
        <f t="shared" si="36"/>
        <v>48818</v>
      </c>
      <c r="U220" s="846"/>
      <c r="V220" s="847"/>
      <c r="W220" s="846"/>
      <c r="X220" s="846"/>
      <c r="Y220" s="740">
        <f t="shared" si="32"/>
        <v>0</v>
      </c>
      <c r="Z220" s="847"/>
      <c r="AA220" s="847"/>
      <c r="AB220" s="741">
        <f t="shared" si="33"/>
        <v>0</v>
      </c>
      <c r="AC220" s="846"/>
      <c r="AD220" s="847"/>
      <c r="AE220" s="846"/>
      <c r="AF220" s="846"/>
      <c r="AG220" s="847"/>
      <c r="AH220" s="847"/>
      <c r="AI220" s="742">
        <f t="shared" si="37"/>
        <v>151900</v>
      </c>
      <c r="AJ220" s="743">
        <f t="shared" si="38"/>
        <v>48818</v>
      </c>
    </row>
    <row r="221" spans="1:36">
      <c r="A221" s="915" t="s">
        <v>142</v>
      </c>
      <c r="B221" s="916" t="s">
        <v>272</v>
      </c>
      <c r="C221" s="922" t="s">
        <v>638</v>
      </c>
      <c r="D221" s="917"/>
      <c r="E221" s="918">
        <v>102076</v>
      </c>
      <c r="F221" s="919">
        <v>10</v>
      </c>
      <c r="G221" s="846"/>
      <c r="H221" s="847"/>
      <c r="I221" s="846">
        <v>400</v>
      </c>
      <c r="J221" s="847"/>
      <c r="K221" s="846"/>
      <c r="L221" s="847"/>
      <c r="M221" s="846"/>
      <c r="N221" s="846"/>
      <c r="O221" s="737">
        <f t="shared" si="31"/>
        <v>0</v>
      </c>
      <c r="P221" s="847"/>
      <c r="Q221" s="847"/>
      <c r="R221" s="738">
        <f t="shared" si="34"/>
        <v>0</v>
      </c>
      <c r="S221" s="737">
        <f t="shared" si="35"/>
        <v>400</v>
      </c>
      <c r="T221" s="739">
        <f t="shared" si="36"/>
        <v>0</v>
      </c>
      <c r="U221" s="846"/>
      <c r="V221" s="847"/>
      <c r="W221" s="846"/>
      <c r="X221" s="846"/>
      <c r="Y221" s="740">
        <f t="shared" si="32"/>
        <v>0</v>
      </c>
      <c r="Z221" s="847"/>
      <c r="AA221" s="847"/>
      <c r="AB221" s="741">
        <f t="shared" si="33"/>
        <v>0</v>
      </c>
      <c r="AC221" s="846"/>
      <c r="AD221" s="847"/>
      <c r="AE221" s="846"/>
      <c r="AF221" s="846"/>
      <c r="AG221" s="847"/>
      <c r="AH221" s="847"/>
      <c r="AI221" s="742">
        <f t="shared" si="37"/>
        <v>400</v>
      </c>
      <c r="AJ221" s="743">
        <f t="shared" si="38"/>
        <v>0</v>
      </c>
    </row>
    <row r="222" spans="1:36">
      <c r="A222" s="915" t="s">
        <v>142</v>
      </c>
      <c r="B222" s="916" t="s">
        <v>272</v>
      </c>
      <c r="C222" s="922" t="s">
        <v>639</v>
      </c>
      <c r="D222" s="917"/>
      <c r="E222" s="918">
        <v>102076</v>
      </c>
      <c r="F222" s="919">
        <v>10</v>
      </c>
      <c r="G222" s="846"/>
      <c r="H222" s="847"/>
      <c r="I222" s="890">
        <v>146175.32</v>
      </c>
      <c r="J222" s="1466">
        <v>63274</v>
      </c>
      <c r="K222" s="846"/>
      <c r="L222" s="847"/>
      <c r="M222" s="846"/>
      <c r="N222" s="846"/>
      <c r="O222" s="737">
        <f t="shared" si="31"/>
        <v>0</v>
      </c>
      <c r="P222" s="847"/>
      <c r="Q222" s="847"/>
      <c r="R222" s="738">
        <f t="shared" si="34"/>
        <v>0</v>
      </c>
      <c r="S222" s="737">
        <f t="shared" si="35"/>
        <v>146175.32</v>
      </c>
      <c r="T222" s="739">
        <f t="shared" si="36"/>
        <v>63274</v>
      </c>
      <c r="U222" s="846"/>
      <c r="V222" s="847"/>
      <c r="W222" s="846"/>
      <c r="X222" s="846"/>
      <c r="Y222" s="740">
        <f t="shared" si="32"/>
        <v>0</v>
      </c>
      <c r="Z222" s="847"/>
      <c r="AA222" s="847"/>
      <c r="AB222" s="741">
        <f t="shared" si="33"/>
        <v>0</v>
      </c>
      <c r="AC222" s="846"/>
      <c r="AD222" s="847"/>
      <c r="AE222" s="846"/>
      <c r="AF222" s="846"/>
      <c r="AG222" s="847"/>
      <c r="AH222" s="847"/>
      <c r="AI222" s="742">
        <f t="shared" si="37"/>
        <v>146175.32</v>
      </c>
      <c r="AJ222" s="743">
        <f t="shared" si="38"/>
        <v>63274</v>
      </c>
    </row>
    <row r="223" spans="1:36">
      <c r="A223" s="915" t="s">
        <v>142</v>
      </c>
      <c r="B223" s="916" t="s">
        <v>272</v>
      </c>
      <c r="C223" s="922" t="s">
        <v>640</v>
      </c>
      <c r="D223" s="917"/>
      <c r="E223" s="918">
        <v>102076</v>
      </c>
      <c r="F223" s="919">
        <v>10</v>
      </c>
      <c r="G223" s="846"/>
      <c r="H223" s="847"/>
      <c r="I223" s="846"/>
      <c r="J223" s="847">
        <v>85000</v>
      </c>
      <c r="K223" s="846"/>
      <c r="L223" s="847"/>
      <c r="M223" s="846"/>
      <c r="N223" s="846"/>
      <c r="O223" s="737">
        <f t="shared" si="31"/>
        <v>0</v>
      </c>
      <c r="P223" s="847"/>
      <c r="Q223" s="847"/>
      <c r="R223" s="738">
        <f t="shared" si="34"/>
        <v>0</v>
      </c>
      <c r="S223" s="737">
        <f t="shared" si="35"/>
        <v>0</v>
      </c>
      <c r="T223" s="739">
        <f t="shared" si="36"/>
        <v>85000</v>
      </c>
      <c r="U223" s="846"/>
      <c r="V223" s="847"/>
      <c r="W223" s="846"/>
      <c r="X223" s="846"/>
      <c r="Y223" s="740">
        <f t="shared" si="32"/>
        <v>0</v>
      </c>
      <c r="Z223" s="847"/>
      <c r="AA223" s="847"/>
      <c r="AB223" s="741">
        <f t="shared" si="33"/>
        <v>0</v>
      </c>
      <c r="AC223" s="846"/>
      <c r="AD223" s="847"/>
      <c r="AE223" s="846"/>
      <c r="AF223" s="846"/>
      <c r="AG223" s="847"/>
      <c r="AH223" s="847"/>
      <c r="AI223" s="742">
        <f t="shared" si="37"/>
        <v>0</v>
      </c>
      <c r="AJ223" s="743">
        <f t="shared" si="38"/>
        <v>85000</v>
      </c>
    </row>
    <row r="224" spans="1:36">
      <c r="A224" s="915" t="s">
        <v>142</v>
      </c>
      <c r="B224" s="916" t="s">
        <v>264</v>
      </c>
      <c r="C224" s="923" t="s">
        <v>661</v>
      </c>
      <c r="D224" s="924"/>
      <c r="E224" s="918">
        <v>102313</v>
      </c>
      <c r="F224" s="933">
        <v>12</v>
      </c>
      <c r="G224" s="846">
        <v>9155363</v>
      </c>
      <c r="H224" s="847">
        <v>8797160</v>
      </c>
      <c r="I224" s="846"/>
      <c r="J224" s="847"/>
      <c r="K224" s="846"/>
      <c r="L224" s="847"/>
      <c r="M224" s="890">
        <v>4474072</v>
      </c>
      <c r="N224" s="846">
        <v>512611</v>
      </c>
      <c r="O224" s="737">
        <f t="shared" si="31"/>
        <v>4986683</v>
      </c>
      <c r="P224" s="847">
        <v>4682194</v>
      </c>
      <c r="Q224" s="847">
        <v>506439</v>
      </c>
      <c r="R224" s="738">
        <f t="shared" si="34"/>
        <v>5188633</v>
      </c>
      <c r="S224" s="737">
        <f t="shared" si="35"/>
        <v>13629435</v>
      </c>
      <c r="T224" s="739">
        <f t="shared" si="36"/>
        <v>13479354</v>
      </c>
      <c r="U224" s="846"/>
      <c r="V224" s="847"/>
      <c r="W224" s="846"/>
      <c r="X224" s="846"/>
      <c r="Y224" s="740">
        <f t="shared" si="32"/>
        <v>0</v>
      </c>
      <c r="Z224" s="847"/>
      <c r="AA224" s="847"/>
      <c r="AB224" s="741">
        <f t="shared" si="33"/>
        <v>0</v>
      </c>
      <c r="AC224" s="846"/>
      <c r="AD224" s="847"/>
      <c r="AE224" s="846"/>
      <c r="AF224" s="846"/>
      <c r="AG224" s="847"/>
      <c r="AH224" s="847"/>
      <c r="AI224" s="742">
        <f t="shared" si="37"/>
        <v>13629435</v>
      </c>
      <c r="AJ224" s="743">
        <f t="shared" si="38"/>
        <v>13479354</v>
      </c>
    </row>
    <row r="225" spans="1:36">
      <c r="A225" s="915" t="s">
        <v>142</v>
      </c>
      <c r="B225" s="916" t="s">
        <v>272</v>
      </c>
      <c r="C225" s="921" t="s">
        <v>636</v>
      </c>
      <c r="D225" s="917"/>
      <c r="E225" s="918">
        <v>102313</v>
      </c>
      <c r="F225" s="933">
        <v>12</v>
      </c>
      <c r="G225" s="846"/>
      <c r="H225" s="847"/>
      <c r="I225" s="846"/>
      <c r="J225" s="847"/>
      <c r="K225" s="846"/>
      <c r="L225" s="847"/>
      <c r="M225" s="846"/>
      <c r="N225" s="846"/>
      <c r="O225" s="737">
        <f t="shared" si="31"/>
        <v>0</v>
      </c>
      <c r="P225" s="847"/>
      <c r="Q225" s="847"/>
      <c r="R225" s="738">
        <f t="shared" si="34"/>
        <v>0</v>
      </c>
      <c r="S225" s="737">
        <f t="shared" si="35"/>
        <v>0</v>
      </c>
      <c r="T225" s="739">
        <f t="shared" si="36"/>
        <v>0</v>
      </c>
      <c r="U225" s="846"/>
      <c r="V225" s="847"/>
      <c r="W225" s="846"/>
      <c r="X225" s="846"/>
      <c r="Y225" s="740">
        <f t="shared" si="32"/>
        <v>0</v>
      </c>
      <c r="Z225" s="847"/>
      <c r="AA225" s="847"/>
      <c r="AB225" s="741">
        <f t="shared" si="33"/>
        <v>0</v>
      </c>
      <c r="AC225" s="846"/>
      <c r="AD225" s="847"/>
      <c r="AE225" s="846"/>
      <c r="AF225" s="846"/>
      <c r="AG225" s="847"/>
      <c r="AH225" s="847"/>
      <c r="AI225" s="742">
        <f t="shared" si="37"/>
        <v>0</v>
      </c>
      <c r="AJ225" s="743">
        <f t="shared" si="38"/>
        <v>0</v>
      </c>
    </row>
    <row r="226" spans="1:36">
      <c r="A226" s="915" t="s">
        <v>142</v>
      </c>
      <c r="B226" s="916" t="s">
        <v>272</v>
      </c>
      <c r="C226" s="922" t="s">
        <v>637</v>
      </c>
      <c r="D226" s="917"/>
      <c r="E226" s="918">
        <v>102313</v>
      </c>
      <c r="F226" s="933">
        <v>12</v>
      </c>
      <c r="G226" s="846"/>
      <c r="H226" s="847"/>
      <c r="I226" s="846">
        <v>111593</v>
      </c>
      <c r="J226" s="1466">
        <v>286729</v>
      </c>
      <c r="K226" s="846"/>
      <c r="L226" s="847"/>
      <c r="M226" s="846"/>
      <c r="N226" s="846"/>
      <c r="O226" s="737">
        <f t="shared" si="31"/>
        <v>0</v>
      </c>
      <c r="P226" s="847"/>
      <c r="Q226" s="847"/>
      <c r="R226" s="738">
        <f t="shared" si="34"/>
        <v>0</v>
      </c>
      <c r="S226" s="737">
        <f t="shared" si="35"/>
        <v>111593</v>
      </c>
      <c r="T226" s="739">
        <f t="shared" si="36"/>
        <v>286729</v>
      </c>
      <c r="U226" s="846"/>
      <c r="V226" s="847"/>
      <c r="W226" s="846"/>
      <c r="X226" s="846"/>
      <c r="Y226" s="740">
        <f t="shared" si="32"/>
        <v>0</v>
      </c>
      <c r="Z226" s="847"/>
      <c r="AA226" s="847"/>
      <c r="AB226" s="741">
        <f t="shared" si="33"/>
        <v>0</v>
      </c>
      <c r="AC226" s="846"/>
      <c r="AD226" s="847"/>
      <c r="AE226" s="846"/>
      <c r="AF226" s="846"/>
      <c r="AG226" s="847"/>
      <c r="AH226" s="847"/>
      <c r="AI226" s="742">
        <f t="shared" si="37"/>
        <v>111593</v>
      </c>
      <c r="AJ226" s="743">
        <f t="shared" si="38"/>
        <v>286729</v>
      </c>
    </row>
    <row r="227" spans="1:36">
      <c r="A227" s="915" t="s">
        <v>142</v>
      </c>
      <c r="B227" s="916" t="s">
        <v>272</v>
      </c>
      <c r="C227" s="922" t="s">
        <v>638</v>
      </c>
      <c r="D227" s="917"/>
      <c r="E227" s="918">
        <v>102313</v>
      </c>
      <c r="F227" s="933">
        <v>12</v>
      </c>
      <c r="G227" s="846"/>
      <c r="H227" s="847"/>
      <c r="I227" s="846">
        <v>466506</v>
      </c>
      <c r="J227" s="1466">
        <v>397622</v>
      </c>
      <c r="K227" s="846"/>
      <c r="L227" s="847"/>
      <c r="M227" s="846"/>
      <c r="N227" s="846"/>
      <c r="O227" s="737">
        <f t="shared" si="31"/>
        <v>0</v>
      </c>
      <c r="P227" s="847"/>
      <c r="Q227" s="847"/>
      <c r="R227" s="738">
        <f t="shared" si="34"/>
        <v>0</v>
      </c>
      <c r="S227" s="737">
        <f t="shared" si="35"/>
        <v>466506</v>
      </c>
      <c r="T227" s="739">
        <f t="shared" si="36"/>
        <v>397622</v>
      </c>
      <c r="U227" s="846"/>
      <c r="V227" s="847"/>
      <c r="W227" s="846"/>
      <c r="X227" s="846"/>
      <c r="Y227" s="740">
        <f t="shared" si="32"/>
        <v>0</v>
      </c>
      <c r="Z227" s="847"/>
      <c r="AA227" s="847"/>
      <c r="AB227" s="741">
        <f t="shared" si="33"/>
        <v>0</v>
      </c>
      <c r="AC227" s="846"/>
      <c r="AD227" s="847"/>
      <c r="AE227" s="846"/>
      <c r="AF227" s="846"/>
      <c r="AG227" s="847"/>
      <c r="AH227" s="847"/>
      <c r="AI227" s="742">
        <f t="shared" si="37"/>
        <v>466506</v>
      </c>
      <c r="AJ227" s="743">
        <f t="shared" si="38"/>
        <v>397622</v>
      </c>
    </row>
    <row r="228" spans="1:36">
      <c r="A228" s="915" t="s">
        <v>142</v>
      </c>
      <c r="B228" s="916" t="s">
        <v>272</v>
      </c>
      <c r="C228" s="922" t="s">
        <v>639</v>
      </c>
      <c r="D228" s="917"/>
      <c r="E228" s="918">
        <v>102313</v>
      </c>
      <c r="F228" s="933">
        <v>12</v>
      </c>
      <c r="G228" s="846"/>
      <c r="H228" s="847"/>
      <c r="I228" s="846">
        <v>33119</v>
      </c>
      <c r="J228" s="847">
        <v>30000</v>
      </c>
      <c r="K228" s="846"/>
      <c r="L228" s="847"/>
      <c r="M228" s="846"/>
      <c r="N228" s="846"/>
      <c r="O228" s="737">
        <f t="shared" si="31"/>
        <v>0</v>
      </c>
      <c r="P228" s="847"/>
      <c r="Q228" s="847"/>
      <c r="R228" s="738">
        <f t="shared" si="34"/>
        <v>0</v>
      </c>
      <c r="S228" s="737">
        <f t="shared" si="35"/>
        <v>33119</v>
      </c>
      <c r="T228" s="739">
        <f t="shared" si="36"/>
        <v>30000</v>
      </c>
      <c r="U228" s="846"/>
      <c r="V228" s="847"/>
      <c r="W228" s="846"/>
      <c r="X228" s="846"/>
      <c r="Y228" s="740">
        <f t="shared" si="32"/>
        <v>0</v>
      </c>
      <c r="Z228" s="847"/>
      <c r="AA228" s="847"/>
      <c r="AB228" s="741">
        <f t="shared" si="33"/>
        <v>0</v>
      </c>
      <c r="AC228" s="846"/>
      <c r="AD228" s="847"/>
      <c r="AE228" s="846"/>
      <c r="AF228" s="846"/>
      <c r="AG228" s="847"/>
      <c r="AH228" s="847"/>
      <c r="AI228" s="742">
        <f t="shared" si="37"/>
        <v>33119</v>
      </c>
      <c r="AJ228" s="743">
        <f t="shared" si="38"/>
        <v>30000</v>
      </c>
    </row>
    <row r="229" spans="1:36">
      <c r="A229" s="915" t="s">
        <v>142</v>
      </c>
      <c r="B229" s="916" t="s">
        <v>272</v>
      </c>
      <c r="C229" s="922" t="s">
        <v>640</v>
      </c>
      <c r="D229" s="917"/>
      <c r="E229" s="918">
        <v>102313</v>
      </c>
      <c r="F229" s="933">
        <v>12</v>
      </c>
      <c r="G229" s="846"/>
      <c r="H229" s="847"/>
      <c r="I229" s="846"/>
      <c r="J229" s="847">
        <v>150000</v>
      </c>
      <c r="K229" s="846"/>
      <c r="L229" s="847"/>
      <c r="M229" s="846"/>
      <c r="N229" s="846"/>
      <c r="O229" s="737">
        <f t="shared" si="31"/>
        <v>0</v>
      </c>
      <c r="P229" s="847"/>
      <c r="Q229" s="847"/>
      <c r="R229" s="738">
        <f t="shared" si="34"/>
        <v>0</v>
      </c>
      <c r="S229" s="737">
        <f t="shared" si="35"/>
        <v>0</v>
      </c>
      <c r="T229" s="739">
        <f t="shared" si="36"/>
        <v>150000</v>
      </c>
      <c r="U229" s="846"/>
      <c r="V229" s="847"/>
      <c r="W229" s="846"/>
      <c r="X229" s="846"/>
      <c r="Y229" s="740">
        <f t="shared" si="32"/>
        <v>0</v>
      </c>
      <c r="Z229" s="847"/>
      <c r="AA229" s="847"/>
      <c r="AB229" s="741">
        <f t="shared" si="33"/>
        <v>0</v>
      </c>
      <c r="AC229" s="846"/>
      <c r="AD229" s="847"/>
      <c r="AE229" s="846"/>
      <c r="AF229" s="846"/>
      <c r="AG229" s="847"/>
      <c r="AH229" s="847"/>
      <c r="AI229" s="742">
        <f t="shared" si="37"/>
        <v>0</v>
      </c>
      <c r="AJ229" s="743">
        <f t="shared" si="38"/>
        <v>150000</v>
      </c>
    </row>
    <row r="230" spans="1:36">
      <c r="A230" s="915" t="s">
        <v>142</v>
      </c>
      <c r="B230" s="916" t="s">
        <v>264</v>
      </c>
      <c r="C230" s="925" t="s">
        <v>662</v>
      </c>
      <c r="D230" s="926"/>
      <c r="E230" s="918">
        <v>101462</v>
      </c>
      <c r="F230" s="933">
        <v>13</v>
      </c>
      <c r="G230" s="846">
        <v>4724658</v>
      </c>
      <c r="H230" s="1466">
        <v>4874181</v>
      </c>
      <c r="I230" s="846"/>
      <c r="J230" s="847"/>
      <c r="K230" s="846"/>
      <c r="L230" s="847"/>
      <c r="M230" s="890">
        <v>3680328</v>
      </c>
      <c r="N230" s="846">
        <v>295750</v>
      </c>
      <c r="O230" s="737">
        <f t="shared" si="31"/>
        <v>3976078</v>
      </c>
      <c r="P230" s="847">
        <v>3651615</v>
      </c>
      <c r="Q230" s="847">
        <v>293242</v>
      </c>
      <c r="R230" s="738">
        <f t="shared" si="34"/>
        <v>3944857</v>
      </c>
      <c r="S230" s="737">
        <f t="shared" si="35"/>
        <v>8404986</v>
      </c>
      <c r="T230" s="739">
        <f t="shared" si="36"/>
        <v>8525796</v>
      </c>
      <c r="U230" s="846"/>
      <c r="V230" s="847"/>
      <c r="W230" s="846"/>
      <c r="X230" s="846"/>
      <c r="Y230" s="740">
        <f t="shared" si="32"/>
        <v>0</v>
      </c>
      <c r="Z230" s="847"/>
      <c r="AA230" s="847"/>
      <c r="AB230" s="741">
        <f t="shared" si="33"/>
        <v>0</v>
      </c>
      <c r="AC230" s="846"/>
      <c r="AD230" s="847"/>
      <c r="AE230" s="846"/>
      <c r="AF230" s="846"/>
      <c r="AG230" s="847"/>
      <c r="AH230" s="847"/>
      <c r="AI230" s="742">
        <f t="shared" si="37"/>
        <v>8404986</v>
      </c>
      <c r="AJ230" s="743">
        <f t="shared" si="38"/>
        <v>8525796</v>
      </c>
    </row>
    <row r="231" spans="1:36">
      <c r="A231" s="915" t="s">
        <v>142</v>
      </c>
      <c r="B231" s="916" t="s">
        <v>272</v>
      </c>
      <c r="C231" s="921" t="s">
        <v>636</v>
      </c>
      <c r="D231" s="917"/>
      <c r="E231" s="918">
        <v>101462</v>
      </c>
      <c r="F231" s="933">
        <v>13</v>
      </c>
      <c r="G231" s="846"/>
      <c r="H231" s="847"/>
      <c r="I231" s="846"/>
      <c r="J231" s="847"/>
      <c r="K231" s="846"/>
      <c r="L231" s="847"/>
      <c r="M231" s="846"/>
      <c r="N231" s="846"/>
      <c r="O231" s="737">
        <f t="shared" si="31"/>
        <v>0</v>
      </c>
      <c r="P231" s="847"/>
      <c r="Q231" s="847"/>
      <c r="R231" s="738">
        <f t="shared" si="34"/>
        <v>0</v>
      </c>
      <c r="S231" s="737">
        <f t="shared" si="35"/>
        <v>0</v>
      </c>
      <c r="T231" s="739">
        <f t="shared" si="36"/>
        <v>0</v>
      </c>
      <c r="U231" s="846"/>
      <c r="V231" s="847"/>
      <c r="W231" s="846"/>
      <c r="X231" s="846"/>
      <c r="Y231" s="740">
        <f t="shared" si="32"/>
        <v>0</v>
      </c>
      <c r="Z231" s="847"/>
      <c r="AA231" s="847"/>
      <c r="AB231" s="741">
        <f t="shared" si="33"/>
        <v>0</v>
      </c>
      <c r="AC231" s="846"/>
      <c r="AD231" s="847"/>
      <c r="AE231" s="846"/>
      <c r="AF231" s="846"/>
      <c r="AG231" s="847"/>
      <c r="AH231" s="847"/>
      <c r="AI231" s="742">
        <f t="shared" si="37"/>
        <v>0</v>
      </c>
      <c r="AJ231" s="743">
        <f t="shared" si="38"/>
        <v>0</v>
      </c>
    </row>
    <row r="232" spans="1:36">
      <c r="A232" s="915" t="s">
        <v>142</v>
      </c>
      <c r="B232" s="916" t="s">
        <v>272</v>
      </c>
      <c r="C232" s="922" t="s">
        <v>637</v>
      </c>
      <c r="D232" s="917"/>
      <c r="E232" s="918">
        <v>101462</v>
      </c>
      <c r="F232" s="933">
        <v>13</v>
      </c>
      <c r="G232" s="846"/>
      <c r="H232" s="847"/>
      <c r="I232" s="846">
        <v>105201</v>
      </c>
      <c r="J232" s="1466">
        <v>42288</v>
      </c>
      <c r="K232" s="846"/>
      <c r="L232" s="847"/>
      <c r="M232" s="846"/>
      <c r="N232" s="846"/>
      <c r="O232" s="737">
        <f t="shared" si="31"/>
        <v>0</v>
      </c>
      <c r="P232" s="847"/>
      <c r="Q232" s="847"/>
      <c r="R232" s="738">
        <f t="shared" si="34"/>
        <v>0</v>
      </c>
      <c r="S232" s="737">
        <f t="shared" si="35"/>
        <v>105201</v>
      </c>
      <c r="T232" s="739">
        <f t="shared" si="36"/>
        <v>42288</v>
      </c>
      <c r="U232" s="846"/>
      <c r="V232" s="847"/>
      <c r="W232" s="846"/>
      <c r="X232" s="846"/>
      <c r="Y232" s="740">
        <f t="shared" si="32"/>
        <v>0</v>
      </c>
      <c r="Z232" s="847"/>
      <c r="AA232" s="847"/>
      <c r="AB232" s="741">
        <f t="shared" si="33"/>
        <v>0</v>
      </c>
      <c r="AC232" s="846"/>
      <c r="AD232" s="847"/>
      <c r="AE232" s="846"/>
      <c r="AF232" s="846"/>
      <c r="AG232" s="847"/>
      <c r="AH232" s="847"/>
      <c r="AI232" s="742">
        <f t="shared" si="37"/>
        <v>105201</v>
      </c>
      <c r="AJ232" s="743">
        <f t="shared" si="38"/>
        <v>42288</v>
      </c>
    </row>
    <row r="233" spans="1:36">
      <c r="A233" s="915" t="s">
        <v>142</v>
      </c>
      <c r="B233" s="916" t="s">
        <v>272</v>
      </c>
      <c r="C233" s="922" t="s">
        <v>638</v>
      </c>
      <c r="D233" s="917"/>
      <c r="E233" s="918">
        <v>101462</v>
      </c>
      <c r="F233" s="933">
        <v>13</v>
      </c>
      <c r="G233" s="846"/>
      <c r="H233" s="847"/>
      <c r="I233" s="846">
        <v>149153</v>
      </c>
      <c r="J233" s="1466">
        <v>156745</v>
      </c>
      <c r="K233" s="846"/>
      <c r="L233" s="847"/>
      <c r="M233" s="846"/>
      <c r="N233" s="846"/>
      <c r="O233" s="737">
        <f t="shared" si="31"/>
        <v>0</v>
      </c>
      <c r="P233" s="847"/>
      <c r="Q233" s="847"/>
      <c r="R233" s="738">
        <f t="shared" si="34"/>
        <v>0</v>
      </c>
      <c r="S233" s="737">
        <f t="shared" si="35"/>
        <v>149153</v>
      </c>
      <c r="T233" s="739">
        <f t="shared" si="36"/>
        <v>156745</v>
      </c>
      <c r="U233" s="846"/>
      <c r="V233" s="847"/>
      <c r="W233" s="846"/>
      <c r="X233" s="846"/>
      <c r="Y233" s="740">
        <f t="shared" si="32"/>
        <v>0</v>
      </c>
      <c r="Z233" s="847"/>
      <c r="AA233" s="847"/>
      <c r="AB233" s="741">
        <f t="shared" si="33"/>
        <v>0</v>
      </c>
      <c r="AC233" s="846"/>
      <c r="AD233" s="847"/>
      <c r="AE233" s="846"/>
      <c r="AF233" s="846"/>
      <c r="AG233" s="847"/>
      <c r="AH233" s="847"/>
      <c r="AI233" s="742">
        <f t="shared" si="37"/>
        <v>149153</v>
      </c>
      <c r="AJ233" s="743">
        <f t="shared" si="38"/>
        <v>156745</v>
      </c>
    </row>
    <row r="234" spans="1:36">
      <c r="A234" s="915" t="s">
        <v>142</v>
      </c>
      <c r="B234" s="916" t="s">
        <v>272</v>
      </c>
      <c r="C234" s="922" t="s">
        <v>639</v>
      </c>
      <c r="D234" s="917"/>
      <c r="E234" s="918">
        <v>101462</v>
      </c>
      <c r="F234" s="933">
        <v>13</v>
      </c>
      <c r="G234" s="846"/>
      <c r="H234" s="847"/>
      <c r="I234" s="846">
        <v>30170</v>
      </c>
      <c r="J234" s="847">
        <v>30000</v>
      </c>
      <c r="K234" s="846"/>
      <c r="L234" s="847"/>
      <c r="M234" s="846"/>
      <c r="N234" s="846"/>
      <c r="O234" s="737">
        <f t="shared" si="31"/>
        <v>0</v>
      </c>
      <c r="P234" s="847"/>
      <c r="Q234" s="847"/>
      <c r="R234" s="738">
        <f t="shared" si="34"/>
        <v>0</v>
      </c>
      <c r="S234" s="737">
        <f t="shared" si="35"/>
        <v>30170</v>
      </c>
      <c r="T234" s="739">
        <f t="shared" si="36"/>
        <v>30000</v>
      </c>
      <c r="U234" s="846"/>
      <c r="V234" s="847"/>
      <c r="W234" s="846"/>
      <c r="X234" s="846"/>
      <c r="Y234" s="740">
        <f t="shared" si="32"/>
        <v>0</v>
      </c>
      <c r="Z234" s="847"/>
      <c r="AA234" s="847"/>
      <c r="AB234" s="741">
        <f t="shared" si="33"/>
        <v>0</v>
      </c>
      <c r="AC234" s="846"/>
      <c r="AD234" s="847"/>
      <c r="AE234" s="846"/>
      <c r="AF234" s="846"/>
      <c r="AG234" s="847"/>
      <c r="AH234" s="847"/>
      <c r="AI234" s="742">
        <f t="shared" si="37"/>
        <v>30170</v>
      </c>
      <c r="AJ234" s="743">
        <f t="shared" si="38"/>
        <v>30000</v>
      </c>
    </row>
    <row r="235" spans="1:36">
      <c r="A235" s="915" t="s">
        <v>142</v>
      </c>
      <c r="B235" s="916" t="s">
        <v>272</v>
      </c>
      <c r="C235" s="922" t="s">
        <v>640</v>
      </c>
      <c r="D235" s="917"/>
      <c r="E235" s="918">
        <v>101462</v>
      </c>
      <c r="F235" s="933">
        <v>13</v>
      </c>
      <c r="G235" s="846"/>
      <c r="H235" s="847"/>
      <c r="I235" s="846"/>
      <c r="J235" s="1466">
        <v>117870</v>
      </c>
      <c r="K235" s="846"/>
      <c r="L235" s="847"/>
      <c r="M235" s="846"/>
      <c r="N235" s="846"/>
      <c r="O235" s="737">
        <f t="shared" si="31"/>
        <v>0</v>
      </c>
      <c r="P235" s="847"/>
      <c r="Q235" s="847"/>
      <c r="R235" s="738">
        <f t="shared" si="34"/>
        <v>0</v>
      </c>
      <c r="S235" s="737">
        <f t="shared" si="35"/>
        <v>0</v>
      </c>
      <c r="T235" s="739">
        <f t="shared" si="36"/>
        <v>117870</v>
      </c>
      <c r="U235" s="846"/>
      <c r="V235" s="847"/>
      <c r="W235" s="846"/>
      <c r="X235" s="846"/>
      <c r="Y235" s="740">
        <f t="shared" si="32"/>
        <v>0</v>
      </c>
      <c r="Z235" s="847"/>
      <c r="AA235" s="847"/>
      <c r="AB235" s="741">
        <f t="shared" si="33"/>
        <v>0</v>
      </c>
      <c r="AC235" s="846"/>
      <c r="AD235" s="847"/>
      <c r="AE235" s="846"/>
      <c r="AF235" s="846"/>
      <c r="AG235" s="847"/>
      <c r="AH235" s="847"/>
      <c r="AI235" s="742">
        <f t="shared" si="37"/>
        <v>0</v>
      </c>
      <c r="AJ235" s="743">
        <f t="shared" si="38"/>
        <v>117870</v>
      </c>
    </row>
    <row r="236" spans="1:36">
      <c r="A236" s="915" t="s">
        <v>142</v>
      </c>
      <c r="B236" s="916" t="s">
        <v>264</v>
      </c>
      <c r="C236" s="923" t="s">
        <v>663</v>
      </c>
      <c r="D236" s="924"/>
      <c r="E236" s="918">
        <v>101471</v>
      </c>
      <c r="F236" s="933">
        <v>13</v>
      </c>
      <c r="G236" s="846">
        <v>6785543</v>
      </c>
      <c r="H236" s="847">
        <v>6824537</v>
      </c>
      <c r="I236" s="846"/>
      <c r="J236" s="847"/>
      <c r="K236" s="890">
        <v>0</v>
      </c>
      <c r="L236" s="847"/>
      <c r="M236" s="890">
        <v>2333194</v>
      </c>
      <c r="N236" s="890">
        <v>10445</v>
      </c>
      <c r="O236" s="737">
        <f t="shared" si="31"/>
        <v>2343639</v>
      </c>
      <c r="P236" s="847">
        <v>2205324</v>
      </c>
      <c r="Q236" s="847"/>
      <c r="R236" s="738">
        <f t="shared" si="34"/>
        <v>2205324</v>
      </c>
      <c r="S236" s="737">
        <f t="shared" si="35"/>
        <v>9118737</v>
      </c>
      <c r="T236" s="739">
        <f t="shared" si="36"/>
        <v>9029861</v>
      </c>
      <c r="U236" s="846"/>
      <c r="V236" s="847"/>
      <c r="W236" s="846"/>
      <c r="X236" s="846"/>
      <c r="Y236" s="740">
        <f t="shared" si="32"/>
        <v>0</v>
      </c>
      <c r="Z236" s="847"/>
      <c r="AA236" s="847"/>
      <c r="AB236" s="741">
        <f t="shared" si="33"/>
        <v>0</v>
      </c>
      <c r="AC236" s="846"/>
      <c r="AD236" s="847"/>
      <c r="AE236" s="846"/>
      <c r="AF236" s="846"/>
      <c r="AG236" s="847"/>
      <c r="AH236" s="847"/>
      <c r="AI236" s="742">
        <f t="shared" si="37"/>
        <v>9118737</v>
      </c>
      <c r="AJ236" s="743">
        <f t="shared" si="38"/>
        <v>9029861</v>
      </c>
    </row>
    <row r="237" spans="1:36">
      <c r="A237" s="915" t="s">
        <v>142</v>
      </c>
      <c r="B237" s="916" t="s">
        <v>272</v>
      </c>
      <c r="C237" s="921" t="s">
        <v>636</v>
      </c>
      <c r="D237" s="917"/>
      <c r="E237" s="918">
        <v>101471</v>
      </c>
      <c r="F237" s="933">
        <v>13</v>
      </c>
      <c r="G237" s="846"/>
      <c r="H237" s="847"/>
      <c r="I237" s="846"/>
      <c r="J237" s="847"/>
      <c r="K237" s="846"/>
      <c r="L237" s="847"/>
      <c r="M237" s="846"/>
      <c r="N237" s="846"/>
      <c r="O237" s="737">
        <f t="shared" si="31"/>
        <v>0</v>
      </c>
      <c r="P237" s="847"/>
      <c r="Q237" s="847"/>
      <c r="R237" s="738">
        <f t="shared" si="34"/>
        <v>0</v>
      </c>
      <c r="S237" s="737">
        <f t="shared" si="35"/>
        <v>0</v>
      </c>
      <c r="T237" s="739">
        <f t="shared" si="36"/>
        <v>0</v>
      </c>
      <c r="U237" s="846"/>
      <c r="V237" s="847"/>
      <c r="W237" s="846"/>
      <c r="X237" s="846"/>
      <c r="Y237" s="740">
        <f t="shared" si="32"/>
        <v>0</v>
      </c>
      <c r="Z237" s="847"/>
      <c r="AA237" s="847"/>
      <c r="AB237" s="741">
        <f t="shared" si="33"/>
        <v>0</v>
      </c>
      <c r="AC237" s="846"/>
      <c r="AD237" s="847"/>
      <c r="AE237" s="846"/>
      <c r="AF237" s="846"/>
      <c r="AG237" s="847"/>
      <c r="AH237" s="847"/>
      <c r="AI237" s="742">
        <f t="shared" si="37"/>
        <v>0</v>
      </c>
      <c r="AJ237" s="743">
        <f t="shared" si="38"/>
        <v>0</v>
      </c>
    </row>
    <row r="238" spans="1:36">
      <c r="A238" s="915" t="s">
        <v>142</v>
      </c>
      <c r="B238" s="916" t="s">
        <v>272</v>
      </c>
      <c r="C238" s="922" t="s">
        <v>637</v>
      </c>
      <c r="D238" s="917"/>
      <c r="E238" s="918">
        <v>101471</v>
      </c>
      <c r="F238" s="933">
        <v>13</v>
      </c>
      <c r="G238" s="846"/>
      <c r="H238" s="847"/>
      <c r="I238" s="846"/>
      <c r="J238" s="1466">
        <v>83358</v>
      </c>
      <c r="K238" s="846"/>
      <c r="L238" s="847"/>
      <c r="M238" s="846"/>
      <c r="N238" s="846"/>
      <c r="O238" s="737">
        <f t="shared" si="31"/>
        <v>0</v>
      </c>
      <c r="P238" s="847"/>
      <c r="Q238" s="847"/>
      <c r="R238" s="738">
        <f t="shared" si="34"/>
        <v>0</v>
      </c>
      <c r="S238" s="737">
        <f t="shared" si="35"/>
        <v>0</v>
      </c>
      <c r="T238" s="739">
        <f t="shared" si="36"/>
        <v>83358</v>
      </c>
      <c r="U238" s="846"/>
      <c r="V238" s="847"/>
      <c r="W238" s="846"/>
      <c r="X238" s="846"/>
      <c r="Y238" s="740">
        <f t="shared" si="32"/>
        <v>0</v>
      </c>
      <c r="Z238" s="847"/>
      <c r="AA238" s="847"/>
      <c r="AB238" s="741">
        <f t="shared" si="33"/>
        <v>0</v>
      </c>
      <c r="AC238" s="846"/>
      <c r="AD238" s="847"/>
      <c r="AE238" s="846"/>
      <c r="AF238" s="846"/>
      <c r="AG238" s="847"/>
      <c r="AH238" s="847"/>
      <c r="AI238" s="742">
        <f t="shared" si="37"/>
        <v>0</v>
      </c>
      <c r="AJ238" s="743">
        <f t="shared" si="38"/>
        <v>83358</v>
      </c>
    </row>
    <row r="239" spans="1:36">
      <c r="A239" s="915" t="s">
        <v>142</v>
      </c>
      <c r="B239" s="916" t="s">
        <v>272</v>
      </c>
      <c r="C239" s="922" t="s">
        <v>638</v>
      </c>
      <c r="D239" s="917"/>
      <c r="E239" s="918">
        <v>101471</v>
      </c>
      <c r="F239" s="933">
        <v>13</v>
      </c>
      <c r="G239" s="846"/>
      <c r="H239" s="847"/>
      <c r="I239" s="846">
        <v>554044</v>
      </c>
      <c r="J239" s="1466">
        <v>545296</v>
      </c>
      <c r="K239" s="846"/>
      <c r="L239" s="847"/>
      <c r="M239" s="846"/>
      <c r="N239" s="846"/>
      <c r="O239" s="737">
        <f t="shared" si="31"/>
        <v>0</v>
      </c>
      <c r="P239" s="847"/>
      <c r="Q239" s="847"/>
      <c r="R239" s="738">
        <f t="shared" si="34"/>
        <v>0</v>
      </c>
      <c r="S239" s="737">
        <f t="shared" si="35"/>
        <v>554044</v>
      </c>
      <c r="T239" s="739">
        <f t="shared" si="36"/>
        <v>545296</v>
      </c>
      <c r="U239" s="846"/>
      <c r="V239" s="847"/>
      <c r="W239" s="846"/>
      <c r="X239" s="846"/>
      <c r="Y239" s="740">
        <f t="shared" si="32"/>
        <v>0</v>
      </c>
      <c r="Z239" s="847"/>
      <c r="AA239" s="847"/>
      <c r="AB239" s="741">
        <f t="shared" si="33"/>
        <v>0</v>
      </c>
      <c r="AC239" s="846"/>
      <c r="AD239" s="847"/>
      <c r="AE239" s="846"/>
      <c r="AF239" s="846"/>
      <c r="AG239" s="847"/>
      <c r="AH239" s="847"/>
      <c r="AI239" s="742">
        <f t="shared" si="37"/>
        <v>554044</v>
      </c>
      <c r="AJ239" s="743">
        <f t="shared" si="38"/>
        <v>545296</v>
      </c>
    </row>
    <row r="240" spans="1:36">
      <c r="A240" s="915" t="s">
        <v>142</v>
      </c>
      <c r="B240" s="916" t="s">
        <v>272</v>
      </c>
      <c r="C240" s="922" t="s">
        <v>639</v>
      </c>
      <c r="D240" s="917"/>
      <c r="E240" s="918">
        <v>101471</v>
      </c>
      <c r="F240" s="933">
        <v>13</v>
      </c>
      <c r="G240" s="846"/>
      <c r="H240" s="847"/>
      <c r="I240" s="846">
        <v>31499</v>
      </c>
      <c r="J240" s="847"/>
      <c r="K240" s="846"/>
      <c r="L240" s="847"/>
      <c r="M240" s="846"/>
      <c r="N240" s="846"/>
      <c r="O240" s="737">
        <f t="shared" si="31"/>
        <v>0</v>
      </c>
      <c r="P240" s="847"/>
      <c r="Q240" s="847"/>
      <c r="R240" s="738">
        <f t="shared" si="34"/>
        <v>0</v>
      </c>
      <c r="S240" s="737">
        <f t="shared" si="35"/>
        <v>31499</v>
      </c>
      <c r="T240" s="739">
        <f t="shared" si="36"/>
        <v>0</v>
      </c>
      <c r="U240" s="846"/>
      <c r="V240" s="847"/>
      <c r="W240" s="846"/>
      <c r="X240" s="846"/>
      <c r="Y240" s="740">
        <f t="shared" si="32"/>
        <v>0</v>
      </c>
      <c r="Z240" s="847"/>
      <c r="AA240" s="847"/>
      <c r="AB240" s="741">
        <f t="shared" si="33"/>
        <v>0</v>
      </c>
      <c r="AC240" s="846"/>
      <c r="AD240" s="847"/>
      <c r="AE240" s="846"/>
      <c r="AF240" s="846"/>
      <c r="AG240" s="847"/>
      <c r="AH240" s="847"/>
      <c r="AI240" s="742">
        <f t="shared" si="37"/>
        <v>31499</v>
      </c>
      <c r="AJ240" s="743">
        <f t="shared" si="38"/>
        <v>0</v>
      </c>
    </row>
    <row r="241" spans="1:36">
      <c r="A241" s="915" t="s">
        <v>142</v>
      </c>
      <c r="B241" s="916" t="s">
        <v>264</v>
      </c>
      <c r="C241" s="923" t="s">
        <v>664</v>
      </c>
      <c r="D241" s="924"/>
      <c r="E241" s="918">
        <v>101994</v>
      </c>
      <c r="F241" s="933">
        <v>13</v>
      </c>
      <c r="G241" s="846">
        <v>4310779</v>
      </c>
      <c r="H241" s="847">
        <v>4313612</v>
      </c>
      <c r="I241" s="846"/>
      <c r="J241" s="847"/>
      <c r="K241" s="846"/>
      <c r="L241" s="847"/>
      <c r="M241" s="890">
        <v>1904480</v>
      </c>
      <c r="N241" s="890">
        <v>127148</v>
      </c>
      <c r="O241" s="737">
        <f t="shared" si="31"/>
        <v>2031628</v>
      </c>
      <c r="P241" s="847">
        <v>1914915</v>
      </c>
      <c r="Q241" s="847">
        <v>250235</v>
      </c>
      <c r="R241" s="738">
        <f t="shared" si="34"/>
        <v>2165150</v>
      </c>
      <c r="S241" s="737">
        <f t="shared" si="35"/>
        <v>6215259</v>
      </c>
      <c r="T241" s="739">
        <f t="shared" si="36"/>
        <v>6228527</v>
      </c>
      <c r="U241" s="846"/>
      <c r="V241" s="847"/>
      <c r="W241" s="846"/>
      <c r="X241" s="846"/>
      <c r="Y241" s="740">
        <f t="shared" si="32"/>
        <v>0</v>
      </c>
      <c r="Z241" s="847"/>
      <c r="AA241" s="847"/>
      <c r="AB241" s="741">
        <f t="shared" si="33"/>
        <v>0</v>
      </c>
      <c r="AC241" s="846"/>
      <c r="AD241" s="847"/>
      <c r="AE241" s="846"/>
      <c r="AF241" s="846"/>
      <c r="AG241" s="847"/>
      <c r="AH241" s="847"/>
      <c r="AI241" s="742">
        <f t="shared" si="37"/>
        <v>6215259</v>
      </c>
      <c r="AJ241" s="743">
        <f t="shared" si="38"/>
        <v>6228527</v>
      </c>
    </row>
    <row r="242" spans="1:36">
      <c r="A242" s="915" t="s">
        <v>142</v>
      </c>
      <c r="B242" s="916" t="s">
        <v>272</v>
      </c>
      <c r="C242" s="921" t="s">
        <v>636</v>
      </c>
      <c r="D242" s="917"/>
      <c r="E242" s="918">
        <v>101994</v>
      </c>
      <c r="F242" s="933">
        <v>13</v>
      </c>
      <c r="G242" s="846"/>
      <c r="H242" s="847"/>
      <c r="I242" s="846"/>
      <c r="J242" s="847"/>
      <c r="K242" s="846"/>
      <c r="L242" s="847"/>
      <c r="M242" s="846"/>
      <c r="N242" s="846"/>
      <c r="O242" s="737">
        <f t="shared" si="31"/>
        <v>0</v>
      </c>
      <c r="P242" s="847"/>
      <c r="Q242" s="847"/>
      <c r="R242" s="738">
        <f t="shared" si="34"/>
        <v>0</v>
      </c>
      <c r="S242" s="737">
        <f t="shared" si="35"/>
        <v>0</v>
      </c>
      <c r="T242" s="739">
        <f t="shared" si="36"/>
        <v>0</v>
      </c>
      <c r="U242" s="846"/>
      <c r="V242" s="847"/>
      <c r="W242" s="846"/>
      <c r="X242" s="846"/>
      <c r="Y242" s="740">
        <f t="shared" si="32"/>
        <v>0</v>
      </c>
      <c r="Z242" s="847"/>
      <c r="AA242" s="847"/>
      <c r="AB242" s="741">
        <f t="shared" si="33"/>
        <v>0</v>
      </c>
      <c r="AC242" s="846"/>
      <c r="AD242" s="847"/>
      <c r="AE242" s="846"/>
      <c r="AF242" s="846"/>
      <c r="AG242" s="847"/>
      <c r="AH242" s="847"/>
      <c r="AI242" s="742">
        <f t="shared" si="37"/>
        <v>0</v>
      </c>
      <c r="AJ242" s="743">
        <f t="shared" si="38"/>
        <v>0</v>
      </c>
    </row>
    <row r="243" spans="1:36">
      <c r="A243" s="915" t="s">
        <v>142</v>
      </c>
      <c r="B243" s="916" t="s">
        <v>272</v>
      </c>
      <c r="C243" s="922" t="s">
        <v>637</v>
      </c>
      <c r="D243" s="917"/>
      <c r="E243" s="918">
        <v>101994</v>
      </c>
      <c r="F243" s="933">
        <v>13</v>
      </c>
      <c r="G243" s="846"/>
      <c r="H243" s="847"/>
      <c r="I243" s="846">
        <v>186247</v>
      </c>
      <c r="J243" s="1466">
        <v>84102</v>
      </c>
      <c r="K243" s="846"/>
      <c r="L243" s="847"/>
      <c r="M243" s="846"/>
      <c r="N243" s="846"/>
      <c r="O243" s="737">
        <f t="shared" si="31"/>
        <v>0</v>
      </c>
      <c r="P243" s="847"/>
      <c r="Q243" s="847"/>
      <c r="R243" s="738">
        <f t="shared" si="34"/>
        <v>0</v>
      </c>
      <c r="S243" s="737">
        <f t="shared" si="35"/>
        <v>186247</v>
      </c>
      <c r="T243" s="739">
        <f t="shared" si="36"/>
        <v>84102</v>
      </c>
      <c r="U243" s="846"/>
      <c r="V243" s="847"/>
      <c r="W243" s="846"/>
      <c r="X243" s="846"/>
      <c r="Y243" s="740">
        <f t="shared" si="32"/>
        <v>0</v>
      </c>
      <c r="Z243" s="847"/>
      <c r="AA243" s="847"/>
      <c r="AB243" s="741">
        <f t="shared" si="33"/>
        <v>0</v>
      </c>
      <c r="AC243" s="846"/>
      <c r="AD243" s="847"/>
      <c r="AE243" s="846"/>
      <c r="AF243" s="846"/>
      <c r="AG243" s="847"/>
      <c r="AH243" s="847"/>
      <c r="AI243" s="742">
        <f t="shared" si="37"/>
        <v>186247</v>
      </c>
      <c r="AJ243" s="743">
        <f t="shared" si="38"/>
        <v>84102</v>
      </c>
    </row>
    <row r="244" spans="1:36">
      <c r="A244" s="915" t="s">
        <v>142</v>
      </c>
      <c r="B244" s="916" t="s">
        <v>272</v>
      </c>
      <c r="C244" s="922" t="s">
        <v>638</v>
      </c>
      <c r="D244" s="917"/>
      <c r="E244" s="918">
        <v>101994</v>
      </c>
      <c r="F244" s="933">
        <v>13</v>
      </c>
      <c r="G244" s="846"/>
      <c r="H244" s="847"/>
      <c r="I244" s="846">
        <v>153385</v>
      </c>
      <c r="J244" s="1466">
        <v>122321</v>
      </c>
      <c r="K244" s="846"/>
      <c r="L244" s="847"/>
      <c r="M244" s="846"/>
      <c r="N244" s="846"/>
      <c r="O244" s="737">
        <f t="shared" si="31"/>
        <v>0</v>
      </c>
      <c r="P244" s="847"/>
      <c r="Q244" s="847"/>
      <c r="R244" s="738">
        <f t="shared" si="34"/>
        <v>0</v>
      </c>
      <c r="S244" s="737">
        <f t="shared" si="35"/>
        <v>153385</v>
      </c>
      <c r="T244" s="739">
        <f t="shared" si="36"/>
        <v>122321</v>
      </c>
      <c r="U244" s="846"/>
      <c r="V244" s="847"/>
      <c r="W244" s="846"/>
      <c r="X244" s="846"/>
      <c r="Y244" s="740">
        <f t="shared" si="32"/>
        <v>0</v>
      </c>
      <c r="Z244" s="847"/>
      <c r="AA244" s="847"/>
      <c r="AB244" s="741">
        <f t="shared" si="33"/>
        <v>0</v>
      </c>
      <c r="AC244" s="846"/>
      <c r="AD244" s="847"/>
      <c r="AE244" s="846"/>
      <c r="AF244" s="846"/>
      <c r="AG244" s="847"/>
      <c r="AH244" s="847"/>
      <c r="AI244" s="742">
        <f t="shared" si="37"/>
        <v>153385</v>
      </c>
      <c r="AJ244" s="743">
        <f t="shared" si="38"/>
        <v>122321</v>
      </c>
    </row>
    <row r="245" spans="1:36">
      <c r="A245" s="915" t="s">
        <v>142</v>
      </c>
      <c r="B245" s="916" t="s">
        <v>272</v>
      </c>
      <c r="C245" s="922" t="s">
        <v>639</v>
      </c>
      <c r="D245" s="917"/>
      <c r="E245" s="918">
        <v>101994</v>
      </c>
      <c r="F245" s="933">
        <v>13</v>
      </c>
      <c r="G245" s="846"/>
      <c r="H245" s="847"/>
      <c r="I245" s="846"/>
      <c r="J245" s="1466">
        <v>25619</v>
      </c>
      <c r="K245" s="846"/>
      <c r="L245" s="847"/>
      <c r="M245" s="846"/>
      <c r="N245" s="846"/>
      <c r="O245" s="737">
        <f t="shared" si="31"/>
        <v>0</v>
      </c>
      <c r="P245" s="847"/>
      <c r="Q245" s="847"/>
      <c r="R245" s="738">
        <f t="shared" si="34"/>
        <v>0</v>
      </c>
      <c r="S245" s="737">
        <f t="shared" si="35"/>
        <v>0</v>
      </c>
      <c r="T245" s="739">
        <f t="shared" si="36"/>
        <v>25619</v>
      </c>
      <c r="U245" s="846"/>
      <c r="V245" s="847"/>
      <c r="W245" s="846"/>
      <c r="X245" s="846"/>
      <c r="Y245" s="740">
        <f t="shared" si="32"/>
        <v>0</v>
      </c>
      <c r="Z245" s="847"/>
      <c r="AA245" s="847"/>
      <c r="AB245" s="741">
        <f t="shared" si="33"/>
        <v>0</v>
      </c>
      <c r="AC245" s="846"/>
      <c r="AD245" s="847"/>
      <c r="AE245" s="846"/>
      <c r="AF245" s="846"/>
      <c r="AG245" s="847"/>
      <c r="AH245" s="847"/>
      <c r="AI245" s="742">
        <f t="shared" si="37"/>
        <v>0</v>
      </c>
      <c r="AJ245" s="743">
        <f t="shared" si="38"/>
        <v>25619</v>
      </c>
    </row>
    <row r="246" spans="1:36">
      <c r="A246" s="915" t="s">
        <v>142</v>
      </c>
      <c r="B246" s="916" t="s">
        <v>272</v>
      </c>
      <c r="C246" s="922" t="s">
        <v>640</v>
      </c>
      <c r="D246" s="917"/>
      <c r="E246" s="918">
        <v>101994</v>
      </c>
      <c r="F246" s="933">
        <v>13</v>
      </c>
      <c r="G246" s="846"/>
      <c r="H246" s="847"/>
      <c r="I246" s="846"/>
      <c r="J246" s="847">
        <v>200000</v>
      </c>
      <c r="K246" s="846"/>
      <c r="L246" s="847"/>
      <c r="M246" s="846"/>
      <c r="N246" s="846"/>
      <c r="O246" s="737">
        <f t="shared" si="31"/>
        <v>0</v>
      </c>
      <c r="P246" s="847"/>
      <c r="Q246" s="847"/>
      <c r="R246" s="738">
        <f t="shared" si="34"/>
        <v>0</v>
      </c>
      <c r="S246" s="737">
        <f t="shared" si="35"/>
        <v>0</v>
      </c>
      <c r="T246" s="739">
        <f t="shared" si="36"/>
        <v>200000</v>
      </c>
      <c r="U246" s="846"/>
      <c r="V246" s="847"/>
      <c r="W246" s="846"/>
      <c r="X246" s="846"/>
      <c r="Y246" s="740">
        <f t="shared" si="32"/>
        <v>0</v>
      </c>
      <c r="Z246" s="847"/>
      <c r="AA246" s="847"/>
      <c r="AB246" s="741">
        <f t="shared" si="33"/>
        <v>0</v>
      </c>
      <c r="AC246" s="846"/>
      <c r="AD246" s="847"/>
      <c r="AE246" s="846"/>
      <c r="AF246" s="846"/>
      <c r="AG246" s="847"/>
      <c r="AH246" s="847"/>
      <c r="AI246" s="742">
        <f t="shared" si="37"/>
        <v>0</v>
      </c>
      <c r="AJ246" s="743">
        <f t="shared" si="38"/>
        <v>200000</v>
      </c>
    </row>
    <row r="247" spans="1:36">
      <c r="A247" s="915" t="s">
        <v>142</v>
      </c>
      <c r="B247" s="916" t="s">
        <v>302</v>
      </c>
      <c r="C247" s="916" t="s">
        <v>665</v>
      </c>
      <c r="D247" s="934"/>
      <c r="E247" s="918">
        <v>101648</v>
      </c>
      <c r="F247" s="933">
        <v>15</v>
      </c>
      <c r="G247" s="846"/>
      <c r="H247" s="847"/>
      <c r="I247" s="846"/>
      <c r="J247" s="847"/>
      <c r="K247" s="846"/>
      <c r="L247" s="847"/>
      <c r="M247" s="846"/>
      <c r="N247" s="846"/>
      <c r="O247" s="737">
        <f t="shared" si="31"/>
        <v>0</v>
      </c>
      <c r="P247" s="847"/>
      <c r="Q247" s="847"/>
      <c r="R247" s="738">
        <f t="shared" si="34"/>
        <v>0</v>
      </c>
      <c r="S247" s="737">
        <f t="shared" si="35"/>
        <v>0</v>
      </c>
      <c r="T247" s="739">
        <f t="shared" si="36"/>
        <v>0</v>
      </c>
      <c r="U247" s="846">
        <v>6125936</v>
      </c>
      <c r="V247" s="847">
        <v>6343936</v>
      </c>
      <c r="W247" s="890">
        <v>4043350</v>
      </c>
      <c r="X247" s="890">
        <v>185368</v>
      </c>
      <c r="Y247" s="740">
        <f t="shared" si="32"/>
        <v>4228718</v>
      </c>
      <c r="Z247" s="847">
        <v>4098700</v>
      </c>
      <c r="AA247" s="847">
        <v>177000</v>
      </c>
      <c r="AB247" s="741">
        <f t="shared" si="33"/>
        <v>4275700</v>
      </c>
      <c r="AC247" s="846"/>
      <c r="AD247" s="847"/>
      <c r="AE247" s="846"/>
      <c r="AF247" s="846"/>
      <c r="AG247" s="847"/>
      <c r="AH247" s="847"/>
      <c r="AI247" s="742">
        <f t="shared" si="37"/>
        <v>10169286</v>
      </c>
      <c r="AJ247" s="743">
        <f t="shared" si="38"/>
        <v>10442636</v>
      </c>
    </row>
    <row r="248" spans="1:36">
      <c r="A248" s="915" t="s">
        <v>142</v>
      </c>
      <c r="B248" s="916" t="s">
        <v>273</v>
      </c>
      <c r="C248" s="935" t="s">
        <v>666</v>
      </c>
      <c r="D248" s="924"/>
      <c r="E248" s="918"/>
      <c r="F248" s="919"/>
      <c r="G248" s="846"/>
      <c r="H248" s="847"/>
      <c r="I248" s="846"/>
      <c r="J248" s="847"/>
      <c r="K248" s="846"/>
      <c r="L248" s="847"/>
      <c r="M248" s="846"/>
      <c r="N248" s="846"/>
      <c r="O248" s="737">
        <f t="shared" si="31"/>
        <v>0</v>
      </c>
      <c r="P248" s="847"/>
      <c r="Q248" s="847"/>
      <c r="R248" s="738">
        <f t="shared" si="34"/>
        <v>0</v>
      </c>
      <c r="S248" s="737">
        <f t="shared" si="35"/>
        <v>0</v>
      </c>
      <c r="T248" s="739">
        <f t="shared" si="36"/>
        <v>0</v>
      </c>
      <c r="U248" s="846"/>
      <c r="V248" s="847"/>
      <c r="W248" s="846"/>
      <c r="X248" s="846"/>
      <c r="Y248" s="740">
        <f t="shared" si="32"/>
        <v>0</v>
      </c>
      <c r="Z248" s="847"/>
      <c r="AA248" s="847"/>
      <c r="AB248" s="741">
        <f t="shared" si="33"/>
        <v>0</v>
      </c>
      <c r="AC248" s="846"/>
      <c r="AD248" s="847"/>
      <c r="AE248" s="846"/>
      <c r="AF248" s="846"/>
      <c r="AG248" s="847"/>
      <c r="AH248" s="847"/>
      <c r="AI248" s="742">
        <f t="shared" si="37"/>
        <v>0</v>
      </c>
      <c r="AJ248" s="743">
        <f t="shared" si="38"/>
        <v>0</v>
      </c>
    </row>
    <row r="249" spans="1:36">
      <c r="A249" s="915" t="s">
        <v>142</v>
      </c>
      <c r="B249" s="916" t="s">
        <v>278</v>
      </c>
      <c r="C249" s="921" t="s">
        <v>309</v>
      </c>
      <c r="D249" s="917"/>
      <c r="E249" s="936"/>
      <c r="F249" s="937"/>
      <c r="G249" s="846"/>
      <c r="H249" s="847"/>
      <c r="I249" s="846"/>
      <c r="J249" s="847"/>
      <c r="K249" s="846"/>
      <c r="L249" s="847"/>
      <c r="M249" s="846"/>
      <c r="N249" s="846"/>
      <c r="O249" s="737">
        <f t="shared" si="31"/>
        <v>0</v>
      </c>
      <c r="P249" s="847"/>
      <c r="Q249" s="847"/>
      <c r="R249" s="738">
        <f t="shared" si="34"/>
        <v>0</v>
      </c>
      <c r="S249" s="737">
        <f t="shared" si="35"/>
        <v>0</v>
      </c>
      <c r="T249" s="739">
        <f t="shared" si="36"/>
        <v>0</v>
      </c>
      <c r="U249" s="846"/>
      <c r="V249" s="847"/>
      <c r="W249" s="846"/>
      <c r="X249" s="846"/>
      <c r="Y249" s="740">
        <f t="shared" si="32"/>
        <v>0</v>
      </c>
      <c r="Z249" s="847"/>
      <c r="AA249" s="847"/>
      <c r="AB249" s="741">
        <f t="shared" si="33"/>
        <v>0</v>
      </c>
      <c r="AC249" s="846"/>
      <c r="AD249" s="847"/>
      <c r="AE249" s="846"/>
      <c r="AF249" s="846"/>
      <c r="AG249" s="847"/>
      <c r="AH249" s="847"/>
      <c r="AI249" s="742">
        <f t="shared" si="37"/>
        <v>0</v>
      </c>
      <c r="AJ249" s="743">
        <f t="shared" si="38"/>
        <v>0</v>
      </c>
    </row>
    <row r="250" spans="1:36">
      <c r="A250" s="915" t="s">
        <v>142</v>
      </c>
      <c r="B250" s="916" t="s">
        <v>278</v>
      </c>
      <c r="C250" s="922" t="s">
        <v>667</v>
      </c>
      <c r="D250" s="917"/>
      <c r="E250" s="936"/>
      <c r="F250" s="937"/>
      <c r="G250" s="846"/>
      <c r="H250" s="847"/>
      <c r="I250" s="890">
        <v>1143088</v>
      </c>
      <c r="J250" s="847">
        <v>1143088</v>
      </c>
      <c r="K250" s="846"/>
      <c r="L250" s="847"/>
      <c r="M250" s="846"/>
      <c r="N250" s="846"/>
      <c r="O250" s="737">
        <f t="shared" si="31"/>
        <v>0</v>
      </c>
      <c r="P250" s="847"/>
      <c r="Q250" s="847"/>
      <c r="R250" s="738">
        <f t="shared" si="34"/>
        <v>0</v>
      </c>
      <c r="S250" s="737">
        <f t="shared" si="35"/>
        <v>1143088</v>
      </c>
      <c r="T250" s="739">
        <f t="shared" si="36"/>
        <v>1143088</v>
      </c>
      <c r="U250" s="846"/>
      <c r="V250" s="847"/>
      <c r="W250" s="846"/>
      <c r="X250" s="846"/>
      <c r="Y250" s="740">
        <f t="shared" si="32"/>
        <v>0</v>
      </c>
      <c r="Z250" s="847"/>
      <c r="AA250" s="847"/>
      <c r="AB250" s="741">
        <f t="shared" si="33"/>
        <v>0</v>
      </c>
      <c r="AC250" s="846"/>
      <c r="AD250" s="847"/>
      <c r="AE250" s="846"/>
      <c r="AF250" s="846"/>
      <c r="AG250" s="847"/>
      <c r="AH250" s="847"/>
      <c r="AI250" s="742">
        <f t="shared" si="37"/>
        <v>1143088</v>
      </c>
      <c r="AJ250" s="743">
        <f t="shared" si="38"/>
        <v>1143088</v>
      </c>
    </row>
    <row r="251" spans="1:36">
      <c r="A251" s="915" t="s">
        <v>142</v>
      </c>
      <c r="B251" s="916" t="s">
        <v>278</v>
      </c>
      <c r="C251" s="922" t="s">
        <v>668</v>
      </c>
      <c r="D251" s="917"/>
      <c r="E251" s="936"/>
      <c r="F251" s="937"/>
      <c r="G251" s="846"/>
      <c r="H251" s="847"/>
      <c r="I251" s="846">
        <v>3805262</v>
      </c>
      <c r="J251" s="847">
        <v>4005262</v>
      </c>
      <c r="K251" s="846"/>
      <c r="L251" s="847"/>
      <c r="M251" s="846"/>
      <c r="N251" s="846"/>
      <c r="O251" s="737">
        <f t="shared" si="31"/>
        <v>0</v>
      </c>
      <c r="P251" s="847"/>
      <c r="Q251" s="847"/>
      <c r="R251" s="738">
        <f t="shared" si="34"/>
        <v>0</v>
      </c>
      <c r="S251" s="737">
        <f t="shared" si="35"/>
        <v>3805262</v>
      </c>
      <c r="T251" s="739">
        <f t="shared" si="36"/>
        <v>4005262</v>
      </c>
      <c r="U251" s="846"/>
      <c r="V251" s="847"/>
      <c r="W251" s="846"/>
      <c r="X251" s="846"/>
      <c r="Y251" s="740">
        <f t="shared" si="32"/>
        <v>0</v>
      </c>
      <c r="Z251" s="847"/>
      <c r="AA251" s="847"/>
      <c r="AB251" s="741">
        <f t="shared" si="33"/>
        <v>0</v>
      </c>
      <c r="AC251" s="846"/>
      <c r="AD251" s="847"/>
      <c r="AE251" s="846"/>
      <c r="AF251" s="846"/>
      <c r="AG251" s="847"/>
      <c r="AH251" s="847"/>
      <c r="AI251" s="742">
        <f t="shared" si="37"/>
        <v>3805262</v>
      </c>
      <c r="AJ251" s="743">
        <f t="shared" si="38"/>
        <v>4005262</v>
      </c>
    </row>
    <row r="252" spans="1:36">
      <c r="A252" s="915" t="s">
        <v>142</v>
      </c>
      <c r="B252" s="916" t="s">
        <v>279</v>
      </c>
      <c r="C252" s="921" t="s">
        <v>636</v>
      </c>
      <c r="D252" s="917"/>
      <c r="E252" s="936"/>
      <c r="F252" s="937"/>
      <c r="G252" s="846"/>
      <c r="H252" s="847"/>
      <c r="I252" s="846"/>
      <c r="J252" s="847"/>
      <c r="K252" s="846"/>
      <c r="L252" s="847"/>
      <c r="M252" s="846"/>
      <c r="N252" s="846"/>
      <c r="O252" s="737">
        <f t="shared" si="31"/>
        <v>0</v>
      </c>
      <c r="P252" s="847"/>
      <c r="Q252" s="847"/>
      <c r="R252" s="738">
        <f t="shared" si="34"/>
        <v>0</v>
      </c>
      <c r="S252" s="737">
        <f t="shared" si="35"/>
        <v>0</v>
      </c>
      <c r="T252" s="739">
        <f t="shared" si="36"/>
        <v>0</v>
      </c>
      <c r="U252" s="846"/>
      <c r="V252" s="847"/>
      <c r="W252" s="846"/>
      <c r="X252" s="846"/>
      <c r="Y252" s="740">
        <f t="shared" si="32"/>
        <v>0</v>
      </c>
      <c r="Z252" s="847"/>
      <c r="AA252" s="847"/>
      <c r="AB252" s="741">
        <f t="shared" si="33"/>
        <v>0</v>
      </c>
      <c r="AC252" s="846"/>
      <c r="AD252" s="847"/>
      <c r="AE252" s="846"/>
      <c r="AF252" s="846"/>
      <c r="AG252" s="847"/>
      <c r="AH252" s="847"/>
      <c r="AI252" s="742">
        <f t="shared" si="37"/>
        <v>0</v>
      </c>
      <c r="AJ252" s="743">
        <f t="shared" si="38"/>
        <v>0</v>
      </c>
    </row>
    <row r="253" spans="1:36">
      <c r="A253" s="915" t="s">
        <v>142</v>
      </c>
      <c r="B253" s="916" t="s">
        <v>279</v>
      </c>
      <c r="C253" s="922" t="s">
        <v>669</v>
      </c>
      <c r="D253" s="917"/>
      <c r="E253" s="936"/>
      <c r="F253" s="937"/>
      <c r="G253" s="846"/>
      <c r="H253" s="847"/>
      <c r="I253" s="846">
        <v>301248</v>
      </c>
      <c r="J253" s="847">
        <v>301248</v>
      </c>
      <c r="K253" s="846"/>
      <c r="L253" s="847"/>
      <c r="M253" s="846"/>
      <c r="N253" s="846"/>
      <c r="O253" s="737">
        <f t="shared" si="31"/>
        <v>0</v>
      </c>
      <c r="P253" s="847"/>
      <c r="Q253" s="847"/>
      <c r="R253" s="738">
        <f t="shared" si="34"/>
        <v>0</v>
      </c>
      <c r="S253" s="737">
        <f t="shared" si="35"/>
        <v>301248</v>
      </c>
      <c r="T253" s="739">
        <f t="shared" si="36"/>
        <v>301248</v>
      </c>
      <c r="U253" s="846"/>
      <c r="V253" s="847"/>
      <c r="W253" s="846"/>
      <c r="X253" s="846"/>
      <c r="Y253" s="740">
        <f t="shared" si="32"/>
        <v>0</v>
      </c>
      <c r="Z253" s="847"/>
      <c r="AA253" s="847"/>
      <c r="AB253" s="741">
        <f t="shared" si="33"/>
        <v>0</v>
      </c>
      <c r="AC253" s="846"/>
      <c r="AD253" s="847"/>
      <c r="AE253" s="846"/>
      <c r="AF253" s="846"/>
      <c r="AG253" s="847"/>
      <c r="AH253" s="847"/>
      <c r="AI253" s="742">
        <f t="shared" si="37"/>
        <v>301248</v>
      </c>
      <c r="AJ253" s="743">
        <f t="shared" si="38"/>
        <v>301248</v>
      </c>
    </row>
    <row r="254" spans="1:36">
      <c r="A254" s="915" t="s">
        <v>142</v>
      </c>
      <c r="B254" s="916" t="s">
        <v>279</v>
      </c>
      <c r="C254" s="922" t="s">
        <v>614</v>
      </c>
      <c r="D254" s="917"/>
      <c r="E254" s="936"/>
      <c r="F254" s="937"/>
      <c r="G254" s="846"/>
      <c r="H254" s="847"/>
      <c r="I254" s="846">
        <v>827523</v>
      </c>
      <c r="J254" s="847">
        <v>539523</v>
      </c>
      <c r="K254" s="846"/>
      <c r="L254" s="847"/>
      <c r="M254" s="846"/>
      <c r="N254" s="846"/>
      <c r="O254" s="737">
        <f t="shared" si="31"/>
        <v>0</v>
      </c>
      <c r="P254" s="847"/>
      <c r="Q254" s="847"/>
      <c r="R254" s="738">
        <f t="shared" si="34"/>
        <v>0</v>
      </c>
      <c r="S254" s="737">
        <f t="shared" si="35"/>
        <v>827523</v>
      </c>
      <c r="T254" s="739">
        <f t="shared" si="36"/>
        <v>539523</v>
      </c>
      <c r="U254" s="846"/>
      <c r="V254" s="847"/>
      <c r="W254" s="846"/>
      <c r="X254" s="846"/>
      <c r="Y254" s="740">
        <f t="shared" si="32"/>
        <v>0</v>
      </c>
      <c r="Z254" s="847"/>
      <c r="AA254" s="847"/>
      <c r="AB254" s="741">
        <f t="shared" si="33"/>
        <v>0</v>
      </c>
      <c r="AC254" s="846"/>
      <c r="AD254" s="847"/>
      <c r="AE254" s="846"/>
      <c r="AF254" s="846"/>
      <c r="AG254" s="847"/>
      <c r="AH254" s="847"/>
      <c r="AI254" s="742">
        <f t="shared" si="37"/>
        <v>827523</v>
      </c>
      <c r="AJ254" s="743">
        <f t="shared" si="38"/>
        <v>539523</v>
      </c>
    </row>
    <row r="255" spans="1:36">
      <c r="A255" s="915" t="s">
        <v>142</v>
      </c>
      <c r="B255" s="916" t="s">
        <v>279</v>
      </c>
      <c r="C255" s="922" t="s">
        <v>670</v>
      </c>
      <c r="D255" s="917"/>
      <c r="E255" s="918"/>
      <c r="F255" s="919"/>
      <c r="G255" s="846"/>
      <c r="H255" s="847"/>
      <c r="I255" s="846">
        <v>3682521</v>
      </c>
      <c r="J255" s="847">
        <v>3782521</v>
      </c>
      <c r="K255" s="846"/>
      <c r="L255" s="847"/>
      <c r="M255" s="846"/>
      <c r="N255" s="846"/>
      <c r="O255" s="737">
        <f t="shared" si="31"/>
        <v>0</v>
      </c>
      <c r="P255" s="847"/>
      <c r="Q255" s="847"/>
      <c r="R255" s="738">
        <f t="shared" si="34"/>
        <v>0</v>
      </c>
      <c r="S255" s="737">
        <f t="shared" si="35"/>
        <v>3682521</v>
      </c>
      <c r="T255" s="739">
        <f t="shared" si="36"/>
        <v>3782521</v>
      </c>
      <c r="U255" s="846"/>
      <c r="V255" s="847"/>
      <c r="W255" s="846"/>
      <c r="X255" s="846"/>
      <c r="Y255" s="740">
        <f t="shared" si="32"/>
        <v>0</v>
      </c>
      <c r="Z255" s="847"/>
      <c r="AA255" s="847"/>
      <c r="AB255" s="741">
        <f t="shared" si="33"/>
        <v>0</v>
      </c>
      <c r="AC255" s="846"/>
      <c r="AD255" s="847"/>
      <c r="AE255" s="846"/>
      <c r="AF255" s="846"/>
      <c r="AG255" s="847"/>
      <c r="AH255" s="847"/>
      <c r="AI255" s="742">
        <f t="shared" si="37"/>
        <v>3682521</v>
      </c>
      <c r="AJ255" s="743">
        <f t="shared" si="38"/>
        <v>3782521</v>
      </c>
    </row>
    <row r="256" spans="1:36">
      <c r="A256" s="915" t="s">
        <v>142</v>
      </c>
      <c r="B256" s="916" t="s">
        <v>279</v>
      </c>
      <c r="C256" s="922" t="s">
        <v>638</v>
      </c>
      <c r="D256" s="917"/>
      <c r="E256" s="936"/>
      <c r="F256" s="937"/>
      <c r="G256" s="846"/>
      <c r="H256" s="847"/>
      <c r="I256" s="890">
        <v>937348</v>
      </c>
      <c r="J256" s="1466">
        <v>873230</v>
      </c>
      <c r="K256" s="846"/>
      <c r="L256" s="847"/>
      <c r="M256" s="846"/>
      <c r="N256" s="846"/>
      <c r="O256" s="737">
        <f t="shared" si="31"/>
        <v>0</v>
      </c>
      <c r="P256" s="847"/>
      <c r="Q256" s="847"/>
      <c r="R256" s="738">
        <f t="shared" si="34"/>
        <v>0</v>
      </c>
      <c r="S256" s="737">
        <f t="shared" si="35"/>
        <v>937348</v>
      </c>
      <c r="T256" s="739">
        <f t="shared" si="36"/>
        <v>873230</v>
      </c>
      <c r="U256" s="846"/>
      <c r="V256" s="847"/>
      <c r="W256" s="846"/>
      <c r="X256" s="846"/>
      <c r="Y256" s="740">
        <f t="shared" si="32"/>
        <v>0</v>
      </c>
      <c r="Z256" s="847"/>
      <c r="AA256" s="847"/>
      <c r="AB256" s="741">
        <f t="shared" si="33"/>
        <v>0</v>
      </c>
      <c r="AC256" s="846"/>
      <c r="AD256" s="847"/>
      <c r="AE256" s="846"/>
      <c r="AF256" s="846"/>
      <c r="AG256" s="847"/>
      <c r="AH256" s="847"/>
      <c r="AI256" s="742">
        <f t="shared" si="37"/>
        <v>937348</v>
      </c>
      <c r="AJ256" s="743">
        <f t="shared" si="38"/>
        <v>873230</v>
      </c>
    </row>
    <row r="257" spans="1:36">
      <c r="A257" s="915" t="s">
        <v>142</v>
      </c>
      <c r="B257" s="916" t="s">
        <v>279</v>
      </c>
      <c r="C257" s="922" t="s">
        <v>671</v>
      </c>
      <c r="D257" s="917"/>
      <c r="E257" s="936"/>
      <c r="F257" s="937"/>
      <c r="G257" s="846"/>
      <c r="H257" s="847"/>
      <c r="I257" s="846">
        <v>4586762</v>
      </c>
      <c r="J257" s="847">
        <v>4646762</v>
      </c>
      <c r="K257" s="846"/>
      <c r="L257" s="847"/>
      <c r="M257" s="846"/>
      <c r="N257" s="846"/>
      <c r="O257" s="737">
        <f t="shared" si="31"/>
        <v>0</v>
      </c>
      <c r="P257" s="847"/>
      <c r="Q257" s="847"/>
      <c r="R257" s="738">
        <f t="shared" si="34"/>
        <v>0</v>
      </c>
      <c r="S257" s="737">
        <f t="shared" si="35"/>
        <v>4586762</v>
      </c>
      <c r="T257" s="739">
        <f t="shared" si="36"/>
        <v>4646762</v>
      </c>
      <c r="U257" s="846"/>
      <c r="V257" s="847"/>
      <c r="W257" s="846"/>
      <c r="X257" s="846"/>
      <c r="Y257" s="740">
        <f t="shared" si="32"/>
        <v>0</v>
      </c>
      <c r="Z257" s="847"/>
      <c r="AA257" s="847"/>
      <c r="AB257" s="741">
        <f t="shared" si="33"/>
        <v>0</v>
      </c>
      <c r="AC257" s="846"/>
      <c r="AD257" s="847"/>
      <c r="AE257" s="846"/>
      <c r="AF257" s="846"/>
      <c r="AG257" s="847"/>
      <c r="AH257" s="847"/>
      <c r="AI257" s="742">
        <f t="shared" si="37"/>
        <v>4586762</v>
      </c>
      <c r="AJ257" s="743">
        <f t="shared" si="38"/>
        <v>4646762</v>
      </c>
    </row>
    <row r="258" spans="1:36">
      <c r="A258" s="915" t="s">
        <v>142</v>
      </c>
      <c r="B258" s="916" t="s">
        <v>279</v>
      </c>
      <c r="C258" s="922" t="s">
        <v>637</v>
      </c>
      <c r="D258" s="917"/>
      <c r="E258" s="936"/>
      <c r="F258" s="937"/>
      <c r="G258" s="846"/>
      <c r="H258" s="847"/>
      <c r="I258" s="890">
        <v>804491</v>
      </c>
      <c r="J258" s="1466">
        <v>648326</v>
      </c>
      <c r="K258" s="846"/>
      <c r="L258" s="847"/>
      <c r="M258" s="846"/>
      <c r="N258" s="846"/>
      <c r="O258" s="737">
        <f t="shared" si="31"/>
        <v>0</v>
      </c>
      <c r="P258" s="847"/>
      <c r="Q258" s="847"/>
      <c r="R258" s="738">
        <f t="shared" si="34"/>
        <v>0</v>
      </c>
      <c r="S258" s="737">
        <f t="shared" si="35"/>
        <v>804491</v>
      </c>
      <c r="T258" s="739">
        <f t="shared" si="36"/>
        <v>648326</v>
      </c>
      <c r="U258" s="846"/>
      <c r="V258" s="847"/>
      <c r="W258" s="846"/>
      <c r="X258" s="846"/>
      <c r="Y258" s="740">
        <f t="shared" si="32"/>
        <v>0</v>
      </c>
      <c r="Z258" s="847"/>
      <c r="AA258" s="847"/>
      <c r="AB258" s="741">
        <f t="shared" si="33"/>
        <v>0</v>
      </c>
      <c r="AC258" s="846"/>
      <c r="AD258" s="847"/>
      <c r="AE258" s="846"/>
      <c r="AF258" s="846"/>
      <c r="AG258" s="847"/>
      <c r="AH258" s="847"/>
      <c r="AI258" s="742">
        <f t="shared" si="37"/>
        <v>804491</v>
      </c>
      <c r="AJ258" s="743">
        <f t="shared" si="38"/>
        <v>648326</v>
      </c>
    </row>
    <row r="259" spans="1:36">
      <c r="A259" s="915" t="s">
        <v>142</v>
      </c>
      <c r="B259" s="916" t="s">
        <v>279</v>
      </c>
      <c r="C259" s="922" t="s">
        <v>640</v>
      </c>
      <c r="D259" s="917"/>
      <c r="E259" s="936"/>
      <c r="F259" s="937"/>
      <c r="G259" s="846"/>
      <c r="H259" s="847"/>
      <c r="I259" s="890"/>
      <c r="J259" s="1466">
        <v>316040</v>
      </c>
      <c r="K259" s="846"/>
      <c r="L259" s="847"/>
      <c r="M259" s="846"/>
      <c r="N259" s="846"/>
      <c r="O259" s="737">
        <f t="shared" si="31"/>
        <v>0</v>
      </c>
      <c r="P259" s="847"/>
      <c r="Q259" s="847"/>
      <c r="R259" s="738">
        <f t="shared" si="34"/>
        <v>0</v>
      </c>
      <c r="S259" s="737">
        <f t="shared" si="35"/>
        <v>0</v>
      </c>
      <c r="T259" s="739">
        <f t="shared" si="36"/>
        <v>316040</v>
      </c>
      <c r="U259" s="846"/>
      <c r="V259" s="847"/>
      <c r="W259" s="846"/>
      <c r="X259" s="846"/>
      <c r="Y259" s="740">
        <f t="shared" si="32"/>
        <v>0</v>
      </c>
      <c r="Z259" s="847"/>
      <c r="AA259" s="847"/>
      <c r="AB259" s="741">
        <f t="shared" si="33"/>
        <v>0</v>
      </c>
      <c r="AC259" s="846"/>
      <c r="AD259" s="847"/>
      <c r="AE259" s="846"/>
      <c r="AF259" s="846"/>
      <c r="AG259" s="847"/>
      <c r="AH259" s="847"/>
      <c r="AI259" s="742">
        <f t="shared" si="37"/>
        <v>0</v>
      </c>
      <c r="AJ259" s="743">
        <f t="shared" si="38"/>
        <v>316040</v>
      </c>
    </row>
    <row r="260" spans="1:36">
      <c r="A260" s="915" t="s">
        <v>142</v>
      </c>
      <c r="B260" s="916" t="s">
        <v>279</v>
      </c>
      <c r="C260" s="922" t="s">
        <v>672</v>
      </c>
      <c r="D260" s="917"/>
      <c r="E260" s="918"/>
      <c r="F260" s="919"/>
      <c r="G260" s="846"/>
      <c r="H260" s="847"/>
      <c r="I260" s="846">
        <v>1939901</v>
      </c>
      <c r="J260" s="847">
        <v>1939901</v>
      </c>
      <c r="K260" s="846"/>
      <c r="L260" s="847"/>
      <c r="M260" s="846"/>
      <c r="N260" s="846"/>
      <c r="O260" s="737">
        <f t="shared" si="31"/>
        <v>0</v>
      </c>
      <c r="P260" s="847"/>
      <c r="Q260" s="847"/>
      <c r="R260" s="738">
        <f t="shared" si="34"/>
        <v>0</v>
      </c>
      <c r="S260" s="737">
        <f t="shared" si="35"/>
        <v>1939901</v>
      </c>
      <c r="T260" s="739">
        <f t="shared" si="36"/>
        <v>1939901</v>
      </c>
      <c r="U260" s="846"/>
      <c r="V260" s="847"/>
      <c r="W260" s="846"/>
      <c r="X260" s="846"/>
      <c r="Y260" s="740">
        <f t="shared" si="32"/>
        <v>0</v>
      </c>
      <c r="Z260" s="847"/>
      <c r="AA260" s="847"/>
      <c r="AB260" s="741">
        <f t="shared" si="33"/>
        <v>0</v>
      </c>
      <c r="AC260" s="846"/>
      <c r="AD260" s="847"/>
      <c r="AE260" s="846"/>
      <c r="AF260" s="846"/>
      <c r="AG260" s="847"/>
      <c r="AH260" s="847"/>
      <c r="AI260" s="742">
        <f t="shared" si="37"/>
        <v>1939901</v>
      </c>
      <c r="AJ260" s="743">
        <f t="shared" si="38"/>
        <v>1939901</v>
      </c>
    </row>
    <row r="261" spans="1:36">
      <c r="A261" s="915" t="s">
        <v>142</v>
      </c>
      <c r="B261" s="916" t="s">
        <v>279</v>
      </c>
      <c r="C261" s="922" t="s">
        <v>673</v>
      </c>
      <c r="D261" s="917"/>
      <c r="E261" s="918"/>
      <c r="F261" s="919"/>
      <c r="G261" s="846"/>
      <c r="H261" s="847"/>
      <c r="I261" s="846">
        <v>2000000</v>
      </c>
      <c r="J261" s="847">
        <v>2000000</v>
      </c>
      <c r="K261" s="846"/>
      <c r="L261" s="847"/>
      <c r="M261" s="846"/>
      <c r="N261" s="846"/>
      <c r="O261" s="737">
        <f t="shared" si="31"/>
        <v>0</v>
      </c>
      <c r="P261" s="847"/>
      <c r="Q261" s="847"/>
      <c r="R261" s="738">
        <f t="shared" si="34"/>
        <v>0</v>
      </c>
      <c r="S261" s="737">
        <f t="shared" si="35"/>
        <v>2000000</v>
      </c>
      <c r="T261" s="739">
        <f t="shared" si="36"/>
        <v>2000000</v>
      </c>
      <c r="U261" s="846"/>
      <c r="V261" s="847"/>
      <c r="W261" s="846"/>
      <c r="X261" s="846"/>
      <c r="Y261" s="740">
        <f t="shared" si="32"/>
        <v>0</v>
      </c>
      <c r="Z261" s="847"/>
      <c r="AA261" s="847"/>
      <c r="AB261" s="741">
        <f t="shared" si="33"/>
        <v>0</v>
      </c>
      <c r="AC261" s="846"/>
      <c r="AD261" s="847"/>
      <c r="AE261" s="846"/>
      <c r="AF261" s="846"/>
      <c r="AG261" s="847"/>
      <c r="AH261" s="847"/>
      <c r="AI261" s="742">
        <f t="shared" si="37"/>
        <v>2000000</v>
      </c>
      <c r="AJ261" s="743">
        <f t="shared" si="38"/>
        <v>2000000</v>
      </c>
    </row>
    <row r="262" spans="1:36">
      <c r="A262" s="915" t="s">
        <v>142</v>
      </c>
      <c r="B262" s="916" t="s">
        <v>279</v>
      </c>
      <c r="C262" s="922" t="s">
        <v>639</v>
      </c>
      <c r="D262" s="917"/>
      <c r="E262" s="918"/>
      <c r="F262" s="919"/>
      <c r="G262" s="846"/>
      <c r="H262" s="847"/>
      <c r="I262" s="890">
        <v>489101.67</v>
      </c>
      <c r="J262" s="1466">
        <v>776617</v>
      </c>
      <c r="K262" s="846"/>
      <c r="L262" s="847"/>
      <c r="M262" s="846"/>
      <c r="N262" s="846"/>
      <c r="O262" s="737">
        <f t="shared" si="31"/>
        <v>0</v>
      </c>
      <c r="P262" s="847"/>
      <c r="Q262" s="847"/>
      <c r="R262" s="738">
        <f t="shared" si="34"/>
        <v>0</v>
      </c>
      <c r="S262" s="737">
        <f t="shared" si="35"/>
        <v>489101.67</v>
      </c>
      <c r="T262" s="739">
        <f t="shared" si="36"/>
        <v>776617</v>
      </c>
      <c r="U262" s="846"/>
      <c r="V262" s="847"/>
      <c r="W262" s="846"/>
      <c r="X262" s="846"/>
      <c r="Y262" s="740">
        <f t="shared" si="32"/>
        <v>0</v>
      </c>
      <c r="Z262" s="847"/>
      <c r="AA262" s="847"/>
      <c r="AB262" s="741">
        <f t="shared" si="33"/>
        <v>0</v>
      </c>
      <c r="AC262" s="846"/>
      <c r="AD262" s="847"/>
      <c r="AE262" s="846"/>
      <c r="AF262" s="846"/>
      <c r="AG262" s="847"/>
      <c r="AH262" s="847"/>
      <c r="AI262" s="742">
        <f t="shared" si="37"/>
        <v>489101.67</v>
      </c>
      <c r="AJ262" s="743">
        <f t="shared" si="38"/>
        <v>776617</v>
      </c>
    </row>
    <row r="263" spans="1:36">
      <c r="A263" s="915" t="s">
        <v>142</v>
      </c>
      <c r="B263" s="916" t="s">
        <v>279</v>
      </c>
      <c r="C263" s="922" t="s">
        <v>674</v>
      </c>
      <c r="D263" s="917"/>
      <c r="E263" s="918"/>
      <c r="F263" s="919"/>
      <c r="G263" s="846"/>
      <c r="H263" s="847"/>
      <c r="I263" s="846">
        <v>23040</v>
      </c>
      <c r="J263" s="847">
        <v>23040</v>
      </c>
      <c r="K263" s="846"/>
      <c r="L263" s="847"/>
      <c r="M263" s="846"/>
      <c r="N263" s="846"/>
      <c r="O263" s="737">
        <f t="shared" si="31"/>
        <v>0</v>
      </c>
      <c r="P263" s="847"/>
      <c r="Q263" s="847"/>
      <c r="R263" s="738">
        <f t="shared" si="34"/>
        <v>0</v>
      </c>
      <c r="S263" s="737">
        <f t="shared" si="35"/>
        <v>23040</v>
      </c>
      <c r="T263" s="739">
        <f t="shared" si="36"/>
        <v>23040</v>
      </c>
      <c r="U263" s="846"/>
      <c r="V263" s="847"/>
      <c r="W263" s="846"/>
      <c r="X263" s="846"/>
      <c r="Y263" s="740">
        <f t="shared" si="32"/>
        <v>0</v>
      </c>
      <c r="Z263" s="847"/>
      <c r="AA263" s="847"/>
      <c r="AB263" s="741">
        <f t="shared" si="33"/>
        <v>0</v>
      </c>
      <c r="AC263" s="846"/>
      <c r="AD263" s="847"/>
      <c r="AE263" s="846"/>
      <c r="AF263" s="846"/>
      <c r="AG263" s="847"/>
      <c r="AH263" s="847"/>
      <c r="AI263" s="742">
        <f t="shared" si="37"/>
        <v>23040</v>
      </c>
      <c r="AJ263" s="743">
        <f t="shared" si="38"/>
        <v>23040</v>
      </c>
    </row>
    <row r="264" spans="1:36">
      <c r="A264" s="915" t="s">
        <v>142</v>
      </c>
      <c r="B264" s="916" t="s">
        <v>279</v>
      </c>
      <c r="C264" s="922" t="s">
        <v>675</v>
      </c>
      <c r="D264" s="917"/>
      <c r="E264" s="918"/>
      <c r="F264" s="919"/>
      <c r="G264" s="846"/>
      <c r="H264" s="847"/>
      <c r="I264" s="846">
        <v>1335782</v>
      </c>
      <c r="J264" s="847">
        <v>1335782</v>
      </c>
      <c r="K264" s="846"/>
      <c r="L264" s="847"/>
      <c r="M264" s="846"/>
      <c r="N264" s="846"/>
      <c r="O264" s="737">
        <f t="shared" si="31"/>
        <v>0</v>
      </c>
      <c r="P264" s="847"/>
      <c r="Q264" s="847"/>
      <c r="R264" s="738">
        <f t="shared" si="34"/>
        <v>0</v>
      </c>
      <c r="S264" s="737">
        <f t="shared" si="35"/>
        <v>1335782</v>
      </c>
      <c r="T264" s="739">
        <f t="shared" si="36"/>
        <v>1335782</v>
      </c>
      <c r="U264" s="846"/>
      <c r="V264" s="847"/>
      <c r="W264" s="846"/>
      <c r="X264" s="846"/>
      <c r="Y264" s="740">
        <f t="shared" si="32"/>
        <v>0</v>
      </c>
      <c r="Z264" s="847"/>
      <c r="AA264" s="847"/>
      <c r="AB264" s="741">
        <f t="shared" si="33"/>
        <v>0</v>
      </c>
      <c r="AC264" s="846"/>
      <c r="AD264" s="847"/>
      <c r="AE264" s="846"/>
      <c r="AF264" s="846"/>
      <c r="AG264" s="847"/>
      <c r="AH264" s="847"/>
      <c r="AI264" s="742">
        <f t="shared" si="37"/>
        <v>1335782</v>
      </c>
      <c r="AJ264" s="743">
        <f t="shared" si="38"/>
        <v>1335782</v>
      </c>
    </row>
    <row r="265" spans="1:36">
      <c r="A265" s="915" t="s">
        <v>142</v>
      </c>
      <c r="B265" s="916" t="s">
        <v>279</v>
      </c>
      <c r="C265" s="922" t="s">
        <v>676</v>
      </c>
      <c r="D265" s="917"/>
      <c r="E265" s="936"/>
      <c r="F265" s="937"/>
      <c r="G265" s="846"/>
      <c r="H265" s="847"/>
      <c r="I265" s="846">
        <v>320635</v>
      </c>
      <c r="J265" s="847">
        <v>320635</v>
      </c>
      <c r="K265" s="846"/>
      <c r="L265" s="847"/>
      <c r="M265" s="846"/>
      <c r="N265" s="846"/>
      <c r="O265" s="737">
        <f t="shared" si="31"/>
        <v>0</v>
      </c>
      <c r="P265" s="847"/>
      <c r="Q265" s="847"/>
      <c r="R265" s="738">
        <f t="shared" si="34"/>
        <v>0</v>
      </c>
      <c r="S265" s="737">
        <f t="shared" si="35"/>
        <v>320635</v>
      </c>
      <c r="T265" s="739">
        <f t="shared" si="36"/>
        <v>320635</v>
      </c>
      <c r="U265" s="846"/>
      <c r="V265" s="847"/>
      <c r="W265" s="846"/>
      <c r="X265" s="846"/>
      <c r="Y265" s="740">
        <f t="shared" si="32"/>
        <v>0</v>
      </c>
      <c r="Z265" s="847"/>
      <c r="AA265" s="847"/>
      <c r="AB265" s="741">
        <f t="shared" si="33"/>
        <v>0</v>
      </c>
      <c r="AC265" s="846"/>
      <c r="AD265" s="847"/>
      <c r="AE265" s="846"/>
      <c r="AF265" s="846"/>
      <c r="AG265" s="847"/>
      <c r="AH265" s="847"/>
      <c r="AI265" s="742">
        <f t="shared" si="37"/>
        <v>320635</v>
      </c>
      <c r="AJ265" s="743">
        <f t="shared" si="38"/>
        <v>320635</v>
      </c>
    </row>
    <row r="266" spans="1:36">
      <c r="A266" s="915" t="s">
        <v>142</v>
      </c>
      <c r="B266" s="916" t="s">
        <v>303</v>
      </c>
      <c r="C266" s="935" t="s">
        <v>677</v>
      </c>
      <c r="D266" s="924"/>
      <c r="E266" s="936"/>
      <c r="F266" s="937"/>
      <c r="G266" s="846"/>
      <c r="H266" s="847"/>
      <c r="I266" s="846"/>
      <c r="J266" s="847"/>
      <c r="K266" s="846"/>
      <c r="L266" s="847"/>
      <c r="M266" s="846"/>
      <c r="N266" s="846"/>
      <c r="O266" s="737">
        <f t="shared" ref="O266:O329" si="39">SUM(M266:N266)</f>
        <v>0</v>
      </c>
      <c r="P266" s="847"/>
      <c r="Q266" s="847"/>
      <c r="R266" s="738">
        <f t="shared" si="34"/>
        <v>0</v>
      </c>
      <c r="S266" s="737">
        <f t="shared" si="35"/>
        <v>0</v>
      </c>
      <c r="T266" s="739">
        <f t="shared" si="36"/>
        <v>0</v>
      </c>
      <c r="U266" s="846"/>
      <c r="V266" s="847"/>
      <c r="W266" s="846"/>
      <c r="X266" s="846"/>
      <c r="Y266" s="740">
        <f t="shared" ref="Y266:Y329" si="40">SUM(W266:X266)</f>
        <v>0</v>
      </c>
      <c r="Z266" s="847"/>
      <c r="AA266" s="847"/>
      <c r="AB266" s="741">
        <f t="shared" ref="AB266:AB329" si="41">SUM(Z266:AA266)</f>
        <v>0</v>
      </c>
      <c r="AC266" s="846"/>
      <c r="AD266" s="847"/>
      <c r="AE266" s="846"/>
      <c r="AF266" s="846"/>
      <c r="AG266" s="847"/>
      <c r="AH266" s="847"/>
      <c r="AI266" s="742">
        <f t="shared" si="37"/>
        <v>0</v>
      </c>
      <c r="AJ266" s="743">
        <f t="shared" si="38"/>
        <v>0</v>
      </c>
    </row>
    <row r="267" spans="1:36">
      <c r="A267" s="915" t="s">
        <v>142</v>
      </c>
      <c r="B267" s="916" t="s">
        <v>303</v>
      </c>
      <c r="C267" s="922" t="s">
        <v>678</v>
      </c>
      <c r="D267" s="917"/>
      <c r="E267" s="936"/>
      <c r="F267" s="937"/>
      <c r="G267" s="846"/>
      <c r="H267" s="847"/>
      <c r="I267" s="846">
        <v>374867</v>
      </c>
      <c r="J267" s="1467">
        <v>774867</v>
      </c>
      <c r="K267" s="846"/>
      <c r="L267" s="847"/>
      <c r="M267" s="846"/>
      <c r="N267" s="846"/>
      <c r="O267" s="737">
        <f t="shared" si="39"/>
        <v>0</v>
      </c>
      <c r="P267" s="847"/>
      <c r="Q267" s="847"/>
      <c r="R267" s="738">
        <f t="shared" ref="R267:R330" si="42">SUM(P267:Q267)</f>
        <v>0</v>
      </c>
      <c r="S267" s="737">
        <f t="shared" ref="S267:S330" si="43">SUM(G267,I267,K267,M267)</f>
        <v>374867</v>
      </c>
      <c r="T267" s="739">
        <f t="shared" ref="T267:T330" si="44">SUM(H267,J267,L267,P267)</f>
        <v>774867</v>
      </c>
      <c r="U267" s="846"/>
      <c r="V267" s="847"/>
      <c r="W267" s="846"/>
      <c r="X267" s="846"/>
      <c r="Y267" s="740">
        <f t="shared" si="40"/>
        <v>0</v>
      </c>
      <c r="Z267" s="847"/>
      <c r="AA267" s="847"/>
      <c r="AB267" s="741">
        <f t="shared" si="41"/>
        <v>0</v>
      </c>
      <c r="AC267" s="846"/>
      <c r="AD267" s="847"/>
      <c r="AE267" s="846"/>
      <c r="AF267" s="846"/>
      <c r="AG267" s="847"/>
      <c r="AH267" s="847"/>
      <c r="AI267" s="742">
        <f t="shared" ref="AI267:AI330" si="45">SUM(S267,U267,W267,AC267,AE267)</f>
        <v>374867</v>
      </c>
      <c r="AJ267" s="743">
        <f t="shared" ref="AJ267:AJ330" si="46">SUM(T267,V267,Z267,AD267,AG267)</f>
        <v>774867</v>
      </c>
    </row>
    <row r="268" spans="1:36">
      <c r="A268" s="915" t="s">
        <v>142</v>
      </c>
      <c r="B268" s="916" t="s">
        <v>303</v>
      </c>
      <c r="C268" s="922" t="s">
        <v>679</v>
      </c>
      <c r="D268" s="917"/>
      <c r="E268" s="936"/>
      <c r="F268" s="937"/>
      <c r="G268" s="846"/>
      <c r="H268" s="847"/>
      <c r="I268" s="846">
        <v>200000</v>
      </c>
      <c r="J268" s="847">
        <v>350000</v>
      </c>
      <c r="K268" s="846"/>
      <c r="L268" s="847"/>
      <c r="M268" s="846"/>
      <c r="N268" s="846"/>
      <c r="O268" s="737">
        <f t="shared" si="39"/>
        <v>0</v>
      </c>
      <c r="P268" s="847"/>
      <c r="Q268" s="847"/>
      <c r="R268" s="738">
        <f t="shared" si="42"/>
        <v>0</v>
      </c>
      <c r="S268" s="737">
        <f t="shared" si="43"/>
        <v>200000</v>
      </c>
      <c r="T268" s="739">
        <f t="shared" si="44"/>
        <v>350000</v>
      </c>
      <c r="U268" s="846"/>
      <c r="V268" s="847"/>
      <c r="W268" s="846"/>
      <c r="X268" s="846"/>
      <c r="Y268" s="740">
        <f t="shared" si="40"/>
        <v>0</v>
      </c>
      <c r="Z268" s="847"/>
      <c r="AA268" s="847"/>
      <c r="AB268" s="741">
        <f t="shared" si="41"/>
        <v>0</v>
      </c>
      <c r="AC268" s="846"/>
      <c r="AD268" s="847"/>
      <c r="AE268" s="846"/>
      <c r="AF268" s="846"/>
      <c r="AG268" s="847"/>
      <c r="AH268" s="847"/>
      <c r="AI268" s="742">
        <f t="shared" si="45"/>
        <v>200000</v>
      </c>
      <c r="AJ268" s="743">
        <f t="shared" si="46"/>
        <v>350000</v>
      </c>
    </row>
    <row r="269" spans="1:36">
      <c r="A269" s="915" t="s">
        <v>142</v>
      </c>
      <c r="B269" s="916" t="s">
        <v>303</v>
      </c>
      <c r="C269" s="922" t="s">
        <v>680</v>
      </c>
      <c r="D269" s="917"/>
      <c r="E269" s="936"/>
      <c r="F269" s="937"/>
      <c r="G269" s="846"/>
      <c r="H269" s="847"/>
      <c r="I269" s="846">
        <v>250000</v>
      </c>
      <c r="J269" s="847">
        <v>210000</v>
      </c>
      <c r="K269" s="846"/>
      <c r="L269" s="847"/>
      <c r="M269" s="846"/>
      <c r="N269" s="846"/>
      <c r="O269" s="737">
        <f t="shared" si="39"/>
        <v>0</v>
      </c>
      <c r="P269" s="847"/>
      <c r="Q269" s="847"/>
      <c r="R269" s="738">
        <f t="shared" si="42"/>
        <v>0</v>
      </c>
      <c r="S269" s="737">
        <f t="shared" si="43"/>
        <v>250000</v>
      </c>
      <c r="T269" s="739">
        <f t="shared" si="44"/>
        <v>210000</v>
      </c>
      <c r="U269" s="846"/>
      <c r="V269" s="847"/>
      <c r="W269" s="846"/>
      <c r="X269" s="846"/>
      <c r="Y269" s="740">
        <f t="shared" si="40"/>
        <v>0</v>
      </c>
      <c r="Z269" s="847"/>
      <c r="AA269" s="847"/>
      <c r="AB269" s="741">
        <f t="shared" si="41"/>
        <v>0</v>
      </c>
      <c r="AC269" s="846"/>
      <c r="AD269" s="847"/>
      <c r="AE269" s="846"/>
      <c r="AF269" s="846"/>
      <c r="AG269" s="847"/>
      <c r="AH269" s="847"/>
      <c r="AI269" s="742">
        <f t="shared" si="45"/>
        <v>250000</v>
      </c>
      <c r="AJ269" s="743">
        <f t="shared" si="46"/>
        <v>210000</v>
      </c>
    </row>
    <row r="270" spans="1:36">
      <c r="A270" s="915" t="s">
        <v>142</v>
      </c>
      <c r="B270" s="916" t="s">
        <v>303</v>
      </c>
      <c r="C270" s="922" t="s">
        <v>681</v>
      </c>
      <c r="D270" s="917"/>
      <c r="E270" s="918"/>
      <c r="F270" s="919"/>
      <c r="G270" s="846"/>
      <c r="H270" s="847"/>
      <c r="I270" s="846">
        <v>1734384</v>
      </c>
      <c r="J270" s="847"/>
      <c r="K270" s="846"/>
      <c r="L270" s="847"/>
      <c r="M270" s="846"/>
      <c r="N270" s="846"/>
      <c r="O270" s="737">
        <f t="shared" si="39"/>
        <v>0</v>
      </c>
      <c r="P270" s="847"/>
      <c r="Q270" s="847"/>
      <c r="R270" s="738">
        <f t="shared" si="42"/>
        <v>0</v>
      </c>
      <c r="S270" s="737">
        <f t="shared" si="43"/>
        <v>1734384</v>
      </c>
      <c r="T270" s="739">
        <f t="shared" si="44"/>
        <v>0</v>
      </c>
      <c r="U270" s="846"/>
      <c r="V270" s="847"/>
      <c r="W270" s="846"/>
      <c r="X270" s="846"/>
      <c r="Y270" s="740">
        <f t="shared" si="40"/>
        <v>0</v>
      </c>
      <c r="Z270" s="847"/>
      <c r="AA270" s="847"/>
      <c r="AB270" s="741">
        <f t="shared" si="41"/>
        <v>0</v>
      </c>
      <c r="AC270" s="846"/>
      <c r="AD270" s="847"/>
      <c r="AE270" s="846"/>
      <c r="AF270" s="846"/>
      <c r="AG270" s="847"/>
      <c r="AH270" s="847"/>
      <c r="AI270" s="742">
        <f t="shared" si="45"/>
        <v>1734384</v>
      </c>
      <c r="AJ270" s="743">
        <f t="shared" si="46"/>
        <v>0</v>
      </c>
    </row>
    <row r="271" spans="1:36">
      <c r="A271" s="915" t="s">
        <v>142</v>
      </c>
      <c r="B271" s="916" t="s">
        <v>303</v>
      </c>
      <c r="C271" s="922" t="s">
        <v>682</v>
      </c>
      <c r="D271" s="917"/>
      <c r="E271" s="918"/>
      <c r="F271" s="919"/>
      <c r="G271" s="846"/>
      <c r="H271" s="847"/>
      <c r="I271" s="846">
        <v>40276</v>
      </c>
      <c r="J271" s="847">
        <v>40276</v>
      </c>
      <c r="K271" s="846"/>
      <c r="L271" s="847"/>
      <c r="M271" s="846"/>
      <c r="N271" s="846"/>
      <c r="O271" s="737">
        <f t="shared" si="39"/>
        <v>0</v>
      </c>
      <c r="P271" s="847"/>
      <c r="Q271" s="847"/>
      <c r="R271" s="738">
        <f t="shared" si="42"/>
        <v>0</v>
      </c>
      <c r="S271" s="737">
        <f t="shared" si="43"/>
        <v>40276</v>
      </c>
      <c r="T271" s="739">
        <f t="shared" si="44"/>
        <v>40276</v>
      </c>
      <c r="U271" s="846"/>
      <c r="V271" s="847"/>
      <c r="W271" s="846"/>
      <c r="X271" s="846"/>
      <c r="Y271" s="740">
        <f t="shared" si="40"/>
        <v>0</v>
      </c>
      <c r="Z271" s="847"/>
      <c r="AA271" s="847"/>
      <c r="AB271" s="741">
        <f t="shared" si="41"/>
        <v>0</v>
      </c>
      <c r="AC271" s="846"/>
      <c r="AD271" s="847"/>
      <c r="AE271" s="846"/>
      <c r="AF271" s="846"/>
      <c r="AG271" s="847"/>
      <c r="AH271" s="847"/>
      <c r="AI271" s="742">
        <f t="shared" si="45"/>
        <v>40276</v>
      </c>
      <c r="AJ271" s="743">
        <f t="shared" si="46"/>
        <v>40276</v>
      </c>
    </row>
    <row r="272" spans="1:36">
      <c r="A272" s="915" t="s">
        <v>142</v>
      </c>
      <c r="B272" s="916" t="s">
        <v>303</v>
      </c>
      <c r="C272" s="922" t="s">
        <v>683</v>
      </c>
      <c r="D272" s="917"/>
      <c r="E272" s="918"/>
      <c r="F272" s="919"/>
      <c r="G272" s="846"/>
      <c r="H272" s="847"/>
      <c r="I272" s="846">
        <v>1595201</v>
      </c>
      <c r="J272" s="847">
        <v>4500000</v>
      </c>
      <c r="K272" s="846"/>
      <c r="L272" s="847"/>
      <c r="M272" s="846"/>
      <c r="N272" s="846"/>
      <c r="O272" s="737">
        <f t="shared" si="39"/>
        <v>0</v>
      </c>
      <c r="P272" s="847"/>
      <c r="Q272" s="847"/>
      <c r="R272" s="738">
        <f t="shared" si="42"/>
        <v>0</v>
      </c>
      <c r="S272" s="737">
        <f t="shared" si="43"/>
        <v>1595201</v>
      </c>
      <c r="T272" s="739">
        <f t="shared" si="44"/>
        <v>4500000</v>
      </c>
      <c r="U272" s="846"/>
      <c r="V272" s="847"/>
      <c r="W272" s="846"/>
      <c r="X272" s="846"/>
      <c r="Y272" s="740">
        <f t="shared" si="40"/>
        <v>0</v>
      </c>
      <c r="Z272" s="847"/>
      <c r="AA272" s="847"/>
      <c r="AB272" s="741">
        <f t="shared" si="41"/>
        <v>0</v>
      </c>
      <c r="AC272" s="846"/>
      <c r="AD272" s="847"/>
      <c r="AE272" s="846"/>
      <c r="AF272" s="846"/>
      <c r="AG272" s="847"/>
      <c r="AH272" s="847"/>
      <c r="AI272" s="742">
        <f t="shared" si="45"/>
        <v>1595201</v>
      </c>
      <c r="AJ272" s="743">
        <f t="shared" si="46"/>
        <v>4500000</v>
      </c>
    </row>
    <row r="273" spans="1:36">
      <c r="A273" s="915" t="s">
        <v>142</v>
      </c>
      <c r="B273" s="916" t="s">
        <v>281</v>
      </c>
      <c r="C273" s="938" t="s">
        <v>109</v>
      </c>
      <c r="D273" s="939"/>
      <c r="E273" s="936"/>
      <c r="F273" s="937"/>
      <c r="G273" s="846"/>
      <c r="H273" s="847"/>
      <c r="I273" s="846"/>
      <c r="J273" s="847"/>
      <c r="K273" s="846"/>
      <c r="L273" s="847"/>
      <c r="M273" s="846"/>
      <c r="N273" s="846"/>
      <c r="O273" s="737">
        <f t="shared" si="39"/>
        <v>0</v>
      </c>
      <c r="P273" s="847"/>
      <c r="Q273" s="847"/>
      <c r="R273" s="738">
        <f t="shared" si="42"/>
        <v>0</v>
      </c>
      <c r="S273" s="737">
        <f t="shared" si="43"/>
        <v>0</v>
      </c>
      <c r="T273" s="739">
        <f t="shared" si="44"/>
        <v>0</v>
      </c>
      <c r="U273" s="846"/>
      <c r="V273" s="847"/>
      <c r="W273" s="846"/>
      <c r="X273" s="846"/>
      <c r="Y273" s="740">
        <f t="shared" si="40"/>
        <v>0</v>
      </c>
      <c r="Z273" s="847"/>
      <c r="AA273" s="847"/>
      <c r="AB273" s="741">
        <f t="shared" si="41"/>
        <v>0</v>
      </c>
      <c r="AC273" s="846"/>
      <c r="AD273" s="847"/>
      <c r="AE273" s="846"/>
      <c r="AF273" s="846"/>
      <c r="AG273" s="847"/>
      <c r="AH273" s="847"/>
      <c r="AI273" s="742">
        <f t="shared" si="45"/>
        <v>0</v>
      </c>
      <c r="AJ273" s="743">
        <f t="shared" si="46"/>
        <v>0</v>
      </c>
    </row>
    <row r="274" spans="1:36">
      <c r="A274" s="915" t="s">
        <v>142</v>
      </c>
      <c r="B274" s="916" t="s">
        <v>282</v>
      </c>
      <c r="C274" s="921" t="s">
        <v>140</v>
      </c>
      <c r="D274" s="917"/>
      <c r="E274" s="936"/>
      <c r="F274" s="937"/>
      <c r="G274" s="846"/>
      <c r="H274" s="847"/>
      <c r="I274" s="846"/>
      <c r="J274" s="847"/>
      <c r="K274" s="846"/>
      <c r="L274" s="847"/>
      <c r="M274" s="846"/>
      <c r="N274" s="846"/>
      <c r="O274" s="737">
        <f t="shared" si="39"/>
        <v>0</v>
      </c>
      <c r="P274" s="847"/>
      <c r="Q274" s="847"/>
      <c r="R274" s="738">
        <f t="shared" si="42"/>
        <v>0</v>
      </c>
      <c r="S274" s="737">
        <f t="shared" si="43"/>
        <v>0</v>
      </c>
      <c r="T274" s="739">
        <f t="shared" si="44"/>
        <v>0</v>
      </c>
      <c r="U274" s="846"/>
      <c r="V274" s="847"/>
      <c r="W274" s="846"/>
      <c r="X274" s="846"/>
      <c r="Y274" s="740">
        <f t="shared" si="40"/>
        <v>0</v>
      </c>
      <c r="Z274" s="847"/>
      <c r="AA274" s="847"/>
      <c r="AB274" s="741">
        <f t="shared" si="41"/>
        <v>0</v>
      </c>
      <c r="AC274" s="846"/>
      <c r="AD274" s="847"/>
      <c r="AE274" s="846"/>
      <c r="AF274" s="846"/>
      <c r="AG274" s="847"/>
      <c r="AH274" s="847"/>
      <c r="AI274" s="742">
        <f t="shared" si="45"/>
        <v>0</v>
      </c>
      <c r="AJ274" s="743">
        <f t="shared" si="46"/>
        <v>0</v>
      </c>
    </row>
    <row r="275" spans="1:36">
      <c r="A275" s="915" t="s">
        <v>142</v>
      </c>
      <c r="B275" s="916" t="s">
        <v>282</v>
      </c>
      <c r="C275" s="922" t="s">
        <v>684</v>
      </c>
      <c r="D275" s="917"/>
      <c r="E275" s="936"/>
      <c r="F275" s="937"/>
      <c r="G275" s="846"/>
      <c r="H275" s="847"/>
      <c r="I275" s="846"/>
      <c r="J275" s="847"/>
      <c r="K275" s="846"/>
      <c r="L275" s="847"/>
      <c r="M275" s="846"/>
      <c r="N275" s="846"/>
      <c r="O275" s="737">
        <f t="shared" si="39"/>
        <v>0</v>
      </c>
      <c r="P275" s="847"/>
      <c r="Q275" s="847"/>
      <c r="R275" s="738">
        <f t="shared" si="42"/>
        <v>0</v>
      </c>
      <c r="S275" s="737">
        <f t="shared" si="43"/>
        <v>0</v>
      </c>
      <c r="T275" s="739">
        <f t="shared" si="44"/>
        <v>0</v>
      </c>
      <c r="U275" s="846">
        <v>3002892</v>
      </c>
      <c r="V275" s="1467">
        <v>3052892</v>
      </c>
      <c r="W275" s="846"/>
      <c r="X275" s="846"/>
      <c r="Y275" s="740">
        <f t="shared" si="40"/>
        <v>0</v>
      </c>
      <c r="Z275" s="847"/>
      <c r="AA275" s="847"/>
      <c r="AB275" s="741">
        <f t="shared" si="41"/>
        <v>0</v>
      </c>
      <c r="AC275" s="846"/>
      <c r="AD275" s="847"/>
      <c r="AE275" s="846"/>
      <c r="AF275" s="846"/>
      <c r="AG275" s="847"/>
      <c r="AH275" s="847"/>
      <c r="AI275" s="742">
        <f t="shared" si="45"/>
        <v>3002892</v>
      </c>
      <c r="AJ275" s="743">
        <f t="shared" si="46"/>
        <v>3052892</v>
      </c>
    </row>
    <row r="276" spans="1:36">
      <c r="A276" s="915" t="s">
        <v>142</v>
      </c>
      <c r="B276" s="916" t="s">
        <v>283</v>
      </c>
      <c r="C276" s="921" t="s">
        <v>139</v>
      </c>
      <c r="D276" s="917"/>
      <c r="E276" s="936"/>
      <c r="F276" s="937"/>
      <c r="G276" s="846"/>
      <c r="H276" s="847"/>
      <c r="I276" s="846"/>
      <c r="J276" s="847"/>
      <c r="K276" s="846"/>
      <c r="L276" s="847"/>
      <c r="M276" s="846"/>
      <c r="N276" s="846"/>
      <c r="O276" s="737">
        <f t="shared" si="39"/>
        <v>0</v>
      </c>
      <c r="P276" s="847"/>
      <c r="Q276" s="847"/>
      <c r="R276" s="738">
        <f t="shared" si="42"/>
        <v>0</v>
      </c>
      <c r="S276" s="737">
        <f t="shared" si="43"/>
        <v>0</v>
      </c>
      <c r="T276" s="739">
        <f t="shared" si="44"/>
        <v>0</v>
      </c>
      <c r="U276" s="846"/>
      <c r="V276" s="847"/>
      <c r="W276" s="846"/>
      <c r="X276" s="846"/>
      <c r="Y276" s="740">
        <f t="shared" si="40"/>
        <v>0</v>
      </c>
      <c r="Z276" s="847"/>
      <c r="AA276" s="847"/>
      <c r="AB276" s="741">
        <f t="shared" si="41"/>
        <v>0</v>
      </c>
      <c r="AC276" s="846"/>
      <c r="AD276" s="847"/>
      <c r="AE276" s="846"/>
      <c r="AF276" s="846"/>
      <c r="AG276" s="847"/>
      <c r="AH276" s="847"/>
      <c r="AI276" s="742">
        <f t="shared" si="45"/>
        <v>0</v>
      </c>
      <c r="AJ276" s="743">
        <f t="shared" si="46"/>
        <v>0</v>
      </c>
    </row>
    <row r="277" spans="1:36">
      <c r="A277" s="915" t="s">
        <v>142</v>
      </c>
      <c r="B277" s="916" t="s">
        <v>283</v>
      </c>
      <c r="C277" s="922" t="s">
        <v>685</v>
      </c>
      <c r="D277" s="917"/>
      <c r="E277" s="936"/>
      <c r="F277" s="937"/>
      <c r="G277" s="846"/>
      <c r="H277" s="847"/>
      <c r="I277" s="846"/>
      <c r="J277" s="847"/>
      <c r="K277" s="846"/>
      <c r="L277" s="847"/>
      <c r="M277" s="846"/>
      <c r="N277" s="846"/>
      <c r="O277" s="737">
        <f t="shared" si="39"/>
        <v>0</v>
      </c>
      <c r="P277" s="847"/>
      <c r="Q277" s="847"/>
      <c r="R277" s="738">
        <f t="shared" si="42"/>
        <v>0</v>
      </c>
      <c r="S277" s="737">
        <f t="shared" si="43"/>
        <v>0</v>
      </c>
      <c r="T277" s="739">
        <f t="shared" si="44"/>
        <v>0</v>
      </c>
      <c r="U277" s="846">
        <v>5985567</v>
      </c>
      <c r="V277" s="847">
        <v>7485567</v>
      </c>
      <c r="W277" s="846"/>
      <c r="X277" s="846"/>
      <c r="Y277" s="740">
        <f t="shared" si="40"/>
        <v>0</v>
      </c>
      <c r="Z277" s="847"/>
      <c r="AA277" s="847"/>
      <c r="AB277" s="741">
        <f t="shared" si="41"/>
        <v>0</v>
      </c>
      <c r="AC277" s="846"/>
      <c r="AD277" s="847"/>
      <c r="AE277" s="846"/>
      <c r="AF277" s="846"/>
      <c r="AG277" s="847"/>
      <c r="AH277" s="847"/>
      <c r="AI277" s="742">
        <f t="shared" si="45"/>
        <v>5985567</v>
      </c>
      <c r="AJ277" s="743">
        <f t="shared" si="46"/>
        <v>7485567</v>
      </c>
    </row>
    <row r="278" spans="1:36">
      <c r="A278" s="915" t="s">
        <v>142</v>
      </c>
      <c r="B278" s="916" t="s">
        <v>283</v>
      </c>
      <c r="C278" s="916" t="s">
        <v>686</v>
      </c>
      <c r="D278" s="934"/>
      <c r="E278" s="918"/>
      <c r="F278" s="933"/>
      <c r="G278" s="846"/>
      <c r="H278" s="1466"/>
      <c r="I278" s="846"/>
      <c r="J278" s="847"/>
      <c r="K278" s="846"/>
      <c r="L278" s="847"/>
      <c r="M278" s="846"/>
      <c r="N278" s="846"/>
      <c r="O278" s="737">
        <f t="shared" si="39"/>
        <v>0</v>
      </c>
      <c r="P278" s="847"/>
      <c r="Q278" s="847"/>
      <c r="R278" s="738">
        <f t="shared" si="42"/>
        <v>0</v>
      </c>
      <c r="S278" s="737">
        <f t="shared" si="43"/>
        <v>0</v>
      </c>
      <c r="T278" s="739">
        <f t="shared" si="44"/>
        <v>0</v>
      </c>
      <c r="U278" s="846"/>
      <c r="V278" s="847"/>
      <c r="W278" s="846"/>
      <c r="X278" s="846"/>
      <c r="Y278" s="740">
        <f t="shared" si="40"/>
        <v>0</v>
      </c>
      <c r="Z278" s="847"/>
      <c r="AA278" s="847"/>
      <c r="AB278" s="741">
        <f t="shared" si="41"/>
        <v>0</v>
      </c>
      <c r="AC278" s="846"/>
      <c r="AD278" s="847"/>
      <c r="AE278" s="846"/>
      <c r="AF278" s="846"/>
      <c r="AG278" s="847"/>
      <c r="AH278" s="847"/>
      <c r="AI278" s="742">
        <f t="shared" si="45"/>
        <v>0</v>
      </c>
      <c r="AJ278" s="743">
        <f t="shared" si="46"/>
        <v>0</v>
      </c>
    </row>
    <row r="279" spans="1:36">
      <c r="A279" s="915" t="s">
        <v>142</v>
      </c>
      <c r="B279" s="916" t="s">
        <v>284</v>
      </c>
      <c r="C279" s="921" t="s">
        <v>138</v>
      </c>
      <c r="D279" s="917"/>
      <c r="E279" s="936"/>
      <c r="F279" s="937"/>
      <c r="G279" s="846"/>
      <c r="H279" s="847"/>
      <c r="I279" s="846"/>
      <c r="J279" s="847"/>
      <c r="K279" s="846"/>
      <c r="L279" s="847"/>
      <c r="M279" s="846"/>
      <c r="N279" s="846"/>
      <c r="O279" s="737">
        <f t="shared" si="39"/>
        <v>0</v>
      </c>
      <c r="P279" s="847"/>
      <c r="Q279" s="847"/>
      <c r="R279" s="738">
        <f t="shared" si="42"/>
        <v>0</v>
      </c>
      <c r="S279" s="737">
        <f t="shared" si="43"/>
        <v>0</v>
      </c>
      <c r="T279" s="739">
        <f t="shared" si="44"/>
        <v>0</v>
      </c>
      <c r="U279" s="846"/>
      <c r="V279" s="847"/>
      <c r="W279" s="846"/>
      <c r="X279" s="846"/>
      <c r="Y279" s="740">
        <f t="shared" si="40"/>
        <v>0</v>
      </c>
      <c r="Z279" s="847"/>
      <c r="AA279" s="847"/>
      <c r="AB279" s="741">
        <f t="shared" si="41"/>
        <v>0</v>
      </c>
      <c r="AC279" s="846"/>
      <c r="AD279" s="847"/>
      <c r="AE279" s="846"/>
      <c r="AF279" s="846"/>
      <c r="AG279" s="847"/>
      <c r="AH279" s="847"/>
      <c r="AI279" s="742">
        <f t="shared" si="45"/>
        <v>0</v>
      </c>
      <c r="AJ279" s="743">
        <f t="shared" si="46"/>
        <v>0</v>
      </c>
    </row>
    <row r="280" spans="1:36">
      <c r="A280" s="915" t="s">
        <v>142</v>
      </c>
      <c r="B280" s="916" t="s">
        <v>284</v>
      </c>
      <c r="C280" s="922" t="s">
        <v>687</v>
      </c>
      <c r="D280" s="917"/>
      <c r="E280" s="936"/>
      <c r="F280" s="937"/>
      <c r="G280" s="846"/>
      <c r="H280" s="847"/>
      <c r="I280" s="846"/>
      <c r="J280" s="847"/>
      <c r="K280" s="846"/>
      <c r="L280" s="847"/>
      <c r="M280" s="846"/>
      <c r="N280" s="846"/>
      <c r="O280" s="737">
        <f t="shared" si="39"/>
        <v>0</v>
      </c>
      <c r="P280" s="847"/>
      <c r="Q280" s="847"/>
      <c r="R280" s="738">
        <f t="shared" si="42"/>
        <v>0</v>
      </c>
      <c r="S280" s="737">
        <f t="shared" si="43"/>
        <v>0</v>
      </c>
      <c r="T280" s="739">
        <f t="shared" si="44"/>
        <v>0</v>
      </c>
      <c r="U280" s="846">
        <v>201550</v>
      </c>
      <c r="V280" s="847">
        <v>201550</v>
      </c>
      <c r="W280" s="846"/>
      <c r="X280" s="846"/>
      <c r="Y280" s="740">
        <f t="shared" si="40"/>
        <v>0</v>
      </c>
      <c r="Z280" s="847"/>
      <c r="AA280" s="847"/>
      <c r="AB280" s="741">
        <f t="shared" si="41"/>
        <v>0</v>
      </c>
      <c r="AC280" s="846"/>
      <c r="AD280" s="847"/>
      <c r="AE280" s="846"/>
      <c r="AF280" s="846"/>
      <c r="AG280" s="847"/>
      <c r="AH280" s="847"/>
      <c r="AI280" s="742">
        <f t="shared" si="45"/>
        <v>201550</v>
      </c>
      <c r="AJ280" s="743">
        <f t="shared" si="46"/>
        <v>201550</v>
      </c>
    </row>
    <row r="281" spans="1:36">
      <c r="A281" s="915" t="s">
        <v>142</v>
      </c>
      <c r="B281" s="916" t="s">
        <v>284</v>
      </c>
      <c r="C281" s="922" t="s">
        <v>688</v>
      </c>
      <c r="D281" s="917"/>
      <c r="E281" s="936"/>
      <c r="F281" s="937"/>
      <c r="G281" s="846"/>
      <c r="H281" s="847"/>
      <c r="I281" s="846"/>
      <c r="J281" s="847"/>
      <c r="K281" s="846"/>
      <c r="L281" s="847"/>
      <c r="M281" s="846"/>
      <c r="N281" s="846"/>
      <c r="O281" s="737">
        <f t="shared" si="39"/>
        <v>0</v>
      </c>
      <c r="P281" s="847"/>
      <c r="Q281" s="847"/>
      <c r="R281" s="738">
        <f t="shared" si="42"/>
        <v>0</v>
      </c>
      <c r="S281" s="737">
        <f t="shared" si="43"/>
        <v>0</v>
      </c>
      <c r="T281" s="739">
        <f t="shared" si="44"/>
        <v>0</v>
      </c>
      <c r="U281" s="890">
        <v>69776</v>
      </c>
      <c r="V281" s="847">
        <v>69108</v>
      </c>
      <c r="W281" s="846"/>
      <c r="X281" s="846"/>
      <c r="Y281" s="740">
        <f t="shared" si="40"/>
        <v>0</v>
      </c>
      <c r="Z281" s="847"/>
      <c r="AA281" s="847"/>
      <c r="AB281" s="741">
        <f t="shared" si="41"/>
        <v>0</v>
      </c>
      <c r="AC281" s="846"/>
      <c r="AD281" s="847"/>
      <c r="AE281" s="846"/>
      <c r="AF281" s="846"/>
      <c r="AG281" s="847"/>
      <c r="AH281" s="847"/>
      <c r="AI281" s="742">
        <f t="shared" si="45"/>
        <v>69776</v>
      </c>
      <c r="AJ281" s="743">
        <f t="shared" si="46"/>
        <v>69108</v>
      </c>
    </row>
    <row r="282" spans="1:36">
      <c r="A282" s="915" t="s">
        <v>142</v>
      </c>
      <c r="B282" s="916" t="s">
        <v>285</v>
      </c>
      <c r="C282" s="921" t="s">
        <v>689</v>
      </c>
      <c r="D282" s="917"/>
      <c r="E282" s="936"/>
      <c r="F282" s="937"/>
      <c r="G282" s="846"/>
      <c r="H282" s="847"/>
      <c r="I282" s="846"/>
      <c r="J282" s="847"/>
      <c r="K282" s="846"/>
      <c r="L282" s="847"/>
      <c r="M282" s="846"/>
      <c r="N282" s="846"/>
      <c r="O282" s="737">
        <f t="shared" si="39"/>
        <v>0</v>
      </c>
      <c r="P282" s="847"/>
      <c r="Q282" s="847"/>
      <c r="R282" s="738">
        <f t="shared" si="42"/>
        <v>0</v>
      </c>
      <c r="S282" s="737">
        <f t="shared" si="43"/>
        <v>0</v>
      </c>
      <c r="T282" s="739">
        <f t="shared" si="44"/>
        <v>0</v>
      </c>
      <c r="U282" s="890">
        <v>150128</v>
      </c>
      <c r="V282" s="847">
        <v>166715</v>
      </c>
      <c r="W282" s="846"/>
      <c r="X282" s="846"/>
      <c r="Y282" s="740">
        <f t="shared" si="40"/>
        <v>0</v>
      </c>
      <c r="Z282" s="847"/>
      <c r="AA282" s="847"/>
      <c r="AB282" s="741">
        <f t="shared" si="41"/>
        <v>0</v>
      </c>
      <c r="AC282" s="846"/>
      <c r="AD282" s="847"/>
      <c r="AE282" s="846"/>
      <c r="AF282" s="846"/>
      <c r="AG282" s="847"/>
      <c r="AH282" s="847"/>
      <c r="AI282" s="742">
        <f t="shared" si="45"/>
        <v>150128</v>
      </c>
      <c r="AJ282" s="743">
        <f t="shared" si="46"/>
        <v>166715</v>
      </c>
    </row>
    <row r="283" spans="1:36">
      <c r="A283" s="915" t="s">
        <v>142</v>
      </c>
      <c r="B283" s="916" t="s">
        <v>286</v>
      </c>
      <c r="C283" s="938" t="s">
        <v>506</v>
      </c>
      <c r="D283" s="939"/>
      <c r="E283" s="936"/>
      <c r="F283" s="937"/>
      <c r="G283" s="846"/>
      <c r="H283" s="847"/>
      <c r="I283" s="846"/>
      <c r="J283" s="847"/>
      <c r="K283" s="846"/>
      <c r="L283" s="847"/>
      <c r="M283" s="846"/>
      <c r="N283" s="846"/>
      <c r="O283" s="737">
        <f t="shared" si="39"/>
        <v>0</v>
      </c>
      <c r="P283" s="847"/>
      <c r="Q283" s="847"/>
      <c r="R283" s="738">
        <f t="shared" si="42"/>
        <v>0</v>
      </c>
      <c r="S283" s="737">
        <f t="shared" si="43"/>
        <v>0</v>
      </c>
      <c r="T283" s="739">
        <f t="shared" si="44"/>
        <v>0</v>
      </c>
      <c r="U283" s="846"/>
      <c r="V283" s="847"/>
      <c r="W283" s="846"/>
      <c r="X283" s="846"/>
      <c r="Y283" s="740">
        <f t="shared" si="40"/>
        <v>0</v>
      </c>
      <c r="Z283" s="847"/>
      <c r="AA283" s="847"/>
      <c r="AB283" s="741">
        <f t="shared" si="41"/>
        <v>0</v>
      </c>
      <c r="AC283" s="846"/>
      <c r="AD283" s="847"/>
      <c r="AE283" s="846"/>
      <c r="AF283" s="846"/>
      <c r="AG283" s="847"/>
      <c r="AH283" s="847"/>
      <c r="AI283" s="742">
        <f t="shared" si="45"/>
        <v>0</v>
      </c>
      <c r="AJ283" s="743">
        <f t="shared" si="46"/>
        <v>0</v>
      </c>
    </row>
    <row r="284" spans="1:36">
      <c r="A284" s="915" t="s">
        <v>142</v>
      </c>
      <c r="B284" s="916" t="s">
        <v>286</v>
      </c>
      <c r="C284" s="922" t="s">
        <v>690</v>
      </c>
      <c r="D284" s="917"/>
      <c r="E284" s="936"/>
      <c r="F284" s="937"/>
      <c r="G284" s="846"/>
      <c r="H284" s="847"/>
      <c r="I284" s="846"/>
      <c r="J284" s="847"/>
      <c r="K284" s="846"/>
      <c r="L284" s="847"/>
      <c r="M284" s="846"/>
      <c r="N284" s="846"/>
      <c r="O284" s="737">
        <f t="shared" si="39"/>
        <v>0</v>
      </c>
      <c r="P284" s="847"/>
      <c r="Q284" s="847"/>
      <c r="R284" s="738">
        <f t="shared" si="42"/>
        <v>0</v>
      </c>
      <c r="S284" s="737">
        <f t="shared" si="43"/>
        <v>0</v>
      </c>
      <c r="T284" s="739">
        <f t="shared" si="44"/>
        <v>0</v>
      </c>
      <c r="U284" s="846">
        <v>262330</v>
      </c>
      <c r="V284" s="847">
        <v>262330</v>
      </c>
      <c r="W284" s="846"/>
      <c r="X284" s="846"/>
      <c r="Y284" s="740">
        <f t="shared" si="40"/>
        <v>0</v>
      </c>
      <c r="Z284" s="847"/>
      <c r="AA284" s="847"/>
      <c r="AB284" s="741">
        <f t="shared" si="41"/>
        <v>0</v>
      </c>
      <c r="AC284" s="846"/>
      <c r="AD284" s="847"/>
      <c r="AE284" s="846"/>
      <c r="AF284" s="846"/>
      <c r="AG284" s="847"/>
      <c r="AH284" s="847"/>
      <c r="AI284" s="742">
        <f t="shared" si="45"/>
        <v>262330</v>
      </c>
      <c r="AJ284" s="743">
        <f t="shared" si="46"/>
        <v>262330</v>
      </c>
    </row>
    <row r="285" spans="1:36">
      <c r="A285" s="915" t="s">
        <v>142</v>
      </c>
      <c r="B285" s="916" t="s">
        <v>286</v>
      </c>
      <c r="C285" s="922" t="s">
        <v>691</v>
      </c>
      <c r="D285" s="917"/>
      <c r="E285" s="936"/>
      <c r="F285" s="937"/>
      <c r="G285" s="846"/>
      <c r="H285" s="847"/>
      <c r="I285" s="846"/>
      <c r="J285" s="847"/>
      <c r="K285" s="846"/>
      <c r="L285" s="847"/>
      <c r="M285" s="846"/>
      <c r="N285" s="846"/>
      <c r="O285" s="737">
        <f t="shared" si="39"/>
        <v>0</v>
      </c>
      <c r="P285" s="847"/>
      <c r="Q285" s="847"/>
      <c r="R285" s="738">
        <f t="shared" si="42"/>
        <v>0</v>
      </c>
      <c r="S285" s="737">
        <f t="shared" si="43"/>
        <v>0</v>
      </c>
      <c r="T285" s="739">
        <f t="shared" si="44"/>
        <v>0</v>
      </c>
      <c r="U285" s="846">
        <v>632997</v>
      </c>
      <c r="V285" s="847">
        <v>632997</v>
      </c>
      <c r="W285" s="846"/>
      <c r="X285" s="846"/>
      <c r="Y285" s="740">
        <f t="shared" si="40"/>
        <v>0</v>
      </c>
      <c r="Z285" s="847"/>
      <c r="AA285" s="847"/>
      <c r="AB285" s="741">
        <f t="shared" si="41"/>
        <v>0</v>
      </c>
      <c r="AC285" s="846"/>
      <c r="AD285" s="847"/>
      <c r="AE285" s="846"/>
      <c r="AF285" s="846"/>
      <c r="AG285" s="847"/>
      <c r="AH285" s="847"/>
      <c r="AI285" s="742">
        <f t="shared" si="45"/>
        <v>632997</v>
      </c>
      <c r="AJ285" s="743">
        <f t="shared" si="46"/>
        <v>632997</v>
      </c>
    </row>
    <row r="286" spans="1:36">
      <c r="A286" s="915" t="s">
        <v>142</v>
      </c>
      <c r="B286" s="916" t="s">
        <v>286</v>
      </c>
      <c r="C286" s="922" t="s">
        <v>692</v>
      </c>
      <c r="D286" s="917"/>
      <c r="E286" s="936"/>
      <c r="F286" s="937"/>
      <c r="G286" s="846"/>
      <c r="H286" s="847"/>
      <c r="I286" s="846"/>
      <c r="J286" s="847"/>
      <c r="K286" s="846"/>
      <c r="L286" s="847"/>
      <c r="M286" s="846"/>
      <c r="N286" s="846"/>
      <c r="O286" s="737">
        <f t="shared" si="39"/>
        <v>0</v>
      </c>
      <c r="P286" s="847"/>
      <c r="Q286" s="847"/>
      <c r="R286" s="738">
        <f t="shared" si="42"/>
        <v>0</v>
      </c>
      <c r="S286" s="737">
        <f t="shared" si="43"/>
        <v>0</v>
      </c>
      <c r="T286" s="739">
        <f t="shared" si="44"/>
        <v>0</v>
      </c>
      <c r="U286" s="846">
        <v>9069227</v>
      </c>
      <c r="V286" s="847">
        <v>9269227</v>
      </c>
      <c r="W286" s="846"/>
      <c r="X286" s="846"/>
      <c r="Y286" s="740">
        <f t="shared" si="40"/>
        <v>0</v>
      </c>
      <c r="Z286" s="847"/>
      <c r="AA286" s="847"/>
      <c r="AB286" s="741">
        <f t="shared" si="41"/>
        <v>0</v>
      </c>
      <c r="AC286" s="846"/>
      <c r="AD286" s="847"/>
      <c r="AE286" s="846"/>
      <c r="AF286" s="846"/>
      <c r="AG286" s="847"/>
      <c r="AH286" s="847"/>
      <c r="AI286" s="742">
        <f t="shared" si="45"/>
        <v>9069227</v>
      </c>
      <c r="AJ286" s="743">
        <f t="shared" si="46"/>
        <v>9269227</v>
      </c>
    </row>
    <row r="287" spans="1:36">
      <c r="A287" s="915" t="s">
        <v>142</v>
      </c>
      <c r="B287" s="916" t="s">
        <v>286</v>
      </c>
      <c r="C287" s="922" t="s">
        <v>693</v>
      </c>
      <c r="D287" s="917"/>
      <c r="E287" s="936"/>
      <c r="F287" s="937"/>
      <c r="G287" s="846"/>
      <c r="H287" s="847"/>
      <c r="I287" s="846"/>
      <c r="J287" s="847"/>
      <c r="K287" s="846"/>
      <c r="L287" s="847"/>
      <c r="M287" s="846"/>
      <c r="N287" s="846"/>
      <c r="O287" s="737">
        <f t="shared" si="39"/>
        <v>0</v>
      </c>
      <c r="P287" s="847"/>
      <c r="Q287" s="847"/>
      <c r="R287" s="738">
        <f t="shared" si="42"/>
        <v>0</v>
      </c>
      <c r="S287" s="737">
        <f t="shared" si="43"/>
        <v>0</v>
      </c>
      <c r="T287" s="739">
        <f t="shared" si="44"/>
        <v>0</v>
      </c>
      <c r="U287" s="846">
        <v>2348344</v>
      </c>
      <c r="V287" s="847">
        <v>2348344</v>
      </c>
      <c r="W287" s="846"/>
      <c r="X287" s="846"/>
      <c r="Y287" s="740">
        <f t="shared" si="40"/>
        <v>0</v>
      </c>
      <c r="Z287" s="847"/>
      <c r="AA287" s="847"/>
      <c r="AB287" s="741">
        <f t="shared" si="41"/>
        <v>0</v>
      </c>
      <c r="AC287" s="846"/>
      <c r="AD287" s="847"/>
      <c r="AE287" s="846"/>
      <c r="AF287" s="846"/>
      <c r="AG287" s="847"/>
      <c r="AH287" s="847"/>
      <c r="AI287" s="742">
        <f t="shared" si="45"/>
        <v>2348344</v>
      </c>
      <c r="AJ287" s="743">
        <f t="shared" si="46"/>
        <v>2348344</v>
      </c>
    </row>
    <row r="288" spans="1:36">
      <c r="A288" s="915" t="s">
        <v>142</v>
      </c>
      <c r="B288" s="916" t="s">
        <v>287</v>
      </c>
      <c r="C288" s="938" t="s">
        <v>510</v>
      </c>
      <c r="D288" s="939"/>
      <c r="E288" s="936"/>
      <c r="F288" s="937"/>
      <c r="G288" s="846"/>
      <c r="H288" s="847"/>
      <c r="I288" s="846"/>
      <c r="J288" s="847"/>
      <c r="K288" s="846"/>
      <c r="L288" s="847"/>
      <c r="M288" s="846"/>
      <c r="N288" s="846"/>
      <c r="O288" s="737">
        <f t="shared" si="39"/>
        <v>0</v>
      </c>
      <c r="P288" s="847"/>
      <c r="Q288" s="847"/>
      <c r="R288" s="738">
        <f t="shared" si="42"/>
        <v>0</v>
      </c>
      <c r="S288" s="737">
        <f t="shared" si="43"/>
        <v>0</v>
      </c>
      <c r="T288" s="739">
        <f t="shared" si="44"/>
        <v>0</v>
      </c>
      <c r="U288" s="846"/>
      <c r="V288" s="847"/>
      <c r="W288" s="846"/>
      <c r="X288" s="846"/>
      <c r="Y288" s="740">
        <f t="shared" si="40"/>
        <v>0</v>
      </c>
      <c r="Z288" s="847"/>
      <c r="AA288" s="847"/>
      <c r="AB288" s="741">
        <f t="shared" si="41"/>
        <v>0</v>
      </c>
      <c r="AC288" s="846"/>
      <c r="AD288" s="847"/>
      <c r="AE288" s="846"/>
      <c r="AF288" s="846"/>
      <c r="AG288" s="847"/>
      <c r="AH288" s="847"/>
      <c r="AI288" s="742">
        <f t="shared" si="45"/>
        <v>0</v>
      </c>
      <c r="AJ288" s="743">
        <f t="shared" si="46"/>
        <v>0</v>
      </c>
    </row>
    <row r="289" spans="1:36">
      <c r="A289" s="915" t="s">
        <v>142</v>
      </c>
      <c r="B289" s="916" t="s">
        <v>288</v>
      </c>
      <c r="C289" s="921" t="s">
        <v>511</v>
      </c>
      <c r="D289" s="917"/>
      <c r="E289" s="936"/>
      <c r="F289" s="937"/>
      <c r="G289" s="846"/>
      <c r="H289" s="847"/>
      <c r="I289" s="846"/>
      <c r="J289" s="847"/>
      <c r="K289" s="846"/>
      <c r="L289" s="847"/>
      <c r="M289" s="846"/>
      <c r="N289" s="846"/>
      <c r="O289" s="737">
        <f t="shared" si="39"/>
        <v>0</v>
      </c>
      <c r="P289" s="847"/>
      <c r="Q289" s="847"/>
      <c r="R289" s="738">
        <f t="shared" si="42"/>
        <v>0</v>
      </c>
      <c r="S289" s="737">
        <f t="shared" si="43"/>
        <v>0</v>
      </c>
      <c r="T289" s="739">
        <f t="shared" si="44"/>
        <v>0</v>
      </c>
      <c r="U289" s="846"/>
      <c r="V289" s="847"/>
      <c r="W289" s="846"/>
      <c r="X289" s="846"/>
      <c r="Y289" s="740">
        <f t="shared" si="40"/>
        <v>0</v>
      </c>
      <c r="Z289" s="847"/>
      <c r="AA289" s="847"/>
      <c r="AB289" s="741">
        <f t="shared" si="41"/>
        <v>0</v>
      </c>
      <c r="AC289" s="846"/>
      <c r="AD289" s="847"/>
      <c r="AE289" s="846"/>
      <c r="AF289" s="846"/>
      <c r="AG289" s="847"/>
      <c r="AH289" s="847"/>
      <c r="AI289" s="742">
        <f t="shared" si="45"/>
        <v>0</v>
      </c>
      <c r="AJ289" s="743">
        <f t="shared" si="46"/>
        <v>0</v>
      </c>
    </row>
    <row r="290" spans="1:36">
      <c r="A290" s="915" t="s">
        <v>142</v>
      </c>
      <c r="B290" s="916" t="s">
        <v>288</v>
      </c>
      <c r="C290" s="922" t="s">
        <v>694</v>
      </c>
      <c r="D290" s="917"/>
      <c r="E290" s="936"/>
      <c r="F290" s="937"/>
      <c r="G290" s="846"/>
      <c r="H290" s="847"/>
      <c r="I290" s="846"/>
      <c r="J290" s="847"/>
      <c r="K290" s="846"/>
      <c r="L290" s="847"/>
      <c r="M290" s="846"/>
      <c r="N290" s="846"/>
      <c r="O290" s="737">
        <f t="shared" si="39"/>
        <v>0</v>
      </c>
      <c r="P290" s="847"/>
      <c r="Q290" s="847"/>
      <c r="R290" s="738">
        <f t="shared" si="42"/>
        <v>0</v>
      </c>
      <c r="S290" s="737">
        <f t="shared" si="43"/>
        <v>0</v>
      </c>
      <c r="T290" s="739">
        <f t="shared" si="44"/>
        <v>0</v>
      </c>
      <c r="U290" s="846"/>
      <c r="V290" s="847"/>
      <c r="W290" s="846"/>
      <c r="X290" s="846"/>
      <c r="Y290" s="740">
        <f t="shared" si="40"/>
        <v>0</v>
      </c>
      <c r="Z290" s="847"/>
      <c r="AA290" s="847"/>
      <c r="AB290" s="741">
        <f t="shared" si="41"/>
        <v>0</v>
      </c>
      <c r="AC290" s="846"/>
      <c r="AD290" s="847"/>
      <c r="AE290" s="846"/>
      <c r="AF290" s="846"/>
      <c r="AG290" s="847"/>
      <c r="AH290" s="847"/>
      <c r="AI290" s="742">
        <f t="shared" si="45"/>
        <v>0</v>
      </c>
      <c r="AJ290" s="743">
        <f t="shared" si="46"/>
        <v>0</v>
      </c>
    </row>
    <row r="291" spans="1:36">
      <c r="A291" s="915" t="s">
        <v>142</v>
      </c>
      <c r="B291" s="916" t="s">
        <v>289</v>
      </c>
      <c r="C291" s="921" t="s">
        <v>515</v>
      </c>
      <c r="D291" s="917"/>
      <c r="E291" s="936"/>
      <c r="F291" s="937"/>
      <c r="G291" s="846"/>
      <c r="H291" s="847"/>
      <c r="I291" s="846"/>
      <c r="J291" s="847"/>
      <c r="K291" s="846"/>
      <c r="L291" s="847"/>
      <c r="M291" s="846"/>
      <c r="N291" s="846"/>
      <c r="O291" s="737">
        <f t="shared" si="39"/>
        <v>0</v>
      </c>
      <c r="P291" s="847"/>
      <c r="Q291" s="847"/>
      <c r="R291" s="738">
        <f t="shared" si="42"/>
        <v>0</v>
      </c>
      <c r="S291" s="737">
        <f t="shared" si="43"/>
        <v>0</v>
      </c>
      <c r="T291" s="739">
        <f t="shared" si="44"/>
        <v>0</v>
      </c>
      <c r="U291" s="846"/>
      <c r="V291" s="847"/>
      <c r="W291" s="846"/>
      <c r="X291" s="846"/>
      <c r="Y291" s="740">
        <f t="shared" si="40"/>
        <v>0</v>
      </c>
      <c r="Z291" s="847"/>
      <c r="AA291" s="847"/>
      <c r="AB291" s="741">
        <f t="shared" si="41"/>
        <v>0</v>
      </c>
      <c r="AC291" s="846"/>
      <c r="AD291" s="847"/>
      <c r="AE291" s="846"/>
      <c r="AF291" s="846"/>
      <c r="AG291" s="847"/>
      <c r="AH291" s="847"/>
      <c r="AI291" s="742">
        <f t="shared" si="45"/>
        <v>0</v>
      </c>
      <c r="AJ291" s="743">
        <f t="shared" si="46"/>
        <v>0</v>
      </c>
    </row>
    <row r="292" spans="1:36">
      <c r="A292" s="915" t="s">
        <v>142</v>
      </c>
      <c r="B292" s="916" t="s">
        <v>290</v>
      </c>
      <c r="C292" s="921" t="s">
        <v>137</v>
      </c>
      <c r="D292" s="917"/>
      <c r="E292" s="936"/>
      <c r="F292" s="937"/>
      <c r="G292" s="846"/>
      <c r="H292" s="847"/>
      <c r="I292" s="846"/>
      <c r="J292" s="847"/>
      <c r="K292" s="846"/>
      <c r="L292" s="847"/>
      <c r="M292" s="846"/>
      <c r="N292" s="846"/>
      <c r="O292" s="737">
        <f t="shared" si="39"/>
        <v>0</v>
      </c>
      <c r="P292" s="847"/>
      <c r="Q292" s="847"/>
      <c r="R292" s="738">
        <f t="shared" si="42"/>
        <v>0</v>
      </c>
      <c r="S292" s="737">
        <f t="shared" si="43"/>
        <v>0</v>
      </c>
      <c r="T292" s="739">
        <f t="shared" si="44"/>
        <v>0</v>
      </c>
      <c r="U292" s="846"/>
      <c r="V292" s="847"/>
      <c r="W292" s="846"/>
      <c r="X292" s="846"/>
      <c r="Y292" s="740">
        <f t="shared" si="40"/>
        <v>0</v>
      </c>
      <c r="Z292" s="847"/>
      <c r="AA292" s="847"/>
      <c r="AB292" s="741">
        <f t="shared" si="41"/>
        <v>0</v>
      </c>
      <c r="AC292" s="846"/>
      <c r="AD292" s="847"/>
      <c r="AE292" s="846"/>
      <c r="AF292" s="846"/>
      <c r="AG292" s="847"/>
      <c r="AH292" s="847"/>
      <c r="AI292" s="742">
        <f t="shared" si="45"/>
        <v>0</v>
      </c>
      <c r="AJ292" s="743">
        <f t="shared" si="46"/>
        <v>0</v>
      </c>
    </row>
    <row r="293" spans="1:36">
      <c r="A293" s="915" t="s">
        <v>142</v>
      </c>
      <c r="B293" s="916" t="s">
        <v>291</v>
      </c>
      <c r="C293" s="938" t="s">
        <v>520</v>
      </c>
      <c r="D293" s="939"/>
      <c r="E293" s="936"/>
      <c r="F293" s="937"/>
      <c r="G293" s="846"/>
      <c r="H293" s="847"/>
      <c r="I293" s="846"/>
      <c r="J293" s="847"/>
      <c r="K293" s="846"/>
      <c r="L293" s="847"/>
      <c r="M293" s="846"/>
      <c r="N293" s="846"/>
      <c r="O293" s="737">
        <f t="shared" si="39"/>
        <v>0</v>
      </c>
      <c r="P293" s="847"/>
      <c r="Q293" s="847"/>
      <c r="R293" s="738">
        <f t="shared" si="42"/>
        <v>0</v>
      </c>
      <c r="S293" s="737">
        <f t="shared" si="43"/>
        <v>0</v>
      </c>
      <c r="T293" s="739">
        <f t="shared" si="44"/>
        <v>0</v>
      </c>
      <c r="U293" s="846"/>
      <c r="V293" s="847"/>
      <c r="W293" s="846"/>
      <c r="X293" s="846"/>
      <c r="Y293" s="740">
        <f t="shared" si="40"/>
        <v>0</v>
      </c>
      <c r="Z293" s="847"/>
      <c r="AA293" s="847"/>
      <c r="AB293" s="741">
        <f t="shared" si="41"/>
        <v>0</v>
      </c>
      <c r="AC293" s="846"/>
      <c r="AD293" s="847"/>
      <c r="AE293" s="846"/>
      <c r="AF293" s="846"/>
      <c r="AG293" s="847"/>
      <c r="AH293" s="847"/>
      <c r="AI293" s="742">
        <f t="shared" si="45"/>
        <v>0</v>
      </c>
      <c r="AJ293" s="743">
        <f t="shared" si="46"/>
        <v>0</v>
      </c>
    </row>
    <row r="294" spans="1:36">
      <c r="A294" s="915" t="s">
        <v>142</v>
      </c>
      <c r="B294" s="916" t="s">
        <v>292</v>
      </c>
      <c r="C294" s="940" t="s">
        <v>34</v>
      </c>
      <c r="D294" s="934"/>
      <c r="E294" s="936"/>
      <c r="F294" s="937"/>
      <c r="G294" s="846"/>
      <c r="H294" s="847"/>
      <c r="I294" s="846"/>
      <c r="J294" s="847"/>
      <c r="K294" s="846"/>
      <c r="L294" s="847"/>
      <c r="M294" s="846"/>
      <c r="N294" s="846"/>
      <c r="O294" s="737">
        <f t="shared" si="39"/>
        <v>0</v>
      </c>
      <c r="P294" s="847"/>
      <c r="Q294" s="847"/>
      <c r="R294" s="738">
        <f t="shared" si="42"/>
        <v>0</v>
      </c>
      <c r="S294" s="737">
        <f t="shared" si="43"/>
        <v>0</v>
      </c>
      <c r="T294" s="739">
        <f t="shared" si="44"/>
        <v>0</v>
      </c>
      <c r="U294" s="846"/>
      <c r="V294" s="847"/>
      <c r="W294" s="846"/>
      <c r="X294" s="846"/>
      <c r="Y294" s="740">
        <f t="shared" si="40"/>
        <v>0</v>
      </c>
      <c r="Z294" s="847"/>
      <c r="AA294" s="847"/>
      <c r="AB294" s="741">
        <f t="shared" si="41"/>
        <v>0</v>
      </c>
      <c r="AC294" s="846"/>
      <c r="AD294" s="847"/>
      <c r="AE294" s="846"/>
      <c r="AF294" s="846"/>
      <c r="AG294" s="847"/>
      <c r="AH294" s="847"/>
      <c r="AI294" s="742">
        <f t="shared" si="45"/>
        <v>0</v>
      </c>
      <c r="AJ294" s="743">
        <f t="shared" si="46"/>
        <v>0</v>
      </c>
    </row>
    <row r="295" spans="1:36">
      <c r="A295" s="915" t="s">
        <v>142</v>
      </c>
      <c r="B295" s="916" t="s">
        <v>292</v>
      </c>
      <c r="C295" s="941" t="s">
        <v>695</v>
      </c>
      <c r="D295" s="917"/>
      <c r="E295" s="936"/>
      <c r="F295" s="937"/>
      <c r="G295" s="846"/>
      <c r="H295" s="847"/>
      <c r="I295" s="846"/>
      <c r="J295" s="847"/>
      <c r="K295" s="846"/>
      <c r="L295" s="847"/>
      <c r="M295" s="846"/>
      <c r="N295" s="846"/>
      <c r="O295" s="737">
        <f t="shared" si="39"/>
        <v>0</v>
      </c>
      <c r="P295" s="847"/>
      <c r="Q295" s="847"/>
      <c r="R295" s="738">
        <f t="shared" si="42"/>
        <v>0</v>
      </c>
      <c r="S295" s="737">
        <f t="shared" si="43"/>
        <v>0</v>
      </c>
      <c r="T295" s="739">
        <f t="shared" si="44"/>
        <v>0</v>
      </c>
      <c r="U295" s="846"/>
      <c r="V295" s="847"/>
      <c r="W295" s="846"/>
      <c r="X295" s="846"/>
      <c r="Y295" s="740">
        <f t="shared" si="40"/>
        <v>0</v>
      </c>
      <c r="Z295" s="847"/>
      <c r="AA295" s="847"/>
      <c r="AB295" s="741">
        <f t="shared" si="41"/>
        <v>0</v>
      </c>
      <c r="AC295" s="846"/>
      <c r="AD295" s="847"/>
      <c r="AE295" s="846"/>
      <c r="AF295" s="846"/>
      <c r="AG295" s="847"/>
      <c r="AH295" s="847"/>
      <c r="AI295" s="742">
        <f t="shared" si="45"/>
        <v>0</v>
      </c>
      <c r="AJ295" s="743">
        <f t="shared" si="46"/>
        <v>0</v>
      </c>
    </row>
    <row r="296" spans="1:36">
      <c r="A296" s="915" t="s">
        <v>142</v>
      </c>
      <c r="B296" s="916" t="s">
        <v>310</v>
      </c>
      <c r="C296" s="942" t="s">
        <v>311</v>
      </c>
      <c r="D296" s="943"/>
      <c r="E296" s="936"/>
      <c r="F296" s="937"/>
      <c r="G296" s="846"/>
      <c r="H296" s="847"/>
      <c r="I296" s="846"/>
      <c r="J296" s="847"/>
      <c r="K296" s="846"/>
      <c r="L296" s="847"/>
      <c r="M296" s="846"/>
      <c r="N296" s="846"/>
      <c r="O296" s="737">
        <f t="shared" si="39"/>
        <v>0</v>
      </c>
      <c r="P296" s="847"/>
      <c r="Q296" s="847"/>
      <c r="R296" s="738">
        <f t="shared" si="42"/>
        <v>0</v>
      </c>
      <c r="S296" s="737">
        <f t="shared" si="43"/>
        <v>0</v>
      </c>
      <c r="T296" s="739">
        <f t="shared" si="44"/>
        <v>0</v>
      </c>
      <c r="U296" s="846"/>
      <c r="V296" s="847"/>
      <c r="W296" s="846"/>
      <c r="X296" s="846"/>
      <c r="Y296" s="740">
        <f t="shared" si="40"/>
        <v>0</v>
      </c>
      <c r="Z296" s="847"/>
      <c r="AA296" s="847"/>
      <c r="AB296" s="741">
        <f t="shared" si="41"/>
        <v>0</v>
      </c>
      <c r="AC296" s="846"/>
      <c r="AD296" s="847"/>
      <c r="AE296" s="846"/>
      <c r="AF296" s="846"/>
      <c r="AG296" s="847"/>
      <c r="AH296" s="847"/>
      <c r="AI296" s="742">
        <f t="shared" si="45"/>
        <v>0</v>
      </c>
      <c r="AJ296" s="743">
        <f t="shared" si="46"/>
        <v>0</v>
      </c>
    </row>
    <row r="297" spans="1:36">
      <c r="A297" s="915" t="s">
        <v>142</v>
      </c>
      <c r="B297" s="916" t="s">
        <v>251</v>
      </c>
      <c r="C297" s="942" t="s">
        <v>249</v>
      </c>
      <c r="D297" s="943"/>
      <c r="E297" s="936"/>
      <c r="F297" s="937"/>
      <c r="G297" s="846"/>
      <c r="H297" s="847"/>
      <c r="I297" s="846"/>
      <c r="J297" s="847"/>
      <c r="K297" s="846"/>
      <c r="L297" s="847"/>
      <c r="M297" s="846"/>
      <c r="N297" s="846"/>
      <c r="O297" s="737">
        <f t="shared" si="39"/>
        <v>0</v>
      </c>
      <c r="P297" s="847"/>
      <c r="Q297" s="847"/>
      <c r="R297" s="738">
        <f t="shared" si="42"/>
        <v>0</v>
      </c>
      <c r="S297" s="737">
        <f t="shared" si="43"/>
        <v>0</v>
      </c>
      <c r="T297" s="739">
        <f t="shared" si="44"/>
        <v>0</v>
      </c>
      <c r="U297" s="846">
        <v>740014</v>
      </c>
      <c r="V297" s="847">
        <v>740014</v>
      </c>
      <c r="W297" s="846"/>
      <c r="X297" s="846"/>
      <c r="Y297" s="740">
        <f t="shared" si="40"/>
        <v>0</v>
      </c>
      <c r="Z297" s="847"/>
      <c r="AA297" s="847"/>
      <c r="AB297" s="741">
        <f t="shared" si="41"/>
        <v>0</v>
      </c>
      <c r="AC297" s="846"/>
      <c r="AD297" s="847"/>
      <c r="AE297" s="846"/>
      <c r="AF297" s="846"/>
      <c r="AG297" s="847"/>
      <c r="AH297" s="847"/>
      <c r="AI297" s="742">
        <f t="shared" si="45"/>
        <v>740014</v>
      </c>
      <c r="AJ297" s="743">
        <f t="shared" si="46"/>
        <v>740014</v>
      </c>
    </row>
    <row r="298" spans="1:36">
      <c r="A298" s="915" t="s">
        <v>142</v>
      </c>
      <c r="B298" s="944" t="s">
        <v>209</v>
      </c>
      <c r="C298" s="942" t="s">
        <v>522</v>
      </c>
      <c r="D298" s="943"/>
      <c r="E298" s="936"/>
      <c r="F298" s="937"/>
      <c r="G298" s="846"/>
      <c r="H298" s="847"/>
      <c r="I298" s="846"/>
      <c r="J298" s="847"/>
      <c r="K298" s="846"/>
      <c r="L298" s="847"/>
      <c r="M298" s="846"/>
      <c r="N298" s="846"/>
      <c r="O298" s="737">
        <f t="shared" si="39"/>
        <v>0</v>
      </c>
      <c r="P298" s="847"/>
      <c r="Q298" s="847"/>
      <c r="R298" s="738">
        <f t="shared" si="42"/>
        <v>0</v>
      </c>
      <c r="S298" s="737">
        <f t="shared" si="43"/>
        <v>0</v>
      </c>
      <c r="T298" s="739">
        <f t="shared" si="44"/>
        <v>0</v>
      </c>
      <c r="U298" s="846"/>
      <c r="V298" s="847"/>
      <c r="W298" s="846"/>
      <c r="X298" s="846"/>
      <c r="Y298" s="740">
        <f t="shared" si="40"/>
        <v>0</v>
      </c>
      <c r="Z298" s="847"/>
      <c r="AA298" s="847"/>
      <c r="AB298" s="741">
        <f t="shared" si="41"/>
        <v>0</v>
      </c>
      <c r="AC298" s="846"/>
      <c r="AD298" s="847"/>
      <c r="AE298" s="846"/>
      <c r="AF298" s="846"/>
      <c r="AG298" s="847"/>
      <c r="AH298" s="847"/>
      <c r="AI298" s="742">
        <f t="shared" si="45"/>
        <v>0</v>
      </c>
      <c r="AJ298" s="743">
        <f t="shared" si="46"/>
        <v>0</v>
      </c>
    </row>
    <row r="299" spans="1:36">
      <c r="A299" s="915" t="s">
        <v>142</v>
      </c>
      <c r="B299" s="944" t="s">
        <v>210</v>
      </c>
      <c r="C299" s="942" t="s">
        <v>311</v>
      </c>
      <c r="D299" s="943"/>
      <c r="E299" s="936"/>
      <c r="F299" s="937"/>
      <c r="G299" s="846"/>
      <c r="H299" s="847"/>
      <c r="I299" s="846"/>
      <c r="J299" s="847"/>
      <c r="K299" s="846"/>
      <c r="L299" s="847"/>
      <c r="M299" s="846"/>
      <c r="N299" s="846"/>
      <c r="O299" s="737">
        <f t="shared" si="39"/>
        <v>0</v>
      </c>
      <c r="P299" s="847"/>
      <c r="Q299" s="847"/>
      <c r="R299" s="738">
        <f t="shared" si="42"/>
        <v>0</v>
      </c>
      <c r="S299" s="737">
        <f t="shared" si="43"/>
        <v>0</v>
      </c>
      <c r="T299" s="739">
        <f t="shared" si="44"/>
        <v>0</v>
      </c>
      <c r="U299" s="846"/>
      <c r="V299" s="847"/>
      <c r="W299" s="846"/>
      <c r="X299" s="846"/>
      <c r="Y299" s="740">
        <f t="shared" si="40"/>
        <v>0</v>
      </c>
      <c r="Z299" s="847"/>
      <c r="AA299" s="847"/>
      <c r="AB299" s="741">
        <f t="shared" si="41"/>
        <v>0</v>
      </c>
      <c r="AC299" s="846"/>
      <c r="AD299" s="847"/>
      <c r="AE299" s="846"/>
      <c r="AF299" s="846"/>
      <c r="AG299" s="847"/>
      <c r="AH299" s="847"/>
      <c r="AI299" s="742">
        <f t="shared" si="45"/>
        <v>0</v>
      </c>
      <c r="AJ299" s="743">
        <f t="shared" si="46"/>
        <v>0</v>
      </c>
    </row>
    <row r="300" spans="1:36">
      <c r="A300" s="915" t="s">
        <v>142</v>
      </c>
      <c r="B300" s="944" t="s">
        <v>204</v>
      </c>
      <c r="C300" s="942" t="s">
        <v>249</v>
      </c>
      <c r="D300" s="943"/>
      <c r="E300" s="936"/>
      <c r="F300" s="937"/>
      <c r="G300" s="846"/>
      <c r="H300" s="847"/>
      <c r="I300" s="846"/>
      <c r="J300" s="847"/>
      <c r="K300" s="846"/>
      <c r="L300" s="847"/>
      <c r="M300" s="846"/>
      <c r="N300" s="846"/>
      <c r="O300" s="737">
        <f t="shared" si="39"/>
        <v>0</v>
      </c>
      <c r="P300" s="847"/>
      <c r="Q300" s="847"/>
      <c r="R300" s="738">
        <f t="shared" si="42"/>
        <v>0</v>
      </c>
      <c r="S300" s="737">
        <f t="shared" si="43"/>
        <v>0</v>
      </c>
      <c r="T300" s="739">
        <f t="shared" si="44"/>
        <v>0</v>
      </c>
      <c r="U300" s="846"/>
      <c r="V300" s="847"/>
      <c r="W300" s="846"/>
      <c r="X300" s="846"/>
      <c r="Y300" s="740">
        <f t="shared" si="40"/>
        <v>0</v>
      </c>
      <c r="Z300" s="847"/>
      <c r="AA300" s="847"/>
      <c r="AB300" s="741">
        <f t="shared" si="41"/>
        <v>0</v>
      </c>
      <c r="AC300" s="846"/>
      <c r="AD300" s="847"/>
      <c r="AE300" s="846"/>
      <c r="AF300" s="846"/>
      <c r="AG300" s="847"/>
      <c r="AH300" s="847"/>
      <c r="AI300" s="742">
        <f t="shared" si="45"/>
        <v>0</v>
      </c>
      <c r="AJ300" s="743">
        <f t="shared" si="46"/>
        <v>0</v>
      </c>
    </row>
    <row r="301" spans="1:36">
      <c r="A301" s="915" t="s">
        <v>142</v>
      </c>
      <c r="B301" s="944" t="s">
        <v>205</v>
      </c>
      <c r="C301" s="942" t="s">
        <v>523</v>
      </c>
      <c r="D301" s="943"/>
      <c r="E301" s="936"/>
      <c r="F301" s="937"/>
      <c r="G301" s="846"/>
      <c r="H301" s="847"/>
      <c r="I301" s="846"/>
      <c r="J301" s="847"/>
      <c r="K301" s="846"/>
      <c r="L301" s="847"/>
      <c r="M301" s="846"/>
      <c r="N301" s="846"/>
      <c r="O301" s="737">
        <f t="shared" si="39"/>
        <v>0</v>
      </c>
      <c r="P301" s="847"/>
      <c r="Q301" s="847"/>
      <c r="R301" s="738">
        <f t="shared" si="42"/>
        <v>0</v>
      </c>
      <c r="S301" s="737">
        <f t="shared" si="43"/>
        <v>0</v>
      </c>
      <c r="T301" s="739">
        <f t="shared" si="44"/>
        <v>0</v>
      </c>
      <c r="U301" s="846"/>
      <c r="V301" s="847"/>
      <c r="W301" s="846"/>
      <c r="X301" s="846"/>
      <c r="Y301" s="740">
        <f t="shared" si="40"/>
        <v>0</v>
      </c>
      <c r="Z301" s="847"/>
      <c r="AA301" s="847"/>
      <c r="AB301" s="741">
        <f t="shared" si="41"/>
        <v>0</v>
      </c>
      <c r="AC301" s="846"/>
      <c r="AD301" s="847"/>
      <c r="AE301" s="846"/>
      <c r="AF301" s="846"/>
      <c r="AG301" s="847"/>
      <c r="AH301" s="847"/>
      <c r="AI301" s="742">
        <f t="shared" si="45"/>
        <v>0</v>
      </c>
      <c r="AJ301" s="743">
        <f t="shared" si="46"/>
        <v>0</v>
      </c>
    </row>
    <row r="302" spans="1:36">
      <c r="A302" s="915" t="s">
        <v>142</v>
      </c>
      <c r="B302" s="944" t="s">
        <v>218</v>
      </c>
      <c r="C302" s="942" t="s">
        <v>311</v>
      </c>
      <c r="D302" s="943"/>
      <c r="E302" s="936"/>
      <c r="F302" s="937"/>
      <c r="G302" s="846"/>
      <c r="H302" s="847"/>
      <c r="I302" s="846"/>
      <c r="J302" s="847"/>
      <c r="K302" s="846"/>
      <c r="L302" s="847"/>
      <c r="M302" s="846"/>
      <c r="N302" s="846"/>
      <c r="O302" s="737">
        <f t="shared" si="39"/>
        <v>0</v>
      </c>
      <c r="P302" s="847"/>
      <c r="Q302" s="847"/>
      <c r="R302" s="738">
        <f t="shared" si="42"/>
        <v>0</v>
      </c>
      <c r="S302" s="737">
        <f t="shared" si="43"/>
        <v>0</v>
      </c>
      <c r="T302" s="739">
        <f t="shared" si="44"/>
        <v>0</v>
      </c>
      <c r="U302" s="846"/>
      <c r="V302" s="847"/>
      <c r="W302" s="846"/>
      <c r="X302" s="846"/>
      <c r="Y302" s="740">
        <f t="shared" si="40"/>
        <v>0</v>
      </c>
      <c r="Z302" s="847"/>
      <c r="AA302" s="847"/>
      <c r="AB302" s="741">
        <f t="shared" si="41"/>
        <v>0</v>
      </c>
      <c r="AC302" s="846"/>
      <c r="AD302" s="847"/>
      <c r="AE302" s="846"/>
      <c r="AF302" s="846"/>
      <c r="AG302" s="847"/>
      <c r="AH302" s="847"/>
      <c r="AI302" s="742">
        <f t="shared" si="45"/>
        <v>0</v>
      </c>
      <c r="AJ302" s="743">
        <f t="shared" si="46"/>
        <v>0</v>
      </c>
    </row>
    <row r="303" spans="1:36">
      <c r="A303" s="915" t="s">
        <v>142</v>
      </c>
      <c r="B303" s="944" t="s">
        <v>219</v>
      </c>
      <c r="C303" s="942" t="s">
        <v>249</v>
      </c>
      <c r="D303" s="943"/>
      <c r="E303" s="936"/>
      <c r="F303" s="937"/>
      <c r="G303" s="846"/>
      <c r="H303" s="847"/>
      <c r="I303" s="846"/>
      <c r="J303" s="847"/>
      <c r="K303" s="846"/>
      <c r="L303" s="847"/>
      <c r="M303" s="846"/>
      <c r="N303" s="846"/>
      <c r="O303" s="737">
        <f t="shared" si="39"/>
        <v>0</v>
      </c>
      <c r="P303" s="847"/>
      <c r="Q303" s="847"/>
      <c r="R303" s="738">
        <f t="shared" si="42"/>
        <v>0</v>
      </c>
      <c r="S303" s="737">
        <f t="shared" si="43"/>
        <v>0</v>
      </c>
      <c r="T303" s="739">
        <f t="shared" si="44"/>
        <v>0</v>
      </c>
      <c r="U303" s="846"/>
      <c r="V303" s="847"/>
      <c r="W303" s="846"/>
      <c r="X303" s="846"/>
      <c r="Y303" s="740">
        <f t="shared" si="40"/>
        <v>0</v>
      </c>
      <c r="Z303" s="847"/>
      <c r="AA303" s="847"/>
      <c r="AB303" s="741">
        <f t="shared" si="41"/>
        <v>0</v>
      </c>
      <c r="AC303" s="846"/>
      <c r="AD303" s="847"/>
      <c r="AE303" s="846"/>
      <c r="AF303" s="846"/>
      <c r="AG303" s="847"/>
      <c r="AH303" s="847"/>
      <c r="AI303" s="742">
        <f t="shared" si="45"/>
        <v>0</v>
      </c>
      <c r="AJ303" s="743">
        <f t="shared" si="46"/>
        <v>0</v>
      </c>
    </row>
    <row r="304" spans="1:36">
      <c r="A304" s="915" t="s">
        <v>142</v>
      </c>
      <c r="B304" s="916" t="s">
        <v>292</v>
      </c>
      <c r="C304" s="941" t="s">
        <v>696</v>
      </c>
      <c r="D304" s="917"/>
      <c r="E304" s="936"/>
      <c r="F304" s="937"/>
      <c r="G304" s="846"/>
      <c r="H304" s="847"/>
      <c r="I304" s="846"/>
      <c r="J304" s="847"/>
      <c r="K304" s="846"/>
      <c r="L304" s="847"/>
      <c r="M304" s="846"/>
      <c r="N304" s="846"/>
      <c r="O304" s="737">
        <f t="shared" si="39"/>
        <v>0</v>
      </c>
      <c r="P304" s="847"/>
      <c r="Q304" s="847"/>
      <c r="R304" s="738">
        <f t="shared" si="42"/>
        <v>0</v>
      </c>
      <c r="S304" s="737">
        <f t="shared" si="43"/>
        <v>0</v>
      </c>
      <c r="T304" s="739">
        <f t="shared" si="44"/>
        <v>0</v>
      </c>
      <c r="U304" s="846"/>
      <c r="V304" s="847"/>
      <c r="W304" s="846"/>
      <c r="X304" s="846"/>
      <c r="Y304" s="740">
        <f t="shared" si="40"/>
        <v>0</v>
      </c>
      <c r="Z304" s="847"/>
      <c r="AA304" s="847"/>
      <c r="AB304" s="741">
        <f t="shared" si="41"/>
        <v>0</v>
      </c>
      <c r="AC304" s="846"/>
      <c r="AD304" s="847"/>
      <c r="AE304" s="846"/>
      <c r="AF304" s="846"/>
      <c r="AG304" s="847"/>
      <c r="AH304" s="847"/>
      <c r="AI304" s="742">
        <f t="shared" si="45"/>
        <v>0</v>
      </c>
      <c r="AJ304" s="743">
        <f t="shared" si="46"/>
        <v>0</v>
      </c>
    </row>
    <row r="305" spans="1:36">
      <c r="A305" s="915" t="s">
        <v>142</v>
      </c>
      <c r="B305" s="916" t="s">
        <v>310</v>
      </c>
      <c r="C305" s="942" t="s">
        <v>311</v>
      </c>
      <c r="D305" s="943"/>
      <c r="E305" s="936"/>
      <c r="F305" s="937"/>
      <c r="G305" s="846"/>
      <c r="H305" s="847"/>
      <c r="I305" s="846"/>
      <c r="J305" s="847"/>
      <c r="K305" s="846"/>
      <c r="L305" s="847"/>
      <c r="M305" s="846"/>
      <c r="N305" s="846"/>
      <c r="O305" s="737">
        <f t="shared" si="39"/>
        <v>0</v>
      </c>
      <c r="P305" s="847"/>
      <c r="Q305" s="847"/>
      <c r="R305" s="738">
        <f t="shared" si="42"/>
        <v>0</v>
      </c>
      <c r="S305" s="737">
        <f t="shared" si="43"/>
        <v>0</v>
      </c>
      <c r="T305" s="739">
        <f t="shared" si="44"/>
        <v>0</v>
      </c>
      <c r="U305" s="846"/>
      <c r="V305" s="847"/>
      <c r="W305" s="846"/>
      <c r="X305" s="846"/>
      <c r="Y305" s="740">
        <f t="shared" si="40"/>
        <v>0</v>
      </c>
      <c r="Z305" s="847"/>
      <c r="AA305" s="847"/>
      <c r="AB305" s="741">
        <f t="shared" si="41"/>
        <v>0</v>
      </c>
      <c r="AC305" s="846"/>
      <c r="AD305" s="847"/>
      <c r="AE305" s="846"/>
      <c r="AF305" s="846"/>
      <c r="AG305" s="847"/>
      <c r="AH305" s="847"/>
      <c r="AI305" s="742">
        <f t="shared" si="45"/>
        <v>0</v>
      </c>
      <c r="AJ305" s="743">
        <f t="shared" si="46"/>
        <v>0</v>
      </c>
    </row>
    <row r="306" spans="1:36">
      <c r="A306" s="915" t="s">
        <v>142</v>
      </c>
      <c r="B306" s="916" t="s">
        <v>251</v>
      </c>
      <c r="C306" s="942" t="s">
        <v>249</v>
      </c>
      <c r="D306" s="943"/>
      <c r="E306" s="936"/>
      <c r="F306" s="937"/>
      <c r="G306" s="846"/>
      <c r="H306" s="847"/>
      <c r="I306" s="846"/>
      <c r="J306" s="847"/>
      <c r="K306" s="846"/>
      <c r="L306" s="847"/>
      <c r="M306" s="846"/>
      <c r="N306" s="846"/>
      <c r="O306" s="737">
        <f t="shared" si="39"/>
        <v>0</v>
      </c>
      <c r="P306" s="847"/>
      <c r="Q306" s="847"/>
      <c r="R306" s="738">
        <f t="shared" si="42"/>
        <v>0</v>
      </c>
      <c r="S306" s="737">
        <f t="shared" si="43"/>
        <v>0</v>
      </c>
      <c r="T306" s="739">
        <f t="shared" si="44"/>
        <v>0</v>
      </c>
      <c r="U306" s="846">
        <v>191166</v>
      </c>
      <c r="V306" s="847">
        <v>191166</v>
      </c>
      <c r="W306" s="846"/>
      <c r="X306" s="846"/>
      <c r="Y306" s="740">
        <f t="shared" si="40"/>
        <v>0</v>
      </c>
      <c r="Z306" s="847"/>
      <c r="AA306" s="847"/>
      <c r="AB306" s="741">
        <f t="shared" si="41"/>
        <v>0</v>
      </c>
      <c r="AC306" s="846"/>
      <c r="AD306" s="847"/>
      <c r="AE306" s="846"/>
      <c r="AF306" s="846"/>
      <c r="AG306" s="847"/>
      <c r="AH306" s="847"/>
      <c r="AI306" s="742">
        <f t="shared" si="45"/>
        <v>191166</v>
      </c>
      <c r="AJ306" s="743">
        <f t="shared" si="46"/>
        <v>191166</v>
      </c>
    </row>
    <row r="307" spans="1:36">
      <c r="A307" s="915" t="s">
        <v>142</v>
      </c>
      <c r="B307" s="944" t="s">
        <v>209</v>
      </c>
      <c r="C307" s="942" t="s">
        <v>522</v>
      </c>
      <c r="D307" s="943"/>
      <c r="E307" s="936"/>
      <c r="F307" s="937"/>
      <c r="G307" s="846"/>
      <c r="H307" s="847"/>
      <c r="I307" s="846"/>
      <c r="J307" s="847"/>
      <c r="K307" s="846"/>
      <c r="L307" s="847"/>
      <c r="M307" s="846"/>
      <c r="N307" s="846"/>
      <c r="O307" s="737">
        <f t="shared" si="39"/>
        <v>0</v>
      </c>
      <c r="P307" s="847"/>
      <c r="Q307" s="847"/>
      <c r="R307" s="738">
        <f t="shared" si="42"/>
        <v>0</v>
      </c>
      <c r="S307" s="737">
        <f t="shared" si="43"/>
        <v>0</v>
      </c>
      <c r="T307" s="739">
        <f t="shared" si="44"/>
        <v>0</v>
      </c>
      <c r="U307" s="846"/>
      <c r="V307" s="847"/>
      <c r="W307" s="846"/>
      <c r="X307" s="846"/>
      <c r="Y307" s="740">
        <f t="shared" si="40"/>
        <v>0</v>
      </c>
      <c r="Z307" s="847"/>
      <c r="AA307" s="847"/>
      <c r="AB307" s="741">
        <f t="shared" si="41"/>
        <v>0</v>
      </c>
      <c r="AC307" s="846"/>
      <c r="AD307" s="847"/>
      <c r="AE307" s="846"/>
      <c r="AF307" s="846"/>
      <c r="AG307" s="847"/>
      <c r="AH307" s="847"/>
      <c r="AI307" s="742">
        <f t="shared" si="45"/>
        <v>0</v>
      </c>
      <c r="AJ307" s="743">
        <f t="shared" si="46"/>
        <v>0</v>
      </c>
    </row>
    <row r="308" spans="1:36">
      <c r="A308" s="915" t="s">
        <v>142</v>
      </c>
      <c r="B308" s="944" t="s">
        <v>210</v>
      </c>
      <c r="C308" s="942" t="s">
        <v>311</v>
      </c>
      <c r="D308" s="943"/>
      <c r="E308" s="936"/>
      <c r="F308" s="937"/>
      <c r="G308" s="846"/>
      <c r="H308" s="847"/>
      <c r="I308" s="846"/>
      <c r="J308" s="847"/>
      <c r="K308" s="846"/>
      <c r="L308" s="847"/>
      <c r="M308" s="846"/>
      <c r="N308" s="846"/>
      <c r="O308" s="737">
        <f t="shared" si="39"/>
        <v>0</v>
      </c>
      <c r="P308" s="847"/>
      <c r="Q308" s="847"/>
      <c r="R308" s="738">
        <f t="shared" si="42"/>
        <v>0</v>
      </c>
      <c r="S308" s="737">
        <f t="shared" si="43"/>
        <v>0</v>
      </c>
      <c r="T308" s="739">
        <f t="shared" si="44"/>
        <v>0</v>
      </c>
      <c r="U308" s="846"/>
      <c r="V308" s="847"/>
      <c r="W308" s="846"/>
      <c r="X308" s="846"/>
      <c r="Y308" s="740">
        <f t="shared" si="40"/>
        <v>0</v>
      </c>
      <c r="Z308" s="847"/>
      <c r="AA308" s="847"/>
      <c r="AB308" s="741">
        <f t="shared" si="41"/>
        <v>0</v>
      </c>
      <c r="AC308" s="846"/>
      <c r="AD308" s="847"/>
      <c r="AE308" s="846"/>
      <c r="AF308" s="846"/>
      <c r="AG308" s="847"/>
      <c r="AH308" s="847"/>
      <c r="AI308" s="742">
        <f t="shared" si="45"/>
        <v>0</v>
      </c>
      <c r="AJ308" s="743">
        <f t="shared" si="46"/>
        <v>0</v>
      </c>
    </row>
    <row r="309" spans="1:36">
      <c r="A309" s="915" t="s">
        <v>142</v>
      </c>
      <c r="B309" s="944" t="s">
        <v>204</v>
      </c>
      <c r="C309" s="942" t="s">
        <v>249</v>
      </c>
      <c r="D309" s="943"/>
      <c r="E309" s="936"/>
      <c r="F309" s="937"/>
      <c r="G309" s="846"/>
      <c r="H309" s="847"/>
      <c r="I309" s="846"/>
      <c r="J309" s="847"/>
      <c r="K309" s="846"/>
      <c r="L309" s="847"/>
      <c r="M309" s="846"/>
      <c r="N309" s="846"/>
      <c r="O309" s="737">
        <f t="shared" si="39"/>
        <v>0</v>
      </c>
      <c r="P309" s="847"/>
      <c r="Q309" s="847"/>
      <c r="R309" s="738">
        <f t="shared" si="42"/>
        <v>0</v>
      </c>
      <c r="S309" s="737">
        <f t="shared" si="43"/>
        <v>0</v>
      </c>
      <c r="T309" s="739">
        <f t="shared" si="44"/>
        <v>0</v>
      </c>
      <c r="U309" s="846"/>
      <c r="V309" s="847"/>
      <c r="W309" s="846"/>
      <c r="X309" s="846"/>
      <c r="Y309" s="740">
        <f t="shared" si="40"/>
        <v>0</v>
      </c>
      <c r="Z309" s="847"/>
      <c r="AA309" s="847"/>
      <c r="AB309" s="741">
        <f t="shared" si="41"/>
        <v>0</v>
      </c>
      <c r="AC309" s="846"/>
      <c r="AD309" s="847"/>
      <c r="AE309" s="846"/>
      <c r="AF309" s="846"/>
      <c r="AG309" s="847"/>
      <c r="AH309" s="847"/>
      <c r="AI309" s="742">
        <f t="shared" si="45"/>
        <v>0</v>
      </c>
      <c r="AJ309" s="743">
        <f t="shared" si="46"/>
        <v>0</v>
      </c>
    </row>
    <row r="310" spans="1:36">
      <c r="A310" s="915" t="s">
        <v>142</v>
      </c>
      <c r="B310" s="944" t="s">
        <v>205</v>
      </c>
      <c r="C310" s="942" t="s">
        <v>523</v>
      </c>
      <c r="D310" s="943"/>
      <c r="E310" s="936"/>
      <c r="F310" s="937"/>
      <c r="G310" s="846"/>
      <c r="H310" s="847"/>
      <c r="I310" s="846"/>
      <c r="J310" s="847"/>
      <c r="K310" s="846"/>
      <c r="L310" s="847"/>
      <c r="M310" s="846"/>
      <c r="N310" s="846"/>
      <c r="O310" s="737">
        <f t="shared" si="39"/>
        <v>0</v>
      </c>
      <c r="P310" s="847"/>
      <c r="Q310" s="847"/>
      <c r="R310" s="738">
        <f t="shared" si="42"/>
        <v>0</v>
      </c>
      <c r="S310" s="737">
        <f t="shared" si="43"/>
        <v>0</v>
      </c>
      <c r="T310" s="739">
        <f t="shared" si="44"/>
        <v>0</v>
      </c>
      <c r="U310" s="846"/>
      <c r="V310" s="847"/>
      <c r="W310" s="846"/>
      <c r="X310" s="846"/>
      <c r="Y310" s="740">
        <f t="shared" si="40"/>
        <v>0</v>
      </c>
      <c r="Z310" s="847"/>
      <c r="AA310" s="847"/>
      <c r="AB310" s="741">
        <f t="shared" si="41"/>
        <v>0</v>
      </c>
      <c r="AC310" s="846"/>
      <c r="AD310" s="847"/>
      <c r="AE310" s="846"/>
      <c r="AF310" s="846"/>
      <c r="AG310" s="847"/>
      <c r="AH310" s="847"/>
      <c r="AI310" s="742">
        <f t="shared" si="45"/>
        <v>0</v>
      </c>
      <c r="AJ310" s="743">
        <f t="shared" si="46"/>
        <v>0</v>
      </c>
    </row>
    <row r="311" spans="1:36">
      <c r="A311" s="915" t="s">
        <v>142</v>
      </c>
      <c r="B311" s="944" t="s">
        <v>218</v>
      </c>
      <c r="C311" s="942" t="s">
        <v>311</v>
      </c>
      <c r="D311" s="943"/>
      <c r="E311" s="936"/>
      <c r="F311" s="937"/>
      <c r="G311" s="846"/>
      <c r="H311" s="847"/>
      <c r="I311" s="846"/>
      <c r="J311" s="847"/>
      <c r="K311" s="846"/>
      <c r="L311" s="847"/>
      <c r="M311" s="846"/>
      <c r="N311" s="846"/>
      <c r="O311" s="737">
        <f t="shared" si="39"/>
        <v>0</v>
      </c>
      <c r="P311" s="847"/>
      <c r="Q311" s="847"/>
      <c r="R311" s="738">
        <f t="shared" si="42"/>
        <v>0</v>
      </c>
      <c r="S311" s="737">
        <f t="shared" si="43"/>
        <v>0</v>
      </c>
      <c r="T311" s="739">
        <f t="shared" si="44"/>
        <v>0</v>
      </c>
      <c r="U311" s="846"/>
      <c r="V311" s="847"/>
      <c r="W311" s="846"/>
      <c r="X311" s="846"/>
      <c r="Y311" s="740">
        <f t="shared" si="40"/>
        <v>0</v>
      </c>
      <c r="Z311" s="847"/>
      <c r="AA311" s="847"/>
      <c r="AB311" s="741">
        <f t="shared" si="41"/>
        <v>0</v>
      </c>
      <c r="AC311" s="846"/>
      <c r="AD311" s="847"/>
      <c r="AE311" s="846"/>
      <c r="AF311" s="846"/>
      <c r="AG311" s="847"/>
      <c r="AH311" s="847"/>
      <c r="AI311" s="742">
        <f t="shared" si="45"/>
        <v>0</v>
      </c>
      <c r="AJ311" s="743">
        <f t="shared" si="46"/>
        <v>0</v>
      </c>
    </row>
    <row r="312" spans="1:36">
      <c r="A312" s="915" t="s">
        <v>142</v>
      </c>
      <c r="B312" s="944" t="s">
        <v>219</v>
      </c>
      <c r="C312" s="942" t="s">
        <v>249</v>
      </c>
      <c r="D312" s="943"/>
      <c r="E312" s="936"/>
      <c r="F312" s="937"/>
      <c r="G312" s="846"/>
      <c r="H312" s="847"/>
      <c r="I312" s="846"/>
      <c r="J312" s="847"/>
      <c r="K312" s="846"/>
      <c r="L312" s="847"/>
      <c r="M312" s="846"/>
      <c r="N312" s="846"/>
      <c r="O312" s="737">
        <f t="shared" si="39"/>
        <v>0</v>
      </c>
      <c r="P312" s="847"/>
      <c r="Q312" s="847"/>
      <c r="R312" s="738">
        <f t="shared" si="42"/>
        <v>0</v>
      </c>
      <c r="S312" s="737">
        <f t="shared" si="43"/>
        <v>0</v>
      </c>
      <c r="T312" s="739">
        <f t="shared" si="44"/>
        <v>0</v>
      </c>
      <c r="U312" s="846"/>
      <c r="V312" s="847"/>
      <c r="W312" s="846"/>
      <c r="X312" s="846"/>
      <c r="Y312" s="740">
        <f t="shared" si="40"/>
        <v>0</v>
      </c>
      <c r="Z312" s="847"/>
      <c r="AA312" s="847"/>
      <c r="AB312" s="741">
        <f t="shared" si="41"/>
        <v>0</v>
      </c>
      <c r="AC312" s="846"/>
      <c r="AD312" s="847"/>
      <c r="AE312" s="846"/>
      <c r="AF312" s="846"/>
      <c r="AG312" s="847"/>
      <c r="AH312" s="847"/>
      <c r="AI312" s="742">
        <f t="shared" si="45"/>
        <v>0</v>
      </c>
      <c r="AJ312" s="743">
        <f t="shared" si="46"/>
        <v>0</v>
      </c>
    </row>
    <row r="313" spans="1:36">
      <c r="A313" s="915" t="s">
        <v>142</v>
      </c>
      <c r="B313" s="916" t="s">
        <v>292</v>
      </c>
      <c r="C313" s="941" t="s">
        <v>697</v>
      </c>
      <c r="D313" s="917"/>
      <c r="E313" s="936"/>
      <c r="F313" s="937"/>
      <c r="G313" s="846"/>
      <c r="H313" s="847"/>
      <c r="I313" s="846"/>
      <c r="J313" s="847"/>
      <c r="K313" s="846"/>
      <c r="L313" s="847"/>
      <c r="M313" s="846"/>
      <c r="N313" s="846"/>
      <c r="O313" s="737">
        <f t="shared" si="39"/>
        <v>0</v>
      </c>
      <c r="P313" s="847"/>
      <c r="Q313" s="847"/>
      <c r="R313" s="738">
        <f t="shared" si="42"/>
        <v>0</v>
      </c>
      <c r="S313" s="737">
        <f t="shared" si="43"/>
        <v>0</v>
      </c>
      <c r="T313" s="739">
        <f t="shared" si="44"/>
        <v>0</v>
      </c>
      <c r="U313" s="846"/>
      <c r="V313" s="847"/>
      <c r="W313" s="846"/>
      <c r="X313" s="846"/>
      <c r="Y313" s="740">
        <f t="shared" si="40"/>
        <v>0</v>
      </c>
      <c r="Z313" s="847"/>
      <c r="AA313" s="847"/>
      <c r="AB313" s="741">
        <f t="shared" si="41"/>
        <v>0</v>
      </c>
      <c r="AC313" s="846"/>
      <c r="AD313" s="847"/>
      <c r="AE313" s="846"/>
      <c r="AF313" s="846"/>
      <c r="AG313" s="847"/>
      <c r="AH313" s="847"/>
      <c r="AI313" s="742">
        <f t="shared" si="45"/>
        <v>0</v>
      </c>
      <c r="AJ313" s="743">
        <f t="shared" si="46"/>
        <v>0</v>
      </c>
    </row>
    <row r="314" spans="1:36">
      <c r="A314" s="915" t="s">
        <v>142</v>
      </c>
      <c r="B314" s="916" t="s">
        <v>310</v>
      </c>
      <c r="C314" s="942" t="s">
        <v>311</v>
      </c>
      <c r="D314" s="943"/>
      <c r="E314" s="936"/>
      <c r="F314" s="937"/>
      <c r="G314" s="846"/>
      <c r="H314" s="847"/>
      <c r="I314" s="846"/>
      <c r="J314" s="847"/>
      <c r="K314" s="846"/>
      <c r="L314" s="847"/>
      <c r="M314" s="846"/>
      <c r="N314" s="846"/>
      <c r="O314" s="737">
        <f t="shared" si="39"/>
        <v>0</v>
      </c>
      <c r="P314" s="847"/>
      <c r="Q314" s="847"/>
      <c r="R314" s="738">
        <f t="shared" si="42"/>
        <v>0</v>
      </c>
      <c r="S314" s="737">
        <f t="shared" si="43"/>
        <v>0</v>
      </c>
      <c r="T314" s="739">
        <f t="shared" si="44"/>
        <v>0</v>
      </c>
      <c r="U314" s="846"/>
      <c r="V314" s="847"/>
      <c r="W314" s="846"/>
      <c r="X314" s="846"/>
      <c r="Y314" s="740">
        <f t="shared" si="40"/>
        <v>0</v>
      </c>
      <c r="Z314" s="847"/>
      <c r="AA314" s="847"/>
      <c r="AB314" s="741">
        <f t="shared" si="41"/>
        <v>0</v>
      </c>
      <c r="AC314" s="846"/>
      <c r="AD314" s="847"/>
      <c r="AE314" s="846"/>
      <c r="AF314" s="846"/>
      <c r="AG314" s="847"/>
      <c r="AH314" s="847"/>
      <c r="AI314" s="742">
        <f t="shared" si="45"/>
        <v>0</v>
      </c>
      <c r="AJ314" s="743">
        <f t="shared" si="46"/>
        <v>0</v>
      </c>
    </row>
    <row r="315" spans="1:36">
      <c r="A315" s="915" t="s">
        <v>142</v>
      </c>
      <c r="B315" s="916" t="s">
        <v>251</v>
      </c>
      <c r="C315" s="942" t="s">
        <v>249</v>
      </c>
      <c r="D315" s="943"/>
      <c r="E315" s="936"/>
      <c r="F315" s="937"/>
      <c r="G315" s="846"/>
      <c r="H315" s="847"/>
      <c r="I315" s="846"/>
      <c r="J315" s="847"/>
      <c r="K315" s="846"/>
      <c r="L315" s="847"/>
      <c r="M315" s="846"/>
      <c r="N315" s="846"/>
      <c r="O315" s="737">
        <f t="shared" si="39"/>
        <v>0</v>
      </c>
      <c r="P315" s="847"/>
      <c r="Q315" s="847"/>
      <c r="R315" s="738">
        <f t="shared" si="42"/>
        <v>0</v>
      </c>
      <c r="S315" s="737">
        <f t="shared" si="43"/>
        <v>0</v>
      </c>
      <c r="T315" s="739">
        <f t="shared" si="44"/>
        <v>0</v>
      </c>
      <c r="U315" s="846">
        <v>107282</v>
      </c>
      <c r="V315" s="847">
        <v>107282</v>
      </c>
      <c r="W315" s="846"/>
      <c r="X315" s="846"/>
      <c r="Y315" s="740">
        <f t="shared" si="40"/>
        <v>0</v>
      </c>
      <c r="Z315" s="847"/>
      <c r="AA315" s="847"/>
      <c r="AB315" s="741">
        <f t="shared" si="41"/>
        <v>0</v>
      </c>
      <c r="AC315" s="846"/>
      <c r="AD315" s="847"/>
      <c r="AE315" s="846"/>
      <c r="AF315" s="846"/>
      <c r="AG315" s="847"/>
      <c r="AH315" s="847"/>
      <c r="AI315" s="742">
        <f t="shared" si="45"/>
        <v>107282</v>
      </c>
      <c r="AJ315" s="743">
        <f t="shared" si="46"/>
        <v>107282</v>
      </c>
    </row>
    <row r="316" spans="1:36">
      <c r="A316" s="915" t="s">
        <v>142</v>
      </c>
      <c r="B316" s="944" t="s">
        <v>209</v>
      </c>
      <c r="C316" s="942" t="s">
        <v>522</v>
      </c>
      <c r="D316" s="943"/>
      <c r="E316" s="936"/>
      <c r="F316" s="937"/>
      <c r="G316" s="846"/>
      <c r="H316" s="847"/>
      <c r="I316" s="846"/>
      <c r="J316" s="847"/>
      <c r="K316" s="846"/>
      <c r="L316" s="847"/>
      <c r="M316" s="846"/>
      <c r="N316" s="846"/>
      <c r="O316" s="737">
        <f t="shared" si="39"/>
        <v>0</v>
      </c>
      <c r="P316" s="847"/>
      <c r="Q316" s="847"/>
      <c r="R316" s="738">
        <f t="shared" si="42"/>
        <v>0</v>
      </c>
      <c r="S316" s="737">
        <f t="shared" si="43"/>
        <v>0</v>
      </c>
      <c r="T316" s="739">
        <f t="shared" si="44"/>
        <v>0</v>
      </c>
      <c r="U316" s="846"/>
      <c r="V316" s="847"/>
      <c r="W316" s="846"/>
      <c r="X316" s="846"/>
      <c r="Y316" s="740">
        <f t="shared" si="40"/>
        <v>0</v>
      </c>
      <c r="Z316" s="847"/>
      <c r="AA316" s="847"/>
      <c r="AB316" s="741">
        <f t="shared" si="41"/>
        <v>0</v>
      </c>
      <c r="AC316" s="846"/>
      <c r="AD316" s="847"/>
      <c r="AE316" s="846"/>
      <c r="AF316" s="846"/>
      <c r="AG316" s="847"/>
      <c r="AH316" s="847"/>
      <c r="AI316" s="742">
        <f t="shared" si="45"/>
        <v>0</v>
      </c>
      <c r="AJ316" s="743">
        <f t="shared" si="46"/>
        <v>0</v>
      </c>
    </row>
    <row r="317" spans="1:36">
      <c r="A317" s="915" t="s">
        <v>142</v>
      </c>
      <c r="B317" s="944" t="s">
        <v>210</v>
      </c>
      <c r="C317" s="942" t="s">
        <v>311</v>
      </c>
      <c r="D317" s="943"/>
      <c r="E317" s="936"/>
      <c r="F317" s="937"/>
      <c r="G317" s="846"/>
      <c r="H317" s="847"/>
      <c r="I317" s="846"/>
      <c r="J317" s="847"/>
      <c r="K317" s="846"/>
      <c r="L317" s="847"/>
      <c r="M317" s="846"/>
      <c r="N317" s="846"/>
      <c r="O317" s="737">
        <f t="shared" si="39"/>
        <v>0</v>
      </c>
      <c r="P317" s="847"/>
      <c r="Q317" s="847"/>
      <c r="R317" s="738">
        <f t="shared" si="42"/>
        <v>0</v>
      </c>
      <c r="S317" s="737">
        <f t="shared" si="43"/>
        <v>0</v>
      </c>
      <c r="T317" s="739">
        <f t="shared" si="44"/>
        <v>0</v>
      </c>
      <c r="U317" s="846"/>
      <c r="V317" s="847"/>
      <c r="W317" s="846"/>
      <c r="X317" s="846"/>
      <c r="Y317" s="740">
        <f t="shared" si="40"/>
        <v>0</v>
      </c>
      <c r="Z317" s="847"/>
      <c r="AA317" s="847"/>
      <c r="AB317" s="741">
        <f t="shared" si="41"/>
        <v>0</v>
      </c>
      <c r="AC317" s="846"/>
      <c r="AD317" s="847"/>
      <c r="AE317" s="846"/>
      <c r="AF317" s="846"/>
      <c r="AG317" s="847"/>
      <c r="AH317" s="847"/>
      <c r="AI317" s="742">
        <f t="shared" si="45"/>
        <v>0</v>
      </c>
      <c r="AJ317" s="743">
        <f t="shared" si="46"/>
        <v>0</v>
      </c>
    </row>
    <row r="318" spans="1:36">
      <c r="A318" s="915" t="s">
        <v>142</v>
      </c>
      <c r="B318" s="944" t="s">
        <v>204</v>
      </c>
      <c r="C318" s="942" t="s">
        <v>249</v>
      </c>
      <c r="D318" s="943"/>
      <c r="E318" s="936"/>
      <c r="F318" s="937"/>
      <c r="G318" s="846"/>
      <c r="H318" s="847"/>
      <c r="I318" s="846"/>
      <c r="J318" s="847"/>
      <c r="K318" s="846"/>
      <c r="L318" s="847"/>
      <c r="M318" s="846"/>
      <c r="N318" s="846"/>
      <c r="O318" s="737">
        <f t="shared" si="39"/>
        <v>0</v>
      </c>
      <c r="P318" s="847"/>
      <c r="Q318" s="847"/>
      <c r="R318" s="738">
        <f t="shared" si="42"/>
        <v>0</v>
      </c>
      <c r="S318" s="737">
        <f t="shared" si="43"/>
        <v>0</v>
      </c>
      <c r="T318" s="739">
        <f t="shared" si="44"/>
        <v>0</v>
      </c>
      <c r="U318" s="846"/>
      <c r="V318" s="847"/>
      <c r="W318" s="846"/>
      <c r="X318" s="846"/>
      <c r="Y318" s="740">
        <f t="shared" si="40"/>
        <v>0</v>
      </c>
      <c r="Z318" s="847"/>
      <c r="AA318" s="847"/>
      <c r="AB318" s="741">
        <f t="shared" si="41"/>
        <v>0</v>
      </c>
      <c r="AC318" s="846"/>
      <c r="AD318" s="847"/>
      <c r="AE318" s="846"/>
      <c r="AF318" s="846"/>
      <c r="AG318" s="847"/>
      <c r="AH318" s="847"/>
      <c r="AI318" s="742">
        <f t="shared" si="45"/>
        <v>0</v>
      </c>
      <c r="AJ318" s="743">
        <f t="shared" si="46"/>
        <v>0</v>
      </c>
    </row>
    <row r="319" spans="1:36">
      <c r="A319" s="915" t="s">
        <v>142</v>
      </c>
      <c r="B319" s="944" t="s">
        <v>205</v>
      </c>
      <c r="C319" s="942" t="s">
        <v>523</v>
      </c>
      <c r="D319" s="943"/>
      <c r="E319" s="936"/>
      <c r="F319" s="937"/>
      <c r="G319" s="846"/>
      <c r="H319" s="847"/>
      <c r="I319" s="846"/>
      <c r="J319" s="847"/>
      <c r="K319" s="846"/>
      <c r="L319" s="847"/>
      <c r="M319" s="846"/>
      <c r="N319" s="846"/>
      <c r="O319" s="737">
        <f t="shared" si="39"/>
        <v>0</v>
      </c>
      <c r="P319" s="847"/>
      <c r="Q319" s="847"/>
      <c r="R319" s="738">
        <f t="shared" si="42"/>
        <v>0</v>
      </c>
      <c r="S319" s="737">
        <f t="shared" si="43"/>
        <v>0</v>
      </c>
      <c r="T319" s="739">
        <f t="shared" si="44"/>
        <v>0</v>
      </c>
      <c r="U319" s="846"/>
      <c r="V319" s="847"/>
      <c r="W319" s="846"/>
      <c r="X319" s="846"/>
      <c r="Y319" s="740">
        <f t="shared" si="40"/>
        <v>0</v>
      </c>
      <c r="Z319" s="847"/>
      <c r="AA319" s="847"/>
      <c r="AB319" s="741">
        <f t="shared" si="41"/>
        <v>0</v>
      </c>
      <c r="AC319" s="846"/>
      <c r="AD319" s="847"/>
      <c r="AE319" s="846"/>
      <c r="AF319" s="846"/>
      <c r="AG319" s="847"/>
      <c r="AH319" s="847"/>
      <c r="AI319" s="742">
        <f t="shared" si="45"/>
        <v>0</v>
      </c>
      <c r="AJ319" s="743">
        <f t="shared" si="46"/>
        <v>0</v>
      </c>
    </row>
    <row r="320" spans="1:36">
      <c r="A320" s="915" t="s">
        <v>142</v>
      </c>
      <c r="B320" s="944" t="s">
        <v>218</v>
      </c>
      <c r="C320" s="942" t="s">
        <v>311</v>
      </c>
      <c r="D320" s="943"/>
      <c r="E320" s="936"/>
      <c r="F320" s="937"/>
      <c r="G320" s="846"/>
      <c r="H320" s="847"/>
      <c r="I320" s="846"/>
      <c r="J320" s="847"/>
      <c r="K320" s="846"/>
      <c r="L320" s="847"/>
      <c r="M320" s="846"/>
      <c r="N320" s="846"/>
      <c r="O320" s="737">
        <f t="shared" si="39"/>
        <v>0</v>
      </c>
      <c r="P320" s="847"/>
      <c r="Q320" s="847"/>
      <c r="R320" s="738">
        <f t="shared" si="42"/>
        <v>0</v>
      </c>
      <c r="S320" s="737">
        <f t="shared" si="43"/>
        <v>0</v>
      </c>
      <c r="T320" s="739">
        <f t="shared" si="44"/>
        <v>0</v>
      </c>
      <c r="U320" s="846"/>
      <c r="V320" s="847"/>
      <c r="W320" s="846"/>
      <c r="X320" s="846"/>
      <c r="Y320" s="740">
        <f t="shared" si="40"/>
        <v>0</v>
      </c>
      <c r="Z320" s="847"/>
      <c r="AA320" s="847"/>
      <c r="AB320" s="741">
        <f t="shared" si="41"/>
        <v>0</v>
      </c>
      <c r="AC320" s="846"/>
      <c r="AD320" s="847"/>
      <c r="AE320" s="846"/>
      <c r="AF320" s="846"/>
      <c r="AG320" s="847"/>
      <c r="AH320" s="847"/>
      <c r="AI320" s="742">
        <f t="shared" si="45"/>
        <v>0</v>
      </c>
      <c r="AJ320" s="743">
        <f t="shared" si="46"/>
        <v>0</v>
      </c>
    </row>
    <row r="321" spans="1:36">
      <c r="A321" s="915" t="s">
        <v>142</v>
      </c>
      <c r="B321" s="944" t="s">
        <v>219</v>
      </c>
      <c r="C321" s="942" t="s">
        <v>249</v>
      </c>
      <c r="D321" s="943"/>
      <c r="E321" s="936"/>
      <c r="F321" s="937"/>
      <c r="G321" s="846"/>
      <c r="H321" s="847"/>
      <c r="I321" s="846"/>
      <c r="J321" s="847"/>
      <c r="K321" s="846"/>
      <c r="L321" s="847"/>
      <c r="M321" s="846"/>
      <c r="N321" s="846"/>
      <c r="O321" s="737">
        <f t="shared" si="39"/>
        <v>0</v>
      </c>
      <c r="P321" s="847"/>
      <c r="Q321" s="847"/>
      <c r="R321" s="738">
        <f t="shared" si="42"/>
        <v>0</v>
      </c>
      <c r="S321" s="737">
        <f t="shared" si="43"/>
        <v>0</v>
      </c>
      <c r="T321" s="739">
        <f t="shared" si="44"/>
        <v>0</v>
      </c>
      <c r="U321" s="846"/>
      <c r="V321" s="847"/>
      <c r="W321" s="846"/>
      <c r="X321" s="846"/>
      <c r="Y321" s="740">
        <f t="shared" si="40"/>
        <v>0</v>
      </c>
      <c r="Z321" s="847"/>
      <c r="AA321" s="847"/>
      <c r="AB321" s="741">
        <f t="shared" si="41"/>
        <v>0</v>
      </c>
      <c r="AC321" s="846"/>
      <c r="AD321" s="847"/>
      <c r="AE321" s="846"/>
      <c r="AF321" s="846"/>
      <c r="AG321" s="847"/>
      <c r="AH321" s="847"/>
      <c r="AI321" s="742">
        <f t="shared" si="45"/>
        <v>0</v>
      </c>
      <c r="AJ321" s="743">
        <f t="shared" si="46"/>
        <v>0</v>
      </c>
    </row>
    <row r="322" spans="1:36">
      <c r="A322" s="915" t="s">
        <v>142</v>
      </c>
      <c r="B322" s="916" t="s">
        <v>292</v>
      </c>
      <c r="C322" s="941" t="s">
        <v>698</v>
      </c>
      <c r="D322" s="917"/>
      <c r="E322" s="936"/>
      <c r="F322" s="937"/>
      <c r="G322" s="846"/>
      <c r="H322" s="847"/>
      <c r="I322" s="846"/>
      <c r="J322" s="847"/>
      <c r="K322" s="846"/>
      <c r="L322" s="847"/>
      <c r="M322" s="846"/>
      <c r="N322" s="846"/>
      <c r="O322" s="737">
        <f t="shared" si="39"/>
        <v>0</v>
      </c>
      <c r="P322" s="847"/>
      <c r="Q322" s="847"/>
      <c r="R322" s="738">
        <f t="shared" si="42"/>
        <v>0</v>
      </c>
      <c r="S322" s="737">
        <f t="shared" si="43"/>
        <v>0</v>
      </c>
      <c r="T322" s="739">
        <f t="shared" si="44"/>
        <v>0</v>
      </c>
      <c r="U322" s="846"/>
      <c r="V322" s="847"/>
      <c r="W322" s="846"/>
      <c r="X322" s="846"/>
      <c r="Y322" s="740">
        <f t="shared" si="40"/>
        <v>0</v>
      </c>
      <c r="Z322" s="847"/>
      <c r="AA322" s="847"/>
      <c r="AB322" s="741">
        <f t="shared" si="41"/>
        <v>0</v>
      </c>
      <c r="AC322" s="846"/>
      <c r="AD322" s="847"/>
      <c r="AE322" s="846"/>
      <c r="AF322" s="846"/>
      <c r="AG322" s="847"/>
      <c r="AH322" s="847"/>
      <c r="AI322" s="742">
        <f t="shared" si="45"/>
        <v>0</v>
      </c>
      <c r="AJ322" s="743">
        <f t="shared" si="46"/>
        <v>0</v>
      </c>
    </row>
    <row r="323" spans="1:36">
      <c r="A323" s="915" t="s">
        <v>142</v>
      </c>
      <c r="B323" s="916" t="s">
        <v>310</v>
      </c>
      <c r="C323" s="942" t="s">
        <v>311</v>
      </c>
      <c r="D323" s="943"/>
      <c r="E323" s="936"/>
      <c r="F323" s="937"/>
      <c r="G323" s="846"/>
      <c r="H323" s="847"/>
      <c r="I323" s="846"/>
      <c r="J323" s="847"/>
      <c r="K323" s="846"/>
      <c r="L323" s="847"/>
      <c r="M323" s="846"/>
      <c r="N323" s="846"/>
      <c r="O323" s="737">
        <f t="shared" si="39"/>
        <v>0</v>
      </c>
      <c r="P323" s="847"/>
      <c r="Q323" s="847"/>
      <c r="R323" s="738">
        <f t="shared" si="42"/>
        <v>0</v>
      </c>
      <c r="S323" s="737">
        <f t="shared" si="43"/>
        <v>0</v>
      </c>
      <c r="T323" s="739">
        <f t="shared" si="44"/>
        <v>0</v>
      </c>
      <c r="U323" s="846"/>
      <c r="V323" s="847"/>
      <c r="W323" s="846"/>
      <c r="X323" s="846"/>
      <c r="Y323" s="740">
        <f t="shared" si="40"/>
        <v>0</v>
      </c>
      <c r="Z323" s="847"/>
      <c r="AA323" s="847"/>
      <c r="AB323" s="741">
        <f t="shared" si="41"/>
        <v>0</v>
      </c>
      <c r="AC323" s="846"/>
      <c r="AD323" s="847"/>
      <c r="AE323" s="846"/>
      <c r="AF323" s="846"/>
      <c r="AG323" s="847"/>
      <c r="AH323" s="847"/>
      <c r="AI323" s="742">
        <f t="shared" si="45"/>
        <v>0</v>
      </c>
      <c r="AJ323" s="743">
        <f t="shared" si="46"/>
        <v>0</v>
      </c>
    </row>
    <row r="324" spans="1:36">
      <c r="A324" s="915" t="s">
        <v>142</v>
      </c>
      <c r="B324" s="916" t="s">
        <v>251</v>
      </c>
      <c r="C324" s="942" t="s">
        <v>249</v>
      </c>
      <c r="D324" s="943"/>
      <c r="E324" s="936"/>
      <c r="F324" s="937"/>
      <c r="G324" s="846"/>
      <c r="H324" s="847"/>
      <c r="I324" s="846"/>
      <c r="J324" s="847"/>
      <c r="K324" s="846"/>
      <c r="L324" s="847"/>
      <c r="M324" s="846"/>
      <c r="N324" s="846"/>
      <c r="O324" s="737">
        <f t="shared" si="39"/>
        <v>0</v>
      </c>
      <c r="P324" s="847"/>
      <c r="Q324" s="847"/>
      <c r="R324" s="738">
        <f t="shared" si="42"/>
        <v>0</v>
      </c>
      <c r="S324" s="737">
        <f t="shared" si="43"/>
        <v>0</v>
      </c>
      <c r="T324" s="739">
        <f t="shared" si="44"/>
        <v>0</v>
      </c>
      <c r="U324" s="846">
        <v>166027</v>
      </c>
      <c r="V324" s="847">
        <v>166027</v>
      </c>
      <c r="W324" s="846"/>
      <c r="X324" s="846"/>
      <c r="Y324" s="740">
        <f t="shared" si="40"/>
        <v>0</v>
      </c>
      <c r="Z324" s="847"/>
      <c r="AA324" s="847"/>
      <c r="AB324" s="741">
        <f t="shared" si="41"/>
        <v>0</v>
      </c>
      <c r="AC324" s="846"/>
      <c r="AD324" s="847"/>
      <c r="AE324" s="846"/>
      <c r="AF324" s="846"/>
      <c r="AG324" s="847"/>
      <c r="AH324" s="847"/>
      <c r="AI324" s="742">
        <f t="shared" si="45"/>
        <v>166027</v>
      </c>
      <c r="AJ324" s="743">
        <f t="shared" si="46"/>
        <v>166027</v>
      </c>
    </row>
    <row r="325" spans="1:36">
      <c r="A325" s="915" t="s">
        <v>142</v>
      </c>
      <c r="B325" s="944" t="s">
        <v>209</v>
      </c>
      <c r="C325" s="942" t="s">
        <v>522</v>
      </c>
      <c r="D325" s="943"/>
      <c r="E325" s="936"/>
      <c r="F325" s="937"/>
      <c r="G325" s="846"/>
      <c r="H325" s="847"/>
      <c r="I325" s="846"/>
      <c r="J325" s="847"/>
      <c r="K325" s="846"/>
      <c r="L325" s="847"/>
      <c r="M325" s="846"/>
      <c r="N325" s="846"/>
      <c r="O325" s="737">
        <f t="shared" si="39"/>
        <v>0</v>
      </c>
      <c r="P325" s="847"/>
      <c r="Q325" s="847"/>
      <c r="R325" s="738">
        <f t="shared" si="42"/>
        <v>0</v>
      </c>
      <c r="S325" s="737">
        <f t="shared" si="43"/>
        <v>0</v>
      </c>
      <c r="T325" s="739">
        <f t="shared" si="44"/>
        <v>0</v>
      </c>
      <c r="U325" s="846"/>
      <c r="V325" s="847"/>
      <c r="W325" s="846"/>
      <c r="X325" s="846"/>
      <c r="Y325" s="740">
        <f t="shared" si="40"/>
        <v>0</v>
      </c>
      <c r="Z325" s="847"/>
      <c r="AA325" s="847"/>
      <c r="AB325" s="741">
        <f t="shared" si="41"/>
        <v>0</v>
      </c>
      <c r="AC325" s="846"/>
      <c r="AD325" s="847"/>
      <c r="AE325" s="846"/>
      <c r="AF325" s="846"/>
      <c r="AG325" s="847"/>
      <c r="AH325" s="847"/>
      <c r="AI325" s="742">
        <f t="shared" si="45"/>
        <v>0</v>
      </c>
      <c r="AJ325" s="743">
        <f t="shared" si="46"/>
        <v>0</v>
      </c>
    </row>
    <row r="326" spans="1:36">
      <c r="A326" s="915" t="s">
        <v>142</v>
      </c>
      <c r="B326" s="944" t="s">
        <v>210</v>
      </c>
      <c r="C326" s="942" t="s">
        <v>311</v>
      </c>
      <c r="D326" s="943"/>
      <c r="E326" s="936"/>
      <c r="F326" s="937"/>
      <c r="G326" s="846"/>
      <c r="H326" s="847"/>
      <c r="I326" s="846"/>
      <c r="J326" s="847"/>
      <c r="K326" s="846"/>
      <c r="L326" s="847"/>
      <c r="M326" s="846"/>
      <c r="N326" s="846"/>
      <c r="O326" s="737">
        <f t="shared" si="39"/>
        <v>0</v>
      </c>
      <c r="P326" s="847"/>
      <c r="Q326" s="847"/>
      <c r="R326" s="738">
        <f t="shared" si="42"/>
        <v>0</v>
      </c>
      <c r="S326" s="737">
        <f t="shared" si="43"/>
        <v>0</v>
      </c>
      <c r="T326" s="739">
        <f t="shared" si="44"/>
        <v>0</v>
      </c>
      <c r="U326" s="846"/>
      <c r="V326" s="847"/>
      <c r="W326" s="846"/>
      <c r="X326" s="846"/>
      <c r="Y326" s="740">
        <f t="shared" si="40"/>
        <v>0</v>
      </c>
      <c r="Z326" s="847"/>
      <c r="AA326" s="847"/>
      <c r="AB326" s="741">
        <f t="shared" si="41"/>
        <v>0</v>
      </c>
      <c r="AC326" s="846"/>
      <c r="AD326" s="847"/>
      <c r="AE326" s="846"/>
      <c r="AF326" s="846"/>
      <c r="AG326" s="847"/>
      <c r="AH326" s="847"/>
      <c r="AI326" s="742">
        <f t="shared" si="45"/>
        <v>0</v>
      </c>
      <c r="AJ326" s="743">
        <f t="shared" si="46"/>
        <v>0</v>
      </c>
    </row>
    <row r="327" spans="1:36">
      <c r="A327" s="915" t="s">
        <v>142</v>
      </c>
      <c r="B327" s="944" t="s">
        <v>204</v>
      </c>
      <c r="C327" s="942" t="s">
        <v>249</v>
      </c>
      <c r="D327" s="943"/>
      <c r="E327" s="936"/>
      <c r="F327" s="937"/>
      <c r="G327" s="846"/>
      <c r="H327" s="847"/>
      <c r="I327" s="846"/>
      <c r="J327" s="847"/>
      <c r="K327" s="846"/>
      <c r="L327" s="847"/>
      <c r="M327" s="846"/>
      <c r="N327" s="846"/>
      <c r="O327" s="737">
        <f t="shared" si="39"/>
        <v>0</v>
      </c>
      <c r="P327" s="847"/>
      <c r="Q327" s="847"/>
      <c r="R327" s="738">
        <f t="shared" si="42"/>
        <v>0</v>
      </c>
      <c r="S327" s="737">
        <f t="shared" si="43"/>
        <v>0</v>
      </c>
      <c r="T327" s="739">
        <f t="shared" si="44"/>
        <v>0</v>
      </c>
      <c r="U327" s="846"/>
      <c r="V327" s="847"/>
      <c r="W327" s="846"/>
      <c r="X327" s="846"/>
      <c r="Y327" s="740">
        <f t="shared" si="40"/>
        <v>0</v>
      </c>
      <c r="Z327" s="847"/>
      <c r="AA327" s="847"/>
      <c r="AB327" s="741">
        <f t="shared" si="41"/>
        <v>0</v>
      </c>
      <c r="AC327" s="846"/>
      <c r="AD327" s="847"/>
      <c r="AE327" s="846"/>
      <c r="AF327" s="846"/>
      <c r="AG327" s="847"/>
      <c r="AH327" s="847"/>
      <c r="AI327" s="742">
        <f t="shared" si="45"/>
        <v>0</v>
      </c>
      <c r="AJ327" s="743">
        <f t="shared" si="46"/>
        <v>0</v>
      </c>
    </row>
    <row r="328" spans="1:36">
      <c r="A328" s="915" t="s">
        <v>142</v>
      </c>
      <c r="B328" s="944" t="s">
        <v>205</v>
      </c>
      <c r="C328" s="942" t="s">
        <v>523</v>
      </c>
      <c r="D328" s="943"/>
      <c r="E328" s="936"/>
      <c r="F328" s="937"/>
      <c r="G328" s="846"/>
      <c r="H328" s="847"/>
      <c r="I328" s="846"/>
      <c r="J328" s="847"/>
      <c r="K328" s="846"/>
      <c r="L328" s="847"/>
      <c r="M328" s="846"/>
      <c r="N328" s="846"/>
      <c r="O328" s="737">
        <f t="shared" si="39"/>
        <v>0</v>
      </c>
      <c r="P328" s="847"/>
      <c r="Q328" s="847"/>
      <c r="R328" s="738">
        <f t="shared" si="42"/>
        <v>0</v>
      </c>
      <c r="S328" s="737">
        <f t="shared" si="43"/>
        <v>0</v>
      </c>
      <c r="T328" s="739">
        <f t="shared" si="44"/>
        <v>0</v>
      </c>
      <c r="U328" s="846"/>
      <c r="V328" s="847"/>
      <c r="W328" s="846"/>
      <c r="X328" s="846"/>
      <c r="Y328" s="740">
        <f t="shared" si="40"/>
        <v>0</v>
      </c>
      <c r="Z328" s="847"/>
      <c r="AA328" s="847"/>
      <c r="AB328" s="741">
        <f t="shared" si="41"/>
        <v>0</v>
      </c>
      <c r="AC328" s="846"/>
      <c r="AD328" s="847"/>
      <c r="AE328" s="846"/>
      <c r="AF328" s="846"/>
      <c r="AG328" s="847"/>
      <c r="AH328" s="847"/>
      <c r="AI328" s="742">
        <f t="shared" si="45"/>
        <v>0</v>
      </c>
      <c r="AJ328" s="743">
        <f t="shared" si="46"/>
        <v>0</v>
      </c>
    </row>
    <row r="329" spans="1:36">
      <c r="A329" s="915" t="s">
        <v>142</v>
      </c>
      <c r="B329" s="944" t="s">
        <v>218</v>
      </c>
      <c r="C329" s="942" t="s">
        <v>311</v>
      </c>
      <c r="D329" s="943"/>
      <c r="E329" s="936"/>
      <c r="F329" s="937"/>
      <c r="G329" s="846"/>
      <c r="H329" s="847"/>
      <c r="I329" s="846"/>
      <c r="J329" s="847"/>
      <c r="K329" s="846"/>
      <c r="L329" s="847"/>
      <c r="M329" s="846"/>
      <c r="N329" s="846"/>
      <c r="O329" s="737">
        <f t="shared" si="39"/>
        <v>0</v>
      </c>
      <c r="P329" s="847"/>
      <c r="Q329" s="847"/>
      <c r="R329" s="738">
        <f t="shared" si="42"/>
        <v>0</v>
      </c>
      <c r="S329" s="737">
        <f t="shared" si="43"/>
        <v>0</v>
      </c>
      <c r="T329" s="739">
        <f t="shared" si="44"/>
        <v>0</v>
      </c>
      <c r="U329" s="846"/>
      <c r="V329" s="847"/>
      <c r="W329" s="846"/>
      <c r="X329" s="846"/>
      <c r="Y329" s="740">
        <f t="shared" si="40"/>
        <v>0</v>
      </c>
      <c r="Z329" s="847"/>
      <c r="AA329" s="847"/>
      <c r="AB329" s="741">
        <f t="shared" si="41"/>
        <v>0</v>
      </c>
      <c r="AC329" s="846"/>
      <c r="AD329" s="847"/>
      <c r="AE329" s="846"/>
      <c r="AF329" s="846"/>
      <c r="AG329" s="847"/>
      <c r="AH329" s="847"/>
      <c r="AI329" s="742">
        <f t="shared" si="45"/>
        <v>0</v>
      </c>
      <c r="AJ329" s="743">
        <f t="shared" si="46"/>
        <v>0</v>
      </c>
    </row>
    <row r="330" spans="1:36">
      <c r="A330" s="915" t="s">
        <v>142</v>
      </c>
      <c r="B330" s="944" t="s">
        <v>219</v>
      </c>
      <c r="C330" s="942" t="s">
        <v>249</v>
      </c>
      <c r="D330" s="943"/>
      <c r="E330" s="936"/>
      <c r="F330" s="937"/>
      <c r="G330" s="846"/>
      <c r="H330" s="847"/>
      <c r="I330" s="846"/>
      <c r="J330" s="847"/>
      <c r="K330" s="846"/>
      <c r="L330" s="847"/>
      <c r="M330" s="846"/>
      <c r="N330" s="846"/>
      <c r="O330" s="737">
        <f t="shared" ref="O330:O393" si="47">SUM(M330:N330)</f>
        <v>0</v>
      </c>
      <c r="P330" s="847"/>
      <c r="Q330" s="847"/>
      <c r="R330" s="738">
        <f t="shared" si="42"/>
        <v>0</v>
      </c>
      <c r="S330" s="737">
        <f t="shared" si="43"/>
        <v>0</v>
      </c>
      <c r="T330" s="739">
        <f t="shared" si="44"/>
        <v>0</v>
      </c>
      <c r="U330" s="846"/>
      <c r="V330" s="847"/>
      <c r="W330" s="846"/>
      <c r="X330" s="846"/>
      <c r="Y330" s="740">
        <f t="shared" ref="Y330:Y393" si="48">SUM(W330:X330)</f>
        <v>0</v>
      </c>
      <c r="Z330" s="847"/>
      <c r="AA330" s="847"/>
      <c r="AB330" s="741">
        <f t="shared" ref="AB330:AB393" si="49">SUM(Z330:AA330)</f>
        <v>0</v>
      </c>
      <c r="AC330" s="846"/>
      <c r="AD330" s="847"/>
      <c r="AE330" s="846"/>
      <c r="AF330" s="846"/>
      <c r="AG330" s="847"/>
      <c r="AH330" s="847"/>
      <c r="AI330" s="742">
        <f t="shared" si="45"/>
        <v>0</v>
      </c>
      <c r="AJ330" s="743">
        <f t="shared" si="46"/>
        <v>0</v>
      </c>
    </row>
    <row r="331" spans="1:36">
      <c r="A331" s="915" t="s">
        <v>142</v>
      </c>
      <c r="B331" s="916" t="s">
        <v>292</v>
      </c>
      <c r="C331" s="941" t="s">
        <v>699</v>
      </c>
      <c r="D331" s="917"/>
      <c r="E331" s="936"/>
      <c r="F331" s="937"/>
      <c r="G331" s="846"/>
      <c r="H331" s="847"/>
      <c r="I331" s="846"/>
      <c r="J331" s="847"/>
      <c r="K331" s="846"/>
      <c r="L331" s="847"/>
      <c r="M331" s="846"/>
      <c r="N331" s="846"/>
      <c r="O331" s="737">
        <f t="shared" si="47"/>
        <v>0</v>
      </c>
      <c r="P331" s="847"/>
      <c r="Q331" s="847"/>
      <c r="R331" s="738">
        <f t="shared" ref="R331:R394" si="50">SUM(P331:Q331)</f>
        <v>0</v>
      </c>
      <c r="S331" s="737">
        <f t="shared" ref="S331:S394" si="51">SUM(G331,I331,K331,M331)</f>
        <v>0</v>
      </c>
      <c r="T331" s="739">
        <f t="shared" ref="T331:T394" si="52">SUM(H331,J331,L331,P331)</f>
        <v>0</v>
      </c>
      <c r="U331" s="846"/>
      <c r="V331" s="847"/>
      <c r="W331" s="846"/>
      <c r="X331" s="846"/>
      <c r="Y331" s="740">
        <f t="shared" si="48"/>
        <v>0</v>
      </c>
      <c r="Z331" s="847"/>
      <c r="AA331" s="847"/>
      <c r="AB331" s="741">
        <f t="shared" si="49"/>
        <v>0</v>
      </c>
      <c r="AC331" s="846"/>
      <c r="AD331" s="847"/>
      <c r="AE331" s="846"/>
      <c r="AF331" s="846"/>
      <c r="AG331" s="847"/>
      <c r="AH331" s="847"/>
      <c r="AI331" s="742">
        <f t="shared" ref="AI331:AI394" si="53">SUM(S331,U331,W331,AC331,AE331)</f>
        <v>0</v>
      </c>
      <c r="AJ331" s="743">
        <f t="shared" ref="AJ331:AJ394" si="54">SUM(T331,V331,Z331,AD331,AG331)</f>
        <v>0</v>
      </c>
    </row>
    <row r="332" spans="1:36">
      <c r="A332" s="915" t="s">
        <v>142</v>
      </c>
      <c r="B332" s="944" t="s">
        <v>209</v>
      </c>
      <c r="C332" s="942" t="s">
        <v>522</v>
      </c>
      <c r="D332" s="943"/>
      <c r="E332" s="936"/>
      <c r="F332" s="937"/>
      <c r="G332" s="846"/>
      <c r="H332" s="847"/>
      <c r="I332" s="846"/>
      <c r="J332" s="847"/>
      <c r="K332" s="846"/>
      <c r="L332" s="847"/>
      <c r="M332" s="846"/>
      <c r="N332" s="846"/>
      <c r="O332" s="737">
        <f t="shared" si="47"/>
        <v>0</v>
      </c>
      <c r="P332" s="847"/>
      <c r="Q332" s="847"/>
      <c r="R332" s="738">
        <f t="shared" si="50"/>
        <v>0</v>
      </c>
      <c r="S332" s="737">
        <f t="shared" si="51"/>
        <v>0</v>
      </c>
      <c r="T332" s="739">
        <f t="shared" si="52"/>
        <v>0</v>
      </c>
      <c r="U332" s="846"/>
      <c r="V332" s="847"/>
      <c r="W332" s="846"/>
      <c r="X332" s="846"/>
      <c r="Y332" s="740">
        <f t="shared" si="48"/>
        <v>0</v>
      </c>
      <c r="Z332" s="847"/>
      <c r="AA332" s="847"/>
      <c r="AB332" s="741">
        <f t="shared" si="49"/>
        <v>0</v>
      </c>
      <c r="AC332" s="846"/>
      <c r="AD332" s="847"/>
      <c r="AE332" s="846"/>
      <c r="AF332" s="846"/>
      <c r="AG332" s="847"/>
      <c r="AH332" s="847"/>
      <c r="AI332" s="742">
        <f t="shared" si="53"/>
        <v>0</v>
      </c>
      <c r="AJ332" s="743">
        <f t="shared" si="54"/>
        <v>0</v>
      </c>
    </row>
    <row r="333" spans="1:36">
      <c r="A333" s="915" t="s">
        <v>142</v>
      </c>
      <c r="B333" s="944" t="s">
        <v>210</v>
      </c>
      <c r="C333" s="942" t="s">
        <v>311</v>
      </c>
      <c r="D333" s="943"/>
      <c r="E333" s="936"/>
      <c r="F333" s="937"/>
      <c r="G333" s="846"/>
      <c r="H333" s="847"/>
      <c r="I333" s="846"/>
      <c r="J333" s="847"/>
      <c r="K333" s="846"/>
      <c r="L333" s="847"/>
      <c r="M333" s="846"/>
      <c r="N333" s="846"/>
      <c r="O333" s="737">
        <f t="shared" si="47"/>
        <v>0</v>
      </c>
      <c r="P333" s="847"/>
      <c r="Q333" s="847"/>
      <c r="R333" s="738">
        <f t="shared" si="50"/>
        <v>0</v>
      </c>
      <c r="S333" s="737">
        <f t="shared" si="51"/>
        <v>0</v>
      </c>
      <c r="T333" s="739">
        <f t="shared" si="52"/>
        <v>0</v>
      </c>
      <c r="U333" s="846"/>
      <c r="V333" s="847"/>
      <c r="W333" s="846"/>
      <c r="X333" s="846"/>
      <c r="Y333" s="740">
        <f t="shared" si="48"/>
        <v>0</v>
      </c>
      <c r="Z333" s="847"/>
      <c r="AA333" s="847"/>
      <c r="AB333" s="741">
        <f t="shared" si="49"/>
        <v>0</v>
      </c>
      <c r="AC333" s="846"/>
      <c r="AD333" s="847"/>
      <c r="AE333" s="846"/>
      <c r="AF333" s="846"/>
      <c r="AG333" s="847"/>
      <c r="AH333" s="847"/>
      <c r="AI333" s="742">
        <f t="shared" si="53"/>
        <v>0</v>
      </c>
      <c r="AJ333" s="743">
        <f t="shared" si="54"/>
        <v>0</v>
      </c>
    </row>
    <row r="334" spans="1:36">
      <c r="A334" s="915" t="s">
        <v>142</v>
      </c>
      <c r="B334" s="944" t="s">
        <v>204</v>
      </c>
      <c r="C334" s="942" t="s">
        <v>249</v>
      </c>
      <c r="D334" s="943"/>
      <c r="E334" s="936"/>
      <c r="F334" s="937"/>
      <c r="G334" s="846"/>
      <c r="H334" s="847"/>
      <c r="I334" s="846"/>
      <c r="J334" s="847"/>
      <c r="K334" s="846"/>
      <c r="L334" s="847"/>
      <c r="M334" s="846"/>
      <c r="N334" s="846"/>
      <c r="O334" s="737">
        <f t="shared" si="47"/>
        <v>0</v>
      </c>
      <c r="P334" s="847"/>
      <c r="Q334" s="847"/>
      <c r="R334" s="738">
        <f t="shared" si="50"/>
        <v>0</v>
      </c>
      <c r="S334" s="737">
        <f t="shared" si="51"/>
        <v>0</v>
      </c>
      <c r="T334" s="739">
        <f t="shared" si="52"/>
        <v>0</v>
      </c>
      <c r="U334" s="890">
        <v>353624</v>
      </c>
      <c r="V334" s="847">
        <v>354292</v>
      </c>
      <c r="W334" s="846"/>
      <c r="X334" s="846"/>
      <c r="Y334" s="740">
        <f t="shared" si="48"/>
        <v>0</v>
      </c>
      <c r="Z334" s="847"/>
      <c r="AA334" s="847"/>
      <c r="AB334" s="741">
        <f t="shared" si="49"/>
        <v>0</v>
      </c>
      <c r="AC334" s="846"/>
      <c r="AD334" s="847"/>
      <c r="AE334" s="846"/>
      <c r="AF334" s="846"/>
      <c r="AG334" s="847"/>
      <c r="AH334" s="847"/>
      <c r="AI334" s="742">
        <f t="shared" si="53"/>
        <v>353624</v>
      </c>
      <c r="AJ334" s="743">
        <f t="shared" si="54"/>
        <v>354292</v>
      </c>
    </row>
    <row r="335" spans="1:36">
      <c r="A335" s="915" t="s">
        <v>142</v>
      </c>
      <c r="B335" s="944" t="s">
        <v>205</v>
      </c>
      <c r="C335" s="942" t="s">
        <v>523</v>
      </c>
      <c r="D335" s="943"/>
      <c r="E335" s="936"/>
      <c r="F335" s="937"/>
      <c r="G335" s="846"/>
      <c r="H335" s="847"/>
      <c r="I335" s="846"/>
      <c r="J335" s="847"/>
      <c r="K335" s="846"/>
      <c r="L335" s="847"/>
      <c r="M335" s="846"/>
      <c r="N335" s="846"/>
      <c r="O335" s="737">
        <f t="shared" si="47"/>
        <v>0</v>
      </c>
      <c r="P335" s="847"/>
      <c r="Q335" s="847"/>
      <c r="R335" s="738">
        <f t="shared" si="50"/>
        <v>0</v>
      </c>
      <c r="S335" s="737">
        <f t="shared" si="51"/>
        <v>0</v>
      </c>
      <c r="T335" s="739">
        <f t="shared" si="52"/>
        <v>0</v>
      </c>
      <c r="U335" s="846"/>
      <c r="V335" s="847"/>
      <c r="W335" s="846"/>
      <c r="X335" s="846"/>
      <c r="Y335" s="740">
        <f t="shared" si="48"/>
        <v>0</v>
      </c>
      <c r="Z335" s="847"/>
      <c r="AA335" s="847"/>
      <c r="AB335" s="741">
        <f t="shared" si="49"/>
        <v>0</v>
      </c>
      <c r="AC335" s="846"/>
      <c r="AD335" s="847"/>
      <c r="AE335" s="846"/>
      <c r="AF335" s="846"/>
      <c r="AG335" s="847"/>
      <c r="AH335" s="847"/>
      <c r="AI335" s="742">
        <f t="shared" si="53"/>
        <v>0</v>
      </c>
      <c r="AJ335" s="743">
        <f t="shared" si="54"/>
        <v>0</v>
      </c>
    </row>
    <row r="336" spans="1:36">
      <c r="A336" s="915" t="s">
        <v>142</v>
      </c>
      <c r="B336" s="944" t="s">
        <v>218</v>
      </c>
      <c r="C336" s="942" t="s">
        <v>311</v>
      </c>
      <c r="D336" s="943"/>
      <c r="E336" s="936"/>
      <c r="F336" s="937"/>
      <c r="G336" s="846"/>
      <c r="H336" s="847"/>
      <c r="I336" s="846"/>
      <c r="J336" s="847"/>
      <c r="K336" s="846"/>
      <c r="L336" s="847"/>
      <c r="M336" s="846"/>
      <c r="N336" s="846"/>
      <c r="O336" s="737">
        <f t="shared" si="47"/>
        <v>0</v>
      </c>
      <c r="P336" s="847"/>
      <c r="Q336" s="847"/>
      <c r="R336" s="738">
        <f t="shared" si="50"/>
        <v>0</v>
      </c>
      <c r="S336" s="737">
        <f t="shared" si="51"/>
        <v>0</v>
      </c>
      <c r="T336" s="739">
        <f t="shared" si="52"/>
        <v>0</v>
      </c>
      <c r="U336" s="846"/>
      <c r="V336" s="847"/>
      <c r="W336" s="846"/>
      <c r="X336" s="846"/>
      <c r="Y336" s="740">
        <f t="shared" si="48"/>
        <v>0</v>
      </c>
      <c r="Z336" s="847"/>
      <c r="AA336" s="847"/>
      <c r="AB336" s="741">
        <f t="shared" si="49"/>
        <v>0</v>
      </c>
      <c r="AC336" s="846"/>
      <c r="AD336" s="847"/>
      <c r="AE336" s="846"/>
      <c r="AF336" s="846"/>
      <c r="AG336" s="847"/>
      <c r="AH336" s="847"/>
      <c r="AI336" s="742">
        <f t="shared" si="53"/>
        <v>0</v>
      </c>
      <c r="AJ336" s="743">
        <f t="shared" si="54"/>
        <v>0</v>
      </c>
    </row>
    <row r="337" spans="1:36">
      <c r="A337" s="915" t="s">
        <v>142</v>
      </c>
      <c r="B337" s="944" t="s">
        <v>219</v>
      </c>
      <c r="C337" s="942" t="s">
        <v>249</v>
      </c>
      <c r="D337" s="943"/>
      <c r="E337" s="936"/>
      <c r="F337" s="937"/>
      <c r="G337" s="846"/>
      <c r="H337" s="847"/>
      <c r="I337" s="846"/>
      <c r="J337" s="847"/>
      <c r="K337" s="846"/>
      <c r="L337" s="847"/>
      <c r="M337" s="846"/>
      <c r="N337" s="846"/>
      <c r="O337" s="737">
        <f t="shared" si="47"/>
        <v>0</v>
      </c>
      <c r="P337" s="847"/>
      <c r="Q337" s="847"/>
      <c r="R337" s="738">
        <f t="shared" si="50"/>
        <v>0</v>
      </c>
      <c r="S337" s="737">
        <f t="shared" si="51"/>
        <v>0</v>
      </c>
      <c r="T337" s="739">
        <f t="shared" si="52"/>
        <v>0</v>
      </c>
      <c r="U337" s="846"/>
      <c r="V337" s="847"/>
      <c r="W337" s="846"/>
      <c r="X337" s="846"/>
      <c r="Y337" s="740">
        <f t="shared" si="48"/>
        <v>0</v>
      </c>
      <c r="Z337" s="847"/>
      <c r="AA337" s="847"/>
      <c r="AB337" s="741">
        <f t="shared" si="49"/>
        <v>0</v>
      </c>
      <c r="AC337" s="846"/>
      <c r="AD337" s="847"/>
      <c r="AE337" s="846"/>
      <c r="AF337" s="846"/>
      <c r="AG337" s="847"/>
      <c r="AH337" s="847"/>
      <c r="AI337" s="742">
        <f t="shared" si="53"/>
        <v>0</v>
      </c>
      <c r="AJ337" s="743">
        <f t="shared" si="54"/>
        <v>0</v>
      </c>
    </row>
    <row r="338" spans="1:36">
      <c r="A338" s="915" t="s">
        <v>142</v>
      </c>
      <c r="B338" s="916" t="s">
        <v>292</v>
      </c>
      <c r="C338" s="941" t="s">
        <v>700</v>
      </c>
      <c r="D338" s="917"/>
      <c r="E338" s="936"/>
      <c r="F338" s="937"/>
      <c r="G338" s="846"/>
      <c r="H338" s="847"/>
      <c r="I338" s="846"/>
      <c r="J338" s="847"/>
      <c r="K338" s="846"/>
      <c r="L338" s="847"/>
      <c r="M338" s="846"/>
      <c r="N338" s="846"/>
      <c r="O338" s="737">
        <f t="shared" si="47"/>
        <v>0</v>
      </c>
      <c r="P338" s="847"/>
      <c r="Q338" s="847"/>
      <c r="R338" s="738">
        <f t="shared" si="50"/>
        <v>0</v>
      </c>
      <c r="S338" s="737">
        <f t="shared" si="51"/>
        <v>0</v>
      </c>
      <c r="T338" s="739">
        <f t="shared" si="52"/>
        <v>0</v>
      </c>
      <c r="U338" s="846"/>
      <c r="V338" s="847"/>
      <c r="W338" s="846"/>
      <c r="X338" s="846"/>
      <c r="Y338" s="740">
        <f t="shared" si="48"/>
        <v>0</v>
      </c>
      <c r="Z338" s="847"/>
      <c r="AA338" s="847"/>
      <c r="AB338" s="741">
        <f t="shared" si="49"/>
        <v>0</v>
      </c>
      <c r="AC338" s="846"/>
      <c r="AD338" s="847"/>
      <c r="AE338" s="846"/>
      <c r="AF338" s="846"/>
      <c r="AG338" s="847"/>
      <c r="AH338" s="847"/>
      <c r="AI338" s="742">
        <f t="shared" si="53"/>
        <v>0</v>
      </c>
      <c r="AJ338" s="743">
        <f t="shared" si="54"/>
        <v>0</v>
      </c>
    </row>
    <row r="339" spans="1:36">
      <c r="A339" s="915" t="s">
        <v>142</v>
      </c>
      <c r="B339" s="944" t="s">
        <v>209</v>
      </c>
      <c r="C339" s="942" t="s">
        <v>522</v>
      </c>
      <c r="D339" s="943"/>
      <c r="E339" s="936"/>
      <c r="F339" s="937"/>
      <c r="G339" s="846"/>
      <c r="H339" s="847"/>
      <c r="I339" s="846"/>
      <c r="J339" s="847"/>
      <c r="K339" s="846"/>
      <c r="L339" s="847"/>
      <c r="M339" s="846"/>
      <c r="N339" s="846"/>
      <c r="O339" s="737">
        <f t="shared" si="47"/>
        <v>0</v>
      </c>
      <c r="P339" s="847"/>
      <c r="Q339" s="847"/>
      <c r="R339" s="738">
        <f t="shared" si="50"/>
        <v>0</v>
      </c>
      <c r="S339" s="737">
        <f t="shared" si="51"/>
        <v>0</v>
      </c>
      <c r="T339" s="739">
        <f t="shared" si="52"/>
        <v>0</v>
      </c>
      <c r="U339" s="846"/>
      <c r="V339" s="847"/>
      <c r="W339" s="846"/>
      <c r="X339" s="846"/>
      <c r="Y339" s="740">
        <f t="shared" si="48"/>
        <v>0</v>
      </c>
      <c r="Z339" s="847"/>
      <c r="AA339" s="847"/>
      <c r="AB339" s="741">
        <f t="shared" si="49"/>
        <v>0</v>
      </c>
      <c r="AC339" s="846"/>
      <c r="AD339" s="847"/>
      <c r="AE339" s="846"/>
      <c r="AF339" s="846"/>
      <c r="AG339" s="847"/>
      <c r="AH339" s="847"/>
      <c r="AI339" s="742">
        <f t="shared" si="53"/>
        <v>0</v>
      </c>
      <c r="AJ339" s="743">
        <f t="shared" si="54"/>
        <v>0</v>
      </c>
    </row>
    <row r="340" spans="1:36">
      <c r="A340" s="915" t="s">
        <v>142</v>
      </c>
      <c r="B340" s="944" t="s">
        <v>210</v>
      </c>
      <c r="C340" s="942" t="s">
        <v>311</v>
      </c>
      <c r="D340" s="943"/>
      <c r="E340" s="936"/>
      <c r="F340" s="937"/>
      <c r="G340" s="846"/>
      <c r="H340" s="847"/>
      <c r="I340" s="846"/>
      <c r="J340" s="847"/>
      <c r="K340" s="846"/>
      <c r="L340" s="847"/>
      <c r="M340" s="846"/>
      <c r="N340" s="846"/>
      <c r="O340" s="737">
        <f t="shared" si="47"/>
        <v>0</v>
      </c>
      <c r="P340" s="847"/>
      <c r="Q340" s="847"/>
      <c r="R340" s="738">
        <f t="shared" si="50"/>
        <v>0</v>
      </c>
      <c r="S340" s="737">
        <f t="shared" si="51"/>
        <v>0</v>
      </c>
      <c r="T340" s="739">
        <f t="shared" si="52"/>
        <v>0</v>
      </c>
      <c r="U340" s="890">
        <v>2143221</v>
      </c>
      <c r="V340" s="847">
        <v>2492371</v>
      </c>
      <c r="W340" s="846"/>
      <c r="X340" s="846"/>
      <c r="Y340" s="740">
        <f t="shared" si="48"/>
        <v>0</v>
      </c>
      <c r="Z340" s="847"/>
      <c r="AA340" s="847"/>
      <c r="AB340" s="741">
        <f t="shared" si="49"/>
        <v>0</v>
      </c>
      <c r="AC340" s="846"/>
      <c r="AD340" s="847"/>
      <c r="AE340" s="846"/>
      <c r="AF340" s="846"/>
      <c r="AG340" s="847"/>
      <c r="AH340" s="847"/>
      <c r="AI340" s="742">
        <f t="shared" si="53"/>
        <v>2143221</v>
      </c>
      <c r="AJ340" s="743">
        <f t="shared" si="54"/>
        <v>2492371</v>
      </c>
    </row>
    <row r="341" spans="1:36">
      <c r="A341" s="915" t="s">
        <v>142</v>
      </c>
      <c r="B341" s="944" t="s">
        <v>204</v>
      </c>
      <c r="C341" s="942" t="s">
        <v>249</v>
      </c>
      <c r="D341" s="943"/>
      <c r="E341" s="936"/>
      <c r="F341" s="937"/>
      <c r="G341" s="846"/>
      <c r="H341" s="847"/>
      <c r="I341" s="846"/>
      <c r="J341" s="847"/>
      <c r="K341" s="846"/>
      <c r="L341" s="847"/>
      <c r="M341" s="846"/>
      <c r="N341" s="846"/>
      <c r="O341" s="737">
        <f t="shared" si="47"/>
        <v>0</v>
      </c>
      <c r="P341" s="847"/>
      <c r="Q341" s="847"/>
      <c r="R341" s="738">
        <f t="shared" si="50"/>
        <v>0</v>
      </c>
      <c r="S341" s="737">
        <f t="shared" si="51"/>
        <v>0</v>
      </c>
      <c r="T341" s="739">
        <f t="shared" si="52"/>
        <v>0</v>
      </c>
      <c r="U341" s="846"/>
      <c r="V341" s="847"/>
      <c r="W341" s="846"/>
      <c r="X341" s="846"/>
      <c r="Y341" s="740">
        <f t="shared" si="48"/>
        <v>0</v>
      </c>
      <c r="Z341" s="847"/>
      <c r="AA341" s="847"/>
      <c r="AB341" s="741">
        <f t="shared" si="49"/>
        <v>0</v>
      </c>
      <c r="AC341" s="846"/>
      <c r="AD341" s="847"/>
      <c r="AE341" s="846"/>
      <c r="AF341" s="846"/>
      <c r="AG341" s="847"/>
      <c r="AH341" s="847"/>
      <c r="AI341" s="742">
        <f t="shared" si="53"/>
        <v>0</v>
      </c>
      <c r="AJ341" s="743">
        <f t="shared" si="54"/>
        <v>0</v>
      </c>
    </row>
    <row r="342" spans="1:36">
      <c r="A342" s="915" t="s">
        <v>142</v>
      </c>
      <c r="B342" s="944" t="s">
        <v>205</v>
      </c>
      <c r="C342" s="942" t="s">
        <v>523</v>
      </c>
      <c r="D342" s="943"/>
      <c r="E342" s="936"/>
      <c r="F342" s="937"/>
      <c r="G342" s="846"/>
      <c r="H342" s="847"/>
      <c r="I342" s="846"/>
      <c r="J342" s="847"/>
      <c r="K342" s="846"/>
      <c r="L342" s="847"/>
      <c r="M342" s="846"/>
      <c r="N342" s="846"/>
      <c r="O342" s="737">
        <f t="shared" si="47"/>
        <v>0</v>
      </c>
      <c r="P342" s="847"/>
      <c r="Q342" s="847"/>
      <c r="R342" s="738">
        <f t="shared" si="50"/>
        <v>0</v>
      </c>
      <c r="S342" s="737">
        <f t="shared" si="51"/>
        <v>0</v>
      </c>
      <c r="T342" s="739">
        <f t="shared" si="52"/>
        <v>0</v>
      </c>
      <c r="U342" s="846"/>
      <c r="V342" s="847"/>
      <c r="W342" s="846"/>
      <c r="X342" s="846"/>
      <c r="Y342" s="740">
        <f t="shared" si="48"/>
        <v>0</v>
      </c>
      <c r="Z342" s="847"/>
      <c r="AA342" s="847"/>
      <c r="AB342" s="741">
        <f t="shared" si="49"/>
        <v>0</v>
      </c>
      <c r="AC342" s="846"/>
      <c r="AD342" s="847"/>
      <c r="AE342" s="846"/>
      <c r="AF342" s="846"/>
      <c r="AG342" s="847"/>
      <c r="AH342" s="847"/>
      <c r="AI342" s="742">
        <f t="shared" si="53"/>
        <v>0</v>
      </c>
      <c r="AJ342" s="743">
        <f t="shared" si="54"/>
        <v>0</v>
      </c>
    </row>
    <row r="343" spans="1:36">
      <c r="A343" s="915" t="s">
        <v>142</v>
      </c>
      <c r="B343" s="944" t="s">
        <v>218</v>
      </c>
      <c r="C343" s="942" t="s">
        <v>311</v>
      </c>
      <c r="D343" s="943"/>
      <c r="E343" s="936"/>
      <c r="F343" s="937"/>
      <c r="G343" s="846"/>
      <c r="H343" s="847"/>
      <c r="I343" s="846"/>
      <c r="J343" s="847"/>
      <c r="K343" s="846"/>
      <c r="L343" s="847"/>
      <c r="M343" s="846"/>
      <c r="N343" s="846"/>
      <c r="O343" s="737">
        <f t="shared" si="47"/>
        <v>0</v>
      </c>
      <c r="P343" s="847"/>
      <c r="Q343" s="847"/>
      <c r="R343" s="738">
        <f t="shared" si="50"/>
        <v>0</v>
      </c>
      <c r="S343" s="737">
        <f t="shared" si="51"/>
        <v>0</v>
      </c>
      <c r="T343" s="739">
        <f t="shared" si="52"/>
        <v>0</v>
      </c>
      <c r="U343" s="846">
        <v>492286</v>
      </c>
      <c r="V343" s="847">
        <v>131177</v>
      </c>
      <c r="W343" s="846"/>
      <c r="X343" s="846"/>
      <c r="Y343" s="740">
        <f t="shared" si="48"/>
        <v>0</v>
      </c>
      <c r="Z343" s="847"/>
      <c r="AA343" s="847"/>
      <c r="AB343" s="741">
        <f t="shared" si="49"/>
        <v>0</v>
      </c>
      <c r="AC343" s="846"/>
      <c r="AD343" s="847"/>
      <c r="AE343" s="846"/>
      <c r="AF343" s="846"/>
      <c r="AG343" s="847"/>
      <c r="AH343" s="847"/>
      <c r="AI343" s="742">
        <f t="shared" si="53"/>
        <v>492286</v>
      </c>
      <c r="AJ343" s="743">
        <f t="shared" si="54"/>
        <v>131177</v>
      </c>
    </row>
    <row r="344" spans="1:36">
      <c r="A344" s="915" t="s">
        <v>142</v>
      </c>
      <c r="B344" s="944" t="s">
        <v>219</v>
      </c>
      <c r="C344" s="942" t="s">
        <v>249</v>
      </c>
      <c r="D344" s="943"/>
      <c r="E344" s="936"/>
      <c r="F344" s="937"/>
      <c r="G344" s="846"/>
      <c r="H344" s="847"/>
      <c r="I344" s="846"/>
      <c r="J344" s="847"/>
      <c r="K344" s="846"/>
      <c r="L344" s="847"/>
      <c r="M344" s="846"/>
      <c r="N344" s="846"/>
      <c r="O344" s="737">
        <f t="shared" si="47"/>
        <v>0</v>
      </c>
      <c r="P344" s="847"/>
      <c r="Q344" s="847"/>
      <c r="R344" s="738">
        <f t="shared" si="50"/>
        <v>0</v>
      </c>
      <c r="S344" s="737">
        <f t="shared" si="51"/>
        <v>0</v>
      </c>
      <c r="T344" s="739">
        <f t="shared" si="52"/>
        <v>0</v>
      </c>
      <c r="U344" s="846"/>
      <c r="V344" s="847"/>
      <c r="W344" s="846"/>
      <c r="X344" s="846"/>
      <c r="Y344" s="740">
        <f t="shared" si="48"/>
        <v>0</v>
      </c>
      <c r="Z344" s="847"/>
      <c r="AA344" s="847"/>
      <c r="AB344" s="741">
        <f t="shared" si="49"/>
        <v>0</v>
      </c>
      <c r="AC344" s="846"/>
      <c r="AD344" s="847"/>
      <c r="AE344" s="846"/>
      <c r="AF344" s="846"/>
      <c r="AG344" s="847"/>
      <c r="AH344" s="847"/>
      <c r="AI344" s="742">
        <f t="shared" si="53"/>
        <v>0</v>
      </c>
      <c r="AJ344" s="743">
        <f t="shared" si="54"/>
        <v>0</v>
      </c>
    </row>
    <row r="345" spans="1:36">
      <c r="A345" s="915" t="s">
        <v>142</v>
      </c>
      <c r="B345" s="945" t="s">
        <v>292</v>
      </c>
      <c r="C345" s="941" t="s">
        <v>701</v>
      </c>
      <c r="D345" s="917"/>
      <c r="E345" s="936"/>
      <c r="F345" s="946"/>
      <c r="G345" s="846"/>
      <c r="H345" s="847"/>
      <c r="I345" s="846"/>
      <c r="J345" s="847"/>
      <c r="K345" s="846"/>
      <c r="L345" s="847"/>
      <c r="M345" s="846"/>
      <c r="N345" s="846"/>
      <c r="O345" s="737">
        <f t="shared" si="47"/>
        <v>0</v>
      </c>
      <c r="P345" s="847"/>
      <c r="Q345" s="847"/>
      <c r="R345" s="738">
        <f t="shared" si="50"/>
        <v>0</v>
      </c>
      <c r="S345" s="737">
        <f t="shared" si="51"/>
        <v>0</v>
      </c>
      <c r="T345" s="739">
        <f t="shared" si="52"/>
        <v>0</v>
      </c>
      <c r="U345" s="846"/>
      <c r="V345" s="847"/>
      <c r="W345" s="846"/>
      <c r="X345" s="846"/>
      <c r="Y345" s="740">
        <f t="shared" si="48"/>
        <v>0</v>
      </c>
      <c r="Z345" s="847"/>
      <c r="AA345" s="847"/>
      <c r="AB345" s="741">
        <f t="shared" si="49"/>
        <v>0</v>
      </c>
      <c r="AC345" s="846"/>
      <c r="AD345" s="847"/>
      <c r="AE345" s="846"/>
      <c r="AF345" s="846"/>
      <c r="AG345" s="847"/>
      <c r="AH345" s="847"/>
      <c r="AI345" s="742">
        <f t="shared" si="53"/>
        <v>0</v>
      </c>
      <c r="AJ345" s="743">
        <f t="shared" si="54"/>
        <v>0</v>
      </c>
    </row>
    <row r="346" spans="1:36">
      <c r="A346" s="915" t="s">
        <v>142</v>
      </c>
      <c r="B346" s="916" t="s">
        <v>310</v>
      </c>
      <c r="C346" s="942" t="s">
        <v>311</v>
      </c>
      <c r="D346" s="943"/>
      <c r="E346" s="936"/>
      <c r="F346" s="937"/>
      <c r="G346" s="846"/>
      <c r="H346" s="847"/>
      <c r="I346" s="846"/>
      <c r="J346" s="847"/>
      <c r="K346" s="846"/>
      <c r="L346" s="847"/>
      <c r="M346" s="846"/>
      <c r="N346" s="846"/>
      <c r="O346" s="737">
        <f t="shared" si="47"/>
        <v>0</v>
      </c>
      <c r="P346" s="847"/>
      <c r="Q346" s="847"/>
      <c r="R346" s="738">
        <f t="shared" si="50"/>
        <v>0</v>
      </c>
      <c r="S346" s="737">
        <f t="shared" si="51"/>
        <v>0</v>
      </c>
      <c r="T346" s="739">
        <f t="shared" si="52"/>
        <v>0</v>
      </c>
      <c r="U346" s="846">
        <v>10399</v>
      </c>
      <c r="V346" s="847">
        <v>10399</v>
      </c>
      <c r="W346" s="846"/>
      <c r="X346" s="846"/>
      <c r="Y346" s="740">
        <f t="shared" si="48"/>
        <v>0</v>
      </c>
      <c r="Z346" s="847"/>
      <c r="AA346" s="847"/>
      <c r="AB346" s="741">
        <f t="shared" si="49"/>
        <v>0</v>
      </c>
      <c r="AC346" s="846"/>
      <c r="AD346" s="847"/>
      <c r="AE346" s="846"/>
      <c r="AF346" s="846"/>
      <c r="AG346" s="847"/>
      <c r="AH346" s="847"/>
      <c r="AI346" s="742">
        <f t="shared" si="53"/>
        <v>10399</v>
      </c>
      <c r="AJ346" s="743">
        <f t="shared" si="54"/>
        <v>10399</v>
      </c>
    </row>
    <row r="347" spans="1:36">
      <c r="A347" s="915" t="s">
        <v>142</v>
      </c>
      <c r="B347" s="916" t="s">
        <v>251</v>
      </c>
      <c r="C347" s="942" t="s">
        <v>249</v>
      </c>
      <c r="D347" s="943"/>
      <c r="E347" s="936"/>
      <c r="F347" s="937"/>
      <c r="G347" s="846"/>
      <c r="H347" s="847"/>
      <c r="I347" s="846"/>
      <c r="J347" s="847"/>
      <c r="K347" s="846"/>
      <c r="L347" s="847"/>
      <c r="M347" s="846"/>
      <c r="N347" s="846"/>
      <c r="O347" s="737">
        <f t="shared" si="47"/>
        <v>0</v>
      </c>
      <c r="P347" s="847"/>
      <c r="Q347" s="847"/>
      <c r="R347" s="738">
        <f t="shared" si="50"/>
        <v>0</v>
      </c>
      <c r="S347" s="737">
        <f t="shared" si="51"/>
        <v>0</v>
      </c>
      <c r="T347" s="739">
        <f t="shared" si="52"/>
        <v>0</v>
      </c>
      <c r="U347" s="846"/>
      <c r="V347" s="847"/>
      <c r="W347" s="846"/>
      <c r="X347" s="846"/>
      <c r="Y347" s="740">
        <f t="shared" si="48"/>
        <v>0</v>
      </c>
      <c r="Z347" s="847"/>
      <c r="AA347" s="847"/>
      <c r="AB347" s="741">
        <f t="shared" si="49"/>
        <v>0</v>
      </c>
      <c r="AC347" s="846"/>
      <c r="AD347" s="847"/>
      <c r="AE347" s="846"/>
      <c r="AF347" s="846"/>
      <c r="AG347" s="847"/>
      <c r="AH347" s="847"/>
      <c r="AI347" s="742">
        <f t="shared" si="53"/>
        <v>0</v>
      </c>
      <c r="AJ347" s="743">
        <f t="shared" si="54"/>
        <v>0</v>
      </c>
    </row>
    <row r="348" spans="1:36">
      <c r="A348" s="915" t="s">
        <v>142</v>
      </c>
      <c r="B348" s="944" t="s">
        <v>209</v>
      </c>
      <c r="C348" s="942" t="s">
        <v>522</v>
      </c>
      <c r="D348" s="943"/>
      <c r="E348" s="936"/>
      <c r="F348" s="937"/>
      <c r="G348" s="846"/>
      <c r="H348" s="847"/>
      <c r="I348" s="846"/>
      <c r="J348" s="847"/>
      <c r="K348" s="846"/>
      <c r="L348" s="847"/>
      <c r="M348" s="846"/>
      <c r="N348" s="846"/>
      <c r="O348" s="737">
        <f t="shared" si="47"/>
        <v>0</v>
      </c>
      <c r="P348" s="847"/>
      <c r="Q348" s="847"/>
      <c r="R348" s="738">
        <f t="shared" si="50"/>
        <v>0</v>
      </c>
      <c r="S348" s="737">
        <f t="shared" si="51"/>
        <v>0</v>
      </c>
      <c r="T348" s="739">
        <f t="shared" si="52"/>
        <v>0</v>
      </c>
      <c r="U348" s="846"/>
      <c r="V348" s="847"/>
      <c r="W348" s="846"/>
      <c r="X348" s="846"/>
      <c r="Y348" s="740">
        <f t="shared" si="48"/>
        <v>0</v>
      </c>
      <c r="Z348" s="847"/>
      <c r="AA348" s="847"/>
      <c r="AB348" s="741">
        <f t="shared" si="49"/>
        <v>0</v>
      </c>
      <c r="AC348" s="846"/>
      <c r="AD348" s="847"/>
      <c r="AE348" s="846"/>
      <c r="AF348" s="846"/>
      <c r="AG348" s="847"/>
      <c r="AH348" s="847"/>
      <c r="AI348" s="742">
        <f t="shared" si="53"/>
        <v>0</v>
      </c>
      <c r="AJ348" s="743">
        <f t="shared" si="54"/>
        <v>0</v>
      </c>
    </row>
    <row r="349" spans="1:36">
      <c r="A349" s="915" t="s">
        <v>142</v>
      </c>
      <c r="B349" s="944" t="s">
        <v>210</v>
      </c>
      <c r="C349" s="942" t="s">
        <v>311</v>
      </c>
      <c r="D349" s="943"/>
      <c r="E349" s="936"/>
      <c r="F349" s="937"/>
      <c r="G349" s="846"/>
      <c r="H349" s="847"/>
      <c r="I349" s="846"/>
      <c r="J349" s="847"/>
      <c r="K349" s="846"/>
      <c r="L349" s="847"/>
      <c r="M349" s="846"/>
      <c r="N349" s="846"/>
      <c r="O349" s="737">
        <f t="shared" si="47"/>
        <v>0</v>
      </c>
      <c r="P349" s="847"/>
      <c r="Q349" s="847"/>
      <c r="R349" s="738">
        <f t="shared" si="50"/>
        <v>0</v>
      </c>
      <c r="S349" s="737">
        <f t="shared" si="51"/>
        <v>0</v>
      </c>
      <c r="T349" s="739">
        <f t="shared" si="52"/>
        <v>0</v>
      </c>
      <c r="U349" s="846"/>
      <c r="V349" s="847"/>
      <c r="W349" s="846"/>
      <c r="X349" s="846"/>
      <c r="Y349" s="740">
        <f t="shared" si="48"/>
        <v>0</v>
      </c>
      <c r="Z349" s="847"/>
      <c r="AA349" s="847"/>
      <c r="AB349" s="741">
        <f t="shared" si="49"/>
        <v>0</v>
      </c>
      <c r="AC349" s="846"/>
      <c r="AD349" s="847"/>
      <c r="AE349" s="846"/>
      <c r="AF349" s="846"/>
      <c r="AG349" s="847"/>
      <c r="AH349" s="847"/>
      <c r="AI349" s="742">
        <f t="shared" si="53"/>
        <v>0</v>
      </c>
      <c r="AJ349" s="743">
        <f t="shared" si="54"/>
        <v>0</v>
      </c>
    </row>
    <row r="350" spans="1:36">
      <c r="A350" s="915" t="s">
        <v>142</v>
      </c>
      <c r="B350" s="944" t="s">
        <v>204</v>
      </c>
      <c r="C350" s="942" t="s">
        <v>249</v>
      </c>
      <c r="D350" s="943"/>
      <c r="E350" s="936"/>
      <c r="F350" s="937"/>
      <c r="G350" s="846"/>
      <c r="H350" s="847"/>
      <c r="I350" s="846"/>
      <c r="J350" s="847"/>
      <c r="K350" s="846"/>
      <c r="L350" s="847"/>
      <c r="M350" s="846"/>
      <c r="N350" s="846"/>
      <c r="O350" s="737">
        <f t="shared" si="47"/>
        <v>0</v>
      </c>
      <c r="P350" s="847"/>
      <c r="Q350" s="847"/>
      <c r="R350" s="738">
        <f t="shared" si="50"/>
        <v>0</v>
      </c>
      <c r="S350" s="737">
        <f t="shared" si="51"/>
        <v>0</v>
      </c>
      <c r="T350" s="739">
        <f t="shared" si="52"/>
        <v>0</v>
      </c>
      <c r="U350" s="846"/>
      <c r="V350" s="847"/>
      <c r="W350" s="846"/>
      <c r="X350" s="846"/>
      <c r="Y350" s="740">
        <f t="shared" si="48"/>
        <v>0</v>
      </c>
      <c r="Z350" s="847"/>
      <c r="AA350" s="847"/>
      <c r="AB350" s="741">
        <f t="shared" si="49"/>
        <v>0</v>
      </c>
      <c r="AC350" s="846"/>
      <c r="AD350" s="847"/>
      <c r="AE350" s="846"/>
      <c r="AF350" s="846"/>
      <c r="AG350" s="847"/>
      <c r="AH350" s="847"/>
      <c r="AI350" s="742">
        <f t="shared" si="53"/>
        <v>0</v>
      </c>
      <c r="AJ350" s="743">
        <f t="shared" si="54"/>
        <v>0</v>
      </c>
    </row>
    <row r="351" spans="1:36">
      <c r="A351" s="915" t="s">
        <v>142</v>
      </c>
      <c r="B351" s="944" t="s">
        <v>205</v>
      </c>
      <c r="C351" s="942" t="s">
        <v>523</v>
      </c>
      <c r="D351" s="943"/>
      <c r="E351" s="936"/>
      <c r="F351" s="937"/>
      <c r="G351" s="846"/>
      <c r="H351" s="847"/>
      <c r="I351" s="846"/>
      <c r="J351" s="847"/>
      <c r="K351" s="846"/>
      <c r="L351" s="847"/>
      <c r="M351" s="846"/>
      <c r="N351" s="846"/>
      <c r="O351" s="737">
        <f t="shared" si="47"/>
        <v>0</v>
      </c>
      <c r="P351" s="847"/>
      <c r="Q351" s="847"/>
      <c r="R351" s="738">
        <f t="shared" si="50"/>
        <v>0</v>
      </c>
      <c r="S351" s="737">
        <f t="shared" si="51"/>
        <v>0</v>
      </c>
      <c r="T351" s="739">
        <f t="shared" si="52"/>
        <v>0</v>
      </c>
      <c r="U351" s="846"/>
      <c r="V351" s="847"/>
      <c r="W351" s="846"/>
      <c r="X351" s="846"/>
      <c r="Y351" s="740">
        <f t="shared" si="48"/>
        <v>0</v>
      </c>
      <c r="Z351" s="847"/>
      <c r="AA351" s="847"/>
      <c r="AB351" s="741">
        <f t="shared" si="49"/>
        <v>0</v>
      </c>
      <c r="AC351" s="846"/>
      <c r="AD351" s="847"/>
      <c r="AE351" s="846"/>
      <c r="AF351" s="846"/>
      <c r="AG351" s="847"/>
      <c r="AH351" s="847"/>
      <c r="AI351" s="742">
        <f t="shared" si="53"/>
        <v>0</v>
      </c>
      <c r="AJ351" s="743">
        <f t="shared" si="54"/>
        <v>0</v>
      </c>
    </row>
    <row r="352" spans="1:36">
      <c r="A352" s="915" t="s">
        <v>142</v>
      </c>
      <c r="B352" s="944" t="s">
        <v>218</v>
      </c>
      <c r="C352" s="942" t="s">
        <v>311</v>
      </c>
      <c r="D352" s="943"/>
      <c r="E352" s="936"/>
      <c r="F352" s="937"/>
      <c r="G352" s="846"/>
      <c r="H352" s="847"/>
      <c r="I352" s="846"/>
      <c r="J352" s="847"/>
      <c r="K352" s="846"/>
      <c r="L352" s="847"/>
      <c r="M352" s="846"/>
      <c r="N352" s="846"/>
      <c r="O352" s="737">
        <f t="shared" si="47"/>
        <v>0</v>
      </c>
      <c r="P352" s="847"/>
      <c r="Q352" s="847"/>
      <c r="R352" s="738">
        <f t="shared" si="50"/>
        <v>0</v>
      </c>
      <c r="S352" s="737">
        <f t="shared" si="51"/>
        <v>0</v>
      </c>
      <c r="T352" s="739">
        <f t="shared" si="52"/>
        <v>0</v>
      </c>
      <c r="U352" s="846"/>
      <c r="V352" s="847"/>
      <c r="W352" s="846"/>
      <c r="X352" s="846"/>
      <c r="Y352" s="740">
        <f t="shared" si="48"/>
        <v>0</v>
      </c>
      <c r="Z352" s="847"/>
      <c r="AA352" s="847"/>
      <c r="AB352" s="741">
        <f t="shared" si="49"/>
        <v>0</v>
      </c>
      <c r="AC352" s="846"/>
      <c r="AD352" s="847"/>
      <c r="AE352" s="846"/>
      <c r="AF352" s="846"/>
      <c r="AG352" s="847"/>
      <c r="AH352" s="847"/>
      <c r="AI352" s="742">
        <f t="shared" si="53"/>
        <v>0</v>
      </c>
      <c r="AJ352" s="743">
        <f t="shared" si="54"/>
        <v>0</v>
      </c>
    </row>
    <row r="353" spans="1:36">
      <c r="A353" s="915" t="s">
        <v>142</v>
      </c>
      <c r="B353" s="944" t="s">
        <v>219</v>
      </c>
      <c r="C353" s="942" t="s">
        <v>249</v>
      </c>
      <c r="D353" s="943"/>
      <c r="E353" s="936"/>
      <c r="F353" s="937"/>
      <c r="G353" s="846"/>
      <c r="H353" s="847"/>
      <c r="I353" s="846"/>
      <c r="J353" s="847"/>
      <c r="K353" s="846"/>
      <c r="L353" s="847"/>
      <c r="M353" s="846"/>
      <c r="N353" s="846"/>
      <c r="O353" s="737">
        <f t="shared" si="47"/>
        <v>0</v>
      </c>
      <c r="P353" s="847"/>
      <c r="Q353" s="847"/>
      <c r="R353" s="738">
        <f t="shared" si="50"/>
        <v>0</v>
      </c>
      <c r="S353" s="737">
        <f t="shared" si="51"/>
        <v>0</v>
      </c>
      <c r="T353" s="739">
        <f t="shared" si="52"/>
        <v>0</v>
      </c>
      <c r="U353" s="846"/>
      <c r="V353" s="847"/>
      <c r="W353" s="846"/>
      <c r="X353" s="846"/>
      <c r="Y353" s="740">
        <f t="shared" si="48"/>
        <v>0</v>
      </c>
      <c r="Z353" s="847"/>
      <c r="AA353" s="847"/>
      <c r="AB353" s="741">
        <f t="shared" si="49"/>
        <v>0</v>
      </c>
      <c r="AC353" s="846"/>
      <c r="AD353" s="847"/>
      <c r="AE353" s="846"/>
      <c r="AF353" s="846"/>
      <c r="AG353" s="847"/>
      <c r="AH353" s="847"/>
      <c r="AI353" s="742">
        <f t="shared" si="53"/>
        <v>0</v>
      </c>
      <c r="AJ353" s="743">
        <f t="shared" si="54"/>
        <v>0</v>
      </c>
    </row>
    <row r="354" spans="1:36">
      <c r="A354" s="915" t="s">
        <v>142</v>
      </c>
      <c r="B354" s="945" t="s">
        <v>292</v>
      </c>
      <c r="C354" s="941" t="s">
        <v>702</v>
      </c>
      <c r="D354" s="917"/>
      <c r="E354" s="936"/>
      <c r="F354" s="946"/>
      <c r="G354" s="846"/>
      <c r="H354" s="847"/>
      <c r="I354" s="846"/>
      <c r="J354" s="847"/>
      <c r="K354" s="846"/>
      <c r="L354" s="847"/>
      <c r="M354" s="846"/>
      <c r="N354" s="846"/>
      <c r="O354" s="737">
        <f t="shared" si="47"/>
        <v>0</v>
      </c>
      <c r="P354" s="847"/>
      <c r="Q354" s="847"/>
      <c r="R354" s="738">
        <f t="shared" si="50"/>
        <v>0</v>
      </c>
      <c r="S354" s="737">
        <f t="shared" si="51"/>
        <v>0</v>
      </c>
      <c r="T354" s="739">
        <f t="shared" si="52"/>
        <v>0</v>
      </c>
      <c r="U354" s="846"/>
      <c r="V354" s="847"/>
      <c r="W354" s="846"/>
      <c r="X354" s="846"/>
      <c r="Y354" s="740">
        <f t="shared" si="48"/>
        <v>0</v>
      </c>
      <c r="Z354" s="847"/>
      <c r="AA354" s="847"/>
      <c r="AB354" s="741">
        <f t="shared" si="49"/>
        <v>0</v>
      </c>
      <c r="AC354" s="846"/>
      <c r="AD354" s="847"/>
      <c r="AE354" s="846"/>
      <c r="AF354" s="846"/>
      <c r="AG354" s="847"/>
      <c r="AH354" s="847"/>
      <c r="AI354" s="742">
        <f t="shared" si="53"/>
        <v>0</v>
      </c>
      <c r="AJ354" s="743">
        <f t="shared" si="54"/>
        <v>0</v>
      </c>
    </row>
    <row r="355" spans="1:36">
      <c r="A355" s="915" t="s">
        <v>142</v>
      </c>
      <c r="B355" s="944" t="s">
        <v>209</v>
      </c>
      <c r="C355" s="942" t="s">
        <v>522</v>
      </c>
      <c r="D355" s="943"/>
      <c r="E355" s="936"/>
      <c r="F355" s="937"/>
      <c r="G355" s="846"/>
      <c r="H355" s="847"/>
      <c r="I355" s="846"/>
      <c r="J355" s="847"/>
      <c r="K355" s="846"/>
      <c r="L355" s="847"/>
      <c r="M355" s="846"/>
      <c r="N355" s="846"/>
      <c r="O355" s="737">
        <f t="shared" si="47"/>
        <v>0</v>
      </c>
      <c r="P355" s="847"/>
      <c r="Q355" s="847"/>
      <c r="R355" s="738">
        <f t="shared" si="50"/>
        <v>0</v>
      </c>
      <c r="S355" s="737">
        <f t="shared" si="51"/>
        <v>0</v>
      </c>
      <c r="T355" s="739">
        <f t="shared" si="52"/>
        <v>0</v>
      </c>
      <c r="U355" s="846"/>
      <c r="V355" s="847"/>
      <c r="W355" s="846"/>
      <c r="X355" s="846"/>
      <c r="Y355" s="740">
        <f t="shared" si="48"/>
        <v>0</v>
      </c>
      <c r="Z355" s="847"/>
      <c r="AA355" s="847"/>
      <c r="AB355" s="741">
        <f t="shared" si="49"/>
        <v>0</v>
      </c>
      <c r="AC355" s="846"/>
      <c r="AD355" s="847"/>
      <c r="AE355" s="846"/>
      <c r="AF355" s="846"/>
      <c r="AG355" s="847"/>
      <c r="AH355" s="847"/>
      <c r="AI355" s="742">
        <f t="shared" si="53"/>
        <v>0</v>
      </c>
      <c r="AJ355" s="743">
        <f t="shared" si="54"/>
        <v>0</v>
      </c>
    </row>
    <row r="356" spans="1:36">
      <c r="A356" s="915" t="s">
        <v>142</v>
      </c>
      <c r="B356" s="944" t="s">
        <v>210</v>
      </c>
      <c r="C356" s="942" t="s">
        <v>311</v>
      </c>
      <c r="D356" s="943"/>
      <c r="E356" s="936"/>
      <c r="F356" s="937"/>
      <c r="G356" s="846"/>
      <c r="H356" s="847"/>
      <c r="I356" s="846"/>
      <c r="J356" s="847"/>
      <c r="K356" s="846"/>
      <c r="L356" s="847"/>
      <c r="M356" s="846"/>
      <c r="N356" s="846"/>
      <c r="O356" s="737">
        <f t="shared" si="47"/>
        <v>0</v>
      </c>
      <c r="P356" s="847"/>
      <c r="Q356" s="847"/>
      <c r="R356" s="738">
        <f t="shared" si="50"/>
        <v>0</v>
      </c>
      <c r="S356" s="737">
        <f t="shared" si="51"/>
        <v>0</v>
      </c>
      <c r="T356" s="739">
        <f t="shared" si="52"/>
        <v>0</v>
      </c>
      <c r="U356" s="846"/>
      <c r="V356" s="847"/>
      <c r="W356" s="846"/>
      <c r="X356" s="846"/>
      <c r="Y356" s="740">
        <f t="shared" si="48"/>
        <v>0</v>
      </c>
      <c r="Z356" s="847"/>
      <c r="AA356" s="847"/>
      <c r="AB356" s="741">
        <f t="shared" si="49"/>
        <v>0</v>
      </c>
      <c r="AC356" s="846"/>
      <c r="AD356" s="847"/>
      <c r="AE356" s="846"/>
      <c r="AF356" s="846"/>
      <c r="AG356" s="847"/>
      <c r="AH356" s="847"/>
      <c r="AI356" s="742">
        <f t="shared" si="53"/>
        <v>0</v>
      </c>
      <c r="AJ356" s="743">
        <f t="shared" si="54"/>
        <v>0</v>
      </c>
    </row>
    <row r="357" spans="1:36">
      <c r="A357" s="915" t="s">
        <v>142</v>
      </c>
      <c r="B357" s="944" t="s">
        <v>204</v>
      </c>
      <c r="C357" s="942" t="s">
        <v>249</v>
      </c>
      <c r="D357" s="943"/>
      <c r="E357" s="936"/>
      <c r="F357" s="937"/>
      <c r="G357" s="846"/>
      <c r="H357" s="847"/>
      <c r="I357" s="846"/>
      <c r="J357" s="847"/>
      <c r="K357" s="846"/>
      <c r="L357" s="847"/>
      <c r="M357" s="846"/>
      <c r="N357" s="846"/>
      <c r="O357" s="737">
        <f t="shared" si="47"/>
        <v>0</v>
      </c>
      <c r="P357" s="847"/>
      <c r="Q357" s="847"/>
      <c r="R357" s="738">
        <f t="shared" si="50"/>
        <v>0</v>
      </c>
      <c r="S357" s="737">
        <f t="shared" si="51"/>
        <v>0</v>
      </c>
      <c r="T357" s="739">
        <f t="shared" si="52"/>
        <v>0</v>
      </c>
      <c r="U357" s="846">
        <v>53234609</v>
      </c>
      <c r="V357" s="1467">
        <v>55171599</v>
      </c>
      <c r="W357" s="846"/>
      <c r="X357" s="846"/>
      <c r="Y357" s="740">
        <f t="shared" si="48"/>
        <v>0</v>
      </c>
      <c r="Z357" s="847"/>
      <c r="AA357" s="847"/>
      <c r="AB357" s="741">
        <f t="shared" si="49"/>
        <v>0</v>
      </c>
      <c r="AC357" s="846"/>
      <c r="AD357" s="847"/>
      <c r="AE357" s="846"/>
      <c r="AF357" s="846"/>
      <c r="AG357" s="847"/>
      <c r="AH357" s="847"/>
      <c r="AI357" s="742">
        <f t="shared" si="53"/>
        <v>53234609</v>
      </c>
      <c r="AJ357" s="743">
        <f t="shared" si="54"/>
        <v>55171599</v>
      </c>
    </row>
    <row r="358" spans="1:36">
      <c r="A358" s="915" t="s">
        <v>142</v>
      </c>
      <c r="B358" s="944" t="s">
        <v>205</v>
      </c>
      <c r="C358" s="942" t="s">
        <v>523</v>
      </c>
      <c r="D358" s="943"/>
      <c r="E358" s="936"/>
      <c r="F358" s="937"/>
      <c r="G358" s="846"/>
      <c r="H358" s="847"/>
      <c r="I358" s="846"/>
      <c r="J358" s="847"/>
      <c r="K358" s="846"/>
      <c r="L358" s="847"/>
      <c r="M358" s="846"/>
      <c r="N358" s="846"/>
      <c r="O358" s="737">
        <f t="shared" si="47"/>
        <v>0</v>
      </c>
      <c r="P358" s="847"/>
      <c r="Q358" s="847"/>
      <c r="R358" s="738">
        <f t="shared" si="50"/>
        <v>0</v>
      </c>
      <c r="S358" s="737">
        <f t="shared" si="51"/>
        <v>0</v>
      </c>
      <c r="T358" s="739">
        <f t="shared" si="52"/>
        <v>0</v>
      </c>
      <c r="U358" s="846"/>
      <c r="V358" s="847"/>
      <c r="W358" s="846"/>
      <c r="X358" s="846"/>
      <c r="Y358" s="740">
        <f t="shared" si="48"/>
        <v>0</v>
      </c>
      <c r="Z358" s="847"/>
      <c r="AA358" s="847"/>
      <c r="AB358" s="741">
        <f t="shared" si="49"/>
        <v>0</v>
      </c>
      <c r="AC358" s="846"/>
      <c r="AD358" s="847"/>
      <c r="AE358" s="846"/>
      <c r="AF358" s="846"/>
      <c r="AG358" s="847"/>
      <c r="AH358" s="847"/>
      <c r="AI358" s="742">
        <f t="shared" si="53"/>
        <v>0</v>
      </c>
      <c r="AJ358" s="743">
        <f t="shared" si="54"/>
        <v>0</v>
      </c>
    </row>
    <row r="359" spans="1:36">
      <c r="A359" s="915" t="s">
        <v>142</v>
      </c>
      <c r="B359" s="944" t="s">
        <v>218</v>
      </c>
      <c r="C359" s="942" t="s">
        <v>311</v>
      </c>
      <c r="D359" s="943"/>
      <c r="E359" s="936"/>
      <c r="F359" s="937"/>
      <c r="G359" s="846"/>
      <c r="H359" s="847"/>
      <c r="I359" s="846"/>
      <c r="J359" s="847"/>
      <c r="K359" s="846"/>
      <c r="L359" s="847"/>
      <c r="M359" s="846"/>
      <c r="N359" s="846"/>
      <c r="O359" s="737">
        <f t="shared" si="47"/>
        <v>0</v>
      </c>
      <c r="P359" s="847"/>
      <c r="Q359" s="847"/>
      <c r="R359" s="738">
        <f t="shared" si="50"/>
        <v>0</v>
      </c>
      <c r="S359" s="737">
        <f t="shared" si="51"/>
        <v>0</v>
      </c>
      <c r="T359" s="739">
        <f t="shared" si="52"/>
        <v>0</v>
      </c>
      <c r="U359" s="846"/>
      <c r="V359" s="847"/>
      <c r="W359" s="846"/>
      <c r="X359" s="846"/>
      <c r="Y359" s="740">
        <f t="shared" si="48"/>
        <v>0</v>
      </c>
      <c r="Z359" s="847"/>
      <c r="AA359" s="847"/>
      <c r="AB359" s="741">
        <f t="shared" si="49"/>
        <v>0</v>
      </c>
      <c r="AC359" s="846"/>
      <c r="AD359" s="847"/>
      <c r="AE359" s="846"/>
      <c r="AF359" s="846"/>
      <c r="AG359" s="847"/>
      <c r="AH359" s="847"/>
      <c r="AI359" s="742">
        <f t="shared" si="53"/>
        <v>0</v>
      </c>
      <c r="AJ359" s="743">
        <f t="shared" si="54"/>
        <v>0</v>
      </c>
    </row>
    <row r="360" spans="1:36">
      <c r="A360" s="915" t="s">
        <v>142</v>
      </c>
      <c r="B360" s="944" t="s">
        <v>219</v>
      </c>
      <c r="C360" s="942" t="s">
        <v>249</v>
      </c>
      <c r="D360" s="943"/>
      <c r="E360" s="936"/>
      <c r="F360" s="937"/>
      <c r="G360" s="846"/>
      <c r="H360" s="847"/>
      <c r="I360" s="846"/>
      <c r="J360" s="847"/>
      <c r="K360" s="846"/>
      <c r="L360" s="847"/>
      <c r="M360" s="846"/>
      <c r="N360" s="846"/>
      <c r="O360" s="737">
        <f t="shared" si="47"/>
        <v>0</v>
      </c>
      <c r="P360" s="847"/>
      <c r="Q360" s="847"/>
      <c r="R360" s="738">
        <f t="shared" si="50"/>
        <v>0</v>
      </c>
      <c r="S360" s="737">
        <f t="shared" si="51"/>
        <v>0</v>
      </c>
      <c r="T360" s="739">
        <f t="shared" si="52"/>
        <v>0</v>
      </c>
      <c r="U360" s="846"/>
      <c r="V360" s="847"/>
      <c r="W360" s="846"/>
      <c r="X360" s="846"/>
      <c r="Y360" s="740">
        <f t="shared" si="48"/>
        <v>0</v>
      </c>
      <c r="Z360" s="847"/>
      <c r="AA360" s="847"/>
      <c r="AB360" s="741">
        <f t="shared" si="49"/>
        <v>0</v>
      </c>
      <c r="AC360" s="846"/>
      <c r="AD360" s="847"/>
      <c r="AE360" s="846"/>
      <c r="AF360" s="846"/>
      <c r="AG360" s="847"/>
      <c r="AH360" s="847"/>
      <c r="AI360" s="742">
        <f t="shared" si="53"/>
        <v>0</v>
      </c>
      <c r="AJ360" s="743">
        <f t="shared" si="54"/>
        <v>0</v>
      </c>
    </row>
    <row r="361" spans="1:36">
      <c r="A361" s="915" t="s">
        <v>142</v>
      </c>
      <c r="B361" s="945" t="s">
        <v>292</v>
      </c>
      <c r="C361" s="941" t="s">
        <v>703</v>
      </c>
      <c r="D361" s="917"/>
      <c r="E361" s="936"/>
      <c r="F361" s="946"/>
      <c r="G361" s="846"/>
      <c r="H361" s="847"/>
      <c r="I361" s="846"/>
      <c r="J361" s="847"/>
      <c r="K361" s="846"/>
      <c r="L361" s="847"/>
      <c r="M361" s="846"/>
      <c r="N361" s="846"/>
      <c r="O361" s="737">
        <f t="shared" si="47"/>
        <v>0</v>
      </c>
      <c r="P361" s="847"/>
      <c r="Q361" s="847"/>
      <c r="R361" s="738">
        <f t="shared" si="50"/>
        <v>0</v>
      </c>
      <c r="S361" s="737">
        <f t="shared" si="51"/>
        <v>0</v>
      </c>
      <c r="T361" s="739">
        <f t="shared" si="52"/>
        <v>0</v>
      </c>
      <c r="U361" s="846"/>
      <c r="V361" s="847"/>
      <c r="W361" s="846"/>
      <c r="X361" s="846"/>
      <c r="Y361" s="740">
        <f t="shared" si="48"/>
        <v>0</v>
      </c>
      <c r="Z361" s="847"/>
      <c r="AA361" s="847"/>
      <c r="AB361" s="741">
        <f t="shared" si="49"/>
        <v>0</v>
      </c>
      <c r="AC361" s="846"/>
      <c r="AD361" s="847"/>
      <c r="AE361" s="846"/>
      <c r="AF361" s="846"/>
      <c r="AG361" s="847"/>
      <c r="AH361" s="847"/>
      <c r="AI361" s="742">
        <f t="shared" si="53"/>
        <v>0</v>
      </c>
      <c r="AJ361" s="743">
        <f t="shared" si="54"/>
        <v>0</v>
      </c>
    </row>
    <row r="362" spans="1:36">
      <c r="A362" s="915" t="s">
        <v>142</v>
      </c>
      <c r="B362" s="944" t="s">
        <v>209</v>
      </c>
      <c r="C362" s="942" t="s">
        <v>522</v>
      </c>
      <c r="D362" s="943"/>
      <c r="E362" s="936"/>
      <c r="F362" s="937"/>
      <c r="G362" s="846"/>
      <c r="H362" s="847"/>
      <c r="I362" s="846"/>
      <c r="J362" s="847"/>
      <c r="K362" s="846"/>
      <c r="L362" s="847"/>
      <c r="M362" s="846"/>
      <c r="N362" s="846"/>
      <c r="O362" s="737">
        <f t="shared" si="47"/>
        <v>0</v>
      </c>
      <c r="P362" s="847"/>
      <c r="Q362" s="847"/>
      <c r="R362" s="738">
        <f t="shared" si="50"/>
        <v>0</v>
      </c>
      <c r="S362" s="737">
        <f t="shared" si="51"/>
        <v>0</v>
      </c>
      <c r="T362" s="739">
        <f t="shared" si="52"/>
        <v>0</v>
      </c>
      <c r="U362" s="846"/>
      <c r="V362" s="847"/>
      <c r="W362" s="846"/>
      <c r="X362" s="846"/>
      <c r="Y362" s="740">
        <f t="shared" si="48"/>
        <v>0</v>
      </c>
      <c r="Z362" s="847"/>
      <c r="AA362" s="847"/>
      <c r="AB362" s="741">
        <f t="shared" si="49"/>
        <v>0</v>
      </c>
      <c r="AC362" s="846"/>
      <c r="AD362" s="847"/>
      <c r="AE362" s="846"/>
      <c r="AF362" s="846"/>
      <c r="AG362" s="847"/>
      <c r="AH362" s="847"/>
      <c r="AI362" s="742">
        <f t="shared" si="53"/>
        <v>0</v>
      </c>
      <c r="AJ362" s="743">
        <f t="shared" si="54"/>
        <v>0</v>
      </c>
    </row>
    <row r="363" spans="1:36">
      <c r="A363" s="915" t="s">
        <v>142</v>
      </c>
      <c r="B363" s="944" t="s">
        <v>210</v>
      </c>
      <c r="C363" s="942" t="s">
        <v>311</v>
      </c>
      <c r="D363" s="943"/>
      <c r="E363" s="936"/>
      <c r="F363" s="937"/>
      <c r="G363" s="846"/>
      <c r="H363" s="847"/>
      <c r="I363" s="846"/>
      <c r="J363" s="847"/>
      <c r="K363" s="846"/>
      <c r="L363" s="847"/>
      <c r="M363" s="846"/>
      <c r="N363" s="846"/>
      <c r="O363" s="737">
        <f t="shared" si="47"/>
        <v>0</v>
      </c>
      <c r="P363" s="847"/>
      <c r="Q363" s="847"/>
      <c r="R363" s="738">
        <f t="shared" si="50"/>
        <v>0</v>
      </c>
      <c r="S363" s="737">
        <f t="shared" si="51"/>
        <v>0</v>
      </c>
      <c r="T363" s="739">
        <f t="shared" si="52"/>
        <v>0</v>
      </c>
      <c r="U363" s="846"/>
      <c r="V363" s="847"/>
      <c r="W363" s="846"/>
      <c r="X363" s="846"/>
      <c r="Y363" s="740">
        <f t="shared" si="48"/>
        <v>0</v>
      </c>
      <c r="Z363" s="847"/>
      <c r="AA363" s="847"/>
      <c r="AB363" s="741">
        <f t="shared" si="49"/>
        <v>0</v>
      </c>
      <c r="AC363" s="846"/>
      <c r="AD363" s="847"/>
      <c r="AE363" s="846"/>
      <c r="AF363" s="846"/>
      <c r="AG363" s="847"/>
      <c r="AH363" s="847"/>
      <c r="AI363" s="742">
        <f t="shared" si="53"/>
        <v>0</v>
      </c>
      <c r="AJ363" s="743">
        <f t="shared" si="54"/>
        <v>0</v>
      </c>
    </row>
    <row r="364" spans="1:36">
      <c r="A364" s="915" t="s">
        <v>142</v>
      </c>
      <c r="B364" s="944" t="s">
        <v>204</v>
      </c>
      <c r="C364" s="942" t="s">
        <v>249</v>
      </c>
      <c r="D364" s="943"/>
      <c r="E364" s="936"/>
      <c r="F364" s="937"/>
      <c r="G364" s="846"/>
      <c r="H364" s="847"/>
      <c r="I364" s="846"/>
      <c r="J364" s="847"/>
      <c r="K364" s="846"/>
      <c r="L364" s="847"/>
      <c r="M364" s="846"/>
      <c r="N364" s="846"/>
      <c r="O364" s="737">
        <f t="shared" si="47"/>
        <v>0</v>
      </c>
      <c r="P364" s="847"/>
      <c r="Q364" s="847"/>
      <c r="R364" s="738">
        <f t="shared" si="50"/>
        <v>0</v>
      </c>
      <c r="S364" s="737">
        <f t="shared" si="51"/>
        <v>0</v>
      </c>
      <c r="T364" s="739">
        <f t="shared" si="52"/>
        <v>0</v>
      </c>
      <c r="U364" s="890">
        <v>147882</v>
      </c>
      <c r="V364" s="1467">
        <v>196358</v>
      </c>
      <c r="W364" s="846"/>
      <c r="X364" s="846"/>
      <c r="Y364" s="740">
        <f t="shared" si="48"/>
        <v>0</v>
      </c>
      <c r="Z364" s="847"/>
      <c r="AA364" s="847"/>
      <c r="AB364" s="741">
        <f t="shared" si="49"/>
        <v>0</v>
      </c>
      <c r="AC364" s="846"/>
      <c r="AD364" s="847"/>
      <c r="AE364" s="846"/>
      <c r="AF364" s="846"/>
      <c r="AG364" s="847"/>
      <c r="AH364" s="847"/>
      <c r="AI364" s="742">
        <f t="shared" si="53"/>
        <v>147882</v>
      </c>
      <c r="AJ364" s="743">
        <f t="shared" si="54"/>
        <v>196358</v>
      </c>
    </row>
    <row r="365" spans="1:36">
      <c r="A365" s="915" t="s">
        <v>142</v>
      </c>
      <c r="B365" s="944" t="s">
        <v>205</v>
      </c>
      <c r="C365" s="942" t="s">
        <v>523</v>
      </c>
      <c r="D365" s="943"/>
      <c r="E365" s="936"/>
      <c r="F365" s="937"/>
      <c r="G365" s="846"/>
      <c r="H365" s="847"/>
      <c r="I365" s="846"/>
      <c r="J365" s="847"/>
      <c r="K365" s="846"/>
      <c r="L365" s="847"/>
      <c r="M365" s="846"/>
      <c r="N365" s="846"/>
      <c r="O365" s="737">
        <f t="shared" si="47"/>
        <v>0</v>
      </c>
      <c r="P365" s="847"/>
      <c r="Q365" s="847"/>
      <c r="R365" s="738">
        <f t="shared" si="50"/>
        <v>0</v>
      </c>
      <c r="S365" s="737">
        <f t="shared" si="51"/>
        <v>0</v>
      </c>
      <c r="T365" s="739">
        <f t="shared" si="52"/>
        <v>0</v>
      </c>
      <c r="U365" s="846"/>
      <c r="V365" s="847"/>
      <c r="W365" s="846"/>
      <c r="X365" s="846"/>
      <c r="Y365" s="740">
        <f t="shared" si="48"/>
        <v>0</v>
      </c>
      <c r="Z365" s="847"/>
      <c r="AA365" s="847"/>
      <c r="AB365" s="741">
        <f t="shared" si="49"/>
        <v>0</v>
      </c>
      <c r="AC365" s="846"/>
      <c r="AD365" s="847"/>
      <c r="AE365" s="846"/>
      <c r="AF365" s="846"/>
      <c r="AG365" s="847"/>
      <c r="AH365" s="847"/>
      <c r="AI365" s="742">
        <f t="shared" si="53"/>
        <v>0</v>
      </c>
      <c r="AJ365" s="743">
        <f t="shared" si="54"/>
        <v>0</v>
      </c>
    </row>
    <row r="366" spans="1:36">
      <c r="A366" s="915" t="s">
        <v>142</v>
      </c>
      <c r="B366" s="944" t="s">
        <v>218</v>
      </c>
      <c r="C366" s="942" t="s">
        <v>311</v>
      </c>
      <c r="D366" s="943"/>
      <c r="E366" s="936"/>
      <c r="F366" s="937"/>
      <c r="G366" s="846"/>
      <c r="H366" s="847"/>
      <c r="I366" s="846"/>
      <c r="J366" s="847"/>
      <c r="K366" s="846"/>
      <c r="L366" s="847"/>
      <c r="M366" s="846"/>
      <c r="N366" s="846"/>
      <c r="O366" s="737">
        <f t="shared" si="47"/>
        <v>0</v>
      </c>
      <c r="P366" s="847"/>
      <c r="Q366" s="847"/>
      <c r="R366" s="738">
        <f t="shared" si="50"/>
        <v>0</v>
      </c>
      <c r="S366" s="737">
        <f t="shared" si="51"/>
        <v>0</v>
      </c>
      <c r="T366" s="739">
        <f t="shared" si="52"/>
        <v>0</v>
      </c>
      <c r="U366" s="846"/>
      <c r="V366" s="847"/>
      <c r="W366" s="846"/>
      <c r="X366" s="846"/>
      <c r="Y366" s="740">
        <f t="shared" si="48"/>
        <v>0</v>
      </c>
      <c r="Z366" s="847"/>
      <c r="AA366" s="847"/>
      <c r="AB366" s="741">
        <f t="shared" si="49"/>
        <v>0</v>
      </c>
      <c r="AC366" s="846"/>
      <c r="AD366" s="847"/>
      <c r="AE366" s="846"/>
      <c r="AF366" s="846"/>
      <c r="AG366" s="847"/>
      <c r="AH366" s="847"/>
      <c r="AI366" s="742">
        <f t="shared" si="53"/>
        <v>0</v>
      </c>
      <c r="AJ366" s="743">
        <f t="shared" si="54"/>
        <v>0</v>
      </c>
    </row>
    <row r="367" spans="1:36">
      <c r="A367" s="915" t="s">
        <v>142</v>
      </c>
      <c r="B367" s="944" t="s">
        <v>219</v>
      </c>
      <c r="C367" s="942" t="s">
        <v>249</v>
      </c>
      <c r="D367" s="943"/>
      <c r="E367" s="936"/>
      <c r="F367" s="937"/>
      <c r="G367" s="846"/>
      <c r="H367" s="847"/>
      <c r="I367" s="846"/>
      <c r="J367" s="847"/>
      <c r="K367" s="846"/>
      <c r="L367" s="847"/>
      <c r="M367" s="846"/>
      <c r="N367" s="846"/>
      <c r="O367" s="737">
        <f t="shared" si="47"/>
        <v>0</v>
      </c>
      <c r="P367" s="847"/>
      <c r="Q367" s="847"/>
      <c r="R367" s="738">
        <f t="shared" si="50"/>
        <v>0</v>
      </c>
      <c r="S367" s="737">
        <f t="shared" si="51"/>
        <v>0</v>
      </c>
      <c r="T367" s="739">
        <f t="shared" si="52"/>
        <v>0</v>
      </c>
      <c r="U367" s="846"/>
      <c r="V367" s="847"/>
      <c r="W367" s="846"/>
      <c r="X367" s="846"/>
      <c r="Y367" s="740">
        <f t="shared" si="48"/>
        <v>0</v>
      </c>
      <c r="Z367" s="847"/>
      <c r="AA367" s="847"/>
      <c r="AB367" s="741">
        <f t="shared" si="49"/>
        <v>0</v>
      </c>
      <c r="AC367" s="846"/>
      <c r="AD367" s="847"/>
      <c r="AE367" s="846"/>
      <c r="AF367" s="846"/>
      <c r="AG367" s="847"/>
      <c r="AH367" s="847"/>
      <c r="AI367" s="742">
        <f t="shared" si="53"/>
        <v>0</v>
      </c>
      <c r="AJ367" s="743">
        <f t="shared" si="54"/>
        <v>0</v>
      </c>
    </row>
    <row r="368" spans="1:36">
      <c r="A368" s="915" t="s">
        <v>142</v>
      </c>
      <c r="B368" s="945" t="s">
        <v>292</v>
      </c>
      <c r="C368" s="941" t="s">
        <v>704</v>
      </c>
      <c r="D368" s="917"/>
      <c r="E368" s="936"/>
      <c r="F368" s="946"/>
      <c r="G368" s="846"/>
      <c r="H368" s="847"/>
      <c r="I368" s="846"/>
      <c r="J368" s="847"/>
      <c r="K368" s="846"/>
      <c r="L368" s="847"/>
      <c r="M368" s="846"/>
      <c r="N368" s="846"/>
      <c r="O368" s="737">
        <f t="shared" si="47"/>
        <v>0</v>
      </c>
      <c r="P368" s="847"/>
      <c r="Q368" s="847"/>
      <c r="R368" s="738">
        <f t="shared" si="50"/>
        <v>0</v>
      </c>
      <c r="S368" s="737">
        <f t="shared" si="51"/>
        <v>0</v>
      </c>
      <c r="T368" s="739">
        <f t="shared" si="52"/>
        <v>0</v>
      </c>
      <c r="U368" s="846"/>
      <c r="V368" s="847"/>
      <c r="W368" s="846"/>
      <c r="X368" s="846"/>
      <c r="Y368" s="740">
        <f t="shared" si="48"/>
        <v>0</v>
      </c>
      <c r="Z368" s="847"/>
      <c r="AA368" s="847"/>
      <c r="AB368" s="741">
        <f t="shared" si="49"/>
        <v>0</v>
      </c>
      <c r="AC368" s="846"/>
      <c r="AD368" s="847"/>
      <c r="AE368" s="846"/>
      <c r="AF368" s="846"/>
      <c r="AG368" s="847"/>
      <c r="AH368" s="847"/>
      <c r="AI368" s="742">
        <f t="shared" si="53"/>
        <v>0</v>
      </c>
      <c r="AJ368" s="743">
        <f t="shared" si="54"/>
        <v>0</v>
      </c>
    </row>
    <row r="369" spans="1:36">
      <c r="A369" s="915" t="s">
        <v>142</v>
      </c>
      <c r="B369" s="944" t="s">
        <v>209</v>
      </c>
      <c r="C369" s="942" t="s">
        <v>522</v>
      </c>
      <c r="D369" s="943"/>
      <c r="E369" s="936"/>
      <c r="F369" s="937"/>
      <c r="G369" s="846"/>
      <c r="H369" s="847"/>
      <c r="I369" s="846"/>
      <c r="J369" s="847"/>
      <c r="K369" s="846"/>
      <c r="L369" s="847"/>
      <c r="M369" s="846"/>
      <c r="N369" s="846"/>
      <c r="O369" s="737">
        <f t="shared" si="47"/>
        <v>0</v>
      </c>
      <c r="P369" s="847"/>
      <c r="Q369" s="847"/>
      <c r="R369" s="738">
        <f t="shared" si="50"/>
        <v>0</v>
      </c>
      <c r="S369" s="737">
        <f t="shared" si="51"/>
        <v>0</v>
      </c>
      <c r="T369" s="739">
        <f t="shared" si="52"/>
        <v>0</v>
      </c>
      <c r="U369" s="846"/>
      <c r="V369" s="847"/>
      <c r="W369" s="846"/>
      <c r="X369" s="846"/>
      <c r="Y369" s="740">
        <f t="shared" si="48"/>
        <v>0</v>
      </c>
      <c r="Z369" s="847"/>
      <c r="AA369" s="847"/>
      <c r="AB369" s="741">
        <f t="shared" si="49"/>
        <v>0</v>
      </c>
      <c r="AC369" s="846"/>
      <c r="AD369" s="847"/>
      <c r="AE369" s="846"/>
      <c r="AF369" s="846"/>
      <c r="AG369" s="847"/>
      <c r="AH369" s="847"/>
      <c r="AI369" s="742">
        <f t="shared" si="53"/>
        <v>0</v>
      </c>
      <c r="AJ369" s="743">
        <f t="shared" si="54"/>
        <v>0</v>
      </c>
    </row>
    <row r="370" spans="1:36">
      <c r="A370" s="915" t="s">
        <v>142</v>
      </c>
      <c r="B370" s="944" t="s">
        <v>210</v>
      </c>
      <c r="C370" s="942" t="s">
        <v>311</v>
      </c>
      <c r="D370" s="943"/>
      <c r="E370" s="936"/>
      <c r="F370" s="937"/>
      <c r="G370" s="846"/>
      <c r="H370" s="847"/>
      <c r="I370" s="846"/>
      <c r="J370" s="847"/>
      <c r="K370" s="846"/>
      <c r="L370" s="847"/>
      <c r="M370" s="846"/>
      <c r="N370" s="846"/>
      <c r="O370" s="737">
        <f t="shared" si="47"/>
        <v>0</v>
      </c>
      <c r="P370" s="847"/>
      <c r="Q370" s="847"/>
      <c r="R370" s="738">
        <f t="shared" si="50"/>
        <v>0</v>
      </c>
      <c r="S370" s="737">
        <f t="shared" si="51"/>
        <v>0</v>
      </c>
      <c r="T370" s="739">
        <f t="shared" si="52"/>
        <v>0</v>
      </c>
      <c r="U370" s="846"/>
      <c r="V370" s="847"/>
      <c r="W370" s="846"/>
      <c r="X370" s="846"/>
      <c r="Y370" s="740">
        <f t="shared" si="48"/>
        <v>0</v>
      </c>
      <c r="Z370" s="847"/>
      <c r="AA370" s="847"/>
      <c r="AB370" s="741">
        <f t="shared" si="49"/>
        <v>0</v>
      </c>
      <c r="AC370" s="846"/>
      <c r="AD370" s="847"/>
      <c r="AE370" s="846"/>
      <c r="AF370" s="846"/>
      <c r="AG370" s="847"/>
      <c r="AH370" s="847"/>
      <c r="AI370" s="742">
        <f t="shared" si="53"/>
        <v>0</v>
      </c>
      <c r="AJ370" s="743">
        <f t="shared" si="54"/>
        <v>0</v>
      </c>
    </row>
    <row r="371" spans="1:36">
      <c r="A371" s="915" t="s">
        <v>142</v>
      </c>
      <c r="B371" s="944" t="s">
        <v>204</v>
      </c>
      <c r="C371" s="942" t="s">
        <v>249</v>
      </c>
      <c r="D371" s="943"/>
      <c r="E371" s="936"/>
      <c r="F371" s="937"/>
      <c r="G371" s="846"/>
      <c r="H371" s="847"/>
      <c r="I371" s="846"/>
      <c r="J371" s="847"/>
      <c r="K371" s="846"/>
      <c r="L371" s="847"/>
      <c r="M371" s="846"/>
      <c r="N371" s="846"/>
      <c r="O371" s="737">
        <f t="shared" si="47"/>
        <v>0</v>
      </c>
      <c r="P371" s="847"/>
      <c r="Q371" s="847"/>
      <c r="R371" s="738">
        <f t="shared" si="50"/>
        <v>0</v>
      </c>
      <c r="S371" s="737">
        <f t="shared" si="51"/>
        <v>0</v>
      </c>
      <c r="T371" s="739">
        <f t="shared" si="52"/>
        <v>0</v>
      </c>
      <c r="U371" s="890">
        <v>515297</v>
      </c>
      <c r="V371" s="847">
        <v>520573</v>
      </c>
      <c r="W371" s="846"/>
      <c r="X371" s="846"/>
      <c r="Y371" s="740">
        <f t="shared" si="48"/>
        <v>0</v>
      </c>
      <c r="Z371" s="847"/>
      <c r="AA371" s="847"/>
      <c r="AB371" s="741">
        <f t="shared" si="49"/>
        <v>0</v>
      </c>
      <c r="AC371" s="846"/>
      <c r="AD371" s="847"/>
      <c r="AE371" s="846"/>
      <c r="AF371" s="846"/>
      <c r="AG371" s="847"/>
      <c r="AH371" s="847"/>
      <c r="AI371" s="742">
        <f t="shared" si="53"/>
        <v>515297</v>
      </c>
      <c r="AJ371" s="743">
        <f t="shared" si="54"/>
        <v>520573</v>
      </c>
    </row>
    <row r="372" spans="1:36">
      <c r="A372" s="915" t="s">
        <v>142</v>
      </c>
      <c r="B372" s="944" t="s">
        <v>205</v>
      </c>
      <c r="C372" s="942" t="s">
        <v>523</v>
      </c>
      <c r="D372" s="943"/>
      <c r="E372" s="936"/>
      <c r="F372" s="937"/>
      <c r="G372" s="846"/>
      <c r="H372" s="847"/>
      <c r="I372" s="846"/>
      <c r="J372" s="847"/>
      <c r="K372" s="846"/>
      <c r="L372" s="847"/>
      <c r="M372" s="846"/>
      <c r="N372" s="846"/>
      <c r="O372" s="737">
        <f t="shared" si="47"/>
        <v>0</v>
      </c>
      <c r="P372" s="847"/>
      <c r="Q372" s="847"/>
      <c r="R372" s="738">
        <f t="shared" si="50"/>
        <v>0</v>
      </c>
      <c r="S372" s="737">
        <f t="shared" si="51"/>
        <v>0</v>
      </c>
      <c r="T372" s="739">
        <f t="shared" si="52"/>
        <v>0</v>
      </c>
      <c r="U372" s="846"/>
      <c r="V372" s="847"/>
      <c r="W372" s="846"/>
      <c r="X372" s="846"/>
      <c r="Y372" s="740">
        <f t="shared" si="48"/>
        <v>0</v>
      </c>
      <c r="Z372" s="847"/>
      <c r="AA372" s="847"/>
      <c r="AB372" s="741">
        <f t="shared" si="49"/>
        <v>0</v>
      </c>
      <c r="AC372" s="846"/>
      <c r="AD372" s="847"/>
      <c r="AE372" s="846"/>
      <c r="AF372" s="846"/>
      <c r="AG372" s="847"/>
      <c r="AH372" s="847"/>
      <c r="AI372" s="742">
        <f t="shared" si="53"/>
        <v>0</v>
      </c>
      <c r="AJ372" s="743">
        <f t="shared" si="54"/>
        <v>0</v>
      </c>
    </row>
    <row r="373" spans="1:36">
      <c r="A373" s="915" t="s">
        <v>142</v>
      </c>
      <c r="B373" s="944" t="s">
        <v>218</v>
      </c>
      <c r="C373" s="942" t="s">
        <v>311</v>
      </c>
      <c r="D373" s="943"/>
      <c r="E373" s="936"/>
      <c r="F373" s="937"/>
      <c r="G373" s="846"/>
      <c r="H373" s="847"/>
      <c r="I373" s="846"/>
      <c r="J373" s="847"/>
      <c r="K373" s="846"/>
      <c r="L373" s="847"/>
      <c r="M373" s="846"/>
      <c r="N373" s="846"/>
      <c r="O373" s="737">
        <f t="shared" si="47"/>
        <v>0</v>
      </c>
      <c r="P373" s="847"/>
      <c r="Q373" s="847"/>
      <c r="R373" s="738">
        <f t="shared" si="50"/>
        <v>0</v>
      </c>
      <c r="S373" s="737">
        <f t="shared" si="51"/>
        <v>0</v>
      </c>
      <c r="T373" s="739">
        <f t="shared" si="52"/>
        <v>0</v>
      </c>
      <c r="U373" s="846"/>
      <c r="V373" s="847"/>
      <c r="W373" s="846"/>
      <c r="X373" s="846"/>
      <c r="Y373" s="740">
        <f t="shared" si="48"/>
        <v>0</v>
      </c>
      <c r="Z373" s="847"/>
      <c r="AA373" s="847"/>
      <c r="AB373" s="741">
        <f t="shared" si="49"/>
        <v>0</v>
      </c>
      <c r="AC373" s="846"/>
      <c r="AD373" s="847"/>
      <c r="AE373" s="846"/>
      <c r="AF373" s="846"/>
      <c r="AG373" s="847"/>
      <c r="AH373" s="847"/>
      <c r="AI373" s="742">
        <f t="shared" si="53"/>
        <v>0</v>
      </c>
      <c r="AJ373" s="743">
        <f t="shared" si="54"/>
        <v>0</v>
      </c>
    </row>
    <row r="374" spans="1:36">
      <c r="A374" s="915" t="s">
        <v>142</v>
      </c>
      <c r="B374" s="944" t="s">
        <v>219</v>
      </c>
      <c r="C374" s="942" t="s">
        <v>249</v>
      </c>
      <c r="D374" s="943"/>
      <c r="E374" s="936"/>
      <c r="F374" s="937"/>
      <c r="G374" s="846"/>
      <c r="H374" s="847"/>
      <c r="I374" s="846"/>
      <c r="J374" s="847"/>
      <c r="K374" s="846"/>
      <c r="L374" s="847"/>
      <c r="M374" s="846"/>
      <c r="N374" s="846"/>
      <c r="O374" s="737">
        <f t="shared" si="47"/>
        <v>0</v>
      </c>
      <c r="P374" s="847"/>
      <c r="Q374" s="847"/>
      <c r="R374" s="738">
        <f t="shared" si="50"/>
        <v>0</v>
      </c>
      <c r="S374" s="737">
        <f t="shared" si="51"/>
        <v>0</v>
      </c>
      <c r="T374" s="739">
        <f t="shared" si="52"/>
        <v>0</v>
      </c>
      <c r="U374" s="890">
        <v>27121</v>
      </c>
      <c r="V374" s="847">
        <v>27399</v>
      </c>
      <c r="W374" s="846"/>
      <c r="X374" s="846"/>
      <c r="Y374" s="740">
        <f t="shared" si="48"/>
        <v>0</v>
      </c>
      <c r="Z374" s="847"/>
      <c r="AA374" s="847"/>
      <c r="AB374" s="741">
        <f t="shared" si="49"/>
        <v>0</v>
      </c>
      <c r="AC374" s="846"/>
      <c r="AD374" s="847"/>
      <c r="AE374" s="846"/>
      <c r="AF374" s="846"/>
      <c r="AG374" s="847"/>
      <c r="AH374" s="847"/>
      <c r="AI374" s="742">
        <f t="shared" si="53"/>
        <v>27121</v>
      </c>
      <c r="AJ374" s="743">
        <f t="shared" si="54"/>
        <v>27399</v>
      </c>
    </row>
    <row r="375" spans="1:36">
      <c r="A375" s="915" t="s">
        <v>142</v>
      </c>
      <c r="B375" s="944" t="s">
        <v>293</v>
      </c>
      <c r="C375" s="947" t="s">
        <v>525</v>
      </c>
      <c r="D375" s="948"/>
      <c r="E375" s="936"/>
      <c r="F375" s="937"/>
      <c r="G375" s="846"/>
      <c r="H375" s="847"/>
      <c r="I375" s="846"/>
      <c r="J375" s="847"/>
      <c r="K375" s="846"/>
      <c r="L375" s="847"/>
      <c r="M375" s="846"/>
      <c r="N375" s="846"/>
      <c r="O375" s="737">
        <f t="shared" si="47"/>
        <v>0</v>
      </c>
      <c r="P375" s="847"/>
      <c r="Q375" s="847"/>
      <c r="R375" s="738">
        <f t="shared" si="50"/>
        <v>0</v>
      </c>
      <c r="S375" s="737">
        <f t="shared" si="51"/>
        <v>0</v>
      </c>
      <c r="T375" s="739">
        <f t="shared" si="52"/>
        <v>0</v>
      </c>
      <c r="U375" s="846"/>
      <c r="V375" s="847"/>
      <c r="W375" s="846"/>
      <c r="X375" s="846"/>
      <c r="Y375" s="740">
        <f t="shared" si="48"/>
        <v>0</v>
      </c>
      <c r="Z375" s="847"/>
      <c r="AA375" s="847"/>
      <c r="AB375" s="741">
        <f t="shared" si="49"/>
        <v>0</v>
      </c>
      <c r="AC375" s="846"/>
      <c r="AD375" s="847"/>
      <c r="AE375" s="846"/>
      <c r="AF375" s="846"/>
      <c r="AG375" s="847"/>
      <c r="AH375" s="847"/>
      <c r="AI375" s="742">
        <f t="shared" si="53"/>
        <v>0</v>
      </c>
      <c r="AJ375" s="743">
        <f t="shared" si="54"/>
        <v>0</v>
      </c>
    </row>
    <row r="376" spans="1:36">
      <c r="A376" s="915" t="s">
        <v>142</v>
      </c>
      <c r="B376" s="916" t="s">
        <v>292</v>
      </c>
      <c r="C376" s="941" t="s">
        <v>705</v>
      </c>
      <c r="D376" s="917"/>
      <c r="E376" s="936"/>
      <c r="F376" s="937"/>
      <c r="G376" s="846"/>
      <c r="H376" s="847"/>
      <c r="I376" s="846"/>
      <c r="J376" s="847"/>
      <c r="K376" s="846"/>
      <c r="L376" s="847"/>
      <c r="M376" s="846"/>
      <c r="N376" s="846"/>
      <c r="O376" s="737">
        <f t="shared" si="47"/>
        <v>0</v>
      </c>
      <c r="P376" s="847"/>
      <c r="Q376" s="847"/>
      <c r="R376" s="738">
        <f t="shared" si="50"/>
        <v>0</v>
      </c>
      <c r="S376" s="737">
        <f t="shared" si="51"/>
        <v>0</v>
      </c>
      <c r="T376" s="739">
        <f t="shared" si="52"/>
        <v>0</v>
      </c>
      <c r="U376" s="846"/>
      <c r="V376" s="847"/>
      <c r="W376" s="846"/>
      <c r="X376" s="846"/>
      <c r="Y376" s="740">
        <f t="shared" si="48"/>
        <v>0</v>
      </c>
      <c r="Z376" s="847"/>
      <c r="AA376" s="847"/>
      <c r="AB376" s="741">
        <f t="shared" si="49"/>
        <v>0</v>
      </c>
      <c r="AC376" s="846"/>
      <c r="AD376" s="847"/>
      <c r="AE376" s="846"/>
      <c r="AF376" s="846"/>
      <c r="AG376" s="847"/>
      <c r="AH376" s="847"/>
      <c r="AI376" s="742">
        <f t="shared" si="53"/>
        <v>0</v>
      </c>
      <c r="AJ376" s="743">
        <f t="shared" si="54"/>
        <v>0</v>
      </c>
    </row>
    <row r="377" spans="1:36">
      <c r="A377" s="915" t="s">
        <v>142</v>
      </c>
      <c r="B377" s="944" t="s">
        <v>252</v>
      </c>
      <c r="C377" s="942" t="s">
        <v>311</v>
      </c>
      <c r="D377" s="943"/>
      <c r="E377" s="936"/>
      <c r="F377" s="937"/>
      <c r="G377" s="846"/>
      <c r="H377" s="847"/>
      <c r="I377" s="846"/>
      <c r="J377" s="847"/>
      <c r="K377" s="846"/>
      <c r="L377" s="847"/>
      <c r="M377" s="846"/>
      <c r="N377" s="846"/>
      <c r="O377" s="737">
        <f t="shared" si="47"/>
        <v>0</v>
      </c>
      <c r="P377" s="847"/>
      <c r="Q377" s="847"/>
      <c r="R377" s="738">
        <f t="shared" si="50"/>
        <v>0</v>
      </c>
      <c r="S377" s="737">
        <f t="shared" si="51"/>
        <v>0</v>
      </c>
      <c r="T377" s="739">
        <f t="shared" si="52"/>
        <v>0</v>
      </c>
      <c r="U377" s="846"/>
      <c r="V377" s="847"/>
      <c r="W377" s="846"/>
      <c r="X377" s="846"/>
      <c r="Y377" s="740">
        <f t="shared" si="48"/>
        <v>0</v>
      </c>
      <c r="Z377" s="847"/>
      <c r="AA377" s="847"/>
      <c r="AB377" s="741">
        <f t="shared" si="49"/>
        <v>0</v>
      </c>
      <c r="AC377" s="846"/>
      <c r="AD377" s="847"/>
      <c r="AE377" s="846"/>
      <c r="AF377" s="846"/>
      <c r="AG377" s="847"/>
      <c r="AH377" s="847"/>
      <c r="AI377" s="742">
        <f t="shared" si="53"/>
        <v>0</v>
      </c>
      <c r="AJ377" s="743">
        <f t="shared" si="54"/>
        <v>0</v>
      </c>
    </row>
    <row r="378" spans="1:36">
      <c r="A378" s="915" t="s">
        <v>142</v>
      </c>
      <c r="B378" s="944" t="s">
        <v>253</v>
      </c>
      <c r="C378" s="942" t="s">
        <v>249</v>
      </c>
      <c r="D378" s="943"/>
      <c r="E378" s="936"/>
      <c r="F378" s="937"/>
      <c r="G378" s="846"/>
      <c r="H378" s="847"/>
      <c r="I378" s="846"/>
      <c r="J378" s="847"/>
      <c r="K378" s="846"/>
      <c r="L378" s="847"/>
      <c r="M378" s="846"/>
      <c r="N378" s="846"/>
      <c r="O378" s="737">
        <f t="shared" si="47"/>
        <v>0</v>
      </c>
      <c r="P378" s="847"/>
      <c r="Q378" s="847"/>
      <c r="R378" s="738">
        <f t="shared" si="50"/>
        <v>0</v>
      </c>
      <c r="S378" s="737">
        <f t="shared" si="51"/>
        <v>0</v>
      </c>
      <c r="T378" s="739">
        <f t="shared" si="52"/>
        <v>0</v>
      </c>
      <c r="U378" s="846">
        <v>112500</v>
      </c>
      <c r="V378" s="847">
        <v>112500</v>
      </c>
      <c r="W378" s="846"/>
      <c r="X378" s="846"/>
      <c r="Y378" s="740">
        <f t="shared" si="48"/>
        <v>0</v>
      </c>
      <c r="Z378" s="847"/>
      <c r="AA378" s="847"/>
      <c r="AB378" s="741">
        <f t="shared" si="49"/>
        <v>0</v>
      </c>
      <c r="AC378" s="846"/>
      <c r="AD378" s="847"/>
      <c r="AE378" s="846"/>
      <c r="AF378" s="846"/>
      <c r="AG378" s="847"/>
      <c r="AH378" s="847"/>
      <c r="AI378" s="742">
        <f t="shared" si="53"/>
        <v>112500</v>
      </c>
      <c r="AJ378" s="743">
        <f t="shared" si="54"/>
        <v>112500</v>
      </c>
    </row>
    <row r="379" spans="1:36">
      <c r="A379" s="915" t="s">
        <v>142</v>
      </c>
      <c r="B379" s="944" t="s">
        <v>253</v>
      </c>
      <c r="C379" s="941" t="s">
        <v>706</v>
      </c>
      <c r="D379" s="943"/>
      <c r="E379" s="936"/>
      <c r="F379" s="937"/>
      <c r="G379" s="846"/>
      <c r="H379" s="847"/>
      <c r="I379" s="846"/>
      <c r="J379" s="847"/>
      <c r="K379" s="846"/>
      <c r="L379" s="847"/>
      <c r="M379" s="846"/>
      <c r="N379" s="846"/>
      <c r="O379" s="737">
        <f t="shared" si="47"/>
        <v>0</v>
      </c>
      <c r="P379" s="847"/>
      <c r="Q379" s="847"/>
      <c r="R379" s="738">
        <f t="shared" si="50"/>
        <v>0</v>
      </c>
      <c r="S379" s="737">
        <f t="shared" si="51"/>
        <v>0</v>
      </c>
      <c r="T379" s="739">
        <f t="shared" si="52"/>
        <v>0</v>
      </c>
      <c r="U379" s="846"/>
      <c r="V379" s="847"/>
      <c r="W379" s="846"/>
      <c r="X379" s="846"/>
      <c r="Y379" s="740">
        <f t="shared" si="48"/>
        <v>0</v>
      </c>
      <c r="Z379" s="847"/>
      <c r="AA379" s="847"/>
      <c r="AB379" s="741">
        <f t="shared" si="49"/>
        <v>0</v>
      </c>
      <c r="AC379" s="846"/>
      <c r="AD379" s="847"/>
      <c r="AE379" s="846"/>
      <c r="AF379" s="846"/>
      <c r="AG379" s="847"/>
      <c r="AH379" s="847"/>
      <c r="AI379" s="742">
        <f t="shared" si="53"/>
        <v>0</v>
      </c>
      <c r="AJ379" s="743">
        <f t="shared" si="54"/>
        <v>0</v>
      </c>
    </row>
    <row r="380" spans="1:36">
      <c r="A380" s="915" t="s">
        <v>142</v>
      </c>
      <c r="B380" s="944" t="s">
        <v>253</v>
      </c>
      <c r="C380" s="942" t="s">
        <v>249</v>
      </c>
      <c r="D380" s="943"/>
      <c r="E380" s="936"/>
      <c r="F380" s="937"/>
      <c r="G380" s="846"/>
      <c r="H380" s="847"/>
      <c r="I380" s="846"/>
      <c r="J380" s="847"/>
      <c r="K380" s="846"/>
      <c r="L380" s="847"/>
      <c r="M380" s="846"/>
      <c r="N380" s="846"/>
      <c r="O380" s="737">
        <f t="shared" si="47"/>
        <v>0</v>
      </c>
      <c r="P380" s="847"/>
      <c r="Q380" s="847"/>
      <c r="R380" s="738">
        <f t="shared" si="50"/>
        <v>0</v>
      </c>
      <c r="S380" s="737">
        <f t="shared" si="51"/>
        <v>0</v>
      </c>
      <c r="T380" s="739">
        <f t="shared" si="52"/>
        <v>0</v>
      </c>
      <c r="U380" s="846"/>
      <c r="V380" s="847"/>
      <c r="W380" s="846"/>
      <c r="X380" s="846"/>
      <c r="Y380" s="740">
        <f t="shared" si="48"/>
        <v>0</v>
      </c>
      <c r="Z380" s="847"/>
      <c r="AA380" s="847"/>
      <c r="AB380" s="741">
        <f t="shared" si="49"/>
        <v>0</v>
      </c>
      <c r="AC380" s="846"/>
      <c r="AD380" s="847"/>
      <c r="AE380" s="846"/>
      <c r="AF380" s="846"/>
      <c r="AG380" s="847"/>
      <c r="AH380" s="847"/>
      <c r="AI380" s="742">
        <f t="shared" si="53"/>
        <v>0</v>
      </c>
      <c r="AJ380" s="743">
        <f t="shared" si="54"/>
        <v>0</v>
      </c>
    </row>
    <row r="381" spans="1:36">
      <c r="A381" s="915" t="s">
        <v>142</v>
      </c>
      <c r="B381" s="944" t="s">
        <v>294</v>
      </c>
      <c r="C381" s="947" t="s">
        <v>584</v>
      </c>
      <c r="D381" s="948"/>
      <c r="E381" s="936"/>
      <c r="F381" s="937"/>
      <c r="G381" s="846"/>
      <c r="H381" s="847"/>
      <c r="I381" s="846"/>
      <c r="J381" s="847"/>
      <c r="K381" s="846"/>
      <c r="L381" s="847"/>
      <c r="M381" s="846"/>
      <c r="N381" s="846"/>
      <c r="O381" s="737">
        <f t="shared" si="47"/>
        <v>0</v>
      </c>
      <c r="P381" s="847"/>
      <c r="Q381" s="847"/>
      <c r="R381" s="738">
        <f t="shared" si="50"/>
        <v>0</v>
      </c>
      <c r="S381" s="737">
        <f t="shared" si="51"/>
        <v>0</v>
      </c>
      <c r="T381" s="739">
        <f t="shared" si="52"/>
        <v>0</v>
      </c>
      <c r="U381" s="846"/>
      <c r="V381" s="847"/>
      <c r="W381" s="846"/>
      <c r="X381" s="846"/>
      <c r="Y381" s="740">
        <f t="shared" si="48"/>
        <v>0</v>
      </c>
      <c r="Z381" s="847"/>
      <c r="AA381" s="847"/>
      <c r="AB381" s="741">
        <f t="shared" si="49"/>
        <v>0</v>
      </c>
      <c r="AC381" s="846"/>
      <c r="AD381" s="847"/>
      <c r="AE381" s="846"/>
      <c r="AF381" s="846"/>
      <c r="AG381" s="847"/>
      <c r="AH381" s="847"/>
      <c r="AI381" s="742">
        <f t="shared" si="53"/>
        <v>0</v>
      </c>
      <c r="AJ381" s="743">
        <f t="shared" si="54"/>
        <v>0</v>
      </c>
    </row>
    <row r="382" spans="1:36">
      <c r="A382" s="915" t="s">
        <v>142</v>
      </c>
      <c r="B382" s="945" t="s">
        <v>294</v>
      </c>
      <c r="C382" s="941" t="s">
        <v>707</v>
      </c>
      <c r="D382" s="917"/>
      <c r="E382" s="936"/>
      <c r="F382" s="946"/>
      <c r="G382" s="846"/>
      <c r="H382" s="847"/>
      <c r="I382" s="846"/>
      <c r="J382" s="847"/>
      <c r="K382" s="846"/>
      <c r="L382" s="847"/>
      <c r="M382" s="846"/>
      <c r="N382" s="846"/>
      <c r="O382" s="737">
        <f t="shared" si="47"/>
        <v>0</v>
      </c>
      <c r="P382" s="847"/>
      <c r="Q382" s="847"/>
      <c r="R382" s="738">
        <f t="shared" si="50"/>
        <v>0</v>
      </c>
      <c r="S382" s="737">
        <f t="shared" si="51"/>
        <v>0</v>
      </c>
      <c r="T382" s="739">
        <f t="shared" si="52"/>
        <v>0</v>
      </c>
      <c r="U382" s="846"/>
      <c r="V382" s="847"/>
      <c r="W382" s="846"/>
      <c r="X382" s="846"/>
      <c r="Y382" s="740">
        <f t="shared" si="48"/>
        <v>0</v>
      </c>
      <c r="Z382" s="847"/>
      <c r="AA382" s="847"/>
      <c r="AB382" s="741">
        <f t="shared" si="49"/>
        <v>0</v>
      </c>
      <c r="AC382" s="846"/>
      <c r="AD382" s="847"/>
      <c r="AE382" s="846"/>
      <c r="AF382" s="846"/>
      <c r="AG382" s="847"/>
      <c r="AH382" s="847"/>
      <c r="AI382" s="742">
        <f t="shared" si="53"/>
        <v>0</v>
      </c>
      <c r="AJ382" s="743">
        <f t="shared" si="54"/>
        <v>0</v>
      </c>
    </row>
    <row r="383" spans="1:36">
      <c r="A383" s="915" t="s">
        <v>142</v>
      </c>
      <c r="B383" s="944" t="s">
        <v>254</v>
      </c>
      <c r="C383" s="942" t="s">
        <v>311</v>
      </c>
      <c r="D383" s="943"/>
      <c r="E383" s="936"/>
      <c r="F383" s="937"/>
      <c r="G383" s="846"/>
      <c r="H383" s="847"/>
      <c r="I383" s="846"/>
      <c r="J383" s="847"/>
      <c r="K383" s="846"/>
      <c r="L383" s="847"/>
      <c r="M383" s="846"/>
      <c r="N383" s="846"/>
      <c r="O383" s="737">
        <f t="shared" si="47"/>
        <v>0</v>
      </c>
      <c r="P383" s="847"/>
      <c r="Q383" s="847"/>
      <c r="R383" s="738">
        <f t="shared" si="50"/>
        <v>0</v>
      </c>
      <c r="S383" s="737">
        <f t="shared" si="51"/>
        <v>0</v>
      </c>
      <c r="T383" s="739">
        <f t="shared" si="52"/>
        <v>0</v>
      </c>
      <c r="U383" s="846"/>
      <c r="V383" s="847"/>
      <c r="W383" s="846"/>
      <c r="X383" s="846"/>
      <c r="Y383" s="740">
        <f t="shared" si="48"/>
        <v>0</v>
      </c>
      <c r="Z383" s="847"/>
      <c r="AA383" s="847"/>
      <c r="AB383" s="741">
        <f t="shared" si="49"/>
        <v>0</v>
      </c>
      <c r="AC383" s="846"/>
      <c r="AD383" s="847"/>
      <c r="AE383" s="846"/>
      <c r="AF383" s="846"/>
      <c r="AG383" s="847"/>
      <c r="AH383" s="847"/>
      <c r="AI383" s="742">
        <f t="shared" si="53"/>
        <v>0</v>
      </c>
      <c r="AJ383" s="743">
        <f t="shared" si="54"/>
        <v>0</v>
      </c>
    </row>
    <row r="384" spans="1:36">
      <c r="A384" s="915" t="s">
        <v>142</v>
      </c>
      <c r="B384" s="944" t="s">
        <v>255</v>
      </c>
      <c r="C384" s="942" t="s">
        <v>249</v>
      </c>
      <c r="D384" s="943"/>
      <c r="E384" s="936"/>
      <c r="F384" s="937"/>
      <c r="G384" s="846"/>
      <c r="H384" s="847"/>
      <c r="I384" s="846"/>
      <c r="J384" s="847"/>
      <c r="K384" s="846"/>
      <c r="L384" s="847"/>
      <c r="M384" s="846"/>
      <c r="N384" s="846"/>
      <c r="O384" s="737">
        <f t="shared" si="47"/>
        <v>0</v>
      </c>
      <c r="P384" s="847"/>
      <c r="Q384" s="847"/>
      <c r="R384" s="738">
        <f t="shared" si="50"/>
        <v>0</v>
      </c>
      <c r="S384" s="737">
        <f t="shared" si="51"/>
        <v>0</v>
      </c>
      <c r="T384" s="739">
        <f t="shared" si="52"/>
        <v>0</v>
      </c>
      <c r="U384" s="890">
        <v>1924587</v>
      </c>
      <c r="V384" s="847">
        <v>1915929</v>
      </c>
      <c r="W384" s="846"/>
      <c r="X384" s="846"/>
      <c r="Y384" s="740">
        <f t="shared" si="48"/>
        <v>0</v>
      </c>
      <c r="Z384" s="847"/>
      <c r="AA384" s="847"/>
      <c r="AB384" s="741">
        <f t="shared" si="49"/>
        <v>0</v>
      </c>
      <c r="AC384" s="846"/>
      <c r="AD384" s="847"/>
      <c r="AE384" s="846"/>
      <c r="AF384" s="846"/>
      <c r="AG384" s="847"/>
      <c r="AH384" s="847"/>
      <c r="AI384" s="742">
        <f t="shared" si="53"/>
        <v>1924587</v>
      </c>
      <c r="AJ384" s="743">
        <f t="shared" si="54"/>
        <v>1915929</v>
      </c>
    </row>
    <row r="385" spans="1:36">
      <c r="A385" s="1197" t="s">
        <v>143</v>
      </c>
      <c r="B385" s="1198" t="s">
        <v>264</v>
      </c>
      <c r="C385" s="1199" t="s">
        <v>1238</v>
      </c>
      <c r="D385" s="1200"/>
      <c r="E385" s="1201">
        <v>106397</v>
      </c>
      <c r="F385" s="1202">
        <v>1</v>
      </c>
      <c r="G385" s="846">
        <v>125527147</v>
      </c>
      <c r="H385" s="847">
        <v>126883378</v>
      </c>
      <c r="I385" s="846"/>
      <c r="J385" s="847"/>
      <c r="K385" s="846"/>
      <c r="L385" s="847"/>
      <c r="M385" s="846">
        <v>220938774</v>
      </c>
      <c r="N385" s="846"/>
      <c r="O385" s="737">
        <f t="shared" si="47"/>
        <v>220938774</v>
      </c>
      <c r="P385" s="847">
        <v>185228990</v>
      </c>
      <c r="Q385" s="847"/>
      <c r="R385" s="738">
        <f t="shared" si="50"/>
        <v>185228990</v>
      </c>
      <c r="S385" s="737">
        <f t="shared" si="51"/>
        <v>346465921</v>
      </c>
      <c r="T385" s="739">
        <f t="shared" si="52"/>
        <v>312112368</v>
      </c>
      <c r="U385" s="846"/>
      <c r="V385" s="847"/>
      <c r="W385" s="846"/>
      <c r="X385" s="846"/>
      <c r="Y385" s="740">
        <f t="shared" si="48"/>
        <v>0</v>
      </c>
      <c r="Z385" s="847"/>
      <c r="AA385" s="847"/>
      <c r="AB385" s="741">
        <f t="shared" si="49"/>
        <v>0</v>
      </c>
      <c r="AC385" s="846"/>
      <c r="AD385" s="847"/>
      <c r="AE385" s="846"/>
      <c r="AF385" s="846"/>
      <c r="AG385" s="847"/>
      <c r="AH385" s="847"/>
      <c r="AI385" s="742">
        <f t="shared" si="53"/>
        <v>346465921</v>
      </c>
      <c r="AJ385" s="743">
        <f t="shared" si="54"/>
        <v>312112368</v>
      </c>
    </row>
    <row r="386" spans="1:36">
      <c r="A386" s="1203" t="s">
        <v>143</v>
      </c>
      <c r="B386" s="1198" t="s">
        <v>276</v>
      </c>
      <c r="C386" s="1204" t="s">
        <v>257</v>
      </c>
      <c r="D386" s="1205"/>
      <c r="E386" s="1201">
        <v>106397</v>
      </c>
      <c r="F386" s="1202">
        <v>1</v>
      </c>
      <c r="G386" s="846"/>
      <c r="H386" s="847"/>
      <c r="I386" s="846"/>
      <c r="J386" s="847"/>
      <c r="K386" s="846"/>
      <c r="L386" s="847"/>
      <c r="M386" s="846"/>
      <c r="N386" s="846"/>
      <c r="O386" s="737">
        <f t="shared" si="47"/>
        <v>0</v>
      </c>
      <c r="P386" s="847"/>
      <c r="Q386" s="847"/>
      <c r="R386" s="738">
        <f t="shared" si="50"/>
        <v>0</v>
      </c>
      <c r="S386" s="737">
        <f t="shared" si="51"/>
        <v>0</v>
      </c>
      <c r="T386" s="739">
        <f t="shared" si="52"/>
        <v>0</v>
      </c>
      <c r="U386" s="846"/>
      <c r="V386" s="847"/>
      <c r="W386" s="846"/>
      <c r="X386" s="846"/>
      <c r="Y386" s="740">
        <f t="shared" si="48"/>
        <v>0</v>
      </c>
      <c r="Z386" s="847"/>
      <c r="AA386" s="847"/>
      <c r="AB386" s="741">
        <f t="shared" si="49"/>
        <v>0</v>
      </c>
      <c r="AC386" s="846"/>
      <c r="AD386" s="847"/>
      <c r="AE386" s="846"/>
      <c r="AF386" s="846"/>
      <c r="AG386" s="847"/>
      <c r="AH386" s="847"/>
      <c r="AI386" s="742">
        <f t="shared" si="53"/>
        <v>0</v>
      </c>
      <c r="AJ386" s="743">
        <f t="shared" si="54"/>
        <v>0</v>
      </c>
    </row>
    <row r="387" spans="1:36">
      <c r="A387" s="1203" t="s">
        <v>143</v>
      </c>
      <c r="B387" s="1198" t="s">
        <v>276</v>
      </c>
      <c r="C387" s="1206" t="s">
        <v>1239</v>
      </c>
      <c r="D387" s="1205"/>
      <c r="E387" s="1201">
        <v>106397</v>
      </c>
      <c r="F387" s="1202">
        <v>1</v>
      </c>
      <c r="G387" s="846"/>
      <c r="H387" s="847"/>
      <c r="I387" s="846">
        <v>68195051</v>
      </c>
      <c r="J387" s="847">
        <v>68324273</v>
      </c>
      <c r="K387" s="846"/>
      <c r="L387" s="847"/>
      <c r="M387" s="846"/>
      <c r="N387" s="846"/>
      <c r="O387" s="737">
        <f t="shared" si="47"/>
        <v>0</v>
      </c>
      <c r="P387" s="847"/>
      <c r="Q387" s="847"/>
      <c r="R387" s="738">
        <f t="shared" si="50"/>
        <v>0</v>
      </c>
      <c r="S387" s="737">
        <f t="shared" si="51"/>
        <v>68195051</v>
      </c>
      <c r="T387" s="739">
        <f t="shared" si="52"/>
        <v>68324273</v>
      </c>
      <c r="U387" s="846"/>
      <c r="V387" s="847"/>
      <c r="W387" s="846"/>
      <c r="X387" s="846"/>
      <c r="Y387" s="740">
        <f t="shared" si="48"/>
        <v>0</v>
      </c>
      <c r="Z387" s="847"/>
      <c r="AA387" s="847"/>
      <c r="AB387" s="741">
        <f t="shared" si="49"/>
        <v>0</v>
      </c>
      <c r="AC387" s="846"/>
      <c r="AD387" s="847"/>
      <c r="AE387" s="846"/>
      <c r="AF387" s="846"/>
      <c r="AG387" s="847"/>
      <c r="AH387" s="847"/>
      <c r="AI387" s="742">
        <f t="shared" si="53"/>
        <v>68195051</v>
      </c>
      <c r="AJ387" s="743">
        <f t="shared" si="54"/>
        <v>68324273</v>
      </c>
    </row>
    <row r="388" spans="1:36">
      <c r="A388" s="1203" t="s">
        <v>143</v>
      </c>
      <c r="B388" s="1198" t="s">
        <v>278</v>
      </c>
      <c r="C388" s="1206" t="s">
        <v>1240</v>
      </c>
      <c r="D388" s="1205"/>
      <c r="E388" s="1201">
        <v>106397</v>
      </c>
      <c r="F388" s="1202">
        <v>1</v>
      </c>
      <c r="G388" s="846"/>
      <c r="H388" s="847"/>
      <c r="I388" s="846">
        <v>2457145</v>
      </c>
      <c r="J388" s="847">
        <v>2460252</v>
      </c>
      <c r="K388" s="846"/>
      <c r="L388" s="847"/>
      <c r="M388" s="846"/>
      <c r="N388" s="846"/>
      <c r="O388" s="737">
        <f t="shared" si="47"/>
        <v>0</v>
      </c>
      <c r="P388" s="847"/>
      <c r="Q388" s="847"/>
      <c r="R388" s="738">
        <f t="shared" si="50"/>
        <v>0</v>
      </c>
      <c r="S388" s="737">
        <f t="shared" si="51"/>
        <v>2457145</v>
      </c>
      <c r="T388" s="739">
        <f t="shared" si="52"/>
        <v>2460252</v>
      </c>
      <c r="U388" s="846"/>
      <c r="V388" s="847"/>
      <c r="W388" s="846"/>
      <c r="X388" s="846"/>
      <c r="Y388" s="740">
        <f t="shared" si="48"/>
        <v>0</v>
      </c>
      <c r="Z388" s="847"/>
      <c r="AA388" s="847"/>
      <c r="AB388" s="741">
        <f t="shared" si="49"/>
        <v>0</v>
      </c>
      <c r="AC388" s="846"/>
      <c r="AD388" s="847"/>
      <c r="AE388" s="846"/>
      <c r="AF388" s="846"/>
      <c r="AG388" s="847"/>
      <c r="AH388" s="847"/>
      <c r="AI388" s="742">
        <f t="shared" si="53"/>
        <v>2457145</v>
      </c>
      <c r="AJ388" s="743">
        <f t="shared" si="54"/>
        <v>2460252</v>
      </c>
    </row>
    <row r="389" spans="1:36">
      <c r="A389" s="1203" t="s">
        <v>143</v>
      </c>
      <c r="B389" s="1198" t="s">
        <v>278</v>
      </c>
      <c r="C389" s="1206" t="s">
        <v>1241</v>
      </c>
      <c r="D389" s="1205"/>
      <c r="E389" s="1201">
        <v>106397</v>
      </c>
      <c r="F389" s="1202">
        <v>1</v>
      </c>
      <c r="G389" s="846"/>
      <c r="H389" s="847"/>
      <c r="I389" s="846">
        <v>1825769</v>
      </c>
      <c r="J389" s="847">
        <v>1825769</v>
      </c>
      <c r="K389" s="846"/>
      <c r="L389" s="847"/>
      <c r="M389" s="846"/>
      <c r="N389" s="846"/>
      <c r="O389" s="737">
        <f t="shared" si="47"/>
        <v>0</v>
      </c>
      <c r="P389" s="847"/>
      <c r="Q389" s="847"/>
      <c r="R389" s="738">
        <f t="shared" si="50"/>
        <v>0</v>
      </c>
      <c r="S389" s="737">
        <f t="shared" si="51"/>
        <v>1825769</v>
      </c>
      <c r="T389" s="739">
        <f t="shared" si="52"/>
        <v>1825769</v>
      </c>
      <c r="U389" s="846"/>
      <c r="V389" s="847"/>
      <c r="W389" s="846"/>
      <c r="X389" s="846"/>
      <c r="Y389" s="740">
        <f t="shared" si="48"/>
        <v>0</v>
      </c>
      <c r="Z389" s="847"/>
      <c r="AA389" s="847"/>
      <c r="AB389" s="741">
        <f t="shared" si="49"/>
        <v>0</v>
      </c>
      <c r="AC389" s="846"/>
      <c r="AD389" s="847"/>
      <c r="AE389" s="846"/>
      <c r="AF389" s="846"/>
      <c r="AG389" s="847"/>
      <c r="AH389" s="847"/>
      <c r="AI389" s="742">
        <f t="shared" si="53"/>
        <v>1825769</v>
      </c>
      <c r="AJ389" s="743">
        <f t="shared" si="54"/>
        <v>1825769</v>
      </c>
    </row>
    <row r="390" spans="1:36">
      <c r="A390" s="1203" t="s">
        <v>143</v>
      </c>
      <c r="B390" s="1198" t="s">
        <v>266</v>
      </c>
      <c r="C390" s="1204" t="s">
        <v>319</v>
      </c>
      <c r="D390" s="1205"/>
      <c r="E390" s="1201">
        <v>106397</v>
      </c>
      <c r="F390" s="1202">
        <v>1</v>
      </c>
      <c r="G390" s="846"/>
      <c r="H390" s="847"/>
      <c r="I390" s="846"/>
      <c r="J390" s="847"/>
      <c r="K390" s="846"/>
      <c r="L390" s="847"/>
      <c r="M390" s="846"/>
      <c r="N390" s="846"/>
      <c r="O390" s="737">
        <f t="shared" si="47"/>
        <v>0</v>
      </c>
      <c r="P390" s="847"/>
      <c r="Q390" s="847"/>
      <c r="R390" s="738">
        <f t="shared" si="50"/>
        <v>0</v>
      </c>
      <c r="S390" s="737">
        <f t="shared" si="51"/>
        <v>0</v>
      </c>
      <c r="T390" s="739">
        <f t="shared" si="52"/>
        <v>0</v>
      </c>
      <c r="U390" s="846"/>
      <c r="V390" s="847"/>
      <c r="W390" s="846"/>
      <c r="X390" s="846"/>
      <c r="Y390" s="740">
        <f t="shared" si="48"/>
        <v>0</v>
      </c>
      <c r="Z390" s="847"/>
      <c r="AA390" s="847"/>
      <c r="AB390" s="741">
        <f t="shared" si="49"/>
        <v>0</v>
      </c>
      <c r="AC390" s="846"/>
      <c r="AD390" s="847"/>
      <c r="AE390" s="846"/>
      <c r="AF390" s="846"/>
      <c r="AG390" s="847"/>
      <c r="AH390" s="847"/>
      <c r="AI390" s="742">
        <f t="shared" si="53"/>
        <v>0</v>
      </c>
      <c r="AJ390" s="743">
        <f t="shared" si="54"/>
        <v>0</v>
      </c>
    </row>
    <row r="391" spans="1:36">
      <c r="A391" s="1203" t="s">
        <v>143</v>
      </c>
      <c r="B391" s="1198" t="s">
        <v>266</v>
      </c>
      <c r="C391" s="1206" t="s">
        <v>1242</v>
      </c>
      <c r="D391" s="1205"/>
      <c r="E391" s="1201">
        <v>106397</v>
      </c>
      <c r="F391" s="1202">
        <v>1</v>
      </c>
      <c r="G391" s="846"/>
      <c r="H391" s="847"/>
      <c r="I391" s="846">
        <v>8230850</v>
      </c>
      <c r="J391" s="847">
        <v>8401339</v>
      </c>
      <c r="K391" s="846"/>
      <c r="L391" s="847"/>
      <c r="M391" s="846"/>
      <c r="N391" s="846"/>
      <c r="O391" s="737">
        <f t="shared" si="47"/>
        <v>0</v>
      </c>
      <c r="P391" s="847"/>
      <c r="Q391" s="847"/>
      <c r="R391" s="738">
        <f t="shared" si="50"/>
        <v>0</v>
      </c>
      <c r="S391" s="737">
        <f t="shared" si="51"/>
        <v>8230850</v>
      </c>
      <c r="T391" s="739">
        <f t="shared" si="52"/>
        <v>8401339</v>
      </c>
      <c r="U391" s="846"/>
      <c r="V391" s="847"/>
      <c r="W391" s="846"/>
      <c r="X391" s="846"/>
      <c r="Y391" s="740">
        <f t="shared" si="48"/>
        <v>0</v>
      </c>
      <c r="Z391" s="847"/>
      <c r="AA391" s="847"/>
      <c r="AB391" s="741">
        <f t="shared" si="49"/>
        <v>0</v>
      </c>
      <c r="AC391" s="846"/>
      <c r="AD391" s="847"/>
      <c r="AE391" s="846"/>
      <c r="AF391" s="846"/>
      <c r="AG391" s="847"/>
      <c r="AH391" s="847"/>
      <c r="AI391" s="742">
        <f t="shared" si="53"/>
        <v>8230850</v>
      </c>
      <c r="AJ391" s="743">
        <f t="shared" si="54"/>
        <v>8401339</v>
      </c>
    </row>
    <row r="392" spans="1:36">
      <c r="A392" s="1197" t="s">
        <v>143</v>
      </c>
      <c r="B392" s="1198" t="s">
        <v>264</v>
      </c>
      <c r="C392" s="1206" t="s">
        <v>1243</v>
      </c>
      <c r="D392" s="1205"/>
      <c r="E392" s="1201">
        <v>106397</v>
      </c>
      <c r="F392" s="1202">
        <v>1</v>
      </c>
      <c r="G392" s="846"/>
      <c r="H392" s="847"/>
      <c r="I392" s="846">
        <v>2295575</v>
      </c>
      <c r="J392" s="847">
        <v>2295575</v>
      </c>
      <c r="K392" s="846"/>
      <c r="L392" s="847"/>
      <c r="M392" s="846">
        <v>615200</v>
      </c>
      <c r="N392" s="846"/>
      <c r="O392" s="737">
        <f t="shared" si="47"/>
        <v>615200</v>
      </c>
      <c r="P392" s="847">
        <v>600000</v>
      </c>
      <c r="Q392" s="847"/>
      <c r="R392" s="738">
        <f t="shared" si="50"/>
        <v>600000</v>
      </c>
      <c r="S392" s="737">
        <f t="shared" si="51"/>
        <v>2910775</v>
      </c>
      <c r="T392" s="739">
        <f t="shared" si="52"/>
        <v>2895575</v>
      </c>
      <c r="U392" s="846"/>
      <c r="V392" s="847"/>
      <c r="W392" s="846"/>
      <c r="X392" s="846"/>
      <c r="Y392" s="740">
        <f t="shared" si="48"/>
        <v>0</v>
      </c>
      <c r="Z392" s="847"/>
      <c r="AA392" s="847"/>
      <c r="AB392" s="741">
        <f t="shared" si="49"/>
        <v>0</v>
      </c>
      <c r="AC392" s="846"/>
      <c r="AD392" s="847"/>
      <c r="AE392" s="846"/>
      <c r="AF392" s="846"/>
      <c r="AG392" s="847"/>
      <c r="AH392" s="847"/>
      <c r="AI392" s="742">
        <f t="shared" si="53"/>
        <v>2910775</v>
      </c>
      <c r="AJ392" s="743">
        <f t="shared" si="54"/>
        <v>2895575</v>
      </c>
    </row>
    <row r="393" spans="1:36">
      <c r="A393" s="1203" t="s">
        <v>143</v>
      </c>
      <c r="B393" s="1198" t="s">
        <v>264</v>
      </c>
      <c r="C393" s="1199" t="s">
        <v>1244</v>
      </c>
      <c r="D393" s="1200"/>
      <c r="E393" s="1201">
        <v>106458</v>
      </c>
      <c r="F393" s="1202">
        <v>3</v>
      </c>
      <c r="G393" s="846">
        <v>61907972</v>
      </c>
      <c r="H393" s="847">
        <v>62389076</v>
      </c>
      <c r="I393" s="846"/>
      <c r="J393" s="847"/>
      <c r="K393" s="846"/>
      <c r="L393" s="847"/>
      <c r="M393" s="846">
        <v>89527334</v>
      </c>
      <c r="N393" s="846">
        <v>21632</v>
      </c>
      <c r="O393" s="737">
        <f t="shared" si="47"/>
        <v>89548966</v>
      </c>
      <c r="P393" s="847">
        <v>85148981</v>
      </c>
      <c r="Q393" s="847"/>
      <c r="R393" s="738">
        <f t="shared" si="50"/>
        <v>85148981</v>
      </c>
      <c r="S393" s="737">
        <f t="shared" si="51"/>
        <v>151435306</v>
      </c>
      <c r="T393" s="739">
        <f t="shared" si="52"/>
        <v>147538057</v>
      </c>
      <c r="U393" s="846"/>
      <c r="V393" s="847"/>
      <c r="W393" s="846"/>
      <c r="X393" s="846"/>
      <c r="Y393" s="740">
        <f t="shared" si="48"/>
        <v>0</v>
      </c>
      <c r="Z393" s="847"/>
      <c r="AA393" s="847"/>
      <c r="AB393" s="741">
        <f t="shared" si="49"/>
        <v>0</v>
      </c>
      <c r="AC393" s="846"/>
      <c r="AD393" s="847"/>
      <c r="AE393" s="846"/>
      <c r="AF393" s="846"/>
      <c r="AG393" s="847"/>
      <c r="AH393" s="847"/>
      <c r="AI393" s="742">
        <f t="shared" si="53"/>
        <v>151435306</v>
      </c>
      <c r="AJ393" s="743">
        <f t="shared" si="54"/>
        <v>147538057</v>
      </c>
    </row>
    <row r="394" spans="1:36">
      <c r="A394" s="1203" t="s">
        <v>143</v>
      </c>
      <c r="B394" s="1198" t="s">
        <v>266</v>
      </c>
      <c r="C394" s="1204" t="s">
        <v>319</v>
      </c>
      <c r="D394" s="1205"/>
      <c r="E394" s="1201">
        <v>106458</v>
      </c>
      <c r="F394" s="1202">
        <v>3</v>
      </c>
      <c r="G394" s="846"/>
      <c r="H394" s="847"/>
      <c r="I394" s="846"/>
      <c r="J394" s="847"/>
      <c r="K394" s="846"/>
      <c r="L394" s="847"/>
      <c r="M394" s="846"/>
      <c r="N394" s="846"/>
      <c r="O394" s="737">
        <f t="shared" ref="O394:O457" si="55">SUM(M394:N394)</f>
        <v>0</v>
      </c>
      <c r="P394" s="847"/>
      <c r="Q394" s="847"/>
      <c r="R394" s="738">
        <f t="shared" si="50"/>
        <v>0</v>
      </c>
      <c r="S394" s="737">
        <f t="shared" si="51"/>
        <v>0</v>
      </c>
      <c r="T394" s="739">
        <f t="shared" si="52"/>
        <v>0</v>
      </c>
      <c r="U394" s="846"/>
      <c r="V394" s="847"/>
      <c r="W394" s="846"/>
      <c r="X394" s="846"/>
      <c r="Y394" s="740">
        <f t="shared" ref="Y394:Y457" si="56">SUM(W394:X394)</f>
        <v>0</v>
      </c>
      <c r="Z394" s="847"/>
      <c r="AA394" s="847"/>
      <c r="AB394" s="741">
        <f t="shared" ref="AB394:AB457" si="57">SUM(Z394:AA394)</f>
        <v>0</v>
      </c>
      <c r="AC394" s="846"/>
      <c r="AD394" s="847"/>
      <c r="AE394" s="846"/>
      <c r="AF394" s="846"/>
      <c r="AG394" s="847"/>
      <c r="AH394" s="847"/>
      <c r="AI394" s="742">
        <f t="shared" si="53"/>
        <v>0</v>
      </c>
      <c r="AJ394" s="743">
        <f t="shared" si="54"/>
        <v>0</v>
      </c>
    </row>
    <row r="395" spans="1:36">
      <c r="A395" s="1203" t="s">
        <v>143</v>
      </c>
      <c r="B395" s="1198" t="s">
        <v>264</v>
      </c>
      <c r="C395" s="1207" t="s">
        <v>1245</v>
      </c>
      <c r="D395" s="1208"/>
      <c r="E395" s="1209">
        <v>106467</v>
      </c>
      <c r="F395" s="1209">
        <v>3</v>
      </c>
      <c r="G395" s="846">
        <v>31560998</v>
      </c>
      <c r="H395" s="847">
        <v>31885050</v>
      </c>
      <c r="I395" s="846"/>
      <c r="J395" s="847"/>
      <c r="K395" s="846"/>
      <c r="L395" s="847"/>
      <c r="M395" s="846">
        <v>53973806</v>
      </c>
      <c r="N395" s="846"/>
      <c r="O395" s="737">
        <f t="shared" si="55"/>
        <v>53973806</v>
      </c>
      <c r="P395" s="847">
        <v>55203113</v>
      </c>
      <c r="Q395" s="847"/>
      <c r="R395" s="738">
        <f t="shared" ref="R395:R458" si="58">SUM(P395:Q395)</f>
        <v>55203113</v>
      </c>
      <c r="S395" s="737">
        <f t="shared" ref="S395:S458" si="59">SUM(G395,I395,K395,M395)</f>
        <v>85534804</v>
      </c>
      <c r="T395" s="739">
        <f t="shared" ref="T395:T458" si="60">SUM(H395,J395,L395,P395)</f>
        <v>87088163</v>
      </c>
      <c r="U395" s="846"/>
      <c r="V395" s="847"/>
      <c r="W395" s="846"/>
      <c r="X395" s="846"/>
      <c r="Y395" s="740">
        <f t="shared" si="56"/>
        <v>0</v>
      </c>
      <c r="Z395" s="847"/>
      <c r="AA395" s="847"/>
      <c r="AB395" s="741">
        <f t="shared" si="57"/>
        <v>0</v>
      </c>
      <c r="AC395" s="846"/>
      <c r="AD395" s="847"/>
      <c r="AE395" s="846"/>
      <c r="AF395" s="846"/>
      <c r="AG395" s="847"/>
      <c r="AH395" s="847"/>
      <c r="AI395" s="742">
        <f t="shared" ref="AI395:AI458" si="61">SUM(S395,U395,W395,AC395,AE395)</f>
        <v>85534804</v>
      </c>
      <c r="AJ395" s="743">
        <f t="shared" ref="AJ395:AJ458" si="62">SUM(T395,V395,Z395,AD395,AG395)</f>
        <v>87088163</v>
      </c>
    </row>
    <row r="396" spans="1:36">
      <c r="A396" s="1203" t="s">
        <v>143</v>
      </c>
      <c r="B396" s="1198" t="s">
        <v>266</v>
      </c>
      <c r="C396" s="1204" t="s">
        <v>319</v>
      </c>
      <c r="D396" s="1205"/>
      <c r="E396" s="1201">
        <v>106467</v>
      </c>
      <c r="F396" s="1209">
        <v>3</v>
      </c>
      <c r="G396" s="846"/>
      <c r="H396" s="847"/>
      <c r="I396" s="846"/>
      <c r="J396" s="847"/>
      <c r="K396" s="846"/>
      <c r="L396" s="847"/>
      <c r="M396" s="846"/>
      <c r="N396" s="846"/>
      <c r="O396" s="737">
        <f t="shared" si="55"/>
        <v>0</v>
      </c>
      <c r="P396" s="847"/>
      <c r="Q396" s="847"/>
      <c r="R396" s="738">
        <f t="shared" si="58"/>
        <v>0</v>
      </c>
      <c r="S396" s="737">
        <f t="shared" si="59"/>
        <v>0</v>
      </c>
      <c r="T396" s="739">
        <f t="shared" si="60"/>
        <v>0</v>
      </c>
      <c r="U396" s="846"/>
      <c r="V396" s="847"/>
      <c r="W396" s="846"/>
      <c r="X396" s="846"/>
      <c r="Y396" s="740">
        <f t="shared" si="56"/>
        <v>0</v>
      </c>
      <c r="Z396" s="847"/>
      <c r="AA396" s="847"/>
      <c r="AB396" s="741">
        <f t="shared" si="57"/>
        <v>0</v>
      </c>
      <c r="AC396" s="846"/>
      <c r="AD396" s="847"/>
      <c r="AE396" s="846"/>
      <c r="AF396" s="846"/>
      <c r="AG396" s="847"/>
      <c r="AH396" s="847"/>
      <c r="AI396" s="742">
        <f t="shared" si="61"/>
        <v>0</v>
      </c>
      <c r="AJ396" s="743">
        <f t="shared" si="62"/>
        <v>0</v>
      </c>
    </row>
    <row r="397" spans="1:36">
      <c r="A397" s="1203" t="s">
        <v>143</v>
      </c>
      <c r="B397" s="1198" t="s">
        <v>266</v>
      </c>
      <c r="C397" s="1206" t="s">
        <v>1246</v>
      </c>
      <c r="D397" s="1205"/>
      <c r="E397" s="1201">
        <v>106467</v>
      </c>
      <c r="F397" s="1209">
        <v>3</v>
      </c>
      <c r="G397" s="846"/>
      <c r="H397" s="847"/>
      <c r="I397" s="846">
        <v>3189081</v>
      </c>
      <c r="J397" s="847">
        <v>3181253</v>
      </c>
      <c r="K397" s="846"/>
      <c r="L397" s="847"/>
      <c r="M397" s="846">
        <v>4071724</v>
      </c>
      <c r="N397" s="846"/>
      <c r="O397" s="737">
        <f t="shared" si="55"/>
        <v>4071724</v>
      </c>
      <c r="P397" s="847">
        <v>4174256</v>
      </c>
      <c r="Q397" s="847"/>
      <c r="R397" s="738">
        <f t="shared" si="58"/>
        <v>4174256</v>
      </c>
      <c r="S397" s="737">
        <f t="shared" si="59"/>
        <v>7260805</v>
      </c>
      <c r="T397" s="739">
        <f t="shared" si="60"/>
        <v>7355509</v>
      </c>
      <c r="U397" s="846"/>
      <c r="V397" s="847"/>
      <c r="W397" s="846"/>
      <c r="X397" s="846"/>
      <c r="Y397" s="740">
        <f t="shared" si="56"/>
        <v>0</v>
      </c>
      <c r="Z397" s="847"/>
      <c r="AA397" s="847"/>
      <c r="AB397" s="741">
        <f t="shared" si="57"/>
        <v>0</v>
      </c>
      <c r="AC397" s="846"/>
      <c r="AD397" s="847"/>
      <c r="AE397" s="846"/>
      <c r="AF397" s="846"/>
      <c r="AG397" s="847"/>
      <c r="AH397" s="847"/>
      <c r="AI397" s="742">
        <f t="shared" si="61"/>
        <v>7260805</v>
      </c>
      <c r="AJ397" s="743">
        <f t="shared" si="62"/>
        <v>7355509</v>
      </c>
    </row>
    <row r="398" spans="1:36">
      <c r="A398" s="1203" t="s">
        <v>143</v>
      </c>
      <c r="B398" s="1198" t="s">
        <v>264</v>
      </c>
      <c r="C398" s="1199" t="s">
        <v>1247</v>
      </c>
      <c r="D398" s="1208" t="s">
        <v>1316</v>
      </c>
      <c r="E398" s="1201">
        <v>106245</v>
      </c>
      <c r="F398" s="1229">
        <v>2</v>
      </c>
      <c r="G398" s="846">
        <v>61960269</v>
      </c>
      <c r="H398" s="847">
        <v>62087049</v>
      </c>
      <c r="I398" s="846"/>
      <c r="J398" s="847"/>
      <c r="K398" s="846"/>
      <c r="L398" s="847"/>
      <c r="M398" s="846">
        <v>75294685</v>
      </c>
      <c r="N398" s="846">
        <v>817280</v>
      </c>
      <c r="O398" s="737">
        <f t="shared" si="55"/>
        <v>76111965</v>
      </c>
      <c r="P398" s="847">
        <v>76789523</v>
      </c>
      <c r="Q398" s="847"/>
      <c r="R398" s="738">
        <f t="shared" si="58"/>
        <v>76789523</v>
      </c>
      <c r="S398" s="737">
        <f t="shared" si="59"/>
        <v>137254954</v>
      </c>
      <c r="T398" s="739">
        <f t="shared" si="60"/>
        <v>138876572</v>
      </c>
      <c r="U398" s="846"/>
      <c r="V398" s="847"/>
      <c r="W398" s="846"/>
      <c r="X398" s="846"/>
      <c r="Y398" s="740">
        <f t="shared" si="56"/>
        <v>0</v>
      </c>
      <c r="Z398" s="847"/>
      <c r="AA398" s="847"/>
      <c r="AB398" s="741">
        <f t="shared" si="57"/>
        <v>0</v>
      </c>
      <c r="AC398" s="846"/>
      <c r="AD398" s="847"/>
      <c r="AE398" s="846"/>
      <c r="AF398" s="846"/>
      <c r="AG398" s="847"/>
      <c r="AH398" s="847"/>
      <c r="AI398" s="742">
        <f t="shared" si="61"/>
        <v>137254954</v>
      </c>
      <c r="AJ398" s="743">
        <f t="shared" si="62"/>
        <v>138876572</v>
      </c>
    </row>
    <row r="399" spans="1:36">
      <c r="A399" s="1203" t="s">
        <v>143</v>
      </c>
      <c r="B399" s="1198" t="s">
        <v>266</v>
      </c>
      <c r="C399" s="1204" t="s">
        <v>319</v>
      </c>
      <c r="D399" s="1205"/>
      <c r="E399" s="1201">
        <v>106245</v>
      </c>
      <c r="F399" s="1229">
        <v>2</v>
      </c>
      <c r="G399" s="846"/>
      <c r="H399" s="847"/>
      <c r="I399" s="846"/>
      <c r="J399" s="847"/>
      <c r="K399" s="846"/>
      <c r="L399" s="847"/>
      <c r="M399" s="846"/>
      <c r="N399" s="846"/>
      <c r="O399" s="737">
        <f t="shared" si="55"/>
        <v>0</v>
      </c>
      <c r="P399" s="847"/>
      <c r="Q399" s="847"/>
      <c r="R399" s="738">
        <f t="shared" si="58"/>
        <v>0</v>
      </c>
      <c r="S399" s="737">
        <f t="shared" si="59"/>
        <v>0</v>
      </c>
      <c r="T399" s="739">
        <f t="shared" si="60"/>
        <v>0</v>
      </c>
      <c r="U399" s="846"/>
      <c r="V399" s="847"/>
      <c r="W399" s="846"/>
      <c r="X399" s="846"/>
      <c r="Y399" s="740">
        <f t="shared" si="56"/>
        <v>0</v>
      </c>
      <c r="Z399" s="847"/>
      <c r="AA399" s="847"/>
      <c r="AB399" s="741">
        <f t="shared" si="57"/>
        <v>0</v>
      </c>
      <c r="AC399" s="846"/>
      <c r="AD399" s="847"/>
      <c r="AE399" s="846"/>
      <c r="AF399" s="846"/>
      <c r="AG399" s="847"/>
      <c r="AH399" s="847"/>
      <c r="AI399" s="742">
        <f t="shared" si="61"/>
        <v>0</v>
      </c>
      <c r="AJ399" s="743">
        <f t="shared" si="62"/>
        <v>0</v>
      </c>
    </row>
    <row r="400" spans="1:36">
      <c r="A400" s="1203" t="s">
        <v>143</v>
      </c>
      <c r="B400" s="1198" t="s">
        <v>266</v>
      </c>
      <c r="C400" s="1206" t="s">
        <v>1248</v>
      </c>
      <c r="D400" s="1205"/>
      <c r="E400" s="1201">
        <v>106245</v>
      </c>
      <c r="F400" s="1229">
        <v>2</v>
      </c>
      <c r="G400" s="846"/>
      <c r="H400" s="847"/>
      <c r="I400" s="846">
        <v>3588916</v>
      </c>
      <c r="J400" s="847">
        <v>4087836</v>
      </c>
      <c r="K400" s="846"/>
      <c r="L400" s="847"/>
      <c r="M400" s="846">
        <v>0</v>
      </c>
      <c r="N400" s="846"/>
      <c r="O400" s="737">
        <f t="shared" si="55"/>
        <v>0</v>
      </c>
      <c r="P400" s="847">
        <v>29407</v>
      </c>
      <c r="Q400" s="847"/>
      <c r="R400" s="738">
        <f t="shared" si="58"/>
        <v>29407</v>
      </c>
      <c r="S400" s="737">
        <f t="shared" si="59"/>
        <v>3588916</v>
      </c>
      <c r="T400" s="739">
        <f t="shared" si="60"/>
        <v>4117243</v>
      </c>
      <c r="U400" s="846"/>
      <c r="V400" s="847"/>
      <c r="W400" s="846"/>
      <c r="X400" s="846"/>
      <c r="Y400" s="740">
        <f t="shared" si="56"/>
        <v>0</v>
      </c>
      <c r="Z400" s="847"/>
      <c r="AA400" s="847"/>
      <c r="AB400" s="741">
        <f t="shared" si="57"/>
        <v>0</v>
      </c>
      <c r="AC400" s="846"/>
      <c r="AD400" s="847"/>
      <c r="AE400" s="846"/>
      <c r="AF400" s="846"/>
      <c r="AG400" s="847"/>
      <c r="AH400" s="847"/>
      <c r="AI400" s="742">
        <f t="shared" si="61"/>
        <v>3588916</v>
      </c>
      <c r="AJ400" s="743">
        <f t="shared" si="62"/>
        <v>4117243</v>
      </c>
    </row>
    <row r="401" spans="1:36">
      <c r="A401" s="1203" t="s">
        <v>143</v>
      </c>
      <c r="B401" s="1198" t="s">
        <v>264</v>
      </c>
      <c r="C401" s="1199" t="s">
        <v>1249</v>
      </c>
      <c r="D401" s="1200"/>
      <c r="E401" s="1201">
        <v>106704</v>
      </c>
      <c r="F401" s="1202">
        <v>3</v>
      </c>
      <c r="G401" s="846">
        <v>57234273</v>
      </c>
      <c r="H401" s="847">
        <v>57811672</v>
      </c>
      <c r="I401" s="846"/>
      <c r="J401" s="847"/>
      <c r="K401" s="846"/>
      <c r="L401" s="847"/>
      <c r="M401" s="846">
        <v>74907396</v>
      </c>
      <c r="N401" s="846"/>
      <c r="O401" s="737">
        <f t="shared" si="55"/>
        <v>74907396</v>
      </c>
      <c r="P401" s="847">
        <v>75142275</v>
      </c>
      <c r="Q401" s="847"/>
      <c r="R401" s="738">
        <f t="shared" si="58"/>
        <v>75142275</v>
      </c>
      <c r="S401" s="737">
        <f t="shared" si="59"/>
        <v>132141669</v>
      </c>
      <c r="T401" s="739">
        <f t="shared" si="60"/>
        <v>132953947</v>
      </c>
      <c r="U401" s="846"/>
      <c r="V401" s="847"/>
      <c r="W401" s="846"/>
      <c r="X401" s="846"/>
      <c r="Y401" s="740">
        <f t="shared" si="56"/>
        <v>0</v>
      </c>
      <c r="Z401" s="847"/>
      <c r="AA401" s="847"/>
      <c r="AB401" s="741">
        <f t="shared" si="57"/>
        <v>0</v>
      </c>
      <c r="AC401" s="846"/>
      <c r="AD401" s="847"/>
      <c r="AE401" s="846"/>
      <c r="AF401" s="846"/>
      <c r="AG401" s="847"/>
      <c r="AH401" s="847"/>
      <c r="AI401" s="742">
        <f t="shared" si="61"/>
        <v>132141669</v>
      </c>
      <c r="AJ401" s="743">
        <f t="shared" si="62"/>
        <v>132953947</v>
      </c>
    </row>
    <row r="402" spans="1:36">
      <c r="A402" s="1203" t="s">
        <v>143</v>
      </c>
      <c r="B402" s="1198" t="s">
        <v>264</v>
      </c>
      <c r="C402" s="1199" t="s">
        <v>1250</v>
      </c>
      <c r="D402" s="1200"/>
      <c r="E402" s="1201">
        <v>107071</v>
      </c>
      <c r="F402" s="1202">
        <v>4</v>
      </c>
      <c r="G402" s="846">
        <v>20587528</v>
      </c>
      <c r="H402" s="847">
        <v>20799616</v>
      </c>
      <c r="I402" s="846"/>
      <c r="J402" s="847"/>
      <c r="K402" s="846"/>
      <c r="L402" s="847"/>
      <c r="M402" s="846">
        <v>25714854</v>
      </c>
      <c r="N402" s="846"/>
      <c r="O402" s="737">
        <f t="shared" si="55"/>
        <v>25714854</v>
      </c>
      <c r="P402" s="847">
        <v>24932698</v>
      </c>
      <c r="Q402" s="847"/>
      <c r="R402" s="738">
        <f t="shared" si="58"/>
        <v>24932698</v>
      </c>
      <c r="S402" s="737">
        <f t="shared" si="59"/>
        <v>46302382</v>
      </c>
      <c r="T402" s="739">
        <f t="shared" si="60"/>
        <v>45732314</v>
      </c>
      <c r="U402" s="846"/>
      <c r="V402" s="847"/>
      <c r="W402" s="846"/>
      <c r="X402" s="846"/>
      <c r="Y402" s="740">
        <f t="shared" si="56"/>
        <v>0</v>
      </c>
      <c r="Z402" s="847"/>
      <c r="AA402" s="847"/>
      <c r="AB402" s="741">
        <f t="shared" si="57"/>
        <v>0</v>
      </c>
      <c r="AC402" s="846"/>
      <c r="AD402" s="847"/>
      <c r="AE402" s="846"/>
      <c r="AF402" s="846"/>
      <c r="AG402" s="847"/>
      <c r="AH402" s="847"/>
      <c r="AI402" s="742">
        <f t="shared" si="61"/>
        <v>46302382</v>
      </c>
      <c r="AJ402" s="743">
        <f t="shared" si="62"/>
        <v>45732314</v>
      </c>
    </row>
    <row r="403" spans="1:36">
      <c r="A403" s="1203" t="s">
        <v>143</v>
      </c>
      <c r="B403" s="1198" t="s">
        <v>266</v>
      </c>
      <c r="C403" s="1204" t="s">
        <v>319</v>
      </c>
      <c r="D403" s="1205"/>
      <c r="E403" s="1201">
        <v>107071</v>
      </c>
      <c r="F403" s="1202">
        <v>4</v>
      </c>
      <c r="G403" s="846"/>
      <c r="H403" s="847"/>
      <c r="I403" s="846"/>
      <c r="J403" s="847"/>
      <c r="K403" s="846"/>
      <c r="L403" s="847"/>
      <c r="M403" s="846"/>
      <c r="N403" s="846"/>
      <c r="O403" s="737">
        <f t="shared" si="55"/>
        <v>0</v>
      </c>
      <c r="P403" s="847"/>
      <c r="Q403" s="847"/>
      <c r="R403" s="738">
        <f t="shared" si="58"/>
        <v>0</v>
      </c>
      <c r="S403" s="737">
        <f t="shared" si="59"/>
        <v>0</v>
      </c>
      <c r="T403" s="739">
        <f t="shared" si="60"/>
        <v>0</v>
      </c>
      <c r="U403" s="846"/>
      <c r="V403" s="847"/>
      <c r="W403" s="846"/>
      <c r="X403" s="846"/>
      <c r="Y403" s="740">
        <f t="shared" si="56"/>
        <v>0</v>
      </c>
      <c r="Z403" s="847"/>
      <c r="AA403" s="847"/>
      <c r="AB403" s="741">
        <f t="shared" si="57"/>
        <v>0</v>
      </c>
      <c r="AC403" s="846"/>
      <c r="AD403" s="847"/>
      <c r="AE403" s="846"/>
      <c r="AF403" s="846"/>
      <c r="AG403" s="847"/>
      <c r="AH403" s="847"/>
      <c r="AI403" s="742">
        <f t="shared" si="61"/>
        <v>0</v>
      </c>
      <c r="AJ403" s="743">
        <f t="shared" si="62"/>
        <v>0</v>
      </c>
    </row>
    <row r="404" spans="1:36">
      <c r="A404" s="1203" t="s">
        <v>143</v>
      </c>
      <c r="B404" s="1198" t="s">
        <v>266</v>
      </c>
      <c r="C404" s="1206" t="s">
        <v>1251</v>
      </c>
      <c r="D404" s="1210"/>
      <c r="E404" s="1201">
        <v>107071</v>
      </c>
      <c r="F404" s="1202">
        <v>4</v>
      </c>
      <c r="G404" s="846"/>
      <c r="H404" s="847"/>
      <c r="I404" s="846">
        <v>210585</v>
      </c>
      <c r="J404" s="847">
        <v>210585</v>
      </c>
      <c r="K404" s="846"/>
      <c r="L404" s="847"/>
      <c r="M404" s="846">
        <v>0</v>
      </c>
      <c r="N404" s="846"/>
      <c r="O404" s="737">
        <f t="shared" si="55"/>
        <v>0</v>
      </c>
      <c r="P404" s="847">
        <v>0</v>
      </c>
      <c r="Q404" s="847"/>
      <c r="R404" s="738">
        <f t="shared" si="58"/>
        <v>0</v>
      </c>
      <c r="S404" s="737">
        <f t="shared" si="59"/>
        <v>210585</v>
      </c>
      <c r="T404" s="739">
        <f t="shared" si="60"/>
        <v>210585</v>
      </c>
      <c r="U404" s="846"/>
      <c r="V404" s="847"/>
      <c r="W404" s="846"/>
      <c r="X404" s="846"/>
      <c r="Y404" s="740">
        <f t="shared" si="56"/>
        <v>0</v>
      </c>
      <c r="Z404" s="847"/>
      <c r="AA404" s="847"/>
      <c r="AB404" s="741">
        <f t="shared" si="57"/>
        <v>0</v>
      </c>
      <c r="AC404" s="846"/>
      <c r="AD404" s="847"/>
      <c r="AE404" s="846"/>
      <c r="AF404" s="846"/>
      <c r="AG404" s="847"/>
      <c r="AH404" s="847"/>
      <c r="AI404" s="742">
        <f t="shared" si="61"/>
        <v>210585</v>
      </c>
      <c r="AJ404" s="743">
        <f t="shared" si="62"/>
        <v>210585</v>
      </c>
    </row>
    <row r="405" spans="1:36">
      <c r="A405" s="1203" t="s">
        <v>143</v>
      </c>
      <c r="B405" s="1198" t="s">
        <v>264</v>
      </c>
      <c r="C405" s="1207" t="s">
        <v>1252</v>
      </c>
      <c r="D405" s="1208"/>
      <c r="E405" s="1201">
        <v>107983</v>
      </c>
      <c r="F405" s="1209">
        <v>4</v>
      </c>
      <c r="G405" s="846">
        <v>16681839</v>
      </c>
      <c r="H405" s="847">
        <v>16846756</v>
      </c>
      <c r="I405" s="846"/>
      <c r="J405" s="847"/>
      <c r="K405" s="846"/>
      <c r="L405" s="847"/>
      <c r="M405" s="846">
        <v>23393761</v>
      </c>
      <c r="N405" s="890">
        <v>2047987.23</v>
      </c>
      <c r="O405" s="737">
        <f t="shared" si="55"/>
        <v>25441748.23</v>
      </c>
      <c r="P405" s="847">
        <v>22884584</v>
      </c>
      <c r="Q405" s="847"/>
      <c r="R405" s="738">
        <f t="shared" si="58"/>
        <v>22884584</v>
      </c>
      <c r="S405" s="737">
        <f t="shared" si="59"/>
        <v>40075600</v>
      </c>
      <c r="T405" s="739">
        <f t="shared" si="60"/>
        <v>39731340</v>
      </c>
      <c r="U405" s="846"/>
      <c r="V405" s="847"/>
      <c r="W405" s="846"/>
      <c r="X405" s="846"/>
      <c r="Y405" s="740">
        <f t="shared" si="56"/>
        <v>0</v>
      </c>
      <c r="Z405" s="847"/>
      <c r="AA405" s="847"/>
      <c r="AB405" s="741">
        <f t="shared" si="57"/>
        <v>0</v>
      </c>
      <c r="AC405" s="846"/>
      <c r="AD405" s="847"/>
      <c r="AE405" s="846"/>
      <c r="AF405" s="846"/>
      <c r="AG405" s="847"/>
      <c r="AH405" s="847"/>
      <c r="AI405" s="742">
        <f t="shared" si="61"/>
        <v>40075600</v>
      </c>
      <c r="AJ405" s="743">
        <f t="shared" si="62"/>
        <v>39731340</v>
      </c>
    </row>
    <row r="406" spans="1:36">
      <c r="A406" s="1203" t="s">
        <v>143</v>
      </c>
      <c r="B406" s="1198" t="s">
        <v>264</v>
      </c>
      <c r="C406" s="1199" t="s">
        <v>1253</v>
      </c>
      <c r="D406" s="1200"/>
      <c r="E406" s="1201">
        <v>106485</v>
      </c>
      <c r="F406" s="1202">
        <v>5</v>
      </c>
      <c r="G406" s="846">
        <v>14017774</v>
      </c>
      <c r="H406" s="847">
        <v>14156779</v>
      </c>
      <c r="I406" s="846"/>
      <c r="J406" s="847"/>
      <c r="K406" s="846"/>
      <c r="L406" s="847"/>
      <c r="M406" s="846">
        <v>14461103</v>
      </c>
      <c r="N406" s="846"/>
      <c r="O406" s="737">
        <f t="shared" si="55"/>
        <v>14461103</v>
      </c>
      <c r="P406" s="847">
        <v>14729645</v>
      </c>
      <c r="Q406" s="847"/>
      <c r="R406" s="738">
        <f t="shared" si="58"/>
        <v>14729645</v>
      </c>
      <c r="S406" s="737">
        <f t="shared" si="59"/>
        <v>28478877</v>
      </c>
      <c r="T406" s="739">
        <f t="shared" si="60"/>
        <v>28886424</v>
      </c>
      <c r="U406" s="846"/>
      <c r="V406" s="847"/>
      <c r="W406" s="846"/>
      <c r="X406" s="846"/>
      <c r="Y406" s="740">
        <f t="shared" si="56"/>
        <v>0</v>
      </c>
      <c r="Z406" s="847"/>
      <c r="AA406" s="847"/>
      <c r="AB406" s="741">
        <f t="shared" si="57"/>
        <v>0</v>
      </c>
      <c r="AC406" s="846"/>
      <c r="AD406" s="847"/>
      <c r="AE406" s="846"/>
      <c r="AF406" s="846"/>
      <c r="AG406" s="847"/>
      <c r="AH406" s="847"/>
      <c r="AI406" s="742">
        <f t="shared" si="61"/>
        <v>28478877</v>
      </c>
      <c r="AJ406" s="743">
        <f t="shared" si="62"/>
        <v>28886424</v>
      </c>
    </row>
    <row r="407" spans="1:36">
      <c r="A407" s="1203" t="s">
        <v>143</v>
      </c>
      <c r="B407" s="1198" t="s">
        <v>266</v>
      </c>
      <c r="C407" s="1204" t="s">
        <v>319</v>
      </c>
      <c r="D407" s="1205"/>
      <c r="E407" s="1201">
        <v>106485</v>
      </c>
      <c r="F407" s="1202">
        <v>5</v>
      </c>
      <c r="G407" s="846"/>
      <c r="H407" s="847"/>
      <c r="I407" s="846"/>
      <c r="J407" s="847"/>
      <c r="K407" s="846"/>
      <c r="L407" s="847"/>
      <c r="M407" s="846"/>
      <c r="N407" s="846"/>
      <c r="O407" s="737">
        <f t="shared" si="55"/>
        <v>0</v>
      </c>
      <c r="P407" s="847"/>
      <c r="Q407" s="847"/>
      <c r="R407" s="738">
        <f t="shared" si="58"/>
        <v>0</v>
      </c>
      <c r="S407" s="737">
        <f t="shared" si="59"/>
        <v>0</v>
      </c>
      <c r="T407" s="739">
        <f t="shared" si="60"/>
        <v>0</v>
      </c>
      <c r="U407" s="846"/>
      <c r="V407" s="847"/>
      <c r="W407" s="846"/>
      <c r="X407" s="846"/>
      <c r="Y407" s="740">
        <f t="shared" si="56"/>
        <v>0</v>
      </c>
      <c r="Z407" s="847"/>
      <c r="AA407" s="847"/>
      <c r="AB407" s="741">
        <f t="shared" si="57"/>
        <v>0</v>
      </c>
      <c r="AC407" s="846"/>
      <c r="AD407" s="847"/>
      <c r="AE407" s="846"/>
      <c r="AF407" s="846"/>
      <c r="AG407" s="847"/>
      <c r="AH407" s="847"/>
      <c r="AI407" s="742">
        <f t="shared" si="61"/>
        <v>0</v>
      </c>
      <c r="AJ407" s="743">
        <f t="shared" si="62"/>
        <v>0</v>
      </c>
    </row>
    <row r="408" spans="1:36">
      <c r="A408" s="1203" t="s">
        <v>143</v>
      </c>
      <c r="B408" s="1198" t="s">
        <v>266</v>
      </c>
      <c r="C408" s="1206" t="s">
        <v>1254</v>
      </c>
      <c r="D408" s="1205"/>
      <c r="E408" s="1201">
        <v>106485</v>
      </c>
      <c r="F408" s="1202">
        <v>5</v>
      </c>
      <c r="G408" s="846"/>
      <c r="H408" s="847"/>
      <c r="I408" s="846">
        <v>2430016</v>
      </c>
      <c r="J408" s="847">
        <v>2423058</v>
      </c>
      <c r="K408" s="846"/>
      <c r="L408" s="847"/>
      <c r="M408" s="846">
        <v>936474</v>
      </c>
      <c r="N408" s="846"/>
      <c r="O408" s="737">
        <f t="shared" si="55"/>
        <v>936474</v>
      </c>
      <c r="P408" s="847">
        <v>1034556</v>
      </c>
      <c r="Q408" s="847"/>
      <c r="R408" s="738">
        <f t="shared" si="58"/>
        <v>1034556</v>
      </c>
      <c r="S408" s="737">
        <f t="shared" si="59"/>
        <v>3366490</v>
      </c>
      <c r="T408" s="739">
        <f t="shared" si="60"/>
        <v>3457614</v>
      </c>
      <c r="U408" s="846"/>
      <c r="V408" s="847"/>
      <c r="W408" s="846"/>
      <c r="X408" s="846"/>
      <c r="Y408" s="740">
        <f t="shared" si="56"/>
        <v>0</v>
      </c>
      <c r="Z408" s="847"/>
      <c r="AA408" s="847"/>
      <c r="AB408" s="741">
        <f t="shared" si="57"/>
        <v>0</v>
      </c>
      <c r="AC408" s="846"/>
      <c r="AD408" s="847"/>
      <c r="AE408" s="846"/>
      <c r="AF408" s="846"/>
      <c r="AG408" s="847"/>
      <c r="AH408" s="847"/>
      <c r="AI408" s="742">
        <f t="shared" si="61"/>
        <v>3366490</v>
      </c>
      <c r="AJ408" s="743">
        <f t="shared" si="62"/>
        <v>3457614</v>
      </c>
    </row>
    <row r="409" spans="1:36">
      <c r="A409" s="1203" t="s">
        <v>143</v>
      </c>
      <c r="B409" s="1198" t="s">
        <v>266</v>
      </c>
      <c r="C409" s="1206" t="s">
        <v>1255</v>
      </c>
      <c r="D409" s="1205"/>
      <c r="E409" s="1201">
        <v>106485</v>
      </c>
      <c r="F409" s="1202">
        <v>5</v>
      </c>
      <c r="G409" s="846"/>
      <c r="H409" s="847"/>
      <c r="I409" s="846">
        <v>1811324</v>
      </c>
      <c r="J409" s="847">
        <v>1804851</v>
      </c>
      <c r="K409" s="846"/>
      <c r="L409" s="847"/>
      <c r="M409" s="846">
        <v>982244</v>
      </c>
      <c r="N409" s="846"/>
      <c r="O409" s="737">
        <f t="shared" si="55"/>
        <v>982244</v>
      </c>
      <c r="P409" s="847">
        <v>991051</v>
      </c>
      <c r="Q409" s="847"/>
      <c r="R409" s="738">
        <f t="shared" si="58"/>
        <v>991051</v>
      </c>
      <c r="S409" s="737">
        <f t="shared" si="59"/>
        <v>2793568</v>
      </c>
      <c r="T409" s="739">
        <f t="shared" si="60"/>
        <v>2795902</v>
      </c>
      <c r="U409" s="846"/>
      <c r="V409" s="847"/>
      <c r="W409" s="846"/>
      <c r="X409" s="846"/>
      <c r="Y409" s="740">
        <f t="shared" si="56"/>
        <v>0</v>
      </c>
      <c r="Z409" s="847"/>
      <c r="AA409" s="847"/>
      <c r="AB409" s="741">
        <f t="shared" si="57"/>
        <v>0</v>
      </c>
      <c r="AC409" s="846"/>
      <c r="AD409" s="847"/>
      <c r="AE409" s="846"/>
      <c r="AF409" s="846"/>
      <c r="AG409" s="847"/>
      <c r="AH409" s="847"/>
      <c r="AI409" s="742">
        <f t="shared" si="61"/>
        <v>2793568</v>
      </c>
      <c r="AJ409" s="743">
        <f t="shared" si="62"/>
        <v>2795902</v>
      </c>
    </row>
    <row r="410" spans="1:36">
      <c r="A410" s="1203" t="s">
        <v>143</v>
      </c>
      <c r="B410" s="1198" t="s">
        <v>264</v>
      </c>
      <c r="C410" s="1207" t="s">
        <v>1256</v>
      </c>
      <c r="D410" s="1210"/>
      <c r="E410" s="1201">
        <v>108092</v>
      </c>
      <c r="F410" s="1202">
        <v>6</v>
      </c>
      <c r="G410" s="846">
        <v>23469127</v>
      </c>
      <c r="H410" s="847">
        <v>23721803</v>
      </c>
      <c r="I410" s="846" t="s">
        <v>1257</v>
      </c>
      <c r="J410" s="847"/>
      <c r="K410" s="846">
        <v>5654987</v>
      </c>
      <c r="L410" s="847">
        <v>5600000</v>
      </c>
      <c r="M410" s="846">
        <v>30637282</v>
      </c>
      <c r="N410" s="846"/>
      <c r="O410" s="737">
        <f t="shared" si="55"/>
        <v>30637282</v>
      </c>
      <c r="P410" s="847">
        <v>32334331</v>
      </c>
      <c r="Q410" s="847"/>
      <c r="R410" s="738">
        <f t="shared" si="58"/>
        <v>32334331</v>
      </c>
      <c r="S410" s="737">
        <f t="shared" si="59"/>
        <v>59761396</v>
      </c>
      <c r="T410" s="739">
        <f t="shared" si="60"/>
        <v>61656134</v>
      </c>
      <c r="U410" s="846"/>
      <c r="V410" s="847"/>
      <c r="W410" s="846"/>
      <c r="X410" s="846"/>
      <c r="Y410" s="740">
        <f t="shared" si="56"/>
        <v>0</v>
      </c>
      <c r="Z410" s="847"/>
      <c r="AA410" s="847"/>
      <c r="AB410" s="741">
        <f t="shared" si="57"/>
        <v>0</v>
      </c>
      <c r="AC410" s="846"/>
      <c r="AD410" s="847"/>
      <c r="AE410" s="846"/>
      <c r="AF410" s="846"/>
      <c r="AG410" s="847"/>
      <c r="AH410" s="847"/>
      <c r="AI410" s="742">
        <f t="shared" si="61"/>
        <v>59761396</v>
      </c>
      <c r="AJ410" s="743">
        <f t="shared" si="62"/>
        <v>61656134</v>
      </c>
    </row>
    <row r="411" spans="1:36">
      <c r="A411" s="1203" t="s">
        <v>143</v>
      </c>
      <c r="B411" s="1198" t="s">
        <v>264</v>
      </c>
      <c r="C411" s="1207" t="s">
        <v>1258</v>
      </c>
      <c r="D411" s="1210"/>
      <c r="E411" s="1201">
        <v>106412</v>
      </c>
      <c r="F411" s="1202">
        <v>6</v>
      </c>
      <c r="G411" s="846">
        <v>27075920</v>
      </c>
      <c r="H411" s="847">
        <v>27309288</v>
      </c>
      <c r="I411" s="846"/>
      <c r="J411" s="847"/>
      <c r="K411" s="846"/>
      <c r="L411" s="847"/>
      <c r="M411" s="846">
        <v>16299059</v>
      </c>
      <c r="N411" s="846"/>
      <c r="O411" s="737">
        <f t="shared" si="55"/>
        <v>16299059</v>
      </c>
      <c r="P411" s="847">
        <v>18449742</v>
      </c>
      <c r="Q411" s="847"/>
      <c r="R411" s="738">
        <f t="shared" si="58"/>
        <v>18449742</v>
      </c>
      <c r="S411" s="737">
        <f t="shared" si="59"/>
        <v>43374979</v>
      </c>
      <c r="T411" s="739">
        <f t="shared" si="60"/>
        <v>45759030</v>
      </c>
      <c r="U411" s="846"/>
      <c r="V411" s="847"/>
      <c r="W411" s="846"/>
      <c r="X411" s="846"/>
      <c r="Y411" s="740">
        <f t="shared" si="56"/>
        <v>0</v>
      </c>
      <c r="Z411" s="847"/>
      <c r="AA411" s="847"/>
      <c r="AB411" s="741">
        <f t="shared" si="57"/>
        <v>0</v>
      </c>
      <c r="AC411" s="846"/>
      <c r="AD411" s="847"/>
      <c r="AE411" s="846"/>
      <c r="AF411" s="846"/>
      <c r="AG411" s="847"/>
      <c r="AH411" s="847"/>
      <c r="AI411" s="742">
        <f t="shared" si="61"/>
        <v>43374979</v>
      </c>
      <c r="AJ411" s="743">
        <f t="shared" si="62"/>
        <v>45759030</v>
      </c>
    </row>
    <row r="412" spans="1:36">
      <c r="A412" s="1203" t="s">
        <v>143</v>
      </c>
      <c r="B412" s="1198" t="s">
        <v>264</v>
      </c>
      <c r="C412" s="1207" t="s">
        <v>1259</v>
      </c>
      <c r="D412" s="1208"/>
      <c r="E412" s="1201">
        <v>367459</v>
      </c>
      <c r="F412" s="1209">
        <v>8</v>
      </c>
      <c r="G412" s="846">
        <v>11611154</v>
      </c>
      <c r="H412" s="847">
        <v>11634914</v>
      </c>
      <c r="I412" s="846"/>
      <c r="J412" s="847"/>
      <c r="K412" s="846">
        <v>5952227</v>
      </c>
      <c r="L412" s="847">
        <v>5900000</v>
      </c>
      <c r="M412" s="846">
        <v>24017813</v>
      </c>
      <c r="N412" s="846"/>
      <c r="O412" s="737">
        <f t="shared" si="55"/>
        <v>24017813</v>
      </c>
      <c r="P412" s="847">
        <v>22735825</v>
      </c>
      <c r="Q412" s="847"/>
      <c r="R412" s="738">
        <f t="shared" si="58"/>
        <v>22735825</v>
      </c>
      <c r="S412" s="737">
        <f t="shared" si="59"/>
        <v>41581194</v>
      </c>
      <c r="T412" s="739">
        <f t="shared" si="60"/>
        <v>40270739</v>
      </c>
      <c r="U412" s="846"/>
      <c r="V412" s="847"/>
      <c r="W412" s="846"/>
      <c r="X412" s="846"/>
      <c r="Y412" s="740">
        <f t="shared" si="56"/>
        <v>0</v>
      </c>
      <c r="Z412" s="847"/>
      <c r="AA412" s="847"/>
      <c r="AB412" s="741">
        <f t="shared" si="57"/>
        <v>0</v>
      </c>
      <c r="AC412" s="846"/>
      <c r="AD412" s="847"/>
      <c r="AE412" s="846"/>
      <c r="AF412" s="846"/>
      <c r="AG412" s="847"/>
      <c r="AH412" s="847"/>
      <c r="AI412" s="742">
        <f t="shared" si="61"/>
        <v>41581194</v>
      </c>
      <c r="AJ412" s="743">
        <f t="shared" si="62"/>
        <v>40270739</v>
      </c>
    </row>
    <row r="413" spans="1:36">
      <c r="A413" s="1203" t="s">
        <v>143</v>
      </c>
      <c r="B413" s="1198" t="s">
        <v>264</v>
      </c>
      <c r="C413" s="1199" t="s">
        <v>1260</v>
      </c>
      <c r="D413" s="1200"/>
      <c r="E413" s="1201">
        <v>107664</v>
      </c>
      <c r="F413" s="1202">
        <v>8</v>
      </c>
      <c r="G413" s="846">
        <v>17411209</v>
      </c>
      <c r="H413" s="847">
        <v>17388807</v>
      </c>
      <c r="I413" s="846"/>
      <c r="J413" s="847"/>
      <c r="K413" s="846"/>
      <c r="L413" s="847"/>
      <c r="M413" s="846">
        <v>28982515</v>
      </c>
      <c r="N413" s="846"/>
      <c r="O413" s="737">
        <f t="shared" si="55"/>
        <v>28982515</v>
      </c>
      <c r="P413" s="847">
        <v>31073212</v>
      </c>
      <c r="Q413" s="847"/>
      <c r="R413" s="738">
        <f t="shared" si="58"/>
        <v>31073212</v>
      </c>
      <c r="S413" s="737">
        <f t="shared" si="59"/>
        <v>46393724</v>
      </c>
      <c r="T413" s="739">
        <f t="shared" si="60"/>
        <v>48462019</v>
      </c>
      <c r="U413" s="846"/>
      <c r="V413" s="847"/>
      <c r="W413" s="846"/>
      <c r="X413" s="846"/>
      <c r="Y413" s="740">
        <f t="shared" si="56"/>
        <v>0</v>
      </c>
      <c r="Z413" s="847"/>
      <c r="AA413" s="847"/>
      <c r="AB413" s="741">
        <f t="shared" si="57"/>
        <v>0</v>
      </c>
      <c r="AC413" s="846"/>
      <c r="AD413" s="847"/>
      <c r="AE413" s="846"/>
      <c r="AF413" s="846"/>
      <c r="AG413" s="847"/>
      <c r="AH413" s="847"/>
      <c r="AI413" s="742">
        <f t="shared" si="61"/>
        <v>46393724</v>
      </c>
      <c r="AJ413" s="743">
        <f t="shared" si="62"/>
        <v>48462019</v>
      </c>
    </row>
    <row r="414" spans="1:36">
      <c r="A414" s="1203" t="s">
        <v>143</v>
      </c>
      <c r="B414" s="1198" t="s">
        <v>264</v>
      </c>
      <c r="C414" s="1199" t="s">
        <v>1261</v>
      </c>
      <c r="D414" s="1200"/>
      <c r="E414" s="1201">
        <v>106449</v>
      </c>
      <c r="F414" s="1202">
        <v>9</v>
      </c>
      <c r="G414" s="846">
        <v>14071729</v>
      </c>
      <c r="H414" s="847">
        <v>14098177</v>
      </c>
      <c r="I414" s="846"/>
      <c r="J414" s="847"/>
      <c r="K414" s="846">
        <v>1779744</v>
      </c>
      <c r="L414" s="847">
        <v>1700000</v>
      </c>
      <c r="M414" s="846">
        <v>10223764</v>
      </c>
      <c r="N414" s="846"/>
      <c r="O414" s="737">
        <f t="shared" si="55"/>
        <v>10223764</v>
      </c>
      <c r="P414" s="847">
        <v>10618500</v>
      </c>
      <c r="Q414" s="847"/>
      <c r="R414" s="738">
        <f t="shared" si="58"/>
        <v>10618500</v>
      </c>
      <c r="S414" s="737">
        <f t="shared" si="59"/>
        <v>26075237</v>
      </c>
      <c r="T414" s="739">
        <f t="shared" si="60"/>
        <v>26416677</v>
      </c>
      <c r="U414" s="846"/>
      <c r="V414" s="847"/>
      <c r="W414" s="846"/>
      <c r="X414" s="846"/>
      <c r="Y414" s="740">
        <f t="shared" si="56"/>
        <v>0</v>
      </c>
      <c r="Z414" s="847"/>
      <c r="AA414" s="847"/>
      <c r="AB414" s="741">
        <f t="shared" si="57"/>
        <v>0</v>
      </c>
      <c r="AC414" s="846"/>
      <c r="AD414" s="847"/>
      <c r="AE414" s="846"/>
      <c r="AF414" s="846"/>
      <c r="AG414" s="847"/>
      <c r="AH414" s="847"/>
      <c r="AI414" s="742">
        <f t="shared" si="61"/>
        <v>26075237</v>
      </c>
      <c r="AJ414" s="743">
        <f t="shared" si="62"/>
        <v>26416677</v>
      </c>
    </row>
    <row r="415" spans="1:36">
      <c r="A415" s="1203" t="s">
        <v>143</v>
      </c>
      <c r="B415" s="1198" t="s">
        <v>264</v>
      </c>
      <c r="C415" s="1211" t="s">
        <v>1262</v>
      </c>
      <c r="D415" s="1212"/>
      <c r="E415" s="1201">
        <v>106980</v>
      </c>
      <c r="F415" s="1209">
        <v>9</v>
      </c>
      <c r="G415" s="846">
        <v>10836955</v>
      </c>
      <c r="H415" s="847">
        <v>10857258</v>
      </c>
      <c r="I415" s="846"/>
      <c r="J415" s="847"/>
      <c r="K415" s="846"/>
      <c r="L415" s="847"/>
      <c r="M415" s="846">
        <v>7311154</v>
      </c>
      <c r="N415" s="846"/>
      <c r="O415" s="737">
        <f t="shared" si="55"/>
        <v>7311154</v>
      </c>
      <c r="P415" s="847">
        <v>7832812</v>
      </c>
      <c r="Q415" s="847"/>
      <c r="R415" s="738">
        <f t="shared" si="58"/>
        <v>7832812</v>
      </c>
      <c r="S415" s="737">
        <f t="shared" si="59"/>
        <v>18148109</v>
      </c>
      <c r="T415" s="739">
        <f t="shared" si="60"/>
        <v>18690070</v>
      </c>
      <c r="U415" s="846"/>
      <c r="V415" s="847"/>
      <c r="W415" s="846"/>
      <c r="X415" s="846"/>
      <c r="Y415" s="740">
        <f t="shared" si="56"/>
        <v>0</v>
      </c>
      <c r="Z415" s="847"/>
      <c r="AA415" s="847"/>
      <c r="AB415" s="741">
        <f t="shared" si="57"/>
        <v>0</v>
      </c>
      <c r="AC415" s="846"/>
      <c r="AD415" s="847"/>
      <c r="AE415" s="846"/>
      <c r="AF415" s="846"/>
      <c r="AG415" s="847"/>
      <c r="AH415" s="847"/>
      <c r="AI415" s="742">
        <f t="shared" si="61"/>
        <v>18148109</v>
      </c>
      <c r="AJ415" s="743">
        <f t="shared" si="62"/>
        <v>18690070</v>
      </c>
    </row>
    <row r="416" spans="1:36">
      <c r="A416" s="1203" t="s">
        <v>143</v>
      </c>
      <c r="B416" s="1198" t="s">
        <v>264</v>
      </c>
      <c r="C416" s="1199" t="s">
        <v>1263</v>
      </c>
      <c r="D416" s="1200"/>
      <c r="E416" s="1201">
        <v>107327</v>
      </c>
      <c r="F416" s="1202">
        <v>10</v>
      </c>
      <c r="G416" s="846">
        <v>10026898</v>
      </c>
      <c r="H416" s="847">
        <v>10036916</v>
      </c>
      <c r="I416" s="846"/>
      <c r="J416" s="847"/>
      <c r="K416" s="846"/>
      <c r="L416" s="847"/>
      <c r="M416" s="846">
        <v>2320751</v>
      </c>
      <c r="N416" s="846"/>
      <c r="O416" s="737">
        <f t="shared" si="55"/>
        <v>2320751</v>
      </c>
      <c r="P416" s="847">
        <v>2828449</v>
      </c>
      <c r="Q416" s="847"/>
      <c r="R416" s="738">
        <f t="shared" si="58"/>
        <v>2828449</v>
      </c>
      <c r="S416" s="737">
        <f t="shared" si="59"/>
        <v>12347649</v>
      </c>
      <c r="T416" s="739">
        <f t="shared" si="60"/>
        <v>12865365</v>
      </c>
      <c r="U416" s="846"/>
      <c r="V416" s="847"/>
      <c r="W416" s="846"/>
      <c r="X416" s="846"/>
      <c r="Y416" s="740">
        <f t="shared" si="56"/>
        <v>0</v>
      </c>
      <c r="Z416" s="847"/>
      <c r="AA416" s="847"/>
      <c r="AB416" s="741">
        <f t="shared" si="57"/>
        <v>0</v>
      </c>
      <c r="AC416" s="846"/>
      <c r="AD416" s="847"/>
      <c r="AE416" s="846"/>
      <c r="AF416" s="846"/>
      <c r="AG416" s="847"/>
      <c r="AH416" s="847"/>
      <c r="AI416" s="742">
        <f t="shared" si="61"/>
        <v>12347649</v>
      </c>
      <c r="AJ416" s="743">
        <f t="shared" si="62"/>
        <v>12865365</v>
      </c>
    </row>
    <row r="417" spans="1:36">
      <c r="A417" s="1203" t="s">
        <v>143</v>
      </c>
      <c r="B417" s="1198" t="s">
        <v>264</v>
      </c>
      <c r="C417" s="1199" t="s">
        <v>1264</v>
      </c>
      <c r="D417" s="1200"/>
      <c r="E417" s="1201">
        <v>420538</v>
      </c>
      <c r="F417" s="1202">
        <v>10</v>
      </c>
      <c r="G417" s="846">
        <v>4472039</v>
      </c>
      <c r="H417" s="847">
        <v>4463921</v>
      </c>
      <c r="I417" s="846"/>
      <c r="J417" s="847"/>
      <c r="K417" s="846">
        <v>1333345</v>
      </c>
      <c r="L417" s="847">
        <v>1300000</v>
      </c>
      <c r="M417" s="846">
        <v>4372239</v>
      </c>
      <c r="N417" s="846"/>
      <c r="O417" s="737">
        <f t="shared" si="55"/>
        <v>4372239</v>
      </c>
      <c r="P417" s="847">
        <v>4594368</v>
      </c>
      <c r="Q417" s="847"/>
      <c r="R417" s="738">
        <f t="shared" si="58"/>
        <v>4594368</v>
      </c>
      <c r="S417" s="737">
        <f t="shared" si="59"/>
        <v>10177623</v>
      </c>
      <c r="T417" s="739">
        <f t="shared" si="60"/>
        <v>10358289</v>
      </c>
      <c r="U417" s="846"/>
      <c r="V417" s="847"/>
      <c r="W417" s="846"/>
      <c r="X417" s="846"/>
      <c r="Y417" s="740">
        <f t="shared" si="56"/>
        <v>0</v>
      </c>
      <c r="Z417" s="847"/>
      <c r="AA417" s="847"/>
      <c r="AB417" s="741">
        <f t="shared" si="57"/>
        <v>0</v>
      </c>
      <c r="AC417" s="846"/>
      <c r="AD417" s="847"/>
      <c r="AE417" s="846"/>
      <c r="AF417" s="846"/>
      <c r="AG417" s="847"/>
      <c r="AH417" s="847"/>
      <c r="AI417" s="742">
        <f t="shared" si="61"/>
        <v>10177623</v>
      </c>
      <c r="AJ417" s="743">
        <f t="shared" si="62"/>
        <v>10358289</v>
      </c>
    </row>
    <row r="418" spans="1:36">
      <c r="A418" s="1203" t="s">
        <v>143</v>
      </c>
      <c r="B418" s="1198" t="s">
        <v>264</v>
      </c>
      <c r="C418" s="1199" t="s">
        <v>1265</v>
      </c>
      <c r="D418" s="1200"/>
      <c r="E418" s="1201">
        <v>440402</v>
      </c>
      <c r="F418" s="1202">
        <v>10</v>
      </c>
      <c r="G418" s="846">
        <v>7409921</v>
      </c>
      <c r="H418" s="847">
        <v>7395954</v>
      </c>
      <c r="I418" s="846"/>
      <c r="J418" s="847"/>
      <c r="K418" s="846">
        <v>975001</v>
      </c>
      <c r="L418" s="847">
        <v>970000</v>
      </c>
      <c r="M418" s="846">
        <v>5146875</v>
      </c>
      <c r="N418" s="846"/>
      <c r="O418" s="737">
        <f t="shared" si="55"/>
        <v>5146875</v>
      </c>
      <c r="P418" s="847">
        <v>4702945</v>
      </c>
      <c r="Q418" s="847"/>
      <c r="R418" s="738">
        <f t="shared" si="58"/>
        <v>4702945</v>
      </c>
      <c r="S418" s="737">
        <f t="shared" si="59"/>
        <v>13531797</v>
      </c>
      <c r="T418" s="739">
        <f t="shared" si="60"/>
        <v>13068899</v>
      </c>
      <c r="U418" s="846"/>
      <c r="V418" s="847"/>
      <c r="W418" s="846"/>
      <c r="X418" s="846"/>
      <c r="Y418" s="740">
        <f t="shared" si="56"/>
        <v>0</v>
      </c>
      <c r="Z418" s="847"/>
      <c r="AA418" s="847"/>
      <c r="AB418" s="741">
        <f t="shared" si="57"/>
        <v>0</v>
      </c>
      <c r="AC418" s="846"/>
      <c r="AD418" s="847"/>
      <c r="AE418" s="846"/>
      <c r="AF418" s="846"/>
      <c r="AG418" s="847"/>
      <c r="AH418" s="847"/>
      <c r="AI418" s="742">
        <f t="shared" si="61"/>
        <v>13531797</v>
      </c>
      <c r="AJ418" s="743">
        <f t="shared" si="62"/>
        <v>13068899</v>
      </c>
    </row>
    <row r="419" spans="1:36">
      <c r="A419" s="1203" t="s">
        <v>143</v>
      </c>
      <c r="B419" s="1198" t="s">
        <v>264</v>
      </c>
      <c r="C419" s="1207" t="s">
        <v>1266</v>
      </c>
      <c r="D419" s="1210"/>
      <c r="E419" s="1201">
        <v>106625</v>
      </c>
      <c r="F419" s="1202">
        <v>10</v>
      </c>
      <c r="G419" s="846">
        <v>8358725</v>
      </c>
      <c r="H419" s="847">
        <v>8336604</v>
      </c>
      <c r="I419" s="846"/>
      <c r="J419" s="847"/>
      <c r="K419" s="846"/>
      <c r="L419" s="847"/>
      <c r="M419" s="846">
        <v>6076546</v>
      </c>
      <c r="N419" s="846"/>
      <c r="O419" s="737">
        <f t="shared" si="55"/>
        <v>6076546</v>
      </c>
      <c r="P419" s="847">
        <v>6846435</v>
      </c>
      <c r="Q419" s="847"/>
      <c r="R419" s="738">
        <f t="shared" si="58"/>
        <v>6846435</v>
      </c>
      <c r="S419" s="737">
        <f t="shared" si="59"/>
        <v>14435271</v>
      </c>
      <c r="T419" s="739">
        <f t="shared" si="60"/>
        <v>15183039</v>
      </c>
      <c r="U419" s="846"/>
      <c r="V419" s="847"/>
      <c r="W419" s="846"/>
      <c r="X419" s="846"/>
      <c r="Y419" s="740">
        <f t="shared" si="56"/>
        <v>0</v>
      </c>
      <c r="Z419" s="847"/>
      <c r="AA419" s="847"/>
      <c r="AB419" s="741">
        <f t="shared" si="57"/>
        <v>0</v>
      </c>
      <c r="AC419" s="846"/>
      <c r="AD419" s="847"/>
      <c r="AE419" s="846"/>
      <c r="AF419" s="846"/>
      <c r="AG419" s="847"/>
      <c r="AH419" s="847"/>
      <c r="AI419" s="742">
        <f t="shared" si="61"/>
        <v>14435271</v>
      </c>
      <c r="AJ419" s="743">
        <f t="shared" si="62"/>
        <v>15183039</v>
      </c>
    </row>
    <row r="420" spans="1:36">
      <c r="A420" s="1203" t="s">
        <v>143</v>
      </c>
      <c r="B420" s="1198" t="s">
        <v>264</v>
      </c>
      <c r="C420" s="1207" t="s">
        <v>1267</v>
      </c>
      <c r="D420" s="1208"/>
      <c r="E420" s="1201">
        <v>107521</v>
      </c>
      <c r="F420" s="1202">
        <v>10</v>
      </c>
      <c r="G420" s="846">
        <v>4683647</v>
      </c>
      <c r="H420" s="847">
        <v>4672254</v>
      </c>
      <c r="I420" s="846"/>
      <c r="J420" s="847"/>
      <c r="K420" s="846"/>
      <c r="L420" s="847"/>
      <c r="M420" s="846">
        <v>2883039</v>
      </c>
      <c r="N420" s="846"/>
      <c r="O420" s="737">
        <f t="shared" si="55"/>
        <v>2883039</v>
      </c>
      <c r="P420" s="847">
        <v>2808867</v>
      </c>
      <c r="Q420" s="847"/>
      <c r="R420" s="738">
        <f t="shared" si="58"/>
        <v>2808867</v>
      </c>
      <c r="S420" s="737">
        <f t="shared" si="59"/>
        <v>7566686</v>
      </c>
      <c r="T420" s="739">
        <f t="shared" si="60"/>
        <v>7481121</v>
      </c>
      <c r="U420" s="846"/>
      <c r="V420" s="847"/>
      <c r="W420" s="846"/>
      <c r="X420" s="846"/>
      <c r="Y420" s="740">
        <f t="shared" si="56"/>
        <v>0</v>
      </c>
      <c r="Z420" s="847"/>
      <c r="AA420" s="847"/>
      <c r="AB420" s="741">
        <f t="shared" si="57"/>
        <v>0</v>
      </c>
      <c r="AC420" s="846"/>
      <c r="AD420" s="847"/>
      <c r="AE420" s="846"/>
      <c r="AF420" s="846"/>
      <c r="AG420" s="847"/>
      <c r="AH420" s="847"/>
      <c r="AI420" s="742">
        <f t="shared" si="61"/>
        <v>7566686</v>
      </c>
      <c r="AJ420" s="743">
        <f t="shared" si="62"/>
        <v>7481121</v>
      </c>
    </row>
    <row r="421" spans="1:36">
      <c r="A421" s="1203" t="s">
        <v>143</v>
      </c>
      <c r="B421" s="1198" t="s">
        <v>264</v>
      </c>
      <c r="C421" s="1199" t="s">
        <v>1268</v>
      </c>
      <c r="D421" s="1200"/>
      <c r="E421" s="1201">
        <v>106795</v>
      </c>
      <c r="F421" s="1202">
        <v>10</v>
      </c>
      <c r="G421" s="846">
        <v>4746139</v>
      </c>
      <c r="H421" s="847">
        <v>4732835</v>
      </c>
      <c r="I421" s="846"/>
      <c r="J421" s="847"/>
      <c r="K421" s="846">
        <v>1153584</v>
      </c>
      <c r="L421" s="847">
        <v>1100000</v>
      </c>
      <c r="M421" s="846">
        <v>3265170</v>
      </c>
      <c r="N421" s="846">
        <v>193008</v>
      </c>
      <c r="O421" s="737">
        <f t="shared" si="55"/>
        <v>3458178</v>
      </c>
      <c r="P421" s="847">
        <v>3482415</v>
      </c>
      <c r="Q421" s="847"/>
      <c r="R421" s="738">
        <f t="shared" si="58"/>
        <v>3482415</v>
      </c>
      <c r="S421" s="737">
        <f t="shared" si="59"/>
        <v>9164893</v>
      </c>
      <c r="T421" s="739">
        <f t="shared" si="60"/>
        <v>9315250</v>
      </c>
      <c r="U421" s="846"/>
      <c r="V421" s="847"/>
      <c r="W421" s="846"/>
      <c r="X421" s="846"/>
      <c r="Y421" s="740">
        <f t="shared" si="56"/>
        <v>0</v>
      </c>
      <c r="Z421" s="847"/>
      <c r="AA421" s="847"/>
      <c r="AB421" s="741">
        <f t="shared" si="57"/>
        <v>0</v>
      </c>
      <c r="AC421" s="846"/>
      <c r="AD421" s="847"/>
      <c r="AE421" s="846"/>
      <c r="AF421" s="846"/>
      <c r="AG421" s="847"/>
      <c r="AH421" s="847"/>
      <c r="AI421" s="742">
        <f t="shared" si="61"/>
        <v>9164893</v>
      </c>
      <c r="AJ421" s="743">
        <f t="shared" si="62"/>
        <v>9315250</v>
      </c>
    </row>
    <row r="422" spans="1:36">
      <c r="A422" s="1203" t="s">
        <v>143</v>
      </c>
      <c r="B422" s="1198" t="s">
        <v>264</v>
      </c>
      <c r="C422" s="1199" t="s">
        <v>1269</v>
      </c>
      <c r="D422" s="1200"/>
      <c r="E422" s="1201">
        <v>106883</v>
      </c>
      <c r="F422" s="1202">
        <v>10</v>
      </c>
      <c r="G422" s="846">
        <v>6538536</v>
      </c>
      <c r="H422" s="847">
        <v>6556512</v>
      </c>
      <c r="I422" s="846"/>
      <c r="J422" s="847"/>
      <c r="K422" s="846"/>
      <c r="L422" s="847"/>
      <c r="M422" s="846">
        <v>2760293</v>
      </c>
      <c r="N422" s="846"/>
      <c r="O422" s="737">
        <f t="shared" si="55"/>
        <v>2760293</v>
      </c>
      <c r="P422" s="847">
        <v>3052457</v>
      </c>
      <c r="Q422" s="847"/>
      <c r="R422" s="738">
        <f t="shared" si="58"/>
        <v>3052457</v>
      </c>
      <c r="S422" s="737">
        <f t="shared" si="59"/>
        <v>9298829</v>
      </c>
      <c r="T422" s="739">
        <f t="shared" si="60"/>
        <v>9608969</v>
      </c>
      <c r="U422" s="846"/>
      <c r="V422" s="847"/>
      <c r="W422" s="846"/>
      <c r="X422" s="846"/>
      <c r="Y422" s="740">
        <f t="shared" si="56"/>
        <v>0</v>
      </c>
      <c r="Z422" s="847"/>
      <c r="AA422" s="847"/>
      <c r="AB422" s="741">
        <f t="shared" si="57"/>
        <v>0</v>
      </c>
      <c r="AC422" s="846"/>
      <c r="AD422" s="847"/>
      <c r="AE422" s="846"/>
      <c r="AF422" s="846"/>
      <c r="AG422" s="847"/>
      <c r="AH422" s="847"/>
      <c r="AI422" s="742">
        <f t="shared" si="61"/>
        <v>9298829</v>
      </c>
      <c r="AJ422" s="743">
        <f t="shared" si="62"/>
        <v>9608969</v>
      </c>
    </row>
    <row r="423" spans="1:36">
      <c r="A423" s="1203" t="s">
        <v>143</v>
      </c>
      <c r="B423" s="1198" t="s">
        <v>264</v>
      </c>
      <c r="C423" s="1199" t="s">
        <v>1270</v>
      </c>
      <c r="D423" s="1200"/>
      <c r="E423" s="1201">
        <v>107318</v>
      </c>
      <c r="F423" s="1202">
        <v>10</v>
      </c>
      <c r="G423" s="846">
        <v>6048921</v>
      </c>
      <c r="H423" s="847">
        <v>6027335</v>
      </c>
      <c r="I423" s="846"/>
      <c r="J423" s="847"/>
      <c r="K423" s="846">
        <v>87461</v>
      </c>
      <c r="L423" s="847">
        <v>80000</v>
      </c>
      <c r="M423" s="846">
        <v>13755765</v>
      </c>
      <c r="N423" s="846"/>
      <c r="O423" s="737">
        <f t="shared" si="55"/>
        <v>13755765</v>
      </c>
      <c r="P423" s="847">
        <v>5035722</v>
      </c>
      <c r="Q423" s="847"/>
      <c r="R423" s="738">
        <f t="shared" si="58"/>
        <v>5035722</v>
      </c>
      <c r="S423" s="737">
        <f t="shared" si="59"/>
        <v>19892147</v>
      </c>
      <c r="T423" s="739">
        <f t="shared" si="60"/>
        <v>11143057</v>
      </c>
      <c r="U423" s="846"/>
      <c r="V423" s="847"/>
      <c r="W423" s="846"/>
      <c r="X423" s="846"/>
      <c r="Y423" s="740">
        <f t="shared" si="56"/>
        <v>0</v>
      </c>
      <c r="Z423" s="847"/>
      <c r="AA423" s="847"/>
      <c r="AB423" s="741">
        <f t="shared" si="57"/>
        <v>0</v>
      </c>
      <c r="AC423" s="846"/>
      <c r="AD423" s="847"/>
      <c r="AE423" s="846"/>
      <c r="AF423" s="846"/>
      <c r="AG423" s="847"/>
      <c r="AH423" s="847"/>
      <c r="AI423" s="742">
        <f t="shared" si="61"/>
        <v>19892147</v>
      </c>
      <c r="AJ423" s="743">
        <f t="shared" si="62"/>
        <v>11143057</v>
      </c>
    </row>
    <row r="424" spans="1:36">
      <c r="A424" s="1203" t="s">
        <v>143</v>
      </c>
      <c r="B424" s="1198" t="s">
        <v>264</v>
      </c>
      <c r="C424" s="1199" t="s">
        <v>1271</v>
      </c>
      <c r="D424" s="1200"/>
      <c r="E424" s="1201">
        <v>107460</v>
      </c>
      <c r="F424" s="1202">
        <v>10</v>
      </c>
      <c r="G424" s="846">
        <v>8985364</v>
      </c>
      <c r="H424" s="847">
        <v>8990314</v>
      </c>
      <c r="I424" s="846"/>
      <c r="J424" s="847"/>
      <c r="K424" s="846"/>
      <c r="L424" s="847"/>
      <c r="M424" s="846">
        <v>4531546</v>
      </c>
      <c r="N424" s="846"/>
      <c r="O424" s="737">
        <f t="shared" si="55"/>
        <v>4531546</v>
      </c>
      <c r="P424" s="847">
        <v>4535284</v>
      </c>
      <c r="Q424" s="847"/>
      <c r="R424" s="738">
        <f t="shared" si="58"/>
        <v>4535284</v>
      </c>
      <c r="S424" s="737">
        <f t="shared" si="59"/>
        <v>13516910</v>
      </c>
      <c r="T424" s="739">
        <f t="shared" si="60"/>
        <v>13525598</v>
      </c>
      <c r="U424" s="846"/>
      <c r="V424" s="847"/>
      <c r="W424" s="846"/>
      <c r="X424" s="846"/>
      <c r="Y424" s="740">
        <f t="shared" si="56"/>
        <v>0</v>
      </c>
      <c r="Z424" s="847"/>
      <c r="AA424" s="847"/>
      <c r="AB424" s="741">
        <f t="shared" si="57"/>
        <v>0</v>
      </c>
      <c r="AC424" s="846"/>
      <c r="AD424" s="847"/>
      <c r="AE424" s="846"/>
      <c r="AF424" s="846"/>
      <c r="AG424" s="847"/>
      <c r="AH424" s="847"/>
      <c r="AI424" s="742">
        <f t="shared" si="61"/>
        <v>13516910</v>
      </c>
      <c r="AJ424" s="743">
        <f t="shared" si="62"/>
        <v>13525598</v>
      </c>
    </row>
    <row r="425" spans="1:36">
      <c r="A425" s="1203" t="s">
        <v>143</v>
      </c>
      <c r="B425" s="1198" t="s">
        <v>264</v>
      </c>
      <c r="C425" s="1199" t="s">
        <v>1272</v>
      </c>
      <c r="D425" s="1200"/>
      <c r="E425" s="1201">
        <v>107549</v>
      </c>
      <c r="F425" s="1202">
        <v>10</v>
      </c>
      <c r="G425" s="846">
        <v>4398316</v>
      </c>
      <c r="H425" s="847">
        <v>4385785</v>
      </c>
      <c r="I425" s="846"/>
      <c r="J425" s="847"/>
      <c r="K425" s="846">
        <v>416382</v>
      </c>
      <c r="L425" s="847">
        <v>410000</v>
      </c>
      <c r="M425" s="846">
        <v>3853957</v>
      </c>
      <c r="N425" s="846"/>
      <c r="O425" s="737">
        <f t="shared" si="55"/>
        <v>3853957</v>
      </c>
      <c r="P425" s="847">
        <v>3799920</v>
      </c>
      <c r="Q425" s="847"/>
      <c r="R425" s="738">
        <f t="shared" si="58"/>
        <v>3799920</v>
      </c>
      <c r="S425" s="737">
        <f t="shared" si="59"/>
        <v>8668655</v>
      </c>
      <c r="T425" s="739">
        <f t="shared" si="60"/>
        <v>8595705</v>
      </c>
      <c r="U425" s="846"/>
      <c r="V425" s="847"/>
      <c r="W425" s="846"/>
      <c r="X425" s="846"/>
      <c r="Y425" s="740">
        <f t="shared" si="56"/>
        <v>0</v>
      </c>
      <c r="Z425" s="847"/>
      <c r="AA425" s="847"/>
      <c r="AB425" s="741">
        <f t="shared" si="57"/>
        <v>0</v>
      </c>
      <c r="AC425" s="846"/>
      <c r="AD425" s="847"/>
      <c r="AE425" s="846"/>
      <c r="AF425" s="846"/>
      <c r="AG425" s="847"/>
      <c r="AH425" s="847"/>
      <c r="AI425" s="742">
        <f t="shared" si="61"/>
        <v>8668655</v>
      </c>
      <c r="AJ425" s="743">
        <f t="shared" si="62"/>
        <v>8595705</v>
      </c>
    </row>
    <row r="426" spans="1:36">
      <c r="A426" s="1203" t="s">
        <v>143</v>
      </c>
      <c r="B426" s="1198" t="s">
        <v>264</v>
      </c>
      <c r="C426" s="1199" t="s">
        <v>1273</v>
      </c>
      <c r="D426" s="1200"/>
      <c r="E426" s="1201">
        <v>107619</v>
      </c>
      <c r="F426" s="1202">
        <v>10</v>
      </c>
      <c r="G426" s="846">
        <v>10323808</v>
      </c>
      <c r="H426" s="847">
        <v>10336094</v>
      </c>
      <c r="I426" s="846"/>
      <c r="J426" s="847"/>
      <c r="K426" s="846">
        <v>2153019</v>
      </c>
      <c r="L426" s="847">
        <v>2100000</v>
      </c>
      <c r="M426" s="846">
        <v>3209837</v>
      </c>
      <c r="N426" s="846"/>
      <c r="O426" s="737">
        <f t="shared" si="55"/>
        <v>3209837</v>
      </c>
      <c r="P426" s="847">
        <v>3178785</v>
      </c>
      <c r="Q426" s="847"/>
      <c r="R426" s="738">
        <f t="shared" si="58"/>
        <v>3178785</v>
      </c>
      <c r="S426" s="737">
        <f t="shared" si="59"/>
        <v>15686664</v>
      </c>
      <c r="T426" s="739">
        <f t="shared" si="60"/>
        <v>15614879</v>
      </c>
      <c r="U426" s="846"/>
      <c r="V426" s="847"/>
      <c r="W426" s="846"/>
      <c r="X426" s="846"/>
      <c r="Y426" s="740">
        <f t="shared" si="56"/>
        <v>0</v>
      </c>
      <c r="Z426" s="847"/>
      <c r="AA426" s="847"/>
      <c r="AB426" s="741">
        <f t="shared" si="57"/>
        <v>0</v>
      </c>
      <c r="AC426" s="846"/>
      <c r="AD426" s="847"/>
      <c r="AE426" s="846"/>
      <c r="AF426" s="846"/>
      <c r="AG426" s="847"/>
      <c r="AH426" s="847"/>
      <c r="AI426" s="742">
        <f t="shared" si="61"/>
        <v>15686664</v>
      </c>
      <c r="AJ426" s="743">
        <f t="shared" si="62"/>
        <v>15614879</v>
      </c>
    </row>
    <row r="427" spans="1:36">
      <c r="A427" s="1203" t="s">
        <v>143</v>
      </c>
      <c r="B427" s="1198" t="s">
        <v>264</v>
      </c>
      <c r="C427" s="1199" t="s">
        <v>1274</v>
      </c>
      <c r="D427" s="1200"/>
      <c r="E427" s="1201">
        <v>107743</v>
      </c>
      <c r="F427" s="1202">
        <v>10</v>
      </c>
      <c r="G427" s="846">
        <v>3404968</v>
      </c>
      <c r="H427" s="847">
        <v>3409713</v>
      </c>
      <c r="I427" s="846"/>
      <c r="J427" s="847"/>
      <c r="K427" s="846"/>
      <c r="L427" s="847"/>
      <c r="M427" s="846">
        <v>2131112</v>
      </c>
      <c r="N427" s="846"/>
      <c r="O427" s="737">
        <f t="shared" si="55"/>
        <v>2131112</v>
      </c>
      <c r="P427" s="847">
        <v>2197253</v>
      </c>
      <c r="Q427" s="847"/>
      <c r="R427" s="738">
        <f t="shared" si="58"/>
        <v>2197253</v>
      </c>
      <c r="S427" s="737">
        <f t="shared" si="59"/>
        <v>5536080</v>
      </c>
      <c r="T427" s="739">
        <f t="shared" si="60"/>
        <v>5606966</v>
      </c>
      <c r="U427" s="846"/>
      <c r="V427" s="847"/>
      <c r="W427" s="846"/>
      <c r="X427" s="846"/>
      <c r="Y427" s="740">
        <f t="shared" si="56"/>
        <v>0</v>
      </c>
      <c r="Z427" s="847"/>
      <c r="AA427" s="847"/>
      <c r="AB427" s="741">
        <f t="shared" si="57"/>
        <v>0</v>
      </c>
      <c r="AC427" s="846"/>
      <c r="AD427" s="847"/>
      <c r="AE427" s="846"/>
      <c r="AF427" s="846"/>
      <c r="AG427" s="847"/>
      <c r="AH427" s="847"/>
      <c r="AI427" s="742">
        <f t="shared" si="61"/>
        <v>5536080</v>
      </c>
      <c r="AJ427" s="743">
        <f t="shared" si="62"/>
        <v>5606966</v>
      </c>
    </row>
    <row r="428" spans="1:36">
      <c r="A428" s="1203" t="s">
        <v>143</v>
      </c>
      <c r="B428" s="1198" t="s">
        <v>264</v>
      </c>
      <c r="C428" s="1199" t="s">
        <v>1275</v>
      </c>
      <c r="D428" s="1200"/>
      <c r="E428" s="1201">
        <v>107974</v>
      </c>
      <c r="F428" s="1202">
        <v>10</v>
      </c>
      <c r="G428" s="846">
        <v>7008969</v>
      </c>
      <c r="H428" s="847">
        <v>7016717</v>
      </c>
      <c r="I428" s="846"/>
      <c r="J428" s="847"/>
      <c r="K428" s="846"/>
      <c r="L428" s="847"/>
      <c r="M428" s="846">
        <v>4720741</v>
      </c>
      <c r="N428" s="846"/>
      <c r="O428" s="737">
        <f t="shared" si="55"/>
        <v>4720741</v>
      </c>
      <c r="P428" s="847">
        <v>4734675</v>
      </c>
      <c r="Q428" s="847"/>
      <c r="R428" s="738">
        <f t="shared" si="58"/>
        <v>4734675</v>
      </c>
      <c r="S428" s="737">
        <f t="shared" si="59"/>
        <v>11729710</v>
      </c>
      <c r="T428" s="739">
        <f t="shared" si="60"/>
        <v>11751392</v>
      </c>
      <c r="U428" s="846"/>
      <c r="V428" s="847"/>
      <c r="W428" s="846"/>
      <c r="X428" s="846"/>
      <c r="Y428" s="740">
        <f t="shared" si="56"/>
        <v>0</v>
      </c>
      <c r="Z428" s="847"/>
      <c r="AA428" s="847"/>
      <c r="AB428" s="741">
        <f t="shared" si="57"/>
        <v>0</v>
      </c>
      <c r="AC428" s="846"/>
      <c r="AD428" s="847"/>
      <c r="AE428" s="846"/>
      <c r="AF428" s="846"/>
      <c r="AG428" s="847"/>
      <c r="AH428" s="847"/>
      <c r="AI428" s="742">
        <f t="shared" si="61"/>
        <v>11729710</v>
      </c>
      <c r="AJ428" s="743">
        <f t="shared" si="62"/>
        <v>11751392</v>
      </c>
    </row>
    <row r="429" spans="1:36">
      <c r="A429" s="1203" t="s">
        <v>143</v>
      </c>
      <c r="B429" s="1198" t="s">
        <v>264</v>
      </c>
      <c r="C429" s="1199" t="s">
        <v>1276</v>
      </c>
      <c r="D429" s="1200"/>
      <c r="E429" s="1201">
        <v>107637</v>
      </c>
      <c r="F429" s="1202">
        <v>10</v>
      </c>
      <c r="G429" s="846">
        <v>7611997</v>
      </c>
      <c r="H429" s="847">
        <v>7592536</v>
      </c>
      <c r="I429" s="846"/>
      <c r="J429" s="847"/>
      <c r="K429" s="846"/>
      <c r="L429" s="847"/>
      <c r="M429" s="846">
        <v>3852944</v>
      </c>
      <c r="N429" s="846"/>
      <c r="O429" s="737">
        <f t="shared" si="55"/>
        <v>3852944</v>
      </c>
      <c r="P429" s="847">
        <v>4066450</v>
      </c>
      <c r="Q429" s="847"/>
      <c r="R429" s="738">
        <f t="shared" si="58"/>
        <v>4066450</v>
      </c>
      <c r="S429" s="737">
        <f t="shared" si="59"/>
        <v>11464941</v>
      </c>
      <c r="T429" s="739">
        <f t="shared" si="60"/>
        <v>11658986</v>
      </c>
      <c r="U429" s="846"/>
      <c r="V429" s="847"/>
      <c r="W429" s="846"/>
      <c r="X429" s="846"/>
      <c r="Y429" s="740">
        <f t="shared" si="56"/>
        <v>0</v>
      </c>
      <c r="Z429" s="847"/>
      <c r="AA429" s="847"/>
      <c r="AB429" s="741">
        <f t="shared" si="57"/>
        <v>0</v>
      </c>
      <c r="AC429" s="846"/>
      <c r="AD429" s="847"/>
      <c r="AE429" s="846"/>
      <c r="AF429" s="846"/>
      <c r="AG429" s="847"/>
      <c r="AH429" s="847"/>
      <c r="AI429" s="742">
        <f t="shared" si="61"/>
        <v>11464941</v>
      </c>
      <c r="AJ429" s="743">
        <f t="shared" si="62"/>
        <v>11658986</v>
      </c>
    </row>
    <row r="430" spans="1:36">
      <c r="A430" s="1203" t="s">
        <v>143</v>
      </c>
      <c r="B430" s="1198" t="s">
        <v>264</v>
      </c>
      <c r="C430" s="1199" t="s">
        <v>1277</v>
      </c>
      <c r="D430" s="1200"/>
      <c r="E430" s="1201">
        <v>107992</v>
      </c>
      <c r="F430" s="1202">
        <v>10</v>
      </c>
      <c r="G430" s="846">
        <v>5907851</v>
      </c>
      <c r="H430" s="847">
        <v>5912697</v>
      </c>
      <c r="I430" s="846"/>
      <c r="J430" s="847"/>
      <c r="K430" s="846"/>
      <c r="L430" s="847"/>
      <c r="M430" s="846">
        <v>4896954</v>
      </c>
      <c r="N430" s="846"/>
      <c r="O430" s="737">
        <f t="shared" si="55"/>
        <v>4896954</v>
      </c>
      <c r="P430" s="847">
        <v>5431475</v>
      </c>
      <c r="Q430" s="847"/>
      <c r="R430" s="738">
        <f t="shared" si="58"/>
        <v>5431475</v>
      </c>
      <c r="S430" s="737">
        <f t="shared" si="59"/>
        <v>10804805</v>
      </c>
      <c r="T430" s="739">
        <f t="shared" si="60"/>
        <v>11344172</v>
      </c>
      <c r="U430" s="846"/>
      <c r="V430" s="847"/>
      <c r="W430" s="846"/>
      <c r="X430" s="846"/>
      <c r="Y430" s="740">
        <f t="shared" si="56"/>
        <v>0</v>
      </c>
      <c r="Z430" s="847"/>
      <c r="AA430" s="847"/>
      <c r="AB430" s="741">
        <f t="shared" si="57"/>
        <v>0</v>
      </c>
      <c r="AC430" s="846"/>
      <c r="AD430" s="847"/>
      <c r="AE430" s="846"/>
      <c r="AF430" s="846"/>
      <c r="AG430" s="847"/>
      <c r="AH430" s="847"/>
      <c r="AI430" s="742">
        <f t="shared" si="61"/>
        <v>10804805</v>
      </c>
      <c r="AJ430" s="743">
        <f t="shared" si="62"/>
        <v>11344172</v>
      </c>
    </row>
    <row r="431" spans="1:36">
      <c r="A431" s="1203" t="s">
        <v>143</v>
      </c>
      <c r="B431" s="1198" t="s">
        <v>266</v>
      </c>
      <c r="C431" s="1198" t="s">
        <v>1278</v>
      </c>
      <c r="D431" s="1213"/>
      <c r="E431" s="1201">
        <v>107992</v>
      </c>
      <c r="F431" s="1202">
        <v>10</v>
      </c>
      <c r="G431" s="846"/>
      <c r="H431" s="847"/>
      <c r="I431" s="846">
        <v>2139017</v>
      </c>
      <c r="J431" s="847">
        <v>2141876</v>
      </c>
      <c r="K431" s="846"/>
      <c r="L431" s="847"/>
      <c r="M431" s="846">
        <v>625235</v>
      </c>
      <c r="N431" s="846"/>
      <c r="O431" s="737">
        <f t="shared" si="55"/>
        <v>625235</v>
      </c>
      <c r="P431" s="847">
        <v>490680</v>
      </c>
      <c r="Q431" s="847"/>
      <c r="R431" s="738">
        <f t="shared" si="58"/>
        <v>490680</v>
      </c>
      <c r="S431" s="737">
        <f t="shared" si="59"/>
        <v>2764252</v>
      </c>
      <c r="T431" s="739">
        <f t="shared" si="60"/>
        <v>2632556</v>
      </c>
      <c r="U431" s="846"/>
      <c r="V431" s="847"/>
      <c r="W431" s="846"/>
      <c r="X431" s="846"/>
      <c r="Y431" s="740">
        <f t="shared" si="56"/>
        <v>0</v>
      </c>
      <c r="Z431" s="847"/>
      <c r="AA431" s="847"/>
      <c r="AB431" s="741">
        <f t="shared" si="57"/>
        <v>0</v>
      </c>
      <c r="AC431" s="846"/>
      <c r="AD431" s="847"/>
      <c r="AE431" s="846"/>
      <c r="AF431" s="846"/>
      <c r="AG431" s="847"/>
      <c r="AH431" s="847"/>
      <c r="AI431" s="742">
        <f t="shared" si="61"/>
        <v>2764252</v>
      </c>
      <c r="AJ431" s="743">
        <f t="shared" si="62"/>
        <v>2632556</v>
      </c>
    </row>
    <row r="432" spans="1:36">
      <c r="A432" s="1203" t="s">
        <v>143</v>
      </c>
      <c r="B432" s="1198" t="s">
        <v>264</v>
      </c>
      <c r="C432" s="1199" t="s">
        <v>1279</v>
      </c>
      <c r="D432" s="1200"/>
      <c r="E432" s="1201">
        <v>106999</v>
      </c>
      <c r="F432" s="1202">
        <v>10</v>
      </c>
      <c r="G432" s="846">
        <v>4997821</v>
      </c>
      <c r="H432" s="847">
        <v>4989281</v>
      </c>
      <c r="I432" s="846"/>
      <c r="J432" s="847"/>
      <c r="K432" s="846">
        <v>1240673</v>
      </c>
      <c r="L432" s="847">
        <v>1200000</v>
      </c>
      <c r="M432" s="846">
        <v>3168356</v>
      </c>
      <c r="N432" s="846"/>
      <c r="O432" s="737">
        <f t="shared" si="55"/>
        <v>3168356</v>
      </c>
      <c r="P432" s="847">
        <v>3273299</v>
      </c>
      <c r="Q432" s="847"/>
      <c r="R432" s="738">
        <f t="shared" si="58"/>
        <v>3273299</v>
      </c>
      <c r="S432" s="737">
        <f t="shared" si="59"/>
        <v>9406850</v>
      </c>
      <c r="T432" s="739">
        <f t="shared" si="60"/>
        <v>9462580</v>
      </c>
      <c r="U432" s="846"/>
      <c r="V432" s="847"/>
      <c r="W432" s="846"/>
      <c r="X432" s="846"/>
      <c r="Y432" s="740">
        <f t="shared" si="56"/>
        <v>0</v>
      </c>
      <c r="Z432" s="847"/>
      <c r="AA432" s="847"/>
      <c r="AB432" s="741">
        <f t="shared" si="57"/>
        <v>0</v>
      </c>
      <c r="AC432" s="846"/>
      <c r="AD432" s="847"/>
      <c r="AE432" s="846"/>
      <c r="AF432" s="846"/>
      <c r="AG432" s="847"/>
      <c r="AH432" s="847"/>
      <c r="AI432" s="742">
        <f t="shared" si="61"/>
        <v>9406850</v>
      </c>
      <c r="AJ432" s="743">
        <f t="shared" si="62"/>
        <v>9462580</v>
      </c>
    </row>
    <row r="433" spans="1:36">
      <c r="A433" s="1203" t="s">
        <v>143</v>
      </c>
      <c r="B433" s="1198" t="s">
        <v>264</v>
      </c>
      <c r="C433" s="1199" t="s">
        <v>1280</v>
      </c>
      <c r="D433" s="1200"/>
      <c r="E433" s="1201">
        <v>107725</v>
      </c>
      <c r="F433" s="1202">
        <v>10</v>
      </c>
      <c r="G433" s="846">
        <v>6450944</v>
      </c>
      <c r="H433" s="847">
        <v>6431644</v>
      </c>
      <c r="I433" s="846"/>
      <c r="J433" s="847"/>
      <c r="K433" s="846">
        <v>1250000</v>
      </c>
      <c r="L433" s="847">
        <v>1200000</v>
      </c>
      <c r="M433" s="846">
        <v>2471235</v>
      </c>
      <c r="N433" s="846">
        <v>781078</v>
      </c>
      <c r="O433" s="737">
        <f t="shared" si="55"/>
        <v>3252313</v>
      </c>
      <c r="P433" s="847">
        <v>2521450</v>
      </c>
      <c r="Q433" s="847"/>
      <c r="R433" s="738">
        <f t="shared" si="58"/>
        <v>2521450</v>
      </c>
      <c r="S433" s="737">
        <f t="shared" si="59"/>
        <v>10172179</v>
      </c>
      <c r="T433" s="739">
        <f t="shared" si="60"/>
        <v>10153094</v>
      </c>
      <c r="U433" s="846"/>
      <c r="V433" s="847"/>
      <c r="W433" s="846"/>
      <c r="X433" s="846"/>
      <c r="Y433" s="740">
        <f t="shared" si="56"/>
        <v>0</v>
      </c>
      <c r="Z433" s="847"/>
      <c r="AA433" s="847"/>
      <c r="AB433" s="741">
        <f t="shared" si="57"/>
        <v>0</v>
      </c>
      <c r="AC433" s="846"/>
      <c r="AD433" s="847"/>
      <c r="AE433" s="846"/>
      <c r="AF433" s="846"/>
      <c r="AG433" s="847"/>
      <c r="AH433" s="847"/>
      <c r="AI433" s="742">
        <f t="shared" si="61"/>
        <v>10172179</v>
      </c>
      <c r="AJ433" s="743">
        <f t="shared" si="62"/>
        <v>10153094</v>
      </c>
    </row>
    <row r="434" spans="1:36">
      <c r="A434" s="1203" t="s">
        <v>143</v>
      </c>
      <c r="B434" s="1198" t="s">
        <v>264</v>
      </c>
      <c r="C434" s="1199" t="s">
        <v>1281</v>
      </c>
      <c r="D434" s="1200"/>
      <c r="E434" s="1201">
        <v>107585</v>
      </c>
      <c r="F434" s="1202">
        <v>10</v>
      </c>
      <c r="G434" s="846">
        <v>6313341</v>
      </c>
      <c r="H434" s="847">
        <v>6300620</v>
      </c>
      <c r="I434" s="846"/>
      <c r="J434" s="847"/>
      <c r="K434" s="846">
        <v>810926</v>
      </c>
      <c r="L434" s="847">
        <v>810000</v>
      </c>
      <c r="M434" s="846">
        <v>6204034</v>
      </c>
      <c r="N434" s="846"/>
      <c r="O434" s="737">
        <f t="shared" si="55"/>
        <v>6204034</v>
      </c>
      <c r="P434" s="847">
        <v>6704269</v>
      </c>
      <c r="Q434" s="847"/>
      <c r="R434" s="738">
        <f t="shared" si="58"/>
        <v>6704269</v>
      </c>
      <c r="S434" s="737">
        <f t="shared" si="59"/>
        <v>13328301</v>
      </c>
      <c r="T434" s="739">
        <f t="shared" si="60"/>
        <v>13814889</v>
      </c>
      <c r="U434" s="846"/>
      <c r="V434" s="847"/>
      <c r="W434" s="846"/>
      <c r="X434" s="846"/>
      <c r="Y434" s="740">
        <f t="shared" si="56"/>
        <v>0</v>
      </c>
      <c r="Z434" s="847"/>
      <c r="AA434" s="847"/>
      <c r="AB434" s="741">
        <f t="shared" si="57"/>
        <v>0</v>
      </c>
      <c r="AC434" s="846"/>
      <c r="AD434" s="847"/>
      <c r="AE434" s="846"/>
      <c r="AF434" s="846"/>
      <c r="AG434" s="847"/>
      <c r="AH434" s="847"/>
      <c r="AI434" s="742">
        <f t="shared" si="61"/>
        <v>13328301</v>
      </c>
      <c r="AJ434" s="743">
        <f t="shared" si="62"/>
        <v>13814889</v>
      </c>
    </row>
    <row r="435" spans="1:36">
      <c r="A435" s="1203" t="s">
        <v>143</v>
      </c>
      <c r="B435" s="1198" t="s">
        <v>301</v>
      </c>
      <c r="C435" s="1199" t="s">
        <v>1282</v>
      </c>
      <c r="D435" s="1200"/>
      <c r="E435" s="1201">
        <v>106263</v>
      </c>
      <c r="F435" s="1202">
        <v>15</v>
      </c>
      <c r="G435" s="846"/>
      <c r="H435" s="847"/>
      <c r="I435" s="846"/>
      <c r="J435" s="847"/>
      <c r="K435" s="846"/>
      <c r="L435" s="847"/>
      <c r="M435" s="846"/>
      <c r="N435" s="846"/>
      <c r="O435" s="737">
        <f t="shared" si="55"/>
        <v>0</v>
      </c>
      <c r="P435" s="847"/>
      <c r="Q435" s="847"/>
      <c r="R435" s="738">
        <f t="shared" si="58"/>
        <v>0</v>
      </c>
      <c r="S435" s="737">
        <f t="shared" si="59"/>
        <v>0</v>
      </c>
      <c r="T435" s="739">
        <f t="shared" si="60"/>
        <v>0</v>
      </c>
      <c r="U435" s="846"/>
      <c r="V435" s="847"/>
      <c r="W435" s="846"/>
      <c r="X435" s="846"/>
      <c r="Y435" s="740">
        <f t="shared" si="56"/>
        <v>0</v>
      </c>
      <c r="Z435" s="847"/>
      <c r="AA435" s="847"/>
      <c r="AB435" s="741">
        <f t="shared" si="57"/>
        <v>0</v>
      </c>
      <c r="AC435" s="846">
        <v>112144733</v>
      </c>
      <c r="AD435" s="847">
        <v>104768445</v>
      </c>
      <c r="AE435" s="846">
        <v>32220221</v>
      </c>
      <c r="AF435" s="846">
        <v>1248459</v>
      </c>
      <c r="AG435" s="847">
        <v>38152028</v>
      </c>
      <c r="AH435" s="847"/>
      <c r="AI435" s="742">
        <f t="shared" si="61"/>
        <v>144364954</v>
      </c>
      <c r="AJ435" s="743">
        <f t="shared" si="62"/>
        <v>142920473</v>
      </c>
    </row>
    <row r="436" spans="1:36">
      <c r="A436" s="1203" t="s">
        <v>143</v>
      </c>
      <c r="B436" s="1198" t="s">
        <v>303</v>
      </c>
      <c r="C436" s="1214" t="s">
        <v>1283</v>
      </c>
      <c r="D436" s="1200"/>
      <c r="E436" s="1201"/>
      <c r="F436" s="1202"/>
      <c r="G436" s="846"/>
      <c r="H436" s="847"/>
      <c r="I436" s="846"/>
      <c r="J436" s="847"/>
      <c r="K436" s="846"/>
      <c r="L436" s="847"/>
      <c r="M436" s="846"/>
      <c r="N436" s="846"/>
      <c r="O436" s="737">
        <f t="shared" si="55"/>
        <v>0</v>
      </c>
      <c r="P436" s="847"/>
      <c r="Q436" s="847"/>
      <c r="R436" s="738">
        <f t="shared" si="58"/>
        <v>0</v>
      </c>
      <c r="S436" s="737">
        <f t="shared" si="59"/>
        <v>0</v>
      </c>
      <c r="T436" s="739">
        <f t="shared" si="60"/>
        <v>0</v>
      </c>
      <c r="U436" s="846"/>
      <c r="V436" s="847"/>
      <c r="W436" s="846"/>
      <c r="X436" s="846"/>
      <c r="Y436" s="740">
        <f t="shared" si="56"/>
        <v>0</v>
      </c>
      <c r="Z436" s="847"/>
      <c r="AA436" s="847"/>
      <c r="AB436" s="741">
        <f t="shared" si="57"/>
        <v>0</v>
      </c>
      <c r="AC436" s="846"/>
      <c r="AD436" s="847"/>
      <c r="AE436" s="846"/>
      <c r="AF436" s="846"/>
      <c r="AG436" s="847"/>
      <c r="AH436" s="847"/>
      <c r="AI436" s="742">
        <f t="shared" si="61"/>
        <v>0</v>
      </c>
      <c r="AJ436" s="743">
        <f t="shared" si="62"/>
        <v>0</v>
      </c>
    </row>
    <row r="437" spans="1:36">
      <c r="A437" s="1203" t="s">
        <v>143</v>
      </c>
      <c r="B437" s="1198" t="s">
        <v>303</v>
      </c>
      <c r="C437" s="1206" t="s">
        <v>1284</v>
      </c>
      <c r="D437" s="1205"/>
      <c r="E437" s="1201"/>
      <c r="F437" s="1202"/>
      <c r="G437" s="846"/>
      <c r="H437" s="847"/>
      <c r="I437" s="846"/>
      <c r="J437" s="847"/>
      <c r="K437" s="846"/>
      <c r="L437" s="847"/>
      <c r="M437" s="846"/>
      <c r="N437" s="846"/>
      <c r="O437" s="737">
        <f t="shared" si="55"/>
        <v>0</v>
      </c>
      <c r="P437" s="847"/>
      <c r="Q437" s="847"/>
      <c r="R437" s="738">
        <f t="shared" si="58"/>
        <v>0</v>
      </c>
      <c r="S437" s="737">
        <f t="shared" si="59"/>
        <v>0</v>
      </c>
      <c r="T437" s="739">
        <f t="shared" si="60"/>
        <v>0</v>
      </c>
      <c r="U437" s="846"/>
      <c r="V437" s="847"/>
      <c r="W437" s="846"/>
      <c r="X437" s="846"/>
      <c r="Y437" s="740">
        <f t="shared" si="56"/>
        <v>0</v>
      </c>
      <c r="Z437" s="847"/>
      <c r="AA437" s="847"/>
      <c r="AB437" s="741">
        <f t="shared" si="57"/>
        <v>0</v>
      </c>
      <c r="AC437" s="846"/>
      <c r="AD437" s="847"/>
      <c r="AE437" s="846"/>
      <c r="AF437" s="846"/>
      <c r="AG437" s="847"/>
      <c r="AH437" s="847"/>
      <c r="AI437" s="742">
        <f t="shared" si="61"/>
        <v>0</v>
      </c>
      <c r="AJ437" s="743">
        <f t="shared" si="62"/>
        <v>0</v>
      </c>
    </row>
    <row r="438" spans="1:36">
      <c r="A438" s="1203" t="s">
        <v>143</v>
      </c>
      <c r="B438" s="1198" t="s">
        <v>303</v>
      </c>
      <c r="C438" s="1215" t="s">
        <v>1285</v>
      </c>
      <c r="D438" s="1205"/>
      <c r="E438" s="1201"/>
      <c r="F438" s="1202"/>
      <c r="G438" s="846"/>
      <c r="H438" s="847"/>
      <c r="I438" s="846">
        <v>350000</v>
      </c>
      <c r="J438" s="847">
        <v>350000</v>
      </c>
      <c r="K438" s="846"/>
      <c r="L438" s="847"/>
      <c r="M438" s="846"/>
      <c r="N438" s="846"/>
      <c r="O438" s="737">
        <f t="shared" si="55"/>
        <v>0</v>
      </c>
      <c r="P438" s="847"/>
      <c r="Q438" s="847"/>
      <c r="R438" s="738">
        <f t="shared" si="58"/>
        <v>0</v>
      </c>
      <c r="S438" s="737">
        <f t="shared" si="59"/>
        <v>350000</v>
      </c>
      <c r="T438" s="739">
        <f t="shared" si="60"/>
        <v>350000</v>
      </c>
      <c r="U438" s="846"/>
      <c r="V438" s="847"/>
      <c r="W438" s="846"/>
      <c r="X438" s="846"/>
      <c r="Y438" s="740">
        <f t="shared" si="56"/>
        <v>0</v>
      </c>
      <c r="Z438" s="847"/>
      <c r="AA438" s="847"/>
      <c r="AB438" s="741">
        <f t="shared" si="57"/>
        <v>0</v>
      </c>
      <c r="AC438" s="846"/>
      <c r="AD438" s="847"/>
      <c r="AE438" s="846"/>
      <c r="AF438" s="846"/>
      <c r="AG438" s="847"/>
      <c r="AH438" s="847"/>
      <c r="AI438" s="742">
        <f t="shared" si="61"/>
        <v>350000</v>
      </c>
      <c r="AJ438" s="743">
        <f t="shared" si="62"/>
        <v>350000</v>
      </c>
    </row>
    <row r="439" spans="1:36">
      <c r="A439" s="1203" t="s">
        <v>143</v>
      </c>
      <c r="B439" s="1198" t="s">
        <v>281</v>
      </c>
      <c r="C439" s="1214" t="s">
        <v>109</v>
      </c>
      <c r="D439" s="1200"/>
      <c r="E439" s="1201"/>
      <c r="F439" s="1202"/>
      <c r="G439" s="846"/>
      <c r="H439" s="847"/>
      <c r="I439" s="846"/>
      <c r="J439" s="847"/>
      <c r="K439" s="846"/>
      <c r="L439" s="847"/>
      <c r="M439" s="846"/>
      <c r="N439" s="846"/>
      <c r="O439" s="737">
        <f t="shared" si="55"/>
        <v>0</v>
      </c>
      <c r="P439" s="847"/>
      <c r="Q439" s="847"/>
      <c r="R439" s="738">
        <f t="shared" si="58"/>
        <v>0</v>
      </c>
      <c r="S439" s="737">
        <f t="shared" si="59"/>
        <v>0</v>
      </c>
      <c r="T439" s="739">
        <f t="shared" si="60"/>
        <v>0</v>
      </c>
      <c r="U439" s="846"/>
      <c r="V439" s="847"/>
      <c r="W439" s="846"/>
      <c r="X439" s="846"/>
      <c r="Y439" s="740">
        <f t="shared" si="56"/>
        <v>0</v>
      </c>
      <c r="Z439" s="847"/>
      <c r="AA439" s="847"/>
      <c r="AB439" s="741">
        <f t="shared" si="57"/>
        <v>0</v>
      </c>
      <c r="AC439" s="846"/>
      <c r="AD439" s="847"/>
      <c r="AE439" s="846"/>
      <c r="AF439" s="846"/>
      <c r="AG439" s="847"/>
      <c r="AH439" s="847"/>
      <c r="AI439" s="742">
        <f t="shared" si="61"/>
        <v>0</v>
      </c>
      <c r="AJ439" s="743">
        <f t="shared" si="62"/>
        <v>0</v>
      </c>
    </row>
    <row r="440" spans="1:36">
      <c r="A440" s="1203" t="s">
        <v>143</v>
      </c>
      <c r="B440" s="1198" t="s">
        <v>282</v>
      </c>
      <c r="C440" s="1204" t="s">
        <v>140</v>
      </c>
      <c r="D440" s="1205"/>
      <c r="E440" s="1201"/>
      <c r="F440" s="1202"/>
      <c r="G440" s="846"/>
      <c r="H440" s="847"/>
      <c r="I440" s="846"/>
      <c r="J440" s="847"/>
      <c r="K440" s="846"/>
      <c r="L440" s="847"/>
      <c r="M440" s="846"/>
      <c r="N440" s="846"/>
      <c r="O440" s="737">
        <f t="shared" si="55"/>
        <v>0</v>
      </c>
      <c r="P440" s="847"/>
      <c r="Q440" s="847"/>
      <c r="R440" s="738">
        <f t="shared" si="58"/>
        <v>0</v>
      </c>
      <c r="S440" s="737">
        <f t="shared" si="59"/>
        <v>0</v>
      </c>
      <c r="T440" s="739">
        <f t="shared" si="60"/>
        <v>0</v>
      </c>
      <c r="U440" s="846"/>
      <c r="V440" s="847"/>
      <c r="W440" s="846"/>
      <c r="X440" s="846"/>
      <c r="Y440" s="740">
        <f t="shared" si="56"/>
        <v>0</v>
      </c>
      <c r="Z440" s="847"/>
      <c r="AA440" s="847"/>
      <c r="AB440" s="741">
        <f t="shared" si="57"/>
        <v>0</v>
      </c>
      <c r="AC440" s="846"/>
      <c r="AD440" s="847"/>
      <c r="AE440" s="846"/>
      <c r="AF440" s="846"/>
      <c r="AG440" s="847"/>
      <c r="AH440" s="847"/>
      <c r="AI440" s="742">
        <f t="shared" si="61"/>
        <v>0</v>
      </c>
      <c r="AJ440" s="743">
        <f t="shared" si="62"/>
        <v>0</v>
      </c>
    </row>
    <row r="441" spans="1:36">
      <c r="A441" s="1203" t="s">
        <v>143</v>
      </c>
      <c r="B441" s="1198" t="s">
        <v>282</v>
      </c>
      <c r="C441" s="1206" t="s">
        <v>1286</v>
      </c>
      <c r="D441" s="1205"/>
      <c r="E441" s="1201"/>
      <c r="F441" s="1202"/>
      <c r="G441" s="846"/>
      <c r="H441" s="847"/>
      <c r="I441" s="846"/>
      <c r="J441" s="847"/>
      <c r="K441" s="846"/>
      <c r="L441" s="847"/>
      <c r="M441" s="846"/>
      <c r="N441" s="846"/>
      <c r="O441" s="737">
        <f t="shared" si="55"/>
        <v>0</v>
      </c>
      <c r="P441" s="847"/>
      <c r="Q441" s="847"/>
      <c r="R441" s="738">
        <f t="shared" si="58"/>
        <v>0</v>
      </c>
      <c r="S441" s="737">
        <f t="shared" si="59"/>
        <v>0</v>
      </c>
      <c r="T441" s="739">
        <f t="shared" si="60"/>
        <v>0</v>
      </c>
      <c r="U441" s="846">
        <v>3486046</v>
      </c>
      <c r="V441" s="847">
        <v>3686500</v>
      </c>
      <c r="W441" s="846"/>
      <c r="X441" s="846"/>
      <c r="Y441" s="740">
        <f t="shared" si="56"/>
        <v>0</v>
      </c>
      <c r="Z441" s="847"/>
      <c r="AA441" s="847"/>
      <c r="AB441" s="741">
        <f t="shared" si="57"/>
        <v>0</v>
      </c>
      <c r="AC441" s="846"/>
      <c r="AD441" s="847"/>
      <c r="AE441" s="846"/>
      <c r="AF441" s="846"/>
      <c r="AG441" s="847"/>
      <c r="AH441" s="847"/>
      <c r="AI441" s="742">
        <f t="shared" si="61"/>
        <v>3486046</v>
      </c>
      <c r="AJ441" s="743">
        <f t="shared" si="62"/>
        <v>3686500</v>
      </c>
    </row>
    <row r="442" spans="1:36">
      <c r="A442" s="1203" t="s">
        <v>143</v>
      </c>
      <c r="B442" s="1198" t="s">
        <v>282</v>
      </c>
      <c r="C442" s="1206" t="s">
        <v>1287</v>
      </c>
      <c r="D442" s="1205"/>
      <c r="E442" s="1201"/>
      <c r="F442" s="1202"/>
      <c r="G442" s="846"/>
      <c r="H442" s="847"/>
      <c r="I442" s="846"/>
      <c r="J442" s="847"/>
      <c r="K442" s="846"/>
      <c r="L442" s="847"/>
      <c r="M442" s="846"/>
      <c r="N442" s="846"/>
      <c r="O442" s="737">
        <f t="shared" si="55"/>
        <v>0</v>
      </c>
      <c r="P442" s="847"/>
      <c r="Q442" s="847"/>
      <c r="R442" s="738">
        <f t="shared" si="58"/>
        <v>0</v>
      </c>
      <c r="S442" s="737">
        <f t="shared" si="59"/>
        <v>0</v>
      </c>
      <c r="T442" s="739">
        <f t="shared" si="60"/>
        <v>0</v>
      </c>
      <c r="U442" s="846">
        <v>3680459</v>
      </c>
      <c r="V442" s="847">
        <v>3686747</v>
      </c>
      <c r="W442" s="846"/>
      <c r="X442" s="846"/>
      <c r="Y442" s="740">
        <f t="shared" si="56"/>
        <v>0</v>
      </c>
      <c r="Z442" s="847"/>
      <c r="AA442" s="847"/>
      <c r="AB442" s="741">
        <f t="shared" si="57"/>
        <v>0</v>
      </c>
      <c r="AC442" s="846"/>
      <c r="AD442" s="847"/>
      <c r="AE442" s="846"/>
      <c r="AF442" s="846"/>
      <c r="AG442" s="847"/>
      <c r="AH442" s="847"/>
      <c r="AI442" s="742">
        <f t="shared" si="61"/>
        <v>3680459</v>
      </c>
      <c r="AJ442" s="743">
        <f t="shared" si="62"/>
        <v>3686747</v>
      </c>
    </row>
    <row r="443" spans="1:36">
      <c r="A443" s="1203" t="s">
        <v>143</v>
      </c>
      <c r="B443" s="1198" t="s">
        <v>282</v>
      </c>
      <c r="C443" s="1206" t="s">
        <v>1288</v>
      </c>
      <c r="D443" s="1205"/>
      <c r="E443" s="1201"/>
      <c r="F443" s="1202"/>
      <c r="G443" s="846"/>
      <c r="H443" s="847"/>
      <c r="I443" s="846"/>
      <c r="J443" s="847"/>
      <c r="K443" s="846"/>
      <c r="L443" s="847"/>
      <c r="M443" s="846"/>
      <c r="N443" s="846"/>
      <c r="O443" s="737">
        <f t="shared" si="55"/>
        <v>0</v>
      </c>
      <c r="P443" s="847"/>
      <c r="Q443" s="847"/>
      <c r="R443" s="738">
        <f t="shared" si="58"/>
        <v>0</v>
      </c>
      <c r="S443" s="737">
        <f t="shared" si="59"/>
        <v>0</v>
      </c>
      <c r="T443" s="739">
        <f t="shared" si="60"/>
        <v>0</v>
      </c>
      <c r="U443" s="846">
        <v>2362680</v>
      </c>
      <c r="V443" s="847">
        <v>2506652</v>
      </c>
      <c r="W443" s="846"/>
      <c r="X443" s="846"/>
      <c r="Y443" s="740">
        <f t="shared" si="56"/>
        <v>0</v>
      </c>
      <c r="Z443" s="847"/>
      <c r="AA443" s="847"/>
      <c r="AB443" s="741">
        <f t="shared" si="57"/>
        <v>0</v>
      </c>
      <c r="AC443" s="846"/>
      <c r="AD443" s="847"/>
      <c r="AE443" s="846"/>
      <c r="AF443" s="846"/>
      <c r="AG443" s="847"/>
      <c r="AH443" s="847"/>
      <c r="AI443" s="742">
        <f t="shared" si="61"/>
        <v>2362680</v>
      </c>
      <c r="AJ443" s="743">
        <f t="shared" si="62"/>
        <v>2506652</v>
      </c>
    </row>
    <row r="444" spans="1:36">
      <c r="A444" s="1203" t="s">
        <v>143</v>
      </c>
      <c r="B444" s="1198" t="s">
        <v>284</v>
      </c>
      <c r="C444" s="1204" t="s">
        <v>138</v>
      </c>
      <c r="D444" s="1205"/>
      <c r="E444" s="1201"/>
      <c r="F444" s="1202"/>
      <c r="G444" s="846"/>
      <c r="H444" s="847"/>
      <c r="I444" s="846"/>
      <c r="J444" s="847"/>
      <c r="K444" s="846"/>
      <c r="L444" s="847"/>
      <c r="M444" s="846"/>
      <c r="N444" s="846"/>
      <c r="O444" s="737">
        <f t="shared" si="55"/>
        <v>0</v>
      </c>
      <c r="P444" s="847"/>
      <c r="Q444" s="847"/>
      <c r="R444" s="738">
        <f t="shared" si="58"/>
        <v>0</v>
      </c>
      <c r="S444" s="737">
        <f t="shared" si="59"/>
        <v>0</v>
      </c>
      <c r="T444" s="739">
        <f t="shared" si="60"/>
        <v>0</v>
      </c>
      <c r="U444" s="846"/>
      <c r="V444" s="847"/>
      <c r="W444" s="846"/>
      <c r="X444" s="846"/>
      <c r="Y444" s="740">
        <f t="shared" si="56"/>
        <v>0</v>
      </c>
      <c r="Z444" s="847"/>
      <c r="AA444" s="847"/>
      <c r="AB444" s="741">
        <f t="shared" si="57"/>
        <v>0</v>
      </c>
      <c r="AC444" s="846"/>
      <c r="AD444" s="847"/>
      <c r="AE444" s="846"/>
      <c r="AF444" s="846"/>
      <c r="AG444" s="847"/>
      <c r="AH444" s="847"/>
      <c r="AI444" s="742">
        <f t="shared" si="61"/>
        <v>0</v>
      </c>
      <c r="AJ444" s="743">
        <f t="shared" si="62"/>
        <v>0</v>
      </c>
    </row>
    <row r="445" spans="1:36">
      <c r="A445" s="1203" t="s">
        <v>143</v>
      </c>
      <c r="B445" s="1198" t="s">
        <v>284</v>
      </c>
      <c r="C445" s="1206" t="s">
        <v>742</v>
      </c>
      <c r="D445" s="1205"/>
      <c r="E445" s="1201"/>
      <c r="F445" s="1202"/>
      <c r="G445" s="846"/>
      <c r="H445" s="847"/>
      <c r="I445" s="846"/>
      <c r="J445" s="847"/>
      <c r="K445" s="846"/>
      <c r="L445" s="847"/>
      <c r="M445" s="846"/>
      <c r="N445" s="846"/>
      <c r="O445" s="737">
        <f t="shared" si="55"/>
        <v>0</v>
      </c>
      <c r="P445" s="847"/>
      <c r="Q445" s="847"/>
      <c r="R445" s="738">
        <f t="shared" si="58"/>
        <v>0</v>
      </c>
      <c r="S445" s="737">
        <f t="shared" si="59"/>
        <v>0</v>
      </c>
      <c r="T445" s="739">
        <f t="shared" si="60"/>
        <v>0</v>
      </c>
      <c r="U445" s="846"/>
      <c r="V445" s="847"/>
      <c r="W445" s="846"/>
      <c r="X445" s="846"/>
      <c r="Y445" s="740">
        <f t="shared" si="56"/>
        <v>0</v>
      </c>
      <c r="Z445" s="847"/>
      <c r="AA445" s="847"/>
      <c r="AB445" s="741">
        <f t="shared" si="57"/>
        <v>0</v>
      </c>
      <c r="AC445" s="846"/>
      <c r="AD445" s="847"/>
      <c r="AE445" s="846"/>
      <c r="AF445" s="846"/>
      <c r="AG445" s="847"/>
      <c r="AH445" s="847"/>
      <c r="AI445" s="742">
        <f t="shared" si="61"/>
        <v>0</v>
      </c>
      <c r="AJ445" s="743">
        <f t="shared" si="62"/>
        <v>0</v>
      </c>
    </row>
    <row r="446" spans="1:36">
      <c r="A446" s="1203" t="s">
        <v>143</v>
      </c>
      <c r="B446" s="1198" t="s">
        <v>285</v>
      </c>
      <c r="C446" s="1216" t="s">
        <v>504</v>
      </c>
      <c r="D446" s="1217"/>
      <c r="E446" s="1201"/>
      <c r="F446" s="1202"/>
      <c r="G446" s="846"/>
      <c r="H446" s="847"/>
      <c r="I446" s="846"/>
      <c r="J446" s="847"/>
      <c r="K446" s="846"/>
      <c r="L446" s="847"/>
      <c r="M446" s="846"/>
      <c r="N446" s="846"/>
      <c r="O446" s="737">
        <f t="shared" si="55"/>
        <v>0</v>
      </c>
      <c r="P446" s="847"/>
      <c r="Q446" s="847"/>
      <c r="R446" s="738">
        <f t="shared" si="58"/>
        <v>0</v>
      </c>
      <c r="S446" s="737">
        <f t="shared" si="59"/>
        <v>0</v>
      </c>
      <c r="T446" s="739">
        <f t="shared" si="60"/>
        <v>0</v>
      </c>
      <c r="U446" s="846"/>
      <c r="V446" s="847"/>
      <c r="W446" s="846"/>
      <c r="X446" s="846"/>
      <c r="Y446" s="740">
        <f t="shared" si="56"/>
        <v>0</v>
      </c>
      <c r="Z446" s="847"/>
      <c r="AA446" s="847"/>
      <c r="AB446" s="741">
        <f t="shared" si="57"/>
        <v>0</v>
      </c>
      <c r="AC446" s="846"/>
      <c r="AD446" s="847"/>
      <c r="AE446" s="846"/>
      <c r="AF446" s="846"/>
      <c r="AG446" s="847"/>
      <c r="AH446" s="847"/>
      <c r="AI446" s="742">
        <f t="shared" si="61"/>
        <v>0</v>
      </c>
      <c r="AJ446" s="743">
        <f t="shared" si="62"/>
        <v>0</v>
      </c>
    </row>
    <row r="447" spans="1:36">
      <c r="A447" s="1203" t="s">
        <v>143</v>
      </c>
      <c r="B447" s="1198" t="s">
        <v>286</v>
      </c>
      <c r="C447" s="1214" t="s">
        <v>506</v>
      </c>
      <c r="D447" s="1200"/>
      <c r="E447" s="1201"/>
      <c r="F447" s="1202"/>
      <c r="G447" s="846"/>
      <c r="H447" s="847"/>
      <c r="I447" s="846"/>
      <c r="J447" s="847"/>
      <c r="K447" s="846"/>
      <c r="L447" s="847"/>
      <c r="M447" s="846"/>
      <c r="N447" s="846"/>
      <c r="O447" s="737">
        <f t="shared" si="55"/>
        <v>0</v>
      </c>
      <c r="P447" s="847"/>
      <c r="Q447" s="847"/>
      <c r="R447" s="738">
        <f t="shared" si="58"/>
        <v>0</v>
      </c>
      <c r="S447" s="737">
        <f t="shared" si="59"/>
        <v>0</v>
      </c>
      <c r="T447" s="739">
        <f t="shared" si="60"/>
        <v>0</v>
      </c>
      <c r="U447" s="846"/>
      <c r="V447" s="847"/>
      <c r="W447" s="846"/>
      <c r="X447" s="846"/>
      <c r="Y447" s="740">
        <f t="shared" si="56"/>
        <v>0</v>
      </c>
      <c r="Z447" s="847"/>
      <c r="AA447" s="847"/>
      <c r="AB447" s="741">
        <f t="shared" si="57"/>
        <v>0</v>
      </c>
      <c r="AC447" s="846"/>
      <c r="AD447" s="847"/>
      <c r="AE447" s="846"/>
      <c r="AF447" s="846"/>
      <c r="AG447" s="847"/>
      <c r="AH447" s="847"/>
      <c r="AI447" s="742">
        <f t="shared" si="61"/>
        <v>0</v>
      </c>
      <c r="AJ447" s="743">
        <f t="shared" si="62"/>
        <v>0</v>
      </c>
    </row>
    <row r="448" spans="1:36">
      <c r="A448" s="1203" t="s">
        <v>143</v>
      </c>
      <c r="B448" s="1198" t="s">
        <v>287</v>
      </c>
      <c r="C448" s="1214" t="s">
        <v>510</v>
      </c>
      <c r="D448" s="1200"/>
      <c r="E448" s="1201"/>
      <c r="F448" s="1202"/>
      <c r="G448" s="846"/>
      <c r="H448" s="847"/>
      <c r="I448" s="846"/>
      <c r="J448" s="847"/>
      <c r="K448" s="846"/>
      <c r="L448" s="847"/>
      <c r="M448" s="846"/>
      <c r="N448" s="846"/>
      <c r="O448" s="737">
        <f t="shared" si="55"/>
        <v>0</v>
      </c>
      <c r="P448" s="847"/>
      <c r="Q448" s="847"/>
      <c r="R448" s="738">
        <f t="shared" si="58"/>
        <v>0</v>
      </c>
      <c r="S448" s="737">
        <f t="shared" si="59"/>
        <v>0</v>
      </c>
      <c r="T448" s="739">
        <f t="shared" si="60"/>
        <v>0</v>
      </c>
      <c r="U448" s="846"/>
      <c r="V448" s="847"/>
      <c r="W448" s="846"/>
      <c r="X448" s="846"/>
      <c r="Y448" s="740">
        <f t="shared" si="56"/>
        <v>0</v>
      </c>
      <c r="Z448" s="847"/>
      <c r="AA448" s="847"/>
      <c r="AB448" s="741">
        <f t="shared" si="57"/>
        <v>0</v>
      </c>
      <c r="AC448" s="846"/>
      <c r="AD448" s="847"/>
      <c r="AE448" s="846"/>
      <c r="AF448" s="846"/>
      <c r="AG448" s="847"/>
      <c r="AH448" s="847"/>
      <c r="AI448" s="742">
        <f t="shared" si="61"/>
        <v>0</v>
      </c>
      <c r="AJ448" s="743">
        <f t="shared" si="62"/>
        <v>0</v>
      </c>
    </row>
    <row r="449" spans="1:36">
      <c r="A449" s="1203" t="s">
        <v>143</v>
      </c>
      <c r="B449" s="1198" t="s">
        <v>288</v>
      </c>
      <c r="C449" s="1204" t="s">
        <v>511</v>
      </c>
      <c r="D449" s="1205"/>
      <c r="E449" s="1201"/>
      <c r="F449" s="1202"/>
      <c r="G449" s="846"/>
      <c r="H449" s="847"/>
      <c r="I449" s="846"/>
      <c r="J449" s="847"/>
      <c r="K449" s="846"/>
      <c r="L449" s="847"/>
      <c r="M449" s="846"/>
      <c r="N449" s="846"/>
      <c r="O449" s="737">
        <f t="shared" si="55"/>
        <v>0</v>
      </c>
      <c r="P449" s="847"/>
      <c r="Q449" s="847"/>
      <c r="R449" s="738">
        <f t="shared" si="58"/>
        <v>0</v>
      </c>
      <c r="S449" s="737">
        <f t="shared" si="59"/>
        <v>0</v>
      </c>
      <c r="T449" s="739">
        <f t="shared" si="60"/>
        <v>0</v>
      </c>
      <c r="U449" s="846"/>
      <c r="V449" s="847"/>
      <c r="W449" s="846"/>
      <c r="X449" s="846"/>
      <c r="Y449" s="740">
        <f t="shared" si="56"/>
        <v>0</v>
      </c>
      <c r="Z449" s="847"/>
      <c r="AA449" s="847"/>
      <c r="AB449" s="741">
        <f t="shared" si="57"/>
        <v>0</v>
      </c>
      <c r="AC449" s="846"/>
      <c r="AD449" s="847"/>
      <c r="AE449" s="846"/>
      <c r="AF449" s="846"/>
      <c r="AG449" s="847"/>
      <c r="AH449" s="847"/>
      <c r="AI449" s="742">
        <f t="shared" si="61"/>
        <v>0</v>
      </c>
      <c r="AJ449" s="743">
        <f t="shared" si="62"/>
        <v>0</v>
      </c>
    </row>
    <row r="450" spans="1:36">
      <c r="A450" s="1203" t="s">
        <v>143</v>
      </c>
      <c r="B450" s="1198" t="s">
        <v>288</v>
      </c>
      <c r="C450" s="1206" t="s">
        <v>883</v>
      </c>
      <c r="D450" s="1205"/>
      <c r="E450" s="1201"/>
      <c r="F450" s="1202"/>
      <c r="G450" s="846"/>
      <c r="H450" s="847"/>
      <c r="I450" s="846"/>
      <c r="J450" s="847"/>
      <c r="K450" s="846"/>
      <c r="L450" s="847"/>
      <c r="M450" s="846"/>
      <c r="N450" s="846"/>
      <c r="O450" s="737">
        <f t="shared" si="55"/>
        <v>0</v>
      </c>
      <c r="P450" s="847"/>
      <c r="Q450" s="847"/>
      <c r="R450" s="738">
        <f t="shared" si="58"/>
        <v>0</v>
      </c>
      <c r="S450" s="737">
        <f t="shared" si="59"/>
        <v>0</v>
      </c>
      <c r="T450" s="739">
        <f t="shared" si="60"/>
        <v>0</v>
      </c>
      <c r="U450" s="846">
        <v>31200</v>
      </c>
      <c r="V450" s="847">
        <v>35000</v>
      </c>
      <c r="W450" s="846"/>
      <c r="X450" s="846"/>
      <c r="Y450" s="740">
        <f t="shared" si="56"/>
        <v>0</v>
      </c>
      <c r="Z450" s="847"/>
      <c r="AA450" s="847"/>
      <c r="AB450" s="741">
        <f t="shared" si="57"/>
        <v>0</v>
      </c>
      <c r="AC450" s="846"/>
      <c r="AD450" s="847"/>
      <c r="AE450" s="846"/>
      <c r="AF450" s="846"/>
      <c r="AG450" s="847"/>
      <c r="AH450" s="847"/>
      <c r="AI450" s="742">
        <f t="shared" si="61"/>
        <v>31200</v>
      </c>
      <c r="AJ450" s="743">
        <f t="shared" si="62"/>
        <v>35000</v>
      </c>
    </row>
    <row r="451" spans="1:36">
      <c r="A451" s="1203" t="s">
        <v>143</v>
      </c>
      <c r="B451" s="1198" t="s">
        <v>288</v>
      </c>
      <c r="C451" s="1206" t="s">
        <v>1289</v>
      </c>
      <c r="D451" s="1205"/>
      <c r="E451" s="1201"/>
      <c r="F451" s="1202"/>
      <c r="G451" s="846"/>
      <c r="H451" s="847"/>
      <c r="I451" s="846"/>
      <c r="J451" s="847"/>
      <c r="K451" s="846"/>
      <c r="L451" s="847"/>
      <c r="M451" s="846"/>
      <c r="N451" s="846"/>
      <c r="O451" s="737">
        <f t="shared" si="55"/>
        <v>0</v>
      </c>
      <c r="P451" s="847"/>
      <c r="Q451" s="847"/>
      <c r="R451" s="738">
        <f t="shared" si="58"/>
        <v>0</v>
      </c>
      <c r="S451" s="737">
        <f t="shared" si="59"/>
        <v>0</v>
      </c>
      <c r="T451" s="739">
        <f t="shared" si="60"/>
        <v>0</v>
      </c>
      <c r="U451" s="846">
        <v>17400</v>
      </c>
      <c r="V451" s="847">
        <v>18000</v>
      </c>
      <c r="W451" s="846"/>
      <c r="X451" s="846"/>
      <c r="Y451" s="740">
        <f t="shared" si="56"/>
        <v>0</v>
      </c>
      <c r="Z451" s="847"/>
      <c r="AA451" s="847"/>
      <c r="AB451" s="741">
        <f t="shared" si="57"/>
        <v>0</v>
      </c>
      <c r="AC451" s="846"/>
      <c r="AD451" s="847"/>
      <c r="AE451" s="846"/>
      <c r="AF451" s="846"/>
      <c r="AG451" s="847"/>
      <c r="AH451" s="847"/>
      <c r="AI451" s="742">
        <f t="shared" si="61"/>
        <v>17400</v>
      </c>
      <c r="AJ451" s="743">
        <f t="shared" si="62"/>
        <v>18000</v>
      </c>
    </row>
    <row r="452" spans="1:36">
      <c r="A452" s="1203" t="s">
        <v>143</v>
      </c>
      <c r="B452" s="1198" t="s">
        <v>288</v>
      </c>
      <c r="C452" s="1206" t="s">
        <v>1290</v>
      </c>
      <c r="D452" s="1205"/>
      <c r="E452" s="1201"/>
      <c r="F452" s="1202"/>
      <c r="G452" s="846"/>
      <c r="H452" s="847"/>
      <c r="I452" s="846"/>
      <c r="J452" s="847"/>
      <c r="K452" s="846"/>
      <c r="L452" s="847"/>
      <c r="M452" s="846"/>
      <c r="N452" s="846"/>
      <c r="O452" s="737">
        <f t="shared" si="55"/>
        <v>0</v>
      </c>
      <c r="P452" s="847"/>
      <c r="Q452" s="847"/>
      <c r="R452" s="738">
        <f t="shared" si="58"/>
        <v>0</v>
      </c>
      <c r="S452" s="737">
        <f t="shared" si="59"/>
        <v>0</v>
      </c>
      <c r="T452" s="739">
        <f t="shared" si="60"/>
        <v>0</v>
      </c>
      <c r="U452" s="846">
        <v>20800</v>
      </c>
      <c r="V452" s="847">
        <v>20000</v>
      </c>
      <c r="W452" s="846"/>
      <c r="X452" s="846"/>
      <c r="Y452" s="740">
        <f t="shared" si="56"/>
        <v>0</v>
      </c>
      <c r="Z452" s="847"/>
      <c r="AA452" s="847"/>
      <c r="AB452" s="741">
        <f t="shared" si="57"/>
        <v>0</v>
      </c>
      <c r="AC452" s="846"/>
      <c r="AD452" s="847"/>
      <c r="AE452" s="846"/>
      <c r="AF452" s="846"/>
      <c r="AG452" s="847"/>
      <c r="AH452" s="847"/>
      <c r="AI452" s="742">
        <f t="shared" si="61"/>
        <v>20800</v>
      </c>
      <c r="AJ452" s="743">
        <f t="shared" si="62"/>
        <v>20000</v>
      </c>
    </row>
    <row r="453" spans="1:36">
      <c r="A453" s="1203" t="s">
        <v>143</v>
      </c>
      <c r="B453" s="1198" t="s">
        <v>288</v>
      </c>
      <c r="C453" s="1206" t="s">
        <v>568</v>
      </c>
      <c r="D453" s="1205"/>
      <c r="E453" s="1201"/>
      <c r="F453" s="1202"/>
      <c r="G453" s="846"/>
      <c r="H453" s="847"/>
      <c r="I453" s="846"/>
      <c r="J453" s="847"/>
      <c r="K453" s="846"/>
      <c r="L453" s="847"/>
      <c r="M453" s="846"/>
      <c r="N453" s="846"/>
      <c r="O453" s="737">
        <f t="shared" si="55"/>
        <v>0</v>
      </c>
      <c r="P453" s="847"/>
      <c r="Q453" s="847"/>
      <c r="R453" s="738">
        <f t="shared" si="58"/>
        <v>0</v>
      </c>
      <c r="S453" s="737">
        <f t="shared" si="59"/>
        <v>0</v>
      </c>
      <c r="T453" s="739">
        <f t="shared" si="60"/>
        <v>0</v>
      </c>
      <c r="U453" s="846">
        <v>306000</v>
      </c>
      <c r="V453" s="847">
        <v>310000</v>
      </c>
      <c r="W453" s="846"/>
      <c r="X453" s="846"/>
      <c r="Y453" s="740">
        <f t="shared" si="56"/>
        <v>0</v>
      </c>
      <c r="Z453" s="847"/>
      <c r="AA453" s="847"/>
      <c r="AB453" s="741">
        <f t="shared" si="57"/>
        <v>0</v>
      </c>
      <c r="AC453" s="846"/>
      <c r="AD453" s="847"/>
      <c r="AE453" s="846"/>
      <c r="AF453" s="846"/>
      <c r="AG453" s="847"/>
      <c r="AH453" s="847"/>
      <c r="AI453" s="742">
        <f t="shared" si="61"/>
        <v>306000</v>
      </c>
      <c r="AJ453" s="743">
        <f t="shared" si="62"/>
        <v>310000</v>
      </c>
    </row>
    <row r="454" spans="1:36">
      <c r="A454" s="1203" t="s">
        <v>143</v>
      </c>
      <c r="B454" s="1198" t="s">
        <v>288</v>
      </c>
      <c r="C454" s="1206" t="s">
        <v>1291</v>
      </c>
      <c r="D454" s="1205"/>
      <c r="E454" s="1201"/>
      <c r="F454" s="1202"/>
      <c r="G454" s="846"/>
      <c r="H454" s="847"/>
      <c r="I454" s="846"/>
      <c r="J454" s="847"/>
      <c r="K454" s="846"/>
      <c r="L454" s="847"/>
      <c r="M454" s="846"/>
      <c r="N454" s="846"/>
      <c r="O454" s="737">
        <f t="shared" si="55"/>
        <v>0</v>
      </c>
      <c r="P454" s="847"/>
      <c r="Q454" s="847"/>
      <c r="R454" s="738">
        <f t="shared" si="58"/>
        <v>0</v>
      </c>
      <c r="S454" s="737">
        <f t="shared" si="59"/>
        <v>0</v>
      </c>
      <c r="T454" s="739">
        <f t="shared" si="60"/>
        <v>0</v>
      </c>
      <c r="U454" s="846">
        <v>0</v>
      </c>
      <c r="V454" s="847">
        <v>0</v>
      </c>
      <c r="W454" s="846"/>
      <c r="X454" s="846"/>
      <c r="Y454" s="740">
        <f t="shared" si="56"/>
        <v>0</v>
      </c>
      <c r="Z454" s="847"/>
      <c r="AA454" s="847"/>
      <c r="AB454" s="741">
        <f t="shared" si="57"/>
        <v>0</v>
      </c>
      <c r="AC454" s="846"/>
      <c r="AD454" s="847"/>
      <c r="AE454" s="846"/>
      <c r="AF454" s="846"/>
      <c r="AG454" s="847"/>
      <c r="AH454" s="847"/>
      <c r="AI454" s="742">
        <f t="shared" si="61"/>
        <v>0</v>
      </c>
      <c r="AJ454" s="743">
        <f t="shared" si="62"/>
        <v>0</v>
      </c>
    </row>
    <row r="455" spans="1:36">
      <c r="A455" s="1203" t="s">
        <v>143</v>
      </c>
      <c r="B455" s="1198" t="s">
        <v>288</v>
      </c>
      <c r="C455" s="1206" t="s">
        <v>1292</v>
      </c>
      <c r="D455" s="1205"/>
      <c r="E455" s="1201"/>
      <c r="F455" s="1202"/>
      <c r="G455" s="846"/>
      <c r="H455" s="847"/>
      <c r="I455" s="846"/>
      <c r="J455" s="847"/>
      <c r="K455" s="846"/>
      <c r="L455" s="847"/>
      <c r="M455" s="846"/>
      <c r="N455" s="846"/>
      <c r="O455" s="737">
        <f t="shared" si="55"/>
        <v>0</v>
      </c>
      <c r="P455" s="847"/>
      <c r="Q455" s="847"/>
      <c r="R455" s="738">
        <f t="shared" si="58"/>
        <v>0</v>
      </c>
      <c r="S455" s="737">
        <f t="shared" si="59"/>
        <v>0</v>
      </c>
      <c r="T455" s="739">
        <f t="shared" si="60"/>
        <v>0</v>
      </c>
      <c r="U455" s="846">
        <v>0</v>
      </c>
      <c r="V455" s="847">
        <v>0</v>
      </c>
      <c r="W455" s="846"/>
      <c r="X455" s="846"/>
      <c r="Y455" s="740">
        <f t="shared" si="56"/>
        <v>0</v>
      </c>
      <c r="Z455" s="847"/>
      <c r="AA455" s="847"/>
      <c r="AB455" s="741">
        <f t="shared" si="57"/>
        <v>0</v>
      </c>
      <c r="AC455" s="846"/>
      <c r="AD455" s="847"/>
      <c r="AE455" s="846"/>
      <c r="AF455" s="846"/>
      <c r="AG455" s="847"/>
      <c r="AH455" s="847"/>
      <c r="AI455" s="742">
        <f t="shared" si="61"/>
        <v>0</v>
      </c>
      <c r="AJ455" s="743">
        <f t="shared" si="62"/>
        <v>0</v>
      </c>
    </row>
    <row r="456" spans="1:36">
      <c r="A456" s="1203" t="s">
        <v>143</v>
      </c>
      <c r="B456" s="1198" t="s">
        <v>289</v>
      </c>
      <c r="C456" s="1204" t="s">
        <v>515</v>
      </c>
      <c r="D456" s="1205"/>
      <c r="E456" s="1201"/>
      <c r="F456" s="1202"/>
      <c r="G456" s="846"/>
      <c r="H456" s="847"/>
      <c r="I456" s="846"/>
      <c r="J456" s="847"/>
      <c r="K456" s="846"/>
      <c r="L456" s="847"/>
      <c r="M456" s="846"/>
      <c r="N456" s="846"/>
      <c r="O456" s="737">
        <f t="shared" si="55"/>
        <v>0</v>
      </c>
      <c r="P456" s="847"/>
      <c r="Q456" s="847"/>
      <c r="R456" s="738">
        <f t="shared" si="58"/>
        <v>0</v>
      </c>
      <c r="S456" s="737">
        <f t="shared" si="59"/>
        <v>0</v>
      </c>
      <c r="T456" s="739">
        <f t="shared" si="60"/>
        <v>0</v>
      </c>
      <c r="U456" s="846"/>
      <c r="V456" s="847"/>
      <c r="W456" s="846"/>
      <c r="X456" s="846"/>
      <c r="Y456" s="740">
        <f t="shared" si="56"/>
        <v>0</v>
      </c>
      <c r="Z456" s="847"/>
      <c r="AA456" s="847"/>
      <c r="AB456" s="741">
        <f t="shared" si="57"/>
        <v>0</v>
      </c>
      <c r="AC456" s="846"/>
      <c r="AD456" s="847"/>
      <c r="AE456" s="846"/>
      <c r="AF456" s="846"/>
      <c r="AG456" s="847"/>
      <c r="AH456" s="847"/>
      <c r="AI456" s="742">
        <f t="shared" si="61"/>
        <v>0</v>
      </c>
      <c r="AJ456" s="743">
        <f t="shared" si="62"/>
        <v>0</v>
      </c>
    </row>
    <row r="457" spans="1:36">
      <c r="A457" s="1203" t="s">
        <v>143</v>
      </c>
      <c r="B457" s="1198" t="s">
        <v>289</v>
      </c>
      <c r="C457" s="1206" t="s">
        <v>1293</v>
      </c>
      <c r="D457" s="1205"/>
      <c r="E457" s="1201"/>
      <c r="F457" s="1202"/>
      <c r="G457" s="846"/>
      <c r="H457" s="847"/>
      <c r="I457" s="846"/>
      <c r="J457" s="847"/>
      <c r="K457" s="846"/>
      <c r="L457" s="847"/>
      <c r="M457" s="846"/>
      <c r="N457" s="846"/>
      <c r="O457" s="737">
        <f t="shared" si="55"/>
        <v>0</v>
      </c>
      <c r="P457" s="847"/>
      <c r="Q457" s="847"/>
      <c r="R457" s="738">
        <f t="shared" si="58"/>
        <v>0</v>
      </c>
      <c r="S457" s="737">
        <f t="shared" si="59"/>
        <v>0</v>
      </c>
      <c r="T457" s="739">
        <f t="shared" si="60"/>
        <v>0</v>
      </c>
      <c r="U457" s="846">
        <v>226200</v>
      </c>
      <c r="V457" s="847">
        <v>330000</v>
      </c>
      <c r="W457" s="846"/>
      <c r="X457" s="846"/>
      <c r="Y457" s="740">
        <f t="shared" si="56"/>
        <v>0</v>
      </c>
      <c r="Z457" s="847"/>
      <c r="AA457" s="847"/>
      <c r="AB457" s="741">
        <f t="shared" si="57"/>
        <v>0</v>
      </c>
      <c r="AC457" s="846"/>
      <c r="AD457" s="847"/>
      <c r="AE457" s="846"/>
      <c r="AF457" s="846"/>
      <c r="AG457" s="847"/>
      <c r="AH457" s="847"/>
      <c r="AI457" s="742">
        <f t="shared" si="61"/>
        <v>226200</v>
      </c>
      <c r="AJ457" s="743">
        <f t="shared" si="62"/>
        <v>330000</v>
      </c>
    </row>
    <row r="458" spans="1:36">
      <c r="A458" s="1203" t="s">
        <v>143</v>
      </c>
      <c r="B458" s="1198" t="s">
        <v>289</v>
      </c>
      <c r="C458" s="1206" t="s">
        <v>1294</v>
      </c>
      <c r="D458" s="1205"/>
      <c r="E458" s="1201"/>
      <c r="F458" s="1202"/>
      <c r="G458" s="846"/>
      <c r="H458" s="847"/>
      <c r="I458" s="846"/>
      <c r="J458" s="847"/>
      <c r="K458" s="846"/>
      <c r="L458" s="847"/>
      <c r="M458" s="846"/>
      <c r="N458" s="846"/>
      <c r="O458" s="737">
        <f t="shared" ref="O458:O521" si="63">SUM(M458:N458)</f>
        <v>0</v>
      </c>
      <c r="P458" s="847"/>
      <c r="Q458" s="847"/>
      <c r="R458" s="738">
        <f t="shared" si="58"/>
        <v>0</v>
      </c>
      <c r="S458" s="737">
        <f t="shared" si="59"/>
        <v>0</v>
      </c>
      <c r="T458" s="739">
        <f t="shared" si="60"/>
        <v>0</v>
      </c>
      <c r="U458" s="846">
        <v>0</v>
      </c>
      <c r="V458" s="847">
        <v>0</v>
      </c>
      <c r="W458" s="846"/>
      <c r="X458" s="846"/>
      <c r="Y458" s="740">
        <f t="shared" ref="Y458:Y521" si="64">SUM(W458:X458)</f>
        <v>0</v>
      </c>
      <c r="Z458" s="847"/>
      <c r="AA458" s="847"/>
      <c r="AB458" s="741">
        <f t="shared" ref="AB458:AB521" si="65">SUM(Z458:AA458)</f>
        <v>0</v>
      </c>
      <c r="AC458" s="846"/>
      <c r="AD458" s="847"/>
      <c r="AE458" s="846"/>
      <c r="AF458" s="846"/>
      <c r="AG458" s="847"/>
      <c r="AH458" s="847"/>
      <c r="AI458" s="742">
        <f t="shared" si="61"/>
        <v>0</v>
      </c>
      <c r="AJ458" s="743">
        <f t="shared" si="62"/>
        <v>0</v>
      </c>
    </row>
    <row r="459" spans="1:36">
      <c r="A459" s="1203" t="s">
        <v>143</v>
      </c>
      <c r="B459" s="1198" t="s">
        <v>289</v>
      </c>
      <c r="C459" s="1206" t="s">
        <v>1295</v>
      </c>
      <c r="D459" s="1205"/>
      <c r="E459" s="1201"/>
      <c r="F459" s="1202"/>
      <c r="G459" s="846"/>
      <c r="H459" s="847"/>
      <c r="I459" s="846"/>
      <c r="J459" s="847"/>
      <c r="K459" s="846"/>
      <c r="L459" s="847"/>
      <c r="M459" s="846"/>
      <c r="N459" s="846"/>
      <c r="O459" s="737">
        <f t="shared" si="63"/>
        <v>0</v>
      </c>
      <c r="P459" s="847"/>
      <c r="Q459" s="847"/>
      <c r="R459" s="738">
        <f t="shared" ref="R459:R522" si="66">SUM(P459:Q459)</f>
        <v>0</v>
      </c>
      <c r="S459" s="737">
        <f t="shared" ref="S459:S522" si="67">SUM(G459,I459,K459,M459)</f>
        <v>0</v>
      </c>
      <c r="T459" s="739">
        <f t="shared" ref="T459:T522" si="68">SUM(H459,J459,L459,P459)</f>
        <v>0</v>
      </c>
      <c r="U459" s="846">
        <v>61200</v>
      </c>
      <c r="V459" s="847">
        <v>65000</v>
      </c>
      <c r="W459" s="846"/>
      <c r="X459" s="846"/>
      <c r="Y459" s="740">
        <f t="shared" si="64"/>
        <v>0</v>
      </c>
      <c r="Z459" s="847"/>
      <c r="AA459" s="847"/>
      <c r="AB459" s="741">
        <f t="shared" si="65"/>
        <v>0</v>
      </c>
      <c r="AC459" s="846"/>
      <c r="AD459" s="847"/>
      <c r="AE459" s="846"/>
      <c r="AF459" s="846"/>
      <c r="AG459" s="847"/>
      <c r="AH459" s="847"/>
      <c r="AI459" s="742">
        <f t="shared" ref="AI459:AI522" si="69">SUM(S459,U459,W459,AC459,AE459)</f>
        <v>61200</v>
      </c>
      <c r="AJ459" s="743">
        <f t="shared" ref="AJ459:AJ522" si="70">SUM(T459,V459,Z459,AD459,AG459)</f>
        <v>65000</v>
      </c>
    </row>
    <row r="460" spans="1:36">
      <c r="A460" s="1203" t="s">
        <v>143</v>
      </c>
      <c r="B460" s="1198" t="s">
        <v>289</v>
      </c>
      <c r="C460" s="1206" t="s">
        <v>1296</v>
      </c>
      <c r="D460" s="1205"/>
      <c r="E460" s="1201"/>
      <c r="F460" s="1202"/>
      <c r="G460" s="846"/>
      <c r="H460" s="847"/>
      <c r="I460" s="846"/>
      <c r="J460" s="847"/>
      <c r="K460" s="846"/>
      <c r="L460" s="847"/>
      <c r="M460" s="846"/>
      <c r="N460" s="846"/>
      <c r="O460" s="737">
        <f t="shared" si="63"/>
        <v>0</v>
      </c>
      <c r="P460" s="847"/>
      <c r="Q460" s="847"/>
      <c r="R460" s="738">
        <f t="shared" si="66"/>
        <v>0</v>
      </c>
      <c r="S460" s="737">
        <f t="shared" si="67"/>
        <v>0</v>
      </c>
      <c r="T460" s="739">
        <f t="shared" si="68"/>
        <v>0</v>
      </c>
      <c r="U460" s="846">
        <v>1548600</v>
      </c>
      <c r="V460" s="847">
        <v>1600000</v>
      </c>
      <c r="W460" s="846"/>
      <c r="X460" s="846"/>
      <c r="Y460" s="740">
        <f t="shared" si="64"/>
        <v>0</v>
      </c>
      <c r="Z460" s="847"/>
      <c r="AA460" s="847"/>
      <c r="AB460" s="741">
        <f t="shared" si="65"/>
        <v>0</v>
      </c>
      <c r="AC460" s="846"/>
      <c r="AD460" s="847"/>
      <c r="AE460" s="846"/>
      <c r="AF460" s="846"/>
      <c r="AG460" s="847"/>
      <c r="AH460" s="847"/>
      <c r="AI460" s="742">
        <f t="shared" si="69"/>
        <v>1548600</v>
      </c>
      <c r="AJ460" s="743">
        <f t="shared" si="70"/>
        <v>1600000</v>
      </c>
    </row>
    <row r="461" spans="1:36">
      <c r="A461" s="1203" t="s">
        <v>143</v>
      </c>
      <c r="B461" s="1198" t="s">
        <v>289</v>
      </c>
      <c r="C461" s="1206" t="s">
        <v>1297</v>
      </c>
      <c r="D461" s="1205"/>
      <c r="E461" s="1201"/>
      <c r="F461" s="1202"/>
      <c r="G461" s="846"/>
      <c r="H461" s="847"/>
      <c r="I461" s="846"/>
      <c r="J461" s="847"/>
      <c r="K461" s="846"/>
      <c r="L461" s="847"/>
      <c r="M461" s="846"/>
      <c r="N461" s="846"/>
      <c r="O461" s="737">
        <f t="shared" si="63"/>
        <v>0</v>
      </c>
      <c r="P461" s="847"/>
      <c r="Q461" s="847"/>
      <c r="R461" s="738">
        <f t="shared" si="66"/>
        <v>0</v>
      </c>
      <c r="S461" s="737">
        <f t="shared" si="67"/>
        <v>0</v>
      </c>
      <c r="T461" s="739">
        <f t="shared" si="68"/>
        <v>0</v>
      </c>
      <c r="U461" s="846">
        <v>34800</v>
      </c>
      <c r="V461" s="847">
        <v>36000</v>
      </c>
      <c r="W461" s="846"/>
      <c r="X461" s="846"/>
      <c r="Y461" s="740">
        <f t="shared" si="64"/>
        <v>0</v>
      </c>
      <c r="Z461" s="847"/>
      <c r="AA461" s="847"/>
      <c r="AB461" s="741">
        <f t="shared" si="65"/>
        <v>0</v>
      </c>
      <c r="AC461" s="846"/>
      <c r="AD461" s="847"/>
      <c r="AE461" s="846"/>
      <c r="AF461" s="846"/>
      <c r="AG461" s="847"/>
      <c r="AH461" s="847"/>
      <c r="AI461" s="742">
        <f t="shared" si="69"/>
        <v>34800</v>
      </c>
      <c r="AJ461" s="743">
        <f t="shared" si="70"/>
        <v>36000</v>
      </c>
    </row>
    <row r="462" spans="1:36">
      <c r="A462" s="1203" t="s">
        <v>143</v>
      </c>
      <c r="B462" s="1198" t="s">
        <v>289</v>
      </c>
      <c r="C462" s="1206" t="s">
        <v>1298</v>
      </c>
      <c r="D462" s="1205"/>
      <c r="E462" s="1201"/>
      <c r="F462" s="1202"/>
      <c r="G462" s="846"/>
      <c r="H462" s="847"/>
      <c r="I462" s="846"/>
      <c r="J462" s="847"/>
      <c r="K462" s="846"/>
      <c r="L462" s="847"/>
      <c r="M462" s="846"/>
      <c r="N462" s="846"/>
      <c r="O462" s="737">
        <f t="shared" si="63"/>
        <v>0</v>
      </c>
      <c r="P462" s="847"/>
      <c r="Q462" s="847"/>
      <c r="R462" s="738">
        <f t="shared" si="66"/>
        <v>0</v>
      </c>
      <c r="S462" s="737">
        <f t="shared" si="67"/>
        <v>0</v>
      </c>
      <c r="T462" s="739">
        <f t="shared" si="68"/>
        <v>0</v>
      </c>
      <c r="U462" s="846">
        <v>87000</v>
      </c>
      <c r="V462" s="847">
        <v>95000</v>
      </c>
      <c r="W462" s="846"/>
      <c r="X462" s="846"/>
      <c r="Y462" s="740">
        <f t="shared" si="64"/>
        <v>0</v>
      </c>
      <c r="Z462" s="847"/>
      <c r="AA462" s="847"/>
      <c r="AB462" s="741">
        <f t="shared" si="65"/>
        <v>0</v>
      </c>
      <c r="AC462" s="846"/>
      <c r="AD462" s="847"/>
      <c r="AE462" s="846"/>
      <c r="AF462" s="846"/>
      <c r="AG462" s="847"/>
      <c r="AH462" s="847"/>
      <c r="AI462" s="742">
        <f t="shared" si="69"/>
        <v>87000</v>
      </c>
      <c r="AJ462" s="743">
        <f t="shared" si="70"/>
        <v>95000</v>
      </c>
    </row>
    <row r="463" spans="1:36">
      <c r="A463" s="1203" t="s">
        <v>143</v>
      </c>
      <c r="B463" s="1198" t="s">
        <v>289</v>
      </c>
      <c r="C463" s="1206" t="s">
        <v>1299</v>
      </c>
      <c r="D463" s="1205"/>
      <c r="E463" s="1201"/>
      <c r="F463" s="1202"/>
      <c r="G463" s="846"/>
      <c r="H463" s="847"/>
      <c r="I463" s="846"/>
      <c r="J463" s="847"/>
      <c r="K463" s="846"/>
      <c r="L463" s="847"/>
      <c r="M463" s="846"/>
      <c r="N463" s="846"/>
      <c r="O463" s="737">
        <f t="shared" si="63"/>
        <v>0</v>
      </c>
      <c r="P463" s="847"/>
      <c r="Q463" s="847"/>
      <c r="R463" s="738">
        <f t="shared" si="66"/>
        <v>0</v>
      </c>
      <c r="S463" s="737">
        <f t="shared" si="67"/>
        <v>0</v>
      </c>
      <c r="T463" s="739">
        <f t="shared" si="68"/>
        <v>0</v>
      </c>
      <c r="U463" s="846">
        <v>904400</v>
      </c>
      <c r="V463" s="847">
        <v>890000</v>
      </c>
      <c r="W463" s="846"/>
      <c r="X463" s="846"/>
      <c r="Y463" s="740">
        <f t="shared" si="64"/>
        <v>0</v>
      </c>
      <c r="Z463" s="847"/>
      <c r="AA463" s="847"/>
      <c r="AB463" s="741">
        <f t="shared" si="65"/>
        <v>0</v>
      </c>
      <c r="AC463" s="846"/>
      <c r="AD463" s="847"/>
      <c r="AE463" s="846"/>
      <c r="AF463" s="846"/>
      <c r="AG463" s="847"/>
      <c r="AH463" s="847"/>
      <c r="AI463" s="742">
        <f t="shared" si="69"/>
        <v>904400</v>
      </c>
      <c r="AJ463" s="743">
        <f t="shared" si="70"/>
        <v>890000</v>
      </c>
    </row>
    <row r="464" spans="1:36">
      <c r="A464" s="1203" t="s">
        <v>143</v>
      </c>
      <c r="B464" s="1198" t="s">
        <v>289</v>
      </c>
      <c r="C464" s="1206" t="s">
        <v>1300</v>
      </c>
      <c r="D464" s="1205"/>
      <c r="E464" s="1201"/>
      <c r="F464" s="1202"/>
      <c r="G464" s="846"/>
      <c r="H464" s="847"/>
      <c r="I464" s="846"/>
      <c r="J464" s="847"/>
      <c r="K464" s="846"/>
      <c r="L464" s="847"/>
      <c r="M464" s="846"/>
      <c r="N464" s="846"/>
      <c r="O464" s="737">
        <f t="shared" si="63"/>
        <v>0</v>
      </c>
      <c r="P464" s="847"/>
      <c r="Q464" s="847"/>
      <c r="R464" s="738">
        <f t="shared" si="66"/>
        <v>0</v>
      </c>
      <c r="S464" s="737">
        <f t="shared" si="67"/>
        <v>0</v>
      </c>
      <c r="T464" s="739">
        <f t="shared" si="68"/>
        <v>0</v>
      </c>
      <c r="U464" s="846">
        <v>76500</v>
      </c>
      <c r="V464" s="847">
        <v>72000</v>
      </c>
      <c r="W464" s="846"/>
      <c r="X464" s="846"/>
      <c r="Y464" s="740">
        <f t="shared" si="64"/>
        <v>0</v>
      </c>
      <c r="Z464" s="847"/>
      <c r="AA464" s="847"/>
      <c r="AB464" s="741">
        <f t="shared" si="65"/>
        <v>0</v>
      </c>
      <c r="AC464" s="846"/>
      <c r="AD464" s="847"/>
      <c r="AE464" s="846"/>
      <c r="AF464" s="846"/>
      <c r="AG464" s="847"/>
      <c r="AH464" s="847"/>
      <c r="AI464" s="742">
        <f t="shared" si="69"/>
        <v>76500</v>
      </c>
      <c r="AJ464" s="743">
        <f t="shared" si="70"/>
        <v>72000</v>
      </c>
    </row>
    <row r="465" spans="1:36">
      <c r="A465" s="1203" t="s">
        <v>143</v>
      </c>
      <c r="B465" s="1198" t="s">
        <v>289</v>
      </c>
      <c r="C465" s="1206" t="s">
        <v>1301</v>
      </c>
      <c r="D465" s="1205"/>
      <c r="E465" s="1201"/>
      <c r="F465" s="1202"/>
      <c r="G465" s="846"/>
      <c r="H465" s="847"/>
      <c r="I465" s="846"/>
      <c r="J465" s="847"/>
      <c r="K465" s="846"/>
      <c r="L465" s="847"/>
      <c r="M465" s="846"/>
      <c r="N465" s="846"/>
      <c r="O465" s="737">
        <f t="shared" si="63"/>
        <v>0</v>
      </c>
      <c r="P465" s="847"/>
      <c r="Q465" s="847"/>
      <c r="R465" s="738">
        <f t="shared" si="66"/>
        <v>0</v>
      </c>
      <c r="S465" s="737">
        <f t="shared" si="67"/>
        <v>0</v>
      </c>
      <c r="T465" s="739">
        <f t="shared" si="68"/>
        <v>0</v>
      </c>
      <c r="U465" s="846">
        <v>34800</v>
      </c>
      <c r="V465" s="847">
        <v>36000</v>
      </c>
      <c r="W465" s="846"/>
      <c r="X465" s="846"/>
      <c r="Y465" s="740">
        <f t="shared" si="64"/>
        <v>0</v>
      </c>
      <c r="Z465" s="847"/>
      <c r="AA465" s="847"/>
      <c r="AB465" s="741">
        <f t="shared" si="65"/>
        <v>0</v>
      </c>
      <c r="AC465" s="846"/>
      <c r="AD465" s="847"/>
      <c r="AE465" s="846"/>
      <c r="AF465" s="846"/>
      <c r="AG465" s="847"/>
      <c r="AH465" s="847"/>
      <c r="AI465" s="742">
        <f t="shared" si="69"/>
        <v>34800</v>
      </c>
      <c r="AJ465" s="743">
        <f t="shared" si="70"/>
        <v>36000</v>
      </c>
    </row>
    <row r="466" spans="1:36">
      <c r="A466" s="1203" t="s">
        <v>143</v>
      </c>
      <c r="B466" s="1198" t="s">
        <v>290</v>
      </c>
      <c r="C466" s="1204" t="s">
        <v>137</v>
      </c>
      <c r="D466" s="1205"/>
      <c r="E466" s="1201"/>
      <c r="F466" s="1202"/>
      <c r="G466" s="846"/>
      <c r="H466" s="847"/>
      <c r="I466" s="846"/>
      <c r="J466" s="847"/>
      <c r="K466" s="846"/>
      <c r="L466" s="847"/>
      <c r="M466" s="846"/>
      <c r="N466" s="846"/>
      <c r="O466" s="737">
        <f t="shared" si="63"/>
        <v>0</v>
      </c>
      <c r="P466" s="847"/>
      <c r="Q466" s="847"/>
      <c r="R466" s="738">
        <f t="shared" si="66"/>
        <v>0</v>
      </c>
      <c r="S466" s="737">
        <f t="shared" si="67"/>
        <v>0</v>
      </c>
      <c r="T466" s="739">
        <f t="shared" si="68"/>
        <v>0</v>
      </c>
      <c r="U466" s="846"/>
      <c r="V466" s="847"/>
      <c r="W466" s="846"/>
      <c r="X466" s="846"/>
      <c r="Y466" s="740">
        <f t="shared" si="64"/>
        <v>0</v>
      </c>
      <c r="Z466" s="847"/>
      <c r="AA466" s="847"/>
      <c r="AB466" s="741">
        <f t="shared" si="65"/>
        <v>0</v>
      </c>
      <c r="AC466" s="846"/>
      <c r="AD466" s="847"/>
      <c r="AE466" s="846"/>
      <c r="AF466" s="846"/>
      <c r="AG466" s="847"/>
      <c r="AH466" s="847"/>
      <c r="AI466" s="742">
        <f t="shared" si="69"/>
        <v>0</v>
      </c>
      <c r="AJ466" s="743">
        <f t="shared" si="70"/>
        <v>0</v>
      </c>
    </row>
    <row r="467" spans="1:36">
      <c r="A467" s="1203" t="s">
        <v>143</v>
      </c>
      <c r="B467" s="1198" t="s">
        <v>291</v>
      </c>
      <c r="C467" s="1214" t="s">
        <v>520</v>
      </c>
      <c r="D467" s="1200"/>
      <c r="E467" s="1201"/>
      <c r="F467" s="1202"/>
      <c r="G467" s="846"/>
      <c r="H467" s="847"/>
      <c r="I467" s="846"/>
      <c r="J467" s="847"/>
      <c r="K467" s="846"/>
      <c r="L467" s="847"/>
      <c r="M467" s="846"/>
      <c r="N467" s="846"/>
      <c r="O467" s="737">
        <f t="shared" si="63"/>
        <v>0</v>
      </c>
      <c r="P467" s="847"/>
      <c r="Q467" s="847"/>
      <c r="R467" s="738">
        <f t="shared" si="66"/>
        <v>0</v>
      </c>
      <c r="S467" s="737">
        <f t="shared" si="67"/>
        <v>0</v>
      </c>
      <c r="T467" s="739">
        <f t="shared" si="68"/>
        <v>0</v>
      </c>
      <c r="U467" s="846"/>
      <c r="V467" s="847"/>
      <c r="W467" s="846"/>
      <c r="X467" s="846"/>
      <c r="Y467" s="740">
        <f t="shared" si="64"/>
        <v>0</v>
      </c>
      <c r="Z467" s="847"/>
      <c r="AA467" s="847"/>
      <c r="AB467" s="741">
        <f t="shared" si="65"/>
        <v>0</v>
      </c>
      <c r="AC467" s="846"/>
      <c r="AD467" s="847"/>
      <c r="AE467" s="846"/>
      <c r="AF467" s="846"/>
      <c r="AG467" s="847"/>
      <c r="AH467" s="847"/>
      <c r="AI467" s="742">
        <f t="shared" si="69"/>
        <v>0</v>
      </c>
      <c r="AJ467" s="743">
        <f t="shared" si="70"/>
        <v>0</v>
      </c>
    </row>
    <row r="468" spans="1:36">
      <c r="A468" s="1203" t="s">
        <v>143</v>
      </c>
      <c r="B468" s="1198" t="s">
        <v>292</v>
      </c>
      <c r="C468" s="1218" t="s">
        <v>34</v>
      </c>
      <c r="D468" s="1213"/>
      <c r="E468" s="1201"/>
      <c r="F468" s="1202"/>
      <c r="G468" s="846"/>
      <c r="H468" s="847"/>
      <c r="I468" s="846"/>
      <c r="J468" s="847"/>
      <c r="K468" s="846"/>
      <c r="L468" s="847"/>
      <c r="M468" s="846"/>
      <c r="N468" s="846"/>
      <c r="O468" s="737">
        <f t="shared" si="63"/>
        <v>0</v>
      </c>
      <c r="P468" s="847"/>
      <c r="Q468" s="847"/>
      <c r="R468" s="738">
        <f t="shared" si="66"/>
        <v>0</v>
      </c>
      <c r="S468" s="737">
        <f t="shared" si="67"/>
        <v>0</v>
      </c>
      <c r="T468" s="739">
        <f t="shared" si="68"/>
        <v>0</v>
      </c>
      <c r="U468" s="846"/>
      <c r="V468" s="847"/>
      <c r="W468" s="846"/>
      <c r="X468" s="846"/>
      <c r="Y468" s="740">
        <f t="shared" si="64"/>
        <v>0</v>
      </c>
      <c r="Z468" s="847"/>
      <c r="AA468" s="847"/>
      <c r="AB468" s="741">
        <f t="shared" si="65"/>
        <v>0</v>
      </c>
      <c r="AC468" s="846"/>
      <c r="AD468" s="847"/>
      <c r="AE468" s="846"/>
      <c r="AF468" s="846"/>
      <c r="AG468" s="847"/>
      <c r="AH468" s="847"/>
      <c r="AI468" s="742">
        <f t="shared" si="69"/>
        <v>0</v>
      </c>
      <c r="AJ468" s="743">
        <f t="shared" si="70"/>
        <v>0</v>
      </c>
    </row>
    <row r="469" spans="1:36">
      <c r="A469" s="1203" t="s">
        <v>143</v>
      </c>
      <c r="B469" s="1198" t="s">
        <v>292</v>
      </c>
      <c r="C469" s="1219" t="s">
        <v>1302</v>
      </c>
      <c r="D469" s="1205"/>
      <c r="E469" s="1201"/>
      <c r="F469" s="1202"/>
      <c r="G469" s="846"/>
      <c r="H469" s="847"/>
      <c r="I469" s="846"/>
      <c r="J469" s="847"/>
      <c r="K469" s="846"/>
      <c r="L469" s="847"/>
      <c r="M469" s="846"/>
      <c r="N469" s="846"/>
      <c r="O469" s="737">
        <f t="shared" si="63"/>
        <v>0</v>
      </c>
      <c r="P469" s="847"/>
      <c r="Q469" s="847"/>
      <c r="R469" s="738">
        <f t="shared" si="66"/>
        <v>0</v>
      </c>
      <c r="S469" s="737">
        <f t="shared" si="67"/>
        <v>0</v>
      </c>
      <c r="T469" s="739">
        <f t="shared" si="68"/>
        <v>0</v>
      </c>
      <c r="U469" s="846"/>
      <c r="V469" s="847"/>
      <c r="W469" s="846"/>
      <c r="X469" s="846"/>
      <c r="Y469" s="740">
        <f t="shared" si="64"/>
        <v>0</v>
      </c>
      <c r="Z469" s="847"/>
      <c r="AA469" s="847"/>
      <c r="AB469" s="741">
        <f t="shared" si="65"/>
        <v>0</v>
      </c>
      <c r="AC469" s="846"/>
      <c r="AD469" s="847"/>
      <c r="AE469" s="846"/>
      <c r="AF469" s="846"/>
      <c r="AG469" s="847"/>
      <c r="AH469" s="847"/>
      <c r="AI469" s="742">
        <f t="shared" si="69"/>
        <v>0</v>
      </c>
      <c r="AJ469" s="743">
        <f t="shared" si="70"/>
        <v>0</v>
      </c>
    </row>
    <row r="470" spans="1:36">
      <c r="A470" s="1203" t="s">
        <v>143</v>
      </c>
      <c r="B470" s="1220" t="s">
        <v>209</v>
      </c>
      <c r="C470" s="1221" t="s">
        <v>522</v>
      </c>
      <c r="D470" s="1222"/>
      <c r="E470" s="1201"/>
      <c r="F470" s="1202"/>
      <c r="G470" s="846"/>
      <c r="H470" s="847"/>
      <c r="I470" s="846"/>
      <c r="J470" s="847"/>
      <c r="K470" s="846"/>
      <c r="L470" s="847"/>
      <c r="M470" s="846"/>
      <c r="N470" s="846"/>
      <c r="O470" s="737">
        <f t="shared" si="63"/>
        <v>0</v>
      </c>
      <c r="P470" s="847"/>
      <c r="Q470" s="847"/>
      <c r="R470" s="738">
        <f t="shared" si="66"/>
        <v>0</v>
      </c>
      <c r="S470" s="737">
        <f t="shared" si="67"/>
        <v>0</v>
      </c>
      <c r="T470" s="739">
        <f t="shared" si="68"/>
        <v>0</v>
      </c>
      <c r="U470" s="846"/>
      <c r="V470" s="847"/>
      <c r="W470" s="846"/>
      <c r="X470" s="846"/>
      <c r="Y470" s="740">
        <f t="shared" si="64"/>
        <v>0</v>
      </c>
      <c r="Z470" s="847"/>
      <c r="AA470" s="847"/>
      <c r="AB470" s="741">
        <f t="shared" si="65"/>
        <v>0</v>
      </c>
      <c r="AC470" s="846"/>
      <c r="AD470" s="847"/>
      <c r="AE470" s="846"/>
      <c r="AF470" s="846"/>
      <c r="AG470" s="847"/>
      <c r="AH470" s="847"/>
      <c r="AI470" s="742">
        <f t="shared" si="69"/>
        <v>0</v>
      </c>
      <c r="AJ470" s="743">
        <f t="shared" si="70"/>
        <v>0</v>
      </c>
    </row>
    <row r="471" spans="1:36">
      <c r="A471" s="1203" t="s">
        <v>143</v>
      </c>
      <c r="B471" s="1220" t="s">
        <v>210</v>
      </c>
      <c r="C471" s="1221" t="s">
        <v>311</v>
      </c>
      <c r="D471" s="1222"/>
      <c r="E471" s="1201"/>
      <c r="F471" s="1202"/>
      <c r="G471" s="846"/>
      <c r="H471" s="847"/>
      <c r="I471" s="846"/>
      <c r="J471" s="847"/>
      <c r="K471" s="846"/>
      <c r="L471" s="847"/>
      <c r="M471" s="846"/>
      <c r="N471" s="846"/>
      <c r="O471" s="737">
        <f t="shared" si="63"/>
        <v>0</v>
      </c>
      <c r="P471" s="847"/>
      <c r="Q471" s="847"/>
      <c r="R471" s="738">
        <f t="shared" si="66"/>
        <v>0</v>
      </c>
      <c r="S471" s="737">
        <f t="shared" si="67"/>
        <v>0</v>
      </c>
      <c r="T471" s="739">
        <f t="shared" si="68"/>
        <v>0</v>
      </c>
      <c r="U471" s="846"/>
      <c r="V471" s="847"/>
      <c r="W471" s="846"/>
      <c r="X471" s="846"/>
      <c r="Y471" s="740">
        <f t="shared" si="64"/>
        <v>0</v>
      </c>
      <c r="Z471" s="847"/>
      <c r="AA471" s="847"/>
      <c r="AB471" s="741">
        <f t="shared" si="65"/>
        <v>0</v>
      </c>
      <c r="AC471" s="846"/>
      <c r="AD471" s="847"/>
      <c r="AE471" s="846"/>
      <c r="AF471" s="846"/>
      <c r="AG471" s="847"/>
      <c r="AH471" s="847"/>
      <c r="AI471" s="742">
        <f t="shared" si="69"/>
        <v>0</v>
      </c>
      <c r="AJ471" s="743">
        <f t="shared" si="70"/>
        <v>0</v>
      </c>
    </row>
    <row r="472" spans="1:36">
      <c r="A472" s="1203" t="s">
        <v>143</v>
      </c>
      <c r="B472" s="1220" t="s">
        <v>204</v>
      </c>
      <c r="C472" s="1221" t="s">
        <v>249</v>
      </c>
      <c r="D472" s="1222"/>
      <c r="E472" s="1201"/>
      <c r="F472" s="1202"/>
      <c r="G472" s="846"/>
      <c r="H472" s="847"/>
      <c r="I472" s="846"/>
      <c r="J472" s="847"/>
      <c r="K472" s="846"/>
      <c r="L472" s="847"/>
      <c r="M472" s="846"/>
      <c r="N472" s="846"/>
      <c r="O472" s="737">
        <f t="shared" si="63"/>
        <v>0</v>
      </c>
      <c r="P472" s="847"/>
      <c r="Q472" s="847"/>
      <c r="R472" s="738">
        <f t="shared" si="66"/>
        <v>0</v>
      </c>
      <c r="S472" s="737">
        <f t="shared" si="67"/>
        <v>0</v>
      </c>
      <c r="T472" s="739">
        <f t="shared" si="68"/>
        <v>0</v>
      </c>
      <c r="U472" s="846">
        <v>8552693</v>
      </c>
      <c r="V472" s="847">
        <v>9253805.9774512257</v>
      </c>
      <c r="W472" s="846"/>
      <c r="X472" s="846"/>
      <c r="Y472" s="740">
        <f t="shared" si="64"/>
        <v>0</v>
      </c>
      <c r="Z472" s="847"/>
      <c r="AA472" s="847"/>
      <c r="AB472" s="741">
        <f t="shared" si="65"/>
        <v>0</v>
      </c>
      <c r="AC472" s="846"/>
      <c r="AD472" s="847"/>
      <c r="AE472" s="846"/>
      <c r="AF472" s="846"/>
      <c r="AG472" s="847"/>
      <c r="AH472" s="847"/>
      <c r="AI472" s="742">
        <f t="shared" si="69"/>
        <v>8552693</v>
      </c>
      <c r="AJ472" s="743">
        <f t="shared" si="70"/>
        <v>9253805.9774512257</v>
      </c>
    </row>
    <row r="473" spans="1:36">
      <c r="A473" s="1203" t="s">
        <v>143</v>
      </c>
      <c r="B473" s="1220" t="s">
        <v>205</v>
      </c>
      <c r="C473" s="1221" t="s">
        <v>523</v>
      </c>
      <c r="D473" s="1222"/>
      <c r="E473" s="1201"/>
      <c r="F473" s="1202"/>
      <c r="G473" s="846"/>
      <c r="H473" s="847"/>
      <c r="I473" s="846"/>
      <c r="J473" s="847"/>
      <c r="K473" s="846"/>
      <c r="L473" s="847"/>
      <c r="M473" s="846"/>
      <c r="N473" s="846"/>
      <c r="O473" s="737">
        <f t="shared" si="63"/>
        <v>0</v>
      </c>
      <c r="P473" s="847"/>
      <c r="Q473" s="847"/>
      <c r="R473" s="738">
        <f t="shared" si="66"/>
        <v>0</v>
      </c>
      <c r="S473" s="737">
        <f t="shared" si="67"/>
        <v>0</v>
      </c>
      <c r="T473" s="739">
        <f t="shared" si="68"/>
        <v>0</v>
      </c>
      <c r="U473" s="846"/>
      <c r="V473" s="847"/>
      <c r="W473" s="846"/>
      <c r="X473" s="846"/>
      <c r="Y473" s="740">
        <f t="shared" si="64"/>
        <v>0</v>
      </c>
      <c r="Z473" s="847"/>
      <c r="AA473" s="847"/>
      <c r="AB473" s="741">
        <f t="shared" si="65"/>
        <v>0</v>
      </c>
      <c r="AC473" s="846"/>
      <c r="AD473" s="847"/>
      <c r="AE473" s="846"/>
      <c r="AF473" s="846"/>
      <c r="AG473" s="847"/>
      <c r="AH473" s="847"/>
      <c r="AI473" s="742">
        <f t="shared" si="69"/>
        <v>0</v>
      </c>
      <c r="AJ473" s="743">
        <f t="shared" si="70"/>
        <v>0</v>
      </c>
    </row>
    <row r="474" spans="1:36">
      <c r="A474" s="1203" t="s">
        <v>143</v>
      </c>
      <c r="B474" s="1220" t="s">
        <v>218</v>
      </c>
      <c r="C474" s="1221" t="s">
        <v>311</v>
      </c>
      <c r="D474" s="1222"/>
      <c r="E474" s="1201"/>
      <c r="F474" s="1202"/>
      <c r="G474" s="846"/>
      <c r="H474" s="847"/>
      <c r="I474" s="846"/>
      <c r="J474" s="847"/>
      <c r="K474" s="846"/>
      <c r="L474" s="847"/>
      <c r="M474" s="846"/>
      <c r="N474" s="846"/>
      <c r="O474" s="737">
        <f t="shared" si="63"/>
        <v>0</v>
      </c>
      <c r="P474" s="847"/>
      <c r="Q474" s="847"/>
      <c r="R474" s="738">
        <f t="shared" si="66"/>
        <v>0</v>
      </c>
      <c r="S474" s="737">
        <f t="shared" si="67"/>
        <v>0</v>
      </c>
      <c r="T474" s="739">
        <f t="shared" si="68"/>
        <v>0</v>
      </c>
      <c r="U474" s="846"/>
      <c r="V474" s="847"/>
      <c r="W474" s="846"/>
      <c r="X474" s="846"/>
      <c r="Y474" s="740">
        <f t="shared" si="64"/>
        <v>0</v>
      </c>
      <c r="Z474" s="847"/>
      <c r="AA474" s="847"/>
      <c r="AB474" s="741">
        <f t="shared" si="65"/>
        <v>0</v>
      </c>
      <c r="AC474" s="846"/>
      <c r="AD474" s="847"/>
      <c r="AE474" s="846"/>
      <c r="AF474" s="846"/>
      <c r="AG474" s="847"/>
      <c r="AH474" s="847"/>
      <c r="AI474" s="742">
        <f t="shared" si="69"/>
        <v>0</v>
      </c>
      <c r="AJ474" s="743">
        <f t="shared" si="70"/>
        <v>0</v>
      </c>
    </row>
    <row r="475" spans="1:36">
      <c r="A475" s="1203" t="s">
        <v>143</v>
      </c>
      <c r="B475" s="1220" t="s">
        <v>219</v>
      </c>
      <c r="C475" s="1221" t="s">
        <v>249</v>
      </c>
      <c r="D475" s="1222"/>
      <c r="E475" s="1201"/>
      <c r="F475" s="1202"/>
      <c r="G475" s="846"/>
      <c r="H475" s="847"/>
      <c r="I475" s="846"/>
      <c r="J475" s="847"/>
      <c r="K475" s="846"/>
      <c r="L475" s="847"/>
      <c r="M475" s="846"/>
      <c r="N475" s="846"/>
      <c r="O475" s="737">
        <f t="shared" si="63"/>
        <v>0</v>
      </c>
      <c r="P475" s="847"/>
      <c r="Q475" s="847"/>
      <c r="R475" s="738">
        <f t="shared" si="66"/>
        <v>0</v>
      </c>
      <c r="S475" s="737">
        <f t="shared" si="67"/>
        <v>0</v>
      </c>
      <c r="T475" s="739">
        <f t="shared" si="68"/>
        <v>0</v>
      </c>
      <c r="U475" s="846">
        <v>3888116</v>
      </c>
      <c r="V475" s="847">
        <v>4206847.0225487743</v>
      </c>
      <c r="W475" s="846"/>
      <c r="X475" s="846"/>
      <c r="Y475" s="740">
        <f t="shared" si="64"/>
        <v>0</v>
      </c>
      <c r="Z475" s="847"/>
      <c r="AA475" s="847"/>
      <c r="AB475" s="741">
        <f t="shared" si="65"/>
        <v>0</v>
      </c>
      <c r="AC475" s="846"/>
      <c r="AD475" s="847"/>
      <c r="AE475" s="846"/>
      <c r="AF475" s="846"/>
      <c r="AG475" s="847"/>
      <c r="AH475" s="847"/>
      <c r="AI475" s="742">
        <f t="shared" si="69"/>
        <v>3888116</v>
      </c>
      <c r="AJ475" s="743">
        <f t="shared" si="70"/>
        <v>4206847.0225487743</v>
      </c>
    </row>
    <row r="476" spans="1:36">
      <c r="A476" s="1203" t="s">
        <v>143</v>
      </c>
      <c r="B476" s="1198" t="s">
        <v>292</v>
      </c>
      <c r="C476" s="1219" t="s">
        <v>1303</v>
      </c>
      <c r="D476" s="1205"/>
      <c r="E476" s="1201"/>
      <c r="F476" s="1202"/>
      <c r="G476" s="846"/>
      <c r="H476" s="847"/>
      <c r="I476" s="846"/>
      <c r="J476" s="847"/>
      <c r="K476" s="846"/>
      <c r="L476" s="847"/>
      <c r="M476" s="846"/>
      <c r="N476" s="846"/>
      <c r="O476" s="737">
        <f t="shared" si="63"/>
        <v>0</v>
      </c>
      <c r="P476" s="847"/>
      <c r="Q476" s="847"/>
      <c r="R476" s="738">
        <f t="shared" si="66"/>
        <v>0</v>
      </c>
      <c r="S476" s="737">
        <f t="shared" si="67"/>
        <v>0</v>
      </c>
      <c r="T476" s="739">
        <f t="shared" si="68"/>
        <v>0</v>
      </c>
      <c r="U476" s="846"/>
      <c r="V476" s="847"/>
      <c r="W476" s="846"/>
      <c r="X476" s="846"/>
      <c r="Y476" s="740">
        <f t="shared" si="64"/>
        <v>0</v>
      </c>
      <c r="Z476" s="847"/>
      <c r="AA476" s="847"/>
      <c r="AB476" s="741">
        <f t="shared" si="65"/>
        <v>0</v>
      </c>
      <c r="AC476" s="846"/>
      <c r="AD476" s="847"/>
      <c r="AE476" s="846"/>
      <c r="AF476" s="846"/>
      <c r="AG476" s="847"/>
      <c r="AH476" s="847"/>
      <c r="AI476" s="742">
        <f t="shared" si="69"/>
        <v>0</v>
      </c>
      <c r="AJ476" s="743">
        <f t="shared" si="70"/>
        <v>0</v>
      </c>
    </row>
    <row r="477" spans="1:36">
      <c r="A477" s="1203" t="s">
        <v>143</v>
      </c>
      <c r="B477" s="1220" t="s">
        <v>209</v>
      </c>
      <c r="C477" s="1221" t="s">
        <v>522</v>
      </c>
      <c r="D477" s="1222"/>
      <c r="E477" s="1201"/>
      <c r="F477" s="1202"/>
      <c r="G477" s="846"/>
      <c r="H477" s="847"/>
      <c r="I477" s="846"/>
      <c r="J477" s="847"/>
      <c r="K477" s="846"/>
      <c r="L477" s="847"/>
      <c r="M477" s="846"/>
      <c r="N477" s="846"/>
      <c r="O477" s="737">
        <f t="shared" si="63"/>
        <v>0</v>
      </c>
      <c r="P477" s="847"/>
      <c r="Q477" s="847"/>
      <c r="R477" s="738">
        <f t="shared" si="66"/>
        <v>0</v>
      </c>
      <c r="S477" s="737">
        <f t="shared" si="67"/>
        <v>0</v>
      </c>
      <c r="T477" s="739">
        <f t="shared" si="68"/>
        <v>0</v>
      </c>
      <c r="U477" s="846"/>
      <c r="V477" s="847"/>
      <c r="W477" s="846"/>
      <c r="X477" s="846"/>
      <c r="Y477" s="740">
        <f t="shared" si="64"/>
        <v>0</v>
      </c>
      <c r="Z477" s="847"/>
      <c r="AA477" s="847"/>
      <c r="AB477" s="741">
        <f t="shared" si="65"/>
        <v>0</v>
      </c>
      <c r="AC477" s="846"/>
      <c r="AD477" s="847"/>
      <c r="AE477" s="846"/>
      <c r="AF477" s="846"/>
      <c r="AG477" s="847"/>
      <c r="AH477" s="847"/>
      <c r="AI477" s="742">
        <f t="shared" si="69"/>
        <v>0</v>
      </c>
      <c r="AJ477" s="743">
        <f t="shared" si="70"/>
        <v>0</v>
      </c>
    </row>
    <row r="478" spans="1:36">
      <c r="A478" s="1203" t="s">
        <v>143</v>
      </c>
      <c r="B478" s="1220" t="s">
        <v>210</v>
      </c>
      <c r="C478" s="1221" t="s">
        <v>311</v>
      </c>
      <c r="D478" s="1222"/>
      <c r="E478" s="1201"/>
      <c r="F478" s="1202"/>
      <c r="G478" s="846"/>
      <c r="H478" s="847"/>
      <c r="I478" s="846"/>
      <c r="J478" s="847"/>
      <c r="K478" s="846"/>
      <c r="L478" s="847"/>
      <c r="M478" s="846"/>
      <c r="N478" s="846"/>
      <c r="O478" s="737">
        <f t="shared" si="63"/>
        <v>0</v>
      </c>
      <c r="P478" s="847"/>
      <c r="Q478" s="847"/>
      <c r="R478" s="738">
        <f t="shared" si="66"/>
        <v>0</v>
      </c>
      <c r="S478" s="737">
        <f t="shared" si="67"/>
        <v>0</v>
      </c>
      <c r="T478" s="739">
        <f t="shared" si="68"/>
        <v>0</v>
      </c>
      <c r="U478" s="846"/>
      <c r="V478" s="847"/>
      <c r="W478" s="846"/>
      <c r="X478" s="846"/>
      <c r="Y478" s="740">
        <f t="shared" si="64"/>
        <v>0</v>
      </c>
      <c r="Z478" s="847"/>
      <c r="AA478" s="847"/>
      <c r="AB478" s="741">
        <f t="shared" si="65"/>
        <v>0</v>
      </c>
      <c r="AC478" s="846"/>
      <c r="AD478" s="847"/>
      <c r="AE478" s="846"/>
      <c r="AF478" s="846"/>
      <c r="AG478" s="847"/>
      <c r="AH478" s="847"/>
      <c r="AI478" s="742">
        <f t="shared" si="69"/>
        <v>0</v>
      </c>
      <c r="AJ478" s="743">
        <f t="shared" si="70"/>
        <v>0</v>
      </c>
    </row>
    <row r="479" spans="1:36">
      <c r="A479" s="1203" t="s">
        <v>143</v>
      </c>
      <c r="B479" s="1220" t="s">
        <v>204</v>
      </c>
      <c r="C479" s="1221" t="s">
        <v>249</v>
      </c>
      <c r="D479" s="1222"/>
      <c r="E479" s="1201"/>
      <c r="F479" s="1202"/>
      <c r="G479" s="846"/>
      <c r="H479" s="847"/>
      <c r="I479" s="846"/>
      <c r="J479" s="847"/>
      <c r="K479" s="846"/>
      <c r="L479" s="847"/>
      <c r="M479" s="846"/>
      <c r="N479" s="846"/>
      <c r="O479" s="737">
        <f t="shared" si="63"/>
        <v>0</v>
      </c>
      <c r="P479" s="847"/>
      <c r="Q479" s="847"/>
      <c r="R479" s="738">
        <f t="shared" si="66"/>
        <v>0</v>
      </c>
      <c r="S479" s="737">
        <f t="shared" si="67"/>
        <v>0</v>
      </c>
      <c r="T479" s="739">
        <f t="shared" si="68"/>
        <v>0</v>
      </c>
      <c r="U479" s="846">
        <v>100877833</v>
      </c>
      <c r="V479" s="847">
        <v>89449971.235825256</v>
      </c>
      <c r="W479" s="846"/>
      <c r="X479" s="846"/>
      <c r="Y479" s="740">
        <f t="shared" si="64"/>
        <v>0</v>
      </c>
      <c r="Z479" s="847"/>
      <c r="AA479" s="847"/>
      <c r="AB479" s="741">
        <f t="shared" si="65"/>
        <v>0</v>
      </c>
      <c r="AC479" s="846"/>
      <c r="AD479" s="847"/>
      <c r="AE479" s="846"/>
      <c r="AF479" s="846"/>
      <c r="AG479" s="847"/>
      <c r="AH479" s="847"/>
      <c r="AI479" s="742">
        <f t="shared" si="69"/>
        <v>100877833</v>
      </c>
      <c r="AJ479" s="743">
        <f t="shared" si="70"/>
        <v>89449971.235825256</v>
      </c>
    </row>
    <row r="480" spans="1:36">
      <c r="A480" s="1203" t="s">
        <v>143</v>
      </c>
      <c r="B480" s="1220" t="s">
        <v>205</v>
      </c>
      <c r="C480" s="1221" t="s">
        <v>523</v>
      </c>
      <c r="D480" s="1222"/>
      <c r="E480" s="1201"/>
      <c r="F480" s="1202"/>
      <c r="G480" s="846"/>
      <c r="H480" s="847"/>
      <c r="I480" s="846"/>
      <c r="J480" s="847"/>
      <c r="K480" s="846"/>
      <c r="L480" s="847"/>
      <c r="M480" s="846"/>
      <c r="N480" s="846"/>
      <c r="O480" s="737">
        <f t="shared" si="63"/>
        <v>0</v>
      </c>
      <c r="P480" s="847"/>
      <c r="Q480" s="847"/>
      <c r="R480" s="738">
        <f t="shared" si="66"/>
        <v>0</v>
      </c>
      <c r="S480" s="737">
        <f t="shared" si="67"/>
        <v>0</v>
      </c>
      <c r="T480" s="739">
        <f t="shared" si="68"/>
        <v>0</v>
      </c>
      <c r="U480" s="846"/>
      <c r="V480" s="847"/>
      <c r="W480" s="846"/>
      <c r="X480" s="846"/>
      <c r="Y480" s="740">
        <f t="shared" si="64"/>
        <v>0</v>
      </c>
      <c r="Z480" s="847"/>
      <c r="AA480" s="847"/>
      <c r="AB480" s="741">
        <f t="shared" si="65"/>
        <v>0</v>
      </c>
      <c r="AC480" s="846"/>
      <c r="AD480" s="847"/>
      <c r="AE480" s="846"/>
      <c r="AF480" s="846"/>
      <c r="AG480" s="847"/>
      <c r="AH480" s="847"/>
      <c r="AI480" s="742">
        <f t="shared" si="69"/>
        <v>0</v>
      </c>
      <c r="AJ480" s="743">
        <f t="shared" si="70"/>
        <v>0</v>
      </c>
    </row>
    <row r="481" spans="1:36">
      <c r="A481" s="1203" t="s">
        <v>143</v>
      </c>
      <c r="B481" s="1220" t="s">
        <v>218</v>
      </c>
      <c r="C481" s="1221" t="s">
        <v>311</v>
      </c>
      <c r="D481" s="1222"/>
      <c r="E481" s="1201"/>
      <c r="F481" s="1202"/>
      <c r="G481" s="846"/>
      <c r="H481" s="847"/>
      <c r="I481" s="846"/>
      <c r="J481" s="847"/>
      <c r="K481" s="846"/>
      <c r="L481" s="847"/>
      <c r="M481" s="846"/>
      <c r="N481" s="846"/>
      <c r="O481" s="737">
        <f t="shared" si="63"/>
        <v>0</v>
      </c>
      <c r="P481" s="847"/>
      <c r="Q481" s="847"/>
      <c r="R481" s="738">
        <f t="shared" si="66"/>
        <v>0</v>
      </c>
      <c r="S481" s="737">
        <f t="shared" si="67"/>
        <v>0</v>
      </c>
      <c r="T481" s="739">
        <f t="shared" si="68"/>
        <v>0</v>
      </c>
      <c r="U481" s="846"/>
      <c r="V481" s="847"/>
      <c r="W481" s="846"/>
      <c r="X481" s="846"/>
      <c r="Y481" s="740">
        <f t="shared" si="64"/>
        <v>0</v>
      </c>
      <c r="Z481" s="847"/>
      <c r="AA481" s="847"/>
      <c r="AB481" s="741">
        <f t="shared" si="65"/>
        <v>0</v>
      </c>
      <c r="AC481" s="846"/>
      <c r="AD481" s="847"/>
      <c r="AE481" s="846"/>
      <c r="AF481" s="846"/>
      <c r="AG481" s="847"/>
      <c r="AH481" s="847"/>
      <c r="AI481" s="742">
        <f t="shared" si="69"/>
        <v>0</v>
      </c>
      <c r="AJ481" s="743">
        <f t="shared" si="70"/>
        <v>0</v>
      </c>
    </row>
    <row r="482" spans="1:36">
      <c r="A482" s="1203" t="s">
        <v>143</v>
      </c>
      <c r="B482" s="1220" t="s">
        <v>219</v>
      </c>
      <c r="C482" s="1221" t="s">
        <v>249</v>
      </c>
      <c r="D482" s="1222"/>
      <c r="E482" s="1201"/>
      <c r="F482" s="1202"/>
      <c r="G482" s="846"/>
      <c r="H482" s="847"/>
      <c r="I482" s="846"/>
      <c r="J482" s="847"/>
      <c r="K482" s="846"/>
      <c r="L482" s="847"/>
      <c r="M482" s="846"/>
      <c r="N482" s="846"/>
      <c r="O482" s="737">
        <f t="shared" si="63"/>
        <v>0</v>
      </c>
      <c r="P482" s="847"/>
      <c r="Q482" s="847"/>
      <c r="R482" s="738">
        <f t="shared" si="66"/>
        <v>0</v>
      </c>
      <c r="S482" s="737">
        <f t="shared" si="67"/>
        <v>0</v>
      </c>
      <c r="T482" s="739">
        <f t="shared" si="68"/>
        <v>0</v>
      </c>
      <c r="U482" s="846">
        <v>11897869</v>
      </c>
      <c r="V482" s="847">
        <v>10550028.764174752</v>
      </c>
      <c r="W482" s="846"/>
      <c r="X482" s="846"/>
      <c r="Y482" s="740">
        <f t="shared" si="64"/>
        <v>0</v>
      </c>
      <c r="Z482" s="847"/>
      <c r="AA482" s="847"/>
      <c r="AB482" s="741">
        <f t="shared" si="65"/>
        <v>0</v>
      </c>
      <c r="AC482" s="846"/>
      <c r="AD482" s="847"/>
      <c r="AE482" s="846"/>
      <c r="AF482" s="846"/>
      <c r="AG482" s="847"/>
      <c r="AH482" s="847"/>
      <c r="AI482" s="742">
        <f t="shared" si="69"/>
        <v>11897869</v>
      </c>
      <c r="AJ482" s="743">
        <f t="shared" si="70"/>
        <v>10550028.764174752</v>
      </c>
    </row>
    <row r="483" spans="1:36">
      <c r="A483" s="1203" t="s">
        <v>143</v>
      </c>
      <c r="B483" s="1198" t="s">
        <v>292</v>
      </c>
      <c r="C483" s="1223" t="s">
        <v>1304</v>
      </c>
      <c r="D483" s="1222"/>
      <c r="E483" s="1201"/>
      <c r="F483" s="1202"/>
      <c r="G483" s="846"/>
      <c r="H483" s="847"/>
      <c r="I483" s="846"/>
      <c r="J483" s="847"/>
      <c r="K483" s="846"/>
      <c r="L483" s="847"/>
      <c r="M483" s="846"/>
      <c r="N483" s="846"/>
      <c r="O483" s="737">
        <f t="shared" si="63"/>
        <v>0</v>
      </c>
      <c r="P483" s="847"/>
      <c r="Q483" s="847"/>
      <c r="R483" s="738">
        <f t="shared" si="66"/>
        <v>0</v>
      </c>
      <c r="S483" s="737">
        <f t="shared" si="67"/>
        <v>0</v>
      </c>
      <c r="T483" s="739">
        <f t="shared" si="68"/>
        <v>0</v>
      </c>
      <c r="U483" s="846"/>
      <c r="V483" s="847"/>
      <c r="W483" s="846"/>
      <c r="X483" s="846"/>
      <c r="Y483" s="740">
        <f t="shared" si="64"/>
        <v>0</v>
      </c>
      <c r="Z483" s="847"/>
      <c r="AA483" s="847"/>
      <c r="AB483" s="741">
        <f t="shared" si="65"/>
        <v>0</v>
      </c>
      <c r="AC483" s="846"/>
      <c r="AD483" s="847"/>
      <c r="AE483" s="846"/>
      <c r="AF483" s="846"/>
      <c r="AG483" s="847"/>
      <c r="AH483" s="847"/>
      <c r="AI483" s="742">
        <f t="shared" si="69"/>
        <v>0</v>
      </c>
      <c r="AJ483" s="743">
        <f t="shared" si="70"/>
        <v>0</v>
      </c>
    </row>
    <row r="484" spans="1:36">
      <c r="A484" s="1203" t="s">
        <v>143</v>
      </c>
      <c r="B484" s="1220" t="s">
        <v>209</v>
      </c>
      <c r="C484" s="1221" t="s">
        <v>522</v>
      </c>
      <c r="D484" s="1222"/>
      <c r="E484" s="1201"/>
      <c r="F484" s="1202"/>
      <c r="G484" s="846"/>
      <c r="H484" s="847"/>
      <c r="I484" s="846"/>
      <c r="J484" s="847"/>
      <c r="K484" s="846"/>
      <c r="L484" s="847"/>
      <c r="M484" s="846"/>
      <c r="N484" s="846"/>
      <c r="O484" s="737">
        <f t="shared" si="63"/>
        <v>0</v>
      </c>
      <c r="P484" s="847"/>
      <c r="Q484" s="847"/>
      <c r="R484" s="738">
        <f t="shared" si="66"/>
        <v>0</v>
      </c>
      <c r="S484" s="737">
        <f t="shared" si="67"/>
        <v>0</v>
      </c>
      <c r="T484" s="739">
        <f t="shared" si="68"/>
        <v>0</v>
      </c>
      <c r="U484" s="846"/>
      <c r="V484" s="847"/>
      <c r="W484" s="846"/>
      <c r="X484" s="846"/>
      <c r="Y484" s="740">
        <f t="shared" si="64"/>
        <v>0</v>
      </c>
      <c r="Z484" s="847"/>
      <c r="AA484" s="847"/>
      <c r="AB484" s="741">
        <f t="shared" si="65"/>
        <v>0</v>
      </c>
      <c r="AC484" s="846"/>
      <c r="AD484" s="847"/>
      <c r="AE484" s="846"/>
      <c r="AF484" s="846"/>
      <c r="AG484" s="847"/>
      <c r="AH484" s="847"/>
      <c r="AI484" s="742">
        <f t="shared" si="69"/>
        <v>0</v>
      </c>
      <c r="AJ484" s="743">
        <f t="shared" si="70"/>
        <v>0</v>
      </c>
    </row>
    <row r="485" spans="1:36">
      <c r="A485" s="1203" t="s">
        <v>143</v>
      </c>
      <c r="B485" s="1220" t="s">
        <v>210</v>
      </c>
      <c r="C485" s="1221" t="s">
        <v>311</v>
      </c>
      <c r="D485" s="1222"/>
      <c r="E485" s="1201"/>
      <c r="F485" s="1202"/>
      <c r="G485" s="846"/>
      <c r="H485" s="847"/>
      <c r="I485" s="846"/>
      <c r="J485" s="847"/>
      <c r="K485" s="846"/>
      <c r="L485" s="847"/>
      <c r="M485" s="846"/>
      <c r="N485" s="846"/>
      <c r="O485" s="737">
        <f t="shared" si="63"/>
        <v>0</v>
      </c>
      <c r="P485" s="847"/>
      <c r="Q485" s="847"/>
      <c r="R485" s="738">
        <f t="shared" si="66"/>
        <v>0</v>
      </c>
      <c r="S485" s="737">
        <f t="shared" si="67"/>
        <v>0</v>
      </c>
      <c r="T485" s="739">
        <f t="shared" si="68"/>
        <v>0</v>
      </c>
      <c r="U485" s="846">
        <v>4933211</v>
      </c>
      <c r="V485" s="847">
        <v>5600000</v>
      </c>
      <c r="W485" s="846"/>
      <c r="X485" s="846"/>
      <c r="Y485" s="740">
        <f t="shared" si="64"/>
        <v>0</v>
      </c>
      <c r="Z485" s="847"/>
      <c r="AA485" s="847"/>
      <c r="AB485" s="741">
        <f t="shared" si="65"/>
        <v>0</v>
      </c>
      <c r="AC485" s="846"/>
      <c r="AD485" s="847"/>
      <c r="AE485" s="846"/>
      <c r="AF485" s="846"/>
      <c r="AG485" s="847"/>
      <c r="AH485" s="847"/>
      <c r="AI485" s="742">
        <f t="shared" si="69"/>
        <v>4933211</v>
      </c>
      <c r="AJ485" s="743">
        <f t="shared" si="70"/>
        <v>5600000</v>
      </c>
    </row>
    <row r="486" spans="1:36">
      <c r="A486" s="1203" t="s">
        <v>143</v>
      </c>
      <c r="B486" s="1220" t="s">
        <v>204</v>
      </c>
      <c r="C486" s="1221" t="s">
        <v>249</v>
      </c>
      <c r="D486" s="1222"/>
      <c r="E486" s="1201"/>
      <c r="F486" s="1202"/>
      <c r="G486" s="846"/>
      <c r="H486" s="847"/>
      <c r="I486" s="846"/>
      <c r="J486" s="847"/>
      <c r="K486" s="846"/>
      <c r="L486" s="847"/>
      <c r="M486" s="846"/>
      <c r="N486" s="846"/>
      <c r="O486" s="737">
        <f t="shared" si="63"/>
        <v>0</v>
      </c>
      <c r="P486" s="847"/>
      <c r="Q486" s="847"/>
      <c r="R486" s="738">
        <f t="shared" si="66"/>
        <v>0</v>
      </c>
      <c r="S486" s="737">
        <f t="shared" si="67"/>
        <v>0</v>
      </c>
      <c r="T486" s="739">
        <f t="shared" si="68"/>
        <v>0</v>
      </c>
      <c r="U486" s="846"/>
      <c r="V486" s="847"/>
      <c r="W486" s="846"/>
      <c r="X486" s="846"/>
      <c r="Y486" s="740">
        <f t="shared" si="64"/>
        <v>0</v>
      </c>
      <c r="Z486" s="847"/>
      <c r="AA486" s="847"/>
      <c r="AB486" s="741">
        <f t="shared" si="65"/>
        <v>0</v>
      </c>
      <c r="AC486" s="846"/>
      <c r="AD486" s="847"/>
      <c r="AE486" s="846"/>
      <c r="AF486" s="846"/>
      <c r="AG486" s="847"/>
      <c r="AH486" s="847"/>
      <c r="AI486" s="742">
        <f t="shared" si="69"/>
        <v>0</v>
      </c>
      <c r="AJ486" s="743">
        <f t="shared" si="70"/>
        <v>0</v>
      </c>
    </row>
    <row r="487" spans="1:36">
      <c r="A487" s="1203" t="s">
        <v>143</v>
      </c>
      <c r="B487" s="1220" t="s">
        <v>205</v>
      </c>
      <c r="C487" s="1221" t="s">
        <v>523</v>
      </c>
      <c r="D487" s="1222"/>
      <c r="E487" s="1201"/>
      <c r="F487" s="1202"/>
      <c r="G487" s="846"/>
      <c r="H487" s="847"/>
      <c r="I487" s="846"/>
      <c r="J487" s="847"/>
      <c r="K487" s="846"/>
      <c r="L487" s="847"/>
      <c r="M487" s="846"/>
      <c r="N487" s="846"/>
      <c r="O487" s="737">
        <f t="shared" si="63"/>
        <v>0</v>
      </c>
      <c r="P487" s="847"/>
      <c r="Q487" s="847"/>
      <c r="R487" s="738">
        <f t="shared" si="66"/>
        <v>0</v>
      </c>
      <c r="S487" s="737">
        <f t="shared" si="67"/>
        <v>0</v>
      </c>
      <c r="T487" s="739">
        <f t="shared" si="68"/>
        <v>0</v>
      </c>
      <c r="U487" s="846"/>
      <c r="V487" s="847"/>
      <c r="W487" s="846"/>
      <c r="X487" s="846"/>
      <c r="Y487" s="740">
        <f t="shared" si="64"/>
        <v>0</v>
      </c>
      <c r="Z487" s="847"/>
      <c r="AA487" s="847"/>
      <c r="AB487" s="741">
        <f t="shared" si="65"/>
        <v>0</v>
      </c>
      <c r="AC487" s="846"/>
      <c r="AD487" s="847"/>
      <c r="AE487" s="846"/>
      <c r="AF487" s="846"/>
      <c r="AG487" s="847"/>
      <c r="AH487" s="847"/>
      <c r="AI487" s="742">
        <f t="shared" si="69"/>
        <v>0</v>
      </c>
      <c r="AJ487" s="743">
        <f t="shared" si="70"/>
        <v>0</v>
      </c>
    </row>
    <row r="488" spans="1:36">
      <c r="A488" s="1203" t="s">
        <v>143</v>
      </c>
      <c r="B488" s="1220" t="s">
        <v>218</v>
      </c>
      <c r="C488" s="1221" t="s">
        <v>311</v>
      </c>
      <c r="D488" s="1222"/>
      <c r="E488" s="1201"/>
      <c r="F488" s="1202"/>
      <c r="G488" s="846"/>
      <c r="H488" s="847"/>
      <c r="I488" s="846"/>
      <c r="J488" s="847"/>
      <c r="K488" s="846"/>
      <c r="L488" s="847"/>
      <c r="M488" s="846"/>
      <c r="N488" s="846"/>
      <c r="O488" s="737">
        <f t="shared" si="63"/>
        <v>0</v>
      </c>
      <c r="P488" s="847"/>
      <c r="Q488" s="847"/>
      <c r="R488" s="738">
        <f t="shared" si="66"/>
        <v>0</v>
      </c>
      <c r="S488" s="737">
        <f t="shared" si="67"/>
        <v>0</v>
      </c>
      <c r="T488" s="739">
        <f t="shared" si="68"/>
        <v>0</v>
      </c>
      <c r="U488" s="846">
        <v>351165</v>
      </c>
      <c r="V488" s="847">
        <v>400000</v>
      </c>
      <c r="W488" s="846"/>
      <c r="X488" s="846"/>
      <c r="Y488" s="740">
        <f t="shared" si="64"/>
        <v>0</v>
      </c>
      <c r="Z488" s="847"/>
      <c r="AA488" s="847"/>
      <c r="AB488" s="741">
        <f t="shared" si="65"/>
        <v>0</v>
      </c>
      <c r="AC488" s="846"/>
      <c r="AD488" s="847"/>
      <c r="AE488" s="846"/>
      <c r="AF488" s="846"/>
      <c r="AG488" s="847"/>
      <c r="AH488" s="847"/>
      <c r="AI488" s="742">
        <f t="shared" si="69"/>
        <v>351165</v>
      </c>
      <c r="AJ488" s="743">
        <f t="shared" si="70"/>
        <v>400000</v>
      </c>
    </row>
    <row r="489" spans="1:36">
      <c r="A489" s="1203" t="s">
        <v>143</v>
      </c>
      <c r="B489" s="1220" t="s">
        <v>219</v>
      </c>
      <c r="C489" s="1221" t="s">
        <v>249</v>
      </c>
      <c r="D489" s="1222"/>
      <c r="E489" s="1201"/>
      <c r="F489" s="1202"/>
      <c r="G489" s="846"/>
      <c r="H489" s="847"/>
      <c r="I489" s="846"/>
      <c r="J489" s="847"/>
      <c r="K489" s="846"/>
      <c r="L489" s="847"/>
      <c r="M489" s="846"/>
      <c r="N489" s="846"/>
      <c r="O489" s="737">
        <f t="shared" si="63"/>
        <v>0</v>
      </c>
      <c r="P489" s="847"/>
      <c r="Q489" s="847"/>
      <c r="R489" s="738">
        <f t="shared" si="66"/>
        <v>0</v>
      </c>
      <c r="S489" s="737">
        <f t="shared" si="67"/>
        <v>0</v>
      </c>
      <c r="T489" s="739">
        <f t="shared" si="68"/>
        <v>0</v>
      </c>
      <c r="U489" s="846"/>
      <c r="V489" s="847"/>
      <c r="W489" s="846"/>
      <c r="X489" s="846"/>
      <c r="Y489" s="740">
        <f t="shared" si="64"/>
        <v>0</v>
      </c>
      <c r="Z489" s="847"/>
      <c r="AA489" s="847"/>
      <c r="AB489" s="741">
        <f t="shared" si="65"/>
        <v>0</v>
      </c>
      <c r="AC489" s="846"/>
      <c r="AD489" s="847"/>
      <c r="AE489" s="846"/>
      <c r="AF489" s="846"/>
      <c r="AG489" s="847"/>
      <c r="AH489" s="847"/>
      <c r="AI489" s="742">
        <f t="shared" si="69"/>
        <v>0</v>
      </c>
      <c r="AJ489" s="743">
        <f t="shared" si="70"/>
        <v>0</v>
      </c>
    </row>
    <row r="490" spans="1:36">
      <c r="A490" s="1203" t="s">
        <v>143</v>
      </c>
      <c r="B490" s="1198" t="s">
        <v>292</v>
      </c>
      <c r="C490" s="1219" t="s">
        <v>1305</v>
      </c>
      <c r="D490" s="1205"/>
      <c r="E490" s="1201"/>
      <c r="F490" s="1202"/>
      <c r="G490" s="846"/>
      <c r="H490" s="847"/>
      <c r="I490" s="846"/>
      <c r="J490" s="847"/>
      <c r="K490" s="846"/>
      <c r="L490" s="847"/>
      <c r="M490" s="846"/>
      <c r="N490" s="846"/>
      <c r="O490" s="737">
        <f t="shared" si="63"/>
        <v>0</v>
      </c>
      <c r="P490" s="847"/>
      <c r="Q490" s="847"/>
      <c r="R490" s="738">
        <f t="shared" si="66"/>
        <v>0</v>
      </c>
      <c r="S490" s="737">
        <f t="shared" si="67"/>
        <v>0</v>
      </c>
      <c r="T490" s="739">
        <f t="shared" si="68"/>
        <v>0</v>
      </c>
      <c r="U490" s="846"/>
      <c r="V490" s="847"/>
      <c r="W490" s="846"/>
      <c r="X490" s="846"/>
      <c r="Y490" s="740">
        <f t="shared" si="64"/>
        <v>0</v>
      </c>
      <c r="Z490" s="847"/>
      <c r="AA490" s="847"/>
      <c r="AB490" s="741">
        <f t="shared" si="65"/>
        <v>0</v>
      </c>
      <c r="AC490" s="846"/>
      <c r="AD490" s="847"/>
      <c r="AE490" s="846"/>
      <c r="AF490" s="846"/>
      <c r="AG490" s="847"/>
      <c r="AH490" s="847"/>
      <c r="AI490" s="742">
        <f t="shared" si="69"/>
        <v>0</v>
      </c>
      <c r="AJ490" s="743">
        <f t="shared" si="70"/>
        <v>0</v>
      </c>
    </row>
    <row r="491" spans="1:36">
      <c r="A491" s="1203" t="s">
        <v>143</v>
      </c>
      <c r="B491" s="1220" t="s">
        <v>209</v>
      </c>
      <c r="C491" s="1221" t="s">
        <v>522</v>
      </c>
      <c r="D491" s="1222"/>
      <c r="E491" s="1201"/>
      <c r="F491" s="1202"/>
      <c r="G491" s="846"/>
      <c r="H491" s="847"/>
      <c r="I491" s="846"/>
      <c r="J491" s="847"/>
      <c r="K491" s="846"/>
      <c r="L491" s="847"/>
      <c r="M491" s="846"/>
      <c r="N491" s="846"/>
      <c r="O491" s="737">
        <f t="shared" si="63"/>
        <v>0</v>
      </c>
      <c r="P491" s="847"/>
      <c r="Q491" s="847"/>
      <c r="R491" s="738">
        <f t="shared" si="66"/>
        <v>0</v>
      </c>
      <c r="S491" s="737">
        <f t="shared" si="67"/>
        <v>0</v>
      </c>
      <c r="T491" s="739">
        <f t="shared" si="68"/>
        <v>0</v>
      </c>
      <c r="U491" s="846"/>
      <c r="V491" s="847"/>
      <c r="W491" s="846"/>
      <c r="X491" s="846"/>
      <c r="Y491" s="740">
        <f t="shared" si="64"/>
        <v>0</v>
      </c>
      <c r="Z491" s="847"/>
      <c r="AA491" s="847"/>
      <c r="AB491" s="741">
        <f t="shared" si="65"/>
        <v>0</v>
      </c>
      <c r="AC491" s="846"/>
      <c r="AD491" s="847"/>
      <c r="AE491" s="846"/>
      <c r="AF491" s="846"/>
      <c r="AG491" s="847"/>
      <c r="AH491" s="847"/>
      <c r="AI491" s="742">
        <f t="shared" si="69"/>
        <v>0</v>
      </c>
      <c r="AJ491" s="743">
        <f t="shared" si="70"/>
        <v>0</v>
      </c>
    </row>
    <row r="492" spans="1:36">
      <c r="A492" s="1203" t="s">
        <v>143</v>
      </c>
      <c r="B492" s="1220" t="s">
        <v>210</v>
      </c>
      <c r="C492" s="1221" t="s">
        <v>311</v>
      </c>
      <c r="D492" s="1222"/>
      <c r="E492" s="1201"/>
      <c r="F492" s="1202"/>
      <c r="G492" s="846"/>
      <c r="H492" s="847"/>
      <c r="I492" s="846"/>
      <c r="J492" s="847"/>
      <c r="K492" s="846"/>
      <c r="L492" s="847"/>
      <c r="M492" s="846"/>
      <c r="N492" s="846"/>
      <c r="O492" s="737">
        <f t="shared" si="63"/>
        <v>0</v>
      </c>
      <c r="P492" s="847"/>
      <c r="Q492" s="847"/>
      <c r="R492" s="738">
        <f t="shared" si="66"/>
        <v>0</v>
      </c>
      <c r="S492" s="737">
        <f t="shared" si="67"/>
        <v>0</v>
      </c>
      <c r="T492" s="739">
        <f t="shared" si="68"/>
        <v>0</v>
      </c>
      <c r="U492" s="846"/>
      <c r="V492" s="847"/>
      <c r="W492" s="846"/>
      <c r="X492" s="846"/>
      <c r="Y492" s="740">
        <f t="shared" si="64"/>
        <v>0</v>
      </c>
      <c r="Z492" s="847"/>
      <c r="AA492" s="847"/>
      <c r="AB492" s="741">
        <f t="shared" si="65"/>
        <v>0</v>
      </c>
      <c r="AC492" s="846"/>
      <c r="AD492" s="847"/>
      <c r="AE492" s="846"/>
      <c r="AF492" s="846"/>
      <c r="AG492" s="847"/>
      <c r="AH492" s="847"/>
      <c r="AI492" s="742">
        <f t="shared" si="69"/>
        <v>0</v>
      </c>
      <c r="AJ492" s="743">
        <f t="shared" si="70"/>
        <v>0</v>
      </c>
    </row>
    <row r="493" spans="1:36">
      <c r="A493" s="1203" t="s">
        <v>143</v>
      </c>
      <c r="B493" s="1220" t="s">
        <v>204</v>
      </c>
      <c r="C493" s="1221" t="s">
        <v>249</v>
      </c>
      <c r="D493" s="1222"/>
      <c r="E493" s="1201"/>
      <c r="F493" s="1202"/>
      <c r="G493" s="846"/>
      <c r="H493" s="847"/>
      <c r="I493" s="846"/>
      <c r="J493" s="847"/>
      <c r="K493" s="846"/>
      <c r="L493" s="847"/>
      <c r="M493" s="846"/>
      <c r="N493" s="846"/>
      <c r="O493" s="737">
        <f t="shared" si="63"/>
        <v>0</v>
      </c>
      <c r="P493" s="847"/>
      <c r="Q493" s="847"/>
      <c r="R493" s="738">
        <f t="shared" si="66"/>
        <v>0</v>
      </c>
      <c r="S493" s="737">
        <f t="shared" si="67"/>
        <v>0</v>
      </c>
      <c r="T493" s="739">
        <f t="shared" si="68"/>
        <v>0</v>
      </c>
      <c r="U493" s="846">
        <v>1076484</v>
      </c>
      <c r="V493" s="847">
        <v>1300000</v>
      </c>
      <c r="W493" s="846"/>
      <c r="X493" s="846"/>
      <c r="Y493" s="740">
        <f t="shared" si="64"/>
        <v>0</v>
      </c>
      <c r="Z493" s="847"/>
      <c r="AA493" s="847"/>
      <c r="AB493" s="741">
        <f t="shared" si="65"/>
        <v>0</v>
      </c>
      <c r="AC493" s="846"/>
      <c r="AD493" s="847"/>
      <c r="AE493" s="846"/>
      <c r="AF493" s="846"/>
      <c r="AG493" s="847"/>
      <c r="AH493" s="847"/>
      <c r="AI493" s="742">
        <f t="shared" si="69"/>
        <v>1076484</v>
      </c>
      <c r="AJ493" s="743">
        <f t="shared" si="70"/>
        <v>1300000</v>
      </c>
    </row>
    <row r="494" spans="1:36">
      <c r="A494" s="1203" t="s">
        <v>143</v>
      </c>
      <c r="B494" s="1220" t="s">
        <v>205</v>
      </c>
      <c r="C494" s="1221" t="s">
        <v>523</v>
      </c>
      <c r="D494" s="1222"/>
      <c r="E494" s="1201"/>
      <c r="F494" s="1202"/>
      <c r="G494" s="846"/>
      <c r="H494" s="847"/>
      <c r="I494" s="846"/>
      <c r="J494" s="847"/>
      <c r="K494" s="846"/>
      <c r="L494" s="847"/>
      <c r="M494" s="846"/>
      <c r="N494" s="846"/>
      <c r="O494" s="737">
        <f t="shared" si="63"/>
        <v>0</v>
      </c>
      <c r="P494" s="847"/>
      <c r="Q494" s="847"/>
      <c r="R494" s="738">
        <f t="shared" si="66"/>
        <v>0</v>
      </c>
      <c r="S494" s="737">
        <f t="shared" si="67"/>
        <v>0</v>
      </c>
      <c r="T494" s="739">
        <f t="shared" si="68"/>
        <v>0</v>
      </c>
      <c r="U494" s="846"/>
      <c r="V494" s="847"/>
      <c r="W494" s="846"/>
      <c r="X494" s="846"/>
      <c r="Y494" s="740">
        <f t="shared" si="64"/>
        <v>0</v>
      </c>
      <c r="Z494" s="847"/>
      <c r="AA494" s="847"/>
      <c r="AB494" s="741">
        <f t="shared" si="65"/>
        <v>0</v>
      </c>
      <c r="AC494" s="846"/>
      <c r="AD494" s="847"/>
      <c r="AE494" s="846"/>
      <c r="AF494" s="846"/>
      <c r="AG494" s="847"/>
      <c r="AH494" s="847"/>
      <c r="AI494" s="742">
        <f t="shared" si="69"/>
        <v>0</v>
      </c>
      <c r="AJ494" s="743">
        <f t="shared" si="70"/>
        <v>0</v>
      </c>
    </row>
    <row r="495" spans="1:36">
      <c r="A495" s="1203" t="s">
        <v>143</v>
      </c>
      <c r="B495" s="1220" t="s">
        <v>218</v>
      </c>
      <c r="C495" s="1221" t="s">
        <v>311</v>
      </c>
      <c r="D495" s="1222"/>
      <c r="E495" s="1201"/>
      <c r="F495" s="1202"/>
      <c r="G495" s="846"/>
      <c r="H495" s="847"/>
      <c r="I495" s="846"/>
      <c r="J495" s="847"/>
      <c r="K495" s="846"/>
      <c r="L495" s="847"/>
      <c r="M495" s="846"/>
      <c r="N495" s="846"/>
      <c r="O495" s="737">
        <f t="shared" si="63"/>
        <v>0</v>
      </c>
      <c r="P495" s="847"/>
      <c r="Q495" s="847"/>
      <c r="R495" s="738">
        <f t="shared" si="66"/>
        <v>0</v>
      </c>
      <c r="S495" s="737">
        <f t="shared" si="67"/>
        <v>0</v>
      </c>
      <c r="T495" s="739">
        <f t="shared" si="68"/>
        <v>0</v>
      </c>
      <c r="U495" s="846"/>
      <c r="V495" s="847"/>
      <c r="W495" s="846"/>
      <c r="X495" s="846"/>
      <c r="Y495" s="740">
        <f t="shared" si="64"/>
        <v>0</v>
      </c>
      <c r="Z495" s="847"/>
      <c r="AA495" s="847"/>
      <c r="AB495" s="741">
        <f t="shared" si="65"/>
        <v>0</v>
      </c>
      <c r="AC495" s="846"/>
      <c r="AD495" s="847"/>
      <c r="AE495" s="846"/>
      <c r="AF495" s="846"/>
      <c r="AG495" s="847"/>
      <c r="AH495" s="847"/>
      <c r="AI495" s="742">
        <f t="shared" si="69"/>
        <v>0</v>
      </c>
      <c r="AJ495" s="743">
        <f t="shared" si="70"/>
        <v>0</v>
      </c>
    </row>
    <row r="496" spans="1:36">
      <c r="A496" s="1203" t="s">
        <v>143</v>
      </c>
      <c r="B496" s="1220" t="s">
        <v>219</v>
      </c>
      <c r="C496" s="1221" t="s">
        <v>249</v>
      </c>
      <c r="D496" s="1222"/>
      <c r="E496" s="1201"/>
      <c r="F496" s="1202"/>
      <c r="G496" s="846"/>
      <c r="H496" s="847"/>
      <c r="I496" s="846"/>
      <c r="J496" s="847"/>
      <c r="K496" s="846"/>
      <c r="L496" s="847"/>
      <c r="M496" s="846"/>
      <c r="N496" s="846"/>
      <c r="O496" s="737">
        <f t="shared" si="63"/>
        <v>0</v>
      </c>
      <c r="P496" s="847"/>
      <c r="Q496" s="847"/>
      <c r="R496" s="738">
        <f t="shared" si="66"/>
        <v>0</v>
      </c>
      <c r="S496" s="737">
        <f t="shared" si="67"/>
        <v>0</v>
      </c>
      <c r="T496" s="739">
        <f t="shared" si="68"/>
        <v>0</v>
      </c>
      <c r="U496" s="846">
        <v>0</v>
      </c>
      <c r="V496" s="847">
        <v>0</v>
      </c>
      <c r="W496" s="846"/>
      <c r="X496" s="846"/>
      <c r="Y496" s="740">
        <f t="shared" si="64"/>
        <v>0</v>
      </c>
      <c r="Z496" s="847"/>
      <c r="AA496" s="847"/>
      <c r="AB496" s="741">
        <f t="shared" si="65"/>
        <v>0</v>
      </c>
      <c r="AC496" s="846"/>
      <c r="AD496" s="847"/>
      <c r="AE496" s="846"/>
      <c r="AF496" s="846"/>
      <c r="AG496" s="847"/>
      <c r="AH496" s="847"/>
      <c r="AI496" s="742">
        <f t="shared" si="69"/>
        <v>0</v>
      </c>
      <c r="AJ496" s="743">
        <f t="shared" si="70"/>
        <v>0</v>
      </c>
    </row>
    <row r="497" spans="1:36">
      <c r="A497" s="1203" t="s">
        <v>143</v>
      </c>
      <c r="B497" s="1198" t="s">
        <v>292</v>
      </c>
      <c r="C497" s="1219" t="s">
        <v>1306</v>
      </c>
      <c r="D497" s="1205"/>
      <c r="E497" s="1201"/>
      <c r="F497" s="1202"/>
      <c r="G497" s="846"/>
      <c r="H497" s="847"/>
      <c r="I497" s="846"/>
      <c r="J497" s="847"/>
      <c r="K497" s="846"/>
      <c r="L497" s="847"/>
      <c r="M497" s="846"/>
      <c r="N497" s="846"/>
      <c r="O497" s="737">
        <f t="shared" si="63"/>
        <v>0</v>
      </c>
      <c r="P497" s="847"/>
      <c r="Q497" s="847"/>
      <c r="R497" s="738">
        <f t="shared" si="66"/>
        <v>0</v>
      </c>
      <c r="S497" s="737">
        <f t="shared" si="67"/>
        <v>0</v>
      </c>
      <c r="T497" s="739">
        <f t="shared" si="68"/>
        <v>0</v>
      </c>
      <c r="U497" s="846"/>
      <c r="V497" s="847"/>
      <c r="W497" s="846"/>
      <c r="X497" s="846"/>
      <c r="Y497" s="740">
        <f t="shared" si="64"/>
        <v>0</v>
      </c>
      <c r="Z497" s="847"/>
      <c r="AA497" s="847"/>
      <c r="AB497" s="741">
        <f t="shared" si="65"/>
        <v>0</v>
      </c>
      <c r="AC497" s="846"/>
      <c r="AD497" s="847"/>
      <c r="AE497" s="846"/>
      <c r="AF497" s="846"/>
      <c r="AG497" s="847"/>
      <c r="AH497" s="847"/>
      <c r="AI497" s="742">
        <f t="shared" si="69"/>
        <v>0</v>
      </c>
      <c r="AJ497" s="743">
        <f t="shared" si="70"/>
        <v>0</v>
      </c>
    </row>
    <row r="498" spans="1:36">
      <c r="A498" s="1203" t="s">
        <v>143</v>
      </c>
      <c r="B498" s="1220" t="s">
        <v>209</v>
      </c>
      <c r="C498" s="1221" t="s">
        <v>522</v>
      </c>
      <c r="D498" s="1222"/>
      <c r="E498" s="1201"/>
      <c r="F498" s="1202"/>
      <c r="G498" s="846"/>
      <c r="H498" s="847"/>
      <c r="I498" s="846"/>
      <c r="J498" s="847"/>
      <c r="K498" s="846"/>
      <c r="L498" s="847"/>
      <c r="M498" s="846"/>
      <c r="N498" s="846"/>
      <c r="O498" s="737">
        <f t="shared" si="63"/>
        <v>0</v>
      </c>
      <c r="P498" s="847"/>
      <c r="Q498" s="847"/>
      <c r="R498" s="738">
        <f t="shared" si="66"/>
        <v>0</v>
      </c>
      <c r="S498" s="737">
        <f t="shared" si="67"/>
        <v>0</v>
      </c>
      <c r="T498" s="739">
        <f t="shared" si="68"/>
        <v>0</v>
      </c>
      <c r="U498" s="846"/>
      <c r="V498" s="847"/>
      <c r="W498" s="846"/>
      <c r="X498" s="846"/>
      <c r="Y498" s="740">
        <f t="shared" si="64"/>
        <v>0</v>
      </c>
      <c r="Z498" s="847"/>
      <c r="AA498" s="847"/>
      <c r="AB498" s="741">
        <f t="shared" si="65"/>
        <v>0</v>
      </c>
      <c r="AC498" s="846"/>
      <c r="AD498" s="847"/>
      <c r="AE498" s="846"/>
      <c r="AF498" s="846"/>
      <c r="AG498" s="847"/>
      <c r="AH498" s="847"/>
      <c r="AI498" s="742">
        <f t="shared" si="69"/>
        <v>0</v>
      </c>
      <c r="AJ498" s="743">
        <f t="shared" si="70"/>
        <v>0</v>
      </c>
    </row>
    <row r="499" spans="1:36">
      <c r="A499" s="1203" t="s">
        <v>143</v>
      </c>
      <c r="B499" s="1220" t="s">
        <v>210</v>
      </c>
      <c r="C499" s="1221" t="s">
        <v>311</v>
      </c>
      <c r="D499" s="1222"/>
      <c r="E499" s="1201"/>
      <c r="F499" s="1202"/>
      <c r="G499" s="846"/>
      <c r="H499" s="847"/>
      <c r="I499" s="846"/>
      <c r="J499" s="847"/>
      <c r="K499" s="846"/>
      <c r="L499" s="847"/>
      <c r="M499" s="846"/>
      <c r="N499" s="846"/>
      <c r="O499" s="737">
        <f t="shared" si="63"/>
        <v>0</v>
      </c>
      <c r="P499" s="847"/>
      <c r="Q499" s="847"/>
      <c r="R499" s="738">
        <f t="shared" si="66"/>
        <v>0</v>
      </c>
      <c r="S499" s="737">
        <f t="shared" si="67"/>
        <v>0</v>
      </c>
      <c r="T499" s="739">
        <f t="shared" si="68"/>
        <v>0</v>
      </c>
      <c r="U499" s="846"/>
      <c r="V499" s="847"/>
      <c r="W499" s="846"/>
      <c r="X499" s="846"/>
      <c r="Y499" s="740">
        <f t="shared" si="64"/>
        <v>0</v>
      </c>
      <c r="Z499" s="847"/>
      <c r="AA499" s="847"/>
      <c r="AB499" s="741">
        <f t="shared" si="65"/>
        <v>0</v>
      </c>
      <c r="AC499" s="846"/>
      <c r="AD499" s="847"/>
      <c r="AE499" s="846"/>
      <c r="AF499" s="846"/>
      <c r="AG499" s="847"/>
      <c r="AH499" s="847"/>
      <c r="AI499" s="742">
        <f t="shared" si="69"/>
        <v>0</v>
      </c>
      <c r="AJ499" s="743">
        <f t="shared" si="70"/>
        <v>0</v>
      </c>
    </row>
    <row r="500" spans="1:36">
      <c r="A500" s="1203" t="s">
        <v>143</v>
      </c>
      <c r="B500" s="1220" t="s">
        <v>204</v>
      </c>
      <c r="C500" s="1221" t="s">
        <v>249</v>
      </c>
      <c r="D500" s="1222"/>
      <c r="E500" s="1201"/>
      <c r="F500" s="1202"/>
      <c r="G500" s="846"/>
      <c r="H500" s="847"/>
      <c r="I500" s="846"/>
      <c r="J500" s="847"/>
      <c r="K500" s="846"/>
      <c r="L500" s="847"/>
      <c r="M500" s="846"/>
      <c r="N500" s="846"/>
      <c r="O500" s="737">
        <f t="shared" si="63"/>
        <v>0</v>
      </c>
      <c r="P500" s="847"/>
      <c r="Q500" s="847"/>
      <c r="R500" s="738">
        <f t="shared" si="66"/>
        <v>0</v>
      </c>
      <c r="S500" s="737">
        <f t="shared" si="67"/>
        <v>0</v>
      </c>
      <c r="T500" s="739">
        <f t="shared" si="68"/>
        <v>0</v>
      </c>
      <c r="U500" s="846">
        <v>0</v>
      </c>
      <c r="V500" s="847">
        <v>0</v>
      </c>
      <c r="W500" s="846"/>
      <c r="X500" s="846"/>
      <c r="Y500" s="740">
        <f t="shared" si="64"/>
        <v>0</v>
      </c>
      <c r="Z500" s="847"/>
      <c r="AA500" s="847"/>
      <c r="AB500" s="741">
        <f t="shared" si="65"/>
        <v>0</v>
      </c>
      <c r="AC500" s="846"/>
      <c r="AD500" s="847"/>
      <c r="AE500" s="846"/>
      <c r="AF500" s="846"/>
      <c r="AG500" s="847"/>
      <c r="AH500" s="847"/>
      <c r="AI500" s="742">
        <f t="shared" si="69"/>
        <v>0</v>
      </c>
      <c r="AJ500" s="743">
        <f t="shared" si="70"/>
        <v>0</v>
      </c>
    </row>
    <row r="501" spans="1:36">
      <c r="A501" s="1203" t="s">
        <v>143</v>
      </c>
      <c r="B501" s="1220" t="s">
        <v>205</v>
      </c>
      <c r="C501" s="1221" t="s">
        <v>523</v>
      </c>
      <c r="D501" s="1222"/>
      <c r="E501" s="1201"/>
      <c r="F501" s="1202"/>
      <c r="G501" s="846"/>
      <c r="H501" s="847"/>
      <c r="I501" s="846"/>
      <c r="J501" s="847"/>
      <c r="K501" s="846"/>
      <c r="L501" s="847"/>
      <c r="M501" s="846"/>
      <c r="N501" s="846"/>
      <c r="O501" s="737">
        <f t="shared" si="63"/>
        <v>0</v>
      </c>
      <c r="P501" s="847"/>
      <c r="Q501" s="847"/>
      <c r="R501" s="738">
        <f t="shared" si="66"/>
        <v>0</v>
      </c>
      <c r="S501" s="737">
        <f t="shared" si="67"/>
        <v>0</v>
      </c>
      <c r="T501" s="739">
        <f t="shared" si="68"/>
        <v>0</v>
      </c>
      <c r="U501" s="846"/>
      <c r="V501" s="847"/>
      <c r="W501" s="846"/>
      <c r="X501" s="846"/>
      <c r="Y501" s="740">
        <f t="shared" si="64"/>
        <v>0</v>
      </c>
      <c r="Z501" s="847"/>
      <c r="AA501" s="847"/>
      <c r="AB501" s="741">
        <f t="shared" si="65"/>
        <v>0</v>
      </c>
      <c r="AC501" s="846"/>
      <c r="AD501" s="847"/>
      <c r="AE501" s="846"/>
      <c r="AF501" s="846"/>
      <c r="AG501" s="847"/>
      <c r="AH501" s="847"/>
      <c r="AI501" s="742">
        <f t="shared" si="69"/>
        <v>0</v>
      </c>
      <c r="AJ501" s="743">
        <f t="shared" si="70"/>
        <v>0</v>
      </c>
    </row>
    <row r="502" spans="1:36">
      <c r="A502" s="1203" t="s">
        <v>143</v>
      </c>
      <c r="B502" s="1220" t="s">
        <v>218</v>
      </c>
      <c r="C502" s="1221" t="s">
        <v>311</v>
      </c>
      <c r="D502" s="1222"/>
      <c r="E502" s="1201"/>
      <c r="F502" s="1202"/>
      <c r="G502" s="846"/>
      <c r="H502" s="847"/>
      <c r="I502" s="846"/>
      <c r="J502" s="847"/>
      <c r="K502" s="846"/>
      <c r="L502" s="847"/>
      <c r="M502" s="846"/>
      <c r="N502" s="846"/>
      <c r="O502" s="737">
        <f t="shared" si="63"/>
        <v>0</v>
      </c>
      <c r="P502" s="847"/>
      <c r="Q502" s="847"/>
      <c r="R502" s="738">
        <f t="shared" si="66"/>
        <v>0</v>
      </c>
      <c r="S502" s="737">
        <f t="shared" si="67"/>
        <v>0</v>
      </c>
      <c r="T502" s="739">
        <f t="shared" si="68"/>
        <v>0</v>
      </c>
      <c r="U502" s="846"/>
      <c r="V502" s="847"/>
      <c r="W502" s="846"/>
      <c r="X502" s="846"/>
      <c r="Y502" s="740">
        <f t="shared" si="64"/>
        <v>0</v>
      </c>
      <c r="Z502" s="847"/>
      <c r="AA502" s="847"/>
      <c r="AB502" s="741">
        <f t="shared" si="65"/>
        <v>0</v>
      </c>
      <c r="AC502" s="846"/>
      <c r="AD502" s="847"/>
      <c r="AE502" s="846"/>
      <c r="AF502" s="846"/>
      <c r="AG502" s="847"/>
      <c r="AH502" s="847"/>
      <c r="AI502" s="742">
        <f t="shared" si="69"/>
        <v>0</v>
      </c>
      <c r="AJ502" s="743">
        <f t="shared" si="70"/>
        <v>0</v>
      </c>
    </row>
    <row r="503" spans="1:36">
      <c r="A503" s="1203" t="s">
        <v>143</v>
      </c>
      <c r="B503" s="1220" t="s">
        <v>219</v>
      </c>
      <c r="C503" s="1221" t="s">
        <v>249</v>
      </c>
      <c r="D503" s="1222"/>
      <c r="E503" s="1201"/>
      <c r="F503" s="1202"/>
      <c r="G503" s="846"/>
      <c r="H503" s="847"/>
      <c r="I503" s="846"/>
      <c r="J503" s="847"/>
      <c r="K503" s="846"/>
      <c r="L503" s="847"/>
      <c r="M503" s="846"/>
      <c r="N503" s="846"/>
      <c r="O503" s="737">
        <f t="shared" si="63"/>
        <v>0</v>
      </c>
      <c r="P503" s="847"/>
      <c r="Q503" s="847"/>
      <c r="R503" s="738">
        <f t="shared" si="66"/>
        <v>0</v>
      </c>
      <c r="S503" s="737">
        <f t="shared" si="67"/>
        <v>0</v>
      </c>
      <c r="T503" s="739">
        <f t="shared" si="68"/>
        <v>0</v>
      </c>
      <c r="U503" s="846"/>
      <c r="V503" s="847"/>
      <c r="W503" s="846"/>
      <c r="X503" s="846"/>
      <c r="Y503" s="740">
        <f t="shared" si="64"/>
        <v>0</v>
      </c>
      <c r="Z503" s="847"/>
      <c r="AA503" s="847"/>
      <c r="AB503" s="741">
        <f t="shared" si="65"/>
        <v>0</v>
      </c>
      <c r="AC503" s="846"/>
      <c r="AD503" s="847"/>
      <c r="AE503" s="846"/>
      <c r="AF503" s="846"/>
      <c r="AG503" s="847"/>
      <c r="AH503" s="847"/>
      <c r="AI503" s="742">
        <f t="shared" si="69"/>
        <v>0</v>
      </c>
      <c r="AJ503" s="743">
        <f t="shared" si="70"/>
        <v>0</v>
      </c>
    </row>
    <row r="504" spans="1:36">
      <c r="A504" s="1203" t="s">
        <v>143</v>
      </c>
      <c r="B504" s="1198" t="s">
        <v>292</v>
      </c>
      <c r="C504" s="1219" t="s">
        <v>1307</v>
      </c>
      <c r="D504" s="1205"/>
      <c r="E504" s="1201"/>
      <c r="F504" s="1202"/>
      <c r="G504" s="846"/>
      <c r="H504" s="847"/>
      <c r="I504" s="846"/>
      <c r="J504" s="847"/>
      <c r="K504" s="846"/>
      <c r="L504" s="847"/>
      <c r="M504" s="846"/>
      <c r="N504" s="846"/>
      <c r="O504" s="737">
        <f t="shared" si="63"/>
        <v>0</v>
      </c>
      <c r="P504" s="847"/>
      <c r="Q504" s="847"/>
      <c r="R504" s="738">
        <f t="shared" si="66"/>
        <v>0</v>
      </c>
      <c r="S504" s="737">
        <f t="shared" si="67"/>
        <v>0</v>
      </c>
      <c r="T504" s="739">
        <f t="shared" si="68"/>
        <v>0</v>
      </c>
      <c r="U504" s="846"/>
      <c r="V504" s="847"/>
      <c r="W504" s="846"/>
      <c r="X504" s="846"/>
      <c r="Y504" s="740">
        <f t="shared" si="64"/>
        <v>0</v>
      </c>
      <c r="Z504" s="847"/>
      <c r="AA504" s="847"/>
      <c r="AB504" s="741">
        <f t="shared" si="65"/>
        <v>0</v>
      </c>
      <c r="AC504" s="846"/>
      <c r="AD504" s="847"/>
      <c r="AE504" s="846"/>
      <c r="AF504" s="846"/>
      <c r="AG504" s="847"/>
      <c r="AH504" s="847"/>
      <c r="AI504" s="742">
        <f t="shared" si="69"/>
        <v>0</v>
      </c>
      <c r="AJ504" s="743">
        <f t="shared" si="70"/>
        <v>0</v>
      </c>
    </row>
    <row r="505" spans="1:36">
      <c r="A505" s="1203" t="s">
        <v>143</v>
      </c>
      <c r="B505" s="1220" t="s">
        <v>209</v>
      </c>
      <c r="C505" s="1221" t="s">
        <v>522</v>
      </c>
      <c r="D505" s="1222"/>
      <c r="E505" s="1201"/>
      <c r="F505" s="1202"/>
      <c r="G505" s="846"/>
      <c r="H505" s="847"/>
      <c r="I505" s="846"/>
      <c r="J505" s="847"/>
      <c r="K505" s="846"/>
      <c r="L505" s="847"/>
      <c r="M505" s="846"/>
      <c r="N505" s="846"/>
      <c r="O505" s="737">
        <f t="shared" si="63"/>
        <v>0</v>
      </c>
      <c r="P505" s="847"/>
      <c r="Q505" s="847"/>
      <c r="R505" s="738">
        <f t="shared" si="66"/>
        <v>0</v>
      </c>
      <c r="S505" s="737">
        <f t="shared" si="67"/>
        <v>0</v>
      </c>
      <c r="T505" s="739">
        <f t="shared" si="68"/>
        <v>0</v>
      </c>
      <c r="U505" s="846"/>
      <c r="V505" s="847"/>
      <c r="W505" s="846"/>
      <c r="X505" s="846"/>
      <c r="Y505" s="740">
        <f t="shared" si="64"/>
        <v>0</v>
      </c>
      <c r="Z505" s="847"/>
      <c r="AA505" s="847"/>
      <c r="AB505" s="741">
        <f t="shared" si="65"/>
        <v>0</v>
      </c>
      <c r="AC505" s="846"/>
      <c r="AD505" s="847"/>
      <c r="AE505" s="846"/>
      <c r="AF505" s="846"/>
      <c r="AG505" s="847"/>
      <c r="AH505" s="847"/>
      <c r="AI505" s="742">
        <f t="shared" si="69"/>
        <v>0</v>
      </c>
      <c r="AJ505" s="743">
        <f t="shared" si="70"/>
        <v>0</v>
      </c>
    </row>
    <row r="506" spans="1:36">
      <c r="A506" s="1203" t="s">
        <v>143</v>
      </c>
      <c r="B506" s="1220" t="s">
        <v>210</v>
      </c>
      <c r="C506" s="1221" t="s">
        <v>311</v>
      </c>
      <c r="D506" s="1222"/>
      <c r="E506" s="1201"/>
      <c r="F506" s="1202"/>
      <c r="G506" s="846"/>
      <c r="H506" s="847"/>
      <c r="I506" s="846"/>
      <c r="J506" s="847"/>
      <c r="K506" s="846"/>
      <c r="L506" s="847"/>
      <c r="M506" s="846"/>
      <c r="N506" s="846"/>
      <c r="O506" s="737">
        <f t="shared" si="63"/>
        <v>0</v>
      </c>
      <c r="P506" s="847"/>
      <c r="Q506" s="847"/>
      <c r="R506" s="738">
        <f t="shared" si="66"/>
        <v>0</v>
      </c>
      <c r="S506" s="737">
        <f t="shared" si="67"/>
        <v>0</v>
      </c>
      <c r="T506" s="739">
        <f t="shared" si="68"/>
        <v>0</v>
      </c>
      <c r="U506" s="846"/>
      <c r="V506" s="847"/>
      <c r="W506" s="846"/>
      <c r="X506" s="846"/>
      <c r="Y506" s="740">
        <f t="shared" si="64"/>
        <v>0</v>
      </c>
      <c r="Z506" s="847"/>
      <c r="AA506" s="847"/>
      <c r="AB506" s="741">
        <f t="shared" si="65"/>
        <v>0</v>
      </c>
      <c r="AC506" s="846"/>
      <c r="AD506" s="847"/>
      <c r="AE506" s="846"/>
      <c r="AF506" s="846"/>
      <c r="AG506" s="847"/>
      <c r="AH506" s="847"/>
      <c r="AI506" s="742">
        <f t="shared" si="69"/>
        <v>0</v>
      </c>
      <c r="AJ506" s="743">
        <f t="shared" si="70"/>
        <v>0</v>
      </c>
    </row>
    <row r="507" spans="1:36">
      <c r="A507" s="1203" t="s">
        <v>143</v>
      </c>
      <c r="B507" s="1220" t="s">
        <v>204</v>
      </c>
      <c r="C507" s="1221" t="s">
        <v>249</v>
      </c>
      <c r="D507" s="1222"/>
      <c r="E507" s="1201"/>
      <c r="F507" s="1202"/>
      <c r="G507" s="846"/>
      <c r="H507" s="847"/>
      <c r="I507" s="846"/>
      <c r="J507" s="847"/>
      <c r="K507" s="846"/>
      <c r="L507" s="847"/>
      <c r="M507" s="846"/>
      <c r="N507" s="846"/>
      <c r="O507" s="737">
        <f t="shared" si="63"/>
        <v>0</v>
      </c>
      <c r="P507" s="847"/>
      <c r="Q507" s="847"/>
      <c r="R507" s="738">
        <f t="shared" si="66"/>
        <v>0</v>
      </c>
      <c r="S507" s="737">
        <f t="shared" si="67"/>
        <v>0</v>
      </c>
      <c r="T507" s="739">
        <f t="shared" si="68"/>
        <v>0</v>
      </c>
      <c r="U507" s="846">
        <v>364577</v>
      </c>
      <c r="V507" s="847">
        <v>450000</v>
      </c>
      <c r="W507" s="846"/>
      <c r="X507" s="846"/>
      <c r="Y507" s="740">
        <f t="shared" si="64"/>
        <v>0</v>
      </c>
      <c r="Z507" s="847"/>
      <c r="AA507" s="847"/>
      <c r="AB507" s="741">
        <f t="shared" si="65"/>
        <v>0</v>
      </c>
      <c r="AC507" s="846"/>
      <c r="AD507" s="847"/>
      <c r="AE507" s="846"/>
      <c r="AF507" s="846"/>
      <c r="AG507" s="847"/>
      <c r="AH507" s="847"/>
      <c r="AI507" s="742">
        <f t="shared" si="69"/>
        <v>364577</v>
      </c>
      <c r="AJ507" s="743">
        <f t="shared" si="70"/>
        <v>450000</v>
      </c>
    </row>
    <row r="508" spans="1:36">
      <c r="A508" s="1203" t="s">
        <v>143</v>
      </c>
      <c r="B508" s="1220" t="s">
        <v>205</v>
      </c>
      <c r="C508" s="1221" t="s">
        <v>523</v>
      </c>
      <c r="D508" s="1222"/>
      <c r="E508" s="1201"/>
      <c r="F508" s="1202"/>
      <c r="G508" s="846"/>
      <c r="H508" s="847"/>
      <c r="I508" s="846"/>
      <c r="J508" s="847"/>
      <c r="K508" s="846"/>
      <c r="L508" s="847"/>
      <c r="M508" s="846"/>
      <c r="N508" s="846"/>
      <c r="O508" s="737">
        <f t="shared" si="63"/>
        <v>0</v>
      </c>
      <c r="P508" s="847"/>
      <c r="Q508" s="847"/>
      <c r="R508" s="738">
        <f t="shared" si="66"/>
        <v>0</v>
      </c>
      <c r="S508" s="737">
        <f t="shared" si="67"/>
        <v>0</v>
      </c>
      <c r="T508" s="739">
        <f t="shared" si="68"/>
        <v>0</v>
      </c>
      <c r="U508" s="846"/>
      <c r="V508" s="847"/>
      <c r="W508" s="846"/>
      <c r="X508" s="846"/>
      <c r="Y508" s="740">
        <f t="shared" si="64"/>
        <v>0</v>
      </c>
      <c r="Z508" s="847"/>
      <c r="AA508" s="847"/>
      <c r="AB508" s="741">
        <f t="shared" si="65"/>
        <v>0</v>
      </c>
      <c r="AC508" s="846"/>
      <c r="AD508" s="847"/>
      <c r="AE508" s="846"/>
      <c r="AF508" s="846"/>
      <c r="AG508" s="847"/>
      <c r="AH508" s="847"/>
      <c r="AI508" s="742">
        <f t="shared" si="69"/>
        <v>0</v>
      </c>
      <c r="AJ508" s="743">
        <f t="shared" si="70"/>
        <v>0</v>
      </c>
    </row>
    <row r="509" spans="1:36">
      <c r="A509" s="1203" t="s">
        <v>143</v>
      </c>
      <c r="B509" s="1220" t="s">
        <v>218</v>
      </c>
      <c r="C509" s="1221" t="s">
        <v>311</v>
      </c>
      <c r="D509" s="1222"/>
      <c r="E509" s="1201"/>
      <c r="F509" s="1202"/>
      <c r="G509" s="846"/>
      <c r="H509" s="847"/>
      <c r="I509" s="846"/>
      <c r="J509" s="847"/>
      <c r="K509" s="846"/>
      <c r="L509" s="847"/>
      <c r="M509" s="846"/>
      <c r="N509" s="846"/>
      <c r="O509" s="737">
        <f t="shared" si="63"/>
        <v>0</v>
      </c>
      <c r="P509" s="847"/>
      <c r="Q509" s="847"/>
      <c r="R509" s="738">
        <f t="shared" si="66"/>
        <v>0</v>
      </c>
      <c r="S509" s="737">
        <f t="shared" si="67"/>
        <v>0</v>
      </c>
      <c r="T509" s="739">
        <f t="shared" si="68"/>
        <v>0</v>
      </c>
      <c r="U509" s="846"/>
      <c r="V509" s="847"/>
      <c r="W509" s="846"/>
      <c r="X509" s="846"/>
      <c r="Y509" s="740">
        <f t="shared" si="64"/>
        <v>0</v>
      </c>
      <c r="Z509" s="847"/>
      <c r="AA509" s="847"/>
      <c r="AB509" s="741">
        <f t="shared" si="65"/>
        <v>0</v>
      </c>
      <c r="AC509" s="846"/>
      <c r="AD509" s="847"/>
      <c r="AE509" s="846"/>
      <c r="AF509" s="846"/>
      <c r="AG509" s="847"/>
      <c r="AH509" s="847"/>
      <c r="AI509" s="742">
        <f t="shared" si="69"/>
        <v>0</v>
      </c>
      <c r="AJ509" s="743">
        <f t="shared" si="70"/>
        <v>0</v>
      </c>
    </row>
    <row r="510" spans="1:36">
      <c r="A510" s="1203" t="s">
        <v>143</v>
      </c>
      <c r="B510" s="1220" t="s">
        <v>219</v>
      </c>
      <c r="C510" s="1221" t="s">
        <v>249</v>
      </c>
      <c r="D510" s="1222"/>
      <c r="E510" s="1201"/>
      <c r="F510" s="1202"/>
      <c r="G510" s="846"/>
      <c r="H510" s="847"/>
      <c r="I510" s="846"/>
      <c r="J510" s="847"/>
      <c r="K510" s="846"/>
      <c r="L510" s="847"/>
      <c r="M510" s="846"/>
      <c r="N510" s="846"/>
      <c r="O510" s="737">
        <f t="shared" si="63"/>
        <v>0</v>
      </c>
      <c r="P510" s="847"/>
      <c r="Q510" s="847"/>
      <c r="R510" s="738">
        <f t="shared" si="66"/>
        <v>0</v>
      </c>
      <c r="S510" s="737">
        <f t="shared" si="67"/>
        <v>0</v>
      </c>
      <c r="T510" s="739">
        <f t="shared" si="68"/>
        <v>0</v>
      </c>
      <c r="U510" s="846"/>
      <c r="V510" s="847"/>
      <c r="W510" s="846"/>
      <c r="X510" s="846"/>
      <c r="Y510" s="740">
        <f t="shared" si="64"/>
        <v>0</v>
      </c>
      <c r="Z510" s="847"/>
      <c r="AA510" s="847"/>
      <c r="AB510" s="741">
        <f t="shared" si="65"/>
        <v>0</v>
      </c>
      <c r="AC510" s="846"/>
      <c r="AD510" s="847"/>
      <c r="AE510" s="846"/>
      <c r="AF510" s="846"/>
      <c r="AG510" s="847"/>
      <c r="AH510" s="847"/>
      <c r="AI510" s="742">
        <f t="shared" si="69"/>
        <v>0</v>
      </c>
      <c r="AJ510" s="743">
        <f t="shared" si="70"/>
        <v>0</v>
      </c>
    </row>
    <row r="511" spans="1:36">
      <c r="A511" s="1203" t="s">
        <v>143</v>
      </c>
      <c r="B511" s="1198" t="s">
        <v>292</v>
      </c>
      <c r="C511" s="1219" t="s">
        <v>1308</v>
      </c>
      <c r="D511" s="1205"/>
      <c r="E511" s="1201"/>
      <c r="F511" s="1202"/>
      <c r="G511" s="846"/>
      <c r="H511" s="847"/>
      <c r="I511" s="846"/>
      <c r="J511" s="847"/>
      <c r="K511" s="846"/>
      <c r="L511" s="847"/>
      <c r="M511" s="846"/>
      <c r="N511" s="846"/>
      <c r="O511" s="737">
        <f t="shared" si="63"/>
        <v>0</v>
      </c>
      <c r="P511" s="847"/>
      <c r="Q511" s="847"/>
      <c r="R511" s="738">
        <f t="shared" si="66"/>
        <v>0</v>
      </c>
      <c r="S511" s="737">
        <f t="shared" si="67"/>
        <v>0</v>
      </c>
      <c r="T511" s="739">
        <f t="shared" si="68"/>
        <v>0</v>
      </c>
      <c r="U511" s="846"/>
      <c r="V511" s="847"/>
      <c r="W511" s="846"/>
      <c r="X511" s="846"/>
      <c r="Y511" s="740">
        <f t="shared" si="64"/>
        <v>0</v>
      </c>
      <c r="Z511" s="847"/>
      <c r="AA511" s="847"/>
      <c r="AB511" s="741">
        <f t="shared" si="65"/>
        <v>0</v>
      </c>
      <c r="AC511" s="846"/>
      <c r="AD511" s="847"/>
      <c r="AE511" s="846"/>
      <c r="AF511" s="846"/>
      <c r="AG511" s="847"/>
      <c r="AH511" s="847"/>
      <c r="AI511" s="742">
        <f t="shared" si="69"/>
        <v>0</v>
      </c>
      <c r="AJ511" s="743">
        <f t="shared" si="70"/>
        <v>0</v>
      </c>
    </row>
    <row r="512" spans="1:36">
      <c r="A512" s="1203" t="s">
        <v>143</v>
      </c>
      <c r="B512" s="1220" t="s">
        <v>209</v>
      </c>
      <c r="C512" s="1221" t="s">
        <v>522</v>
      </c>
      <c r="D512" s="1222"/>
      <c r="E512" s="1201"/>
      <c r="F512" s="1202"/>
      <c r="G512" s="846"/>
      <c r="H512" s="847"/>
      <c r="I512" s="846"/>
      <c r="J512" s="847"/>
      <c r="K512" s="846"/>
      <c r="L512" s="847"/>
      <c r="M512" s="846"/>
      <c r="N512" s="846"/>
      <c r="O512" s="737">
        <f t="shared" si="63"/>
        <v>0</v>
      </c>
      <c r="P512" s="847"/>
      <c r="Q512" s="847"/>
      <c r="R512" s="738">
        <f t="shared" si="66"/>
        <v>0</v>
      </c>
      <c r="S512" s="737">
        <f t="shared" si="67"/>
        <v>0</v>
      </c>
      <c r="T512" s="739">
        <f t="shared" si="68"/>
        <v>0</v>
      </c>
      <c r="U512" s="846"/>
      <c r="V512" s="847"/>
      <c r="W512" s="846"/>
      <c r="X512" s="846"/>
      <c r="Y512" s="740">
        <f t="shared" si="64"/>
        <v>0</v>
      </c>
      <c r="Z512" s="847"/>
      <c r="AA512" s="847"/>
      <c r="AB512" s="741">
        <f t="shared" si="65"/>
        <v>0</v>
      </c>
      <c r="AC512" s="846"/>
      <c r="AD512" s="847"/>
      <c r="AE512" s="846"/>
      <c r="AF512" s="846"/>
      <c r="AG512" s="847"/>
      <c r="AH512" s="847"/>
      <c r="AI512" s="742">
        <f t="shared" si="69"/>
        <v>0</v>
      </c>
      <c r="AJ512" s="743">
        <f t="shared" si="70"/>
        <v>0</v>
      </c>
    </row>
    <row r="513" spans="1:36">
      <c r="A513" s="1203" t="s">
        <v>143</v>
      </c>
      <c r="B513" s="1220" t="s">
        <v>210</v>
      </c>
      <c r="C513" s="1221" t="s">
        <v>311</v>
      </c>
      <c r="D513" s="1222"/>
      <c r="E513" s="1201"/>
      <c r="F513" s="1202"/>
      <c r="G513" s="846"/>
      <c r="H513" s="847"/>
      <c r="I513" s="846"/>
      <c r="J513" s="847"/>
      <c r="K513" s="846"/>
      <c r="L513" s="847"/>
      <c r="M513" s="846"/>
      <c r="N513" s="846"/>
      <c r="O513" s="737">
        <f t="shared" si="63"/>
        <v>0</v>
      </c>
      <c r="P513" s="847"/>
      <c r="Q513" s="847"/>
      <c r="R513" s="738">
        <f t="shared" si="66"/>
        <v>0</v>
      </c>
      <c r="S513" s="737">
        <f t="shared" si="67"/>
        <v>0</v>
      </c>
      <c r="T513" s="739">
        <f t="shared" si="68"/>
        <v>0</v>
      </c>
      <c r="U513" s="846"/>
      <c r="V513" s="847"/>
      <c r="W513" s="846"/>
      <c r="X513" s="846"/>
      <c r="Y513" s="740">
        <f t="shared" si="64"/>
        <v>0</v>
      </c>
      <c r="Z513" s="847"/>
      <c r="AA513" s="847"/>
      <c r="AB513" s="741">
        <f t="shared" si="65"/>
        <v>0</v>
      </c>
      <c r="AC513" s="846"/>
      <c r="AD513" s="847"/>
      <c r="AE513" s="846"/>
      <c r="AF513" s="846"/>
      <c r="AG513" s="847"/>
      <c r="AH513" s="847"/>
      <c r="AI513" s="742">
        <f t="shared" si="69"/>
        <v>0</v>
      </c>
      <c r="AJ513" s="743">
        <f t="shared" si="70"/>
        <v>0</v>
      </c>
    </row>
    <row r="514" spans="1:36">
      <c r="A514" s="1203" t="s">
        <v>143</v>
      </c>
      <c r="B514" s="1220" t="s">
        <v>204</v>
      </c>
      <c r="C514" s="1221" t="s">
        <v>249</v>
      </c>
      <c r="D514" s="1222"/>
      <c r="E514" s="1201"/>
      <c r="F514" s="1202"/>
      <c r="G514" s="846"/>
      <c r="H514" s="847"/>
      <c r="I514" s="846"/>
      <c r="J514" s="847"/>
      <c r="K514" s="846"/>
      <c r="L514" s="847"/>
      <c r="M514" s="846"/>
      <c r="N514" s="846"/>
      <c r="O514" s="737">
        <f t="shared" si="63"/>
        <v>0</v>
      </c>
      <c r="P514" s="847"/>
      <c r="Q514" s="847"/>
      <c r="R514" s="738">
        <f t="shared" si="66"/>
        <v>0</v>
      </c>
      <c r="S514" s="737">
        <f t="shared" si="67"/>
        <v>0</v>
      </c>
      <c r="T514" s="739">
        <f t="shared" si="68"/>
        <v>0</v>
      </c>
      <c r="U514" s="846">
        <v>1235200</v>
      </c>
      <c r="V514" s="847">
        <v>1320000</v>
      </c>
      <c r="W514" s="846"/>
      <c r="X514" s="846"/>
      <c r="Y514" s="740">
        <f t="shared" si="64"/>
        <v>0</v>
      </c>
      <c r="Z514" s="847"/>
      <c r="AA514" s="847"/>
      <c r="AB514" s="741">
        <f t="shared" si="65"/>
        <v>0</v>
      </c>
      <c r="AC514" s="846"/>
      <c r="AD514" s="847"/>
      <c r="AE514" s="846"/>
      <c r="AF514" s="846"/>
      <c r="AG514" s="847"/>
      <c r="AH514" s="847"/>
      <c r="AI514" s="742">
        <f t="shared" si="69"/>
        <v>1235200</v>
      </c>
      <c r="AJ514" s="743">
        <f t="shared" si="70"/>
        <v>1320000</v>
      </c>
    </row>
    <row r="515" spans="1:36">
      <c r="A515" s="1203" t="s">
        <v>143</v>
      </c>
      <c r="B515" s="1220" t="s">
        <v>205</v>
      </c>
      <c r="C515" s="1221" t="s">
        <v>523</v>
      </c>
      <c r="D515" s="1222"/>
      <c r="E515" s="1201"/>
      <c r="F515" s="1202"/>
      <c r="G515" s="846"/>
      <c r="H515" s="847"/>
      <c r="I515" s="846"/>
      <c r="J515" s="847"/>
      <c r="K515" s="846"/>
      <c r="L515" s="847"/>
      <c r="M515" s="846"/>
      <c r="N515" s="846"/>
      <c r="O515" s="737">
        <f t="shared" si="63"/>
        <v>0</v>
      </c>
      <c r="P515" s="847"/>
      <c r="Q515" s="847"/>
      <c r="R515" s="738">
        <f t="shared" si="66"/>
        <v>0</v>
      </c>
      <c r="S515" s="737">
        <f t="shared" si="67"/>
        <v>0</v>
      </c>
      <c r="T515" s="739">
        <f t="shared" si="68"/>
        <v>0</v>
      </c>
      <c r="U515" s="846"/>
      <c r="V515" s="847"/>
      <c r="W515" s="846"/>
      <c r="X515" s="846"/>
      <c r="Y515" s="740">
        <f t="shared" si="64"/>
        <v>0</v>
      </c>
      <c r="Z515" s="847"/>
      <c r="AA515" s="847"/>
      <c r="AB515" s="741">
        <f t="shared" si="65"/>
        <v>0</v>
      </c>
      <c r="AC515" s="846"/>
      <c r="AD515" s="847"/>
      <c r="AE515" s="846"/>
      <c r="AF515" s="846"/>
      <c r="AG515" s="847"/>
      <c r="AH515" s="847"/>
      <c r="AI515" s="742">
        <f t="shared" si="69"/>
        <v>0</v>
      </c>
      <c r="AJ515" s="743">
        <f t="shared" si="70"/>
        <v>0</v>
      </c>
    </row>
    <row r="516" spans="1:36">
      <c r="A516" s="1203" t="s">
        <v>143</v>
      </c>
      <c r="B516" s="1220" t="s">
        <v>218</v>
      </c>
      <c r="C516" s="1221" t="s">
        <v>311</v>
      </c>
      <c r="D516" s="1222"/>
      <c r="E516" s="1201"/>
      <c r="F516" s="1202"/>
      <c r="G516" s="846"/>
      <c r="H516" s="847"/>
      <c r="I516" s="846"/>
      <c r="J516" s="847"/>
      <c r="K516" s="846"/>
      <c r="L516" s="847"/>
      <c r="M516" s="846"/>
      <c r="N516" s="846"/>
      <c r="O516" s="737">
        <f t="shared" si="63"/>
        <v>0</v>
      </c>
      <c r="P516" s="847"/>
      <c r="Q516" s="847"/>
      <c r="R516" s="738">
        <f t="shared" si="66"/>
        <v>0</v>
      </c>
      <c r="S516" s="737">
        <f t="shared" si="67"/>
        <v>0</v>
      </c>
      <c r="T516" s="739">
        <f t="shared" si="68"/>
        <v>0</v>
      </c>
      <c r="U516" s="846"/>
      <c r="V516" s="847"/>
      <c r="W516" s="846"/>
      <c r="X516" s="846"/>
      <c r="Y516" s="740">
        <f t="shared" si="64"/>
        <v>0</v>
      </c>
      <c r="Z516" s="847"/>
      <c r="AA516" s="847"/>
      <c r="AB516" s="741">
        <f t="shared" si="65"/>
        <v>0</v>
      </c>
      <c r="AC516" s="846"/>
      <c r="AD516" s="847"/>
      <c r="AE516" s="846"/>
      <c r="AF516" s="846"/>
      <c r="AG516" s="847"/>
      <c r="AH516" s="847"/>
      <c r="AI516" s="742">
        <f t="shared" si="69"/>
        <v>0</v>
      </c>
      <c r="AJ516" s="743">
        <f t="shared" si="70"/>
        <v>0</v>
      </c>
    </row>
    <row r="517" spans="1:36">
      <c r="A517" s="1203" t="s">
        <v>143</v>
      </c>
      <c r="B517" s="1220" t="s">
        <v>219</v>
      </c>
      <c r="C517" s="1221" t="s">
        <v>249</v>
      </c>
      <c r="D517" s="1222"/>
      <c r="E517" s="1201"/>
      <c r="F517" s="1202"/>
      <c r="G517" s="846"/>
      <c r="H517" s="847"/>
      <c r="I517" s="846"/>
      <c r="J517" s="847"/>
      <c r="K517" s="846"/>
      <c r="L517" s="847"/>
      <c r="M517" s="846"/>
      <c r="N517" s="846"/>
      <c r="O517" s="737">
        <f t="shared" si="63"/>
        <v>0</v>
      </c>
      <c r="P517" s="847"/>
      <c r="Q517" s="847"/>
      <c r="R517" s="738">
        <f t="shared" si="66"/>
        <v>0</v>
      </c>
      <c r="S517" s="737">
        <f t="shared" si="67"/>
        <v>0</v>
      </c>
      <c r="T517" s="739">
        <f t="shared" si="68"/>
        <v>0</v>
      </c>
      <c r="U517" s="846">
        <v>64800</v>
      </c>
      <c r="V517" s="847">
        <v>80000</v>
      </c>
      <c r="W517" s="846"/>
      <c r="X517" s="846"/>
      <c r="Y517" s="740">
        <f t="shared" si="64"/>
        <v>0</v>
      </c>
      <c r="Z517" s="847"/>
      <c r="AA517" s="847"/>
      <c r="AB517" s="741">
        <f t="shared" si="65"/>
        <v>0</v>
      </c>
      <c r="AC517" s="846"/>
      <c r="AD517" s="847"/>
      <c r="AE517" s="846"/>
      <c r="AF517" s="846"/>
      <c r="AG517" s="847"/>
      <c r="AH517" s="847"/>
      <c r="AI517" s="742">
        <f t="shared" si="69"/>
        <v>64800</v>
      </c>
      <c r="AJ517" s="743">
        <f t="shared" si="70"/>
        <v>80000</v>
      </c>
    </row>
    <row r="518" spans="1:36">
      <c r="A518" s="1203" t="s">
        <v>143</v>
      </c>
      <c r="B518" s="1198" t="s">
        <v>292</v>
      </c>
      <c r="C518" s="1219" t="s">
        <v>1309</v>
      </c>
      <c r="D518" s="1205"/>
      <c r="E518" s="1201"/>
      <c r="F518" s="1202"/>
      <c r="G518" s="846"/>
      <c r="H518" s="847"/>
      <c r="I518" s="846"/>
      <c r="J518" s="847"/>
      <c r="K518" s="846"/>
      <c r="L518" s="847"/>
      <c r="M518" s="846"/>
      <c r="N518" s="846"/>
      <c r="O518" s="737">
        <f t="shared" si="63"/>
        <v>0</v>
      </c>
      <c r="P518" s="847"/>
      <c r="Q518" s="847"/>
      <c r="R518" s="738">
        <f t="shared" si="66"/>
        <v>0</v>
      </c>
      <c r="S518" s="737">
        <f t="shared" si="67"/>
        <v>0</v>
      </c>
      <c r="T518" s="739">
        <f t="shared" si="68"/>
        <v>0</v>
      </c>
      <c r="U518" s="846"/>
      <c r="V518" s="847"/>
      <c r="W518" s="846"/>
      <c r="X518" s="846"/>
      <c r="Y518" s="740">
        <f t="shared" si="64"/>
        <v>0</v>
      </c>
      <c r="Z518" s="847"/>
      <c r="AA518" s="847"/>
      <c r="AB518" s="741">
        <f t="shared" si="65"/>
        <v>0</v>
      </c>
      <c r="AC518" s="846"/>
      <c r="AD518" s="847"/>
      <c r="AE518" s="846"/>
      <c r="AF518" s="846"/>
      <c r="AG518" s="847"/>
      <c r="AH518" s="847"/>
      <c r="AI518" s="742">
        <f t="shared" si="69"/>
        <v>0</v>
      </c>
      <c r="AJ518" s="743">
        <f t="shared" si="70"/>
        <v>0</v>
      </c>
    </row>
    <row r="519" spans="1:36">
      <c r="A519" s="1203" t="s">
        <v>143</v>
      </c>
      <c r="B519" s="1220" t="s">
        <v>209</v>
      </c>
      <c r="C519" s="1221" t="s">
        <v>522</v>
      </c>
      <c r="D519" s="1222"/>
      <c r="E519" s="1201"/>
      <c r="F519" s="1202"/>
      <c r="G519" s="846"/>
      <c r="H519" s="847"/>
      <c r="I519" s="846"/>
      <c r="J519" s="847"/>
      <c r="K519" s="846"/>
      <c r="L519" s="847"/>
      <c r="M519" s="846"/>
      <c r="N519" s="846"/>
      <c r="O519" s="737">
        <f t="shared" si="63"/>
        <v>0</v>
      </c>
      <c r="P519" s="847"/>
      <c r="Q519" s="847"/>
      <c r="R519" s="738">
        <f t="shared" si="66"/>
        <v>0</v>
      </c>
      <c r="S519" s="737">
        <f t="shared" si="67"/>
        <v>0</v>
      </c>
      <c r="T519" s="739">
        <f t="shared" si="68"/>
        <v>0</v>
      </c>
      <c r="U519" s="846">
        <v>0</v>
      </c>
      <c r="V519" s="847">
        <v>0</v>
      </c>
      <c r="W519" s="846"/>
      <c r="X519" s="846"/>
      <c r="Y519" s="740">
        <f t="shared" si="64"/>
        <v>0</v>
      </c>
      <c r="Z519" s="847"/>
      <c r="AA519" s="847"/>
      <c r="AB519" s="741">
        <f t="shared" si="65"/>
        <v>0</v>
      </c>
      <c r="AC519" s="846"/>
      <c r="AD519" s="847"/>
      <c r="AE519" s="846"/>
      <c r="AF519" s="846"/>
      <c r="AG519" s="847"/>
      <c r="AH519" s="847"/>
      <c r="AI519" s="742">
        <f t="shared" si="69"/>
        <v>0</v>
      </c>
      <c r="AJ519" s="743">
        <f t="shared" si="70"/>
        <v>0</v>
      </c>
    </row>
    <row r="520" spans="1:36">
      <c r="A520" s="1203" t="s">
        <v>143</v>
      </c>
      <c r="B520" s="1220" t="s">
        <v>210</v>
      </c>
      <c r="C520" s="1221" t="s">
        <v>311</v>
      </c>
      <c r="D520" s="1222"/>
      <c r="E520" s="1201"/>
      <c r="F520" s="1202"/>
      <c r="G520" s="846"/>
      <c r="H520" s="847"/>
      <c r="I520" s="846"/>
      <c r="J520" s="847"/>
      <c r="K520" s="846"/>
      <c r="L520" s="847"/>
      <c r="M520" s="846"/>
      <c r="N520" s="846"/>
      <c r="O520" s="737">
        <f t="shared" si="63"/>
        <v>0</v>
      </c>
      <c r="P520" s="847"/>
      <c r="Q520" s="847"/>
      <c r="R520" s="738">
        <f t="shared" si="66"/>
        <v>0</v>
      </c>
      <c r="S520" s="737">
        <f t="shared" si="67"/>
        <v>0</v>
      </c>
      <c r="T520" s="739">
        <f t="shared" si="68"/>
        <v>0</v>
      </c>
      <c r="U520" s="846"/>
      <c r="V520" s="847"/>
      <c r="W520" s="846"/>
      <c r="X520" s="846"/>
      <c r="Y520" s="740">
        <f t="shared" si="64"/>
        <v>0</v>
      </c>
      <c r="Z520" s="847"/>
      <c r="AA520" s="847"/>
      <c r="AB520" s="741">
        <f t="shared" si="65"/>
        <v>0</v>
      </c>
      <c r="AC520" s="846"/>
      <c r="AD520" s="847"/>
      <c r="AE520" s="846"/>
      <c r="AF520" s="846"/>
      <c r="AG520" s="847"/>
      <c r="AH520" s="847"/>
      <c r="AI520" s="742">
        <f t="shared" si="69"/>
        <v>0</v>
      </c>
      <c r="AJ520" s="743">
        <f t="shared" si="70"/>
        <v>0</v>
      </c>
    </row>
    <row r="521" spans="1:36">
      <c r="A521" s="1203" t="s">
        <v>143</v>
      </c>
      <c r="B521" s="1220" t="s">
        <v>204</v>
      </c>
      <c r="C521" s="1221" t="s">
        <v>249</v>
      </c>
      <c r="D521" s="1222"/>
      <c r="E521" s="1201"/>
      <c r="F521" s="1202"/>
      <c r="G521" s="846"/>
      <c r="H521" s="847"/>
      <c r="I521" s="846"/>
      <c r="J521" s="847"/>
      <c r="K521" s="846"/>
      <c r="L521" s="847"/>
      <c r="M521" s="846"/>
      <c r="N521" s="846"/>
      <c r="O521" s="737">
        <f t="shared" si="63"/>
        <v>0</v>
      </c>
      <c r="P521" s="847"/>
      <c r="Q521" s="847"/>
      <c r="R521" s="738">
        <f t="shared" si="66"/>
        <v>0</v>
      </c>
      <c r="S521" s="737">
        <f t="shared" si="67"/>
        <v>0</v>
      </c>
      <c r="T521" s="739">
        <f t="shared" si="68"/>
        <v>0</v>
      </c>
      <c r="U521" s="846"/>
      <c r="V521" s="847"/>
      <c r="W521" s="846"/>
      <c r="X521" s="846"/>
      <c r="Y521" s="740">
        <f t="shared" si="64"/>
        <v>0</v>
      </c>
      <c r="Z521" s="847"/>
      <c r="AA521" s="847"/>
      <c r="AB521" s="741">
        <f t="shared" si="65"/>
        <v>0</v>
      </c>
      <c r="AC521" s="846"/>
      <c r="AD521" s="847"/>
      <c r="AE521" s="846"/>
      <c r="AF521" s="846"/>
      <c r="AG521" s="847"/>
      <c r="AH521" s="847"/>
      <c r="AI521" s="742">
        <f t="shared" si="69"/>
        <v>0</v>
      </c>
      <c r="AJ521" s="743">
        <f t="shared" si="70"/>
        <v>0</v>
      </c>
    </row>
    <row r="522" spans="1:36">
      <c r="A522" s="1203" t="s">
        <v>143</v>
      </c>
      <c r="B522" s="1220" t="s">
        <v>205</v>
      </c>
      <c r="C522" s="1221" t="s">
        <v>523</v>
      </c>
      <c r="D522" s="1222"/>
      <c r="E522" s="1201"/>
      <c r="F522" s="1202"/>
      <c r="G522" s="846"/>
      <c r="H522" s="847"/>
      <c r="I522" s="846"/>
      <c r="J522" s="847"/>
      <c r="K522" s="846"/>
      <c r="L522" s="847"/>
      <c r="M522" s="846"/>
      <c r="N522" s="846"/>
      <c r="O522" s="737">
        <f t="shared" ref="O522:O585" si="71">SUM(M522:N522)</f>
        <v>0</v>
      </c>
      <c r="P522" s="847"/>
      <c r="Q522" s="847"/>
      <c r="R522" s="738">
        <f t="shared" si="66"/>
        <v>0</v>
      </c>
      <c r="S522" s="737">
        <f t="shared" si="67"/>
        <v>0</v>
      </c>
      <c r="T522" s="739">
        <f t="shared" si="68"/>
        <v>0</v>
      </c>
      <c r="U522" s="846"/>
      <c r="V522" s="847"/>
      <c r="W522" s="846"/>
      <c r="X522" s="846"/>
      <c r="Y522" s="740">
        <f t="shared" ref="Y522:Y585" si="72">SUM(W522:X522)</f>
        <v>0</v>
      </c>
      <c r="Z522" s="847"/>
      <c r="AA522" s="847"/>
      <c r="AB522" s="741">
        <f t="shared" ref="AB522:AB585" si="73">SUM(Z522:AA522)</f>
        <v>0</v>
      </c>
      <c r="AC522" s="846"/>
      <c r="AD522" s="847"/>
      <c r="AE522" s="846"/>
      <c r="AF522" s="846"/>
      <c r="AG522" s="847"/>
      <c r="AH522" s="847"/>
      <c r="AI522" s="742">
        <f t="shared" si="69"/>
        <v>0</v>
      </c>
      <c r="AJ522" s="743">
        <f t="shared" si="70"/>
        <v>0</v>
      </c>
    </row>
    <row r="523" spans="1:36">
      <c r="A523" s="1203" t="s">
        <v>143</v>
      </c>
      <c r="B523" s="1220" t="s">
        <v>218</v>
      </c>
      <c r="C523" s="1221" t="s">
        <v>311</v>
      </c>
      <c r="D523" s="1222"/>
      <c r="E523" s="1201"/>
      <c r="F523" s="1202"/>
      <c r="G523" s="846"/>
      <c r="H523" s="847"/>
      <c r="I523" s="846"/>
      <c r="J523" s="847"/>
      <c r="K523" s="846"/>
      <c r="L523" s="847"/>
      <c r="M523" s="846"/>
      <c r="N523" s="846"/>
      <c r="O523" s="737">
        <f t="shared" si="71"/>
        <v>0</v>
      </c>
      <c r="P523" s="847"/>
      <c r="Q523" s="847"/>
      <c r="R523" s="738">
        <f t="shared" ref="R523:R586" si="74">SUM(P523:Q523)</f>
        <v>0</v>
      </c>
      <c r="S523" s="737">
        <f t="shared" ref="S523:S586" si="75">SUM(G523,I523,K523,M523)</f>
        <v>0</v>
      </c>
      <c r="T523" s="739">
        <f t="shared" ref="T523:T586" si="76">SUM(H523,J523,L523,P523)</f>
        <v>0</v>
      </c>
      <c r="U523" s="846"/>
      <c r="V523" s="847"/>
      <c r="W523" s="846"/>
      <c r="X523" s="846"/>
      <c r="Y523" s="740">
        <f t="shared" si="72"/>
        <v>0</v>
      </c>
      <c r="Z523" s="847"/>
      <c r="AA523" s="847"/>
      <c r="AB523" s="741">
        <f t="shared" si="73"/>
        <v>0</v>
      </c>
      <c r="AC523" s="846"/>
      <c r="AD523" s="847"/>
      <c r="AE523" s="846"/>
      <c r="AF523" s="846"/>
      <c r="AG523" s="847"/>
      <c r="AH523" s="847"/>
      <c r="AI523" s="742">
        <f t="shared" ref="AI523:AI586" si="77">SUM(S523,U523,W523,AC523,AE523)</f>
        <v>0</v>
      </c>
      <c r="AJ523" s="743">
        <f t="shared" ref="AJ523:AJ586" si="78">SUM(T523,V523,Z523,AD523,AG523)</f>
        <v>0</v>
      </c>
    </row>
    <row r="524" spans="1:36">
      <c r="A524" s="1203" t="s">
        <v>143</v>
      </c>
      <c r="B524" s="1220" t="s">
        <v>219</v>
      </c>
      <c r="C524" s="1221" t="s">
        <v>249</v>
      </c>
      <c r="D524" s="1222"/>
      <c r="E524" s="1201"/>
      <c r="F524" s="1202"/>
      <c r="G524" s="846"/>
      <c r="H524" s="847"/>
      <c r="I524" s="846"/>
      <c r="J524" s="847"/>
      <c r="K524" s="846"/>
      <c r="L524" s="847"/>
      <c r="M524" s="846"/>
      <c r="N524" s="846"/>
      <c r="O524" s="737">
        <f t="shared" si="71"/>
        <v>0</v>
      </c>
      <c r="P524" s="847"/>
      <c r="Q524" s="847"/>
      <c r="R524" s="738">
        <f t="shared" si="74"/>
        <v>0</v>
      </c>
      <c r="S524" s="737">
        <f t="shared" si="75"/>
        <v>0</v>
      </c>
      <c r="T524" s="739">
        <f t="shared" si="76"/>
        <v>0</v>
      </c>
      <c r="U524" s="846"/>
      <c r="V524" s="847"/>
      <c r="W524" s="846"/>
      <c r="X524" s="846"/>
      <c r="Y524" s="740">
        <f t="shared" si="72"/>
        <v>0</v>
      </c>
      <c r="Z524" s="847"/>
      <c r="AA524" s="847"/>
      <c r="AB524" s="741">
        <f t="shared" si="73"/>
        <v>0</v>
      </c>
      <c r="AC524" s="846"/>
      <c r="AD524" s="847"/>
      <c r="AE524" s="846"/>
      <c r="AF524" s="846"/>
      <c r="AG524" s="847"/>
      <c r="AH524" s="847"/>
      <c r="AI524" s="742">
        <f t="shared" si="77"/>
        <v>0</v>
      </c>
      <c r="AJ524" s="743">
        <f t="shared" si="78"/>
        <v>0</v>
      </c>
    </row>
    <row r="525" spans="1:36">
      <c r="A525" s="1203" t="s">
        <v>143</v>
      </c>
      <c r="B525" s="1198" t="s">
        <v>292</v>
      </c>
      <c r="C525" s="1219" t="s">
        <v>1310</v>
      </c>
      <c r="D525" s="1205"/>
      <c r="E525" s="1201"/>
      <c r="F525" s="1202"/>
      <c r="G525" s="846"/>
      <c r="H525" s="847"/>
      <c r="I525" s="846"/>
      <c r="J525" s="847"/>
      <c r="K525" s="846"/>
      <c r="L525" s="847"/>
      <c r="M525" s="846"/>
      <c r="N525" s="846"/>
      <c r="O525" s="737">
        <f t="shared" si="71"/>
        <v>0</v>
      </c>
      <c r="P525" s="847"/>
      <c r="Q525" s="847"/>
      <c r="R525" s="738">
        <f t="shared" si="74"/>
        <v>0</v>
      </c>
      <c r="S525" s="737">
        <f t="shared" si="75"/>
        <v>0</v>
      </c>
      <c r="T525" s="739">
        <f t="shared" si="76"/>
        <v>0</v>
      </c>
      <c r="U525" s="846"/>
      <c r="V525" s="847"/>
      <c r="W525" s="846"/>
      <c r="X525" s="846"/>
      <c r="Y525" s="740">
        <f t="shared" si="72"/>
        <v>0</v>
      </c>
      <c r="Z525" s="847"/>
      <c r="AA525" s="847"/>
      <c r="AB525" s="741">
        <f t="shared" si="73"/>
        <v>0</v>
      </c>
      <c r="AC525" s="846"/>
      <c r="AD525" s="847"/>
      <c r="AE525" s="846"/>
      <c r="AF525" s="846"/>
      <c r="AG525" s="847"/>
      <c r="AH525" s="847"/>
      <c r="AI525" s="742">
        <f t="shared" si="77"/>
        <v>0</v>
      </c>
      <c r="AJ525" s="743">
        <f t="shared" si="78"/>
        <v>0</v>
      </c>
    </row>
    <row r="526" spans="1:36">
      <c r="A526" s="1203" t="s">
        <v>143</v>
      </c>
      <c r="B526" s="1220" t="s">
        <v>209</v>
      </c>
      <c r="C526" s="1221" t="s">
        <v>522</v>
      </c>
      <c r="D526" s="1222"/>
      <c r="E526" s="1201"/>
      <c r="F526" s="1202"/>
      <c r="G526" s="846"/>
      <c r="H526" s="847"/>
      <c r="I526" s="846"/>
      <c r="J526" s="847"/>
      <c r="K526" s="846"/>
      <c r="L526" s="847"/>
      <c r="M526" s="846"/>
      <c r="N526" s="846"/>
      <c r="O526" s="737">
        <f t="shared" si="71"/>
        <v>0</v>
      </c>
      <c r="P526" s="847"/>
      <c r="Q526" s="847"/>
      <c r="R526" s="738">
        <f t="shared" si="74"/>
        <v>0</v>
      </c>
      <c r="S526" s="737">
        <f t="shared" si="75"/>
        <v>0</v>
      </c>
      <c r="T526" s="739">
        <f t="shared" si="76"/>
        <v>0</v>
      </c>
      <c r="U526" s="846"/>
      <c r="V526" s="847"/>
      <c r="W526" s="846"/>
      <c r="X526" s="846"/>
      <c r="Y526" s="740">
        <f t="shared" si="72"/>
        <v>0</v>
      </c>
      <c r="Z526" s="847"/>
      <c r="AA526" s="847"/>
      <c r="AB526" s="741">
        <f t="shared" si="73"/>
        <v>0</v>
      </c>
      <c r="AC526" s="846"/>
      <c r="AD526" s="847"/>
      <c r="AE526" s="846"/>
      <c r="AF526" s="846"/>
      <c r="AG526" s="847"/>
      <c r="AH526" s="847"/>
      <c r="AI526" s="742">
        <f t="shared" si="77"/>
        <v>0</v>
      </c>
      <c r="AJ526" s="743">
        <f t="shared" si="78"/>
        <v>0</v>
      </c>
    </row>
    <row r="527" spans="1:36">
      <c r="A527" s="1203" t="s">
        <v>143</v>
      </c>
      <c r="B527" s="1220" t="s">
        <v>210</v>
      </c>
      <c r="C527" s="1221" t="s">
        <v>311</v>
      </c>
      <c r="D527" s="1222"/>
      <c r="E527" s="1201"/>
      <c r="F527" s="1202"/>
      <c r="G527" s="846"/>
      <c r="H527" s="847"/>
      <c r="I527" s="846"/>
      <c r="J527" s="847"/>
      <c r="K527" s="846"/>
      <c r="L527" s="847"/>
      <c r="M527" s="846"/>
      <c r="N527" s="846"/>
      <c r="O527" s="737">
        <f t="shared" si="71"/>
        <v>0</v>
      </c>
      <c r="P527" s="847"/>
      <c r="Q527" s="847"/>
      <c r="R527" s="738">
        <f t="shared" si="74"/>
        <v>0</v>
      </c>
      <c r="S527" s="737">
        <f t="shared" si="75"/>
        <v>0</v>
      </c>
      <c r="T527" s="739">
        <f t="shared" si="76"/>
        <v>0</v>
      </c>
      <c r="U527" s="846"/>
      <c r="V527" s="847"/>
      <c r="W527" s="846"/>
      <c r="X527" s="846"/>
      <c r="Y527" s="740">
        <f t="shared" si="72"/>
        <v>0</v>
      </c>
      <c r="Z527" s="847"/>
      <c r="AA527" s="847"/>
      <c r="AB527" s="741">
        <f t="shared" si="73"/>
        <v>0</v>
      </c>
      <c r="AC527" s="846"/>
      <c r="AD527" s="847"/>
      <c r="AE527" s="846"/>
      <c r="AF527" s="846"/>
      <c r="AG527" s="847"/>
      <c r="AH527" s="847"/>
      <c r="AI527" s="742">
        <f t="shared" si="77"/>
        <v>0</v>
      </c>
      <c r="AJ527" s="743">
        <f t="shared" si="78"/>
        <v>0</v>
      </c>
    </row>
    <row r="528" spans="1:36">
      <c r="A528" s="1203" t="s">
        <v>143</v>
      </c>
      <c r="B528" s="1220" t="s">
        <v>204</v>
      </c>
      <c r="C528" s="1221" t="s">
        <v>249</v>
      </c>
      <c r="D528" s="1222"/>
      <c r="E528" s="1201"/>
      <c r="F528" s="1202"/>
      <c r="G528" s="846"/>
      <c r="H528" s="847"/>
      <c r="I528" s="846"/>
      <c r="J528" s="847"/>
      <c r="K528" s="846"/>
      <c r="L528" s="847"/>
      <c r="M528" s="846"/>
      <c r="N528" s="846"/>
      <c r="O528" s="737">
        <f t="shared" si="71"/>
        <v>0</v>
      </c>
      <c r="P528" s="847"/>
      <c r="Q528" s="847"/>
      <c r="R528" s="738">
        <f t="shared" si="74"/>
        <v>0</v>
      </c>
      <c r="S528" s="737">
        <f t="shared" si="75"/>
        <v>0</v>
      </c>
      <c r="T528" s="739">
        <f t="shared" si="76"/>
        <v>0</v>
      </c>
      <c r="U528" s="846"/>
      <c r="V528" s="847"/>
      <c r="W528" s="846"/>
      <c r="X528" s="846"/>
      <c r="Y528" s="740">
        <f t="shared" si="72"/>
        <v>0</v>
      </c>
      <c r="Z528" s="847"/>
      <c r="AA528" s="847"/>
      <c r="AB528" s="741">
        <f t="shared" si="73"/>
        <v>0</v>
      </c>
      <c r="AC528" s="846"/>
      <c r="AD528" s="847"/>
      <c r="AE528" s="846"/>
      <c r="AF528" s="846"/>
      <c r="AG528" s="847"/>
      <c r="AH528" s="847"/>
      <c r="AI528" s="742">
        <f t="shared" si="77"/>
        <v>0</v>
      </c>
      <c r="AJ528" s="743">
        <f t="shared" si="78"/>
        <v>0</v>
      </c>
    </row>
    <row r="529" spans="1:36">
      <c r="A529" s="1203" t="s">
        <v>143</v>
      </c>
      <c r="B529" s="1220" t="s">
        <v>205</v>
      </c>
      <c r="C529" s="1221" t="s">
        <v>523</v>
      </c>
      <c r="D529" s="1222"/>
      <c r="E529" s="1201"/>
      <c r="F529" s="1202"/>
      <c r="G529" s="846"/>
      <c r="H529" s="847"/>
      <c r="I529" s="846"/>
      <c r="J529" s="847"/>
      <c r="K529" s="846"/>
      <c r="L529" s="847"/>
      <c r="M529" s="846"/>
      <c r="N529" s="846"/>
      <c r="O529" s="737">
        <f t="shared" si="71"/>
        <v>0</v>
      </c>
      <c r="P529" s="847"/>
      <c r="Q529" s="847"/>
      <c r="R529" s="738">
        <f t="shared" si="74"/>
        <v>0</v>
      </c>
      <c r="S529" s="737">
        <f t="shared" si="75"/>
        <v>0</v>
      </c>
      <c r="T529" s="739">
        <f t="shared" si="76"/>
        <v>0</v>
      </c>
      <c r="U529" s="846"/>
      <c r="V529" s="847"/>
      <c r="W529" s="846"/>
      <c r="X529" s="846"/>
      <c r="Y529" s="740">
        <f t="shared" si="72"/>
        <v>0</v>
      </c>
      <c r="Z529" s="847"/>
      <c r="AA529" s="847"/>
      <c r="AB529" s="741">
        <f t="shared" si="73"/>
        <v>0</v>
      </c>
      <c r="AC529" s="846"/>
      <c r="AD529" s="847"/>
      <c r="AE529" s="846"/>
      <c r="AF529" s="846"/>
      <c r="AG529" s="847"/>
      <c r="AH529" s="847"/>
      <c r="AI529" s="742">
        <f t="shared" si="77"/>
        <v>0</v>
      </c>
      <c r="AJ529" s="743">
        <f t="shared" si="78"/>
        <v>0</v>
      </c>
    </row>
    <row r="530" spans="1:36">
      <c r="A530" s="1203" t="s">
        <v>143</v>
      </c>
      <c r="B530" s="1220" t="s">
        <v>218</v>
      </c>
      <c r="C530" s="1221" t="s">
        <v>311</v>
      </c>
      <c r="D530" s="1222"/>
      <c r="E530" s="1201"/>
      <c r="F530" s="1202"/>
      <c r="G530" s="846"/>
      <c r="H530" s="847"/>
      <c r="I530" s="846"/>
      <c r="J530" s="847"/>
      <c r="K530" s="846"/>
      <c r="L530" s="847"/>
      <c r="M530" s="846"/>
      <c r="N530" s="846"/>
      <c r="O530" s="737">
        <f t="shared" si="71"/>
        <v>0</v>
      </c>
      <c r="P530" s="847"/>
      <c r="Q530" s="847"/>
      <c r="R530" s="738">
        <f t="shared" si="74"/>
        <v>0</v>
      </c>
      <c r="S530" s="737">
        <f t="shared" si="75"/>
        <v>0</v>
      </c>
      <c r="T530" s="739">
        <f t="shared" si="76"/>
        <v>0</v>
      </c>
      <c r="U530" s="846"/>
      <c r="V530" s="847"/>
      <c r="W530" s="846"/>
      <c r="X530" s="846"/>
      <c r="Y530" s="740">
        <f t="shared" si="72"/>
        <v>0</v>
      </c>
      <c r="Z530" s="847"/>
      <c r="AA530" s="847"/>
      <c r="AB530" s="741">
        <f t="shared" si="73"/>
        <v>0</v>
      </c>
      <c r="AC530" s="846"/>
      <c r="AD530" s="847"/>
      <c r="AE530" s="846"/>
      <c r="AF530" s="846"/>
      <c r="AG530" s="847"/>
      <c r="AH530" s="847"/>
      <c r="AI530" s="742">
        <f t="shared" si="77"/>
        <v>0</v>
      </c>
      <c r="AJ530" s="743">
        <f t="shared" si="78"/>
        <v>0</v>
      </c>
    </row>
    <row r="531" spans="1:36">
      <c r="A531" s="1203" t="s">
        <v>143</v>
      </c>
      <c r="B531" s="1220" t="s">
        <v>219</v>
      </c>
      <c r="C531" s="1221" t="s">
        <v>249</v>
      </c>
      <c r="D531" s="1222"/>
      <c r="E531" s="1201"/>
      <c r="F531" s="1202"/>
      <c r="G531" s="846"/>
      <c r="H531" s="847"/>
      <c r="I531" s="846"/>
      <c r="J531" s="847"/>
      <c r="K531" s="846"/>
      <c r="L531" s="847"/>
      <c r="M531" s="846"/>
      <c r="N531" s="846"/>
      <c r="O531" s="737">
        <f t="shared" si="71"/>
        <v>0</v>
      </c>
      <c r="P531" s="847"/>
      <c r="Q531" s="847"/>
      <c r="R531" s="738">
        <f t="shared" si="74"/>
        <v>0</v>
      </c>
      <c r="S531" s="737">
        <f t="shared" si="75"/>
        <v>0</v>
      </c>
      <c r="T531" s="739">
        <f t="shared" si="76"/>
        <v>0</v>
      </c>
      <c r="U531" s="846"/>
      <c r="V531" s="847"/>
      <c r="W531" s="846"/>
      <c r="X531" s="846"/>
      <c r="Y531" s="740">
        <f t="shared" si="72"/>
        <v>0</v>
      </c>
      <c r="Z531" s="847"/>
      <c r="AA531" s="847"/>
      <c r="AB531" s="741">
        <f t="shared" si="73"/>
        <v>0</v>
      </c>
      <c r="AC531" s="846"/>
      <c r="AD531" s="847"/>
      <c r="AE531" s="846"/>
      <c r="AF531" s="846"/>
      <c r="AG531" s="847"/>
      <c r="AH531" s="847"/>
      <c r="AI531" s="742">
        <f t="shared" si="77"/>
        <v>0</v>
      </c>
      <c r="AJ531" s="743">
        <f t="shared" si="78"/>
        <v>0</v>
      </c>
    </row>
    <row r="532" spans="1:36">
      <c r="A532" s="1203" t="s">
        <v>143</v>
      </c>
      <c r="B532" s="1198" t="s">
        <v>292</v>
      </c>
      <c r="C532" s="1219" t="s">
        <v>1311</v>
      </c>
      <c r="D532" s="1205"/>
      <c r="E532" s="1201"/>
      <c r="F532" s="1202"/>
      <c r="G532" s="846"/>
      <c r="H532" s="847"/>
      <c r="I532" s="846"/>
      <c r="J532" s="847"/>
      <c r="K532" s="846"/>
      <c r="L532" s="847"/>
      <c r="M532" s="846"/>
      <c r="N532" s="846"/>
      <c r="O532" s="737">
        <f t="shared" si="71"/>
        <v>0</v>
      </c>
      <c r="P532" s="847"/>
      <c r="Q532" s="847"/>
      <c r="R532" s="738">
        <f t="shared" si="74"/>
        <v>0</v>
      </c>
      <c r="S532" s="737">
        <f t="shared" si="75"/>
        <v>0</v>
      </c>
      <c r="T532" s="739">
        <f t="shared" si="76"/>
        <v>0</v>
      </c>
      <c r="U532" s="846"/>
      <c r="V532" s="847"/>
      <c r="W532" s="846"/>
      <c r="X532" s="846"/>
      <c r="Y532" s="740">
        <f t="shared" si="72"/>
        <v>0</v>
      </c>
      <c r="Z532" s="847"/>
      <c r="AA532" s="847"/>
      <c r="AB532" s="741">
        <f t="shared" si="73"/>
        <v>0</v>
      </c>
      <c r="AC532" s="846"/>
      <c r="AD532" s="847"/>
      <c r="AE532" s="846"/>
      <c r="AF532" s="846"/>
      <c r="AG532" s="847"/>
      <c r="AH532" s="847"/>
      <c r="AI532" s="742">
        <f t="shared" si="77"/>
        <v>0</v>
      </c>
      <c r="AJ532" s="743">
        <f t="shared" si="78"/>
        <v>0</v>
      </c>
    </row>
    <row r="533" spans="1:36">
      <c r="A533" s="1203" t="s">
        <v>143</v>
      </c>
      <c r="B533" s="1220" t="s">
        <v>310</v>
      </c>
      <c r="C533" s="1221" t="s">
        <v>311</v>
      </c>
      <c r="D533" s="1222"/>
      <c r="E533" s="1201"/>
      <c r="F533" s="1202"/>
      <c r="G533" s="846"/>
      <c r="H533" s="847"/>
      <c r="I533" s="846"/>
      <c r="J533" s="847"/>
      <c r="K533" s="846"/>
      <c r="L533" s="847"/>
      <c r="M533" s="846"/>
      <c r="N533" s="846"/>
      <c r="O533" s="737">
        <f t="shared" si="71"/>
        <v>0</v>
      </c>
      <c r="P533" s="847"/>
      <c r="Q533" s="847"/>
      <c r="R533" s="738">
        <f t="shared" si="74"/>
        <v>0</v>
      </c>
      <c r="S533" s="737">
        <f t="shared" si="75"/>
        <v>0</v>
      </c>
      <c r="T533" s="739">
        <f t="shared" si="76"/>
        <v>0</v>
      </c>
      <c r="U533" s="846"/>
      <c r="V533" s="847"/>
      <c r="W533" s="846"/>
      <c r="X533" s="846"/>
      <c r="Y533" s="740">
        <f t="shared" si="72"/>
        <v>0</v>
      </c>
      <c r="Z533" s="847"/>
      <c r="AA533" s="847"/>
      <c r="AB533" s="741">
        <f t="shared" si="73"/>
        <v>0</v>
      </c>
      <c r="AC533" s="846"/>
      <c r="AD533" s="847"/>
      <c r="AE533" s="846"/>
      <c r="AF533" s="846"/>
      <c r="AG533" s="847"/>
      <c r="AH533" s="847"/>
      <c r="AI533" s="742">
        <f t="shared" si="77"/>
        <v>0</v>
      </c>
      <c r="AJ533" s="743">
        <f t="shared" si="78"/>
        <v>0</v>
      </c>
    </row>
    <row r="534" spans="1:36">
      <c r="A534" s="1203" t="s">
        <v>143</v>
      </c>
      <c r="B534" s="1220" t="s">
        <v>251</v>
      </c>
      <c r="C534" s="1221" t="s">
        <v>249</v>
      </c>
      <c r="D534" s="1222"/>
      <c r="E534" s="1201"/>
      <c r="F534" s="1202"/>
      <c r="G534" s="846"/>
      <c r="H534" s="847"/>
      <c r="I534" s="846"/>
      <c r="J534" s="847"/>
      <c r="K534" s="846"/>
      <c r="L534" s="847"/>
      <c r="M534" s="846"/>
      <c r="N534" s="846"/>
      <c r="O534" s="737">
        <f t="shared" si="71"/>
        <v>0</v>
      </c>
      <c r="P534" s="847"/>
      <c r="Q534" s="847"/>
      <c r="R534" s="738">
        <f t="shared" si="74"/>
        <v>0</v>
      </c>
      <c r="S534" s="737">
        <f t="shared" si="75"/>
        <v>0</v>
      </c>
      <c r="T534" s="739">
        <f t="shared" si="76"/>
        <v>0</v>
      </c>
      <c r="U534" s="846">
        <v>175000</v>
      </c>
      <c r="V534" s="847">
        <v>175000</v>
      </c>
      <c r="W534" s="846"/>
      <c r="X534" s="846"/>
      <c r="Y534" s="740">
        <f t="shared" si="72"/>
        <v>0</v>
      </c>
      <c r="Z534" s="847"/>
      <c r="AA534" s="847"/>
      <c r="AB534" s="741">
        <f t="shared" si="73"/>
        <v>0</v>
      </c>
      <c r="AC534" s="846"/>
      <c r="AD534" s="847"/>
      <c r="AE534" s="846"/>
      <c r="AF534" s="846"/>
      <c r="AG534" s="847"/>
      <c r="AH534" s="847"/>
      <c r="AI534" s="742">
        <f t="shared" si="77"/>
        <v>175000</v>
      </c>
      <c r="AJ534" s="743">
        <f t="shared" si="78"/>
        <v>175000</v>
      </c>
    </row>
    <row r="535" spans="1:36">
      <c r="A535" s="1203" t="s">
        <v>143</v>
      </c>
      <c r="B535" s="1220" t="s">
        <v>209</v>
      </c>
      <c r="C535" s="1221" t="s">
        <v>522</v>
      </c>
      <c r="D535" s="1222"/>
      <c r="E535" s="1201"/>
      <c r="F535" s="1202"/>
      <c r="G535" s="846"/>
      <c r="H535" s="847"/>
      <c r="I535" s="846"/>
      <c r="J535" s="847"/>
      <c r="K535" s="846"/>
      <c r="L535" s="847"/>
      <c r="M535" s="846"/>
      <c r="N535" s="846"/>
      <c r="O535" s="737">
        <f t="shared" si="71"/>
        <v>0</v>
      </c>
      <c r="P535" s="847"/>
      <c r="Q535" s="847"/>
      <c r="R535" s="738">
        <f t="shared" si="74"/>
        <v>0</v>
      </c>
      <c r="S535" s="737">
        <f t="shared" si="75"/>
        <v>0</v>
      </c>
      <c r="T535" s="739">
        <f t="shared" si="76"/>
        <v>0</v>
      </c>
      <c r="U535" s="846"/>
      <c r="V535" s="847"/>
      <c r="W535" s="846"/>
      <c r="X535" s="846"/>
      <c r="Y535" s="740">
        <f t="shared" si="72"/>
        <v>0</v>
      </c>
      <c r="Z535" s="847"/>
      <c r="AA535" s="847"/>
      <c r="AB535" s="741">
        <f t="shared" si="73"/>
        <v>0</v>
      </c>
      <c r="AC535" s="846"/>
      <c r="AD535" s="847"/>
      <c r="AE535" s="846"/>
      <c r="AF535" s="846"/>
      <c r="AG535" s="847"/>
      <c r="AH535" s="847"/>
      <c r="AI535" s="742">
        <f t="shared" si="77"/>
        <v>0</v>
      </c>
      <c r="AJ535" s="743">
        <f t="shared" si="78"/>
        <v>0</v>
      </c>
    </row>
    <row r="536" spans="1:36">
      <c r="A536" s="1203" t="s">
        <v>143</v>
      </c>
      <c r="B536" s="1220" t="s">
        <v>210</v>
      </c>
      <c r="C536" s="1221" t="s">
        <v>311</v>
      </c>
      <c r="D536" s="1222"/>
      <c r="E536" s="1201"/>
      <c r="F536" s="1202"/>
      <c r="G536" s="846"/>
      <c r="H536" s="847"/>
      <c r="I536" s="846"/>
      <c r="J536" s="847"/>
      <c r="K536" s="846"/>
      <c r="L536" s="847"/>
      <c r="M536" s="846"/>
      <c r="N536" s="846"/>
      <c r="O536" s="737">
        <f t="shared" si="71"/>
        <v>0</v>
      </c>
      <c r="P536" s="847"/>
      <c r="Q536" s="847"/>
      <c r="R536" s="738">
        <f t="shared" si="74"/>
        <v>0</v>
      </c>
      <c r="S536" s="737">
        <f t="shared" si="75"/>
        <v>0</v>
      </c>
      <c r="T536" s="739">
        <f t="shared" si="76"/>
        <v>0</v>
      </c>
      <c r="U536" s="846"/>
      <c r="V536" s="847"/>
      <c r="W536" s="846"/>
      <c r="X536" s="846"/>
      <c r="Y536" s="740">
        <f t="shared" si="72"/>
        <v>0</v>
      </c>
      <c r="Z536" s="847"/>
      <c r="AA536" s="847"/>
      <c r="AB536" s="741">
        <f t="shared" si="73"/>
        <v>0</v>
      </c>
      <c r="AC536" s="846"/>
      <c r="AD536" s="847"/>
      <c r="AE536" s="846"/>
      <c r="AF536" s="846"/>
      <c r="AG536" s="847"/>
      <c r="AH536" s="847"/>
      <c r="AI536" s="742">
        <f t="shared" si="77"/>
        <v>0</v>
      </c>
      <c r="AJ536" s="743">
        <f t="shared" si="78"/>
        <v>0</v>
      </c>
    </row>
    <row r="537" spans="1:36">
      <c r="A537" s="1203" t="s">
        <v>143</v>
      </c>
      <c r="B537" s="1220" t="s">
        <v>204</v>
      </c>
      <c r="C537" s="1221" t="s">
        <v>249</v>
      </c>
      <c r="D537" s="1222"/>
      <c r="E537" s="1201"/>
      <c r="F537" s="1202"/>
      <c r="G537" s="846"/>
      <c r="H537" s="847"/>
      <c r="I537" s="846"/>
      <c r="J537" s="847"/>
      <c r="K537" s="846"/>
      <c r="L537" s="847"/>
      <c r="M537" s="846"/>
      <c r="N537" s="846"/>
      <c r="O537" s="737">
        <f t="shared" si="71"/>
        <v>0</v>
      </c>
      <c r="P537" s="847"/>
      <c r="Q537" s="847"/>
      <c r="R537" s="738">
        <f t="shared" si="74"/>
        <v>0</v>
      </c>
      <c r="S537" s="737">
        <f t="shared" si="75"/>
        <v>0</v>
      </c>
      <c r="T537" s="739">
        <f t="shared" si="76"/>
        <v>0</v>
      </c>
      <c r="U537" s="846"/>
      <c r="V537" s="847"/>
      <c r="W537" s="846"/>
      <c r="X537" s="846"/>
      <c r="Y537" s="740">
        <f t="shared" si="72"/>
        <v>0</v>
      </c>
      <c r="Z537" s="847"/>
      <c r="AA537" s="847"/>
      <c r="AB537" s="741">
        <f t="shared" si="73"/>
        <v>0</v>
      </c>
      <c r="AC537" s="846"/>
      <c r="AD537" s="847"/>
      <c r="AE537" s="846"/>
      <c r="AF537" s="846"/>
      <c r="AG537" s="847"/>
      <c r="AH537" s="847"/>
      <c r="AI537" s="742">
        <f t="shared" si="77"/>
        <v>0</v>
      </c>
      <c r="AJ537" s="743">
        <f t="shared" si="78"/>
        <v>0</v>
      </c>
    </row>
    <row r="538" spans="1:36">
      <c r="A538" s="1203" t="s">
        <v>143</v>
      </c>
      <c r="B538" s="1220" t="s">
        <v>205</v>
      </c>
      <c r="C538" s="1221" t="s">
        <v>523</v>
      </c>
      <c r="D538" s="1222"/>
      <c r="E538" s="1201"/>
      <c r="F538" s="1202"/>
      <c r="G538" s="846"/>
      <c r="H538" s="847"/>
      <c r="I538" s="846"/>
      <c r="J538" s="847"/>
      <c r="K538" s="846"/>
      <c r="L538" s="847"/>
      <c r="M538" s="846"/>
      <c r="N538" s="846"/>
      <c r="O538" s="737">
        <f t="shared" si="71"/>
        <v>0</v>
      </c>
      <c r="P538" s="847"/>
      <c r="Q538" s="847"/>
      <c r="R538" s="738">
        <f t="shared" si="74"/>
        <v>0</v>
      </c>
      <c r="S538" s="737">
        <f t="shared" si="75"/>
        <v>0</v>
      </c>
      <c r="T538" s="739">
        <f t="shared" si="76"/>
        <v>0</v>
      </c>
      <c r="U538" s="846"/>
      <c r="V538" s="847"/>
      <c r="W538" s="846"/>
      <c r="X538" s="846"/>
      <c r="Y538" s="740">
        <f t="shared" si="72"/>
        <v>0</v>
      </c>
      <c r="Z538" s="847"/>
      <c r="AA538" s="847"/>
      <c r="AB538" s="741">
        <f t="shared" si="73"/>
        <v>0</v>
      </c>
      <c r="AC538" s="846"/>
      <c r="AD538" s="847"/>
      <c r="AE538" s="846"/>
      <c r="AF538" s="846"/>
      <c r="AG538" s="847"/>
      <c r="AH538" s="847"/>
      <c r="AI538" s="742">
        <f t="shared" si="77"/>
        <v>0</v>
      </c>
      <c r="AJ538" s="743">
        <f t="shared" si="78"/>
        <v>0</v>
      </c>
    </row>
    <row r="539" spans="1:36">
      <c r="A539" s="1203" t="s">
        <v>143</v>
      </c>
      <c r="B539" s="1220" t="s">
        <v>218</v>
      </c>
      <c r="C539" s="1221" t="s">
        <v>311</v>
      </c>
      <c r="D539" s="1222"/>
      <c r="E539" s="1201"/>
      <c r="F539" s="1202"/>
      <c r="G539" s="846"/>
      <c r="H539" s="847"/>
      <c r="I539" s="846"/>
      <c r="J539" s="847"/>
      <c r="K539" s="846"/>
      <c r="L539" s="847"/>
      <c r="M539" s="846"/>
      <c r="N539" s="846"/>
      <c r="O539" s="737">
        <f t="shared" si="71"/>
        <v>0</v>
      </c>
      <c r="P539" s="847"/>
      <c r="Q539" s="847"/>
      <c r="R539" s="738">
        <f t="shared" si="74"/>
        <v>0</v>
      </c>
      <c r="S539" s="737">
        <f t="shared" si="75"/>
        <v>0</v>
      </c>
      <c r="T539" s="739">
        <f t="shared" si="76"/>
        <v>0</v>
      </c>
      <c r="U539" s="846"/>
      <c r="V539" s="847"/>
      <c r="W539" s="846"/>
      <c r="X539" s="846"/>
      <c r="Y539" s="740">
        <f t="shared" si="72"/>
        <v>0</v>
      </c>
      <c r="Z539" s="847"/>
      <c r="AA539" s="847"/>
      <c r="AB539" s="741">
        <f t="shared" si="73"/>
        <v>0</v>
      </c>
      <c r="AC539" s="846"/>
      <c r="AD539" s="847"/>
      <c r="AE539" s="846"/>
      <c r="AF539" s="846"/>
      <c r="AG539" s="847"/>
      <c r="AH539" s="847"/>
      <c r="AI539" s="742">
        <f t="shared" si="77"/>
        <v>0</v>
      </c>
      <c r="AJ539" s="743">
        <f t="shared" si="78"/>
        <v>0</v>
      </c>
    </row>
    <row r="540" spans="1:36">
      <c r="A540" s="1203" t="s">
        <v>143</v>
      </c>
      <c r="B540" s="1220" t="s">
        <v>219</v>
      </c>
      <c r="C540" s="1221" t="s">
        <v>249</v>
      </c>
      <c r="D540" s="1222"/>
      <c r="E540" s="1201"/>
      <c r="F540" s="1202"/>
      <c r="G540" s="846"/>
      <c r="H540" s="847"/>
      <c r="I540" s="846"/>
      <c r="J540" s="847"/>
      <c r="K540" s="846"/>
      <c r="L540" s="847"/>
      <c r="M540" s="846"/>
      <c r="N540" s="846"/>
      <c r="O540" s="737">
        <f t="shared" si="71"/>
        <v>0</v>
      </c>
      <c r="P540" s="847"/>
      <c r="Q540" s="847"/>
      <c r="R540" s="738">
        <f t="shared" si="74"/>
        <v>0</v>
      </c>
      <c r="S540" s="737">
        <f t="shared" si="75"/>
        <v>0</v>
      </c>
      <c r="T540" s="739">
        <f t="shared" si="76"/>
        <v>0</v>
      </c>
      <c r="U540" s="846"/>
      <c r="V540" s="847"/>
      <c r="W540" s="846"/>
      <c r="X540" s="846"/>
      <c r="Y540" s="740">
        <f t="shared" si="72"/>
        <v>0</v>
      </c>
      <c r="Z540" s="847"/>
      <c r="AA540" s="847"/>
      <c r="AB540" s="741">
        <f t="shared" si="73"/>
        <v>0</v>
      </c>
      <c r="AC540" s="846"/>
      <c r="AD540" s="847"/>
      <c r="AE540" s="846"/>
      <c r="AF540" s="846"/>
      <c r="AG540" s="847"/>
      <c r="AH540" s="847"/>
      <c r="AI540" s="742">
        <f t="shared" si="77"/>
        <v>0</v>
      </c>
      <c r="AJ540" s="743">
        <f t="shared" si="78"/>
        <v>0</v>
      </c>
    </row>
    <row r="541" spans="1:36">
      <c r="A541" s="1203" t="s">
        <v>143</v>
      </c>
      <c r="B541" s="1198" t="s">
        <v>292</v>
      </c>
      <c r="C541" s="1219" t="s">
        <v>1312</v>
      </c>
      <c r="D541" s="1205"/>
      <c r="E541" s="1201"/>
      <c r="F541" s="1202"/>
      <c r="G541" s="846"/>
      <c r="H541" s="847"/>
      <c r="I541" s="846"/>
      <c r="J541" s="847"/>
      <c r="K541" s="846"/>
      <c r="L541" s="847"/>
      <c r="M541" s="846"/>
      <c r="N541" s="846"/>
      <c r="O541" s="737">
        <f t="shared" si="71"/>
        <v>0</v>
      </c>
      <c r="P541" s="847"/>
      <c r="Q541" s="847"/>
      <c r="R541" s="738">
        <f t="shared" si="74"/>
        <v>0</v>
      </c>
      <c r="S541" s="737">
        <f t="shared" si="75"/>
        <v>0</v>
      </c>
      <c r="T541" s="739">
        <f t="shared" si="76"/>
        <v>0</v>
      </c>
      <c r="U541" s="846"/>
      <c r="V541" s="847"/>
      <c r="W541" s="846"/>
      <c r="X541" s="846"/>
      <c r="Y541" s="740">
        <f t="shared" si="72"/>
        <v>0</v>
      </c>
      <c r="Z541" s="847"/>
      <c r="AA541" s="847"/>
      <c r="AB541" s="741">
        <f t="shared" si="73"/>
        <v>0</v>
      </c>
      <c r="AC541" s="846"/>
      <c r="AD541" s="847"/>
      <c r="AE541" s="846"/>
      <c r="AF541" s="846"/>
      <c r="AG541" s="847"/>
      <c r="AH541" s="847"/>
      <c r="AI541" s="742">
        <f t="shared" si="77"/>
        <v>0</v>
      </c>
      <c r="AJ541" s="743">
        <f t="shared" si="78"/>
        <v>0</v>
      </c>
    </row>
    <row r="542" spans="1:36">
      <c r="A542" s="1203" t="s">
        <v>143</v>
      </c>
      <c r="B542" s="1220" t="s">
        <v>209</v>
      </c>
      <c r="C542" s="1221" t="s">
        <v>522</v>
      </c>
      <c r="D542" s="1222"/>
      <c r="E542" s="1201"/>
      <c r="F542" s="1202"/>
      <c r="G542" s="846"/>
      <c r="H542" s="847"/>
      <c r="I542" s="846"/>
      <c r="J542" s="847"/>
      <c r="K542" s="846"/>
      <c r="L542" s="847"/>
      <c r="M542" s="846"/>
      <c r="N542" s="846"/>
      <c r="O542" s="737">
        <f t="shared" si="71"/>
        <v>0</v>
      </c>
      <c r="P542" s="847"/>
      <c r="Q542" s="847"/>
      <c r="R542" s="738">
        <f t="shared" si="74"/>
        <v>0</v>
      </c>
      <c r="S542" s="737">
        <f t="shared" si="75"/>
        <v>0</v>
      </c>
      <c r="T542" s="739">
        <f t="shared" si="76"/>
        <v>0</v>
      </c>
      <c r="U542" s="846"/>
      <c r="V542" s="847"/>
      <c r="W542" s="846"/>
      <c r="X542" s="846"/>
      <c r="Y542" s="740">
        <f t="shared" si="72"/>
        <v>0</v>
      </c>
      <c r="Z542" s="847"/>
      <c r="AA542" s="847"/>
      <c r="AB542" s="741">
        <f t="shared" si="73"/>
        <v>0</v>
      </c>
      <c r="AC542" s="846"/>
      <c r="AD542" s="847"/>
      <c r="AE542" s="846"/>
      <c r="AF542" s="846"/>
      <c r="AG542" s="847"/>
      <c r="AH542" s="847"/>
      <c r="AI542" s="742">
        <f t="shared" si="77"/>
        <v>0</v>
      </c>
      <c r="AJ542" s="743">
        <f t="shared" si="78"/>
        <v>0</v>
      </c>
    </row>
    <row r="543" spans="1:36">
      <c r="A543" s="1203" t="s">
        <v>143</v>
      </c>
      <c r="B543" s="1220" t="s">
        <v>210</v>
      </c>
      <c r="C543" s="1221" t="s">
        <v>311</v>
      </c>
      <c r="D543" s="1222"/>
      <c r="E543" s="1201"/>
      <c r="F543" s="1202"/>
      <c r="G543" s="846"/>
      <c r="H543" s="847"/>
      <c r="I543" s="846"/>
      <c r="J543" s="847"/>
      <c r="K543" s="846"/>
      <c r="L543" s="847"/>
      <c r="M543" s="846"/>
      <c r="N543" s="846"/>
      <c r="O543" s="737">
        <f t="shared" si="71"/>
        <v>0</v>
      </c>
      <c r="P543" s="847"/>
      <c r="Q543" s="847"/>
      <c r="R543" s="738">
        <f t="shared" si="74"/>
        <v>0</v>
      </c>
      <c r="S543" s="737">
        <f t="shared" si="75"/>
        <v>0</v>
      </c>
      <c r="T543" s="739">
        <f t="shared" si="76"/>
        <v>0</v>
      </c>
      <c r="U543" s="846"/>
      <c r="V543" s="847"/>
      <c r="W543" s="846"/>
      <c r="X543" s="846"/>
      <c r="Y543" s="740">
        <f t="shared" si="72"/>
        <v>0</v>
      </c>
      <c r="Z543" s="847"/>
      <c r="AA543" s="847"/>
      <c r="AB543" s="741">
        <f t="shared" si="73"/>
        <v>0</v>
      </c>
      <c r="AC543" s="846"/>
      <c r="AD543" s="847"/>
      <c r="AE543" s="846"/>
      <c r="AF543" s="846"/>
      <c r="AG543" s="847"/>
      <c r="AH543" s="847"/>
      <c r="AI543" s="742">
        <f t="shared" si="77"/>
        <v>0</v>
      </c>
      <c r="AJ543" s="743">
        <f t="shared" si="78"/>
        <v>0</v>
      </c>
    </row>
    <row r="544" spans="1:36">
      <c r="A544" s="1203" t="s">
        <v>143</v>
      </c>
      <c r="B544" s="1220" t="s">
        <v>204</v>
      </c>
      <c r="C544" s="1221" t="s">
        <v>249</v>
      </c>
      <c r="D544" s="1222"/>
      <c r="E544" s="1201"/>
      <c r="F544" s="1202"/>
      <c r="G544" s="846"/>
      <c r="H544" s="847"/>
      <c r="I544" s="846"/>
      <c r="J544" s="847"/>
      <c r="K544" s="846"/>
      <c r="L544" s="847"/>
      <c r="M544" s="846"/>
      <c r="N544" s="846"/>
      <c r="O544" s="737">
        <f t="shared" si="71"/>
        <v>0</v>
      </c>
      <c r="P544" s="847"/>
      <c r="Q544" s="847"/>
      <c r="R544" s="738">
        <f t="shared" si="74"/>
        <v>0</v>
      </c>
      <c r="S544" s="737">
        <f t="shared" si="75"/>
        <v>0</v>
      </c>
      <c r="T544" s="739">
        <f t="shared" si="76"/>
        <v>0</v>
      </c>
      <c r="U544" s="846">
        <v>62250</v>
      </c>
      <c r="V544" s="847">
        <v>75000</v>
      </c>
      <c r="W544" s="846"/>
      <c r="X544" s="846"/>
      <c r="Y544" s="740">
        <f t="shared" si="72"/>
        <v>0</v>
      </c>
      <c r="Z544" s="847"/>
      <c r="AA544" s="847"/>
      <c r="AB544" s="741">
        <f t="shared" si="73"/>
        <v>0</v>
      </c>
      <c r="AC544" s="846"/>
      <c r="AD544" s="847"/>
      <c r="AE544" s="846"/>
      <c r="AF544" s="846"/>
      <c r="AG544" s="847"/>
      <c r="AH544" s="847"/>
      <c r="AI544" s="742">
        <f t="shared" si="77"/>
        <v>62250</v>
      </c>
      <c r="AJ544" s="743">
        <f t="shared" si="78"/>
        <v>75000</v>
      </c>
    </row>
    <row r="545" spans="1:36">
      <c r="A545" s="1203" t="s">
        <v>143</v>
      </c>
      <c r="B545" s="1220" t="s">
        <v>205</v>
      </c>
      <c r="C545" s="1221" t="s">
        <v>523</v>
      </c>
      <c r="D545" s="1222"/>
      <c r="E545" s="1201"/>
      <c r="F545" s="1202"/>
      <c r="G545" s="846"/>
      <c r="H545" s="847"/>
      <c r="I545" s="846"/>
      <c r="J545" s="847"/>
      <c r="K545" s="846"/>
      <c r="L545" s="847"/>
      <c r="M545" s="846"/>
      <c r="N545" s="846"/>
      <c r="O545" s="737">
        <f t="shared" si="71"/>
        <v>0</v>
      </c>
      <c r="P545" s="847"/>
      <c r="Q545" s="847"/>
      <c r="R545" s="738">
        <f t="shared" si="74"/>
        <v>0</v>
      </c>
      <c r="S545" s="737">
        <f t="shared" si="75"/>
        <v>0</v>
      </c>
      <c r="T545" s="739">
        <f t="shared" si="76"/>
        <v>0</v>
      </c>
      <c r="U545" s="846"/>
      <c r="V545" s="847"/>
      <c r="W545" s="846"/>
      <c r="X545" s="846"/>
      <c r="Y545" s="740">
        <f t="shared" si="72"/>
        <v>0</v>
      </c>
      <c r="Z545" s="847"/>
      <c r="AA545" s="847"/>
      <c r="AB545" s="741">
        <f t="shared" si="73"/>
        <v>0</v>
      </c>
      <c r="AC545" s="846"/>
      <c r="AD545" s="847"/>
      <c r="AE545" s="846"/>
      <c r="AF545" s="846"/>
      <c r="AG545" s="847"/>
      <c r="AH545" s="847"/>
      <c r="AI545" s="742">
        <f t="shared" si="77"/>
        <v>0</v>
      </c>
      <c r="AJ545" s="743">
        <f t="shared" si="78"/>
        <v>0</v>
      </c>
    </row>
    <row r="546" spans="1:36">
      <c r="A546" s="1203" t="s">
        <v>143</v>
      </c>
      <c r="B546" s="1220" t="s">
        <v>218</v>
      </c>
      <c r="C546" s="1221" t="s">
        <v>311</v>
      </c>
      <c r="D546" s="1222"/>
      <c r="E546" s="1201"/>
      <c r="F546" s="1202"/>
      <c r="G546" s="846"/>
      <c r="H546" s="847"/>
      <c r="I546" s="846"/>
      <c r="J546" s="847"/>
      <c r="K546" s="846"/>
      <c r="L546" s="847"/>
      <c r="M546" s="846"/>
      <c r="N546" s="846"/>
      <c r="O546" s="737">
        <f t="shared" si="71"/>
        <v>0</v>
      </c>
      <c r="P546" s="847"/>
      <c r="Q546" s="847"/>
      <c r="R546" s="738">
        <f t="shared" si="74"/>
        <v>0</v>
      </c>
      <c r="S546" s="737">
        <f t="shared" si="75"/>
        <v>0</v>
      </c>
      <c r="T546" s="739">
        <f t="shared" si="76"/>
        <v>0</v>
      </c>
      <c r="U546" s="846"/>
      <c r="V546" s="847"/>
      <c r="W546" s="846"/>
      <c r="X546" s="846"/>
      <c r="Y546" s="740">
        <f t="shared" si="72"/>
        <v>0</v>
      </c>
      <c r="Z546" s="847"/>
      <c r="AA546" s="847"/>
      <c r="AB546" s="741">
        <f t="shared" si="73"/>
        <v>0</v>
      </c>
      <c r="AC546" s="846"/>
      <c r="AD546" s="847"/>
      <c r="AE546" s="846"/>
      <c r="AF546" s="846"/>
      <c r="AG546" s="847"/>
      <c r="AH546" s="847"/>
      <c r="AI546" s="742">
        <f t="shared" si="77"/>
        <v>0</v>
      </c>
      <c r="AJ546" s="743">
        <f t="shared" si="78"/>
        <v>0</v>
      </c>
    </row>
    <row r="547" spans="1:36">
      <c r="A547" s="1203" t="s">
        <v>143</v>
      </c>
      <c r="B547" s="1220" t="s">
        <v>219</v>
      </c>
      <c r="C547" s="1221" t="s">
        <v>249</v>
      </c>
      <c r="D547" s="1222"/>
      <c r="E547" s="1201"/>
      <c r="F547" s="1202"/>
      <c r="G547" s="846"/>
      <c r="H547" s="847"/>
      <c r="I547" s="846"/>
      <c r="J547" s="847"/>
      <c r="K547" s="846"/>
      <c r="L547" s="847"/>
      <c r="M547" s="846"/>
      <c r="N547" s="846"/>
      <c r="O547" s="737">
        <f t="shared" si="71"/>
        <v>0</v>
      </c>
      <c r="P547" s="847"/>
      <c r="Q547" s="847"/>
      <c r="R547" s="738">
        <f t="shared" si="74"/>
        <v>0</v>
      </c>
      <c r="S547" s="737">
        <f t="shared" si="75"/>
        <v>0</v>
      </c>
      <c r="T547" s="739">
        <f t="shared" si="76"/>
        <v>0</v>
      </c>
      <c r="U547" s="846"/>
      <c r="V547" s="847"/>
      <c r="W547" s="846"/>
      <c r="X547" s="846"/>
      <c r="Y547" s="740">
        <f t="shared" si="72"/>
        <v>0</v>
      </c>
      <c r="Z547" s="847"/>
      <c r="AA547" s="847"/>
      <c r="AB547" s="741">
        <f t="shared" si="73"/>
        <v>0</v>
      </c>
      <c r="AC547" s="846"/>
      <c r="AD547" s="847"/>
      <c r="AE547" s="846"/>
      <c r="AF547" s="846"/>
      <c r="AG547" s="847"/>
      <c r="AH547" s="847"/>
      <c r="AI547" s="742">
        <f t="shared" si="77"/>
        <v>0</v>
      </c>
      <c r="AJ547" s="743">
        <f t="shared" si="78"/>
        <v>0</v>
      </c>
    </row>
    <row r="548" spans="1:36">
      <c r="A548" s="1203" t="s">
        <v>143</v>
      </c>
      <c r="B548" s="1198" t="s">
        <v>292</v>
      </c>
      <c r="C548" s="1219" t="s">
        <v>1313</v>
      </c>
      <c r="D548" s="1205"/>
      <c r="E548" s="1224"/>
      <c r="F548" s="1225"/>
      <c r="G548" s="846"/>
      <c r="H548" s="847"/>
      <c r="I548" s="846"/>
      <c r="J548" s="847"/>
      <c r="K548" s="846"/>
      <c r="L548" s="847"/>
      <c r="M548" s="846"/>
      <c r="N548" s="846"/>
      <c r="O548" s="737">
        <f t="shared" si="71"/>
        <v>0</v>
      </c>
      <c r="P548" s="847"/>
      <c r="Q548" s="847"/>
      <c r="R548" s="738">
        <f t="shared" si="74"/>
        <v>0</v>
      </c>
      <c r="S548" s="737">
        <f t="shared" si="75"/>
        <v>0</v>
      </c>
      <c r="T548" s="739">
        <f t="shared" si="76"/>
        <v>0</v>
      </c>
      <c r="U548" s="846"/>
      <c r="V548" s="847"/>
      <c r="W548" s="846"/>
      <c r="X548" s="846"/>
      <c r="Y548" s="740">
        <f t="shared" si="72"/>
        <v>0</v>
      </c>
      <c r="Z548" s="847"/>
      <c r="AA548" s="847"/>
      <c r="AB548" s="741">
        <f t="shared" si="73"/>
        <v>0</v>
      </c>
      <c r="AC548" s="846"/>
      <c r="AD548" s="847"/>
      <c r="AE548" s="846"/>
      <c r="AF548" s="846"/>
      <c r="AG548" s="847"/>
      <c r="AH548" s="847"/>
      <c r="AI548" s="742">
        <f t="shared" si="77"/>
        <v>0</v>
      </c>
      <c r="AJ548" s="743">
        <f t="shared" si="78"/>
        <v>0</v>
      </c>
    </row>
    <row r="549" spans="1:36">
      <c r="A549" s="1203" t="s">
        <v>143</v>
      </c>
      <c r="B549" s="1226" t="s">
        <v>209</v>
      </c>
      <c r="C549" s="1221" t="s">
        <v>522</v>
      </c>
      <c r="D549" s="1222"/>
      <c r="E549" s="1224"/>
      <c r="F549" s="1225"/>
      <c r="G549" s="846"/>
      <c r="H549" s="847"/>
      <c r="I549" s="846"/>
      <c r="J549" s="847"/>
      <c r="K549" s="846"/>
      <c r="L549" s="847"/>
      <c r="M549" s="846"/>
      <c r="N549" s="846"/>
      <c r="O549" s="737">
        <f t="shared" si="71"/>
        <v>0</v>
      </c>
      <c r="P549" s="847"/>
      <c r="Q549" s="847"/>
      <c r="R549" s="738">
        <f t="shared" si="74"/>
        <v>0</v>
      </c>
      <c r="S549" s="737">
        <f t="shared" si="75"/>
        <v>0</v>
      </c>
      <c r="T549" s="739">
        <f t="shared" si="76"/>
        <v>0</v>
      </c>
      <c r="U549" s="846"/>
      <c r="V549" s="847"/>
      <c r="W549" s="846"/>
      <c r="X549" s="846"/>
      <c r="Y549" s="740">
        <f t="shared" si="72"/>
        <v>0</v>
      </c>
      <c r="Z549" s="847"/>
      <c r="AA549" s="847"/>
      <c r="AB549" s="741">
        <f t="shared" si="73"/>
        <v>0</v>
      </c>
      <c r="AC549" s="846"/>
      <c r="AD549" s="847"/>
      <c r="AE549" s="846"/>
      <c r="AF549" s="846"/>
      <c r="AG549" s="847"/>
      <c r="AH549" s="847"/>
      <c r="AI549" s="742">
        <f t="shared" si="77"/>
        <v>0</v>
      </c>
      <c r="AJ549" s="743">
        <f t="shared" si="78"/>
        <v>0</v>
      </c>
    </row>
    <row r="550" spans="1:36">
      <c r="A550" s="1203" t="s">
        <v>143</v>
      </c>
      <c r="B550" s="1220" t="s">
        <v>210</v>
      </c>
      <c r="C550" s="1221" t="s">
        <v>311</v>
      </c>
      <c r="D550" s="1222"/>
      <c r="E550" s="1224"/>
      <c r="F550" s="1225"/>
      <c r="G550" s="846"/>
      <c r="H550" s="847"/>
      <c r="I550" s="846"/>
      <c r="J550" s="847"/>
      <c r="K550" s="846"/>
      <c r="L550" s="847"/>
      <c r="M550" s="846"/>
      <c r="N550" s="846"/>
      <c r="O550" s="737">
        <f t="shared" si="71"/>
        <v>0</v>
      </c>
      <c r="P550" s="847"/>
      <c r="Q550" s="847"/>
      <c r="R550" s="738">
        <f t="shared" si="74"/>
        <v>0</v>
      </c>
      <c r="S550" s="737">
        <f t="shared" si="75"/>
        <v>0</v>
      </c>
      <c r="T550" s="739">
        <f t="shared" si="76"/>
        <v>0</v>
      </c>
      <c r="U550" s="846">
        <v>2860036</v>
      </c>
      <c r="V550" s="847">
        <v>2950500</v>
      </c>
      <c r="W550" s="846"/>
      <c r="X550" s="846"/>
      <c r="Y550" s="740">
        <f t="shared" si="72"/>
        <v>0</v>
      </c>
      <c r="Z550" s="847"/>
      <c r="AA550" s="847"/>
      <c r="AB550" s="741">
        <f t="shared" si="73"/>
        <v>0</v>
      </c>
      <c r="AC550" s="846"/>
      <c r="AD550" s="847"/>
      <c r="AE550" s="846"/>
      <c r="AF550" s="846"/>
      <c r="AG550" s="847"/>
      <c r="AH550" s="847"/>
      <c r="AI550" s="742">
        <f t="shared" si="77"/>
        <v>2860036</v>
      </c>
      <c r="AJ550" s="743">
        <f t="shared" si="78"/>
        <v>2950500</v>
      </c>
    </row>
    <row r="551" spans="1:36">
      <c r="A551" s="1203" t="s">
        <v>143</v>
      </c>
      <c r="B551" s="1220" t="s">
        <v>204</v>
      </c>
      <c r="C551" s="1221" t="s">
        <v>249</v>
      </c>
      <c r="D551" s="1222"/>
      <c r="E551" s="1224"/>
      <c r="F551" s="1225"/>
      <c r="G551" s="846"/>
      <c r="H551" s="847"/>
      <c r="I551" s="846"/>
      <c r="J551" s="847"/>
      <c r="K551" s="846"/>
      <c r="L551" s="847"/>
      <c r="M551" s="846"/>
      <c r="N551" s="846"/>
      <c r="O551" s="737">
        <f t="shared" si="71"/>
        <v>0</v>
      </c>
      <c r="P551" s="847"/>
      <c r="Q551" s="847"/>
      <c r="R551" s="738">
        <f t="shared" si="74"/>
        <v>0</v>
      </c>
      <c r="S551" s="737">
        <f t="shared" si="75"/>
        <v>0</v>
      </c>
      <c r="T551" s="739">
        <f t="shared" si="76"/>
        <v>0</v>
      </c>
      <c r="U551" s="846"/>
      <c r="V551" s="847"/>
      <c r="W551" s="846"/>
      <c r="X551" s="846"/>
      <c r="Y551" s="740">
        <f t="shared" si="72"/>
        <v>0</v>
      </c>
      <c r="Z551" s="847"/>
      <c r="AA551" s="847"/>
      <c r="AB551" s="741">
        <f t="shared" si="73"/>
        <v>0</v>
      </c>
      <c r="AC551" s="846"/>
      <c r="AD551" s="847"/>
      <c r="AE551" s="846"/>
      <c r="AF551" s="846"/>
      <c r="AG551" s="847"/>
      <c r="AH551" s="847"/>
      <c r="AI551" s="742">
        <f t="shared" si="77"/>
        <v>0</v>
      </c>
      <c r="AJ551" s="743">
        <f t="shared" si="78"/>
        <v>0</v>
      </c>
    </row>
    <row r="552" spans="1:36">
      <c r="A552" s="1203" t="s">
        <v>143</v>
      </c>
      <c r="B552" s="1220" t="s">
        <v>205</v>
      </c>
      <c r="C552" s="1221" t="s">
        <v>523</v>
      </c>
      <c r="D552" s="1222"/>
      <c r="E552" s="1224" t="s">
        <v>91</v>
      </c>
      <c r="F552" s="1225"/>
      <c r="G552" s="846"/>
      <c r="H552" s="847"/>
      <c r="I552" s="846"/>
      <c r="J552" s="847"/>
      <c r="K552" s="846"/>
      <c r="L552" s="847"/>
      <c r="M552" s="846"/>
      <c r="N552" s="846"/>
      <c r="O552" s="737">
        <f t="shared" si="71"/>
        <v>0</v>
      </c>
      <c r="P552" s="847"/>
      <c r="Q552" s="847"/>
      <c r="R552" s="738">
        <f t="shared" si="74"/>
        <v>0</v>
      </c>
      <c r="S552" s="737">
        <f t="shared" si="75"/>
        <v>0</v>
      </c>
      <c r="T552" s="739">
        <f t="shared" si="76"/>
        <v>0</v>
      </c>
      <c r="U552" s="846"/>
      <c r="V552" s="847"/>
      <c r="W552" s="846"/>
      <c r="X552" s="846"/>
      <c r="Y552" s="740">
        <f t="shared" si="72"/>
        <v>0</v>
      </c>
      <c r="Z552" s="847"/>
      <c r="AA552" s="847"/>
      <c r="AB552" s="741">
        <f t="shared" si="73"/>
        <v>0</v>
      </c>
      <c r="AC552" s="846"/>
      <c r="AD552" s="847"/>
      <c r="AE552" s="846"/>
      <c r="AF552" s="846"/>
      <c r="AG552" s="847"/>
      <c r="AH552" s="847"/>
      <c r="AI552" s="742">
        <f t="shared" si="77"/>
        <v>0</v>
      </c>
      <c r="AJ552" s="743">
        <f t="shared" si="78"/>
        <v>0</v>
      </c>
    </row>
    <row r="553" spans="1:36">
      <c r="A553" s="1203" t="s">
        <v>143</v>
      </c>
      <c r="B553" s="1220" t="s">
        <v>218</v>
      </c>
      <c r="C553" s="1221" t="s">
        <v>311</v>
      </c>
      <c r="D553" s="1222"/>
      <c r="E553" s="1224"/>
      <c r="F553" s="1225"/>
      <c r="G553" s="846"/>
      <c r="H553" s="847"/>
      <c r="I553" s="846"/>
      <c r="J553" s="847"/>
      <c r="K553" s="846"/>
      <c r="L553" s="847"/>
      <c r="M553" s="846"/>
      <c r="N553" s="846"/>
      <c r="O553" s="737">
        <f t="shared" si="71"/>
        <v>0</v>
      </c>
      <c r="P553" s="847"/>
      <c r="Q553" s="847"/>
      <c r="R553" s="738">
        <f t="shared" si="74"/>
        <v>0</v>
      </c>
      <c r="S553" s="737">
        <f t="shared" si="75"/>
        <v>0</v>
      </c>
      <c r="T553" s="739">
        <f t="shared" si="76"/>
        <v>0</v>
      </c>
      <c r="U553" s="846">
        <v>138814</v>
      </c>
      <c r="V553" s="847">
        <v>145000</v>
      </c>
      <c r="W553" s="846"/>
      <c r="X553" s="846"/>
      <c r="Y553" s="740">
        <f t="shared" si="72"/>
        <v>0</v>
      </c>
      <c r="Z553" s="847"/>
      <c r="AA553" s="847"/>
      <c r="AB553" s="741">
        <f t="shared" si="73"/>
        <v>0</v>
      </c>
      <c r="AC553" s="846"/>
      <c r="AD553" s="847"/>
      <c r="AE553" s="846"/>
      <c r="AF553" s="846"/>
      <c r="AG553" s="847"/>
      <c r="AH553" s="847"/>
      <c r="AI553" s="742">
        <f t="shared" si="77"/>
        <v>138814</v>
      </c>
      <c r="AJ553" s="743">
        <f t="shared" si="78"/>
        <v>145000</v>
      </c>
    </row>
    <row r="554" spans="1:36">
      <c r="A554" s="1203" t="s">
        <v>143</v>
      </c>
      <c r="B554" s="1220" t="s">
        <v>219</v>
      </c>
      <c r="C554" s="1221" t="s">
        <v>249</v>
      </c>
      <c r="D554" s="1222"/>
      <c r="E554" s="1224"/>
      <c r="F554" s="1225"/>
      <c r="G554" s="846"/>
      <c r="H554" s="847"/>
      <c r="I554" s="846"/>
      <c r="J554" s="847"/>
      <c r="K554" s="846"/>
      <c r="L554" s="847"/>
      <c r="M554" s="846"/>
      <c r="N554" s="846"/>
      <c r="O554" s="737">
        <f t="shared" si="71"/>
        <v>0</v>
      </c>
      <c r="P554" s="847"/>
      <c r="Q554" s="847"/>
      <c r="R554" s="738">
        <f t="shared" si="74"/>
        <v>0</v>
      </c>
      <c r="S554" s="737">
        <f t="shared" si="75"/>
        <v>0</v>
      </c>
      <c r="T554" s="739">
        <f t="shared" si="76"/>
        <v>0</v>
      </c>
      <c r="U554" s="846"/>
      <c r="V554" s="847"/>
      <c r="W554" s="846"/>
      <c r="X554" s="846"/>
      <c r="Y554" s="740">
        <f t="shared" si="72"/>
        <v>0</v>
      </c>
      <c r="Z554" s="847"/>
      <c r="AA554" s="847"/>
      <c r="AB554" s="741">
        <f t="shared" si="73"/>
        <v>0</v>
      </c>
      <c r="AC554" s="846"/>
      <c r="AD554" s="847"/>
      <c r="AE554" s="846"/>
      <c r="AF554" s="846"/>
      <c r="AG554" s="847"/>
      <c r="AH554" s="847"/>
      <c r="AI554" s="742">
        <f t="shared" si="77"/>
        <v>0</v>
      </c>
      <c r="AJ554" s="743">
        <f t="shared" si="78"/>
        <v>0</v>
      </c>
    </row>
    <row r="555" spans="1:36">
      <c r="A555" s="1203" t="s">
        <v>143</v>
      </c>
      <c r="B555" s="1198" t="s">
        <v>292</v>
      </c>
      <c r="C555" s="1219" t="s">
        <v>1314</v>
      </c>
      <c r="D555" s="1205"/>
      <c r="E555" s="1224"/>
      <c r="F555" s="1225"/>
      <c r="G555" s="846"/>
      <c r="H555" s="847"/>
      <c r="I555" s="846"/>
      <c r="J555" s="847"/>
      <c r="K555" s="846"/>
      <c r="L555" s="847"/>
      <c r="M555" s="846"/>
      <c r="N555" s="846"/>
      <c r="O555" s="737">
        <f t="shared" si="71"/>
        <v>0</v>
      </c>
      <c r="P555" s="847"/>
      <c r="Q555" s="847"/>
      <c r="R555" s="738">
        <f t="shared" si="74"/>
        <v>0</v>
      </c>
      <c r="S555" s="737">
        <f t="shared" si="75"/>
        <v>0</v>
      </c>
      <c r="T555" s="739">
        <f t="shared" si="76"/>
        <v>0</v>
      </c>
      <c r="U555" s="846"/>
      <c r="V555" s="847"/>
      <c r="W555" s="846"/>
      <c r="X555" s="846"/>
      <c r="Y555" s="740">
        <f t="shared" si="72"/>
        <v>0</v>
      </c>
      <c r="Z555" s="847"/>
      <c r="AA555" s="847"/>
      <c r="AB555" s="741">
        <f t="shared" si="73"/>
        <v>0</v>
      </c>
      <c r="AC555" s="846"/>
      <c r="AD555" s="847"/>
      <c r="AE555" s="846"/>
      <c r="AF555" s="846"/>
      <c r="AG555" s="847"/>
      <c r="AH555" s="847"/>
      <c r="AI555" s="742">
        <f t="shared" si="77"/>
        <v>0</v>
      </c>
      <c r="AJ555" s="743">
        <f t="shared" si="78"/>
        <v>0</v>
      </c>
    </row>
    <row r="556" spans="1:36">
      <c r="A556" s="1203" t="s">
        <v>143</v>
      </c>
      <c r="B556" s="1226" t="s">
        <v>209</v>
      </c>
      <c r="C556" s="1221" t="s">
        <v>522</v>
      </c>
      <c r="D556" s="1222"/>
      <c r="E556" s="1224"/>
      <c r="F556" s="1225"/>
      <c r="G556" s="846"/>
      <c r="H556" s="847"/>
      <c r="I556" s="846"/>
      <c r="J556" s="847"/>
      <c r="K556" s="846"/>
      <c r="L556" s="847"/>
      <c r="M556" s="846"/>
      <c r="N556" s="846"/>
      <c r="O556" s="737">
        <f t="shared" si="71"/>
        <v>0</v>
      </c>
      <c r="P556" s="847"/>
      <c r="Q556" s="847"/>
      <c r="R556" s="738">
        <f t="shared" si="74"/>
        <v>0</v>
      </c>
      <c r="S556" s="737">
        <f t="shared" si="75"/>
        <v>0</v>
      </c>
      <c r="T556" s="739">
        <f t="shared" si="76"/>
        <v>0</v>
      </c>
      <c r="U556" s="846">
        <v>1076142</v>
      </c>
      <c r="V556" s="847">
        <v>1500000</v>
      </c>
      <c r="W556" s="846"/>
      <c r="X556" s="846"/>
      <c r="Y556" s="740">
        <f t="shared" si="72"/>
        <v>0</v>
      </c>
      <c r="Z556" s="847"/>
      <c r="AA556" s="847"/>
      <c r="AB556" s="741">
        <f t="shared" si="73"/>
        <v>0</v>
      </c>
      <c r="AC556" s="846"/>
      <c r="AD556" s="847"/>
      <c r="AE556" s="846"/>
      <c r="AF556" s="846"/>
      <c r="AG556" s="847"/>
      <c r="AH556" s="847"/>
      <c r="AI556" s="742">
        <f t="shared" si="77"/>
        <v>1076142</v>
      </c>
      <c r="AJ556" s="743">
        <f t="shared" si="78"/>
        <v>1500000</v>
      </c>
    </row>
    <row r="557" spans="1:36">
      <c r="A557" s="1203" t="s">
        <v>143</v>
      </c>
      <c r="B557" s="1220" t="s">
        <v>210</v>
      </c>
      <c r="C557" s="1221" t="s">
        <v>311</v>
      </c>
      <c r="D557" s="1222"/>
      <c r="E557" s="1224"/>
      <c r="F557" s="1225"/>
      <c r="G557" s="846"/>
      <c r="H557" s="847"/>
      <c r="I557" s="846"/>
      <c r="J557" s="847"/>
      <c r="K557" s="846"/>
      <c r="L557" s="847"/>
      <c r="M557" s="846"/>
      <c r="N557" s="846"/>
      <c r="O557" s="737">
        <f t="shared" si="71"/>
        <v>0</v>
      </c>
      <c r="P557" s="847"/>
      <c r="Q557" s="847"/>
      <c r="R557" s="738">
        <f t="shared" si="74"/>
        <v>0</v>
      </c>
      <c r="S557" s="737">
        <f t="shared" si="75"/>
        <v>0</v>
      </c>
      <c r="T557" s="739">
        <f t="shared" si="76"/>
        <v>0</v>
      </c>
      <c r="U557" s="846"/>
      <c r="V557" s="847"/>
      <c r="W557" s="846"/>
      <c r="X557" s="846"/>
      <c r="Y557" s="740">
        <f t="shared" si="72"/>
        <v>0</v>
      </c>
      <c r="Z557" s="847"/>
      <c r="AA557" s="847"/>
      <c r="AB557" s="741">
        <f t="shared" si="73"/>
        <v>0</v>
      </c>
      <c r="AC557" s="846"/>
      <c r="AD557" s="847"/>
      <c r="AE557" s="846"/>
      <c r="AF557" s="846"/>
      <c r="AG557" s="847"/>
      <c r="AH557" s="847"/>
      <c r="AI557" s="742">
        <f t="shared" si="77"/>
        <v>0</v>
      </c>
      <c r="AJ557" s="743">
        <f t="shared" si="78"/>
        <v>0</v>
      </c>
    </row>
    <row r="558" spans="1:36">
      <c r="A558" s="1203" t="s">
        <v>143</v>
      </c>
      <c r="B558" s="1220" t="s">
        <v>204</v>
      </c>
      <c r="C558" s="1221" t="s">
        <v>249</v>
      </c>
      <c r="D558" s="1222"/>
      <c r="E558" s="1224"/>
      <c r="F558" s="1225"/>
      <c r="G558" s="846"/>
      <c r="H558" s="847"/>
      <c r="I558" s="846"/>
      <c r="J558" s="847"/>
      <c r="K558" s="846"/>
      <c r="L558" s="847"/>
      <c r="M558" s="846"/>
      <c r="N558" s="846"/>
      <c r="O558" s="737">
        <f t="shared" si="71"/>
        <v>0</v>
      </c>
      <c r="P558" s="847"/>
      <c r="Q558" s="847"/>
      <c r="R558" s="738">
        <f t="shared" si="74"/>
        <v>0</v>
      </c>
      <c r="S558" s="737">
        <f t="shared" si="75"/>
        <v>0</v>
      </c>
      <c r="T558" s="739">
        <f t="shared" si="76"/>
        <v>0</v>
      </c>
      <c r="U558" s="846"/>
      <c r="V558" s="847"/>
      <c r="W558" s="846"/>
      <c r="X558" s="846"/>
      <c r="Y558" s="740">
        <f t="shared" si="72"/>
        <v>0</v>
      </c>
      <c r="Z558" s="847"/>
      <c r="AA558" s="847"/>
      <c r="AB558" s="741">
        <f t="shared" si="73"/>
        <v>0</v>
      </c>
      <c r="AC558" s="846"/>
      <c r="AD558" s="847"/>
      <c r="AE558" s="846"/>
      <c r="AF558" s="846"/>
      <c r="AG558" s="847"/>
      <c r="AH558" s="847"/>
      <c r="AI558" s="742">
        <f t="shared" si="77"/>
        <v>0</v>
      </c>
      <c r="AJ558" s="743">
        <f t="shared" si="78"/>
        <v>0</v>
      </c>
    </row>
    <row r="559" spans="1:36">
      <c r="A559" s="1203" t="s">
        <v>143</v>
      </c>
      <c r="B559" s="1220" t="s">
        <v>205</v>
      </c>
      <c r="C559" s="1221" t="s">
        <v>523</v>
      </c>
      <c r="D559" s="1222"/>
      <c r="E559" s="1224"/>
      <c r="F559" s="1225"/>
      <c r="G559" s="846"/>
      <c r="H559" s="847"/>
      <c r="I559" s="846"/>
      <c r="J559" s="847"/>
      <c r="K559" s="846"/>
      <c r="L559" s="847"/>
      <c r="M559" s="846"/>
      <c r="N559" s="846"/>
      <c r="O559" s="737">
        <f t="shared" si="71"/>
        <v>0</v>
      </c>
      <c r="P559" s="847"/>
      <c r="Q559" s="847"/>
      <c r="R559" s="738">
        <f t="shared" si="74"/>
        <v>0</v>
      </c>
      <c r="S559" s="737">
        <f t="shared" si="75"/>
        <v>0</v>
      </c>
      <c r="T559" s="739">
        <f t="shared" si="76"/>
        <v>0</v>
      </c>
      <c r="U559" s="846"/>
      <c r="V559" s="847"/>
      <c r="W559" s="846"/>
      <c r="X559" s="846"/>
      <c r="Y559" s="740">
        <f t="shared" si="72"/>
        <v>0</v>
      </c>
      <c r="Z559" s="847"/>
      <c r="AA559" s="847"/>
      <c r="AB559" s="741">
        <f t="shared" si="73"/>
        <v>0</v>
      </c>
      <c r="AC559" s="846"/>
      <c r="AD559" s="847"/>
      <c r="AE559" s="846"/>
      <c r="AF559" s="846"/>
      <c r="AG559" s="847"/>
      <c r="AH559" s="847"/>
      <c r="AI559" s="742">
        <f t="shared" si="77"/>
        <v>0</v>
      </c>
      <c r="AJ559" s="743">
        <f t="shared" si="78"/>
        <v>0</v>
      </c>
    </row>
    <row r="560" spans="1:36">
      <c r="A560" s="1203" t="s">
        <v>143</v>
      </c>
      <c r="B560" s="1220" t="s">
        <v>218</v>
      </c>
      <c r="C560" s="1221" t="s">
        <v>311</v>
      </c>
      <c r="D560" s="1222"/>
      <c r="E560" s="1224"/>
      <c r="F560" s="1225"/>
      <c r="G560" s="846"/>
      <c r="H560" s="847"/>
      <c r="I560" s="846"/>
      <c r="J560" s="847"/>
      <c r="K560" s="846"/>
      <c r="L560" s="847"/>
      <c r="M560" s="846"/>
      <c r="N560" s="846"/>
      <c r="O560" s="737">
        <f t="shared" si="71"/>
        <v>0</v>
      </c>
      <c r="P560" s="847"/>
      <c r="Q560" s="847"/>
      <c r="R560" s="738">
        <f t="shared" si="74"/>
        <v>0</v>
      </c>
      <c r="S560" s="737">
        <f t="shared" si="75"/>
        <v>0</v>
      </c>
      <c r="T560" s="739">
        <f t="shared" si="76"/>
        <v>0</v>
      </c>
      <c r="U560" s="846"/>
      <c r="V560" s="847"/>
      <c r="W560" s="846"/>
      <c r="X560" s="846"/>
      <c r="Y560" s="740">
        <f t="shared" si="72"/>
        <v>0</v>
      </c>
      <c r="Z560" s="847"/>
      <c r="AA560" s="847"/>
      <c r="AB560" s="741">
        <f t="shared" si="73"/>
        <v>0</v>
      </c>
      <c r="AC560" s="846"/>
      <c r="AD560" s="847"/>
      <c r="AE560" s="846"/>
      <c r="AF560" s="846"/>
      <c r="AG560" s="847"/>
      <c r="AH560" s="847"/>
      <c r="AI560" s="742">
        <f t="shared" si="77"/>
        <v>0</v>
      </c>
      <c r="AJ560" s="743">
        <f t="shared" si="78"/>
        <v>0</v>
      </c>
    </row>
    <row r="561" spans="1:36">
      <c r="A561" s="1203" t="s">
        <v>143</v>
      </c>
      <c r="B561" s="1220" t="s">
        <v>219</v>
      </c>
      <c r="C561" s="1221" t="s">
        <v>249</v>
      </c>
      <c r="D561" s="1222"/>
      <c r="E561" s="1224"/>
      <c r="F561" s="1225"/>
      <c r="G561" s="846"/>
      <c r="H561" s="847"/>
      <c r="I561" s="846"/>
      <c r="J561" s="847"/>
      <c r="K561" s="846"/>
      <c r="L561" s="847"/>
      <c r="M561" s="846"/>
      <c r="N561" s="846"/>
      <c r="O561" s="737">
        <f t="shared" si="71"/>
        <v>0</v>
      </c>
      <c r="P561" s="847"/>
      <c r="Q561" s="847"/>
      <c r="R561" s="738">
        <f t="shared" si="74"/>
        <v>0</v>
      </c>
      <c r="S561" s="737">
        <f t="shared" si="75"/>
        <v>0</v>
      </c>
      <c r="T561" s="739">
        <f t="shared" si="76"/>
        <v>0</v>
      </c>
      <c r="U561" s="846"/>
      <c r="V561" s="847"/>
      <c r="W561" s="846"/>
      <c r="X561" s="846"/>
      <c r="Y561" s="740">
        <f t="shared" si="72"/>
        <v>0</v>
      </c>
      <c r="Z561" s="847"/>
      <c r="AA561" s="847"/>
      <c r="AB561" s="741">
        <f t="shared" si="73"/>
        <v>0</v>
      </c>
      <c r="AC561" s="846"/>
      <c r="AD561" s="847"/>
      <c r="AE561" s="846"/>
      <c r="AF561" s="846"/>
      <c r="AG561" s="847"/>
      <c r="AH561" s="847"/>
      <c r="AI561" s="742">
        <f t="shared" si="77"/>
        <v>0</v>
      </c>
      <c r="AJ561" s="743">
        <f t="shared" si="78"/>
        <v>0</v>
      </c>
    </row>
    <row r="562" spans="1:36">
      <c r="A562" s="1203" t="s">
        <v>143</v>
      </c>
      <c r="B562" s="1220" t="s">
        <v>293</v>
      </c>
      <c r="C562" s="1227" t="s">
        <v>525</v>
      </c>
      <c r="D562" s="1228"/>
      <c r="E562" s="1201"/>
      <c r="F562" s="1202"/>
      <c r="G562" s="846"/>
      <c r="H562" s="847"/>
      <c r="I562" s="846"/>
      <c r="J562" s="847"/>
      <c r="K562" s="846"/>
      <c r="L562" s="847"/>
      <c r="M562" s="846"/>
      <c r="N562" s="846"/>
      <c r="O562" s="737">
        <f t="shared" si="71"/>
        <v>0</v>
      </c>
      <c r="P562" s="847"/>
      <c r="Q562" s="847"/>
      <c r="R562" s="738">
        <f t="shared" si="74"/>
        <v>0</v>
      </c>
      <c r="S562" s="737">
        <f t="shared" si="75"/>
        <v>0</v>
      </c>
      <c r="T562" s="739">
        <f t="shared" si="76"/>
        <v>0</v>
      </c>
      <c r="U562" s="846"/>
      <c r="V562" s="847"/>
      <c r="W562" s="846"/>
      <c r="X562" s="846"/>
      <c r="Y562" s="740">
        <f t="shared" si="72"/>
        <v>0</v>
      </c>
      <c r="Z562" s="847"/>
      <c r="AA562" s="847"/>
      <c r="AB562" s="741">
        <f t="shared" si="73"/>
        <v>0</v>
      </c>
      <c r="AC562" s="846"/>
      <c r="AD562" s="847"/>
      <c r="AE562" s="846"/>
      <c r="AF562" s="846"/>
      <c r="AG562" s="847"/>
      <c r="AH562" s="847"/>
      <c r="AI562" s="742">
        <f t="shared" si="77"/>
        <v>0</v>
      </c>
      <c r="AJ562" s="743">
        <f t="shared" si="78"/>
        <v>0</v>
      </c>
    </row>
    <row r="563" spans="1:36">
      <c r="A563" s="1203" t="s">
        <v>143</v>
      </c>
      <c r="B563" s="1198" t="s">
        <v>293</v>
      </c>
      <c r="C563" s="1219" t="s">
        <v>1315</v>
      </c>
      <c r="D563" s="1205"/>
      <c r="E563" s="1201"/>
      <c r="F563" s="1202"/>
      <c r="G563" s="846"/>
      <c r="H563" s="847"/>
      <c r="I563" s="846"/>
      <c r="J563" s="847"/>
      <c r="K563" s="846"/>
      <c r="L563" s="847"/>
      <c r="M563" s="846"/>
      <c r="N563" s="846"/>
      <c r="O563" s="737">
        <f t="shared" si="71"/>
        <v>0</v>
      </c>
      <c r="P563" s="847"/>
      <c r="Q563" s="847"/>
      <c r="R563" s="738">
        <f t="shared" si="74"/>
        <v>0</v>
      </c>
      <c r="S563" s="737">
        <f t="shared" si="75"/>
        <v>0</v>
      </c>
      <c r="T563" s="739">
        <f t="shared" si="76"/>
        <v>0</v>
      </c>
      <c r="U563" s="846"/>
      <c r="V563" s="847"/>
      <c r="W563" s="846"/>
      <c r="X563" s="846"/>
      <c r="Y563" s="740">
        <f t="shared" si="72"/>
        <v>0</v>
      </c>
      <c r="Z563" s="847"/>
      <c r="AA563" s="847"/>
      <c r="AB563" s="741">
        <f t="shared" si="73"/>
        <v>0</v>
      </c>
      <c r="AC563" s="846"/>
      <c r="AD563" s="847"/>
      <c r="AE563" s="846"/>
      <c r="AF563" s="846"/>
      <c r="AG563" s="847"/>
      <c r="AH563" s="847"/>
      <c r="AI563" s="742">
        <f t="shared" si="77"/>
        <v>0</v>
      </c>
      <c r="AJ563" s="743">
        <f t="shared" si="78"/>
        <v>0</v>
      </c>
    </row>
    <row r="564" spans="1:36">
      <c r="A564" s="1203" t="s">
        <v>143</v>
      </c>
      <c r="B564" s="1220" t="s">
        <v>252</v>
      </c>
      <c r="C564" s="1221" t="s">
        <v>311</v>
      </c>
      <c r="D564" s="1222"/>
      <c r="E564" s="1201"/>
      <c r="F564" s="1202"/>
      <c r="G564" s="846"/>
      <c r="H564" s="847"/>
      <c r="I564" s="846"/>
      <c r="J564" s="847"/>
      <c r="K564" s="846"/>
      <c r="L564" s="847"/>
      <c r="M564" s="846"/>
      <c r="N564" s="846"/>
      <c r="O564" s="737">
        <f t="shared" si="71"/>
        <v>0</v>
      </c>
      <c r="P564" s="847"/>
      <c r="Q564" s="847"/>
      <c r="R564" s="738">
        <f t="shared" si="74"/>
        <v>0</v>
      </c>
      <c r="S564" s="737">
        <f t="shared" si="75"/>
        <v>0</v>
      </c>
      <c r="T564" s="739">
        <f t="shared" si="76"/>
        <v>0</v>
      </c>
      <c r="U564" s="846"/>
      <c r="V564" s="847"/>
      <c r="W564" s="846"/>
      <c r="X564" s="846"/>
      <c r="Y564" s="740">
        <f t="shared" si="72"/>
        <v>0</v>
      </c>
      <c r="Z564" s="847"/>
      <c r="AA564" s="847"/>
      <c r="AB564" s="741">
        <f t="shared" si="73"/>
        <v>0</v>
      </c>
      <c r="AC564" s="846"/>
      <c r="AD564" s="847"/>
      <c r="AE564" s="846"/>
      <c r="AF564" s="846"/>
      <c r="AG564" s="847"/>
      <c r="AH564" s="847"/>
      <c r="AI564" s="742">
        <f t="shared" si="77"/>
        <v>0</v>
      </c>
      <c r="AJ564" s="743">
        <f t="shared" si="78"/>
        <v>0</v>
      </c>
    </row>
    <row r="565" spans="1:36">
      <c r="A565" s="1203" t="s">
        <v>143</v>
      </c>
      <c r="B565" s="1220" t="s">
        <v>253</v>
      </c>
      <c r="C565" s="1221" t="s">
        <v>249</v>
      </c>
      <c r="D565" s="1222"/>
      <c r="E565" s="1201"/>
      <c r="F565" s="1202"/>
      <c r="G565" s="846"/>
      <c r="H565" s="847"/>
      <c r="I565" s="846"/>
      <c r="J565" s="847"/>
      <c r="K565" s="846"/>
      <c r="L565" s="847"/>
      <c r="M565" s="846"/>
      <c r="N565" s="846"/>
      <c r="O565" s="737">
        <f t="shared" si="71"/>
        <v>0</v>
      </c>
      <c r="P565" s="847"/>
      <c r="Q565" s="847"/>
      <c r="R565" s="738">
        <f t="shared" si="74"/>
        <v>0</v>
      </c>
      <c r="S565" s="737">
        <f t="shared" si="75"/>
        <v>0</v>
      </c>
      <c r="T565" s="739">
        <f t="shared" si="76"/>
        <v>0</v>
      </c>
      <c r="U565" s="846">
        <v>252849</v>
      </c>
      <c r="V565" s="847">
        <v>300000</v>
      </c>
      <c r="W565" s="846"/>
      <c r="X565" s="846"/>
      <c r="Y565" s="740">
        <f t="shared" si="72"/>
        <v>0</v>
      </c>
      <c r="Z565" s="847"/>
      <c r="AA565" s="847"/>
      <c r="AB565" s="741">
        <f t="shared" si="73"/>
        <v>0</v>
      </c>
      <c r="AC565" s="846"/>
      <c r="AD565" s="847"/>
      <c r="AE565" s="846"/>
      <c r="AF565" s="846"/>
      <c r="AG565" s="847"/>
      <c r="AH565" s="847"/>
      <c r="AI565" s="742">
        <f t="shared" si="77"/>
        <v>252849</v>
      </c>
      <c r="AJ565" s="743">
        <f t="shared" si="78"/>
        <v>300000</v>
      </c>
    </row>
    <row r="566" spans="1:36">
      <c r="A566" s="1304" t="s">
        <v>148</v>
      </c>
      <c r="B566" s="1018" t="s">
        <v>264</v>
      </c>
      <c r="C566" s="1305" t="s">
        <v>1550</v>
      </c>
      <c r="D566" s="1306"/>
      <c r="E566" s="1021">
        <v>130943</v>
      </c>
      <c r="F566" s="1022">
        <v>1</v>
      </c>
      <c r="G566" s="846">
        <v>115946300</v>
      </c>
      <c r="H566" s="847">
        <v>113778000</v>
      </c>
      <c r="I566" s="846"/>
      <c r="J566" s="847"/>
      <c r="K566" s="846"/>
      <c r="L566" s="847"/>
      <c r="M566" s="846">
        <v>510269870</v>
      </c>
      <c r="N566" s="846">
        <v>0</v>
      </c>
      <c r="O566" s="737">
        <f t="shared" si="71"/>
        <v>510269870</v>
      </c>
      <c r="P566" s="1307">
        <v>534137553</v>
      </c>
      <c r="Q566" s="847">
        <v>0</v>
      </c>
      <c r="R566" s="738">
        <f t="shared" si="74"/>
        <v>534137553</v>
      </c>
      <c r="S566" s="737">
        <f t="shared" si="75"/>
        <v>626216170</v>
      </c>
      <c r="T566" s="739">
        <f t="shared" si="76"/>
        <v>647915553</v>
      </c>
      <c r="U566" s="846"/>
      <c r="V566" s="847"/>
      <c r="W566" s="846"/>
      <c r="X566" s="846"/>
      <c r="Y566" s="740">
        <f t="shared" si="72"/>
        <v>0</v>
      </c>
      <c r="Z566" s="847"/>
      <c r="AA566" s="847"/>
      <c r="AB566" s="741">
        <f t="shared" si="73"/>
        <v>0</v>
      </c>
      <c r="AC566" s="846"/>
      <c r="AD566" s="847"/>
      <c r="AE566" s="846"/>
      <c r="AF566" s="846"/>
      <c r="AG566" s="847"/>
      <c r="AH566" s="847"/>
      <c r="AI566" s="742">
        <f t="shared" si="77"/>
        <v>626216170</v>
      </c>
      <c r="AJ566" s="743">
        <f t="shared" si="78"/>
        <v>647915553</v>
      </c>
    </row>
    <row r="567" spans="1:36">
      <c r="A567" s="1304" t="s">
        <v>148</v>
      </c>
      <c r="B567" s="1308" t="s">
        <v>266</v>
      </c>
      <c r="C567" s="1309" t="s">
        <v>1551</v>
      </c>
      <c r="D567" s="1020"/>
      <c r="E567" s="1310">
        <v>130943</v>
      </c>
      <c r="F567" s="1311">
        <v>1</v>
      </c>
      <c r="G567" s="846"/>
      <c r="H567" s="847"/>
      <c r="I567" s="846"/>
      <c r="J567" s="847"/>
      <c r="K567" s="846"/>
      <c r="L567" s="847"/>
      <c r="M567" s="846"/>
      <c r="N567" s="846"/>
      <c r="O567" s="737">
        <f t="shared" si="71"/>
        <v>0</v>
      </c>
      <c r="P567" s="1312"/>
      <c r="Q567" s="1312"/>
      <c r="R567" s="738">
        <f t="shared" si="74"/>
        <v>0</v>
      </c>
      <c r="S567" s="737">
        <f t="shared" si="75"/>
        <v>0</v>
      </c>
      <c r="T567" s="739">
        <f t="shared" si="76"/>
        <v>0</v>
      </c>
      <c r="U567" s="846"/>
      <c r="V567" s="847"/>
      <c r="W567" s="846"/>
      <c r="X567" s="846"/>
      <c r="Y567" s="740">
        <f t="shared" si="72"/>
        <v>0</v>
      </c>
      <c r="Z567" s="1312"/>
      <c r="AA567" s="1312"/>
      <c r="AB567" s="741">
        <f t="shared" si="73"/>
        <v>0</v>
      </c>
      <c r="AC567" s="846"/>
      <c r="AD567" s="847"/>
      <c r="AE567" s="846"/>
      <c r="AF567" s="846"/>
      <c r="AG567" s="1312"/>
      <c r="AH567" s="1312"/>
      <c r="AI567" s="742">
        <f t="shared" si="77"/>
        <v>0</v>
      </c>
      <c r="AJ567" s="743">
        <f t="shared" si="78"/>
        <v>0</v>
      </c>
    </row>
    <row r="568" spans="1:36">
      <c r="A568" s="1304" t="s">
        <v>148</v>
      </c>
      <c r="B568" s="1308" t="s">
        <v>266</v>
      </c>
      <c r="C568" s="1019" t="s">
        <v>1552</v>
      </c>
      <c r="D568" s="1020"/>
      <c r="E568" s="1310">
        <v>130943</v>
      </c>
      <c r="F568" s="1311">
        <v>1</v>
      </c>
      <c r="G568" s="846"/>
      <c r="H568" s="847"/>
      <c r="I568" s="846">
        <v>96200</v>
      </c>
      <c r="J568" s="1313">
        <v>97200</v>
      </c>
      <c r="K568" s="846"/>
      <c r="L568" s="847"/>
      <c r="M568" s="846"/>
      <c r="N568" s="846"/>
      <c r="O568" s="737">
        <f t="shared" si="71"/>
        <v>0</v>
      </c>
      <c r="P568" s="847"/>
      <c r="Q568" s="847"/>
      <c r="R568" s="738">
        <f t="shared" si="74"/>
        <v>0</v>
      </c>
      <c r="S568" s="737">
        <f t="shared" si="75"/>
        <v>96200</v>
      </c>
      <c r="T568" s="739">
        <f t="shared" si="76"/>
        <v>97200</v>
      </c>
      <c r="U568" s="846"/>
      <c r="V568" s="847"/>
      <c r="W568" s="846"/>
      <c r="X568" s="846"/>
      <c r="Y568" s="740">
        <f t="shared" si="72"/>
        <v>0</v>
      </c>
      <c r="Z568" s="847"/>
      <c r="AA568" s="847"/>
      <c r="AB568" s="741">
        <f t="shared" si="73"/>
        <v>0</v>
      </c>
      <c r="AC568" s="846"/>
      <c r="AD568" s="847"/>
      <c r="AE568" s="846"/>
      <c r="AF568" s="846"/>
      <c r="AG568" s="847"/>
      <c r="AH568" s="847"/>
      <c r="AI568" s="742">
        <f t="shared" si="77"/>
        <v>96200</v>
      </c>
      <c r="AJ568" s="743">
        <f t="shared" si="78"/>
        <v>97200</v>
      </c>
    </row>
    <row r="569" spans="1:36">
      <c r="A569" s="1304" t="s">
        <v>148</v>
      </c>
      <c r="B569" s="1308" t="s">
        <v>268</v>
      </c>
      <c r="C569" s="1309" t="s">
        <v>257</v>
      </c>
      <c r="D569" s="1020"/>
      <c r="E569" s="1310">
        <v>130943</v>
      </c>
      <c r="F569" s="1311">
        <v>1</v>
      </c>
      <c r="G569" s="846"/>
      <c r="H569" s="847"/>
      <c r="I569" s="846">
        <v>1774625</v>
      </c>
      <c r="J569" s="1313">
        <v>1798825</v>
      </c>
      <c r="K569" s="846"/>
      <c r="L569" s="847"/>
      <c r="M569" s="846"/>
      <c r="N569" s="846"/>
      <c r="O569" s="737">
        <f t="shared" si="71"/>
        <v>0</v>
      </c>
      <c r="P569" s="847"/>
      <c r="Q569" s="847"/>
      <c r="R569" s="738">
        <f t="shared" si="74"/>
        <v>0</v>
      </c>
      <c r="S569" s="737">
        <f t="shared" si="75"/>
        <v>1774625</v>
      </c>
      <c r="T569" s="739">
        <f t="shared" si="76"/>
        <v>1798825</v>
      </c>
      <c r="U569" s="846"/>
      <c r="V569" s="847"/>
      <c r="W569" s="846"/>
      <c r="X569" s="846"/>
      <c r="Y569" s="740">
        <f t="shared" si="72"/>
        <v>0</v>
      </c>
      <c r="Z569" s="847"/>
      <c r="AA569" s="847"/>
      <c r="AB569" s="741">
        <f t="shared" si="73"/>
        <v>0</v>
      </c>
      <c r="AC569" s="846"/>
      <c r="AD569" s="847"/>
      <c r="AE569" s="846"/>
      <c r="AF569" s="846"/>
      <c r="AG569" s="847"/>
      <c r="AH569" s="847"/>
      <c r="AI569" s="742">
        <f t="shared" si="77"/>
        <v>1774625</v>
      </c>
      <c r="AJ569" s="743">
        <f t="shared" si="78"/>
        <v>1798825</v>
      </c>
    </row>
    <row r="570" spans="1:36">
      <c r="A570" s="1304" t="s">
        <v>148</v>
      </c>
      <c r="B570" s="1308" t="s">
        <v>269</v>
      </c>
      <c r="C570" s="1309" t="s">
        <v>256</v>
      </c>
      <c r="D570" s="1020"/>
      <c r="E570" s="1310">
        <v>130943</v>
      </c>
      <c r="F570" s="1311">
        <v>1</v>
      </c>
      <c r="G570" s="846"/>
      <c r="H570" s="847"/>
      <c r="I570" s="846">
        <v>653400</v>
      </c>
      <c r="J570" s="1313">
        <v>677100</v>
      </c>
      <c r="K570" s="846"/>
      <c r="L570" s="847"/>
      <c r="M570" s="846"/>
      <c r="N570" s="846"/>
      <c r="O570" s="737">
        <f t="shared" si="71"/>
        <v>0</v>
      </c>
      <c r="P570" s="847"/>
      <c r="Q570" s="847"/>
      <c r="R570" s="738">
        <f t="shared" si="74"/>
        <v>0</v>
      </c>
      <c r="S570" s="737">
        <f t="shared" si="75"/>
        <v>653400</v>
      </c>
      <c r="T570" s="739">
        <f t="shared" si="76"/>
        <v>677100</v>
      </c>
      <c r="U570" s="846"/>
      <c r="V570" s="847"/>
      <c r="W570" s="846"/>
      <c r="X570" s="846"/>
      <c r="Y570" s="740">
        <f t="shared" si="72"/>
        <v>0</v>
      </c>
      <c r="Z570" s="847"/>
      <c r="AA570" s="847"/>
      <c r="AB570" s="741">
        <f t="shared" si="73"/>
        <v>0</v>
      </c>
      <c r="AC570" s="846"/>
      <c r="AD570" s="847"/>
      <c r="AE570" s="846"/>
      <c r="AF570" s="846"/>
      <c r="AG570" s="847"/>
      <c r="AH570" s="847"/>
      <c r="AI570" s="742">
        <f t="shared" si="77"/>
        <v>653400</v>
      </c>
      <c r="AJ570" s="743">
        <f t="shared" si="78"/>
        <v>677100</v>
      </c>
    </row>
    <row r="571" spans="1:36">
      <c r="A571" s="1304" t="s">
        <v>148</v>
      </c>
      <c r="B571" s="1308" t="s">
        <v>271</v>
      </c>
      <c r="C571" s="1309" t="s">
        <v>309</v>
      </c>
      <c r="D571" s="1020"/>
      <c r="E571" s="1310">
        <v>130943</v>
      </c>
      <c r="F571" s="1311">
        <v>1</v>
      </c>
      <c r="G571" s="846"/>
      <c r="H571" s="847"/>
      <c r="I571" s="846"/>
      <c r="J571" s="847"/>
      <c r="K571" s="846"/>
      <c r="L571" s="847"/>
      <c r="M571" s="846"/>
      <c r="N571" s="846"/>
      <c r="O571" s="737">
        <f t="shared" si="71"/>
        <v>0</v>
      </c>
      <c r="P571" s="847"/>
      <c r="Q571" s="847"/>
      <c r="R571" s="738">
        <f t="shared" si="74"/>
        <v>0</v>
      </c>
      <c r="S571" s="737">
        <f t="shared" si="75"/>
        <v>0</v>
      </c>
      <c r="T571" s="739">
        <f t="shared" si="76"/>
        <v>0</v>
      </c>
      <c r="U571" s="846"/>
      <c r="V571" s="847"/>
      <c r="W571" s="846"/>
      <c r="X571" s="846"/>
      <c r="Y571" s="740">
        <f t="shared" si="72"/>
        <v>0</v>
      </c>
      <c r="Z571" s="847"/>
      <c r="AA571" s="847"/>
      <c r="AB571" s="741">
        <f t="shared" si="73"/>
        <v>0</v>
      </c>
      <c r="AC571" s="846"/>
      <c r="AD571" s="847"/>
      <c r="AE571" s="846"/>
      <c r="AF571" s="846"/>
      <c r="AG571" s="847"/>
      <c r="AH571" s="847"/>
      <c r="AI571" s="742">
        <f t="shared" si="77"/>
        <v>0</v>
      </c>
      <c r="AJ571" s="743">
        <f t="shared" si="78"/>
        <v>0</v>
      </c>
    </row>
    <row r="572" spans="1:36">
      <c r="A572" s="1314" t="s">
        <v>148</v>
      </c>
      <c r="B572" s="1308" t="s">
        <v>271</v>
      </c>
      <c r="C572" s="1019" t="s">
        <v>1553</v>
      </c>
      <c r="D572" s="1020"/>
      <c r="E572" s="1310">
        <v>130943</v>
      </c>
      <c r="F572" s="1311">
        <v>1</v>
      </c>
      <c r="G572" s="846"/>
      <c r="H572" s="847"/>
      <c r="I572" s="846">
        <v>518200</v>
      </c>
      <c r="J572" s="847">
        <v>523700</v>
      </c>
      <c r="K572" s="846"/>
      <c r="L572" s="847"/>
      <c r="M572" s="846"/>
      <c r="N572" s="846"/>
      <c r="O572" s="737">
        <f t="shared" si="71"/>
        <v>0</v>
      </c>
      <c r="P572" s="847"/>
      <c r="Q572" s="847"/>
      <c r="R572" s="738">
        <f t="shared" si="74"/>
        <v>0</v>
      </c>
      <c r="S572" s="737">
        <f t="shared" si="75"/>
        <v>518200</v>
      </c>
      <c r="T572" s="739">
        <f t="shared" si="76"/>
        <v>523700</v>
      </c>
      <c r="U572" s="846"/>
      <c r="V572" s="847"/>
      <c r="W572" s="846"/>
      <c r="X572" s="846"/>
      <c r="Y572" s="740">
        <f t="shared" si="72"/>
        <v>0</v>
      </c>
      <c r="Z572" s="847"/>
      <c r="AA572" s="847"/>
      <c r="AB572" s="741">
        <f t="shared" si="73"/>
        <v>0</v>
      </c>
      <c r="AC572" s="846"/>
      <c r="AD572" s="847"/>
      <c r="AE572" s="846"/>
      <c r="AF572" s="846"/>
      <c r="AG572" s="847"/>
      <c r="AH572" s="847"/>
      <c r="AI572" s="742">
        <f t="shared" si="77"/>
        <v>518200</v>
      </c>
      <c r="AJ572" s="743">
        <f t="shared" si="78"/>
        <v>523700</v>
      </c>
    </row>
    <row r="573" spans="1:36">
      <c r="A573" s="1314" t="s">
        <v>148</v>
      </c>
      <c r="B573" s="1308" t="s">
        <v>271</v>
      </c>
      <c r="C573" s="1019" t="s">
        <v>1554</v>
      </c>
      <c r="D573" s="1020"/>
      <c r="E573" s="1310">
        <v>130943</v>
      </c>
      <c r="F573" s="1311">
        <v>1</v>
      </c>
      <c r="G573" s="846"/>
      <c r="H573" s="847"/>
      <c r="I573" s="846">
        <v>570236</v>
      </c>
      <c r="J573" s="1313">
        <v>577021</v>
      </c>
      <c r="K573" s="846"/>
      <c r="L573" s="847"/>
      <c r="M573" s="846"/>
      <c r="N573" s="846"/>
      <c r="O573" s="737">
        <f t="shared" si="71"/>
        <v>0</v>
      </c>
      <c r="P573" s="847"/>
      <c r="Q573" s="847"/>
      <c r="R573" s="738">
        <f t="shared" si="74"/>
        <v>0</v>
      </c>
      <c r="S573" s="737">
        <f t="shared" si="75"/>
        <v>570236</v>
      </c>
      <c r="T573" s="739">
        <f t="shared" si="76"/>
        <v>577021</v>
      </c>
      <c r="U573" s="846"/>
      <c r="V573" s="847"/>
      <c r="W573" s="846"/>
      <c r="X573" s="846"/>
      <c r="Y573" s="740">
        <f t="shared" si="72"/>
        <v>0</v>
      </c>
      <c r="Z573" s="847"/>
      <c r="AA573" s="847"/>
      <c r="AB573" s="741">
        <f t="shared" si="73"/>
        <v>0</v>
      </c>
      <c r="AC573" s="846"/>
      <c r="AD573" s="847"/>
      <c r="AE573" s="846"/>
      <c r="AF573" s="846"/>
      <c r="AG573" s="847"/>
      <c r="AH573" s="847"/>
      <c r="AI573" s="742">
        <f t="shared" si="77"/>
        <v>570236</v>
      </c>
      <c r="AJ573" s="743">
        <f t="shared" si="78"/>
        <v>577021</v>
      </c>
    </row>
    <row r="574" spans="1:36">
      <c r="A574" s="1314" t="s">
        <v>148</v>
      </c>
      <c r="B574" s="1308" t="s">
        <v>271</v>
      </c>
      <c r="C574" s="1019" t="s">
        <v>1555</v>
      </c>
      <c r="D574" s="1020"/>
      <c r="E574" s="1310">
        <v>130943</v>
      </c>
      <c r="F574" s="1311">
        <v>1</v>
      </c>
      <c r="G574" s="846"/>
      <c r="H574" s="847"/>
      <c r="I574" s="846">
        <v>115300</v>
      </c>
      <c r="J574" s="1313">
        <v>116085</v>
      </c>
      <c r="K574" s="846"/>
      <c r="L574" s="847"/>
      <c r="M574" s="846"/>
      <c r="N574" s="846"/>
      <c r="O574" s="737">
        <f t="shared" si="71"/>
        <v>0</v>
      </c>
      <c r="P574" s="847"/>
      <c r="Q574" s="847"/>
      <c r="R574" s="738">
        <f t="shared" si="74"/>
        <v>0</v>
      </c>
      <c r="S574" s="737">
        <f t="shared" si="75"/>
        <v>115300</v>
      </c>
      <c r="T574" s="739">
        <f t="shared" si="76"/>
        <v>116085</v>
      </c>
      <c r="U574" s="846"/>
      <c r="V574" s="847"/>
      <c r="W574" s="846"/>
      <c r="X574" s="846"/>
      <c r="Y574" s="740">
        <f t="shared" si="72"/>
        <v>0</v>
      </c>
      <c r="Z574" s="847"/>
      <c r="AA574" s="847"/>
      <c r="AB574" s="741">
        <f t="shared" si="73"/>
        <v>0</v>
      </c>
      <c r="AC574" s="846"/>
      <c r="AD574" s="847"/>
      <c r="AE574" s="846"/>
      <c r="AF574" s="846"/>
      <c r="AG574" s="847"/>
      <c r="AH574" s="847"/>
      <c r="AI574" s="742">
        <f t="shared" si="77"/>
        <v>115300</v>
      </c>
      <c r="AJ574" s="743">
        <f t="shared" si="78"/>
        <v>116085</v>
      </c>
    </row>
    <row r="575" spans="1:36">
      <c r="A575" s="1314" t="s">
        <v>148</v>
      </c>
      <c r="B575" s="1308" t="s">
        <v>271</v>
      </c>
      <c r="C575" s="1019" t="s">
        <v>1556</v>
      </c>
      <c r="D575" s="1020"/>
      <c r="E575" s="1310">
        <v>130943</v>
      </c>
      <c r="F575" s="1311">
        <v>1</v>
      </c>
      <c r="G575" s="846"/>
      <c r="H575" s="847"/>
      <c r="I575" s="846">
        <v>256600</v>
      </c>
      <c r="J575" s="847">
        <v>259150</v>
      </c>
      <c r="K575" s="846"/>
      <c r="L575" s="847"/>
      <c r="M575" s="846"/>
      <c r="N575" s="846"/>
      <c r="O575" s="737">
        <f t="shared" si="71"/>
        <v>0</v>
      </c>
      <c r="P575" s="847"/>
      <c r="Q575" s="847"/>
      <c r="R575" s="738">
        <f t="shared" si="74"/>
        <v>0</v>
      </c>
      <c r="S575" s="737">
        <f t="shared" si="75"/>
        <v>256600</v>
      </c>
      <c r="T575" s="739">
        <f t="shared" si="76"/>
        <v>259150</v>
      </c>
      <c r="U575" s="846"/>
      <c r="V575" s="847"/>
      <c r="W575" s="846"/>
      <c r="X575" s="846"/>
      <c r="Y575" s="740">
        <f t="shared" si="72"/>
        <v>0</v>
      </c>
      <c r="Z575" s="847"/>
      <c r="AA575" s="847"/>
      <c r="AB575" s="741">
        <f t="shared" si="73"/>
        <v>0</v>
      </c>
      <c r="AC575" s="846"/>
      <c r="AD575" s="847"/>
      <c r="AE575" s="846"/>
      <c r="AF575" s="846"/>
      <c r="AG575" s="847"/>
      <c r="AH575" s="847"/>
      <c r="AI575" s="742">
        <f t="shared" si="77"/>
        <v>256600</v>
      </c>
      <c r="AJ575" s="743">
        <f t="shared" si="78"/>
        <v>259150</v>
      </c>
    </row>
    <row r="576" spans="1:36">
      <c r="A576" s="1314" t="s">
        <v>148</v>
      </c>
      <c r="B576" s="1308" t="s">
        <v>271</v>
      </c>
      <c r="C576" s="1019" t="s">
        <v>1557</v>
      </c>
      <c r="D576" s="1020"/>
      <c r="E576" s="1310">
        <v>130943</v>
      </c>
      <c r="F576" s="1311">
        <v>1</v>
      </c>
      <c r="G576" s="846"/>
      <c r="H576" s="847"/>
      <c r="I576" s="846">
        <v>202900</v>
      </c>
      <c r="J576" s="1313">
        <v>204410</v>
      </c>
      <c r="K576" s="846"/>
      <c r="L576" s="847"/>
      <c r="M576" s="846"/>
      <c r="N576" s="846"/>
      <c r="O576" s="737">
        <f t="shared" si="71"/>
        <v>0</v>
      </c>
      <c r="P576" s="847"/>
      <c r="Q576" s="847"/>
      <c r="R576" s="738">
        <f t="shared" si="74"/>
        <v>0</v>
      </c>
      <c r="S576" s="737">
        <f t="shared" si="75"/>
        <v>202900</v>
      </c>
      <c r="T576" s="739">
        <f t="shared" si="76"/>
        <v>204410</v>
      </c>
      <c r="U576" s="846"/>
      <c r="V576" s="847"/>
      <c r="W576" s="846"/>
      <c r="X576" s="846"/>
      <c r="Y576" s="740">
        <f t="shared" si="72"/>
        <v>0</v>
      </c>
      <c r="Z576" s="847"/>
      <c r="AA576" s="847"/>
      <c r="AB576" s="741">
        <f t="shared" si="73"/>
        <v>0</v>
      </c>
      <c r="AC576" s="846"/>
      <c r="AD576" s="847"/>
      <c r="AE576" s="846"/>
      <c r="AF576" s="846"/>
      <c r="AG576" s="847"/>
      <c r="AH576" s="847"/>
      <c r="AI576" s="742">
        <f t="shared" si="77"/>
        <v>202900</v>
      </c>
      <c r="AJ576" s="743">
        <f t="shared" si="78"/>
        <v>204410</v>
      </c>
    </row>
    <row r="577" spans="1:36">
      <c r="A577" s="1314" t="s">
        <v>148</v>
      </c>
      <c r="B577" s="1308" t="s">
        <v>271</v>
      </c>
      <c r="C577" s="1019" t="s">
        <v>1558</v>
      </c>
      <c r="D577" s="1020"/>
      <c r="E577" s="1310">
        <v>130943</v>
      </c>
      <c r="F577" s="1311">
        <v>1</v>
      </c>
      <c r="G577" s="846"/>
      <c r="H577" s="847"/>
      <c r="I577" s="846">
        <v>76900</v>
      </c>
      <c r="J577" s="1313">
        <v>77665</v>
      </c>
      <c r="K577" s="846"/>
      <c r="L577" s="847"/>
      <c r="M577" s="846"/>
      <c r="N577" s="846"/>
      <c r="O577" s="737">
        <f t="shared" si="71"/>
        <v>0</v>
      </c>
      <c r="P577" s="847"/>
      <c r="Q577" s="847"/>
      <c r="R577" s="738">
        <f t="shared" si="74"/>
        <v>0</v>
      </c>
      <c r="S577" s="737">
        <f t="shared" si="75"/>
        <v>76900</v>
      </c>
      <c r="T577" s="739">
        <f t="shared" si="76"/>
        <v>77665</v>
      </c>
      <c r="U577" s="846"/>
      <c r="V577" s="847"/>
      <c r="W577" s="846"/>
      <c r="X577" s="846"/>
      <c r="Y577" s="740">
        <f t="shared" si="72"/>
        <v>0</v>
      </c>
      <c r="Z577" s="847"/>
      <c r="AA577" s="847"/>
      <c r="AB577" s="741">
        <f t="shared" si="73"/>
        <v>0</v>
      </c>
      <c r="AC577" s="846"/>
      <c r="AD577" s="847"/>
      <c r="AE577" s="846"/>
      <c r="AF577" s="846"/>
      <c r="AG577" s="847"/>
      <c r="AH577" s="847"/>
      <c r="AI577" s="742">
        <f t="shared" si="77"/>
        <v>76900</v>
      </c>
      <c r="AJ577" s="743">
        <f t="shared" si="78"/>
        <v>77665</v>
      </c>
    </row>
    <row r="578" spans="1:36">
      <c r="A578" s="1314" t="s">
        <v>148</v>
      </c>
      <c r="B578" s="1308" t="s">
        <v>271</v>
      </c>
      <c r="C578" s="1019" t="s">
        <v>1559</v>
      </c>
      <c r="D578" s="1020"/>
      <c r="E578" s="1310">
        <v>130943</v>
      </c>
      <c r="F578" s="1311">
        <v>1</v>
      </c>
      <c r="G578" s="846"/>
      <c r="H578" s="847"/>
      <c r="I578" s="846">
        <v>241700</v>
      </c>
      <c r="J578" s="1313">
        <v>244200</v>
      </c>
      <c r="K578" s="846"/>
      <c r="L578" s="847"/>
      <c r="M578" s="846"/>
      <c r="N578" s="846"/>
      <c r="O578" s="737">
        <f t="shared" si="71"/>
        <v>0</v>
      </c>
      <c r="P578" s="847"/>
      <c r="Q578" s="847"/>
      <c r="R578" s="738">
        <f t="shared" si="74"/>
        <v>0</v>
      </c>
      <c r="S578" s="737">
        <f t="shared" si="75"/>
        <v>241700</v>
      </c>
      <c r="T578" s="739">
        <f t="shared" si="76"/>
        <v>244200</v>
      </c>
      <c r="U578" s="846"/>
      <c r="V578" s="847"/>
      <c r="W578" s="846"/>
      <c r="X578" s="846"/>
      <c r="Y578" s="740">
        <f t="shared" si="72"/>
        <v>0</v>
      </c>
      <c r="Z578" s="847"/>
      <c r="AA578" s="847"/>
      <c r="AB578" s="741">
        <f t="shared" si="73"/>
        <v>0</v>
      </c>
      <c r="AC578" s="846"/>
      <c r="AD578" s="847"/>
      <c r="AE578" s="846"/>
      <c r="AF578" s="846"/>
      <c r="AG578" s="847"/>
      <c r="AH578" s="847"/>
      <c r="AI578" s="742">
        <f t="shared" si="77"/>
        <v>241700</v>
      </c>
      <c r="AJ578" s="743">
        <f t="shared" si="78"/>
        <v>244200</v>
      </c>
    </row>
    <row r="579" spans="1:36">
      <c r="A579" s="1314" t="s">
        <v>148</v>
      </c>
      <c r="B579" s="1308" t="s">
        <v>271</v>
      </c>
      <c r="C579" s="1019" t="s">
        <v>1560</v>
      </c>
      <c r="D579" s="1020"/>
      <c r="E579" s="1310">
        <v>130943</v>
      </c>
      <c r="F579" s="1311">
        <v>1</v>
      </c>
      <c r="G579" s="846"/>
      <c r="H579" s="847"/>
      <c r="I579" s="846">
        <v>1838400</v>
      </c>
      <c r="J579" s="847">
        <v>1855000</v>
      </c>
      <c r="K579" s="846"/>
      <c r="L579" s="847"/>
      <c r="M579" s="846"/>
      <c r="N579" s="846"/>
      <c r="O579" s="737">
        <f t="shared" si="71"/>
        <v>0</v>
      </c>
      <c r="P579" s="847"/>
      <c r="Q579" s="847"/>
      <c r="R579" s="738">
        <f t="shared" si="74"/>
        <v>0</v>
      </c>
      <c r="S579" s="737">
        <f t="shared" si="75"/>
        <v>1838400</v>
      </c>
      <c r="T579" s="739">
        <f t="shared" si="76"/>
        <v>1855000</v>
      </c>
      <c r="U579" s="846"/>
      <c r="V579" s="847"/>
      <c r="W579" s="846"/>
      <c r="X579" s="846"/>
      <c r="Y579" s="740">
        <f t="shared" si="72"/>
        <v>0</v>
      </c>
      <c r="Z579" s="847"/>
      <c r="AA579" s="847"/>
      <c r="AB579" s="741">
        <f t="shared" si="73"/>
        <v>0</v>
      </c>
      <c r="AC579" s="846"/>
      <c r="AD579" s="847"/>
      <c r="AE579" s="846"/>
      <c r="AF579" s="846"/>
      <c r="AG579" s="847"/>
      <c r="AH579" s="847"/>
      <c r="AI579" s="742">
        <f t="shared" si="77"/>
        <v>1838400</v>
      </c>
      <c r="AJ579" s="743">
        <f t="shared" si="78"/>
        <v>1855000</v>
      </c>
    </row>
    <row r="580" spans="1:36">
      <c r="A580" s="1314" t="s">
        <v>148</v>
      </c>
      <c r="B580" s="1308" t="s">
        <v>264</v>
      </c>
      <c r="C580" s="1315" t="s">
        <v>1561</v>
      </c>
      <c r="D580" s="1316"/>
      <c r="E580" s="996">
        <v>130934</v>
      </c>
      <c r="F580" s="996">
        <v>3</v>
      </c>
      <c r="G580" s="846">
        <v>34327800</v>
      </c>
      <c r="H580" s="847">
        <v>34562700</v>
      </c>
      <c r="I580" s="846"/>
      <c r="J580" s="847"/>
      <c r="K580" s="846"/>
      <c r="L580" s="847"/>
      <c r="M580" s="846">
        <v>49098421</v>
      </c>
      <c r="N580" s="846">
        <v>1575022</v>
      </c>
      <c r="O580" s="737">
        <f t="shared" si="71"/>
        <v>50673443</v>
      </c>
      <c r="P580" s="847">
        <v>49098421</v>
      </c>
      <c r="Q580" s="847">
        <v>1525250</v>
      </c>
      <c r="R580" s="738">
        <f t="shared" si="74"/>
        <v>50623671</v>
      </c>
      <c r="S580" s="737">
        <f t="shared" si="75"/>
        <v>83426221</v>
      </c>
      <c r="T580" s="739">
        <f t="shared" si="76"/>
        <v>83661121</v>
      </c>
      <c r="U580" s="846"/>
      <c r="V580" s="847"/>
      <c r="W580" s="846"/>
      <c r="X580" s="846"/>
      <c r="Y580" s="740">
        <f t="shared" si="72"/>
        <v>0</v>
      </c>
      <c r="Z580" s="847"/>
      <c r="AA580" s="847"/>
      <c r="AB580" s="741">
        <f t="shared" si="73"/>
        <v>0</v>
      </c>
      <c r="AC580" s="846"/>
      <c r="AD580" s="847"/>
      <c r="AE580" s="846"/>
      <c r="AF580" s="846"/>
      <c r="AG580" s="847"/>
      <c r="AH580" s="847"/>
      <c r="AI580" s="742">
        <f t="shared" si="77"/>
        <v>83426221</v>
      </c>
      <c r="AJ580" s="743">
        <f t="shared" si="78"/>
        <v>83661121</v>
      </c>
    </row>
    <row r="581" spans="1:36">
      <c r="A581" s="1314" t="s">
        <v>148</v>
      </c>
      <c r="B581" s="1018" t="s">
        <v>264</v>
      </c>
      <c r="C581" s="1317" t="s">
        <v>1562</v>
      </c>
      <c r="D581" s="1330" t="s">
        <v>710</v>
      </c>
      <c r="E581" s="1009">
        <v>130916</v>
      </c>
      <c r="F581" s="996">
        <v>8</v>
      </c>
      <c r="G581" s="846">
        <v>30761700</v>
      </c>
      <c r="H581" s="339">
        <v>32458300</v>
      </c>
      <c r="I581" s="846"/>
      <c r="J581" s="847"/>
      <c r="K581" s="846"/>
      <c r="L581" s="847"/>
      <c r="M581" s="846">
        <v>23638600</v>
      </c>
      <c r="N581" s="846"/>
      <c r="O581" s="737">
        <f t="shared" si="71"/>
        <v>23638600</v>
      </c>
      <c r="P581" s="847">
        <v>22434300</v>
      </c>
      <c r="Q581" s="847">
        <v>0</v>
      </c>
      <c r="R581" s="738">
        <f t="shared" si="74"/>
        <v>22434300</v>
      </c>
      <c r="S581" s="737">
        <f t="shared" si="75"/>
        <v>54400300</v>
      </c>
      <c r="T581" s="739">
        <f t="shared" si="76"/>
        <v>54892600</v>
      </c>
      <c r="U581" s="846"/>
      <c r="V581" s="847"/>
      <c r="W581" s="846"/>
      <c r="X581" s="846"/>
      <c r="Y581" s="740">
        <f t="shared" si="72"/>
        <v>0</v>
      </c>
      <c r="Z581" s="847"/>
      <c r="AA581" s="847"/>
      <c r="AB581" s="741">
        <f t="shared" si="73"/>
        <v>0</v>
      </c>
      <c r="AC581" s="846"/>
      <c r="AD581" s="847"/>
      <c r="AE581" s="846"/>
      <c r="AF581" s="846"/>
      <c r="AG581" s="847"/>
      <c r="AH581" s="847"/>
      <c r="AI581" s="742">
        <f t="shared" si="77"/>
        <v>54400300</v>
      </c>
      <c r="AJ581" s="743">
        <f t="shared" si="78"/>
        <v>54892600</v>
      </c>
    </row>
    <row r="582" spans="1:36">
      <c r="A582" s="1314" t="s">
        <v>148</v>
      </c>
      <c r="B582" s="1018" t="s">
        <v>264</v>
      </c>
      <c r="C582" s="1305" t="s">
        <v>1563</v>
      </c>
      <c r="D582" s="1306"/>
      <c r="E582" s="1021">
        <v>130891</v>
      </c>
      <c r="F582" s="1022">
        <v>9</v>
      </c>
      <c r="G582" s="846">
        <v>18515300</v>
      </c>
      <c r="H582" s="847">
        <v>19823300</v>
      </c>
      <c r="I582" s="846"/>
      <c r="J582" s="847"/>
      <c r="K582" s="846"/>
      <c r="L582" s="847"/>
      <c r="M582" s="846">
        <v>14332600</v>
      </c>
      <c r="N582" s="846"/>
      <c r="O582" s="737">
        <f t="shared" si="71"/>
        <v>14332600</v>
      </c>
      <c r="P582" s="847">
        <v>14391200</v>
      </c>
      <c r="Q582" s="847">
        <v>0</v>
      </c>
      <c r="R582" s="738">
        <f t="shared" si="74"/>
        <v>14391200</v>
      </c>
      <c r="S582" s="737">
        <f t="shared" si="75"/>
        <v>32847900</v>
      </c>
      <c r="T582" s="739">
        <f t="shared" si="76"/>
        <v>34214500</v>
      </c>
      <c r="U582" s="846"/>
      <c r="V582" s="847"/>
      <c r="W582" s="846"/>
      <c r="X582" s="846"/>
      <c r="Y582" s="740">
        <f t="shared" si="72"/>
        <v>0</v>
      </c>
      <c r="Z582" s="847"/>
      <c r="AA582" s="847"/>
      <c r="AB582" s="741">
        <f t="shared" si="73"/>
        <v>0</v>
      </c>
      <c r="AC582" s="846"/>
      <c r="AD582" s="847"/>
      <c r="AE582" s="846"/>
      <c r="AF582" s="846"/>
      <c r="AG582" s="847"/>
      <c r="AH582" s="847"/>
      <c r="AI582" s="742">
        <f t="shared" si="77"/>
        <v>32847900</v>
      </c>
      <c r="AJ582" s="743">
        <f t="shared" si="78"/>
        <v>34214500</v>
      </c>
    </row>
    <row r="583" spans="1:36">
      <c r="A583" s="991" t="s">
        <v>148</v>
      </c>
      <c r="B583" s="1018" t="s">
        <v>264</v>
      </c>
      <c r="C583" s="1305" t="s">
        <v>1564</v>
      </c>
      <c r="D583" s="1306"/>
      <c r="E583" s="1021">
        <v>130907</v>
      </c>
      <c r="F583" s="1022">
        <v>9</v>
      </c>
      <c r="G583" s="846">
        <v>12352400</v>
      </c>
      <c r="H583" s="847">
        <v>12962100</v>
      </c>
      <c r="I583" s="846"/>
      <c r="J583" s="847"/>
      <c r="K583" s="846"/>
      <c r="L583" s="847"/>
      <c r="M583" s="846">
        <v>10245200</v>
      </c>
      <c r="N583" s="846"/>
      <c r="O583" s="737">
        <f t="shared" si="71"/>
        <v>10245200</v>
      </c>
      <c r="P583" s="847">
        <v>10129400</v>
      </c>
      <c r="Q583" s="847">
        <v>0</v>
      </c>
      <c r="R583" s="738">
        <f t="shared" si="74"/>
        <v>10129400</v>
      </c>
      <c r="S583" s="737">
        <f t="shared" si="75"/>
        <v>22597600</v>
      </c>
      <c r="T583" s="739">
        <f t="shared" si="76"/>
        <v>23091500</v>
      </c>
      <c r="U583" s="846"/>
      <c r="V583" s="847"/>
      <c r="W583" s="846"/>
      <c r="X583" s="846"/>
      <c r="Y583" s="740">
        <f t="shared" si="72"/>
        <v>0</v>
      </c>
      <c r="Z583" s="847"/>
      <c r="AA583" s="847"/>
      <c r="AB583" s="741">
        <f t="shared" si="73"/>
        <v>0</v>
      </c>
      <c r="AC583" s="846"/>
      <c r="AD583" s="847"/>
      <c r="AE583" s="846"/>
      <c r="AF583" s="846"/>
      <c r="AG583" s="847"/>
      <c r="AH583" s="847"/>
      <c r="AI583" s="742">
        <f t="shared" si="77"/>
        <v>22597600</v>
      </c>
      <c r="AJ583" s="743">
        <f t="shared" si="78"/>
        <v>23091500</v>
      </c>
    </row>
    <row r="584" spans="1:36">
      <c r="A584" s="1314" t="s">
        <v>148</v>
      </c>
      <c r="B584" s="1018" t="s">
        <v>303</v>
      </c>
      <c r="C584" s="1318" t="s">
        <v>86</v>
      </c>
      <c r="D584" s="1306"/>
      <c r="E584" s="1021"/>
      <c r="F584" s="1022"/>
      <c r="G584" s="846"/>
      <c r="H584" s="847"/>
      <c r="I584" s="846"/>
      <c r="J584" s="847"/>
      <c r="K584" s="846"/>
      <c r="L584" s="847"/>
      <c r="M584" s="846"/>
      <c r="N584" s="846"/>
      <c r="O584" s="737">
        <f t="shared" si="71"/>
        <v>0</v>
      </c>
      <c r="P584" s="847"/>
      <c r="Q584" s="847"/>
      <c r="R584" s="738">
        <f t="shared" si="74"/>
        <v>0</v>
      </c>
      <c r="S584" s="737">
        <f t="shared" si="75"/>
        <v>0</v>
      </c>
      <c r="T584" s="739">
        <f t="shared" si="76"/>
        <v>0</v>
      </c>
      <c r="U584" s="846"/>
      <c r="V584" s="847"/>
      <c r="W584" s="846"/>
      <c r="X584" s="846"/>
      <c r="Y584" s="740">
        <f t="shared" si="72"/>
        <v>0</v>
      </c>
      <c r="Z584" s="847"/>
      <c r="AA584" s="847"/>
      <c r="AB584" s="741">
        <f t="shared" si="73"/>
        <v>0</v>
      </c>
      <c r="AC584" s="846"/>
      <c r="AD584" s="847"/>
      <c r="AE584" s="846"/>
      <c r="AF584" s="846"/>
      <c r="AG584" s="847"/>
      <c r="AH584" s="847"/>
      <c r="AI584" s="742">
        <f t="shared" si="77"/>
        <v>0</v>
      </c>
      <c r="AJ584" s="743">
        <f t="shared" si="78"/>
        <v>0</v>
      </c>
    </row>
    <row r="585" spans="1:36">
      <c r="A585" s="1319" t="s">
        <v>148</v>
      </c>
      <c r="B585" s="1018" t="s">
        <v>303</v>
      </c>
      <c r="C585" s="1019" t="s">
        <v>1565</v>
      </c>
      <c r="D585" s="1020"/>
      <c r="E585" s="1021"/>
      <c r="F585" s="1022"/>
      <c r="G585" s="846"/>
      <c r="H585" s="847"/>
      <c r="I585" s="846"/>
      <c r="J585" s="847"/>
      <c r="K585" s="846"/>
      <c r="L585" s="847"/>
      <c r="M585" s="846"/>
      <c r="N585" s="846"/>
      <c r="O585" s="737">
        <f t="shared" si="71"/>
        <v>0</v>
      </c>
      <c r="P585" s="847"/>
      <c r="Q585" s="847"/>
      <c r="R585" s="738">
        <f t="shared" si="74"/>
        <v>0</v>
      </c>
      <c r="S585" s="737">
        <f t="shared" si="75"/>
        <v>0</v>
      </c>
      <c r="T585" s="739">
        <f t="shared" si="76"/>
        <v>0</v>
      </c>
      <c r="U585" s="846"/>
      <c r="V585" s="847"/>
      <c r="W585" s="846"/>
      <c r="X585" s="846"/>
      <c r="Y585" s="740">
        <f t="shared" si="72"/>
        <v>0</v>
      </c>
      <c r="Z585" s="847"/>
      <c r="AA585" s="847"/>
      <c r="AB585" s="741">
        <f t="shared" si="73"/>
        <v>0</v>
      </c>
      <c r="AC585" s="846"/>
      <c r="AD585" s="847"/>
      <c r="AE585" s="846"/>
      <c r="AF585" s="846"/>
      <c r="AG585" s="847"/>
      <c r="AH585" s="847"/>
      <c r="AI585" s="742">
        <f t="shared" si="77"/>
        <v>0</v>
      </c>
      <c r="AJ585" s="743">
        <f t="shared" si="78"/>
        <v>0</v>
      </c>
    </row>
    <row r="586" spans="1:36">
      <c r="A586" s="1314" t="s">
        <v>148</v>
      </c>
      <c r="B586" s="1018" t="s">
        <v>303</v>
      </c>
      <c r="C586" s="1019" t="s">
        <v>1566</v>
      </c>
      <c r="D586" s="1020"/>
      <c r="E586" s="1021"/>
      <c r="F586" s="1022"/>
      <c r="G586" s="846"/>
      <c r="H586" s="847"/>
      <c r="I586" s="846"/>
      <c r="J586" s="847"/>
      <c r="K586" s="846"/>
      <c r="L586" s="847"/>
      <c r="M586" s="846"/>
      <c r="N586" s="846"/>
      <c r="O586" s="737">
        <f t="shared" ref="O586:O649" si="79">SUM(M586:N586)</f>
        <v>0</v>
      </c>
      <c r="P586" s="847"/>
      <c r="Q586" s="847"/>
      <c r="R586" s="738">
        <f t="shared" si="74"/>
        <v>0</v>
      </c>
      <c r="S586" s="737">
        <f t="shared" si="75"/>
        <v>0</v>
      </c>
      <c r="T586" s="739">
        <f t="shared" si="76"/>
        <v>0</v>
      </c>
      <c r="U586" s="846"/>
      <c r="V586" s="847"/>
      <c r="W586" s="846"/>
      <c r="X586" s="846"/>
      <c r="Y586" s="740">
        <f t="shared" ref="Y586:Y649" si="80">SUM(W586:X586)</f>
        <v>0</v>
      </c>
      <c r="Z586" s="847"/>
      <c r="AA586" s="847"/>
      <c r="AB586" s="741">
        <f t="shared" ref="AB586:AB649" si="81">SUM(Z586:AA586)</f>
        <v>0</v>
      </c>
      <c r="AC586" s="846"/>
      <c r="AD586" s="847"/>
      <c r="AE586" s="846"/>
      <c r="AF586" s="846"/>
      <c r="AG586" s="847"/>
      <c r="AH586" s="847"/>
      <c r="AI586" s="742">
        <f t="shared" si="77"/>
        <v>0</v>
      </c>
      <c r="AJ586" s="743">
        <f t="shared" si="78"/>
        <v>0</v>
      </c>
    </row>
    <row r="587" spans="1:36">
      <c r="A587" s="1314" t="s">
        <v>148</v>
      </c>
      <c r="B587" s="1018" t="s">
        <v>303</v>
      </c>
      <c r="C587" s="1019" t="s">
        <v>1567</v>
      </c>
      <c r="D587" s="1020"/>
      <c r="E587" s="1021"/>
      <c r="F587" s="1022"/>
      <c r="G587" s="846"/>
      <c r="H587" s="847"/>
      <c r="I587" s="846">
        <v>1918000</v>
      </c>
      <c r="J587" s="847">
        <v>1918000</v>
      </c>
      <c r="K587" s="846"/>
      <c r="L587" s="847"/>
      <c r="M587" s="846"/>
      <c r="N587" s="846"/>
      <c r="O587" s="737">
        <f t="shared" si="79"/>
        <v>0</v>
      </c>
      <c r="P587" s="847"/>
      <c r="Q587" s="847"/>
      <c r="R587" s="738">
        <f t="shared" ref="R587:R650" si="82">SUM(P587:Q587)</f>
        <v>0</v>
      </c>
      <c r="S587" s="737">
        <f t="shared" ref="S587:S650" si="83">SUM(G587,I587,K587,M587)</f>
        <v>1918000</v>
      </c>
      <c r="T587" s="739">
        <f t="shared" ref="T587:T650" si="84">SUM(H587,J587,L587,P587)</f>
        <v>1918000</v>
      </c>
      <c r="U587" s="846"/>
      <c r="V587" s="847"/>
      <c r="W587" s="846"/>
      <c r="X587" s="846"/>
      <c r="Y587" s="740">
        <f t="shared" si="80"/>
        <v>0</v>
      </c>
      <c r="Z587" s="847"/>
      <c r="AA587" s="847"/>
      <c r="AB587" s="741">
        <f t="shared" si="81"/>
        <v>0</v>
      </c>
      <c r="AC587" s="846"/>
      <c r="AD587" s="847"/>
      <c r="AE587" s="846"/>
      <c r="AF587" s="846"/>
      <c r="AG587" s="847"/>
      <c r="AH587" s="847"/>
      <c r="AI587" s="742">
        <f t="shared" ref="AI587:AI650" si="85">SUM(S587,U587,W587,AC587,AE587)</f>
        <v>1918000</v>
      </c>
      <c r="AJ587" s="743">
        <f t="shared" ref="AJ587:AJ650" si="86">SUM(T587,V587,Z587,AD587,AG587)</f>
        <v>1918000</v>
      </c>
    </row>
    <row r="588" spans="1:36">
      <c r="A588" s="1314" t="s">
        <v>148</v>
      </c>
      <c r="B588" s="1018" t="s">
        <v>281</v>
      </c>
      <c r="C588" s="1318" t="s">
        <v>120</v>
      </c>
      <c r="D588" s="1306"/>
      <c r="E588" s="1021"/>
      <c r="F588" s="1022"/>
      <c r="G588" s="846"/>
      <c r="H588" s="847"/>
      <c r="I588" s="846"/>
      <c r="J588" s="847"/>
      <c r="K588" s="846"/>
      <c r="L588" s="847"/>
      <c r="M588" s="846"/>
      <c r="N588" s="846"/>
      <c r="O588" s="737">
        <f t="shared" si="79"/>
        <v>0</v>
      </c>
      <c r="P588" s="847"/>
      <c r="Q588" s="847"/>
      <c r="R588" s="738">
        <f t="shared" si="82"/>
        <v>0</v>
      </c>
      <c r="S588" s="737">
        <f t="shared" si="83"/>
        <v>0</v>
      </c>
      <c r="T588" s="739">
        <f t="shared" si="84"/>
        <v>0</v>
      </c>
      <c r="U588" s="846"/>
      <c r="V588" s="847"/>
      <c r="W588" s="846"/>
      <c r="X588" s="846"/>
      <c r="Y588" s="740">
        <f t="shared" si="80"/>
        <v>0</v>
      </c>
      <c r="Z588" s="847"/>
      <c r="AA588" s="847"/>
      <c r="AB588" s="741">
        <f t="shared" si="81"/>
        <v>0</v>
      </c>
      <c r="AC588" s="846"/>
      <c r="AD588" s="847"/>
      <c r="AE588" s="846"/>
      <c r="AF588" s="846"/>
      <c r="AG588" s="847"/>
      <c r="AH588" s="847"/>
      <c r="AI588" s="742">
        <f t="shared" si="85"/>
        <v>0</v>
      </c>
      <c r="AJ588" s="743">
        <f t="shared" si="86"/>
        <v>0</v>
      </c>
    </row>
    <row r="589" spans="1:36">
      <c r="A589" s="1314" t="s">
        <v>148</v>
      </c>
      <c r="B589" s="1018" t="s">
        <v>282</v>
      </c>
      <c r="C589" s="1320" t="s">
        <v>140</v>
      </c>
      <c r="D589" s="1321"/>
      <c r="E589" s="1021"/>
      <c r="F589" s="1022"/>
      <c r="G589" s="846"/>
      <c r="H589" s="847"/>
      <c r="I589" s="846"/>
      <c r="J589" s="847"/>
      <c r="K589" s="846"/>
      <c r="L589" s="847"/>
      <c r="M589" s="846"/>
      <c r="N589" s="846"/>
      <c r="O589" s="737">
        <f t="shared" si="79"/>
        <v>0</v>
      </c>
      <c r="P589" s="847"/>
      <c r="Q589" s="847"/>
      <c r="R589" s="738">
        <f t="shared" si="82"/>
        <v>0</v>
      </c>
      <c r="S589" s="737">
        <f t="shared" si="83"/>
        <v>0</v>
      </c>
      <c r="T589" s="739">
        <f t="shared" si="84"/>
        <v>0</v>
      </c>
      <c r="U589" s="846"/>
      <c r="V589" s="847"/>
      <c r="W589" s="846"/>
      <c r="X589" s="846"/>
      <c r="Y589" s="740">
        <f t="shared" si="80"/>
        <v>0</v>
      </c>
      <c r="Z589" s="847"/>
      <c r="AA589" s="847"/>
      <c r="AB589" s="741">
        <f t="shared" si="81"/>
        <v>0</v>
      </c>
      <c r="AC589" s="846"/>
      <c r="AD589" s="847"/>
      <c r="AE589" s="846"/>
      <c r="AF589" s="846"/>
      <c r="AG589" s="847"/>
      <c r="AH589" s="847"/>
      <c r="AI589" s="742">
        <f t="shared" si="85"/>
        <v>0</v>
      </c>
      <c r="AJ589" s="743">
        <f t="shared" si="86"/>
        <v>0</v>
      </c>
    </row>
    <row r="590" spans="1:36">
      <c r="A590" s="1314" t="s">
        <v>148</v>
      </c>
      <c r="B590" s="1018" t="s">
        <v>282</v>
      </c>
      <c r="C590" s="1322" t="s">
        <v>1568</v>
      </c>
      <c r="D590" s="1321"/>
      <c r="E590" s="1021"/>
      <c r="F590" s="1022"/>
      <c r="G590" s="846"/>
      <c r="H590" s="847"/>
      <c r="I590" s="846"/>
      <c r="J590" s="847"/>
      <c r="K590" s="846"/>
      <c r="L590" s="847"/>
      <c r="M590" s="846"/>
      <c r="N590" s="846"/>
      <c r="O590" s="737">
        <f t="shared" si="79"/>
        <v>0</v>
      </c>
      <c r="P590" s="847"/>
      <c r="Q590" s="847"/>
      <c r="R590" s="738">
        <f t="shared" si="82"/>
        <v>0</v>
      </c>
      <c r="S590" s="737">
        <f t="shared" si="83"/>
        <v>0</v>
      </c>
      <c r="T590" s="739">
        <f t="shared" si="84"/>
        <v>0</v>
      </c>
      <c r="U590" s="846">
        <v>901000</v>
      </c>
      <c r="V590" s="847">
        <v>901000</v>
      </c>
      <c r="W590" s="846"/>
      <c r="X590" s="846"/>
      <c r="Y590" s="740">
        <f t="shared" si="80"/>
        <v>0</v>
      </c>
      <c r="Z590" s="847"/>
      <c r="AA590" s="847"/>
      <c r="AB590" s="741">
        <f t="shared" si="81"/>
        <v>0</v>
      </c>
      <c r="AC590" s="846"/>
      <c r="AD590" s="847"/>
      <c r="AE590" s="846"/>
      <c r="AF590" s="846"/>
      <c r="AG590" s="847"/>
      <c r="AH590" s="847"/>
      <c r="AI590" s="742">
        <f t="shared" si="85"/>
        <v>901000</v>
      </c>
      <c r="AJ590" s="743">
        <f t="shared" si="86"/>
        <v>901000</v>
      </c>
    </row>
    <row r="591" spans="1:36">
      <c r="A591" s="1314" t="s">
        <v>148</v>
      </c>
      <c r="B591" s="1018" t="s">
        <v>283</v>
      </c>
      <c r="C591" s="1320" t="s">
        <v>139</v>
      </c>
      <c r="D591" s="1321"/>
      <c r="E591" s="1021"/>
      <c r="F591" s="1022"/>
      <c r="G591" s="846"/>
      <c r="H591" s="847"/>
      <c r="I591" s="846"/>
      <c r="J591" s="847"/>
      <c r="K591" s="846"/>
      <c r="L591" s="847"/>
      <c r="M591" s="846"/>
      <c r="N591" s="846"/>
      <c r="O591" s="737">
        <f t="shared" si="79"/>
        <v>0</v>
      </c>
      <c r="P591" s="847"/>
      <c r="Q591" s="847"/>
      <c r="R591" s="738">
        <f t="shared" si="82"/>
        <v>0</v>
      </c>
      <c r="S591" s="737">
        <f t="shared" si="83"/>
        <v>0</v>
      </c>
      <c r="T591" s="739">
        <f t="shared" si="84"/>
        <v>0</v>
      </c>
      <c r="U591" s="846"/>
      <c r="V591" s="847"/>
      <c r="W591" s="846"/>
      <c r="X591" s="846"/>
      <c r="Y591" s="740">
        <f t="shared" si="80"/>
        <v>0</v>
      </c>
      <c r="Z591" s="847"/>
      <c r="AA591" s="847"/>
      <c r="AB591" s="741">
        <f t="shared" si="81"/>
        <v>0</v>
      </c>
      <c r="AC591" s="846"/>
      <c r="AD591" s="847"/>
      <c r="AE591" s="846"/>
      <c r="AF591" s="846"/>
      <c r="AG591" s="847"/>
      <c r="AH591" s="847"/>
      <c r="AI591" s="742">
        <f t="shared" si="85"/>
        <v>0</v>
      </c>
      <c r="AJ591" s="743">
        <f t="shared" si="86"/>
        <v>0</v>
      </c>
    </row>
    <row r="592" spans="1:36">
      <c r="A592" s="1314" t="s">
        <v>148</v>
      </c>
      <c r="B592" s="1018" t="s">
        <v>283</v>
      </c>
      <c r="C592" s="1322" t="s">
        <v>1569</v>
      </c>
      <c r="D592" s="1321"/>
      <c r="E592" s="1021"/>
      <c r="F592" s="1022"/>
      <c r="G592" s="846"/>
      <c r="H592" s="847"/>
      <c r="I592" s="846"/>
      <c r="J592" s="847"/>
      <c r="K592" s="846"/>
      <c r="L592" s="847"/>
      <c r="M592" s="846"/>
      <c r="N592" s="846"/>
      <c r="O592" s="737">
        <f t="shared" si="79"/>
        <v>0</v>
      </c>
      <c r="P592" s="847"/>
      <c r="Q592" s="847"/>
      <c r="R592" s="738">
        <f t="shared" si="82"/>
        <v>0</v>
      </c>
      <c r="S592" s="737">
        <f t="shared" si="83"/>
        <v>0</v>
      </c>
      <c r="T592" s="739">
        <f t="shared" si="84"/>
        <v>0</v>
      </c>
      <c r="U592" s="846">
        <v>13571700</v>
      </c>
      <c r="V592" s="847">
        <v>10877700</v>
      </c>
      <c r="W592" s="846"/>
      <c r="X592" s="846"/>
      <c r="Y592" s="740">
        <f t="shared" si="80"/>
        <v>0</v>
      </c>
      <c r="Z592" s="847"/>
      <c r="AA592" s="847"/>
      <c r="AB592" s="741">
        <f t="shared" si="81"/>
        <v>0</v>
      </c>
      <c r="AC592" s="846"/>
      <c r="AD592" s="847"/>
      <c r="AE592" s="846"/>
      <c r="AF592" s="846"/>
      <c r="AG592" s="847"/>
      <c r="AH592" s="847"/>
      <c r="AI592" s="742">
        <f t="shared" si="85"/>
        <v>13571700</v>
      </c>
      <c r="AJ592" s="743">
        <f t="shared" si="86"/>
        <v>10877700</v>
      </c>
    </row>
    <row r="593" spans="1:36">
      <c r="A593" s="1314" t="s">
        <v>148</v>
      </c>
      <c r="B593" s="1018" t="s">
        <v>284</v>
      </c>
      <c r="C593" s="1320" t="s">
        <v>138</v>
      </c>
      <c r="D593" s="1321"/>
      <c r="E593" s="1021"/>
      <c r="F593" s="1022"/>
      <c r="G593" s="846"/>
      <c r="H593" s="847"/>
      <c r="I593" s="846"/>
      <c r="J593" s="847"/>
      <c r="K593" s="846"/>
      <c r="L593" s="847"/>
      <c r="M593" s="846"/>
      <c r="N593" s="846"/>
      <c r="O593" s="737">
        <f t="shared" si="79"/>
        <v>0</v>
      </c>
      <c r="P593" s="847"/>
      <c r="Q593" s="847"/>
      <c r="R593" s="738">
        <f t="shared" si="82"/>
        <v>0</v>
      </c>
      <c r="S593" s="737">
        <f t="shared" si="83"/>
        <v>0</v>
      </c>
      <c r="T593" s="739">
        <f t="shared" si="84"/>
        <v>0</v>
      </c>
      <c r="U593" s="846"/>
      <c r="V593" s="847"/>
      <c r="W593" s="846"/>
      <c r="X593" s="846"/>
      <c r="Y593" s="740">
        <f t="shared" si="80"/>
        <v>0</v>
      </c>
      <c r="Z593" s="847"/>
      <c r="AA593" s="847"/>
      <c r="AB593" s="741">
        <f t="shared" si="81"/>
        <v>0</v>
      </c>
      <c r="AC593" s="846"/>
      <c r="AD593" s="847"/>
      <c r="AE593" s="846"/>
      <c r="AF593" s="846"/>
      <c r="AG593" s="847"/>
      <c r="AH593" s="847"/>
      <c r="AI593" s="742">
        <f t="shared" si="85"/>
        <v>0</v>
      </c>
      <c r="AJ593" s="743">
        <f t="shared" si="86"/>
        <v>0</v>
      </c>
    </row>
    <row r="594" spans="1:36">
      <c r="A594" s="1314" t="s">
        <v>148</v>
      </c>
      <c r="B594" s="1018" t="s">
        <v>284</v>
      </c>
      <c r="C594" s="1322" t="s">
        <v>566</v>
      </c>
      <c r="D594" s="1321"/>
      <c r="E594" s="1021"/>
      <c r="F594" s="1022"/>
      <c r="G594" s="846"/>
      <c r="H594" s="847"/>
      <c r="I594" s="846"/>
      <c r="J594" s="847"/>
      <c r="K594" s="846"/>
      <c r="L594" s="847"/>
      <c r="M594" s="846"/>
      <c r="N594" s="846"/>
      <c r="O594" s="737">
        <f t="shared" si="79"/>
        <v>0</v>
      </c>
      <c r="P594" s="847"/>
      <c r="Q594" s="847"/>
      <c r="R594" s="738">
        <f t="shared" si="82"/>
        <v>0</v>
      </c>
      <c r="S594" s="737">
        <f t="shared" si="83"/>
        <v>0</v>
      </c>
      <c r="T594" s="739">
        <f t="shared" si="84"/>
        <v>0</v>
      </c>
      <c r="U594" s="846">
        <v>193550</v>
      </c>
      <c r="V594" s="847">
        <v>167300</v>
      </c>
      <c r="W594" s="846"/>
      <c r="X594" s="846"/>
      <c r="Y594" s="740">
        <f t="shared" si="80"/>
        <v>0</v>
      </c>
      <c r="Z594" s="847"/>
      <c r="AA594" s="847"/>
      <c r="AB594" s="741">
        <f t="shared" si="81"/>
        <v>0</v>
      </c>
      <c r="AC594" s="846"/>
      <c r="AD594" s="847"/>
      <c r="AE594" s="846"/>
      <c r="AF594" s="846"/>
      <c r="AG594" s="847"/>
      <c r="AH594" s="847"/>
      <c r="AI594" s="742">
        <f t="shared" si="85"/>
        <v>193550</v>
      </c>
      <c r="AJ594" s="743">
        <f t="shared" si="86"/>
        <v>167300</v>
      </c>
    </row>
    <row r="595" spans="1:36">
      <c r="A595" s="1314" t="s">
        <v>148</v>
      </c>
      <c r="B595" s="1018" t="s">
        <v>285</v>
      </c>
      <c r="C595" s="1320" t="s">
        <v>1570</v>
      </c>
      <c r="D595" s="1321"/>
      <c r="E595" s="1021"/>
      <c r="F595" s="1022"/>
      <c r="G595" s="846"/>
      <c r="H595" s="847"/>
      <c r="I595" s="846"/>
      <c r="J595" s="847"/>
      <c r="K595" s="846"/>
      <c r="L595" s="847"/>
      <c r="M595" s="846"/>
      <c r="N595" s="846"/>
      <c r="O595" s="737">
        <f t="shared" si="79"/>
        <v>0</v>
      </c>
      <c r="P595" s="847"/>
      <c r="Q595" s="847"/>
      <c r="R595" s="738">
        <f t="shared" si="82"/>
        <v>0</v>
      </c>
      <c r="S595" s="737">
        <f t="shared" si="83"/>
        <v>0</v>
      </c>
      <c r="T595" s="739">
        <f t="shared" si="84"/>
        <v>0</v>
      </c>
      <c r="U595" s="846"/>
      <c r="V595" s="847"/>
      <c r="W595" s="846"/>
      <c r="X595" s="846"/>
      <c r="Y595" s="740">
        <f t="shared" si="80"/>
        <v>0</v>
      </c>
      <c r="Z595" s="847"/>
      <c r="AA595" s="847"/>
      <c r="AB595" s="741">
        <f t="shared" si="81"/>
        <v>0</v>
      </c>
      <c r="AC595" s="846"/>
      <c r="AD595" s="847"/>
      <c r="AE595" s="846"/>
      <c r="AF595" s="846"/>
      <c r="AG595" s="847"/>
      <c r="AH595" s="847"/>
      <c r="AI595" s="742">
        <f t="shared" si="85"/>
        <v>0</v>
      </c>
      <c r="AJ595" s="743">
        <f t="shared" si="86"/>
        <v>0</v>
      </c>
    </row>
    <row r="596" spans="1:36">
      <c r="A596" s="1314" t="s">
        <v>148</v>
      </c>
      <c r="B596" s="1018" t="s">
        <v>286</v>
      </c>
      <c r="C596" s="1318" t="s">
        <v>300</v>
      </c>
      <c r="D596" s="1306"/>
      <c r="E596" s="1021"/>
      <c r="F596" s="1022"/>
      <c r="G596" s="846"/>
      <c r="H596" s="847"/>
      <c r="I596" s="846"/>
      <c r="J596" s="847"/>
      <c r="K596" s="846"/>
      <c r="L596" s="847"/>
      <c r="M596" s="846"/>
      <c r="N596" s="846"/>
      <c r="O596" s="737">
        <f t="shared" si="79"/>
        <v>0</v>
      </c>
      <c r="P596" s="847"/>
      <c r="Q596" s="847"/>
      <c r="R596" s="738">
        <f t="shared" si="82"/>
        <v>0</v>
      </c>
      <c r="S596" s="737">
        <f t="shared" si="83"/>
        <v>0</v>
      </c>
      <c r="T596" s="739">
        <f t="shared" si="84"/>
        <v>0</v>
      </c>
      <c r="U596" s="846"/>
      <c r="V596" s="847"/>
      <c r="W596" s="846"/>
      <c r="X596" s="846"/>
      <c r="Y596" s="740">
        <f t="shared" si="80"/>
        <v>0</v>
      </c>
      <c r="Z596" s="847"/>
      <c r="AA596" s="847"/>
      <c r="AB596" s="741">
        <f t="shared" si="81"/>
        <v>0</v>
      </c>
      <c r="AC596" s="846"/>
      <c r="AD596" s="847"/>
      <c r="AE596" s="846"/>
      <c r="AF596" s="846"/>
      <c r="AG596" s="847"/>
      <c r="AH596" s="847"/>
      <c r="AI596" s="742">
        <f t="shared" si="85"/>
        <v>0</v>
      </c>
      <c r="AJ596" s="743">
        <f t="shared" si="86"/>
        <v>0</v>
      </c>
    </row>
    <row r="597" spans="1:36">
      <c r="A597" s="1314" t="s">
        <v>148</v>
      </c>
      <c r="B597" s="1018" t="s">
        <v>287</v>
      </c>
      <c r="C597" s="1318" t="s">
        <v>188</v>
      </c>
      <c r="D597" s="1306"/>
      <c r="E597" s="1021"/>
      <c r="F597" s="1022"/>
      <c r="G597" s="846"/>
      <c r="H597" s="847"/>
      <c r="I597" s="846"/>
      <c r="J597" s="847"/>
      <c r="K597" s="846"/>
      <c r="L597" s="847"/>
      <c r="M597" s="846"/>
      <c r="N597" s="846"/>
      <c r="O597" s="737">
        <f t="shared" si="79"/>
        <v>0</v>
      </c>
      <c r="P597" s="847"/>
      <c r="Q597" s="847"/>
      <c r="R597" s="738">
        <f t="shared" si="82"/>
        <v>0</v>
      </c>
      <c r="S597" s="737">
        <f t="shared" si="83"/>
        <v>0</v>
      </c>
      <c r="T597" s="739">
        <f t="shared" si="84"/>
        <v>0</v>
      </c>
      <c r="U597" s="846"/>
      <c r="V597" s="847"/>
      <c r="W597" s="846"/>
      <c r="X597" s="846"/>
      <c r="Y597" s="740">
        <f t="shared" si="80"/>
        <v>0</v>
      </c>
      <c r="Z597" s="847"/>
      <c r="AA597" s="847"/>
      <c r="AB597" s="741">
        <f t="shared" si="81"/>
        <v>0</v>
      </c>
      <c r="AC597" s="846"/>
      <c r="AD597" s="847"/>
      <c r="AE597" s="846"/>
      <c r="AF597" s="846"/>
      <c r="AG597" s="847"/>
      <c r="AH597" s="847"/>
      <c r="AI597" s="742">
        <f t="shared" si="85"/>
        <v>0</v>
      </c>
      <c r="AJ597" s="743">
        <f t="shared" si="86"/>
        <v>0</v>
      </c>
    </row>
    <row r="598" spans="1:36">
      <c r="A598" s="1314" t="s">
        <v>148</v>
      </c>
      <c r="B598" s="1018" t="s">
        <v>288</v>
      </c>
      <c r="C598" s="1320" t="s">
        <v>511</v>
      </c>
      <c r="D598" s="1321"/>
      <c r="E598" s="1021"/>
      <c r="F598" s="1022"/>
      <c r="G598" s="846"/>
      <c r="H598" s="847"/>
      <c r="I598" s="846"/>
      <c r="J598" s="847"/>
      <c r="K598" s="846"/>
      <c r="L598" s="847"/>
      <c r="M598" s="846"/>
      <c r="N598" s="846"/>
      <c r="O598" s="737">
        <f t="shared" si="79"/>
        <v>0</v>
      </c>
      <c r="P598" s="847"/>
      <c r="Q598" s="847"/>
      <c r="R598" s="738">
        <f t="shared" si="82"/>
        <v>0</v>
      </c>
      <c r="S598" s="737">
        <f t="shared" si="83"/>
        <v>0</v>
      </c>
      <c r="T598" s="739">
        <f t="shared" si="84"/>
        <v>0</v>
      </c>
      <c r="U598" s="846"/>
      <c r="V598" s="847"/>
      <c r="W598" s="846"/>
      <c r="X598" s="846"/>
      <c r="Y598" s="740">
        <f t="shared" si="80"/>
        <v>0</v>
      </c>
      <c r="Z598" s="847"/>
      <c r="AA598" s="847"/>
      <c r="AB598" s="741">
        <f t="shared" si="81"/>
        <v>0</v>
      </c>
      <c r="AC598" s="846"/>
      <c r="AD598" s="847"/>
      <c r="AE598" s="846"/>
      <c r="AF598" s="846"/>
      <c r="AG598" s="847"/>
      <c r="AH598" s="847"/>
      <c r="AI598" s="742">
        <f t="shared" si="85"/>
        <v>0</v>
      </c>
      <c r="AJ598" s="743">
        <f t="shared" si="86"/>
        <v>0</v>
      </c>
    </row>
    <row r="599" spans="1:36">
      <c r="A599" s="1314" t="s">
        <v>148</v>
      </c>
      <c r="B599" s="1018" t="s">
        <v>288</v>
      </c>
      <c r="C599" s="1019" t="s">
        <v>1571</v>
      </c>
      <c r="D599" s="1020"/>
      <c r="E599" s="1021"/>
      <c r="F599" s="1022"/>
      <c r="G599" s="846"/>
      <c r="H599" s="847"/>
      <c r="I599" s="846"/>
      <c r="J599" s="847"/>
      <c r="K599" s="846"/>
      <c r="L599" s="847"/>
      <c r="M599" s="846"/>
      <c r="N599" s="846"/>
      <c r="O599" s="737">
        <f t="shared" si="79"/>
        <v>0</v>
      </c>
      <c r="P599" s="847"/>
      <c r="Q599" s="847"/>
      <c r="R599" s="738">
        <f t="shared" si="82"/>
        <v>0</v>
      </c>
      <c r="S599" s="737">
        <f t="shared" si="83"/>
        <v>0</v>
      </c>
      <c r="T599" s="739">
        <f t="shared" si="84"/>
        <v>0</v>
      </c>
      <c r="U599" s="846">
        <v>2130000</v>
      </c>
      <c r="V599" s="847">
        <v>2130000</v>
      </c>
      <c r="W599" s="846"/>
      <c r="X599" s="846"/>
      <c r="Y599" s="740">
        <f t="shared" si="80"/>
        <v>0</v>
      </c>
      <c r="Z599" s="847"/>
      <c r="AA599" s="847"/>
      <c r="AB599" s="741">
        <f t="shared" si="81"/>
        <v>0</v>
      </c>
      <c r="AC599" s="846"/>
      <c r="AD599" s="847"/>
      <c r="AE599" s="846"/>
      <c r="AF599" s="846"/>
      <c r="AG599" s="847"/>
      <c r="AH599" s="847"/>
      <c r="AI599" s="742">
        <f t="shared" si="85"/>
        <v>2130000</v>
      </c>
      <c r="AJ599" s="743">
        <f t="shared" si="86"/>
        <v>2130000</v>
      </c>
    </row>
    <row r="600" spans="1:36">
      <c r="A600" s="1314" t="s">
        <v>148</v>
      </c>
      <c r="B600" s="1018" t="s">
        <v>289</v>
      </c>
      <c r="C600" s="1320" t="s">
        <v>515</v>
      </c>
      <c r="D600" s="1321"/>
      <c r="E600" s="1021"/>
      <c r="F600" s="1022"/>
      <c r="G600" s="846"/>
      <c r="H600" s="847"/>
      <c r="I600" s="846"/>
      <c r="J600" s="847"/>
      <c r="K600" s="846"/>
      <c r="L600" s="847"/>
      <c r="M600" s="846"/>
      <c r="N600" s="846"/>
      <c r="O600" s="737">
        <f t="shared" si="79"/>
        <v>0</v>
      </c>
      <c r="P600" s="847"/>
      <c r="Q600" s="847"/>
      <c r="R600" s="738">
        <f t="shared" si="82"/>
        <v>0</v>
      </c>
      <c r="S600" s="737">
        <f t="shared" si="83"/>
        <v>0</v>
      </c>
      <c r="T600" s="739">
        <f t="shared" si="84"/>
        <v>0</v>
      </c>
      <c r="U600" s="846"/>
      <c r="V600" s="847"/>
      <c r="W600" s="846"/>
      <c r="X600" s="846"/>
      <c r="Y600" s="740">
        <f t="shared" si="80"/>
        <v>0</v>
      </c>
      <c r="Z600" s="847"/>
      <c r="AA600" s="847"/>
      <c r="AB600" s="741">
        <f t="shared" si="81"/>
        <v>0</v>
      </c>
      <c r="AC600" s="846"/>
      <c r="AD600" s="847"/>
      <c r="AE600" s="846"/>
      <c r="AF600" s="846"/>
      <c r="AG600" s="847"/>
      <c r="AH600" s="847"/>
      <c r="AI600" s="742">
        <f t="shared" si="85"/>
        <v>0</v>
      </c>
      <c r="AJ600" s="743">
        <f t="shared" si="86"/>
        <v>0</v>
      </c>
    </row>
    <row r="601" spans="1:36" ht="25.5">
      <c r="A601" s="1314" t="s">
        <v>148</v>
      </c>
      <c r="B601" s="1018" t="s">
        <v>289</v>
      </c>
      <c r="C601" s="1323" t="s">
        <v>1572</v>
      </c>
      <c r="D601" s="1324"/>
      <c r="E601" s="1021"/>
      <c r="F601" s="1022"/>
      <c r="G601" s="846"/>
      <c r="H601" s="847"/>
      <c r="I601" s="846"/>
      <c r="J601" s="847"/>
      <c r="K601" s="846"/>
      <c r="L601" s="847"/>
      <c r="M601" s="846"/>
      <c r="N601" s="846"/>
      <c r="O601" s="737">
        <f t="shared" si="79"/>
        <v>0</v>
      </c>
      <c r="P601" s="847"/>
      <c r="Q601" s="847"/>
      <c r="R601" s="738">
        <f t="shared" si="82"/>
        <v>0</v>
      </c>
      <c r="S601" s="737">
        <f t="shared" si="83"/>
        <v>0</v>
      </c>
      <c r="T601" s="739">
        <f t="shared" si="84"/>
        <v>0</v>
      </c>
      <c r="U601" s="846">
        <v>292600</v>
      </c>
      <c r="V601" s="847">
        <v>277000</v>
      </c>
      <c r="W601" s="846"/>
      <c r="X601" s="846"/>
      <c r="Y601" s="740">
        <f t="shared" si="80"/>
        <v>0</v>
      </c>
      <c r="Z601" s="847"/>
      <c r="AA601" s="847"/>
      <c r="AB601" s="741">
        <f t="shared" si="81"/>
        <v>0</v>
      </c>
      <c r="AC601" s="846"/>
      <c r="AD601" s="847"/>
      <c r="AE601" s="846"/>
      <c r="AF601" s="846"/>
      <c r="AG601" s="847"/>
      <c r="AH601" s="847"/>
      <c r="AI601" s="742">
        <f t="shared" si="85"/>
        <v>292600</v>
      </c>
      <c r="AJ601" s="743">
        <f t="shared" si="86"/>
        <v>277000</v>
      </c>
    </row>
    <row r="602" spans="1:36">
      <c r="A602" s="991" t="s">
        <v>148</v>
      </c>
      <c r="B602" s="1018" t="s">
        <v>289</v>
      </c>
      <c r="C602" s="1019" t="s">
        <v>1573</v>
      </c>
      <c r="D602" s="1020"/>
      <c r="E602" s="1021"/>
      <c r="F602" s="1022"/>
      <c r="G602" s="846"/>
      <c r="H602" s="847"/>
      <c r="I602" s="846"/>
      <c r="J602" s="847"/>
      <c r="K602" s="846"/>
      <c r="L602" s="847"/>
      <c r="M602" s="846"/>
      <c r="N602" s="846"/>
      <c r="O602" s="737">
        <f t="shared" si="79"/>
        <v>0</v>
      </c>
      <c r="P602" s="847"/>
      <c r="Q602" s="847"/>
      <c r="R602" s="738">
        <f t="shared" si="82"/>
        <v>0</v>
      </c>
      <c r="S602" s="737">
        <f t="shared" si="83"/>
        <v>0</v>
      </c>
      <c r="T602" s="739">
        <f t="shared" si="84"/>
        <v>0</v>
      </c>
      <c r="U602" s="846">
        <v>515500</v>
      </c>
      <c r="V602" s="847">
        <v>515500</v>
      </c>
      <c r="W602" s="846"/>
      <c r="X602" s="846"/>
      <c r="Y602" s="740">
        <f t="shared" si="80"/>
        <v>0</v>
      </c>
      <c r="Z602" s="847"/>
      <c r="AA602" s="847"/>
      <c r="AB602" s="741">
        <f t="shared" si="81"/>
        <v>0</v>
      </c>
      <c r="AC602" s="846"/>
      <c r="AD602" s="847"/>
      <c r="AE602" s="846"/>
      <c r="AF602" s="846"/>
      <c r="AG602" s="847"/>
      <c r="AH602" s="847"/>
      <c r="AI602" s="742">
        <f t="shared" si="85"/>
        <v>515500</v>
      </c>
      <c r="AJ602" s="743">
        <f t="shared" si="86"/>
        <v>515500</v>
      </c>
    </row>
    <row r="603" spans="1:36">
      <c r="A603" s="1314" t="s">
        <v>148</v>
      </c>
      <c r="B603" s="1018" t="s">
        <v>290</v>
      </c>
      <c r="C603" s="1320" t="s">
        <v>137</v>
      </c>
      <c r="D603" s="1321"/>
      <c r="E603" s="1021"/>
      <c r="F603" s="1022"/>
      <c r="G603" s="846"/>
      <c r="H603" s="847"/>
      <c r="I603" s="846"/>
      <c r="J603" s="847"/>
      <c r="K603" s="846"/>
      <c r="L603" s="847"/>
      <c r="M603" s="846"/>
      <c r="N603" s="846"/>
      <c r="O603" s="737">
        <f t="shared" si="79"/>
        <v>0</v>
      </c>
      <c r="P603" s="847"/>
      <c r="Q603" s="847"/>
      <c r="R603" s="738">
        <f t="shared" si="82"/>
        <v>0</v>
      </c>
      <c r="S603" s="737">
        <f t="shared" si="83"/>
        <v>0</v>
      </c>
      <c r="T603" s="739">
        <f t="shared" si="84"/>
        <v>0</v>
      </c>
      <c r="U603" s="846"/>
      <c r="V603" s="847"/>
      <c r="W603" s="846"/>
      <c r="X603" s="846"/>
      <c r="Y603" s="740">
        <f t="shared" si="80"/>
        <v>0</v>
      </c>
      <c r="Z603" s="847"/>
      <c r="AA603" s="847"/>
      <c r="AB603" s="741">
        <f t="shared" si="81"/>
        <v>0</v>
      </c>
      <c r="AC603" s="846"/>
      <c r="AD603" s="847"/>
      <c r="AE603" s="846"/>
      <c r="AF603" s="846"/>
      <c r="AG603" s="847"/>
      <c r="AH603" s="847"/>
      <c r="AI603" s="742">
        <f t="shared" si="85"/>
        <v>0</v>
      </c>
      <c r="AJ603" s="743">
        <f t="shared" si="86"/>
        <v>0</v>
      </c>
    </row>
    <row r="604" spans="1:36">
      <c r="A604" s="1314" t="s">
        <v>148</v>
      </c>
      <c r="B604" s="1018" t="s">
        <v>291</v>
      </c>
      <c r="C604" s="1318" t="s">
        <v>259</v>
      </c>
      <c r="D604" s="1306"/>
      <c r="E604" s="1021"/>
      <c r="F604" s="1022"/>
      <c r="G604" s="846"/>
      <c r="H604" s="847"/>
      <c r="I604" s="846"/>
      <c r="J604" s="847"/>
      <c r="K604" s="846"/>
      <c r="L604" s="847"/>
      <c r="M604" s="846"/>
      <c r="N604" s="846"/>
      <c r="O604" s="737">
        <f t="shared" si="79"/>
        <v>0</v>
      </c>
      <c r="P604" s="847"/>
      <c r="Q604" s="847"/>
      <c r="R604" s="738">
        <f t="shared" si="82"/>
        <v>0</v>
      </c>
      <c r="S604" s="737">
        <f t="shared" si="83"/>
        <v>0</v>
      </c>
      <c r="T604" s="739">
        <f t="shared" si="84"/>
        <v>0</v>
      </c>
      <c r="U604" s="846"/>
      <c r="V604" s="847"/>
      <c r="W604" s="846"/>
      <c r="X604" s="846"/>
      <c r="Y604" s="740">
        <f t="shared" si="80"/>
        <v>0</v>
      </c>
      <c r="Z604" s="847"/>
      <c r="AA604" s="847"/>
      <c r="AB604" s="741">
        <f t="shared" si="81"/>
        <v>0</v>
      </c>
      <c r="AC604" s="846"/>
      <c r="AD604" s="847"/>
      <c r="AE604" s="846"/>
      <c r="AF604" s="846"/>
      <c r="AG604" s="847"/>
      <c r="AH604" s="847"/>
      <c r="AI604" s="742">
        <f t="shared" si="85"/>
        <v>0</v>
      </c>
      <c r="AJ604" s="743">
        <f t="shared" si="86"/>
        <v>0</v>
      </c>
    </row>
    <row r="605" spans="1:36">
      <c r="A605" s="1314" t="s">
        <v>148</v>
      </c>
      <c r="B605" s="1018" t="s">
        <v>292</v>
      </c>
      <c r="C605" s="1325" t="s">
        <v>34</v>
      </c>
      <c r="D605" s="1326"/>
      <c r="E605" s="1021"/>
      <c r="F605" s="1022"/>
      <c r="G605" s="846"/>
      <c r="H605" s="847"/>
      <c r="I605" s="846"/>
      <c r="J605" s="847"/>
      <c r="K605" s="846"/>
      <c r="L605" s="847"/>
      <c r="M605" s="846"/>
      <c r="N605" s="846"/>
      <c r="O605" s="737">
        <f t="shared" si="79"/>
        <v>0</v>
      </c>
      <c r="P605" s="847"/>
      <c r="Q605" s="847"/>
      <c r="R605" s="738">
        <f t="shared" si="82"/>
        <v>0</v>
      </c>
      <c r="S605" s="737">
        <f t="shared" si="83"/>
        <v>0</v>
      </c>
      <c r="T605" s="739">
        <f t="shared" si="84"/>
        <v>0</v>
      </c>
      <c r="U605" s="846"/>
      <c r="V605" s="847"/>
      <c r="W605" s="846"/>
      <c r="X605" s="846"/>
      <c r="Y605" s="740">
        <f t="shared" si="80"/>
        <v>0</v>
      </c>
      <c r="Z605" s="847"/>
      <c r="AA605" s="847"/>
      <c r="AB605" s="741">
        <f t="shared" si="81"/>
        <v>0</v>
      </c>
      <c r="AC605" s="846"/>
      <c r="AD605" s="847"/>
      <c r="AE605" s="846"/>
      <c r="AF605" s="846"/>
      <c r="AG605" s="847"/>
      <c r="AH605" s="847"/>
      <c r="AI605" s="742">
        <f t="shared" si="85"/>
        <v>0</v>
      </c>
      <c r="AJ605" s="743">
        <f t="shared" si="86"/>
        <v>0</v>
      </c>
    </row>
    <row r="606" spans="1:36">
      <c r="A606" s="1314" t="s">
        <v>148</v>
      </c>
      <c r="B606" s="1018" t="s">
        <v>292</v>
      </c>
      <c r="C606" s="1327" t="s">
        <v>1574</v>
      </c>
      <c r="D606" s="1020"/>
      <c r="E606" s="1021"/>
      <c r="F606" s="1022"/>
      <c r="G606" s="846"/>
      <c r="H606" s="847"/>
      <c r="I606" s="846"/>
      <c r="J606" s="847"/>
      <c r="K606" s="846"/>
      <c r="L606" s="847"/>
      <c r="M606" s="846"/>
      <c r="N606" s="846"/>
      <c r="O606" s="737">
        <f t="shared" si="79"/>
        <v>0</v>
      </c>
      <c r="P606" s="847"/>
      <c r="Q606" s="847"/>
      <c r="R606" s="738">
        <f t="shared" si="82"/>
        <v>0</v>
      </c>
      <c r="S606" s="737">
        <f t="shared" si="83"/>
        <v>0</v>
      </c>
      <c r="T606" s="739">
        <f t="shared" si="84"/>
        <v>0</v>
      </c>
      <c r="U606" s="846">
        <v>1280164</v>
      </c>
      <c r="V606" s="847">
        <v>1985550</v>
      </c>
      <c r="W606" s="846"/>
      <c r="X606" s="846"/>
      <c r="Y606" s="740">
        <f t="shared" si="80"/>
        <v>0</v>
      </c>
      <c r="Z606" s="847"/>
      <c r="AA606" s="847"/>
      <c r="AB606" s="741">
        <f t="shared" si="81"/>
        <v>0</v>
      </c>
      <c r="AC606" s="846"/>
      <c r="AD606" s="847"/>
      <c r="AE606" s="846"/>
      <c r="AF606" s="846"/>
      <c r="AG606" s="847"/>
      <c r="AH606" s="847"/>
      <c r="AI606" s="742">
        <f t="shared" si="85"/>
        <v>1280164</v>
      </c>
      <c r="AJ606" s="743">
        <f t="shared" si="86"/>
        <v>1985550</v>
      </c>
    </row>
    <row r="607" spans="1:36">
      <c r="A607" s="1314" t="s">
        <v>148</v>
      </c>
      <c r="B607" s="1018" t="s">
        <v>209</v>
      </c>
      <c r="C607" s="1322" t="s">
        <v>250</v>
      </c>
      <c r="D607" s="1321"/>
      <c r="E607" s="1021"/>
      <c r="F607" s="1022"/>
      <c r="G607" s="846"/>
      <c r="H607" s="847"/>
      <c r="I607" s="846"/>
      <c r="J607" s="847"/>
      <c r="K607" s="846"/>
      <c r="L607" s="847"/>
      <c r="M607" s="846"/>
      <c r="N607" s="846"/>
      <c r="O607" s="737">
        <f t="shared" si="79"/>
        <v>0</v>
      </c>
      <c r="P607" s="847"/>
      <c r="Q607" s="847"/>
      <c r="R607" s="738">
        <f t="shared" si="82"/>
        <v>0</v>
      </c>
      <c r="S607" s="737">
        <f t="shared" si="83"/>
        <v>0</v>
      </c>
      <c r="T607" s="739">
        <f t="shared" si="84"/>
        <v>0</v>
      </c>
      <c r="U607" s="846"/>
      <c r="V607" s="847"/>
      <c r="W607" s="846"/>
      <c r="X607" s="846"/>
      <c r="Y607" s="740">
        <f t="shared" si="80"/>
        <v>0</v>
      </c>
      <c r="Z607" s="847"/>
      <c r="AA607" s="847"/>
      <c r="AB607" s="741">
        <f t="shared" si="81"/>
        <v>0</v>
      </c>
      <c r="AC607" s="846"/>
      <c r="AD607" s="847"/>
      <c r="AE607" s="846"/>
      <c r="AF607" s="846"/>
      <c r="AG607" s="847"/>
      <c r="AH607" s="847"/>
      <c r="AI607" s="742">
        <f t="shared" si="85"/>
        <v>0</v>
      </c>
      <c r="AJ607" s="743">
        <f t="shared" si="86"/>
        <v>0</v>
      </c>
    </row>
    <row r="608" spans="1:36">
      <c r="A608" s="1314" t="s">
        <v>148</v>
      </c>
      <c r="B608" s="1018" t="s">
        <v>210</v>
      </c>
      <c r="C608" s="1322" t="s">
        <v>311</v>
      </c>
      <c r="D608" s="1321"/>
      <c r="E608" s="1021"/>
      <c r="F608" s="1022"/>
      <c r="G608" s="846"/>
      <c r="H608" s="847"/>
      <c r="I608" s="846"/>
      <c r="J608" s="847"/>
      <c r="K608" s="846"/>
      <c r="L608" s="847"/>
      <c r="M608" s="846"/>
      <c r="N608" s="846"/>
      <c r="O608" s="737">
        <f t="shared" si="79"/>
        <v>0</v>
      </c>
      <c r="P608" s="847"/>
      <c r="Q608" s="847"/>
      <c r="R608" s="738">
        <f t="shared" si="82"/>
        <v>0</v>
      </c>
      <c r="S608" s="737">
        <f t="shared" si="83"/>
        <v>0</v>
      </c>
      <c r="T608" s="739">
        <f t="shared" si="84"/>
        <v>0</v>
      </c>
      <c r="U608" s="846"/>
      <c r="V608" s="847"/>
      <c r="W608" s="846"/>
      <c r="X608" s="846"/>
      <c r="Y608" s="740">
        <f t="shared" si="80"/>
        <v>0</v>
      </c>
      <c r="Z608" s="847"/>
      <c r="AA608" s="847"/>
      <c r="AB608" s="741">
        <f t="shared" si="81"/>
        <v>0</v>
      </c>
      <c r="AC608" s="846"/>
      <c r="AD608" s="847"/>
      <c r="AE608" s="846"/>
      <c r="AF608" s="846"/>
      <c r="AG608" s="847"/>
      <c r="AH608" s="847"/>
      <c r="AI608" s="742">
        <f t="shared" si="85"/>
        <v>0</v>
      </c>
      <c r="AJ608" s="743">
        <f t="shared" si="86"/>
        <v>0</v>
      </c>
    </row>
    <row r="609" spans="1:36">
      <c r="A609" s="1314" t="s">
        <v>148</v>
      </c>
      <c r="B609" s="1018" t="s">
        <v>204</v>
      </c>
      <c r="C609" s="1322" t="s">
        <v>249</v>
      </c>
      <c r="D609" s="1321"/>
      <c r="E609" s="1021"/>
      <c r="F609" s="1022"/>
      <c r="G609" s="846"/>
      <c r="H609" s="847"/>
      <c r="I609" s="846"/>
      <c r="J609" s="847"/>
      <c r="K609" s="846"/>
      <c r="L609" s="847"/>
      <c r="M609" s="846"/>
      <c r="N609" s="846"/>
      <c r="O609" s="737">
        <f t="shared" si="79"/>
        <v>0</v>
      </c>
      <c r="P609" s="847"/>
      <c r="Q609" s="847"/>
      <c r="R609" s="738">
        <f t="shared" si="82"/>
        <v>0</v>
      </c>
      <c r="S609" s="737">
        <f t="shared" si="83"/>
        <v>0</v>
      </c>
      <c r="T609" s="739">
        <f t="shared" si="84"/>
        <v>0</v>
      </c>
      <c r="U609" s="846"/>
      <c r="V609" s="847"/>
      <c r="W609" s="846"/>
      <c r="X609" s="846"/>
      <c r="Y609" s="740">
        <f t="shared" si="80"/>
        <v>0</v>
      </c>
      <c r="Z609" s="847"/>
      <c r="AA609" s="847"/>
      <c r="AB609" s="741">
        <f t="shared" si="81"/>
        <v>0</v>
      </c>
      <c r="AC609" s="846"/>
      <c r="AD609" s="847"/>
      <c r="AE609" s="846"/>
      <c r="AF609" s="846"/>
      <c r="AG609" s="847"/>
      <c r="AH609" s="847"/>
      <c r="AI609" s="742">
        <f t="shared" si="85"/>
        <v>0</v>
      </c>
      <c r="AJ609" s="743">
        <f t="shared" si="86"/>
        <v>0</v>
      </c>
    </row>
    <row r="610" spans="1:36">
      <c r="A610" s="1314" t="s">
        <v>148</v>
      </c>
      <c r="B610" s="1018" t="s">
        <v>205</v>
      </c>
      <c r="C610" s="1322" t="s">
        <v>222</v>
      </c>
      <c r="D610" s="1321"/>
      <c r="E610" s="1021"/>
      <c r="F610" s="1022"/>
      <c r="G610" s="846"/>
      <c r="H610" s="847"/>
      <c r="I610" s="846"/>
      <c r="J610" s="847"/>
      <c r="K610" s="846"/>
      <c r="L610" s="847"/>
      <c r="M610" s="846"/>
      <c r="N610" s="846"/>
      <c r="O610" s="737">
        <f t="shared" si="79"/>
        <v>0</v>
      </c>
      <c r="P610" s="847"/>
      <c r="Q610" s="847"/>
      <c r="R610" s="738">
        <f t="shared" si="82"/>
        <v>0</v>
      </c>
      <c r="S610" s="737">
        <f t="shared" si="83"/>
        <v>0</v>
      </c>
      <c r="T610" s="739">
        <f t="shared" si="84"/>
        <v>0</v>
      </c>
      <c r="U610" s="846"/>
      <c r="V610" s="847"/>
      <c r="W610" s="846"/>
      <c r="X610" s="846"/>
      <c r="Y610" s="740">
        <f t="shared" si="80"/>
        <v>0</v>
      </c>
      <c r="Z610" s="847"/>
      <c r="AA610" s="847"/>
      <c r="AB610" s="741">
        <f t="shared" si="81"/>
        <v>0</v>
      </c>
      <c r="AC610" s="846"/>
      <c r="AD610" s="847"/>
      <c r="AE610" s="846"/>
      <c r="AF610" s="846"/>
      <c r="AG610" s="847"/>
      <c r="AH610" s="847"/>
      <c r="AI610" s="742">
        <f t="shared" si="85"/>
        <v>0</v>
      </c>
      <c r="AJ610" s="743">
        <f t="shared" si="86"/>
        <v>0</v>
      </c>
    </row>
    <row r="611" spans="1:36">
      <c r="A611" s="1314" t="s">
        <v>148</v>
      </c>
      <c r="B611" s="1018" t="s">
        <v>218</v>
      </c>
      <c r="C611" s="1322" t="s">
        <v>311</v>
      </c>
      <c r="D611" s="1321"/>
      <c r="E611" s="1021"/>
      <c r="F611" s="1022"/>
      <c r="G611" s="846"/>
      <c r="H611" s="847"/>
      <c r="I611" s="846"/>
      <c r="J611" s="847"/>
      <c r="K611" s="846"/>
      <c r="L611" s="847"/>
      <c r="M611" s="846"/>
      <c r="N611" s="846"/>
      <c r="O611" s="737">
        <f t="shared" si="79"/>
        <v>0</v>
      </c>
      <c r="P611" s="847"/>
      <c r="Q611" s="847"/>
      <c r="R611" s="738">
        <f t="shared" si="82"/>
        <v>0</v>
      </c>
      <c r="S611" s="737">
        <f t="shared" si="83"/>
        <v>0</v>
      </c>
      <c r="T611" s="739">
        <f t="shared" si="84"/>
        <v>0</v>
      </c>
      <c r="U611" s="846"/>
      <c r="V611" s="847"/>
      <c r="W611" s="846"/>
      <c r="X611" s="846"/>
      <c r="Y611" s="740">
        <f t="shared" si="80"/>
        <v>0</v>
      </c>
      <c r="Z611" s="847"/>
      <c r="AA611" s="847"/>
      <c r="AB611" s="741">
        <f t="shared" si="81"/>
        <v>0</v>
      </c>
      <c r="AC611" s="846"/>
      <c r="AD611" s="847"/>
      <c r="AE611" s="846"/>
      <c r="AF611" s="846"/>
      <c r="AG611" s="847"/>
      <c r="AH611" s="847"/>
      <c r="AI611" s="742">
        <f t="shared" si="85"/>
        <v>0</v>
      </c>
      <c r="AJ611" s="743">
        <f t="shared" si="86"/>
        <v>0</v>
      </c>
    </row>
    <row r="612" spans="1:36">
      <c r="A612" s="1314" t="s">
        <v>148</v>
      </c>
      <c r="B612" s="1018" t="s">
        <v>219</v>
      </c>
      <c r="C612" s="1322" t="s">
        <v>249</v>
      </c>
      <c r="D612" s="1321"/>
      <c r="E612" s="1021"/>
      <c r="F612" s="1022"/>
      <c r="G612" s="846"/>
      <c r="H612" s="847"/>
      <c r="I612" s="846"/>
      <c r="J612" s="847"/>
      <c r="K612" s="846"/>
      <c r="L612" s="847"/>
      <c r="M612" s="846"/>
      <c r="N612" s="846"/>
      <c r="O612" s="737">
        <f t="shared" si="79"/>
        <v>0</v>
      </c>
      <c r="P612" s="847"/>
      <c r="Q612" s="847"/>
      <c r="R612" s="738">
        <f t="shared" si="82"/>
        <v>0</v>
      </c>
      <c r="S612" s="737">
        <f t="shared" si="83"/>
        <v>0</v>
      </c>
      <c r="T612" s="739">
        <f t="shared" si="84"/>
        <v>0</v>
      </c>
      <c r="U612" s="846"/>
      <c r="V612" s="847"/>
      <c r="W612" s="846"/>
      <c r="X612" s="846"/>
      <c r="Y612" s="740">
        <f t="shared" si="80"/>
        <v>0</v>
      </c>
      <c r="Z612" s="847"/>
      <c r="AA612" s="847"/>
      <c r="AB612" s="741">
        <f t="shared" si="81"/>
        <v>0</v>
      </c>
      <c r="AC612" s="846"/>
      <c r="AD612" s="847"/>
      <c r="AE612" s="846"/>
      <c r="AF612" s="846"/>
      <c r="AG612" s="847"/>
      <c r="AH612" s="847"/>
      <c r="AI612" s="742">
        <f t="shared" si="85"/>
        <v>0</v>
      </c>
      <c r="AJ612" s="743">
        <f t="shared" si="86"/>
        <v>0</v>
      </c>
    </row>
    <row r="613" spans="1:36">
      <c r="A613" s="1314" t="s">
        <v>148</v>
      </c>
      <c r="B613" s="1018" t="s">
        <v>292</v>
      </c>
      <c r="C613" s="1327" t="s">
        <v>1575</v>
      </c>
      <c r="D613" s="1020"/>
      <c r="E613" s="1021"/>
      <c r="F613" s="1022"/>
      <c r="G613" s="846"/>
      <c r="H613" s="847"/>
      <c r="I613" s="846"/>
      <c r="J613" s="847"/>
      <c r="K613" s="846"/>
      <c r="L613" s="847"/>
      <c r="M613" s="846"/>
      <c r="N613" s="846"/>
      <c r="O613" s="737">
        <f t="shared" si="79"/>
        <v>0</v>
      </c>
      <c r="P613" s="847"/>
      <c r="Q613" s="847"/>
      <c r="R613" s="738">
        <f t="shared" si="82"/>
        <v>0</v>
      </c>
      <c r="S613" s="737">
        <f t="shared" si="83"/>
        <v>0</v>
      </c>
      <c r="T613" s="739">
        <f t="shared" si="84"/>
        <v>0</v>
      </c>
      <c r="U613" s="846"/>
      <c r="V613" s="847"/>
      <c r="W613" s="846"/>
      <c r="X613" s="846"/>
      <c r="Y613" s="740">
        <f t="shared" si="80"/>
        <v>0</v>
      </c>
      <c r="Z613" s="847"/>
      <c r="AA613" s="847"/>
      <c r="AB613" s="741">
        <f t="shared" si="81"/>
        <v>0</v>
      </c>
      <c r="AC613" s="846"/>
      <c r="AD613" s="847"/>
      <c r="AE613" s="846"/>
      <c r="AF613" s="846"/>
      <c r="AG613" s="847"/>
      <c r="AH613" s="847"/>
      <c r="AI613" s="742">
        <f t="shared" si="85"/>
        <v>0</v>
      </c>
      <c r="AJ613" s="743">
        <f t="shared" si="86"/>
        <v>0</v>
      </c>
    </row>
    <row r="614" spans="1:36">
      <c r="A614" s="1314" t="s">
        <v>148</v>
      </c>
      <c r="B614" s="1018" t="s">
        <v>209</v>
      </c>
      <c r="C614" s="1322" t="s">
        <v>250</v>
      </c>
      <c r="D614" s="1321"/>
      <c r="E614" s="1021"/>
      <c r="F614" s="1022"/>
      <c r="G614" s="846"/>
      <c r="H614" s="847"/>
      <c r="I614" s="846"/>
      <c r="J614" s="847"/>
      <c r="K614" s="846"/>
      <c r="L614" s="847"/>
      <c r="M614" s="846"/>
      <c r="N614" s="846"/>
      <c r="O614" s="737">
        <f t="shared" si="79"/>
        <v>0</v>
      </c>
      <c r="P614" s="847"/>
      <c r="Q614" s="847"/>
      <c r="R614" s="738">
        <f t="shared" si="82"/>
        <v>0</v>
      </c>
      <c r="S614" s="737">
        <f t="shared" si="83"/>
        <v>0</v>
      </c>
      <c r="T614" s="739">
        <f t="shared" si="84"/>
        <v>0</v>
      </c>
      <c r="U614" s="846"/>
      <c r="V614" s="847"/>
      <c r="W614" s="846"/>
      <c r="X614" s="846"/>
      <c r="Y614" s="740">
        <f t="shared" si="80"/>
        <v>0</v>
      </c>
      <c r="Z614" s="847"/>
      <c r="AA614" s="847"/>
      <c r="AB614" s="741">
        <f t="shared" si="81"/>
        <v>0</v>
      </c>
      <c r="AC614" s="846"/>
      <c r="AD614" s="847"/>
      <c r="AE614" s="846"/>
      <c r="AF614" s="846"/>
      <c r="AG614" s="847"/>
      <c r="AH614" s="847"/>
      <c r="AI614" s="742">
        <f t="shared" si="85"/>
        <v>0</v>
      </c>
      <c r="AJ614" s="743">
        <f t="shared" si="86"/>
        <v>0</v>
      </c>
    </row>
    <row r="615" spans="1:36">
      <c r="A615" s="1314" t="s">
        <v>148</v>
      </c>
      <c r="B615" s="1018" t="s">
        <v>210</v>
      </c>
      <c r="C615" s="1322" t="s">
        <v>311</v>
      </c>
      <c r="D615" s="1321"/>
      <c r="E615" s="1021"/>
      <c r="F615" s="1022"/>
      <c r="G615" s="846"/>
      <c r="H615" s="847"/>
      <c r="I615" s="846"/>
      <c r="J615" s="847"/>
      <c r="K615" s="846"/>
      <c r="L615" s="847"/>
      <c r="M615" s="846"/>
      <c r="N615" s="846"/>
      <c r="O615" s="737">
        <f t="shared" si="79"/>
        <v>0</v>
      </c>
      <c r="P615" s="847"/>
      <c r="Q615" s="847"/>
      <c r="R615" s="738">
        <f t="shared" si="82"/>
        <v>0</v>
      </c>
      <c r="S615" s="737">
        <f t="shared" si="83"/>
        <v>0</v>
      </c>
      <c r="T615" s="739">
        <f t="shared" si="84"/>
        <v>0</v>
      </c>
      <c r="U615" s="846"/>
      <c r="V615" s="847"/>
      <c r="W615" s="846"/>
      <c r="X615" s="846"/>
      <c r="Y615" s="740">
        <f t="shared" si="80"/>
        <v>0</v>
      </c>
      <c r="Z615" s="847"/>
      <c r="AA615" s="847"/>
      <c r="AB615" s="741">
        <f t="shared" si="81"/>
        <v>0</v>
      </c>
      <c r="AC615" s="846"/>
      <c r="AD615" s="847"/>
      <c r="AE615" s="846"/>
      <c r="AF615" s="846"/>
      <c r="AG615" s="847"/>
      <c r="AH615" s="847"/>
      <c r="AI615" s="742">
        <f t="shared" si="85"/>
        <v>0</v>
      </c>
      <c r="AJ615" s="743">
        <f t="shared" si="86"/>
        <v>0</v>
      </c>
    </row>
    <row r="616" spans="1:36">
      <c r="A616" s="1314" t="s">
        <v>148</v>
      </c>
      <c r="B616" s="1018" t="s">
        <v>204</v>
      </c>
      <c r="C616" s="1322" t="s">
        <v>249</v>
      </c>
      <c r="D616" s="1321"/>
      <c r="E616" s="1021"/>
      <c r="F616" s="1022"/>
      <c r="G616" s="846"/>
      <c r="H616" s="847"/>
      <c r="I616" s="846"/>
      <c r="J616" s="847"/>
      <c r="K616" s="846"/>
      <c r="L616" s="847"/>
      <c r="M616" s="846"/>
      <c r="N616" s="846"/>
      <c r="O616" s="737">
        <f t="shared" si="79"/>
        <v>0</v>
      </c>
      <c r="P616" s="847"/>
      <c r="Q616" s="847"/>
      <c r="R616" s="738">
        <f t="shared" si="82"/>
        <v>0</v>
      </c>
      <c r="S616" s="737">
        <f t="shared" si="83"/>
        <v>0</v>
      </c>
      <c r="T616" s="739">
        <f t="shared" si="84"/>
        <v>0</v>
      </c>
      <c r="U616" s="846">
        <v>137498</v>
      </c>
      <c r="V616" s="847">
        <v>142500</v>
      </c>
      <c r="W616" s="846"/>
      <c r="X616" s="846"/>
      <c r="Y616" s="740">
        <f t="shared" si="80"/>
        <v>0</v>
      </c>
      <c r="Z616" s="847"/>
      <c r="AA616" s="847"/>
      <c r="AB616" s="741">
        <f t="shared" si="81"/>
        <v>0</v>
      </c>
      <c r="AC616" s="846"/>
      <c r="AD616" s="847"/>
      <c r="AE616" s="846"/>
      <c r="AF616" s="846"/>
      <c r="AG616" s="847"/>
      <c r="AH616" s="847"/>
      <c r="AI616" s="742">
        <f t="shared" si="85"/>
        <v>137498</v>
      </c>
      <c r="AJ616" s="743">
        <f t="shared" si="86"/>
        <v>142500</v>
      </c>
    </row>
    <row r="617" spans="1:36">
      <c r="A617" s="1314" t="s">
        <v>148</v>
      </c>
      <c r="B617" s="1018" t="s">
        <v>205</v>
      </c>
      <c r="C617" s="1322" t="s">
        <v>222</v>
      </c>
      <c r="D617" s="1321"/>
      <c r="E617" s="1021"/>
      <c r="F617" s="1022"/>
      <c r="G617" s="846"/>
      <c r="H617" s="847"/>
      <c r="I617" s="846"/>
      <c r="J617" s="847"/>
      <c r="K617" s="846"/>
      <c r="L617" s="847"/>
      <c r="M617" s="846"/>
      <c r="N617" s="846"/>
      <c r="O617" s="737">
        <f t="shared" si="79"/>
        <v>0</v>
      </c>
      <c r="P617" s="847"/>
      <c r="Q617" s="847"/>
      <c r="R617" s="738">
        <f t="shared" si="82"/>
        <v>0</v>
      </c>
      <c r="S617" s="737">
        <f t="shared" si="83"/>
        <v>0</v>
      </c>
      <c r="T617" s="739">
        <f t="shared" si="84"/>
        <v>0</v>
      </c>
      <c r="U617" s="846"/>
      <c r="V617" s="847"/>
      <c r="W617" s="846"/>
      <c r="X617" s="846"/>
      <c r="Y617" s="740">
        <f t="shared" si="80"/>
        <v>0</v>
      </c>
      <c r="Z617" s="847"/>
      <c r="AA617" s="847"/>
      <c r="AB617" s="741">
        <f t="shared" si="81"/>
        <v>0</v>
      </c>
      <c r="AC617" s="846"/>
      <c r="AD617" s="847"/>
      <c r="AE617" s="846"/>
      <c r="AF617" s="846"/>
      <c r="AG617" s="847"/>
      <c r="AH617" s="847"/>
      <c r="AI617" s="742">
        <f t="shared" si="85"/>
        <v>0</v>
      </c>
      <c r="AJ617" s="743">
        <f t="shared" si="86"/>
        <v>0</v>
      </c>
    </row>
    <row r="618" spans="1:36">
      <c r="A618" s="1314" t="s">
        <v>148</v>
      </c>
      <c r="B618" s="1018" t="s">
        <v>218</v>
      </c>
      <c r="C618" s="1322" t="s">
        <v>311</v>
      </c>
      <c r="D618" s="1321"/>
      <c r="E618" s="1021"/>
      <c r="F618" s="1022"/>
      <c r="G618" s="846"/>
      <c r="H618" s="847"/>
      <c r="I618" s="846"/>
      <c r="J618" s="847"/>
      <c r="K618" s="846"/>
      <c r="L618" s="847"/>
      <c r="M618" s="846"/>
      <c r="N618" s="846"/>
      <c r="O618" s="737">
        <f t="shared" si="79"/>
        <v>0</v>
      </c>
      <c r="P618" s="847"/>
      <c r="Q618" s="847"/>
      <c r="R618" s="738">
        <f t="shared" si="82"/>
        <v>0</v>
      </c>
      <c r="S618" s="737">
        <f t="shared" si="83"/>
        <v>0</v>
      </c>
      <c r="T618" s="739">
        <f t="shared" si="84"/>
        <v>0</v>
      </c>
      <c r="U618" s="846"/>
      <c r="V618" s="847"/>
      <c r="W618" s="846"/>
      <c r="X618" s="846"/>
      <c r="Y618" s="740">
        <f t="shared" si="80"/>
        <v>0</v>
      </c>
      <c r="Z618" s="847"/>
      <c r="AA618" s="847"/>
      <c r="AB618" s="741">
        <f t="shared" si="81"/>
        <v>0</v>
      </c>
      <c r="AC618" s="846"/>
      <c r="AD618" s="847"/>
      <c r="AE618" s="846"/>
      <c r="AF618" s="846"/>
      <c r="AG618" s="847"/>
      <c r="AH618" s="847"/>
      <c r="AI618" s="742">
        <f t="shared" si="85"/>
        <v>0</v>
      </c>
      <c r="AJ618" s="743">
        <f t="shared" si="86"/>
        <v>0</v>
      </c>
    </row>
    <row r="619" spans="1:36">
      <c r="A619" s="1314" t="s">
        <v>148</v>
      </c>
      <c r="B619" s="1018" t="s">
        <v>219</v>
      </c>
      <c r="C619" s="1322" t="s">
        <v>249</v>
      </c>
      <c r="D619" s="1321"/>
      <c r="E619" s="1021"/>
      <c r="F619" s="1022"/>
      <c r="G619" s="846"/>
      <c r="H619" s="847"/>
      <c r="I619" s="846"/>
      <c r="J619" s="847"/>
      <c r="K619" s="846"/>
      <c r="L619" s="847"/>
      <c r="M619" s="846"/>
      <c r="N619" s="846"/>
      <c r="O619" s="737">
        <f t="shared" si="79"/>
        <v>0</v>
      </c>
      <c r="P619" s="847"/>
      <c r="Q619" s="847"/>
      <c r="R619" s="738">
        <f t="shared" si="82"/>
        <v>0</v>
      </c>
      <c r="S619" s="737">
        <f t="shared" si="83"/>
        <v>0</v>
      </c>
      <c r="T619" s="739">
        <f t="shared" si="84"/>
        <v>0</v>
      </c>
      <c r="U619" s="846">
        <v>87493</v>
      </c>
      <c r="V619" s="847">
        <v>87500</v>
      </c>
      <c r="W619" s="846"/>
      <c r="X619" s="846"/>
      <c r="Y619" s="740">
        <f t="shared" si="80"/>
        <v>0</v>
      </c>
      <c r="Z619" s="847"/>
      <c r="AA619" s="847"/>
      <c r="AB619" s="741">
        <f t="shared" si="81"/>
        <v>0</v>
      </c>
      <c r="AC619" s="846"/>
      <c r="AD619" s="847"/>
      <c r="AE619" s="846"/>
      <c r="AF619" s="846"/>
      <c r="AG619" s="847"/>
      <c r="AH619" s="847"/>
      <c r="AI619" s="742">
        <f t="shared" si="85"/>
        <v>87493</v>
      </c>
      <c r="AJ619" s="743">
        <f t="shared" si="86"/>
        <v>87500</v>
      </c>
    </row>
    <row r="620" spans="1:36">
      <c r="A620" s="1314" t="s">
        <v>148</v>
      </c>
      <c r="B620" s="1018" t="s">
        <v>292</v>
      </c>
      <c r="C620" s="1327" t="s">
        <v>1576</v>
      </c>
      <c r="D620" s="1020"/>
      <c r="E620" s="1021"/>
      <c r="F620" s="1022"/>
      <c r="G620" s="846"/>
      <c r="H620" s="847"/>
      <c r="I620" s="846"/>
      <c r="J620" s="847"/>
      <c r="K620" s="846"/>
      <c r="L620" s="847"/>
      <c r="M620" s="846"/>
      <c r="N620" s="846"/>
      <c r="O620" s="737">
        <f t="shared" si="79"/>
        <v>0</v>
      </c>
      <c r="P620" s="847"/>
      <c r="Q620" s="847"/>
      <c r="R620" s="738">
        <f t="shared" si="82"/>
        <v>0</v>
      </c>
      <c r="S620" s="737">
        <f t="shared" si="83"/>
        <v>0</v>
      </c>
      <c r="T620" s="739">
        <f t="shared" si="84"/>
        <v>0</v>
      </c>
      <c r="U620" s="846"/>
      <c r="V620" s="847"/>
      <c r="W620" s="846"/>
      <c r="X620" s="846"/>
      <c r="Y620" s="740">
        <f t="shared" si="80"/>
        <v>0</v>
      </c>
      <c r="Z620" s="847"/>
      <c r="AA620" s="847"/>
      <c r="AB620" s="741">
        <f t="shared" si="81"/>
        <v>0</v>
      </c>
      <c r="AC620" s="846"/>
      <c r="AD620" s="847"/>
      <c r="AE620" s="846"/>
      <c r="AF620" s="846"/>
      <c r="AG620" s="847"/>
      <c r="AH620" s="847"/>
      <c r="AI620" s="742">
        <f t="shared" si="85"/>
        <v>0</v>
      </c>
      <c r="AJ620" s="743">
        <f t="shared" si="86"/>
        <v>0</v>
      </c>
    </row>
    <row r="621" spans="1:36">
      <c r="A621" s="1314" t="s">
        <v>148</v>
      </c>
      <c r="B621" s="1018" t="s">
        <v>209</v>
      </c>
      <c r="C621" s="1322" t="s">
        <v>250</v>
      </c>
      <c r="D621" s="1321"/>
      <c r="E621" s="1021"/>
      <c r="F621" s="1022"/>
      <c r="G621" s="846"/>
      <c r="H621" s="847"/>
      <c r="I621" s="846"/>
      <c r="J621" s="847"/>
      <c r="K621" s="846"/>
      <c r="L621" s="847"/>
      <c r="M621" s="846"/>
      <c r="N621" s="846"/>
      <c r="O621" s="737">
        <f t="shared" si="79"/>
        <v>0</v>
      </c>
      <c r="P621" s="847"/>
      <c r="Q621" s="847"/>
      <c r="R621" s="738">
        <f t="shared" si="82"/>
        <v>0</v>
      </c>
      <c r="S621" s="737">
        <f t="shared" si="83"/>
        <v>0</v>
      </c>
      <c r="T621" s="739">
        <f t="shared" si="84"/>
        <v>0</v>
      </c>
      <c r="U621" s="846"/>
      <c r="V621" s="847"/>
      <c r="W621" s="846"/>
      <c r="X621" s="846"/>
      <c r="Y621" s="740">
        <f t="shared" si="80"/>
        <v>0</v>
      </c>
      <c r="Z621" s="847"/>
      <c r="AA621" s="847"/>
      <c r="AB621" s="741">
        <f t="shared" si="81"/>
        <v>0</v>
      </c>
      <c r="AC621" s="846"/>
      <c r="AD621" s="847"/>
      <c r="AE621" s="846"/>
      <c r="AF621" s="846"/>
      <c r="AG621" s="847"/>
      <c r="AH621" s="847"/>
      <c r="AI621" s="742">
        <f t="shared" si="85"/>
        <v>0</v>
      </c>
      <c r="AJ621" s="743">
        <f t="shared" si="86"/>
        <v>0</v>
      </c>
    </row>
    <row r="622" spans="1:36">
      <c r="A622" s="1314" t="s">
        <v>148</v>
      </c>
      <c r="B622" s="1018" t="s">
        <v>210</v>
      </c>
      <c r="C622" s="1322" t="s">
        <v>311</v>
      </c>
      <c r="D622" s="1321"/>
      <c r="E622" s="1021"/>
      <c r="F622" s="1022"/>
      <c r="G622" s="846"/>
      <c r="H622" s="847"/>
      <c r="I622" s="846"/>
      <c r="J622" s="847"/>
      <c r="K622" s="846"/>
      <c r="L622" s="847"/>
      <c r="M622" s="846"/>
      <c r="N622" s="846"/>
      <c r="O622" s="737">
        <f t="shared" si="79"/>
        <v>0</v>
      </c>
      <c r="P622" s="847"/>
      <c r="Q622" s="847"/>
      <c r="R622" s="738">
        <f t="shared" si="82"/>
        <v>0</v>
      </c>
      <c r="S622" s="737">
        <f t="shared" si="83"/>
        <v>0</v>
      </c>
      <c r="T622" s="739">
        <f t="shared" si="84"/>
        <v>0</v>
      </c>
      <c r="U622" s="846"/>
      <c r="V622" s="847"/>
      <c r="W622" s="846"/>
      <c r="X622" s="846"/>
      <c r="Y622" s="740">
        <f t="shared" si="80"/>
        <v>0</v>
      </c>
      <c r="Z622" s="847"/>
      <c r="AA622" s="847"/>
      <c r="AB622" s="741">
        <f t="shared" si="81"/>
        <v>0</v>
      </c>
      <c r="AC622" s="846"/>
      <c r="AD622" s="847"/>
      <c r="AE622" s="846"/>
      <c r="AF622" s="846"/>
      <c r="AG622" s="847"/>
      <c r="AH622" s="847"/>
      <c r="AI622" s="742">
        <f t="shared" si="85"/>
        <v>0</v>
      </c>
      <c r="AJ622" s="743">
        <f t="shared" si="86"/>
        <v>0</v>
      </c>
    </row>
    <row r="623" spans="1:36">
      <c r="A623" s="1314" t="s">
        <v>148</v>
      </c>
      <c r="B623" s="1018" t="s">
        <v>204</v>
      </c>
      <c r="C623" s="1322" t="s">
        <v>249</v>
      </c>
      <c r="D623" s="1321"/>
      <c r="E623" s="1021"/>
      <c r="F623" s="1022"/>
      <c r="G623" s="846"/>
      <c r="H623" s="847"/>
      <c r="I623" s="846"/>
      <c r="J623" s="847"/>
      <c r="K623" s="846"/>
      <c r="L623" s="847"/>
      <c r="M623" s="846"/>
      <c r="N623" s="846"/>
      <c r="O623" s="737">
        <f t="shared" si="79"/>
        <v>0</v>
      </c>
      <c r="P623" s="847"/>
      <c r="Q623" s="847"/>
      <c r="R623" s="738">
        <f t="shared" si="82"/>
        <v>0</v>
      </c>
      <c r="S623" s="737">
        <f t="shared" si="83"/>
        <v>0</v>
      </c>
      <c r="T623" s="739">
        <f t="shared" si="84"/>
        <v>0</v>
      </c>
      <c r="U623" s="846">
        <v>17520</v>
      </c>
      <c r="V623" s="847">
        <v>12342</v>
      </c>
      <c r="W623" s="846"/>
      <c r="X623" s="846"/>
      <c r="Y623" s="740">
        <f t="shared" si="80"/>
        <v>0</v>
      </c>
      <c r="Z623" s="847"/>
      <c r="AA623" s="847"/>
      <c r="AB623" s="741">
        <f t="shared" si="81"/>
        <v>0</v>
      </c>
      <c r="AC623" s="846"/>
      <c r="AD623" s="847"/>
      <c r="AE623" s="846"/>
      <c r="AF623" s="846"/>
      <c r="AG623" s="847"/>
      <c r="AH623" s="847"/>
      <c r="AI623" s="742">
        <f t="shared" si="85"/>
        <v>17520</v>
      </c>
      <c r="AJ623" s="743">
        <f t="shared" si="86"/>
        <v>12342</v>
      </c>
    </row>
    <row r="624" spans="1:36">
      <c r="A624" s="1314" t="s">
        <v>148</v>
      </c>
      <c r="B624" s="1018" t="s">
        <v>205</v>
      </c>
      <c r="C624" s="1322" t="s">
        <v>222</v>
      </c>
      <c r="D624" s="1321"/>
      <c r="E624" s="1021"/>
      <c r="F624" s="1022"/>
      <c r="G624" s="846"/>
      <c r="H624" s="847"/>
      <c r="I624" s="846"/>
      <c r="J624" s="847"/>
      <c r="K624" s="846"/>
      <c r="L624" s="847"/>
      <c r="M624" s="846"/>
      <c r="N624" s="846"/>
      <c r="O624" s="737">
        <f t="shared" si="79"/>
        <v>0</v>
      </c>
      <c r="P624" s="847"/>
      <c r="Q624" s="847"/>
      <c r="R624" s="738">
        <f t="shared" si="82"/>
        <v>0</v>
      </c>
      <c r="S624" s="737">
        <f t="shared" si="83"/>
        <v>0</v>
      </c>
      <c r="T624" s="739">
        <f t="shared" si="84"/>
        <v>0</v>
      </c>
      <c r="U624" s="846"/>
      <c r="V624" s="847"/>
      <c r="W624" s="846"/>
      <c r="X624" s="846"/>
      <c r="Y624" s="740">
        <f t="shared" si="80"/>
        <v>0</v>
      </c>
      <c r="Z624" s="847"/>
      <c r="AA624" s="847"/>
      <c r="AB624" s="741">
        <f t="shared" si="81"/>
        <v>0</v>
      </c>
      <c r="AC624" s="846"/>
      <c r="AD624" s="847"/>
      <c r="AE624" s="846"/>
      <c r="AF624" s="846"/>
      <c r="AG624" s="847"/>
      <c r="AH624" s="847"/>
      <c r="AI624" s="742">
        <f t="shared" si="85"/>
        <v>0</v>
      </c>
      <c r="AJ624" s="743">
        <f t="shared" si="86"/>
        <v>0</v>
      </c>
    </row>
    <row r="625" spans="1:36">
      <c r="A625" s="1314" t="s">
        <v>148</v>
      </c>
      <c r="B625" s="1018" t="s">
        <v>218</v>
      </c>
      <c r="C625" s="1322" t="s">
        <v>311</v>
      </c>
      <c r="D625" s="1321"/>
      <c r="E625" s="1021"/>
      <c r="F625" s="1022"/>
      <c r="G625" s="846"/>
      <c r="H625" s="847"/>
      <c r="I625" s="846"/>
      <c r="J625" s="847"/>
      <c r="K625" s="846"/>
      <c r="L625" s="847"/>
      <c r="M625" s="846"/>
      <c r="N625" s="846"/>
      <c r="O625" s="737">
        <f t="shared" si="79"/>
        <v>0</v>
      </c>
      <c r="P625" s="847"/>
      <c r="Q625" s="847"/>
      <c r="R625" s="738">
        <f t="shared" si="82"/>
        <v>0</v>
      </c>
      <c r="S625" s="737">
        <f t="shared" si="83"/>
        <v>0</v>
      </c>
      <c r="T625" s="739">
        <f t="shared" si="84"/>
        <v>0</v>
      </c>
      <c r="U625" s="846"/>
      <c r="V625" s="847"/>
      <c r="W625" s="846"/>
      <c r="X625" s="846"/>
      <c r="Y625" s="740">
        <f t="shared" si="80"/>
        <v>0</v>
      </c>
      <c r="Z625" s="847"/>
      <c r="AA625" s="847"/>
      <c r="AB625" s="741">
        <f t="shared" si="81"/>
        <v>0</v>
      </c>
      <c r="AC625" s="846"/>
      <c r="AD625" s="847"/>
      <c r="AE625" s="846"/>
      <c r="AF625" s="846"/>
      <c r="AG625" s="847"/>
      <c r="AH625" s="847"/>
      <c r="AI625" s="742">
        <f t="shared" si="85"/>
        <v>0</v>
      </c>
      <c r="AJ625" s="743">
        <f t="shared" si="86"/>
        <v>0</v>
      </c>
    </row>
    <row r="626" spans="1:36">
      <c r="A626" s="1314" t="s">
        <v>148</v>
      </c>
      <c r="B626" s="1018" t="s">
        <v>219</v>
      </c>
      <c r="C626" s="1322" t="s">
        <v>249</v>
      </c>
      <c r="D626" s="1321"/>
      <c r="E626" s="1021"/>
      <c r="F626" s="1022"/>
      <c r="G626" s="846"/>
      <c r="H626" s="847"/>
      <c r="I626" s="846"/>
      <c r="J626" s="847"/>
      <c r="K626" s="846"/>
      <c r="L626" s="847"/>
      <c r="M626" s="846"/>
      <c r="N626" s="846"/>
      <c r="O626" s="737">
        <f t="shared" si="79"/>
        <v>0</v>
      </c>
      <c r="P626" s="847"/>
      <c r="Q626" s="847"/>
      <c r="R626" s="738">
        <f t="shared" si="82"/>
        <v>0</v>
      </c>
      <c r="S626" s="737">
        <f t="shared" si="83"/>
        <v>0</v>
      </c>
      <c r="T626" s="739">
        <f t="shared" si="84"/>
        <v>0</v>
      </c>
      <c r="U626" s="846">
        <v>0</v>
      </c>
      <c r="V626" s="847">
        <v>0</v>
      </c>
      <c r="W626" s="846"/>
      <c r="X626" s="846"/>
      <c r="Y626" s="740">
        <f t="shared" si="80"/>
        <v>0</v>
      </c>
      <c r="Z626" s="847"/>
      <c r="AA626" s="847"/>
      <c r="AB626" s="741">
        <f t="shared" si="81"/>
        <v>0</v>
      </c>
      <c r="AC626" s="846"/>
      <c r="AD626" s="847"/>
      <c r="AE626" s="846"/>
      <c r="AF626" s="846"/>
      <c r="AG626" s="847"/>
      <c r="AH626" s="847"/>
      <c r="AI626" s="742">
        <f t="shared" si="85"/>
        <v>0</v>
      </c>
      <c r="AJ626" s="743">
        <f t="shared" si="86"/>
        <v>0</v>
      </c>
    </row>
    <row r="627" spans="1:36">
      <c r="A627" s="1314" t="s">
        <v>148</v>
      </c>
      <c r="B627" s="1018" t="s">
        <v>292</v>
      </c>
      <c r="C627" s="1327" t="s">
        <v>1577</v>
      </c>
      <c r="D627" s="1020"/>
      <c r="E627" s="1021"/>
      <c r="F627" s="1022"/>
      <c r="G627" s="846"/>
      <c r="H627" s="847"/>
      <c r="I627" s="846"/>
      <c r="J627" s="847"/>
      <c r="K627" s="846"/>
      <c r="L627" s="847"/>
      <c r="M627" s="846"/>
      <c r="N627" s="846"/>
      <c r="O627" s="737">
        <f t="shared" si="79"/>
        <v>0</v>
      </c>
      <c r="P627" s="847"/>
      <c r="Q627" s="847"/>
      <c r="R627" s="738">
        <f t="shared" si="82"/>
        <v>0</v>
      </c>
      <c r="S627" s="737">
        <f t="shared" si="83"/>
        <v>0</v>
      </c>
      <c r="T627" s="739">
        <f t="shared" si="84"/>
        <v>0</v>
      </c>
      <c r="U627" s="846"/>
      <c r="V627" s="847"/>
      <c r="W627" s="846"/>
      <c r="X627" s="846"/>
      <c r="Y627" s="740">
        <f t="shared" si="80"/>
        <v>0</v>
      </c>
      <c r="Z627" s="847"/>
      <c r="AA627" s="847"/>
      <c r="AB627" s="741">
        <f t="shared" si="81"/>
        <v>0</v>
      </c>
      <c r="AC627" s="846"/>
      <c r="AD627" s="847"/>
      <c r="AE627" s="846"/>
      <c r="AF627" s="846"/>
      <c r="AG627" s="847"/>
      <c r="AH627" s="847"/>
      <c r="AI627" s="742">
        <f t="shared" si="85"/>
        <v>0</v>
      </c>
      <c r="AJ627" s="743">
        <f t="shared" si="86"/>
        <v>0</v>
      </c>
    </row>
    <row r="628" spans="1:36">
      <c r="A628" s="1314" t="s">
        <v>148</v>
      </c>
      <c r="B628" s="1018" t="s">
        <v>209</v>
      </c>
      <c r="C628" s="1322" t="s">
        <v>250</v>
      </c>
      <c r="D628" s="1321"/>
      <c r="E628" s="1021"/>
      <c r="F628" s="1022"/>
      <c r="G628" s="846"/>
      <c r="H628" s="847"/>
      <c r="I628" s="846"/>
      <c r="J628" s="847"/>
      <c r="K628" s="846"/>
      <c r="L628" s="847"/>
      <c r="M628" s="846"/>
      <c r="N628" s="846"/>
      <c r="O628" s="737">
        <f t="shared" si="79"/>
        <v>0</v>
      </c>
      <c r="P628" s="847"/>
      <c r="Q628" s="847"/>
      <c r="R628" s="738">
        <f t="shared" si="82"/>
        <v>0</v>
      </c>
      <c r="S628" s="737">
        <f t="shared" si="83"/>
        <v>0</v>
      </c>
      <c r="T628" s="739">
        <f t="shared" si="84"/>
        <v>0</v>
      </c>
      <c r="U628" s="846"/>
      <c r="V628" s="847"/>
      <c r="W628" s="846"/>
      <c r="X628" s="846"/>
      <c r="Y628" s="740">
        <f t="shared" si="80"/>
        <v>0</v>
      </c>
      <c r="Z628" s="847"/>
      <c r="AA628" s="847"/>
      <c r="AB628" s="741">
        <f t="shared" si="81"/>
        <v>0</v>
      </c>
      <c r="AC628" s="846"/>
      <c r="AD628" s="847"/>
      <c r="AE628" s="846"/>
      <c r="AF628" s="846"/>
      <c r="AG628" s="847"/>
      <c r="AH628" s="847"/>
      <c r="AI628" s="742">
        <f t="shared" si="85"/>
        <v>0</v>
      </c>
      <c r="AJ628" s="743">
        <f t="shared" si="86"/>
        <v>0</v>
      </c>
    </row>
    <row r="629" spans="1:36">
      <c r="A629" s="1314" t="s">
        <v>148</v>
      </c>
      <c r="B629" s="1018" t="s">
        <v>210</v>
      </c>
      <c r="C629" s="1322" t="s">
        <v>311</v>
      </c>
      <c r="D629" s="1321"/>
      <c r="E629" s="1021"/>
      <c r="F629" s="1022"/>
      <c r="G629" s="846"/>
      <c r="H629" s="847"/>
      <c r="I629" s="846"/>
      <c r="J629" s="847"/>
      <c r="K629" s="846"/>
      <c r="L629" s="847"/>
      <c r="M629" s="846"/>
      <c r="N629" s="846"/>
      <c r="O629" s="737">
        <f t="shared" si="79"/>
        <v>0</v>
      </c>
      <c r="P629" s="847"/>
      <c r="Q629" s="847"/>
      <c r="R629" s="738">
        <f t="shared" si="82"/>
        <v>0</v>
      </c>
      <c r="S629" s="737">
        <f t="shared" si="83"/>
        <v>0</v>
      </c>
      <c r="T629" s="739">
        <f t="shared" si="84"/>
        <v>0</v>
      </c>
      <c r="U629" s="846"/>
      <c r="V629" s="847"/>
      <c r="W629" s="846"/>
      <c r="X629" s="846"/>
      <c r="Y629" s="740">
        <f t="shared" si="80"/>
        <v>0</v>
      </c>
      <c r="Z629" s="847"/>
      <c r="AA629" s="847"/>
      <c r="AB629" s="741">
        <f t="shared" si="81"/>
        <v>0</v>
      </c>
      <c r="AC629" s="846"/>
      <c r="AD629" s="847"/>
      <c r="AE629" s="846"/>
      <c r="AF629" s="846"/>
      <c r="AG629" s="847"/>
      <c r="AH629" s="847"/>
      <c r="AI629" s="742">
        <f t="shared" si="85"/>
        <v>0</v>
      </c>
      <c r="AJ629" s="743">
        <f t="shared" si="86"/>
        <v>0</v>
      </c>
    </row>
    <row r="630" spans="1:36">
      <c r="A630" s="1314" t="s">
        <v>148</v>
      </c>
      <c r="B630" s="1018" t="s">
        <v>204</v>
      </c>
      <c r="C630" s="1322" t="s">
        <v>249</v>
      </c>
      <c r="D630" s="1321"/>
      <c r="E630" s="1021"/>
      <c r="F630" s="1022"/>
      <c r="G630" s="846"/>
      <c r="H630" s="847"/>
      <c r="I630" s="846"/>
      <c r="J630" s="847"/>
      <c r="K630" s="846"/>
      <c r="L630" s="847"/>
      <c r="M630" s="846"/>
      <c r="N630" s="846"/>
      <c r="O630" s="737">
        <f t="shared" si="79"/>
        <v>0</v>
      </c>
      <c r="P630" s="847"/>
      <c r="Q630" s="847"/>
      <c r="R630" s="738">
        <f t="shared" si="82"/>
        <v>0</v>
      </c>
      <c r="S630" s="737">
        <f t="shared" si="83"/>
        <v>0</v>
      </c>
      <c r="T630" s="739">
        <f t="shared" si="84"/>
        <v>0</v>
      </c>
      <c r="U630" s="846">
        <v>95000</v>
      </c>
      <c r="V630" s="847">
        <v>75000</v>
      </c>
      <c r="W630" s="846"/>
      <c r="X630" s="846"/>
      <c r="Y630" s="740">
        <f t="shared" si="80"/>
        <v>0</v>
      </c>
      <c r="Z630" s="847"/>
      <c r="AA630" s="847"/>
      <c r="AB630" s="741">
        <f t="shared" si="81"/>
        <v>0</v>
      </c>
      <c r="AC630" s="846"/>
      <c r="AD630" s="847"/>
      <c r="AE630" s="846"/>
      <c r="AF630" s="846"/>
      <c r="AG630" s="847"/>
      <c r="AH630" s="847"/>
      <c r="AI630" s="742">
        <f t="shared" si="85"/>
        <v>95000</v>
      </c>
      <c r="AJ630" s="743">
        <f t="shared" si="86"/>
        <v>75000</v>
      </c>
    </row>
    <row r="631" spans="1:36">
      <c r="A631" s="1314" t="s">
        <v>148</v>
      </c>
      <c r="B631" s="1018" t="s">
        <v>205</v>
      </c>
      <c r="C631" s="1322" t="s">
        <v>222</v>
      </c>
      <c r="D631" s="1321"/>
      <c r="E631" s="1021"/>
      <c r="F631" s="1022"/>
      <c r="G631" s="846"/>
      <c r="H631" s="847"/>
      <c r="I631" s="846"/>
      <c r="J631" s="847"/>
      <c r="K631" s="846"/>
      <c r="L631" s="847"/>
      <c r="M631" s="846"/>
      <c r="N631" s="846"/>
      <c r="O631" s="737">
        <f t="shared" si="79"/>
        <v>0</v>
      </c>
      <c r="P631" s="847"/>
      <c r="Q631" s="847"/>
      <c r="R631" s="738">
        <f t="shared" si="82"/>
        <v>0</v>
      </c>
      <c r="S631" s="737">
        <f t="shared" si="83"/>
        <v>0</v>
      </c>
      <c r="T631" s="739">
        <f t="shared" si="84"/>
        <v>0</v>
      </c>
      <c r="U631" s="846"/>
      <c r="V631" s="847"/>
      <c r="W631" s="846"/>
      <c r="X631" s="846"/>
      <c r="Y631" s="740">
        <f t="shared" si="80"/>
        <v>0</v>
      </c>
      <c r="Z631" s="847"/>
      <c r="AA631" s="847"/>
      <c r="AB631" s="741">
        <f t="shared" si="81"/>
        <v>0</v>
      </c>
      <c r="AC631" s="846"/>
      <c r="AD631" s="847"/>
      <c r="AE631" s="846"/>
      <c r="AF631" s="846"/>
      <c r="AG631" s="847"/>
      <c r="AH631" s="847"/>
      <c r="AI631" s="742">
        <f t="shared" si="85"/>
        <v>0</v>
      </c>
      <c r="AJ631" s="743">
        <f t="shared" si="86"/>
        <v>0</v>
      </c>
    </row>
    <row r="632" spans="1:36">
      <c r="A632" s="1314" t="s">
        <v>148</v>
      </c>
      <c r="B632" s="1018" t="s">
        <v>218</v>
      </c>
      <c r="C632" s="1322" t="s">
        <v>311</v>
      </c>
      <c r="D632" s="1321"/>
      <c r="E632" s="1021"/>
      <c r="F632" s="1022"/>
      <c r="G632" s="846"/>
      <c r="H632" s="847"/>
      <c r="I632" s="846"/>
      <c r="J632" s="847"/>
      <c r="K632" s="846"/>
      <c r="L632" s="847"/>
      <c r="M632" s="846"/>
      <c r="N632" s="846"/>
      <c r="O632" s="737">
        <f t="shared" si="79"/>
        <v>0</v>
      </c>
      <c r="P632" s="847"/>
      <c r="Q632" s="847"/>
      <c r="R632" s="738">
        <f t="shared" si="82"/>
        <v>0</v>
      </c>
      <c r="S632" s="737">
        <f t="shared" si="83"/>
        <v>0</v>
      </c>
      <c r="T632" s="739">
        <f t="shared" si="84"/>
        <v>0</v>
      </c>
      <c r="U632" s="846"/>
      <c r="V632" s="847"/>
      <c r="W632" s="846"/>
      <c r="X632" s="846"/>
      <c r="Y632" s="740">
        <f t="shared" si="80"/>
        <v>0</v>
      </c>
      <c r="Z632" s="847"/>
      <c r="AA632" s="847"/>
      <c r="AB632" s="741">
        <f t="shared" si="81"/>
        <v>0</v>
      </c>
      <c r="AC632" s="846"/>
      <c r="AD632" s="847"/>
      <c r="AE632" s="846"/>
      <c r="AF632" s="846"/>
      <c r="AG632" s="847"/>
      <c r="AH632" s="847"/>
      <c r="AI632" s="742">
        <f t="shared" si="85"/>
        <v>0</v>
      </c>
      <c r="AJ632" s="743">
        <f t="shared" si="86"/>
        <v>0</v>
      </c>
    </row>
    <row r="633" spans="1:36">
      <c r="A633" s="1314" t="s">
        <v>148</v>
      </c>
      <c r="B633" s="1018" t="s">
        <v>219</v>
      </c>
      <c r="C633" s="1322" t="s">
        <v>249</v>
      </c>
      <c r="D633" s="1321"/>
      <c r="E633" s="1021"/>
      <c r="F633" s="1022"/>
      <c r="G633" s="846"/>
      <c r="H633" s="847"/>
      <c r="I633" s="846"/>
      <c r="J633" s="847"/>
      <c r="K633" s="846"/>
      <c r="L633" s="847"/>
      <c r="M633" s="846"/>
      <c r="N633" s="846"/>
      <c r="O633" s="737">
        <f t="shared" si="79"/>
        <v>0</v>
      </c>
      <c r="P633" s="847"/>
      <c r="Q633" s="847"/>
      <c r="R633" s="738">
        <f t="shared" si="82"/>
        <v>0</v>
      </c>
      <c r="S633" s="737">
        <f t="shared" si="83"/>
        <v>0</v>
      </c>
      <c r="T633" s="739">
        <f t="shared" si="84"/>
        <v>0</v>
      </c>
      <c r="U633" s="846">
        <v>25000</v>
      </c>
      <c r="V633" s="847">
        <v>25000</v>
      </c>
      <c r="W633" s="846"/>
      <c r="X633" s="846"/>
      <c r="Y633" s="740">
        <f t="shared" si="80"/>
        <v>0</v>
      </c>
      <c r="Z633" s="847"/>
      <c r="AA633" s="847"/>
      <c r="AB633" s="741">
        <f t="shared" si="81"/>
        <v>0</v>
      </c>
      <c r="AC633" s="846"/>
      <c r="AD633" s="847"/>
      <c r="AE633" s="846"/>
      <c r="AF633" s="846"/>
      <c r="AG633" s="847"/>
      <c r="AH633" s="847"/>
      <c r="AI633" s="742">
        <f t="shared" si="85"/>
        <v>25000</v>
      </c>
      <c r="AJ633" s="743">
        <f t="shared" si="86"/>
        <v>25000</v>
      </c>
    </row>
    <row r="634" spans="1:36">
      <c r="A634" s="1314" t="s">
        <v>148</v>
      </c>
      <c r="B634" s="1018" t="s">
        <v>292</v>
      </c>
      <c r="C634" s="1327" t="s">
        <v>1578</v>
      </c>
      <c r="D634" s="1020"/>
      <c r="E634" s="1021"/>
      <c r="F634" s="1022"/>
      <c r="G634" s="846"/>
      <c r="H634" s="847"/>
      <c r="I634" s="846"/>
      <c r="J634" s="847"/>
      <c r="K634" s="846"/>
      <c r="L634" s="847"/>
      <c r="M634" s="846"/>
      <c r="N634" s="846"/>
      <c r="O634" s="737">
        <f t="shared" si="79"/>
        <v>0</v>
      </c>
      <c r="P634" s="847"/>
      <c r="Q634" s="847"/>
      <c r="R634" s="738">
        <f t="shared" si="82"/>
        <v>0</v>
      </c>
      <c r="S634" s="737">
        <f t="shared" si="83"/>
        <v>0</v>
      </c>
      <c r="T634" s="739">
        <f t="shared" si="84"/>
        <v>0</v>
      </c>
      <c r="U634" s="846"/>
      <c r="V634" s="847"/>
      <c r="W634" s="846"/>
      <c r="X634" s="846"/>
      <c r="Y634" s="740">
        <f t="shared" si="80"/>
        <v>0</v>
      </c>
      <c r="Z634" s="847"/>
      <c r="AA634" s="847"/>
      <c r="AB634" s="741">
        <f t="shared" si="81"/>
        <v>0</v>
      </c>
      <c r="AC634" s="846"/>
      <c r="AD634" s="847"/>
      <c r="AE634" s="846"/>
      <c r="AF634" s="846"/>
      <c r="AG634" s="847"/>
      <c r="AH634" s="847"/>
      <c r="AI634" s="742">
        <f t="shared" si="85"/>
        <v>0</v>
      </c>
      <c r="AJ634" s="743">
        <f t="shared" si="86"/>
        <v>0</v>
      </c>
    </row>
    <row r="635" spans="1:36">
      <c r="A635" s="1314" t="s">
        <v>148</v>
      </c>
      <c r="B635" s="1018" t="s">
        <v>209</v>
      </c>
      <c r="C635" s="1322" t="s">
        <v>250</v>
      </c>
      <c r="D635" s="1321"/>
      <c r="E635" s="1021"/>
      <c r="F635" s="1022"/>
      <c r="G635" s="846"/>
      <c r="H635" s="847"/>
      <c r="I635" s="846"/>
      <c r="J635" s="847"/>
      <c r="K635" s="846"/>
      <c r="L635" s="847"/>
      <c r="M635" s="846"/>
      <c r="N635" s="846"/>
      <c r="O635" s="737">
        <f t="shared" si="79"/>
        <v>0</v>
      </c>
      <c r="P635" s="847"/>
      <c r="Q635" s="847"/>
      <c r="R635" s="738">
        <f t="shared" si="82"/>
        <v>0</v>
      </c>
      <c r="S635" s="737">
        <f t="shared" si="83"/>
        <v>0</v>
      </c>
      <c r="T635" s="739">
        <f t="shared" si="84"/>
        <v>0</v>
      </c>
      <c r="U635" s="846"/>
      <c r="V635" s="847"/>
      <c r="W635" s="846"/>
      <c r="X635" s="846"/>
      <c r="Y635" s="740">
        <f t="shared" si="80"/>
        <v>0</v>
      </c>
      <c r="Z635" s="847"/>
      <c r="AA635" s="847"/>
      <c r="AB635" s="741">
        <f t="shared" si="81"/>
        <v>0</v>
      </c>
      <c r="AC635" s="846"/>
      <c r="AD635" s="847"/>
      <c r="AE635" s="846"/>
      <c r="AF635" s="846"/>
      <c r="AG635" s="847"/>
      <c r="AH635" s="847"/>
      <c r="AI635" s="742">
        <f t="shared" si="85"/>
        <v>0</v>
      </c>
      <c r="AJ635" s="743">
        <f t="shared" si="86"/>
        <v>0</v>
      </c>
    </row>
    <row r="636" spans="1:36">
      <c r="A636" s="1314" t="s">
        <v>148</v>
      </c>
      <c r="B636" s="1018" t="s">
        <v>210</v>
      </c>
      <c r="C636" s="1322" t="s">
        <v>311</v>
      </c>
      <c r="D636" s="1321"/>
      <c r="E636" s="1021"/>
      <c r="F636" s="1022"/>
      <c r="G636" s="846"/>
      <c r="H636" s="847"/>
      <c r="I636" s="846"/>
      <c r="J636" s="847"/>
      <c r="K636" s="846"/>
      <c r="L636" s="847"/>
      <c r="M636" s="846"/>
      <c r="N636" s="846"/>
      <c r="O636" s="737">
        <f t="shared" si="79"/>
        <v>0</v>
      </c>
      <c r="P636" s="847"/>
      <c r="Q636" s="847"/>
      <c r="R636" s="738">
        <f t="shared" si="82"/>
        <v>0</v>
      </c>
      <c r="S636" s="737">
        <f t="shared" si="83"/>
        <v>0</v>
      </c>
      <c r="T636" s="739">
        <f t="shared" si="84"/>
        <v>0</v>
      </c>
      <c r="U636" s="846"/>
      <c r="V636" s="847"/>
      <c r="W636" s="846"/>
      <c r="X636" s="846"/>
      <c r="Y636" s="740">
        <f t="shared" si="80"/>
        <v>0</v>
      </c>
      <c r="Z636" s="847"/>
      <c r="AA636" s="847"/>
      <c r="AB636" s="741">
        <f t="shared" si="81"/>
        <v>0</v>
      </c>
      <c r="AC636" s="846"/>
      <c r="AD636" s="847"/>
      <c r="AE636" s="846"/>
      <c r="AF636" s="846"/>
      <c r="AG636" s="847"/>
      <c r="AH636" s="847"/>
      <c r="AI636" s="742">
        <f t="shared" si="85"/>
        <v>0</v>
      </c>
      <c r="AJ636" s="743">
        <f t="shared" si="86"/>
        <v>0</v>
      </c>
    </row>
    <row r="637" spans="1:36">
      <c r="A637" s="1314" t="s">
        <v>148</v>
      </c>
      <c r="B637" s="1018" t="s">
        <v>204</v>
      </c>
      <c r="C637" s="1322" t="s">
        <v>249</v>
      </c>
      <c r="D637" s="1321"/>
      <c r="E637" s="1021"/>
      <c r="F637" s="1022"/>
      <c r="G637" s="846"/>
      <c r="H637" s="847"/>
      <c r="I637" s="846"/>
      <c r="J637" s="847"/>
      <c r="K637" s="846"/>
      <c r="L637" s="847"/>
      <c r="M637" s="846"/>
      <c r="N637" s="846"/>
      <c r="O637" s="737">
        <f t="shared" si="79"/>
        <v>0</v>
      </c>
      <c r="P637" s="847"/>
      <c r="Q637" s="847"/>
      <c r="R637" s="738">
        <f t="shared" si="82"/>
        <v>0</v>
      </c>
      <c r="S637" s="737">
        <f t="shared" si="83"/>
        <v>0</v>
      </c>
      <c r="T637" s="739">
        <f t="shared" si="84"/>
        <v>0</v>
      </c>
      <c r="U637" s="846">
        <v>50638</v>
      </c>
      <c r="V637" s="847">
        <v>50638</v>
      </c>
      <c r="W637" s="846"/>
      <c r="X637" s="846"/>
      <c r="Y637" s="740">
        <f t="shared" si="80"/>
        <v>0</v>
      </c>
      <c r="Z637" s="847"/>
      <c r="AA637" s="847"/>
      <c r="AB637" s="741">
        <f t="shared" si="81"/>
        <v>0</v>
      </c>
      <c r="AC637" s="846"/>
      <c r="AD637" s="847"/>
      <c r="AE637" s="846"/>
      <c r="AF637" s="846"/>
      <c r="AG637" s="847"/>
      <c r="AH637" s="847"/>
      <c r="AI637" s="742">
        <f t="shared" si="85"/>
        <v>50638</v>
      </c>
      <c r="AJ637" s="743">
        <f t="shared" si="86"/>
        <v>50638</v>
      </c>
    </row>
    <row r="638" spans="1:36">
      <c r="A638" s="1314" t="s">
        <v>148</v>
      </c>
      <c r="B638" s="1018" t="s">
        <v>205</v>
      </c>
      <c r="C638" s="1322" t="s">
        <v>222</v>
      </c>
      <c r="D638" s="1321"/>
      <c r="E638" s="1021"/>
      <c r="F638" s="1022"/>
      <c r="G638" s="846"/>
      <c r="H638" s="847"/>
      <c r="I638" s="846"/>
      <c r="J638" s="847"/>
      <c r="K638" s="846"/>
      <c r="L638" s="847"/>
      <c r="M638" s="846"/>
      <c r="N638" s="846"/>
      <c r="O638" s="737">
        <f t="shared" si="79"/>
        <v>0</v>
      </c>
      <c r="P638" s="847"/>
      <c r="Q638" s="847"/>
      <c r="R638" s="738">
        <f t="shared" si="82"/>
        <v>0</v>
      </c>
      <c r="S638" s="737">
        <f t="shared" si="83"/>
        <v>0</v>
      </c>
      <c r="T638" s="739">
        <f t="shared" si="84"/>
        <v>0</v>
      </c>
      <c r="U638" s="846"/>
      <c r="V638" s="847"/>
      <c r="W638" s="846"/>
      <c r="X638" s="846"/>
      <c r="Y638" s="740">
        <f t="shared" si="80"/>
        <v>0</v>
      </c>
      <c r="Z638" s="847"/>
      <c r="AA638" s="847"/>
      <c r="AB638" s="741">
        <f t="shared" si="81"/>
        <v>0</v>
      </c>
      <c r="AC638" s="846"/>
      <c r="AD638" s="847"/>
      <c r="AE638" s="846"/>
      <c r="AF638" s="846"/>
      <c r="AG638" s="847"/>
      <c r="AH638" s="847"/>
      <c r="AI638" s="742">
        <f t="shared" si="85"/>
        <v>0</v>
      </c>
      <c r="AJ638" s="743">
        <f t="shared" si="86"/>
        <v>0</v>
      </c>
    </row>
    <row r="639" spans="1:36">
      <c r="A639" s="1314" t="s">
        <v>148</v>
      </c>
      <c r="B639" s="1018" t="s">
        <v>218</v>
      </c>
      <c r="C639" s="1322" t="s">
        <v>311</v>
      </c>
      <c r="D639" s="1321"/>
      <c r="E639" s="1021"/>
      <c r="F639" s="1022"/>
      <c r="G639" s="846"/>
      <c r="H639" s="847"/>
      <c r="I639" s="846"/>
      <c r="J639" s="847"/>
      <c r="K639" s="846"/>
      <c r="L639" s="847"/>
      <c r="M639" s="846"/>
      <c r="N639" s="846"/>
      <c r="O639" s="737">
        <f t="shared" si="79"/>
        <v>0</v>
      </c>
      <c r="P639" s="847"/>
      <c r="Q639" s="847"/>
      <c r="R639" s="738">
        <f t="shared" si="82"/>
        <v>0</v>
      </c>
      <c r="S639" s="737">
        <f t="shared" si="83"/>
        <v>0</v>
      </c>
      <c r="T639" s="739">
        <f t="shared" si="84"/>
        <v>0</v>
      </c>
      <c r="U639" s="846"/>
      <c r="V639" s="847"/>
      <c r="W639" s="846"/>
      <c r="X639" s="846"/>
      <c r="Y639" s="740">
        <f t="shared" si="80"/>
        <v>0</v>
      </c>
      <c r="Z639" s="847"/>
      <c r="AA639" s="847"/>
      <c r="AB639" s="741">
        <f t="shared" si="81"/>
        <v>0</v>
      </c>
      <c r="AC639" s="846"/>
      <c r="AD639" s="847"/>
      <c r="AE639" s="846"/>
      <c r="AF639" s="846"/>
      <c r="AG639" s="847"/>
      <c r="AH639" s="847"/>
      <c r="AI639" s="742">
        <f t="shared" si="85"/>
        <v>0</v>
      </c>
      <c r="AJ639" s="743">
        <f t="shared" si="86"/>
        <v>0</v>
      </c>
    </row>
    <row r="640" spans="1:36">
      <c r="A640" s="1314" t="s">
        <v>148</v>
      </c>
      <c r="B640" s="1018" t="s">
        <v>219</v>
      </c>
      <c r="C640" s="1322" t="s">
        <v>249</v>
      </c>
      <c r="D640" s="1321"/>
      <c r="E640" s="1021"/>
      <c r="F640" s="1022"/>
      <c r="G640" s="846"/>
      <c r="H640" s="847"/>
      <c r="I640" s="846"/>
      <c r="J640" s="847"/>
      <c r="K640" s="846"/>
      <c r="L640" s="847"/>
      <c r="M640" s="846"/>
      <c r="N640" s="846"/>
      <c r="O640" s="737">
        <f t="shared" si="79"/>
        <v>0</v>
      </c>
      <c r="P640" s="847"/>
      <c r="Q640" s="847"/>
      <c r="R640" s="738">
        <f t="shared" si="82"/>
        <v>0</v>
      </c>
      <c r="S640" s="737">
        <f t="shared" si="83"/>
        <v>0</v>
      </c>
      <c r="T640" s="739">
        <f t="shared" si="84"/>
        <v>0</v>
      </c>
      <c r="U640" s="846">
        <v>113635</v>
      </c>
      <c r="V640" s="847">
        <v>113635</v>
      </c>
      <c r="W640" s="846"/>
      <c r="X640" s="846"/>
      <c r="Y640" s="740">
        <f t="shared" si="80"/>
        <v>0</v>
      </c>
      <c r="Z640" s="847"/>
      <c r="AA640" s="847"/>
      <c r="AB640" s="741">
        <f t="shared" si="81"/>
        <v>0</v>
      </c>
      <c r="AC640" s="846"/>
      <c r="AD640" s="847"/>
      <c r="AE640" s="846"/>
      <c r="AF640" s="846"/>
      <c r="AG640" s="847"/>
      <c r="AH640" s="847"/>
      <c r="AI640" s="742">
        <f t="shared" si="85"/>
        <v>113635</v>
      </c>
      <c r="AJ640" s="743">
        <f t="shared" si="86"/>
        <v>113635</v>
      </c>
    </row>
    <row r="641" spans="1:36">
      <c r="A641" s="1314" t="s">
        <v>148</v>
      </c>
      <c r="B641" s="1018" t="s">
        <v>292</v>
      </c>
      <c r="C641" s="1327" t="s">
        <v>1579</v>
      </c>
      <c r="D641" s="1020"/>
      <c r="E641" s="1021"/>
      <c r="F641" s="1022"/>
      <c r="G641" s="846"/>
      <c r="H641" s="847"/>
      <c r="I641" s="846"/>
      <c r="J641" s="847"/>
      <c r="K641" s="846"/>
      <c r="L641" s="847"/>
      <c r="M641" s="846"/>
      <c r="N641" s="846"/>
      <c r="O641" s="737">
        <f t="shared" si="79"/>
        <v>0</v>
      </c>
      <c r="P641" s="847"/>
      <c r="Q641" s="847"/>
      <c r="R641" s="738">
        <f t="shared" si="82"/>
        <v>0</v>
      </c>
      <c r="S641" s="737">
        <f t="shared" si="83"/>
        <v>0</v>
      </c>
      <c r="T641" s="739">
        <f t="shared" si="84"/>
        <v>0</v>
      </c>
      <c r="U641" s="846"/>
      <c r="V641" s="847"/>
      <c r="W641" s="846"/>
      <c r="X641" s="846"/>
      <c r="Y641" s="740">
        <f t="shared" si="80"/>
        <v>0</v>
      </c>
      <c r="Z641" s="847"/>
      <c r="AA641" s="847"/>
      <c r="AB641" s="741">
        <f t="shared" si="81"/>
        <v>0</v>
      </c>
      <c r="AC641" s="846"/>
      <c r="AD641" s="847"/>
      <c r="AE641" s="846"/>
      <c r="AF641" s="846"/>
      <c r="AG641" s="847"/>
      <c r="AH641" s="847"/>
      <c r="AI641" s="742">
        <f t="shared" si="85"/>
        <v>0</v>
      </c>
      <c r="AJ641" s="743">
        <f t="shared" si="86"/>
        <v>0</v>
      </c>
    </row>
    <row r="642" spans="1:36">
      <c r="A642" s="1314" t="s">
        <v>148</v>
      </c>
      <c r="B642" s="1018" t="s">
        <v>209</v>
      </c>
      <c r="C642" s="1322" t="s">
        <v>250</v>
      </c>
      <c r="D642" s="1321"/>
      <c r="E642" s="1021"/>
      <c r="F642" s="1022"/>
      <c r="G642" s="846"/>
      <c r="H642" s="847"/>
      <c r="I642" s="846"/>
      <c r="J642" s="847"/>
      <c r="K642" s="846"/>
      <c r="L642" s="847"/>
      <c r="M642" s="846"/>
      <c r="N642" s="846"/>
      <c r="O642" s="737">
        <f t="shared" si="79"/>
        <v>0</v>
      </c>
      <c r="P642" s="847"/>
      <c r="Q642" s="847"/>
      <c r="R642" s="738">
        <f t="shared" si="82"/>
        <v>0</v>
      </c>
      <c r="S642" s="737">
        <f t="shared" si="83"/>
        <v>0</v>
      </c>
      <c r="T642" s="739">
        <f t="shared" si="84"/>
        <v>0</v>
      </c>
      <c r="U642" s="846"/>
      <c r="V642" s="847"/>
      <c r="W642" s="846"/>
      <c r="X642" s="846"/>
      <c r="Y642" s="740">
        <f t="shared" si="80"/>
        <v>0</v>
      </c>
      <c r="Z642" s="847"/>
      <c r="AA642" s="847"/>
      <c r="AB642" s="741">
        <f t="shared" si="81"/>
        <v>0</v>
      </c>
      <c r="AC642" s="846"/>
      <c r="AD642" s="847"/>
      <c r="AE642" s="846"/>
      <c r="AF642" s="846"/>
      <c r="AG642" s="847"/>
      <c r="AH642" s="847"/>
      <c r="AI642" s="742">
        <f t="shared" si="85"/>
        <v>0</v>
      </c>
      <c r="AJ642" s="743">
        <f t="shared" si="86"/>
        <v>0</v>
      </c>
    </row>
    <row r="643" spans="1:36">
      <c r="A643" s="1314" t="s">
        <v>148</v>
      </c>
      <c r="B643" s="1018" t="s">
        <v>210</v>
      </c>
      <c r="C643" s="1322" t="s">
        <v>311</v>
      </c>
      <c r="D643" s="1321"/>
      <c r="E643" s="1021"/>
      <c r="F643" s="1022"/>
      <c r="G643" s="846"/>
      <c r="H643" s="847"/>
      <c r="I643" s="846"/>
      <c r="J643" s="847"/>
      <c r="K643" s="846"/>
      <c r="L643" s="847"/>
      <c r="M643" s="846"/>
      <c r="N643" s="846"/>
      <c r="O643" s="737">
        <f t="shared" si="79"/>
        <v>0</v>
      </c>
      <c r="P643" s="847"/>
      <c r="Q643" s="847"/>
      <c r="R643" s="738">
        <f t="shared" si="82"/>
        <v>0</v>
      </c>
      <c r="S643" s="737">
        <f t="shared" si="83"/>
        <v>0</v>
      </c>
      <c r="T643" s="739">
        <f t="shared" si="84"/>
        <v>0</v>
      </c>
      <c r="U643" s="846"/>
      <c r="V643" s="847"/>
      <c r="W643" s="846"/>
      <c r="X643" s="846"/>
      <c r="Y643" s="740">
        <f t="shared" si="80"/>
        <v>0</v>
      </c>
      <c r="Z643" s="847"/>
      <c r="AA643" s="847"/>
      <c r="AB643" s="741">
        <f t="shared" si="81"/>
        <v>0</v>
      </c>
      <c r="AC643" s="846"/>
      <c r="AD643" s="847"/>
      <c r="AE643" s="846"/>
      <c r="AF643" s="846"/>
      <c r="AG643" s="847"/>
      <c r="AH643" s="847"/>
      <c r="AI643" s="742">
        <f t="shared" si="85"/>
        <v>0</v>
      </c>
      <c r="AJ643" s="743">
        <f t="shared" si="86"/>
        <v>0</v>
      </c>
    </row>
    <row r="644" spans="1:36">
      <c r="A644" s="1314" t="s">
        <v>148</v>
      </c>
      <c r="B644" s="1018" t="s">
        <v>204</v>
      </c>
      <c r="C644" s="1322" t="s">
        <v>249</v>
      </c>
      <c r="D644" s="1321"/>
      <c r="E644" s="1021"/>
      <c r="F644" s="1022"/>
      <c r="G644" s="846"/>
      <c r="H644" s="847"/>
      <c r="I644" s="846"/>
      <c r="J644" s="847"/>
      <c r="K644" s="846"/>
      <c r="L644" s="847"/>
      <c r="M644" s="846"/>
      <c r="N644" s="846"/>
      <c r="O644" s="737">
        <f t="shared" si="79"/>
        <v>0</v>
      </c>
      <c r="P644" s="847"/>
      <c r="Q644" s="847"/>
      <c r="R644" s="738">
        <f t="shared" si="82"/>
        <v>0</v>
      </c>
      <c r="S644" s="737">
        <f t="shared" si="83"/>
        <v>0</v>
      </c>
      <c r="T644" s="739">
        <f t="shared" si="84"/>
        <v>0</v>
      </c>
      <c r="U644" s="846">
        <v>56250</v>
      </c>
      <c r="V644" s="847">
        <v>62500</v>
      </c>
      <c r="W644" s="846"/>
      <c r="X644" s="846"/>
      <c r="Y644" s="740">
        <f t="shared" si="80"/>
        <v>0</v>
      </c>
      <c r="Z644" s="847"/>
      <c r="AA644" s="847"/>
      <c r="AB644" s="741">
        <f t="shared" si="81"/>
        <v>0</v>
      </c>
      <c r="AC644" s="846"/>
      <c r="AD644" s="847"/>
      <c r="AE644" s="846"/>
      <c r="AF644" s="846"/>
      <c r="AG644" s="847"/>
      <c r="AH644" s="847"/>
      <c r="AI644" s="742">
        <f t="shared" si="85"/>
        <v>56250</v>
      </c>
      <c r="AJ644" s="743">
        <f t="shared" si="86"/>
        <v>62500</v>
      </c>
    </row>
    <row r="645" spans="1:36">
      <c r="A645" s="1314" t="s">
        <v>148</v>
      </c>
      <c r="B645" s="1018" t="s">
        <v>205</v>
      </c>
      <c r="C645" s="1322" t="s">
        <v>222</v>
      </c>
      <c r="D645" s="1321"/>
      <c r="E645" s="1021"/>
      <c r="F645" s="1022"/>
      <c r="G645" s="846"/>
      <c r="H645" s="847"/>
      <c r="I645" s="846"/>
      <c r="J645" s="847"/>
      <c r="K645" s="846"/>
      <c r="L645" s="847"/>
      <c r="M645" s="846"/>
      <c r="N645" s="846"/>
      <c r="O645" s="737">
        <f t="shared" si="79"/>
        <v>0</v>
      </c>
      <c r="P645" s="847"/>
      <c r="Q645" s="847"/>
      <c r="R645" s="738">
        <f t="shared" si="82"/>
        <v>0</v>
      </c>
      <c r="S645" s="737">
        <f t="shared" si="83"/>
        <v>0</v>
      </c>
      <c r="T645" s="739">
        <f t="shared" si="84"/>
        <v>0</v>
      </c>
      <c r="U645" s="846"/>
      <c r="V645" s="847"/>
      <c r="W645" s="846"/>
      <c r="X645" s="846"/>
      <c r="Y645" s="740">
        <f t="shared" si="80"/>
        <v>0</v>
      </c>
      <c r="Z645" s="847"/>
      <c r="AA645" s="847"/>
      <c r="AB645" s="741">
        <f t="shared" si="81"/>
        <v>0</v>
      </c>
      <c r="AC645" s="846"/>
      <c r="AD645" s="847"/>
      <c r="AE645" s="846"/>
      <c r="AF645" s="846"/>
      <c r="AG645" s="847"/>
      <c r="AH645" s="847"/>
      <c r="AI645" s="742">
        <f t="shared" si="85"/>
        <v>0</v>
      </c>
      <c r="AJ645" s="743">
        <f t="shared" si="86"/>
        <v>0</v>
      </c>
    </row>
    <row r="646" spans="1:36">
      <c r="A646" s="1314" t="s">
        <v>148</v>
      </c>
      <c r="B646" s="1018" t="s">
        <v>218</v>
      </c>
      <c r="C646" s="1322" t="s">
        <v>311</v>
      </c>
      <c r="D646" s="1321"/>
      <c r="E646" s="1021"/>
      <c r="F646" s="1022"/>
      <c r="G646" s="846"/>
      <c r="H646" s="847"/>
      <c r="I646" s="846"/>
      <c r="J646" s="847"/>
      <c r="K646" s="846"/>
      <c r="L646" s="847"/>
      <c r="M646" s="846"/>
      <c r="N646" s="846"/>
      <c r="O646" s="737">
        <f t="shared" si="79"/>
        <v>0</v>
      </c>
      <c r="P646" s="847"/>
      <c r="Q646" s="847"/>
      <c r="R646" s="738">
        <f t="shared" si="82"/>
        <v>0</v>
      </c>
      <c r="S646" s="737">
        <f t="shared" si="83"/>
        <v>0</v>
      </c>
      <c r="T646" s="739">
        <f t="shared" si="84"/>
        <v>0</v>
      </c>
      <c r="U646" s="846"/>
      <c r="V646" s="847"/>
      <c r="W646" s="846"/>
      <c r="X646" s="846"/>
      <c r="Y646" s="740">
        <f t="shared" si="80"/>
        <v>0</v>
      </c>
      <c r="Z646" s="847"/>
      <c r="AA646" s="847"/>
      <c r="AB646" s="741">
        <f t="shared" si="81"/>
        <v>0</v>
      </c>
      <c r="AC646" s="846"/>
      <c r="AD646" s="847"/>
      <c r="AE646" s="846"/>
      <c r="AF646" s="846"/>
      <c r="AG646" s="847"/>
      <c r="AH646" s="847"/>
      <c r="AI646" s="742">
        <f t="shared" si="85"/>
        <v>0</v>
      </c>
      <c r="AJ646" s="743">
        <f t="shared" si="86"/>
        <v>0</v>
      </c>
    </row>
    <row r="647" spans="1:36">
      <c r="A647" s="1314" t="s">
        <v>148</v>
      </c>
      <c r="B647" s="1018" t="s">
        <v>219</v>
      </c>
      <c r="C647" s="1322" t="s">
        <v>249</v>
      </c>
      <c r="D647" s="1321"/>
      <c r="E647" s="1021"/>
      <c r="F647" s="1022"/>
      <c r="G647" s="846"/>
      <c r="H647" s="847"/>
      <c r="I647" s="846"/>
      <c r="J647" s="847"/>
      <c r="K647" s="846"/>
      <c r="L647" s="847"/>
      <c r="M647" s="846"/>
      <c r="N647" s="846"/>
      <c r="O647" s="737">
        <f t="shared" si="79"/>
        <v>0</v>
      </c>
      <c r="P647" s="847"/>
      <c r="Q647" s="847"/>
      <c r="R647" s="738">
        <f t="shared" si="82"/>
        <v>0</v>
      </c>
      <c r="S647" s="737">
        <f t="shared" si="83"/>
        <v>0</v>
      </c>
      <c r="T647" s="739">
        <f t="shared" si="84"/>
        <v>0</v>
      </c>
      <c r="U647" s="846">
        <v>20000</v>
      </c>
      <c r="V647" s="847">
        <v>20000</v>
      </c>
      <c r="W647" s="846"/>
      <c r="X647" s="846"/>
      <c r="Y647" s="740">
        <f t="shared" si="80"/>
        <v>0</v>
      </c>
      <c r="Z647" s="847"/>
      <c r="AA647" s="847"/>
      <c r="AB647" s="741">
        <f t="shared" si="81"/>
        <v>0</v>
      </c>
      <c r="AC647" s="846"/>
      <c r="AD647" s="847"/>
      <c r="AE647" s="846"/>
      <c r="AF647" s="846"/>
      <c r="AG647" s="847"/>
      <c r="AH647" s="847"/>
      <c r="AI647" s="742">
        <f t="shared" si="85"/>
        <v>20000</v>
      </c>
      <c r="AJ647" s="743">
        <f t="shared" si="86"/>
        <v>20000</v>
      </c>
    </row>
    <row r="648" spans="1:36">
      <c r="A648" s="1314" t="s">
        <v>148</v>
      </c>
      <c r="B648" s="1018" t="s">
        <v>292</v>
      </c>
      <c r="C648" s="1327" t="s">
        <v>1580</v>
      </c>
      <c r="D648" s="1020"/>
      <c r="E648" s="1021"/>
      <c r="F648" s="1022"/>
      <c r="G648" s="846"/>
      <c r="H648" s="847"/>
      <c r="I648" s="846"/>
      <c r="J648" s="847"/>
      <c r="K648" s="846"/>
      <c r="L648" s="847"/>
      <c r="M648" s="846"/>
      <c r="N648" s="846"/>
      <c r="O648" s="737">
        <f t="shared" si="79"/>
        <v>0</v>
      </c>
      <c r="P648" s="847"/>
      <c r="Q648" s="847"/>
      <c r="R648" s="738">
        <f t="shared" si="82"/>
        <v>0</v>
      </c>
      <c r="S648" s="737">
        <f t="shared" si="83"/>
        <v>0</v>
      </c>
      <c r="T648" s="739">
        <f t="shared" si="84"/>
        <v>0</v>
      </c>
      <c r="U648" s="846"/>
      <c r="V648" s="847"/>
      <c r="W648" s="846"/>
      <c r="X648" s="846"/>
      <c r="Y648" s="740">
        <f t="shared" si="80"/>
        <v>0</v>
      </c>
      <c r="Z648" s="847"/>
      <c r="AA648" s="847"/>
      <c r="AB648" s="741">
        <f t="shared" si="81"/>
        <v>0</v>
      </c>
      <c r="AC648" s="846"/>
      <c r="AD648" s="847"/>
      <c r="AE648" s="846"/>
      <c r="AF648" s="846"/>
      <c r="AG648" s="847"/>
      <c r="AH648" s="847"/>
      <c r="AI648" s="742">
        <f t="shared" si="85"/>
        <v>0</v>
      </c>
      <c r="AJ648" s="743">
        <f t="shared" si="86"/>
        <v>0</v>
      </c>
    </row>
    <row r="649" spans="1:36">
      <c r="A649" s="1314" t="s">
        <v>148</v>
      </c>
      <c r="B649" s="1018" t="s">
        <v>209</v>
      </c>
      <c r="C649" s="1322" t="s">
        <v>250</v>
      </c>
      <c r="D649" s="1321"/>
      <c r="E649" s="1021"/>
      <c r="F649" s="1022"/>
      <c r="G649" s="846"/>
      <c r="H649" s="847"/>
      <c r="I649" s="846"/>
      <c r="J649" s="847"/>
      <c r="K649" s="846"/>
      <c r="L649" s="847"/>
      <c r="M649" s="846"/>
      <c r="N649" s="846"/>
      <c r="O649" s="737">
        <f t="shared" si="79"/>
        <v>0</v>
      </c>
      <c r="P649" s="847"/>
      <c r="Q649" s="847"/>
      <c r="R649" s="738">
        <f t="shared" si="82"/>
        <v>0</v>
      </c>
      <c r="S649" s="737">
        <f t="shared" si="83"/>
        <v>0</v>
      </c>
      <c r="T649" s="739">
        <f t="shared" si="84"/>
        <v>0</v>
      </c>
      <c r="U649" s="846"/>
      <c r="V649" s="847"/>
      <c r="W649" s="846"/>
      <c r="X649" s="846"/>
      <c r="Y649" s="740">
        <f t="shared" si="80"/>
        <v>0</v>
      </c>
      <c r="Z649" s="847"/>
      <c r="AA649" s="847"/>
      <c r="AB649" s="741">
        <f t="shared" si="81"/>
        <v>0</v>
      </c>
      <c r="AC649" s="846"/>
      <c r="AD649" s="847"/>
      <c r="AE649" s="846"/>
      <c r="AF649" s="846"/>
      <c r="AG649" s="847"/>
      <c r="AH649" s="847"/>
      <c r="AI649" s="742">
        <f t="shared" si="85"/>
        <v>0</v>
      </c>
      <c r="AJ649" s="743">
        <f t="shared" si="86"/>
        <v>0</v>
      </c>
    </row>
    <row r="650" spans="1:36">
      <c r="A650" s="1314" t="s">
        <v>148</v>
      </c>
      <c r="B650" s="1018" t="s">
        <v>210</v>
      </c>
      <c r="C650" s="1322" t="s">
        <v>311</v>
      </c>
      <c r="D650" s="1321"/>
      <c r="E650" s="1021"/>
      <c r="F650" s="1022"/>
      <c r="G650" s="846"/>
      <c r="H650" s="847"/>
      <c r="I650" s="846"/>
      <c r="J650" s="847"/>
      <c r="K650" s="846"/>
      <c r="L650" s="847"/>
      <c r="M650" s="846"/>
      <c r="N650" s="846"/>
      <c r="O650" s="737">
        <f t="shared" ref="O650:O713" si="87">SUM(M650:N650)</f>
        <v>0</v>
      </c>
      <c r="P650" s="847"/>
      <c r="Q650" s="847"/>
      <c r="R650" s="738">
        <f t="shared" si="82"/>
        <v>0</v>
      </c>
      <c r="S650" s="737">
        <f t="shared" si="83"/>
        <v>0</v>
      </c>
      <c r="T650" s="739">
        <f t="shared" si="84"/>
        <v>0</v>
      </c>
      <c r="U650" s="846"/>
      <c r="V650" s="847"/>
      <c r="W650" s="846"/>
      <c r="X650" s="846"/>
      <c r="Y650" s="740">
        <f t="shared" ref="Y650:Y713" si="88">SUM(W650:X650)</f>
        <v>0</v>
      </c>
      <c r="Z650" s="847"/>
      <c r="AA650" s="847"/>
      <c r="AB650" s="741">
        <f t="shared" ref="AB650:AB713" si="89">SUM(Z650:AA650)</f>
        <v>0</v>
      </c>
      <c r="AC650" s="846"/>
      <c r="AD650" s="847"/>
      <c r="AE650" s="846"/>
      <c r="AF650" s="846"/>
      <c r="AG650" s="847"/>
      <c r="AH650" s="847"/>
      <c r="AI650" s="742">
        <f t="shared" si="85"/>
        <v>0</v>
      </c>
      <c r="AJ650" s="743">
        <f t="shared" si="86"/>
        <v>0</v>
      </c>
    </row>
    <row r="651" spans="1:36">
      <c r="A651" s="1314" t="s">
        <v>148</v>
      </c>
      <c r="B651" s="1018" t="s">
        <v>204</v>
      </c>
      <c r="C651" s="1322" t="s">
        <v>249</v>
      </c>
      <c r="D651" s="1321"/>
      <c r="E651" s="1021"/>
      <c r="F651" s="1022"/>
      <c r="G651" s="846"/>
      <c r="H651" s="847"/>
      <c r="I651" s="846"/>
      <c r="J651" s="847"/>
      <c r="K651" s="846"/>
      <c r="L651" s="847"/>
      <c r="M651" s="846"/>
      <c r="N651" s="846"/>
      <c r="O651" s="737">
        <f t="shared" si="87"/>
        <v>0</v>
      </c>
      <c r="P651" s="847"/>
      <c r="Q651" s="847"/>
      <c r="R651" s="738">
        <f t="shared" ref="R651:R714" si="90">SUM(P651:Q651)</f>
        <v>0</v>
      </c>
      <c r="S651" s="737">
        <f t="shared" ref="S651:S714" si="91">SUM(G651,I651,K651,M651)</f>
        <v>0</v>
      </c>
      <c r="T651" s="739">
        <f t="shared" ref="T651:T714" si="92">SUM(H651,J651,L651,P651)</f>
        <v>0</v>
      </c>
      <c r="U651" s="846">
        <v>70160</v>
      </c>
      <c r="V651" s="847">
        <v>67438</v>
      </c>
      <c r="W651" s="846"/>
      <c r="X651" s="846"/>
      <c r="Y651" s="740">
        <f t="shared" si="88"/>
        <v>0</v>
      </c>
      <c r="Z651" s="847"/>
      <c r="AA651" s="847"/>
      <c r="AB651" s="741">
        <f t="shared" si="89"/>
        <v>0</v>
      </c>
      <c r="AC651" s="846"/>
      <c r="AD651" s="847"/>
      <c r="AE651" s="846"/>
      <c r="AF651" s="846"/>
      <c r="AG651" s="847"/>
      <c r="AH651" s="847"/>
      <c r="AI651" s="742">
        <f t="shared" ref="AI651:AI714" si="93">SUM(S651,U651,W651,AC651,AE651)</f>
        <v>70160</v>
      </c>
      <c r="AJ651" s="743">
        <f t="shared" ref="AJ651:AJ714" si="94">SUM(T651,V651,Z651,AD651,AG651)</f>
        <v>67438</v>
      </c>
    </row>
    <row r="652" spans="1:36">
      <c r="A652" s="1314" t="s">
        <v>148</v>
      </c>
      <c r="B652" s="1018" t="s">
        <v>205</v>
      </c>
      <c r="C652" s="1322" t="s">
        <v>222</v>
      </c>
      <c r="D652" s="1321"/>
      <c r="E652" s="1021"/>
      <c r="F652" s="1022"/>
      <c r="G652" s="846"/>
      <c r="H652" s="847"/>
      <c r="I652" s="846"/>
      <c r="J652" s="847"/>
      <c r="K652" s="846"/>
      <c r="L652" s="847"/>
      <c r="M652" s="846"/>
      <c r="N652" s="846"/>
      <c r="O652" s="737">
        <f t="shared" si="87"/>
        <v>0</v>
      </c>
      <c r="P652" s="847"/>
      <c r="Q652" s="847"/>
      <c r="R652" s="738">
        <f t="shared" si="90"/>
        <v>0</v>
      </c>
      <c r="S652" s="737">
        <f t="shared" si="91"/>
        <v>0</v>
      </c>
      <c r="T652" s="739">
        <f t="shared" si="92"/>
        <v>0</v>
      </c>
      <c r="U652" s="846"/>
      <c r="V652" s="847"/>
      <c r="W652" s="846"/>
      <c r="X652" s="846"/>
      <c r="Y652" s="740">
        <f t="shared" si="88"/>
        <v>0</v>
      </c>
      <c r="Z652" s="847"/>
      <c r="AA652" s="847"/>
      <c r="AB652" s="741">
        <f t="shared" si="89"/>
        <v>0</v>
      </c>
      <c r="AC652" s="846"/>
      <c r="AD652" s="847"/>
      <c r="AE652" s="846"/>
      <c r="AF652" s="846"/>
      <c r="AG652" s="847"/>
      <c r="AH652" s="847"/>
      <c r="AI652" s="742">
        <f t="shared" si="93"/>
        <v>0</v>
      </c>
      <c r="AJ652" s="743">
        <f t="shared" si="94"/>
        <v>0</v>
      </c>
    </row>
    <row r="653" spans="1:36">
      <c r="A653" s="1314" t="s">
        <v>148</v>
      </c>
      <c r="B653" s="1018" t="s">
        <v>218</v>
      </c>
      <c r="C653" s="1322" t="s">
        <v>311</v>
      </c>
      <c r="D653" s="1321"/>
      <c r="E653" s="1021"/>
      <c r="F653" s="1022"/>
      <c r="G653" s="846"/>
      <c r="H653" s="847"/>
      <c r="I653" s="846"/>
      <c r="J653" s="847"/>
      <c r="K653" s="846"/>
      <c r="L653" s="847"/>
      <c r="M653" s="846"/>
      <c r="N653" s="846"/>
      <c r="O653" s="737">
        <f t="shared" si="87"/>
        <v>0</v>
      </c>
      <c r="P653" s="847"/>
      <c r="Q653" s="847"/>
      <c r="R653" s="738">
        <f t="shared" si="90"/>
        <v>0</v>
      </c>
      <c r="S653" s="737">
        <f t="shared" si="91"/>
        <v>0</v>
      </c>
      <c r="T653" s="739">
        <f t="shared" si="92"/>
        <v>0</v>
      </c>
      <c r="U653" s="846"/>
      <c r="V653" s="847"/>
      <c r="W653" s="846"/>
      <c r="X653" s="846"/>
      <c r="Y653" s="740">
        <f t="shared" si="88"/>
        <v>0</v>
      </c>
      <c r="Z653" s="847"/>
      <c r="AA653" s="847"/>
      <c r="AB653" s="741">
        <f t="shared" si="89"/>
        <v>0</v>
      </c>
      <c r="AC653" s="846"/>
      <c r="AD653" s="847"/>
      <c r="AE653" s="846"/>
      <c r="AF653" s="846"/>
      <c r="AG653" s="847"/>
      <c r="AH653" s="847"/>
      <c r="AI653" s="742">
        <f t="shared" si="93"/>
        <v>0</v>
      </c>
      <c r="AJ653" s="743">
        <f t="shared" si="94"/>
        <v>0</v>
      </c>
    </row>
    <row r="654" spans="1:36">
      <c r="A654" s="1314" t="s">
        <v>148</v>
      </c>
      <c r="B654" s="1018" t="s">
        <v>219</v>
      </c>
      <c r="C654" s="1322" t="s">
        <v>249</v>
      </c>
      <c r="D654" s="1321"/>
      <c r="E654" s="1021"/>
      <c r="F654" s="1022"/>
      <c r="G654" s="846"/>
      <c r="H654" s="847"/>
      <c r="I654" s="846"/>
      <c r="J654" s="847"/>
      <c r="K654" s="846"/>
      <c r="L654" s="847"/>
      <c r="M654" s="846"/>
      <c r="N654" s="846"/>
      <c r="O654" s="737">
        <f t="shared" si="87"/>
        <v>0</v>
      </c>
      <c r="P654" s="847"/>
      <c r="Q654" s="847"/>
      <c r="R654" s="738">
        <f t="shared" si="90"/>
        <v>0</v>
      </c>
      <c r="S654" s="737">
        <f t="shared" si="91"/>
        <v>0</v>
      </c>
      <c r="T654" s="739">
        <f t="shared" si="92"/>
        <v>0</v>
      </c>
      <c r="U654" s="846"/>
      <c r="V654" s="847"/>
      <c r="W654" s="846"/>
      <c r="X654" s="846"/>
      <c r="Y654" s="740">
        <f t="shared" si="88"/>
        <v>0</v>
      </c>
      <c r="Z654" s="847"/>
      <c r="AA654" s="847"/>
      <c r="AB654" s="741">
        <f t="shared" si="89"/>
        <v>0</v>
      </c>
      <c r="AC654" s="846"/>
      <c r="AD654" s="847"/>
      <c r="AE654" s="846"/>
      <c r="AF654" s="846"/>
      <c r="AG654" s="847"/>
      <c r="AH654" s="847"/>
      <c r="AI654" s="742">
        <f t="shared" si="93"/>
        <v>0</v>
      </c>
      <c r="AJ654" s="743">
        <f t="shared" si="94"/>
        <v>0</v>
      </c>
    </row>
    <row r="655" spans="1:36">
      <c r="A655" s="1314" t="s">
        <v>148</v>
      </c>
      <c r="B655" s="1018" t="s">
        <v>292</v>
      </c>
      <c r="C655" s="1327" t="s">
        <v>1581</v>
      </c>
      <c r="D655" s="1020"/>
      <c r="E655" s="1021"/>
      <c r="F655" s="1022"/>
      <c r="G655" s="846"/>
      <c r="H655" s="847"/>
      <c r="I655" s="846"/>
      <c r="J655" s="847"/>
      <c r="K655" s="846"/>
      <c r="L655" s="847"/>
      <c r="M655" s="846"/>
      <c r="N655" s="846"/>
      <c r="O655" s="737">
        <f t="shared" si="87"/>
        <v>0</v>
      </c>
      <c r="P655" s="847"/>
      <c r="Q655" s="847"/>
      <c r="R655" s="738">
        <f t="shared" si="90"/>
        <v>0</v>
      </c>
      <c r="S655" s="737">
        <f t="shared" si="91"/>
        <v>0</v>
      </c>
      <c r="T655" s="739">
        <f t="shared" si="92"/>
        <v>0</v>
      </c>
      <c r="U655" s="846"/>
      <c r="V655" s="847"/>
      <c r="W655" s="846"/>
      <c r="X655" s="846"/>
      <c r="Y655" s="740">
        <f t="shared" si="88"/>
        <v>0</v>
      </c>
      <c r="Z655" s="847"/>
      <c r="AA655" s="847"/>
      <c r="AB655" s="741">
        <f t="shared" si="89"/>
        <v>0</v>
      </c>
      <c r="AC655" s="846"/>
      <c r="AD655" s="847"/>
      <c r="AE655" s="846"/>
      <c r="AF655" s="846"/>
      <c r="AG655" s="847"/>
      <c r="AH655" s="847"/>
      <c r="AI655" s="742">
        <f t="shared" si="93"/>
        <v>0</v>
      </c>
      <c r="AJ655" s="743">
        <f t="shared" si="94"/>
        <v>0</v>
      </c>
    </row>
    <row r="656" spans="1:36">
      <c r="A656" s="1314" t="s">
        <v>148</v>
      </c>
      <c r="B656" s="1018" t="s">
        <v>209</v>
      </c>
      <c r="C656" s="1322" t="s">
        <v>250</v>
      </c>
      <c r="D656" s="1321"/>
      <c r="E656" s="1021"/>
      <c r="F656" s="1022"/>
      <c r="G656" s="846"/>
      <c r="H656" s="847"/>
      <c r="I656" s="846"/>
      <c r="J656" s="847"/>
      <c r="K656" s="846"/>
      <c r="L656" s="847"/>
      <c r="M656" s="846"/>
      <c r="N656" s="846"/>
      <c r="O656" s="737">
        <f t="shared" si="87"/>
        <v>0</v>
      </c>
      <c r="P656" s="847"/>
      <c r="Q656" s="847"/>
      <c r="R656" s="738">
        <f t="shared" si="90"/>
        <v>0</v>
      </c>
      <c r="S656" s="737">
        <f t="shared" si="91"/>
        <v>0</v>
      </c>
      <c r="T656" s="739">
        <f t="shared" si="92"/>
        <v>0</v>
      </c>
      <c r="U656" s="846"/>
      <c r="V656" s="847"/>
      <c r="W656" s="846"/>
      <c r="X656" s="846"/>
      <c r="Y656" s="740">
        <f t="shared" si="88"/>
        <v>0</v>
      </c>
      <c r="Z656" s="847"/>
      <c r="AA656" s="847"/>
      <c r="AB656" s="741">
        <f t="shared" si="89"/>
        <v>0</v>
      </c>
      <c r="AC656" s="846"/>
      <c r="AD656" s="847"/>
      <c r="AE656" s="846"/>
      <c r="AF656" s="846"/>
      <c r="AG656" s="847"/>
      <c r="AH656" s="847"/>
      <c r="AI656" s="742">
        <f t="shared" si="93"/>
        <v>0</v>
      </c>
      <c r="AJ656" s="743">
        <f t="shared" si="94"/>
        <v>0</v>
      </c>
    </row>
    <row r="657" spans="1:36">
      <c r="A657" s="1314" t="s">
        <v>148</v>
      </c>
      <c r="B657" s="1018" t="s">
        <v>210</v>
      </c>
      <c r="C657" s="1322" t="s">
        <v>311</v>
      </c>
      <c r="D657" s="1321"/>
      <c r="E657" s="1021"/>
      <c r="F657" s="1022"/>
      <c r="G657" s="846"/>
      <c r="H657" s="847"/>
      <c r="I657" s="846"/>
      <c r="J657" s="847"/>
      <c r="K657" s="846"/>
      <c r="L657" s="847"/>
      <c r="M657" s="846"/>
      <c r="N657" s="846"/>
      <c r="O657" s="737">
        <f t="shared" si="87"/>
        <v>0</v>
      </c>
      <c r="P657" s="847"/>
      <c r="Q657" s="847"/>
      <c r="R657" s="738">
        <f t="shared" si="90"/>
        <v>0</v>
      </c>
      <c r="S657" s="737">
        <f t="shared" si="91"/>
        <v>0</v>
      </c>
      <c r="T657" s="739">
        <f t="shared" si="92"/>
        <v>0</v>
      </c>
      <c r="U657" s="846"/>
      <c r="V657" s="847"/>
      <c r="W657" s="846"/>
      <c r="X657" s="846"/>
      <c r="Y657" s="740">
        <f t="shared" si="88"/>
        <v>0</v>
      </c>
      <c r="Z657" s="847"/>
      <c r="AA657" s="847"/>
      <c r="AB657" s="741">
        <f t="shared" si="89"/>
        <v>0</v>
      </c>
      <c r="AC657" s="846"/>
      <c r="AD657" s="847"/>
      <c r="AE657" s="846"/>
      <c r="AF657" s="846"/>
      <c r="AG657" s="847"/>
      <c r="AH657" s="847"/>
      <c r="AI657" s="742">
        <f t="shared" si="93"/>
        <v>0</v>
      </c>
      <c r="AJ657" s="743">
        <f t="shared" si="94"/>
        <v>0</v>
      </c>
    </row>
    <row r="658" spans="1:36">
      <c r="A658" s="1314" t="s">
        <v>148</v>
      </c>
      <c r="B658" s="1018" t="s">
        <v>204</v>
      </c>
      <c r="C658" s="1322" t="s">
        <v>249</v>
      </c>
      <c r="D658" s="1321"/>
      <c r="E658" s="1021"/>
      <c r="F658" s="1022"/>
      <c r="G658" s="846"/>
      <c r="H658" s="847"/>
      <c r="I658" s="846"/>
      <c r="J658" s="847"/>
      <c r="K658" s="846"/>
      <c r="L658" s="847"/>
      <c r="M658" s="846"/>
      <c r="N658" s="846"/>
      <c r="O658" s="737">
        <f t="shared" si="87"/>
        <v>0</v>
      </c>
      <c r="P658" s="847"/>
      <c r="Q658" s="847"/>
      <c r="R658" s="738">
        <f t="shared" si="90"/>
        <v>0</v>
      </c>
      <c r="S658" s="737">
        <f t="shared" si="91"/>
        <v>0</v>
      </c>
      <c r="T658" s="739">
        <f t="shared" si="92"/>
        <v>0</v>
      </c>
      <c r="U658" s="846">
        <v>20000</v>
      </c>
      <c r="V658" s="847">
        <v>20000</v>
      </c>
      <c r="W658" s="846"/>
      <c r="X658" s="846"/>
      <c r="Y658" s="740">
        <f t="shared" si="88"/>
        <v>0</v>
      </c>
      <c r="Z658" s="847"/>
      <c r="AA658" s="847"/>
      <c r="AB658" s="741">
        <f t="shared" si="89"/>
        <v>0</v>
      </c>
      <c r="AC658" s="846"/>
      <c r="AD658" s="847"/>
      <c r="AE658" s="846"/>
      <c r="AF658" s="846"/>
      <c r="AG658" s="847"/>
      <c r="AH658" s="847"/>
      <c r="AI658" s="742">
        <f t="shared" si="93"/>
        <v>20000</v>
      </c>
      <c r="AJ658" s="743">
        <f t="shared" si="94"/>
        <v>20000</v>
      </c>
    </row>
    <row r="659" spans="1:36">
      <c r="A659" s="1314" t="s">
        <v>148</v>
      </c>
      <c r="B659" s="1018" t="s">
        <v>205</v>
      </c>
      <c r="C659" s="1322" t="s">
        <v>222</v>
      </c>
      <c r="D659" s="1321"/>
      <c r="E659" s="1021"/>
      <c r="F659" s="1022"/>
      <c r="G659" s="846"/>
      <c r="H659" s="847"/>
      <c r="I659" s="846"/>
      <c r="J659" s="847"/>
      <c r="K659" s="846"/>
      <c r="L659" s="847"/>
      <c r="M659" s="846"/>
      <c r="N659" s="846"/>
      <c r="O659" s="737">
        <f t="shared" si="87"/>
        <v>0</v>
      </c>
      <c r="P659" s="847"/>
      <c r="Q659" s="847"/>
      <c r="R659" s="738">
        <f t="shared" si="90"/>
        <v>0</v>
      </c>
      <c r="S659" s="737">
        <f t="shared" si="91"/>
        <v>0</v>
      </c>
      <c r="T659" s="739">
        <f t="shared" si="92"/>
        <v>0</v>
      </c>
      <c r="U659" s="846"/>
      <c r="V659" s="847"/>
      <c r="W659" s="846"/>
      <c r="X659" s="846"/>
      <c r="Y659" s="740">
        <f t="shared" si="88"/>
        <v>0</v>
      </c>
      <c r="Z659" s="847"/>
      <c r="AA659" s="847"/>
      <c r="AB659" s="741">
        <f t="shared" si="89"/>
        <v>0</v>
      </c>
      <c r="AC659" s="846"/>
      <c r="AD659" s="847"/>
      <c r="AE659" s="846"/>
      <c r="AF659" s="846"/>
      <c r="AG659" s="847"/>
      <c r="AH659" s="847"/>
      <c r="AI659" s="742">
        <f t="shared" si="93"/>
        <v>0</v>
      </c>
      <c r="AJ659" s="743">
        <f t="shared" si="94"/>
        <v>0</v>
      </c>
    </row>
    <row r="660" spans="1:36">
      <c r="A660" s="1314" t="s">
        <v>148</v>
      </c>
      <c r="B660" s="1018" t="s">
        <v>218</v>
      </c>
      <c r="C660" s="1322" t="s">
        <v>311</v>
      </c>
      <c r="D660" s="1321"/>
      <c r="E660" s="1021"/>
      <c r="F660" s="1022"/>
      <c r="G660" s="846"/>
      <c r="H660" s="847"/>
      <c r="I660" s="846"/>
      <c r="J660" s="847"/>
      <c r="K660" s="846"/>
      <c r="L660" s="847"/>
      <c r="M660" s="846"/>
      <c r="N660" s="846"/>
      <c r="O660" s="737">
        <f t="shared" si="87"/>
        <v>0</v>
      </c>
      <c r="P660" s="847"/>
      <c r="Q660" s="847"/>
      <c r="R660" s="738">
        <f t="shared" si="90"/>
        <v>0</v>
      </c>
      <c r="S660" s="737">
        <f t="shared" si="91"/>
        <v>0</v>
      </c>
      <c r="T660" s="739">
        <f t="shared" si="92"/>
        <v>0</v>
      </c>
      <c r="U660" s="846"/>
      <c r="V660" s="847"/>
      <c r="W660" s="846"/>
      <c r="X660" s="846"/>
      <c r="Y660" s="740">
        <f t="shared" si="88"/>
        <v>0</v>
      </c>
      <c r="Z660" s="847"/>
      <c r="AA660" s="847"/>
      <c r="AB660" s="741">
        <f t="shared" si="89"/>
        <v>0</v>
      </c>
      <c r="AC660" s="846"/>
      <c r="AD660" s="847"/>
      <c r="AE660" s="846"/>
      <c r="AF660" s="846"/>
      <c r="AG660" s="847"/>
      <c r="AH660" s="847"/>
      <c r="AI660" s="742">
        <f t="shared" si="93"/>
        <v>0</v>
      </c>
      <c r="AJ660" s="743">
        <f t="shared" si="94"/>
        <v>0</v>
      </c>
    </row>
    <row r="661" spans="1:36">
      <c r="A661" s="1314" t="s">
        <v>148</v>
      </c>
      <c r="B661" s="1018" t="s">
        <v>219</v>
      </c>
      <c r="C661" s="1322" t="s">
        <v>249</v>
      </c>
      <c r="D661" s="1321"/>
      <c r="E661" s="1021"/>
      <c r="F661" s="1022"/>
      <c r="G661" s="846"/>
      <c r="H661" s="847"/>
      <c r="I661" s="846"/>
      <c r="J661" s="847"/>
      <c r="K661" s="846"/>
      <c r="L661" s="847"/>
      <c r="M661" s="846"/>
      <c r="N661" s="846"/>
      <c r="O661" s="737">
        <f t="shared" si="87"/>
        <v>0</v>
      </c>
      <c r="P661" s="847"/>
      <c r="Q661" s="847"/>
      <c r="R661" s="738">
        <f t="shared" si="90"/>
        <v>0</v>
      </c>
      <c r="S661" s="737">
        <f t="shared" si="91"/>
        <v>0</v>
      </c>
      <c r="T661" s="739">
        <f t="shared" si="92"/>
        <v>0</v>
      </c>
      <c r="U661" s="846">
        <v>0</v>
      </c>
      <c r="V661" s="847">
        <v>0</v>
      </c>
      <c r="W661" s="846"/>
      <c r="X661" s="846"/>
      <c r="Y661" s="740">
        <f t="shared" si="88"/>
        <v>0</v>
      </c>
      <c r="Z661" s="847"/>
      <c r="AA661" s="847"/>
      <c r="AB661" s="741">
        <f t="shared" si="89"/>
        <v>0</v>
      </c>
      <c r="AC661" s="846"/>
      <c r="AD661" s="847"/>
      <c r="AE661" s="846"/>
      <c r="AF661" s="846"/>
      <c r="AG661" s="847"/>
      <c r="AH661" s="847"/>
      <c r="AI661" s="742">
        <f t="shared" si="93"/>
        <v>0</v>
      </c>
      <c r="AJ661" s="743">
        <f t="shared" si="94"/>
        <v>0</v>
      </c>
    </row>
    <row r="662" spans="1:36">
      <c r="A662" s="1314" t="s">
        <v>148</v>
      </c>
      <c r="B662" s="1018" t="s">
        <v>292</v>
      </c>
      <c r="C662" s="1327" t="s">
        <v>1582</v>
      </c>
      <c r="D662" s="1020"/>
      <c r="E662" s="1021"/>
      <c r="F662" s="1022"/>
      <c r="G662" s="846"/>
      <c r="H662" s="847"/>
      <c r="I662" s="846"/>
      <c r="J662" s="847"/>
      <c r="K662" s="846"/>
      <c r="L662" s="847"/>
      <c r="M662" s="846"/>
      <c r="N662" s="846"/>
      <c r="O662" s="737">
        <f t="shared" si="87"/>
        <v>0</v>
      </c>
      <c r="P662" s="847"/>
      <c r="Q662" s="847"/>
      <c r="R662" s="738">
        <f t="shared" si="90"/>
        <v>0</v>
      </c>
      <c r="S662" s="737">
        <f t="shared" si="91"/>
        <v>0</v>
      </c>
      <c r="T662" s="739">
        <f t="shared" si="92"/>
        <v>0</v>
      </c>
      <c r="U662" s="846"/>
      <c r="V662" s="847"/>
      <c r="W662" s="846"/>
      <c r="X662" s="846"/>
      <c r="Y662" s="740">
        <f t="shared" si="88"/>
        <v>0</v>
      </c>
      <c r="Z662" s="847"/>
      <c r="AA662" s="847"/>
      <c r="AB662" s="741">
        <f t="shared" si="89"/>
        <v>0</v>
      </c>
      <c r="AC662" s="846"/>
      <c r="AD662" s="847"/>
      <c r="AE662" s="846"/>
      <c r="AF662" s="846"/>
      <c r="AG662" s="847"/>
      <c r="AH662" s="847"/>
      <c r="AI662" s="742">
        <f t="shared" si="93"/>
        <v>0</v>
      </c>
      <c r="AJ662" s="743">
        <f t="shared" si="94"/>
        <v>0</v>
      </c>
    </row>
    <row r="663" spans="1:36">
      <c r="A663" s="1314" t="s">
        <v>148</v>
      </c>
      <c r="B663" s="1018" t="s">
        <v>209</v>
      </c>
      <c r="C663" s="1322" t="s">
        <v>250</v>
      </c>
      <c r="D663" s="1321"/>
      <c r="E663" s="1021"/>
      <c r="F663" s="1022"/>
      <c r="G663" s="846"/>
      <c r="H663" s="847"/>
      <c r="I663" s="846"/>
      <c r="J663" s="847"/>
      <c r="K663" s="846"/>
      <c r="L663" s="847"/>
      <c r="M663" s="846"/>
      <c r="N663" s="846"/>
      <c r="O663" s="737">
        <f t="shared" si="87"/>
        <v>0</v>
      </c>
      <c r="P663" s="847"/>
      <c r="Q663" s="847"/>
      <c r="R663" s="738">
        <f t="shared" si="90"/>
        <v>0</v>
      </c>
      <c r="S663" s="737">
        <f t="shared" si="91"/>
        <v>0</v>
      </c>
      <c r="T663" s="739">
        <f t="shared" si="92"/>
        <v>0</v>
      </c>
      <c r="U663" s="846"/>
      <c r="V663" s="847"/>
      <c r="W663" s="846"/>
      <c r="X663" s="846"/>
      <c r="Y663" s="740">
        <f t="shared" si="88"/>
        <v>0</v>
      </c>
      <c r="Z663" s="847"/>
      <c r="AA663" s="847"/>
      <c r="AB663" s="741">
        <f t="shared" si="89"/>
        <v>0</v>
      </c>
      <c r="AC663" s="846"/>
      <c r="AD663" s="847"/>
      <c r="AE663" s="846"/>
      <c r="AF663" s="846"/>
      <c r="AG663" s="847"/>
      <c r="AH663" s="847"/>
      <c r="AI663" s="742">
        <f t="shared" si="93"/>
        <v>0</v>
      </c>
      <c r="AJ663" s="743">
        <f t="shared" si="94"/>
        <v>0</v>
      </c>
    </row>
    <row r="664" spans="1:36">
      <c r="A664" s="1314" t="s">
        <v>148</v>
      </c>
      <c r="B664" s="1018" t="s">
        <v>210</v>
      </c>
      <c r="C664" s="1322" t="s">
        <v>311</v>
      </c>
      <c r="D664" s="1321"/>
      <c r="E664" s="1021"/>
      <c r="F664" s="1022"/>
      <c r="G664" s="846"/>
      <c r="H664" s="847"/>
      <c r="I664" s="846"/>
      <c r="J664" s="847"/>
      <c r="K664" s="846"/>
      <c r="L664" s="847"/>
      <c r="M664" s="846"/>
      <c r="N664" s="846"/>
      <c r="O664" s="737">
        <f t="shared" si="87"/>
        <v>0</v>
      </c>
      <c r="P664" s="847"/>
      <c r="Q664" s="847"/>
      <c r="R664" s="738">
        <f t="shared" si="90"/>
        <v>0</v>
      </c>
      <c r="S664" s="737">
        <f t="shared" si="91"/>
        <v>0</v>
      </c>
      <c r="T664" s="739">
        <f t="shared" si="92"/>
        <v>0</v>
      </c>
      <c r="U664" s="846"/>
      <c r="V664" s="847"/>
      <c r="W664" s="846"/>
      <c r="X664" s="846"/>
      <c r="Y664" s="740">
        <f t="shared" si="88"/>
        <v>0</v>
      </c>
      <c r="Z664" s="847"/>
      <c r="AA664" s="847"/>
      <c r="AB664" s="741">
        <f t="shared" si="89"/>
        <v>0</v>
      </c>
      <c r="AC664" s="846"/>
      <c r="AD664" s="847"/>
      <c r="AE664" s="846"/>
      <c r="AF664" s="846"/>
      <c r="AG664" s="847"/>
      <c r="AH664" s="847"/>
      <c r="AI664" s="742">
        <f t="shared" si="93"/>
        <v>0</v>
      </c>
      <c r="AJ664" s="743">
        <f t="shared" si="94"/>
        <v>0</v>
      </c>
    </row>
    <row r="665" spans="1:36">
      <c r="A665" s="1314" t="s">
        <v>148</v>
      </c>
      <c r="B665" s="1018" t="s">
        <v>204</v>
      </c>
      <c r="C665" s="1322" t="s">
        <v>249</v>
      </c>
      <c r="D665" s="1321"/>
      <c r="E665" s="1021"/>
      <c r="F665" s="1022"/>
      <c r="G665" s="846"/>
      <c r="H665" s="847"/>
      <c r="I665" s="846"/>
      <c r="J665" s="847"/>
      <c r="K665" s="846"/>
      <c r="L665" s="847"/>
      <c r="M665" s="846"/>
      <c r="N665" s="846"/>
      <c r="O665" s="737">
        <f t="shared" si="87"/>
        <v>0</v>
      </c>
      <c r="P665" s="847"/>
      <c r="Q665" s="847"/>
      <c r="R665" s="738">
        <f t="shared" si="90"/>
        <v>0</v>
      </c>
      <c r="S665" s="737">
        <f t="shared" si="91"/>
        <v>0</v>
      </c>
      <c r="T665" s="739">
        <f t="shared" si="92"/>
        <v>0</v>
      </c>
      <c r="U665" s="846">
        <v>45377</v>
      </c>
      <c r="V665" s="847">
        <v>51276</v>
      </c>
      <c r="W665" s="846"/>
      <c r="X665" s="846"/>
      <c r="Y665" s="740">
        <f t="shared" si="88"/>
        <v>0</v>
      </c>
      <c r="Z665" s="847"/>
      <c r="AA665" s="847"/>
      <c r="AB665" s="741">
        <f t="shared" si="89"/>
        <v>0</v>
      </c>
      <c r="AC665" s="846"/>
      <c r="AD665" s="847"/>
      <c r="AE665" s="846"/>
      <c r="AF665" s="846"/>
      <c r="AG665" s="847"/>
      <c r="AH665" s="847"/>
      <c r="AI665" s="742">
        <f t="shared" si="93"/>
        <v>45377</v>
      </c>
      <c r="AJ665" s="743">
        <f t="shared" si="94"/>
        <v>51276</v>
      </c>
    </row>
    <row r="666" spans="1:36">
      <c r="A666" s="1314" t="s">
        <v>148</v>
      </c>
      <c r="B666" s="1018" t="s">
        <v>205</v>
      </c>
      <c r="C666" s="1322" t="s">
        <v>222</v>
      </c>
      <c r="D666" s="1321"/>
      <c r="E666" s="1021"/>
      <c r="F666" s="1022"/>
      <c r="G666" s="846"/>
      <c r="H666" s="847"/>
      <c r="I666" s="846"/>
      <c r="J666" s="847"/>
      <c r="K666" s="846"/>
      <c r="L666" s="847"/>
      <c r="M666" s="846"/>
      <c r="N666" s="846"/>
      <c r="O666" s="737">
        <f t="shared" si="87"/>
        <v>0</v>
      </c>
      <c r="P666" s="847"/>
      <c r="Q666" s="847"/>
      <c r="R666" s="738">
        <f t="shared" si="90"/>
        <v>0</v>
      </c>
      <c r="S666" s="737">
        <f t="shared" si="91"/>
        <v>0</v>
      </c>
      <c r="T666" s="739">
        <f t="shared" si="92"/>
        <v>0</v>
      </c>
      <c r="U666" s="846"/>
      <c r="V666" s="847"/>
      <c r="W666" s="846"/>
      <c r="X666" s="846"/>
      <c r="Y666" s="740">
        <f t="shared" si="88"/>
        <v>0</v>
      </c>
      <c r="Z666" s="847"/>
      <c r="AA666" s="847"/>
      <c r="AB666" s="741">
        <f t="shared" si="89"/>
        <v>0</v>
      </c>
      <c r="AC666" s="846"/>
      <c r="AD666" s="847"/>
      <c r="AE666" s="846"/>
      <c r="AF666" s="846"/>
      <c r="AG666" s="847"/>
      <c r="AH666" s="847"/>
      <c r="AI666" s="742">
        <f t="shared" si="93"/>
        <v>0</v>
      </c>
      <c r="AJ666" s="743">
        <f t="shared" si="94"/>
        <v>0</v>
      </c>
    </row>
    <row r="667" spans="1:36">
      <c r="A667" s="1314" t="s">
        <v>148</v>
      </c>
      <c r="B667" s="1018" t="s">
        <v>218</v>
      </c>
      <c r="C667" s="1322" t="s">
        <v>311</v>
      </c>
      <c r="D667" s="1321"/>
      <c r="E667" s="1021"/>
      <c r="F667" s="1022"/>
      <c r="G667" s="846"/>
      <c r="H667" s="847"/>
      <c r="I667" s="846"/>
      <c r="J667" s="847"/>
      <c r="K667" s="846"/>
      <c r="L667" s="847"/>
      <c r="M667" s="846"/>
      <c r="N667" s="846"/>
      <c r="O667" s="737">
        <f t="shared" si="87"/>
        <v>0</v>
      </c>
      <c r="P667" s="847"/>
      <c r="Q667" s="847"/>
      <c r="R667" s="738">
        <f t="shared" si="90"/>
        <v>0</v>
      </c>
      <c r="S667" s="737">
        <f t="shared" si="91"/>
        <v>0</v>
      </c>
      <c r="T667" s="739">
        <f t="shared" si="92"/>
        <v>0</v>
      </c>
      <c r="U667" s="846"/>
      <c r="V667" s="847"/>
      <c r="W667" s="846"/>
      <c r="X667" s="846"/>
      <c r="Y667" s="740">
        <f t="shared" si="88"/>
        <v>0</v>
      </c>
      <c r="Z667" s="847"/>
      <c r="AA667" s="847"/>
      <c r="AB667" s="741">
        <f t="shared" si="89"/>
        <v>0</v>
      </c>
      <c r="AC667" s="846"/>
      <c r="AD667" s="847"/>
      <c r="AE667" s="846"/>
      <c r="AF667" s="846"/>
      <c r="AG667" s="847"/>
      <c r="AH667" s="847"/>
      <c r="AI667" s="742">
        <f t="shared" si="93"/>
        <v>0</v>
      </c>
      <c r="AJ667" s="743">
        <f t="shared" si="94"/>
        <v>0</v>
      </c>
    </row>
    <row r="668" spans="1:36">
      <c r="A668" s="1314" t="s">
        <v>148</v>
      </c>
      <c r="B668" s="1018" t="s">
        <v>219</v>
      </c>
      <c r="C668" s="1322" t="s">
        <v>249</v>
      </c>
      <c r="D668" s="1321"/>
      <c r="E668" s="1021"/>
      <c r="F668" s="1022"/>
      <c r="G668" s="846"/>
      <c r="H668" s="847"/>
      <c r="I668" s="846"/>
      <c r="J668" s="847"/>
      <c r="K668" s="846"/>
      <c r="L668" s="847"/>
      <c r="M668" s="846"/>
      <c r="N668" s="846"/>
      <c r="O668" s="737">
        <f t="shared" si="87"/>
        <v>0</v>
      </c>
      <c r="P668" s="847"/>
      <c r="Q668" s="847"/>
      <c r="R668" s="738">
        <f t="shared" si="90"/>
        <v>0</v>
      </c>
      <c r="S668" s="737">
        <f t="shared" si="91"/>
        <v>0</v>
      </c>
      <c r="T668" s="739">
        <f t="shared" si="92"/>
        <v>0</v>
      </c>
      <c r="U668" s="846"/>
      <c r="V668" s="847"/>
      <c r="W668" s="846"/>
      <c r="X668" s="846"/>
      <c r="Y668" s="740">
        <f t="shared" si="88"/>
        <v>0</v>
      </c>
      <c r="Z668" s="847"/>
      <c r="AA668" s="847"/>
      <c r="AB668" s="741">
        <f t="shared" si="89"/>
        <v>0</v>
      </c>
      <c r="AC668" s="846"/>
      <c r="AD668" s="847"/>
      <c r="AE668" s="846"/>
      <c r="AF668" s="846"/>
      <c r="AG668" s="847"/>
      <c r="AH668" s="847"/>
      <c r="AI668" s="742">
        <f t="shared" si="93"/>
        <v>0</v>
      </c>
      <c r="AJ668" s="743">
        <f t="shared" si="94"/>
        <v>0</v>
      </c>
    </row>
    <row r="669" spans="1:36">
      <c r="A669" s="1314" t="s">
        <v>148</v>
      </c>
      <c r="B669" s="1018" t="s">
        <v>292</v>
      </c>
      <c r="C669" s="1327" t="s">
        <v>1583</v>
      </c>
      <c r="D669" s="1020"/>
      <c r="E669" s="1021"/>
      <c r="F669" s="1022"/>
      <c r="G669" s="846"/>
      <c r="H669" s="847"/>
      <c r="I669" s="846"/>
      <c r="J669" s="847"/>
      <c r="K669" s="846"/>
      <c r="L669" s="847"/>
      <c r="M669" s="846"/>
      <c r="N669" s="846"/>
      <c r="O669" s="737">
        <f t="shared" si="87"/>
        <v>0</v>
      </c>
      <c r="P669" s="847"/>
      <c r="Q669" s="847"/>
      <c r="R669" s="738">
        <f t="shared" si="90"/>
        <v>0</v>
      </c>
      <c r="S669" s="737">
        <f t="shared" si="91"/>
        <v>0</v>
      </c>
      <c r="T669" s="739">
        <f t="shared" si="92"/>
        <v>0</v>
      </c>
      <c r="U669" s="846"/>
      <c r="V669" s="847"/>
      <c r="W669" s="846"/>
      <c r="X669" s="846"/>
      <c r="Y669" s="740">
        <f t="shared" si="88"/>
        <v>0</v>
      </c>
      <c r="Z669" s="847"/>
      <c r="AA669" s="847"/>
      <c r="AB669" s="741">
        <f t="shared" si="89"/>
        <v>0</v>
      </c>
      <c r="AC669" s="846"/>
      <c r="AD669" s="847"/>
      <c r="AE669" s="846"/>
      <c r="AF669" s="846"/>
      <c r="AG669" s="847"/>
      <c r="AH669" s="847"/>
      <c r="AI669" s="742">
        <f t="shared" si="93"/>
        <v>0</v>
      </c>
      <c r="AJ669" s="743">
        <f t="shared" si="94"/>
        <v>0</v>
      </c>
    </row>
    <row r="670" spans="1:36">
      <c r="A670" s="1314" t="s">
        <v>148</v>
      </c>
      <c r="B670" s="1018" t="s">
        <v>209</v>
      </c>
      <c r="C670" s="1322" t="s">
        <v>250</v>
      </c>
      <c r="D670" s="1321"/>
      <c r="E670" s="1021"/>
      <c r="F670" s="1022"/>
      <c r="G670" s="846"/>
      <c r="H670" s="847"/>
      <c r="I670" s="846"/>
      <c r="J670" s="847"/>
      <c r="K670" s="846"/>
      <c r="L670" s="847"/>
      <c r="M670" s="846"/>
      <c r="N670" s="846"/>
      <c r="O670" s="737">
        <f t="shared" si="87"/>
        <v>0</v>
      </c>
      <c r="P670" s="847"/>
      <c r="Q670" s="847"/>
      <c r="R670" s="738">
        <f t="shared" si="90"/>
        <v>0</v>
      </c>
      <c r="S670" s="737">
        <f t="shared" si="91"/>
        <v>0</v>
      </c>
      <c r="T670" s="739">
        <f t="shared" si="92"/>
        <v>0</v>
      </c>
      <c r="U670" s="846"/>
      <c r="V670" s="847"/>
      <c r="W670" s="846"/>
      <c r="X670" s="846"/>
      <c r="Y670" s="740">
        <f t="shared" si="88"/>
        <v>0</v>
      </c>
      <c r="Z670" s="847"/>
      <c r="AA670" s="847"/>
      <c r="AB670" s="741">
        <f t="shared" si="89"/>
        <v>0</v>
      </c>
      <c r="AC670" s="846"/>
      <c r="AD670" s="847"/>
      <c r="AE670" s="846"/>
      <c r="AF670" s="846"/>
      <c r="AG670" s="847"/>
      <c r="AH670" s="847"/>
      <c r="AI670" s="742">
        <f t="shared" si="93"/>
        <v>0</v>
      </c>
      <c r="AJ670" s="743">
        <f t="shared" si="94"/>
        <v>0</v>
      </c>
    </row>
    <row r="671" spans="1:36">
      <c r="A671" s="1314" t="s">
        <v>148</v>
      </c>
      <c r="B671" s="1018" t="s">
        <v>210</v>
      </c>
      <c r="C671" s="1322" t="s">
        <v>311</v>
      </c>
      <c r="D671" s="1321"/>
      <c r="E671" s="1021"/>
      <c r="F671" s="1022"/>
      <c r="G671" s="846"/>
      <c r="H671" s="847"/>
      <c r="I671" s="846"/>
      <c r="J671" s="847"/>
      <c r="K671" s="846"/>
      <c r="L671" s="847"/>
      <c r="M671" s="846"/>
      <c r="N671" s="846"/>
      <c r="O671" s="737">
        <f t="shared" si="87"/>
        <v>0</v>
      </c>
      <c r="P671" s="847"/>
      <c r="Q671" s="847"/>
      <c r="R671" s="738">
        <f t="shared" si="90"/>
        <v>0</v>
      </c>
      <c r="S671" s="737">
        <f t="shared" si="91"/>
        <v>0</v>
      </c>
      <c r="T671" s="739">
        <f t="shared" si="92"/>
        <v>0</v>
      </c>
      <c r="U671" s="846"/>
      <c r="V671" s="847"/>
      <c r="W671" s="846"/>
      <c r="X671" s="846"/>
      <c r="Y671" s="740">
        <f t="shared" si="88"/>
        <v>0</v>
      </c>
      <c r="Z671" s="847"/>
      <c r="AA671" s="847"/>
      <c r="AB671" s="741">
        <f t="shared" si="89"/>
        <v>0</v>
      </c>
      <c r="AC671" s="846"/>
      <c r="AD671" s="847"/>
      <c r="AE671" s="846"/>
      <c r="AF671" s="846"/>
      <c r="AG671" s="847"/>
      <c r="AH671" s="847"/>
      <c r="AI671" s="742">
        <f t="shared" si="93"/>
        <v>0</v>
      </c>
      <c r="AJ671" s="743">
        <f t="shared" si="94"/>
        <v>0</v>
      </c>
    </row>
    <row r="672" spans="1:36">
      <c r="A672" s="1314" t="s">
        <v>148</v>
      </c>
      <c r="B672" s="1018" t="s">
        <v>204</v>
      </c>
      <c r="C672" s="1322" t="s">
        <v>249</v>
      </c>
      <c r="D672" s="1321"/>
      <c r="E672" s="1021"/>
      <c r="F672" s="1022"/>
      <c r="G672" s="846"/>
      <c r="H672" s="847"/>
      <c r="I672" s="846"/>
      <c r="J672" s="847"/>
      <c r="K672" s="846"/>
      <c r="L672" s="847"/>
      <c r="M672" s="846"/>
      <c r="N672" s="846"/>
      <c r="O672" s="737">
        <f t="shared" si="87"/>
        <v>0</v>
      </c>
      <c r="P672" s="847"/>
      <c r="Q672" s="847"/>
      <c r="R672" s="738">
        <f t="shared" si="90"/>
        <v>0</v>
      </c>
      <c r="S672" s="737">
        <f t="shared" si="91"/>
        <v>0</v>
      </c>
      <c r="T672" s="739">
        <f t="shared" si="92"/>
        <v>0</v>
      </c>
      <c r="U672" s="846"/>
      <c r="V672" s="847"/>
      <c r="W672" s="846"/>
      <c r="X672" s="846"/>
      <c r="Y672" s="740">
        <f t="shared" si="88"/>
        <v>0</v>
      </c>
      <c r="Z672" s="847"/>
      <c r="AA672" s="847"/>
      <c r="AB672" s="741">
        <f t="shared" si="89"/>
        <v>0</v>
      </c>
      <c r="AC672" s="846"/>
      <c r="AD672" s="847"/>
      <c r="AE672" s="846"/>
      <c r="AF672" s="846"/>
      <c r="AG672" s="847"/>
      <c r="AH672" s="847"/>
      <c r="AI672" s="742">
        <f t="shared" si="93"/>
        <v>0</v>
      </c>
      <c r="AJ672" s="743">
        <f t="shared" si="94"/>
        <v>0</v>
      </c>
    </row>
    <row r="673" spans="1:36">
      <c r="A673" s="1314" t="s">
        <v>148</v>
      </c>
      <c r="B673" s="1018" t="s">
        <v>205</v>
      </c>
      <c r="C673" s="1322" t="s">
        <v>222</v>
      </c>
      <c r="D673" s="1321"/>
      <c r="E673" s="1021"/>
      <c r="F673" s="1022"/>
      <c r="G673" s="846"/>
      <c r="H673" s="847"/>
      <c r="I673" s="846"/>
      <c r="J673" s="847"/>
      <c r="K673" s="846"/>
      <c r="L673" s="847"/>
      <c r="M673" s="846"/>
      <c r="N673" s="846"/>
      <c r="O673" s="737">
        <f t="shared" si="87"/>
        <v>0</v>
      </c>
      <c r="P673" s="847"/>
      <c r="Q673" s="847"/>
      <c r="R673" s="738">
        <f t="shared" si="90"/>
        <v>0</v>
      </c>
      <c r="S673" s="737">
        <f t="shared" si="91"/>
        <v>0</v>
      </c>
      <c r="T673" s="739">
        <f t="shared" si="92"/>
        <v>0</v>
      </c>
      <c r="U673" s="846"/>
      <c r="V673" s="847"/>
      <c r="W673" s="846"/>
      <c r="X673" s="846"/>
      <c r="Y673" s="740">
        <f t="shared" si="88"/>
        <v>0</v>
      </c>
      <c r="Z673" s="847"/>
      <c r="AA673" s="847"/>
      <c r="AB673" s="741">
        <f t="shared" si="89"/>
        <v>0</v>
      </c>
      <c r="AC673" s="846"/>
      <c r="AD673" s="847"/>
      <c r="AE673" s="846"/>
      <c r="AF673" s="846"/>
      <c r="AG673" s="847"/>
      <c r="AH673" s="847"/>
      <c r="AI673" s="742">
        <f t="shared" si="93"/>
        <v>0</v>
      </c>
      <c r="AJ673" s="743">
        <f t="shared" si="94"/>
        <v>0</v>
      </c>
    </row>
    <row r="674" spans="1:36">
      <c r="A674" s="1314" t="s">
        <v>148</v>
      </c>
      <c r="B674" s="1018" t="s">
        <v>218</v>
      </c>
      <c r="C674" s="1322" t="s">
        <v>311</v>
      </c>
      <c r="D674" s="1321"/>
      <c r="E674" s="1021"/>
      <c r="F674" s="1022"/>
      <c r="G674" s="846"/>
      <c r="H674" s="847"/>
      <c r="I674" s="846"/>
      <c r="J674" s="847"/>
      <c r="K674" s="846"/>
      <c r="L674" s="847"/>
      <c r="M674" s="846"/>
      <c r="N674" s="846"/>
      <c r="O674" s="737">
        <f t="shared" si="87"/>
        <v>0</v>
      </c>
      <c r="P674" s="847"/>
      <c r="Q674" s="847"/>
      <c r="R674" s="738">
        <f t="shared" si="90"/>
        <v>0</v>
      </c>
      <c r="S674" s="737">
        <f t="shared" si="91"/>
        <v>0</v>
      </c>
      <c r="T674" s="739">
        <f t="shared" si="92"/>
        <v>0</v>
      </c>
      <c r="U674" s="846"/>
      <c r="V674" s="847"/>
      <c r="W674" s="846"/>
      <c r="X674" s="846"/>
      <c r="Y674" s="740">
        <f t="shared" si="88"/>
        <v>0</v>
      </c>
      <c r="Z674" s="847"/>
      <c r="AA674" s="847"/>
      <c r="AB674" s="741">
        <f t="shared" si="89"/>
        <v>0</v>
      </c>
      <c r="AC674" s="846"/>
      <c r="AD674" s="847"/>
      <c r="AE674" s="846"/>
      <c r="AF674" s="846"/>
      <c r="AG674" s="847"/>
      <c r="AH674" s="847"/>
      <c r="AI674" s="742">
        <f t="shared" si="93"/>
        <v>0</v>
      </c>
      <c r="AJ674" s="743">
        <f t="shared" si="94"/>
        <v>0</v>
      </c>
    </row>
    <row r="675" spans="1:36">
      <c r="A675" s="1314" t="s">
        <v>148</v>
      </c>
      <c r="B675" s="1018" t="s">
        <v>219</v>
      </c>
      <c r="C675" s="1322" t="s">
        <v>249</v>
      </c>
      <c r="D675" s="1321"/>
      <c r="E675" s="1021"/>
      <c r="F675" s="1022"/>
      <c r="G675" s="846"/>
      <c r="H675" s="847"/>
      <c r="I675" s="846"/>
      <c r="J675" s="847"/>
      <c r="K675" s="846"/>
      <c r="L675" s="847"/>
      <c r="M675" s="846"/>
      <c r="N675" s="846"/>
      <c r="O675" s="737">
        <f t="shared" si="87"/>
        <v>0</v>
      </c>
      <c r="P675" s="847"/>
      <c r="Q675" s="847"/>
      <c r="R675" s="738">
        <f t="shared" si="90"/>
        <v>0</v>
      </c>
      <c r="S675" s="737">
        <f t="shared" si="91"/>
        <v>0</v>
      </c>
      <c r="T675" s="739">
        <f t="shared" si="92"/>
        <v>0</v>
      </c>
      <c r="U675" s="846"/>
      <c r="V675" s="847"/>
      <c r="W675" s="846"/>
      <c r="X675" s="846"/>
      <c r="Y675" s="740">
        <f t="shared" si="88"/>
        <v>0</v>
      </c>
      <c r="Z675" s="847"/>
      <c r="AA675" s="847"/>
      <c r="AB675" s="741">
        <f t="shared" si="89"/>
        <v>0</v>
      </c>
      <c r="AC675" s="846"/>
      <c r="AD675" s="847"/>
      <c r="AE675" s="846"/>
      <c r="AF675" s="846"/>
      <c r="AG675" s="847"/>
      <c r="AH675" s="847"/>
      <c r="AI675" s="742">
        <f t="shared" si="93"/>
        <v>0</v>
      </c>
      <c r="AJ675" s="743">
        <f t="shared" si="94"/>
        <v>0</v>
      </c>
    </row>
    <row r="676" spans="1:36">
      <c r="A676" s="1314" t="s">
        <v>148</v>
      </c>
      <c r="B676" s="1018" t="s">
        <v>292</v>
      </c>
      <c r="C676" s="1327" t="s">
        <v>1584</v>
      </c>
      <c r="D676" s="1020"/>
      <c r="E676" s="1021"/>
      <c r="F676" s="1022"/>
      <c r="G676" s="846"/>
      <c r="H676" s="847"/>
      <c r="I676" s="846"/>
      <c r="J676" s="847"/>
      <c r="K676" s="846"/>
      <c r="L676" s="847"/>
      <c r="M676" s="846"/>
      <c r="N676" s="846"/>
      <c r="O676" s="737">
        <f t="shared" si="87"/>
        <v>0</v>
      </c>
      <c r="P676" s="847"/>
      <c r="Q676" s="847"/>
      <c r="R676" s="738">
        <f t="shared" si="90"/>
        <v>0</v>
      </c>
      <c r="S676" s="737">
        <f t="shared" si="91"/>
        <v>0</v>
      </c>
      <c r="T676" s="739">
        <f t="shared" si="92"/>
        <v>0</v>
      </c>
      <c r="U676" s="846"/>
      <c r="V676" s="847"/>
      <c r="W676" s="846"/>
      <c r="X676" s="846"/>
      <c r="Y676" s="740">
        <f t="shared" si="88"/>
        <v>0</v>
      </c>
      <c r="Z676" s="847"/>
      <c r="AA676" s="847"/>
      <c r="AB676" s="741">
        <f t="shared" si="89"/>
        <v>0</v>
      </c>
      <c r="AC676" s="846"/>
      <c r="AD676" s="847"/>
      <c r="AE676" s="846"/>
      <c r="AF676" s="846"/>
      <c r="AG676" s="847"/>
      <c r="AH676" s="847"/>
      <c r="AI676" s="742">
        <f t="shared" si="93"/>
        <v>0</v>
      </c>
      <c r="AJ676" s="743">
        <f t="shared" si="94"/>
        <v>0</v>
      </c>
    </row>
    <row r="677" spans="1:36">
      <c r="A677" s="1314" t="s">
        <v>148</v>
      </c>
      <c r="B677" s="1018" t="s">
        <v>209</v>
      </c>
      <c r="C677" s="1322" t="s">
        <v>250</v>
      </c>
      <c r="D677" s="1321"/>
      <c r="E677" s="1021"/>
      <c r="F677" s="1022"/>
      <c r="G677" s="846"/>
      <c r="H677" s="847"/>
      <c r="I677" s="846"/>
      <c r="J677" s="847"/>
      <c r="K677" s="846"/>
      <c r="L677" s="847"/>
      <c r="M677" s="846"/>
      <c r="N677" s="846"/>
      <c r="O677" s="737">
        <f t="shared" si="87"/>
        <v>0</v>
      </c>
      <c r="P677" s="847"/>
      <c r="Q677" s="847"/>
      <c r="R677" s="738">
        <f t="shared" si="90"/>
        <v>0</v>
      </c>
      <c r="S677" s="737">
        <f t="shared" si="91"/>
        <v>0</v>
      </c>
      <c r="T677" s="739">
        <f t="shared" si="92"/>
        <v>0</v>
      </c>
      <c r="U677" s="846"/>
      <c r="V677" s="847"/>
      <c r="W677" s="846"/>
      <c r="X677" s="846"/>
      <c r="Y677" s="740">
        <f t="shared" si="88"/>
        <v>0</v>
      </c>
      <c r="Z677" s="847"/>
      <c r="AA677" s="847"/>
      <c r="AB677" s="741">
        <f t="shared" si="89"/>
        <v>0</v>
      </c>
      <c r="AC677" s="846"/>
      <c r="AD677" s="847"/>
      <c r="AE677" s="846"/>
      <c r="AF677" s="846"/>
      <c r="AG677" s="847"/>
      <c r="AH677" s="847"/>
      <c r="AI677" s="742">
        <f t="shared" si="93"/>
        <v>0</v>
      </c>
      <c r="AJ677" s="743">
        <f t="shared" si="94"/>
        <v>0</v>
      </c>
    </row>
    <row r="678" spans="1:36">
      <c r="A678" s="1314" t="s">
        <v>148</v>
      </c>
      <c r="B678" s="1018" t="s">
        <v>210</v>
      </c>
      <c r="C678" s="1322" t="s">
        <v>311</v>
      </c>
      <c r="D678" s="1321"/>
      <c r="E678" s="1021"/>
      <c r="F678" s="1022"/>
      <c r="G678" s="846"/>
      <c r="H678" s="847"/>
      <c r="I678" s="846"/>
      <c r="J678" s="847"/>
      <c r="K678" s="846"/>
      <c r="L678" s="847"/>
      <c r="M678" s="846"/>
      <c r="N678" s="846"/>
      <c r="O678" s="737">
        <f t="shared" si="87"/>
        <v>0</v>
      </c>
      <c r="P678" s="847"/>
      <c r="Q678" s="847"/>
      <c r="R678" s="738">
        <f t="shared" si="90"/>
        <v>0</v>
      </c>
      <c r="S678" s="737">
        <f t="shared" si="91"/>
        <v>0</v>
      </c>
      <c r="T678" s="739">
        <f t="shared" si="92"/>
        <v>0</v>
      </c>
      <c r="U678" s="846"/>
      <c r="V678" s="847"/>
      <c r="W678" s="846"/>
      <c r="X678" s="846"/>
      <c r="Y678" s="740">
        <f t="shared" si="88"/>
        <v>0</v>
      </c>
      <c r="Z678" s="847"/>
      <c r="AA678" s="847"/>
      <c r="AB678" s="741">
        <f t="shared" si="89"/>
        <v>0</v>
      </c>
      <c r="AC678" s="846"/>
      <c r="AD678" s="847"/>
      <c r="AE678" s="846"/>
      <c r="AF678" s="846"/>
      <c r="AG678" s="847"/>
      <c r="AH678" s="847"/>
      <c r="AI678" s="742">
        <f t="shared" si="93"/>
        <v>0</v>
      </c>
      <c r="AJ678" s="743">
        <f t="shared" si="94"/>
        <v>0</v>
      </c>
    </row>
    <row r="679" spans="1:36">
      <c r="A679" s="1314" t="s">
        <v>148</v>
      </c>
      <c r="B679" s="1018" t="s">
        <v>204</v>
      </c>
      <c r="C679" s="1322" t="s">
        <v>249</v>
      </c>
      <c r="D679" s="1321"/>
      <c r="E679" s="1021"/>
      <c r="F679" s="1022"/>
      <c r="G679" s="846"/>
      <c r="H679" s="847"/>
      <c r="I679" s="846"/>
      <c r="J679" s="847"/>
      <c r="K679" s="846"/>
      <c r="L679" s="847"/>
      <c r="M679" s="846"/>
      <c r="N679" s="846"/>
      <c r="O679" s="737">
        <f t="shared" si="87"/>
        <v>0</v>
      </c>
      <c r="P679" s="847"/>
      <c r="Q679" s="847"/>
      <c r="R679" s="738">
        <f t="shared" si="90"/>
        <v>0</v>
      </c>
      <c r="S679" s="737">
        <f t="shared" si="91"/>
        <v>0</v>
      </c>
      <c r="T679" s="739">
        <f t="shared" si="92"/>
        <v>0</v>
      </c>
      <c r="U679" s="846">
        <v>111423</v>
      </c>
      <c r="V679" s="847">
        <v>113865</v>
      </c>
      <c r="W679" s="846"/>
      <c r="X679" s="846"/>
      <c r="Y679" s="740">
        <f t="shared" si="88"/>
        <v>0</v>
      </c>
      <c r="Z679" s="847"/>
      <c r="AA679" s="847"/>
      <c r="AB679" s="741">
        <f t="shared" si="89"/>
        <v>0</v>
      </c>
      <c r="AC679" s="846"/>
      <c r="AD679" s="847"/>
      <c r="AE679" s="846"/>
      <c r="AF679" s="846"/>
      <c r="AG679" s="847"/>
      <c r="AH679" s="847"/>
      <c r="AI679" s="742">
        <f t="shared" si="93"/>
        <v>111423</v>
      </c>
      <c r="AJ679" s="743">
        <f t="shared" si="94"/>
        <v>113865</v>
      </c>
    </row>
    <row r="680" spans="1:36">
      <c r="A680" s="1314" t="s">
        <v>148</v>
      </c>
      <c r="B680" s="1018" t="s">
        <v>205</v>
      </c>
      <c r="C680" s="1322" t="s">
        <v>222</v>
      </c>
      <c r="D680" s="1321"/>
      <c r="E680" s="1021"/>
      <c r="F680" s="1022"/>
      <c r="G680" s="846"/>
      <c r="H680" s="847"/>
      <c r="I680" s="846"/>
      <c r="J680" s="847"/>
      <c r="K680" s="846"/>
      <c r="L680" s="847"/>
      <c r="M680" s="846"/>
      <c r="N680" s="846"/>
      <c r="O680" s="737">
        <f t="shared" si="87"/>
        <v>0</v>
      </c>
      <c r="P680" s="847"/>
      <c r="Q680" s="847"/>
      <c r="R680" s="738">
        <f t="shared" si="90"/>
        <v>0</v>
      </c>
      <c r="S680" s="737">
        <f t="shared" si="91"/>
        <v>0</v>
      </c>
      <c r="T680" s="739">
        <f t="shared" si="92"/>
        <v>0</v>
      </c>
      <c r="U680" s="846"/>
      <c r="V680" s="847"/>
      <c r="W680" s="846"/>
      <c r="X680" s="846"/>
      <c r="Y680" s="740">
        <f t="shared" si="88"/>
        <v>0</v>
      </c>
      <c r="Z680" s="847"/>
      <c r="AA680" s="847"/>
      <c r="AB680" s="741">
        <f t="shared" si="89"/>
        <v>0</v>
      </c>
      <c r="AC680" s="846"/>
      <c r="AD680" s="847"/>
      <c r="AE680" s="846"/>
      <c r="AF680" s="846"/>
      <c r="AG680" s="847"/>
      <c r="AH680" s="847"/>
      <c r="AI680" s="742">
        <f t="shared" si="93"/>
        <v>0</v>
      </c>
      <c r="AJ680" s="743">
        <f t="shared" si="94"/>
        <v>0</v>
      </c>
    </row>
    <row r="681" spans="1:36">
      <c r="A681" s="1314" t="s">
        <v>148</v>
      </c>
      <c r="B681" s="1018" t="s">
        <v>218</v>
      </c>
      <c r="C681" s="1322" t="s">
        <v>311</v>
      </c>
      <c r="D681" s="1321"/>
      <c r="E681" s="1021"/>
      <c r="F681" s="1022"/>
      <c r="G681" s="846"/>
      <c r="H681" s="847"/>
      <c r="I681" s="846"/>
      <c r="J681" s="847"/>
      <c r="K681" s="846"/>
      <c r="L681" s="847"/>
      <c r="M681" s="846"/>
      <c r="N681" s="846"/>
      <c r="O681" s="737">
        <f t="shared" si="87"/>
        <v>0</v>
      </c>
      <c r="P681" s="847"/>
      <c r="Q681" s="847"/>
      <c r="R681" s="738">
        <f t="shared" si="90"/>
        <v>0</v>
      </c>
      <c r="S681" s="737">
        <f t="shared" si="91"/>
        <v>0</v>
      </c>
      <c r="T681" s="739">
        <f t="shared" si="92"/>
        <v>0</v>
      </c>
      <c r="U681" s="846"/>
      <c r="V681" s="847"/>
      <c r="W681" s="846"/>
      <c r="X681" s="846"/>
      <c r="Y681" s="740">
        <f t="shared" si="88"/>
        <v>0</v>
      </c>
      <c r="Z681" s="847"/>
      <c r="AA681" s="847"/>
      <c r="AB681" s="741">
        <f t="shared" si="89"/>
        <v>0</v>
      </c>
      <c r="AC681" s="846"/>
      <c r="AD681" s="847"/>
      <c r="AE681" s="846"/>
      <c r="AF681" s="846"/>
      <c r="AG681" s="847"/>
      <c r="AH681" s="847"/>
      <c r="AI681" s="742">
        <f t="shared" si="93"/>
        <v>0</v>
      </c>
      <c r="AJ681" s="743">
        <f t="shared" si="94"/>
        <v>0</v>
      </c>
    </row>
    <row r="682" spans="1:36">
      <c r="A682" s="1314" t="s">
        <v>148</v>
      </c>
      <c r="B682" s="1018" t="s">
        <v>219</v>
      </c>
      <c r="C682" s="1322" t="s">
        <v>249</v>
      </c>
      <c r="D682" s="1321"/>
      <c r="E682" s="1021"/>
      <c r="F682" s="1022"/>
      <c r="G682" s="846"/>
      <c r="H682" s="847"/>
      <c r="I682" s="846"/>
      <c r="J682" s="847"/>
      <c r="K682" s="846"/>
      <c r="L682" s="847"/>
      <c r="M682" s="846"/>
      <c r="N682" s="846"/>
      <c r="O682" s="737">
        <f t="shared" si="87"/>
        <v>0</v>
      </c>
      <c r="P682" s="847"/>
      <c r="Q682" s="847"/>
      <c r="R682" s="738">
        <f t="shared" si="90"/>
        <v>0</v>
      </c>
      <c r="S682" s="737">
        <f t="shared" si="91"/>
        <v>0</v>
      </c>
      <c r="T682" s="739">
        <f t="shared" si="92"/>
        <v>0</v>
      </c>
      <c r="U682" s="846"/>
      <c r="V682" s="847"/>
      <c r="W682" s="846"/>
      <c r="X682" s="846"/>
      <c r="Y682" s="740">
        <f t="shared" si="88"/>
        <v>0</v>
      </c>
      <c r="Z682" s="847"/>
      <c r="AA682" s="847"/>
      <c r="AB682" s="741">
        <f t="shared" si="89"/>
        <v>0</v>
      </c>
      <c r="AC682" s="846"/>
      <c r="AD682" s="847"/>
      <c r="AE682" s="846"/>
      <c r="AF682" s="846"/>
      <c r="AG682" s="847"/>
      <c r="AH682" s="847"/>
      <c r="AI682" s="742">
        <f t="shared" si="93"/>
        <v>0</v>
      </c>
      <c r="AJ682" s="743">
        <f t="shared" si="94"/>
        <v>0</v>
      </c>
    </row>
    <row r="683" spans="1:36">
      <c r="A683" s="1314" t="s">
        <v>148</v>
      </c>
      <c r="B683" s="1018" t="s">
        <v>292</v>
      </c>
      <c r="C683" s="1327" t="s">
        <v>1585</v>
      </c>
      <c r="D683" s="1020"/>
      <c r="E683" s="1021"/>
      <c r="F683" s="1022"/>
      <c r="G683" s="846"/>
      <c r="H683" s="847"/>
      <c r="I683" s="846"/>
      <c r="J683" s="847"/>
      <c r="K683" s="846"/>
      <c r="L683" s="847"/>
      <c r="M683" s="846"/>
      <c r="N683" s="846"/>
      <c r="O683" s="737">
        <f t="shared" si="87"/>
        <v>0</v>
      </c>
      <c r="P683" s="847"/>
      <c r="Q683" s="847"/>
      <c r="R683" s="738">
        <f t="shared" si="90"/>
        <v>0</v>
      </c>
      <c r="S683" s="737">
        <f t="shared" si="91"/>
        <v>0</v>
      </c>
      <c r="T683" s="739">
        <f t="shared" si="92"/>
        <v>0</v>
      </c>
      <c r="U683" s="846"/>
      <c r="V683" s="847"/>
      <c r="W683" s="846"/>
      <c r="X683" s="846"/>
      <c r="Y683" s="740">
        <f t="shared" si="88"/>
        <v>0</v>
      </c>
      <c r="Z683" s="847"/>
      <c r="AA683" s="847"/>
      <c r="AB683" s="741">
        <f t="shared" si="89"/>
        <v>0</v>
      </c>
      <c r="AC683" s="846"/>
      <c r="AD683" s="847"/>
      <c r="AE683" s="846"/>
      <c r="AF683" s="846"/>
      <c r="AG683" s="847"/>
      <c r="AH683" s="847"/>
      <c r="AI683" s="742">
        <f t="shared" si="93"/>
        <v>0</v>
      </c>
      <c r="AJ683" s="743">
        <f t="shared" si="94"/>
        <v>0</v>
      </c>
    </row>
    <row r="684" spans="1:36">
      <c r="A684" s="1314" t="s">
        <v>148</v>
      </c>
      <c r="B684" s="1018" t="s">
        <v>209</v>
      </c>
      <c r="C684" s="1322" t="s">
        <v>250</v>
      </c>
      <c r="D684" s="1321"/>
      <c r="E684" s="1021"/>
      <c r="F684" s="1022"/>
      <c r="G684" s="846"/>
      <c r="H684" s="847"/>
      <c r="I684" s="846"/>
      <c r="J684" s="847"/>
      <c r="K684" s="846"/>
      <c r="L684" s="847"/>
      <c r="M684" s="846"/>
      <c r="N684" s="846"/>
      <c r="O684" s="737">
        <f t="shared" si="87"/>
        <v>0</v>
      </c>
      <c r="P684" s="847"/>
      <c r="Q684" s="847"/>
      <c r="R684" s="738">
        <f t="shared" si="90"/>
        <v>0</v>
      </c>
      <c r="S684" s="737">
        <f t="shared" si="91"/>
        <v>0</v>
      </c>
      <c r="T684" s="739">
        <f t="shared" si="92"/>
        <v>0</v>
      </c>
      <c r="U684" s="846"/>
      <c r="V684" s="847"/>
      <c r="W684" s="846"/>
      <c r="X684" s="846"/>
      <c r="Y684" s="740">
        <f t="shared" si="88"/>
        <v>0</v>
      </c>
      <c r="Z684" s="847"/>
      <c r="AA684" s="847"/>
      <c r="AB684" s="741">
        <f t="shared" si="89"/>
        <v>0</v>
      </c>
      <c r="AC684" s="846"/>
      <c r="AD684" s="847"/>
      <c r="AE684" s="846"/>
      <c r="AF684" s="846"/>
      <c r="AG684" s="847"/>
      <c r="AH684" s="847"/>
      <c r="AI684" s="742">
        <f t="shared" si="93"/>
        <v>0</v>
      </c>
      <c r="AJ684" s="743">
        <f t="shared" si="94"/>
        <v>0</v>
      </c>
    </row>
    <row r="685" spans="1:36">
      <c r="A685" s="1314" t="s">
        <v>148</v>
      </c>
      <c r="B685" s="1018" t="s">
        <v>210</v>
      </c>
      <c r="C685" s="1322" t="s">
        <v>311</v>
      </c>
      <c r="D685" s="1321"/>
      <c r="E685" s="1021"/>
      <c r="F685" s="1022"/>
      <c r="G685" s="846"/>
      <c r="H685" s="847"/>
      <c r="I685" s="846"/>
      <c r="J685" s="847"/>
      <c r="K685" s="846"/>
      <c r="L685" s="847"/>
      <c r="M685" s="846"/>
      <c r="N685" s="846"/>
      <c r="O685" s="737">
        <f t="shared" si="87"/>
        <v>0</v>
      </c>
      <c r="P685" s="847"/>
      <c r="Q685" s="847"/>
      <c r="R685" s="738">
        <f t="shared" si="90"/>
        <v>0</v>
      </c>
      <c r="S685" s="737">
        <f t="shared" si="91"/>
        <v>0</v>
      </c>
      <c r="T685" s="739">
        <f t="shared" si="92"/>
        <v>0</v>
      </c>
      <c r="U685" s="846">
        <v>75562</v>
      </c>
      <c r="V685" s="847">
        <v>69737</v>
      </c>
      <c r="W685" s="846"/>
      <c r="X685" s="846"/>
      <c r="Y685" s="740">
        <f t="shared" si="88"/>
        <v>0</v>
      </c>
      <c r="Z685" s="847"/>
      <c r="AA685" s="847"/>
      <c r="AB685" s="741">
        <f t="shared" si="89"/>
        <v>0</v>
      </c>
      <c r="AC685" s="846"/>
      <c r="AD685" s="847"/>
      <c r="AE685" s="846"/>
      <c r="AF685" s="846"/>
      <c r="AG685" s="847"/>
      <c r="AH685" s="847"/>
      <c r="AI685" s="742">
        <f t="shared" si="93"/>
        <v>75562</v>
      </c>
      <c r="AJ685" s="743">
        <f t="shared" si="94"/>
        <v>69737</v>
      </c>
    </row>
    <row r="686" spans="1:36">
      <c r="A686" s="1314" t="s">
        <v>148</v>
      </c>
      <c r="B686" s="1018" t="s">
        <v>204</v>
      </c>
      <c r="C686" s="1322" t="s">
        <v>249</v>
      </c>
      <c r="D686" s="1321"/>
      <c r="E686" s="1021"/>
      <c r="F686" s="1022"/>
      <c r="G686" s="846"/>
      <c r="H686" s="847"/>
      <c r="I686" s="846"/>
      <c r="J686" s="847"/>
      <c r="K686" s="846"/>
      <c r="L686" s="847"/>
      <c r="M686" s="846"/>
      <c r="N686" s="846"/>
      <c r="O686" s="737">
        <f t="shared" si="87"/>
        <v>0</v>
      </c>
      <c r="P686" s="847"/>
      <c r="Q686" s="847"/>
      <c r="R686" s="738">
        <f t="shared" si="90"/>
        <v>0</v>
      </c>
      <c r="S686" s="737">
        <f t="shared" si="91"/>
        <v>0</v>
      </c>
      <c r="T686" s="739">
        <f t="shared" si="92"/>
        <v>0</v>
      </c>
      <c r="U686" s="846"/>
      <c r="V686" s="847"/>
      <c r="W686" s="846"/>
      <c r="X686" s="846"/>
      <c r="Y686" s="740">
        <f t="shared" si="88"/>
        <v>0</v>
      </c>
      <c r="Z686" s="847"/>
      <c r="AA686" s="847"/>
      <c r="AB686" s="741">
        <f t="shared" si="89"/>
        <v>0</v>
      </c>
      <c r="AC686" s="846"/>
      <c r="AD686" s="847"/>
      <c r="AE686" s="846"/>
      <c r="AF686" s="846"/>
      <c r="AG686" s="847"/>
      <c r="AH686" s="847"/>
      <c r="AI686" s="742">
        <f t="shared" si="93"/>
        <v>0</v>
      </c>
      <c r="AJ686" s="743">
        <f t="shared" si="94"/>
        <v>0</v>
      </c>
    </row>
    <row r="687" spans="1:36">
      <c r="A687" s="1314" t="s">
        <v>148</v>
      </c>
      <c r="B687" s="1018" t="s">
        <v>205</v>
      </c>
      <c r="C687" s="1322" t="s">
        <v>222</v>
      </c>
      <c r="D687" s="1321"/>
      <c r="E687" s="1021"/>
      <c r="F687" s="1022"/>
      <c r="G687" s="846"/>
      <c r="H687" s="847"/>
      <c r="I687" s="846"/>
      <c r="J687" s="847"/>
      <c r="K687" s="846"/>
      <c r="L687" s="847"/>
      <c r="M687" s="846"/>
      <c r="N687" s="846"/>
      <c r="O687" s="737">
        <f t="shared" si="87"/>
        <v>0</v>
      </c>
      <c r="P687" s="847"/>
      <c r="Q687" s="847"/>
      <c r="R687" s="738">
        <f t="shared" si="90"/>
        <v>0</v>
      </c>
      <c r="S687" s="737">
        <f t="shared" si="91"/>
        <v>0</v>
      </c>
      <c r="T687" s="739">
        <f t="shared" si="92"/>
        <v>0</v>
      </c>
      <c r="U687" s="846"/>
      <c r="V687" s="847"/>
      <c r="W687" s="846"/>
      <c r="X687" s="846"/>
      <c r="Y687" s="740">
        <f t="shared" si="88"/>
        <v>0</v>
      </c>
      <c r="Z687" s="847"/>
      <c r="AA687" s="847"/>
      <c r="AB687" s="741">
        <f t="shared" si="89"/>
        <v>0</v>
      </c>
      <c r="AC687" s="846"/>
      <c r="AD687" s="847"/>
      <c r="AE687" s="846"/>
      <c r="AF687" s="846"/>
      <c r="AG687" s="847"/>
      <c r="AH687" s="847"/>
      <c r="AI687" s="742">
        <f t="shared" si="93"/>
        <v>0</v>
      </c>
      <c r="AJ687" s="743">
        <f t="shared" si="94"/>
        <v>0</v>
      </c>
    </row>
    <row r="688" spans="1:36">
      <c r="A688" s="1314" t="s">
        <v>148</v>
      </c>
      <c r="B688" s="1018" t="s">
        <v>218</v>
      </c>
      <c r="C688" s="1322" t="s">
        <v>311</v>
      </c>
      <c r="D688" s="1321"/>
      <c r="E688" s="1021"/>
      <c r="F688" s="1022"/>
      <c r="G688" s="846"/>
      <c r="H688" s="847"/>
      <c r="I688" s="846"/>
      <c r="J688" s="847"/>
      <c r="K688" s="846"/>
      <c r="L688" s="847"/>
      <c r="M688" s="846"/>
      <c r="N688" s="846"/>
      <c r="O688" s="737">
        <f t="shared" si="87"/>
        <v>0</v>
      </c>
      <c r="P688" s="847"/>
      <c r="Q688" s="847"/>
      <c r="R688" s="738">
        <f t="shared" si="90"/>
        <v>0</v>
      </c>
      <c r="S688" s="737">
        <f t="shared" si="91"/>
        <v>0</v>
      </c>
      <c r="T688" s="739">
        <f t="shared" si="92"/>
        <v>0</v>
      </c>
      <c r="U688" s="846">
        <v>1124</v>
      </c>
      <c r="V688" s="847">
        <v>15364.65</v>
      </c>
      <c r="W688" s="846"/>
      <c r="X688" s="846"/>
      <c r="Y688" s="740">
        <f t="shared" si="88"/>
        <v>0</v>
      </c>
      <c r="Z688" s="847"/>
      <c r="AA688" s="847"/>
      <c r="AB688" s="741">
        <f t="shared" si="89"/>
        <v>0</v>
      </c>
      <c r="AC688" s="846"/>
      <c r="AD688" s="847"/>
      <c r="AE688" s="846"/>
      <c r="AF688" s="846"/>
      <c r="AG688" s="847"/>
      <c r="AH688" s="847"/>
      <c r="AI688" s="742">
        <f t="shared" si="93"/>
        <v>1124</v>
      </c>
      <c r="AJ688" s="743">
        <f t="shared" si="94"/>
        <v>15364.65</v>
      </c>
    </row>
    <row r="689" spans="1:36">
      <c r="A689" s="1314" t="s">
        <v>148</v>
      </c>
      <c r="B689" s="1018" t="s">
        <v>219</v>
      </c>
      <c r="C689" s="1322" t="s">
        <v>249</v>
      </c>
      <c r="D689" s="1321"/>
      <c r="E689" s="1021"/>
      <c r="F689" s="1022"/>
      <c r="G689" s="846"/>
      <c r="H689" s="847"/>
      <c r="I689" s="846"/>
      <c r="J689" s="847"/>
      <c r="K689" s="846"/>
      <c r="L689" s="847"/>
      <c r="M689" s="846"/>
      <c r="N689" s="846"/>
      <c r="O689" s="737">
        <f t="shared" si="87"/>
        <v>0</v>
      </c>
      <c r="P689" s="847"/>
      <c r="Q689" s="847"/>
      <c r="R689" s="738">
        <f t="shared" si="90"/>
        <v>0</v>
      </c>
      <c r="S689" s="737">
        <f t="shared" si="91"/>
        <v>0</v>
      </c>
      <c r="T689" s="739">
        <f t="shared" si="92"/>
        <v>0</v>
      </c>
      <c r="U689" s="846"/>
      <c r="V689" s="847"/>
      <c r="W689" s="846"/>
      <c r="X689" s="846"/>
      <c r="Y689" s="740">
        <f t="shared" si="88"/>
        <v>0</v>
      </c>
      <c r="Z689" s="847"/>
      <c r="AA689" s="847"/>
      <c r="AB689" s="741">
        <f t="shared" si="89"/>
        <v>0</v>
      </c>
      <c r="AC689" s="846"/>
      <c r="AD689" s="847"/>
      <c r="AE689" s="846"/>
      <c r="AF689" s="846"/>
      <c r="AG689" s="847"/>
      <c r="AH689" s="847"/>
      <c r="AI689" s="742">
        <f t="shared" si="93"/>
        <v>0</v>
      </c>
      <c r="AJ689" s="743">
        <f t="shared" si="94"/>
        <v>0</v>
      </c>
    </row>
    <row r="690" spans="1:36">
      <c r="A690" s="1314" t="s">
        <v>148</v>
      </c>
      <c r="B690" s="1018" t="s">
        <v>292</v>
      </c>
      <c r="C690" s="1327" t="s">
        <v>1586</v>
      </c>
      <c r="D690" s="1020"/>
      <c r="E690" s="1021"/>
      <c r="F690" s="1022"/>
      <c r="G690" s="846"/>
      <c r="H690" s="847"/>
      <c r="I690" s="846"/>
      <c r="J690" s="847"/>
      <c r="K690" s="846"/>
      <c r="L690" s="847"/>
      <c r="M690" s="846"/>
      <c r="N690" s="846"/>
      <c r="O690" s="737">
        <f t="shared" si="87"/>
        <v>0</v>
      </c>
      <c r="P690" s="847"/>
      <c r="Q690" s="847"/>
      <c r="R690" s="738">
        <f t="shared" si="90"/>
        <v>0</v>
      </c>
      <c r="S690" s="737">
        <f t="shared" si="91"/>
        <v>0</v>
      </c>
      <c r="T690" s="739">
        <f t="shared" si="92"/>
        <v>0</v>
      </c>
      <c r="U690" s="846"/>
      <c r="V690" s="847"/>
      <c r="W690" s="846"/>
      <c r="X690" s="846"/>
      <c r="Y690" s="740">
        <f t="shared" si="88"/>
        <v>0</v>
      </c>
      <c r="Z690" s="847"/>
      <c r="AA690" s="847"/>
      <c r="AB690" s="741">
        <f t="shared" si="89"/>
        <v>0</v>
      </c>
      <c r="AC690" s="846"/>
      <c r="AD690" s="847"/>
      <c r="AE690" s="846"/>
      <c r="AF690" s="846"/>
      <c r="AG690" s="847"/>
      <c r="AH690" s="847"/>
      <c r="AI690" s="742">
        <f t="shared" si="93"/>
        <v>0</v>
      </c>
      <c r="AJ690" s="743">
        <f t="shared" si="94"/>
        <v>0</v>
      </c>
    </row>
    <row r="691" spans="1:36">
      <c r="A691" s="1314" t="s">
        <v>148</v>
      </c>
      <c r="B691" s="1018" t="s">
        <v>209</v>
      </c>
      <c r="C691" s="1322" t="s">
        <v>250</v>
      </c>
      <c r="D691" s="1321"/>
      <c r="E691" s="1021"/>
      <c r="F691" s="1022"/>
      <c r="G691" s="846"/>
      <c r="H691" s="847"/>
      <c r="I691" s="846"/>
      <c r="J691" s="847"/>
      <c r="K691" s="846"/>
      <c r="L691" s="847"/>
      <c r="M691" s="846"/>
      <c r="N691" s="846"/>
      <c r="O691" s="737">
        <f t="shared" si="87"/>
        <v>0</v>
      </c>
      <c r="P691" s="847"/>
      <c r="Q691" s="847"/>
      <c r="R691" s="738">
        <f t="shared" si="90"/>
        <v>0</v>
      </c>
      <c r="S691" s="737">
        <f t="shared" si="91"/>
        <v>0</v>
      </c>
      <c r="T691" s="739">
        <f t="shared" si="92"/>
        <v>0</v>
      </c>
      <c r="U691" s="846"/>
      <c r="V691" s="847"/>
      <c r="W691" s="846"/>
      <c r="X691" s="846"/>
      <c r="Y691" s="740">
        <f t="shared" si="88"/>
        <v>0</v>
      </c>
      <c r="Z691" s="847"/>
      <c r="AA691" s="847"/>
      <c r="AB691" s="741">
        <f t="shared" si="89"/>
        <v>0</v>
      </c>
      <c r="AC691" s="846"/>
      <c r="AD691" s="847"/>
      <c r="AE691" s="846"/>
      <c r="AF691" s="846"/>
      <c r="AG691" s="847"/>
      <c r="AH691" s="847"/>
      <c r="AI691" s="742">
        <f t="shared" si="93"/>
        <v>0</v>
      </c>
      <c r="AJ691" s="743">
        <f t="shared" si="94"/>
        <v>0</v>
      </c>
    </row>
    <row r="692" spans="1:36">
      <c r="A692" s="1314" t="s">
        <v>148</v>
      </c>
      <c r="B692" s="1018" t="s">
        <v>210</v>
      </c>
      <c r="C692" s="1322" t="s">
        <v>311</v>
      </c>
      <c r="D692" s="1321"/>
      <c r="E692" s="1021"/>
      <c r="F692" s="1022"/>
      <c r="G692" s="846"/>
      <c r="H692" s="847"/>
      <c r="I692" s="846"/>
      <c r="J692" s="847"/>
      <c r="K692" s="846"/>
      <c r="L692" s="847"/>
      <c r="M692" s="846"/>
      <c r="N692" s="846"/>
      <c r="O692" s="737">
        <f t="shared" si="87"/>
        <v>0</v>
      </c>
      <c r="P692" s="847"/>
      <c r="Q692" s="847"/>
      <c r="R692" s="738">
        <f t="shared" si="90"/>
        <v>0</v>
      </c>
      <c r="S692" s="737">
        <f t="shared" si="91"/>
        <v>0</v>
      </c>
      <c r="T692" s="739">
        <f t="shared" si="92"/>
        <v>0</v>
      </c>
      <c r="U692" s="846">
        <v>60800</v>
      </c>
      <c r="V692" s="847">
        <v>91203</v>
      </c>
      <c r="W692" s="846"/>
      <c r="X692" s="846"/>
      <c r="Y692" s="740">
        <f t="shared" si="88"/>
        <v>0</v>
      </c>
      <c r="Z692" s="847"/>
      <c r="AA692" s="847"/>
      <c r="AB692" s="741">
        <f t="shared" si="89"/>
        <v>0</v>
      </c>
      <c r="AC692" s="846"/>
      <c r="AD692" s="847"/>
      <c r="AE692" s="846"/>
      <c r="AF692" s="846"/>
      <c r="AG692" s="847"/>
      <c r="AH692" s="847"/>
      <c r="AI692" s="742">
        <f t="shared" si="93"/>
        <v>60800</v>
      </c>
      <c r="AJ692" s="743">
        <f t="shared" si="94"/>
        <v>91203</v>
      </c>
    </row>
    <row r="693" spans="1:36">
      <c r="A693" s="1314" t="s">
        <v>148</v>
      </c>
      <c r="B693" s="1018" t="s">
        <v>204</v>
      </c>
      <c r="C693" s="1322" t="s">
        <v>249</v>
      </c>
      <c r="D693" s="1321"/>
      <c r="E693" s="1021"/>
      <c r="F693" s="1022"/>
      <c r="G693" s="846"/>
      <c r="H693" s="847"/>
      <c r="I693" s="846"/>
      <c r="J693" s="847"/>
      <c r="K693" s="846"/>
      <c r="L693" s="847"/>
      <c r="M693" s="846"/>
      <c r="N693" s="846"/>
      <c r="O693" s="737">
        <f t="shared" si="87"/>
        <v>0</v>
      </c>
      <c r="P693" s="847"/>
      <c r="Q693" s="847"/>
      <c r="R693" s="738">
        <f t="shared" si="90"/>
        <v>0</v>
      </c>
      <c r="S693" s="737">
        <f t="shared" si="91"/>
        <v>0</v>
      </c>
      <c r="T693" s="739">
        <f t="shared" si="92"/>
        <v>0</v>
      </c>
      <c r="U693" s="846"/>
      <c r="V693" s="847"/>
      <c r="W693" s="846"/>
      <c r="X693" s="846"/>
      <c r="Y693" s="740">
        <f t="shared" si="88"/>
        <v>0</v>
      </c>
      <c r="Z693" s="847"/>
      <c r="AA693" s="847"/>
      <c r="AB693" s="741">
        <f t="shared" si="89"/>
        <v>0</v>
      </c>
      <c r="AC693" s="846"/>
      <c r="AD693" s="847"/>
      <c r="AE693" s="846"/>
      <c r="AF693" s="846"/>
      <c r="AG693" s="847"/>
      <c r="AH693" s="847"/>
      <c r="AI693" s="742">
        <f t="shared" si="93"/>
        <v>0</v>
      </c>
      <c r="AJ693" s="743">
        <f t="shared" si="94"/>
        <v>0</v>
      </c>
    </row>
    <row r="694" spans="1:36">
      <c r="A694" s="1314" t="s">
        <v>148</v>
      </c>
      <c r="B694" s="1018" t="s">
        <v>205</v>
      </c>
      <c r="C694" s="1322" t="s">
        <v>222</v>
      </c>
      <c r="D694" s="1321"/>
      <c r="E694" s="1021"/>
      <c r="F694" s="1022"/>
      <c r="G694" s="846"/>
      <c r="H694" s="847"/>
      <c r="I694" s="846"/>
      <c r="J694" s="847"/>
      <c r="K694" s="846"/>
      <c r="L694" s="847"/>
      <c r="M694" s="846"/>
      <c r="N694" s="846"/>
      <c r="O694" s="737">
        <f t="shared" si="87"/>
        <v>0</v>
      </c>
      <c r="P694" s="847"/>
      <c r="Q694" s="847"/>
      <c r="R694" s="738">
        <f t="shared" si="90"/>
        <v>0</v>
      </c>
      <c r="S694" s="737">
        <f t="shared" si="91"/>
        <v>0</v>
      </c>
      <c r="T694" s="739">
        <f t="shared" si="92"/>
        <v>0</v>
      </c>
      <c r="U694" s="846"/>
      <c r="V694" s="847"/>
      <c r="W694" s="846"/>
      <c r="X694" s="846"/>
      <c r="Y694" s="740">
        <f t="shared" si="88"/>
        <v>0</v>
      </c>
      <c r="Z694" s="847"/>
      <c r="AA694" s="847"/>
      <c r="AB694" s="741">
        <f t="shared" si="89"/>
        <v>0</v>
      </c>
      <c r="AC694" s="846"/>
      <c r="AD694" s="847"/>
      <c r="AE694" s="846"/>
      <c r="AF694" s="846"/>
      <c r="AG694" s="847"/>
      <c r="AH694" s="847"/>
      <c r="AI694" s="742">
        <f t="shared" si="93"/>
        <v>0</v>
      </c>
      <c r="AJ694" s="743">
        <f t="shared" si="94"/>
        <v>0</v>
      </c>
    </row>
    <row r="695" spans="1:36">
      <c r="A695" s="1314" t="s">
        <v>148</v>
      </c>
      <c r="B695" s="1018" t="s">
        <v>218</v>
      </c>
      <c r="C695" s="1322" t="s">
        <v>311</v>
      </c>
      <c r="D695" s="1321"/>
      <c r="E695" s="1021"/>
      <c r="F695" s="1022"/>
      <c r="G695" s="846"/>
      <c r="H695" s="847"/>
      <c r="I695" s="846"/>
      <c r="J695" s="847"/>
      <c r="K695" s="846"/>
      <c r="L695" s="847"/>
      <c r="M695" s="846"/>
      <c r="N695" s="846"/>
      <c r="O695" s="737">
        <f t="shared" si="87"/>
        <v>0</v>
      </c>
      <c r="P695" s="847"/>
      <c r="Q695" s="847"/>
      <c r="R695" s="738">
        <f t="shared" si="90"/>
        <v>0</v>
      </c>
      <c r="S695" s="737">
        <f t="shared" si="91"/>
        <v>0</v>
      </c>
      <c r="T695" s="739">
        <f t="shared" si="92"/>
        <v>0</v>
      </c>
      <c r="U695" s="846">
        <v>1604</v>
      </c>
      <c r="V695" s="847">
        <v>1680</v>
      </c>
      <c r="W695" s="846"/>
      <c r="X695" s="846"/>
      <c r="Y695" s="740">
        <f t="shared" si="88"/>
        <v>0</v>
      </c>
      <c r="Z695" s="847"/>
      <c r="AA695" s="847"/>
      <c r="AB695" s="741">
        <f t="shared" si="89"/>
        <v>0</v>
      </c>
      <c r="AC695" s="846"/>
      <c r="AD695" s="847"/>
      <c r="AE695" s="846"/>
      <c r="AF695" s="846"/>
      <c r="AG695" s="847"/>
      <c r="AH695" s="847"/>
      <c r="AI695" s="742">
        <f t="shared" si="93"/>
        <v>1604</v>
      </c>
      <c r="AJ695" s="743">
        <f t="shared" si="94"/>
        <v>1680</v>
      </c>
    </row>
    <row r="696" spans="1:36">
      <c r="A696" s="1314" t="s">
        <v>148</v>
      </c>
      <c r="B696" s="1018" t="s">
        <v>219</v>
      </c>
      <c r="C696" s="1322" t="s">
        <v>249</v>
      </c>
      <c r="D696" s="1321"/>
      <c r="E696" s="1021"/>
      <c r="F696" s="1022"/>
      <c r="G696" s="846"/>
      <c r="H696" s="847"/>
      <c r="I696" s="846"/>
      <c r="J696" s="847"/>
      <c r="K696" s="846"/>
      <c r="L696" s="847"/>
      <c r="M696" s="846"/>
      <c r="N696" s="846"/>
      <c r="O696" s="737">
        <f t="shared" si="87"/>
        <v>0</v>
      </c>
      <c r="P696" s="847"/>
      <c r="Q696" s="847"/>
      <c r="R696" s="738">
        <f t="shared" si="90"/>
        <v>0</v>
      </c>
      <c r="S696" s="737">
        <f t="shared" si="91"/>
        <v>0</v>
      </c>
      <c r="T696" s="739">
        <f t="shared" si="92"/>
        <v>0</v>
      </c>
      <c r="U696" s="846"/>
      <c r="V696" s="847"/>
      <c r="W696" s="846"/>
      <c r="X696" s="846"/>
      <c r="Y696" s="740">
        <f t="shared" si="88"/>
        <v>0</v>
      </c>
      <c r="Z696" s="847"/>
      <c r="AA696" s="847"/>
      <c r="AB696" s="741">
        <f t="shared" si="89"/>
        <v>0</v>
      </c>
      <c r="AC696" s="846"/>
      <c r="AD696" s="847"/>
      <c r="AE696" s="846"/>
      <c r="AF696" s="846"/>
      <c r="AG696" s="847"/>
      <c r="AH696" s="847"/>
      <c r="AI696" s="742">
        <f t="shared" si="93"/>
        <v>0</v>
      </c>
      <c r="AJ696" s="743">
        <f t="shared" si="94"/>
        <v>0</v>
      </c>
    </row>
    <row r="697" spans="1:36">
      <c r="A697" s="1314" t="s">
        <v>148</v>
      </c>
      <c r="B697" s="1018" t="s">
        <v>292</v>
      </c>
      <c r="C697" s="1327" t="s">
        <v>1587</v>
      </c>
      <c r="D697" s="1020"/>
      <c r="E697" s="1021"/>
      <c r="F697" s="1022"/>
      <c r="G697" s="846"/>
      <c r="H697" s="847"/>
      <c r="I697" s="846"/>
      <c r="J697" s="847"/>
      <c r="K697" s="846"/>
      <c r="L697" s="847"/>
      <c r="M697" s="846"/>
      <c r="N697" s="846"/>
      <c r="O697" s="737">
        <f t="shared" si="87"/>
        <v>0</v>
      </c>
      <c r="P697" s="847"/>
      <c r="Q697" s="847"/>
      <c r="R697" s="738">
        <f t="shared" si="90"/>
        <v>0</v>
      </c>
      <c r="S697" s="737">
        <f t="shared" si="91"/>
        <v>0</v>
      </c>
      <c r="T697" s="739">
        <f t="shared" si="92"/>
        <v>0</v>
      </c>
      <c r="U697" s="846"/>
      <c r="V697" s="847"/>
      <c r="W697" s="846"/>
      <c r="X697" s="846"/>
      <c r="Y697" s="740">
        <f t="shared" si="88"/>
        <v>0</v>
      </c>
      <c r="Z697" s="847"/>
      <c r="AA697" s="847"/>
      <c r="AB697" s="741">
        <f t="shared" si="89"/>
        <v>0</v>
      </c>
      <c r="AC697" s="846"/>
      <c r="AD697" s="847"/>
      <c r="AE697" s="846"/>
      <c r="AF697" s="846"/>
      <c r="AG697" s="847"/>
      <c r="AH697" s="847"/>
      <c r="AI697" s="742">
        <f t="shared" si="93"/>
        <v>0</v>
      </c>
      <c r="AJ697" s="743">
        <f t="shared" si="94"/>
        <v>0</v>
      </c>
    </row>
    <row r="698" spans="1:36">
      <c r="A698" s="1314" t="s">
        <v>148</v>
      </c>
      <c r="B698" s="1018" t="s">
        <v>209</v>
      </c>
      <c r="C698" s="1322" t="s">
        <v>250</v>
      </c>
      <c r="D698" s="1321"/>
      <c r="E698" s="1021"/>
      <c r="F698" s="1022"/>
      <c r="G698" s="846"/>
      <c r="H698" s="847"/>
      <c r="I698" s="846"/>
      <c r="J698" s="847"/>
      <c r="K698" s="846"/>
      <c r="L698" s="847"/>
      <c r="M698" s="846"/>
      <c r="N698" s="846"/>
      <c r="O698" s="737">
        <f t="shared" si="87"/>
        <v>0</v>
      </c>
      <c r="P698" s="847"/>
      <c r="Q698" s="847"/>
      <c r="R698" s="738">
        <f t="shared" si="90"/>
        <v>0</v>
      </c>
      <c r="S698" s="737">
        <f t="shared" si="91"/>
        <v>0</v>
      </c>
      <c r="T698" s="739">
        <f t="shared" si="92"/>
        <v>0</v>
      </c>
      <c r="U698" s="846"/>
      <c r="V698" s="847"/>
      <c r="W698" s="846"/>
      <c r="X698" s="846"/>
      <c r="Y698" s="740">
        <f t="shared" si="88"/>
        <v>0</v>
      </c>
      <c r="Z698" s="847"/>
      <c r="AA698" s="847"/>
      <c r="AB698" s="741">
        <f t="shared" si="89"/>
        <v>0</v>
      </c>
      <c r="AC698" s="846"/>
      <c r="AD698" s="847"/>
      <c r="AE698" s="846"/>
      <c r="AF698" s="846"/>
      <c r="AG698" s="847"/>
      <c r="AH698" s="847"/>
      <c r="AI698" s="742">
        <f t="shared" si="93"/>
        <v>0</v>
      </c>
      <c r="AJ698" s="743">
        <f t="shared" si="94"/>
        <v>0</v>
      </c>
    </row>
    <row r="699" spans="1:36">
      <c r="A699" s="1314" t="s">
        <v>148</v>
      </c>
      <c r="B699" s="1018" t="s">
        <v>210</v>
      </c>
      <c r="C699" s="1322" t="s">
        <v>311</v>
      </c>
      <c r="D699" s="1321"/>
      <c r="E699" s="1021"/>
      <c r="F699" s="1022"/>
      <c r="G699" s="846"/>
      <c r="H699" s="847"/>
      <c r="I699" s="846"/>
      <c r="J699" s="847"/>
      <c r="K699" s="846"/>
      <c r="L699" s="847"/>
      <c r="M699" s="846"/>
      <c r="N699" s="846"/>
      <c r="O699" s="737">
        <f t="shared" si="87"/>
        <v>0</v>
      </c>
      <c r="P699" s="847"/>
      <c r="Q699" s="847"/>
      <c r="R699" s="738">
        <f t="shared" si="90"/>
        <v>0</v>
      </c>
      <c r="S699" s="737">
        <f t="shared" si="91"/>
        <v>0</v>
      </c>
      <c r="T699" s="739">
        <f t="shared" si="92"/>
        <v>0</v>
      </c>
      <c r="U699" s="846"/>
      <c r="V699" s="847"/>
      <c r="W699" s="846"/>
      <c r="X699" s="846"/>
      <c r="Y699" s="740">
        <f t="shared" si="88"/>
        <v>0</v>
      </c>
      <c r="Z699" s="847"/>
      <c r="AA699" s="847"/>
      <c r="AB699" s="741">
        <f t="shared" si="89"/>
        <v>0</v>
      </c>
      <c r="AC699" s="846"/>
      <c r="AD699" s="847"/>
      <c r="AE699" s="846"/>
      <c r="AF699" s="846"/>
      <c r="AG699" s="847"/>
      <c r="AH699" s="847"/>
      <c r="AI699" s="742">
        <f t="shared" si="93"/>
        <v>0</v>
      </c>
      <c r="AJ699" s="743">
        <f t="shared" si="94"/>
        <v>0</v>
      </c>
    </row>
    <row r="700" spans="1:36">
      <c r="A700" s="1314" t="s">
        <v>148</v>
      </c>
      <c r="B700" s="1018" t="s">
        <v>204</v>
      </c>
      <c r="C700" s="1322" t="s">
        <v>249</v>
      </c>
      <c r="D700" s="1321"/>
      <c r="E700" s="1021"/>
      <c r="F700" s="1022"/>
      <c r="G700" s="846"/>
      <c r="H700" s="847"/>
      <c r="I700" s="846"/>
      <c r="J700" s="847"/>
      <c r="K700" s="846"/>
      <c r="L700" s="847"/>
      <c r="M700" s="846"/>
      <c r="N700" s="846"/>
      <c r="O700" s="737">
        <f t="shared" si="87"/>
        <v>0</v>
      </c>
      <c r="P700" s="847"/>
      <c r="Q700" s="847"/>
      <c r="R700" s="738">
        <f t="shared" si="90"/>
        <v>0</v>
      </c>
      <c r="S700" s="737">
        <f t="shared" si="91"/>
        <v>0</v>
      </c>
      <c r="T700" s="739">
        <f t="shared" si="92"/>
        <v>0</v>
      </c>
      <c r="U700" s="846"/>
      <c r="V700" s="847"/>
      <c r="W700" s="846"/>
      <c r="X700" s="846"/>
      <c r="Y700" s="740">
        <f t="shared" si="88"/>
        <v>0</v>
      </c>
      <c r="Z700" s="847"/>
      <c r="AA700" s="847"/>
      <c r="AB700" s="741">
        <f t="shared" si="89"/>
        <v>0</v>
      </c>
      <c r="AC700" s="846"/>
      <c r="AD700" s="847"/>
      <c r="AE700" s="846"/>
      <c r="AF700" s="846"/>
      <c r="AG700" s="847"/>
      <c r="AH700" s="847"/>
      <c r="AI700" s="742">
        <f t="shared" si="93"/>
        <v>0</v>
      </c>
      <c r="AJ700" s="743">
        <f t="shared" si="94"/>
        <v>0</v>
      </c>
    </row>
    <row r="701" spans="1:36">
      <c r="A701" s="1314" t="s">
        <v>148</v>
      </c>
      <c r="B701" s="1018" t="s">
        <v>205</v>
      </c>
      <c r="C701" s="1322" t="s">
        <v>222</v>
      </c>
      <c r="D701" s="1321"/>
      <c r="E701" s="1021"/>
      <c r="F701" s="1022"/>
      <c r="G701" s="846"/>
      <c r="H701" s="847"/>
      <c r="I701" s="846"/>
      <c r="J701" s="847"/>
      <c r="K701" s="846"/>
      <c r="L701" s="847"/>
      <c r="M701" s="846"/>
      <c r="N701" s="846"/>
      <c r="O701" s="737">
        <f t="shared" si="87"/>
        <v>0</v>
      </c>
      <c r="P701" s="847"/>
      <c r="Q701" s="847"/>
      <c r="R701" s="738">
        <f t="shared" si="90"/>
        <v>0</v>
      </c>
      <c r="S701" s="737">
        <f t="shared" si="91"/>
        <v>0</v>
      </c>
      <c r="T701" s="739">
        <f t="shared" si="92"/>
        <v>0</v>
      </c>
      <c r="U701" s="846"/>
      <c r="V701" s="847"/>
      <c r="W701" s="846"/>
      <c r="X701" s="846"/>
      <c r="Y701" s="740">
        <f t="shared" si="88"/>
        <v>0</v>
      </c>
      <c r="Z701" s="847"/>
      <c r="AA701" s="847"/>
      <c r="AB701" s="741">
        <f t="shared" si="89"/>
        <v>0</v>
      </c>
      <c r="AC701" s="846"/>
      <c r="AD701" s="847"/>
      <c r="AE701" s="846"/>
      <c r="AF701" s="846"/>
      <c r="AG701" s="847"/>
      <c r="AH701" s="847"/>
      <c r="AI701" s="742">
        <f t="shared" si="93"/>
        <v>0</v>
      </c>
      <c r="AJ701" s="743">
        <f t="shared" si="94"/>
        <v>0</v>
      </c>
    </row>
    <row r="702" spans="1:36">
      <c r="A702" s="1314" t="s">
        <v>148</v>
      </c>
      <c r="B702" s="1018" t="s">
        <v>218</v>
      </c>
      <c r="C702" s="1322" t="s">
        <v>311</v>
      </c>
      <c r="D702" s="1321"/>
      <c r="E702" s="1021"/>
      <c r="F702" s="1022"/>
      <c r="G702" s="846"/>
      <c r="H702" s="847"/>
      <c r="I702" s="846"/>
      <c r="J702" s="847"/>
      <c r="K702" s="846"/>
      <c r="L702" s="847"/>
      <c r="M702" s="846"/>
      <c r="N702" s="846"/>
      <c r="O702" s="737">
        <f t="shared" si="87"/>
        <v>0</v>
      </c>
      <c r="P702" s="847"/>
      <c r="Q702" s="847"/>
      <c r="R702" s="738">
        <f t="shared" si="90"/>
        <v>0</v>
      </c>
      <c r="S702" s="737">
        <f t="shared" si="91"/>
        <v>0</v>
      </c>
      <c r="T702" s="739">
        <f t="shared" si="92"/>
        <v>0</v>
      </c>
      <c r="U702" s="846">
        <v>366000</v>
      </c>
      <c r="V702" s="847">
        <v>366000</v>
      </c>
      <c r="W702" s="846"/>
      <c r="X702" s="846"/>
      <c r="Y702" s="740">
        <f t="shared" si="88"/>
        <v>0</v>
      </c>
      <c r="Z702" s="847"/>
      <c r="AA702" s="847"/>
      <c r="AB702" s="741">
        <f t="shared" si="89"/>
        <v>0</v>
      </c>
      <c r="AC702" s="846"/>
      <c r="AD702" s="847"/>
      <c r="AE702" s="846"/>
      <c r="AF702" s="846"/>
      <c r="AG702" s="847"/>
      <c r="AH702" s="847"/>
      <c r="AI702" s="742">
        <f t="shared" si="93"/>
        <v>366000</v>
      </c>
      <c r="AJ702" s="743">
        <f t="shared" si="94"/>
        <v>366000</v>
      </c>
    </row>
    <row r="703" spans="1:36">
      <c r="A703" s="1314" t="s">
        <v>148</v>
      </c>
      <c r="B703" s="1018" t="s">
        <v>219</v>
      </c>
      <c r="C703" s="1322" t="s">
        <v>249</v>
      </c>
      <c r="D703" s="1321"/>
      <c r="E703" s="1021"/>
      <c r="F703" s="1022"/>
      <c r="G703" s="846"/>
      <c r="H703" s="847"/>
      <c r="I703" s="846"/>
      <c r="J703" s="847"/>
      <c r="K703" s="846"/>
      <c r="L703" s="847"/>
      <c r="M703" s="846"/>
      <c r="N703" s="846"/>
      <c r="O703" s="737">
        <f t="shared" si="87"/>
        <v>0</v>
      </c>
      <c r="P703" s="847"/>
      <c r="Q703" s="847"/>
      <c r="R703" s="738">
        <f t="shared" si="90"/>
        <v>0</v>
      </c>
      <c r="S703" s="737">
        <f t="shared" si="91"/>
        <v>0</v>
      </c>
      <c r="T703" s="739">
        <f t="shared" si="92"/>
        <v>0</v>
      </c>
      <c r="U703" s="846">
        <v>114000</v>
      </c>
      <c r="V703" s="847">
        <v>114000</v>
      </c>
      <c r="W703" s="846"/>
      <c r="X703" s="846"/>
      <c r="Y703" s="740">
        <f t="shared" si="88"/>
        <v>0</v>
      </c>
      <c r="Z703" s="847"/>
      <c r="AA703" s="847"/>
      <c r="AB703" s="741">
        <f t="shared" si="89"/>
        <v>0</v>
      </c>
      <c r="AC703" s="846"/>
      <c r="AD703" s="847"/>
      <c r="AE703" s="846"/>
      <c r="AF703" s="846"/>
      <c r="AG703" s="847"/>
      <c r="AH703" s="847"/>
      <c r="AI703" s="742">
        <f t="shared" si="93"/>
        <v>114000</v>
      </c>
      <c r="AJ703" s="743">
        <f t="shared" si="94"/>
        <v>114000</v>
      </c>
    </row>
    <row r="704" spans="1:36">
      <c r="A704" s="1314" t="s">
        <v>148</v>
      </c>
      <c r="B704" s="1018" t="s">
        <v>292</v>
      </c>
      <c r="C704" s="1327" t="s">
        <v>1588</v>
      </c>
      <c r="D704" s="1020"/>
      <c r="E704" s="1021"/>
      <c r="F704" s="1022"/>
      <c r="G704" s="846"/>
      <c r="H704" s="847"/>
      <c r="I704" s="846"/>
      <c r="J704" s="847"/>
      <c r="K704" s="846"/>
      <c r="L704" s="847"/>
      <c r="M704" s="846"/>
      <c r="N704" s="846"/>
      <c r="O704" s="737">
        <f t="shared" si="87"/>
        <v>0</v>
      </c>
      <c r="P704" s="847"/>
      <c r="Q704" s="847"/>
      <c r="R704" s="738">
        <f t="shared" si="90"/>
        <v>0</v>
      </c>
      <c r="S704" s="737">
        <f t="shared" si="91"/>
        <v>0</v>
      </c>
      <c r="T704" s="739">
        <f t="shared" si="92"/>
        <v>0</v>
      </c>
      <c r="U704" s="846"/>
      <c r="V704" s="847"/>
      <c r="W704" s="846"/>
      <c r="X704" s="846"/>
      <c r="Y704" s="740">
        <f t="shared" si="88"/>
        <v>0</v>
      </c>
      <c r="Z704" s="847"/>
      <c r="AA704" s="847"/>
      <c r="AB704" s="741">
        <f t="shared" si="89"/>
        <v>0</v>
      </c>
      <c r="AC704" s="846"/>
      <c r="AD704" s="847"/>
      <c r="AE704" s="846"/>
      <c r="AF704" s="846"/>
      <c r="AG704" s="847"/>
      <c r="AH704" s="847"/>
      <c r="AI704" s="742">
        <f t="shared" si="93"/>
        <v>0</v>
      </c>
      <c r="AJ704" s="743">
        <f t="shared" si="94"/>
        <v>0</v>
      </c>
    </row>
    <row r="705" spans="1:36">
      <c r="A705" s="1314" t="s">
        <v>148</v>
      </c>
      <c r="B705" s="1018" t="s">
        <v>209</v>
      </c>
      <c r="C705" s="1322" t="s">
        <v>250</v>
      </c>
      <c r="D705" s="1321"/>
      <c r="E705" s="1021"/>
      <c r="F705" s="1022"/>
      <c r="G705" s="846"/>
      <c r="H705" s="847"/>
      <c r="I705" s="846"/>
      <c r="J705" s="847"/>
      <c r="K705" s="846"/>
      <c r="L705" s="847"/>
      <c r="M705" s="846"/>
      <c r="N705" s="846"/>
      <c r="O705" s="737">
        <f t="shared" si="87"/>
        <v>0</v>
      </c>
      <c r="P705" s="847"/>
      <c r="Q705" s="847"/>
      <c r="R705" s="738">
        <f t="shared" si="90"/>
        <v>0</v>
      </c>
      <c r="S705" s="737">
        <f t="shared" si="91"/>
        <v>0</v>
      </c>
      <c r="T705" s="739">
        <f t="shared" si="92"/>
        <v>0</v>
      </c>
      <c r="U705" s="846"/>
      <c r="V705" s="847"/>
      <c r="W705" s="846"/>
      <c r="X705" s="846"/>
      <c r="Y705" s="740">
        <f t="shared" si="88"/>
        <v>0</v>
      </c>
      <c r="Z705" s="847"/>
      <c r="AA705" s="847"/>
      <c r="AB705" s="741">
        <f t="shared" si="89"/>
        <v>0</v>
      </c>
      <c r="AC705" s="846"/>
      <c r="AD705" s="847"/>
      <c r="AE705" s="846"/>
      <c r="AF705" s="846"/>
      <c r="AG705" s="847"/>
      <c r="AH705" s="847"/>
      <c r="AI705" s="742">
        <f t="shared" si="93"/>
        <v>0</v>
      </c>
      <c r="AJ705" s="743">
        <f t="shared" si="94"/>
        <v>0</v>
      </c>
    </row>
    <row r="706" spans="1:36">
      <c r="A706" s="1314" t="s">
        <v>148</v>
      </c>
      <c r="B706" s="1018" t="s">
        <v>210</v>
      </c>
      <c r="C706" s="1322" t="s">
        <v>311</v>
      </c>
      <c r="D706" s="1321"/>
      <c r="E706" s="1021"/>
      <c r="F706" s="1022"/>
      <c r="G706" s="846"/>
      <c r="H706" s="847"/>
      <c r="I706" s="846"/>
      <c r="J706" s="847"/>
      <c r="K706" s="846"/>
      <c r="L706" s="847"/>
      <c r="M706" s="846"/>
      <c r="N706" s="846"/>
      <c r="O706" s="737">
        <f t="shared" si="87"/>
        <v>0</v>
      </c>
      <c r="P706" s="847"/>
      <c r="Q706" s="847"/>
      <c r="R706" s="738">
        <f t="shared" si="90"/>
        <v>0</v>
      </c>
      <c r="S706" s="737">
        <f t="shared" si="91"/>
        <v>0</v>
      </c>
      <c r="T706" s="739">
        <f t="shared" si="92"/>
        <v>0</v>
      </c>
      <c r="U706" s="846">
        <v>80000</v>
      </c>
      <c r="V706" s="847">
        <v>80000</v>
      </c>
      <c r="W706" s="846"/>
      <c r="X706" s="846"/>
      <c r="Y706" s="740">
        <f t="shared" si="88"/>
        <v>0</v>
      </c>
      <c r="Z706" s="847"/>
      <c r="AA706" s="847"/>
      <c r="AB706" s="741">
        <f t="shared" si="89"/>
        <v>0</v>
      </c>
      <c r="AC706" s="846"/>
      <c r="AD706" s="847"/>
      <c r="AE706" s="846"/>
      <c r="AF706" s="846"/>
      <c r="AG706" s="847"/>
      <c r="AH706" s="847"/>
      <c r="AI706" s="742">
        <f t="shared" si="93"/>
        <v>80000</v>
      </c>
      <c r="AJ706" s="743">
        <f t="shared" si="94"/>
        <v>80000</v>
      </c>
    </row>
    <row r="707" spans="1:36">
      <c r="A707" s="1314" t="s">
        <v>148</v>
      </c>
      <c r="B707" s="1018" t="s">
        <v>204</v>
      </c>
      <c r="C707" s="1322" t="s">
        <v>249</v>
      </c>
      <c r="D707" s="1321"/>
      <c r="E707" s="1021"/>
      <c r="F707" s="1022"/>
      <c r="G707" s="846"/>
      <c r="H707" s="847"/>
      <c r="I707" s="846"/>
      <c r="J707" s="847"/>
      <c r="K707" s="846"/>
      <c r="L707" s="847"/>
      <c r="M707" s="846"/>
      <c r="N707" s="846"/>
      <c r="O707" s="737">
        <f t="shared" si="87"/>
        <v>0</v>
      </c>
      <c r="P707" s="847"/>
      <c r="Q707" s="847"/>
      <c r="R707" s="738">
        <f t="shared" si="90"/>
        <v>0</v>
      </c>
      <c r="S707" s="737">
        <f t="shared" si="91"/>
        <v>0</v>
      </c>
      <c r="T707" s="739">
        <f t="shared" si="92"/>
        <v>0</v>
      </c>
      <c r="U707" s="846"/>
      <c r="V707" s="847"/>
      <c r="W707" s="846"/>
      <c r="X707" s="846"/>
      <c r="Y707" s="740">
        <f t="shared" si="88"/>
        <v>0</v>
      </c>
      <c r="Z707" s="847"/>
      <c r="AA707" s="847"/>
      <c r="AB707" s="741">
        <f t="shared" si="89"/>
        <v>0</v>
      </c>
      <c r="AC707" s="846"/>
      <c r="AD707" s="847"/>
      <c r="AE707" s="846"/>
      <c r="AF707" s="846"/>
      <c r="AG707" s="847"/>
      <c r="AH707" s="847"/>
      <c r="AI707" s="742">
        <f t="shared" si="93"/>
        <v>0</v>
      </c>
      <c r="AJ707" s="743">
        <f t="shared" si="94"/>
        <v>0</v>
      </c>
    </row>
    <row r="708" spans="1:36">
      <c r="A708" s="1314" t="s">
        <v>148</v>
      </c>
      <c r="B708" s="1018" t="s">
        <v>205</v>
      </c>
      <c r="C708" s="1322" t="s">
        <v>222</v>
      </c>
      <c r="D708" s="1321"/>
      <c r="E708" s="1021"/>
      <c r="F708" s="1022"/>
      <c r="G708" s="846"/>
      <c r="H708" s="847"/>
      <c r="I708" s="846"/>
      <c r="J708" s="847"/>
      <c r="K708" s="846"/>
      <c r="L708" s="847"/>
      <c r="M708" s="846"/>
      <c r="N708" s="846"/>
      <c r="O708" s="737">
        <f t="shared" si="87"/>
        <v>0</v>
      </c>
      <c r="P708" s="847"/>
      <c r="Q708" s="847"/>
      <c r="R708" s="738">
        <f t="shared" si="90"/>
        <v>0</v>
      </c>
      <c r="S708" s="737">
        <f t="shared" si="91"/>
        <v>0</v>
      </c>
      <c r="T708" s="739">
        <f t="shared" si="92"/>
        <v>0</v>
      </c>
      <c r="U708" s="846"/>
      <c r="V708" s="847"/>
      <c r="W708" s="846"/>
      <c r="X708" s="846"/>
      <c r="Y708" s="740">
        <f t="shared" si="88"/>
        <v>0</v>
      </c>
      <c r="Z708" s="847"/>
      <c r="AA708" s="847"/>
      <c r="AB708" s="741">
        <f t="shared" si="89"/>
        <v>0</v>
      </c>
      <c r="AC708" s="846"/>
      <c r="AD708" s="847"/>
      <c r="AE708" s="846"/>
      <c r="AF708" s="846"/>
      <c r="AG708" s="847"/>
      <c r="AH708" s="847"/>
      <c r="AI708" s="742">
        <f t="shared" si="93"/>
        <v>0</v>
      </c>
      <c r="AJ708" s="743">
        <f t="shared" si="94"/>
        <v>0</v>
      </c>
    </row>
    <row r="709" spans="1:36">
      <c r="A709" s="1314" t="s">
        <v>148</v>
      </c>
      <c r="B709" s="1018" t="s">
        <v>218</v>
      </c>
      <c r="C709" s="1322" t="s">
        <v>311</v>
      </c>
      <c r="D709" s="1321"/>
      <c r="E709" s="1021"/>
      <c r="F709" s="1022"/>
      <c r="G709" s="846"/>
      <c r="H709" s="847"/>
      <c r="I709" s="846"/>
      <c r="J709" s="847"/>
      <c r="K709" s="846"/>
      <c r="L709" s="847"/>
      <c r="M709" s="846"/>
      <c r="N709" s="846"/>
      <c r="O709" s="737">
        <f t="shared" si="87"/>
        <v>0</v>
      </c>
      <c r="P709" s="847"/>
      <c r="Q709" s="847"/>
      <c r="R709" s="738">
        <f t="shared" si="90"/>
        <v>0</v>
      </c>
      <c r="S709" s="737">
        <f t="shared" si="91"/>
        <v>0</v>
      </c>
      <c r="T709" s="739">
        <f t="shared" si="92"/>
        <v>0</v>
      </c>
      <c r="U709" s="846">
        <v>20000</v>
      </c>
      <c r="V709" s="847">
        <v>20000</v>
      </c>
      <c r="W709" s="846"/>
      <c r="X709" s="846"/>
      <c r="Y709" s="740">
        <f t="shared" si="88"/>
        <v>0</v>
      </c>
      <c r="Z709" s="847"/>
      <c r="AA709" s="847"/>
      <c r="AB709" s="741">
        <f t="shared" si="89"/>
        <v>0</v>
      </c>
      <c r="AC709" s="846"/>
      <c r="AD709" s="847"/>
      <c r="AE709" s="846"/>
      <c r="AF709" s="846"/>
      <c r="AG709" s="847"/>
      <c r="AH709" s="847"/>
      <c r="AI709" s="742">
        <f t="shared" si="93"/>
        <v>20000</v>
      </c>
      <c r="AJ709" s="743">
        <f t="shared" si="94"/>
        <v>20000</v>
      </c>
    </row>
    <row r="710" spans="1:36">
      <c r="A710" s="1314" t="s">
        <v>148</v>
      </c>
      <c r="B710" s="1018" t="s">
        <v>219</v>
      </c>
      <c r="C710" s="1322" t="s">
        <v>249</v>
      </c>
      <c r="D710" s="1321"/>
      <c r="E710" s="1021"/>
      <c r="F710" s="1022"/>
      <c r="G710" s="846"/>
      <c r="H710" s="847"/>
      <c r="I710" s="846"/>
      <c r="J710" s="847"/>
      <c r="K710" s="846"/>
      <c r="L710" s="847"/>
      <c r="M710" s="846"/>
      <c r="N710" s="846"/>
      <c r="O710" s="737">
        <f t="shared" si="87"/>
        <v>0</v>
      </c>
      <c r="P710" s="847"/>
      <c r="Q710" s="847"/>
      <c r="R710" s="738">
        <f t="shared" si="90"/>
        <v>0</v>
      </c>
      <c r="S710" s="737">
        <f t="shared" si="91"/>
        <v>0</v>
      </c>
      <c r="T710" s="739">
        <f t="shared" si="92"/>
        <v>0</v>
      </c>
      <c r="U710" s="846"/>
      <c r="V710" s="847"/>
      <c r="W710" s="846"/>
      <c r="X710" s="846"/>
      <c r="Y710" s="740">
        <f t="shared" si="88"/>
        <v>0</v>
      </c>
      <c r="Z710" s="847"/>
      <c r="AA710" s="847"/>
      <c r="AB710" s="741">
        <f t="shared" si="89"/>
        <v>0</v>
      </c>
      <c r="AC710" s="846"/>
      <c r="AD710" s="847"/>
      <c r="AE710" s="846"/>
      <c r="AF710" s="846"/>
      <c r="AG710" s="847"/>
      <c r="AH710" s="847"/>
      <c r="AI710" s="742">
        <f t="shared" si="93"/>
        <v>0</v>
      </c>
      <c r="AJ710" s="743">
        <f t="shared" si="94"/>
        <v>0</v>
      </c>
    </row>
    <row r="711" spans="1:36">
      <c r="A711" s="1314" t="s">
        <v>148</v>
      </c>
      <c r="B711" s="1018" t="s">
        <v>292</v>
      </c>
      <c r="C711" s="1327" t="s">
        <v>1589</v>
      </c>
      <c r="D711" s="1020"/>
      <c r="E711" s="1021"/>
      <c r="F711" s="1022"/>
      <c r="G711" s="846"/>
      <c r="H711" s="847"/>
      <c r="I711" s="846"/>
      <c r="J711" s="847"/>
      <c r="K711" s="846"/>
      <c r="L711" s="847"/>
      <c r="M711" s="846"/>
      <c r="N711" s="846"/>
      <c r="O711" s="737">
        <f t="shared" si="87"/>
        <v>0</v>
      </c>
      <c r="P711" s="847"/>
      <c r="Q711" s="847"/>
      <c r="R711" s="738">
        <f t="shared" si="90"/>
        <v>0</v>
      </c>
      <c r="S711" s="737">
        <f t="shared" si="91"/>
        <v>0</v>
      </c>
      <c r="T711" s="739">
        <f t="shared" si="92"/>
        <v>0</v>
      </c>
      <c r="U711" s="846"/>
      <c r="V711" s="847"/>
      <c r="W711" s="846"/>
      <c r="X711" s="846"/>
      <c r="Y711" s="740">
        <f t="shared" si="88"/>
        <v>0</v>
      </c>
      <c r="Z711" s="847"/>
      <c r="AA711" s="847"/>
      <c r="AB711" s="741">
        <f t="shared" si="89"/>
        <v>0</v>
      </c>
      <c r="AC711" s="846"/>
      <c r="AD711" s="847"/>
      <c r="AE711" s="846"/>
      <c r="AF711" s="846"/>
      <c r="AG711" s="847"/>
      <c r="AH711" s="847"/>
      <c r="AI711" s="742">
        <f t="shared" si="93"/>
        <v>0</v>
      </c>
      <c r="AJ711" s="743">
        <f t="shared" si="94"/>
        <v>0</v>
      </c>
    </row>
    <row r="712" spans="1:36">
      <c r="A712" s="1314" t="s">
        <v>148</v>
      </c>
      <c r="B712" s="1018" t="s">
        <v>209</v>
      </c>
      <c r="C712" s="1322" t="s">
        <v>250</v>
      </c>
      <c r="D712" s="1321"/>
      <c r="E712" s="1021"/>
      <c r="F712" s="1022"/>
      <c r="G712" s="846"/>
      <c r="H712" s="847"/>
      <c r="I712" s="846"/>
      <c r="J712" s="847"/>
      <c r="K712" s="846"/>
      <c r="L712" s="847"/>
      <c r="M712" s="846"/>
      <c r="N712" s="846"/>
      <c r="O712" s="737">
        <f t="shared" si="87"/>
        <v>0</v>
      </c>
      <c r="P712" s="847"/>
      <c r="Q712" s="847"/>
      <c r="R712" s="738">
        <f t="shared" si="90"/>
        <v>0</v>
      </c>
      <c r="S712" s="737">
        <f t="shared" si="91"/>
        <v>0</v>
      </c>
      <c r="T712" s="739">
        <f t="shared" si="92"/>
        <v>0</v>
      </c>
      <c r="U712" s="846"/>
      <c r="V712" s="847"/>
      <c r="W712" s="846"/>
      <c r="X712" s="846"/>
      <c r="Y712" s="740">
        <f t="shared" si="88"/>
        <v>0</v>
      </c>
      <c r="Z712" s="847"/>
      <c r="AA712" s="847"/>
      <c r="AB712" s="741">
        <f t="shared" si="89"/>
        <v>0</v>
      </c>
      <c r="AC712" s="846"/>
      <c r="AD712" s="847"/>
      <c r="AE712" s="846"/>
      <c r="AF712" s="846"/>
      <c r="AG712" s="847"/>
      <c r="AH712" s="847"/>
      <c r="AI712" s="742">
        <f t="shared" si="93"/>
        <v>0</v>
      </c>
      <c r="AJ712" s="743">
        <f t="shared" si="94"/>
        <v>0</v>
      </c>
    </row>
    <row r="713" spans="1:36">
      <c r="A713" s="1314" t="s">
        <v>148</v>
      </c>
      <c r="B713" s="1018" t="s">
        <v>210</v>
      </c>
      <c r="C713" s="1322" t="s">
        <v>311</v>
      </c>
      <c r="D713" s="1321"/>
      <c r="E713" s="1021"/>
      <c r="F713" s="1022"/>
      <c r="G713" s="846"/>
      <c r="H713" s="847"/>
      <c r="I713" s="846"/>
      <c r="J713" s="847"/>
      <c r="K713" s="846"/>
      <c r="L713" s="847"/>
      <c r="M713" s="846"/>
      <c r="N713" s="846"/>
      <c r="O713" s="737">
        <f t="shared" si="87"/>
        <v>0</v>
      </c>
      <c r="P713" s="847"/>
      <c r="Q713" s="847"/>
      <c r="R713" s="738">
        <f t="shared" si="90"/>
        <v>0</v>
      </c>
      <c r="S713" s="737">
        <f t="shared" si="91"/>
        <v>0</v>
      </c>
      <c r="T713" s="739">
        <f t="shared" si="92"/>
        <v>0</v>
      </c>
      <c r="U713" s="846"/>
      <c r="V713" s="847"/>
      <c r="W713" s="846"/>
      <c r="X713" s="846"/>
      <c r="Y713" s="740">
        <f t="shared" si="88"/>
        <v>0</v>
      </c>
      <c r="Z713" s="847"/>
      <c r="AA713" s="847"/>
      <c r="AB713" s="741">
        <f t="shared" si="89"/>
        <v>0</v>
      </c>
      <c r="AC713" s="846"/>
      <c r="AD713" s="847"/>
      <c r="AE713" s="846"/>
      <c r="AF713" s="846"/>
      <c r="AG713" s="847"/>
      <c r="AH713" s="847"/>
      <c r="AI713" s="742">
        <f t="shared" si="93"/>
        <v>0</v>
      </c>
      <c r="AJ713" s="743">
        <f t="shared" si="94"/>
        <v>0</v>
      </c>
    </row>
    <row r="714" spans="1:36">
      <c r="A714" s="1314" t="s">
        <v>148</v>
      </c>
      <c r="B714" s="1018" t="s">
        <v>204</v>
      </c>
      <c r="C714" s="1322" t="s">
        <v>249</v>
      </c>
      <c r="D714" s="1321"/>
      <c r="E714" s="1021"/>
      <c r="F714" s="1022"/>
      <c r="G714" s="846"/>
      <c r="H714" s="847"/>
      <c r="I714" s="846"/>
      <c r="J714" s="847"/>
      <c r="K714" s="846"/>
      <c r="L714" s="847"/>
      <c r="M714" s="846"/>
      <c r="N714" s="846"/>
      <c r="O714" s="737">
        <f t="shared" ref="O714:O777" si="95">SUM(M714:N714)</f>
        <v>0</v>
      </c>
      <c r="P714" s="847"/>
      <c r="Q714" s="847"/>
      <c r="R714" s="738">
        <f t="shared" si="90"/>
        <v>0</v>
      </c>
      <c r="S714" s="737">
        <f t="shared" si="91"/>
        <v>0</v>
      </c>
      <c r="T714" s="739">
        <f t="shared" si="92"/>
        <v>0</v>
      </c>
      <c r="U714" s="846">
        <v>144500</v>
      </c>
      <c r="V714" s="847">
        <v>144500</v>
      </c>
      <c r="W714" s="846"/>
      <c r="X714" s="846"/>
      <c r="Y714" s="740">
        <f t="shared" ref="Y714:Y777" si="96">SUM(W714:X714)</f>
        <v>0</v>
      </c>
      <c r="Z714" s="847"/>
      <c r="AA714" s="847"/>
      <c r="AB714" s="741">
        <f t="shared" ref="AB714:AB777" si="97">SUM(Z714:AA714)</f>
        <v>0</v>
      </c>
      <c r="AC714" s="846"/>
      <c r="AD714" s="847"/>
      <c r="AE714" s="846"/>
      <c r="AF714" s="846"/>
      <c r="AG714" s="847"/>
      <c r="AH714" s="847"/>
      <c r="AI714" s="742">
        <f t="shared" si="93"/>
        <v>144500</v>
      </c>
      <c r="AJ714" s="743">
        <f t="shared" si="94"/>
        <v>144500</v>
      </c>
    </row>
    <row r="715" spans="1:36">
      <c r="A715" s="1314" t="s">
        <v>148</v>
      </c>
      <c r="B715" s="1018" t="s">
        <v>205</v>
      </c>
      <c r="C715" s="1322" t="s">
        <v>222</v>
      </c>
      <c r="D715" s="1321"/>
      <c r="E715" s="1021"/>
      <c r="F715" s="1022"/>
      <c r="G715" s="846"/>
      <c r="H715" s="847"/>
      <c r="I715" s="846"/>
      <c r="J715" s="847"/>
      <c r="K715" s="846"/>
      <c r="L715" s="847"/>
      <c r="M715" s="846"/>
      <c r="N715" s="846"/>
      <c r="O715" s="737">
        <f t="shared" si="95"/>
        <v>0</v>
      </c>
      <c r="P715" s="847"/>
      <c r="Q715" s="847"/>
      <c r="R715" s="738">
        <f t="shared" ref="R715:R778" si="98">SUM(P715:Q715)</f>
        <v>0</v>
      </c>
      <c r="S715" s="737">
        <f t="shared" ref="S715:S778" si="99">SUM(G715,I715,K715,M715)</f>
        <v>0</v>
      </c>
      <c r="T715" s="739">
        <f t="shared" ref="T715:T778" si="100">SUM(H715,J715,L715,P715)</f>
        <v>0</v>
      </c>
      <c r="U715" s="846"/>
      <c r="V715" s="847"/>
      <c r="W715" s="846"/>
      <c r="X715" s="846"/>
      <c r="Y715" s="740">
        <f t="shared" si="96"/>
        <v>0</v>
      </c>
      <c r="Z715" s="847"/>
      <c r="AA715" s="847"/>
      <c r="AB715" s="741">
        <f t="shared" si="97"/>
        <v>0</v>
      </c>
      <c r="AC715" s="846"/>
      <c r="AD715" s="847"/>
      <c r="AE715" s="846"/>
      <c r="AF715" s="846"/>
      <c r="AG715" s="847"/>
      <c r="AH715" s="847"/>
      <c r="AI715" s="742">
        <f t="shared" ref="AI715:AI778" si="101">SUM(S715,U715,W715,AC715,AE715)</f>
        <v>0</v>
      </c>
      <c r="AJ715" s="743">
        <f t="shared" ref="AJ715:AJ778" si="102">SUM(T715,V715,Z715,AD715,AG715)</f>
        <v>0</v>
      </c>
    </row>
    <row r="716" spans="1:36">
      <c r="A716" s="1314" t="s">
        <v>148</v>
      </c>
      <c r="B716" s="1018" t="s">
        <v>218</v>
      </c>
      <c r="C716" s="1322" t="s">
        <v>311</v>
      </c>
      <c r="D716" s="1321"/>
      <c r="E716" s="1021"/>
      <c r="F716" s="1022"/>
      <c r="G716" s="846"/>
      <c r="H716" s="847"/>
      <c r="I716" s="846"/>
      <c r="J716" s="847"/>
      <c r="K716" s="846"/>
      <c r="L716" s="847"/>
      <c r="M716" s="846"/>
      <c r="N716" s="846"/>
      <c r="O716" s="737">
        <f t="shared" si="95"/>
        <v>0</v>
      </c>
      <c r="P716" s="847"/>
      <c r="Q716" s="847"/>
      <c r="R716" s="738">
        <f t="shared" si="98"/>
        <v>0</v>
      </c>
      <c r="S716" s="737">
        <f t="shared" si="99"/>
        <v>0</v>
      </c>
      <c r="T716" s="739">
        <f t="shared" si="100"/>
        <v>0</v>
      </c>
      <c r="U716" s="846"/>
      <c r="V716" s="847"/>
      <c r="W716" s="846"/>
      <c r="X716" s="846"/>
      <c r="Y716" s="740">
        <f t="shared" si="96"/>
        <v>0</v>
      </c>
      <c r="Z716" s="847"/>
      <c r="AA716" s="847"/>
      <c r="AB716" s="741">
        <f t="shared" si="97"/>
        <v>0</v>
      </c>
      <c r="AC716" s="846"/>
      <c r="AD716" s="847"/>
      <c r="AE716" s="846"/>
      <c r="AF716" s="846"/>
      <c r="AG716" s="847"/>
      <c r="AH716" s="847"/>
      <c r="AI716" s="742">
        <f t="shared" si="101"/>
        <v>0</v>
      </c>
      <c r="AJ716" s="743">
        <f t="shared" si="102"/>
        <v>0</v>
      </c>
    </row>
    <row r="717" spans="1:36">
      <c r="A717" s="1314" t="s">
        <v>148</v>
      </c>
      <c r="B717" s="1018" t="s">
        <v>219</v>
      </c>
      <c r="C717" s="1322" t="s">
        <v>249</v>
      </c>
      <c r="D717" s="1321"/>
      <c r="E717" s="1021"/>
      <c r="F717" s="1022"/>
      <c r="G717" s="846"/>
      <c r="H717" s="847"/>
      <c r="I717" s="846"/>
      <c r="J717" s="847"/>
      <c r="K717" s="846"/>
      <c r="L717" s="847"/>
      <c r="M717" s="846"/>
      <c r="N717" s="846"/>
      <c r="O717" s="737">
        <f t="shared" si="95"/>
        <v>0</v>
      </c>
      <c r="P717" s="847"/>
      <c r="Q717" s="847"/>
      <c r="R717" s="738">
        <f t="shared" si="98"/>
        <v>0</v>
      </c>
      <c r="S717" s="737">
        <f t="shared" si="99"/>
        <v>0</v>
      </c>
      <c r="T717" s="739">
        <f t="shared" si="100"/>
        <v>0</v>
      </c>
      <c r="U717" s="846">
        <v>69000</v>
      </c>
      <c r="V717" s="847">
        <v>69000</v>
      </c>
      <c r="W717" s="846"/>
      <c r="X717" s="846"/>
      <c r="Y717" s="740">
        <f t="shared" si="96"/>
        <v>0</v>
      </c>
      <c r="Z717" s="847"/>
      <c r="AA717" s="847"/>
      <c r="AB717" s="741">
        <f t="shared" si="97"/>
        <v>0</v>
      </c>
      <c r="AC717" s="846"/>
      <c r="AD717" s="847"/>
      <c r="AE717" s="846"/>
      <c r="AF717" s="846"/>
      <c r="AG717" s="847"/>
      <c r="AH717" s="847"/>
      <c r="AI717" s="742">
        <f t="shared" si="101"/>
        <v>69000</v>
      </c>
      <c r="AJ717" s="743">
        <f t="shared" si="102"/>
        <v>69000</v>
      </c>
    </row>
    <row r="718" spans="1:36">
      <c r="A718" s="1314" t="s">
        <v>148</v>
      </c>
      <c r="B718" s="1018" t="s">
        <v>292</v>
      </c>
      <c r="C718" s="1327" t="s">
        <v>1590</v>
      </c>
      <c r="D718" s="1020"/>
      <c r="E718" s="1021"/>
      <c r="F718" s="1022"/>
      <c r="G718" s="846"/>
      <c r="H718" s="847"/>
      <c r="I718" s="846"/>
      <c r="J718" s="847"/>
      <c r="K718" s="846"/>
      <c r="L718" s="847"/>
      <c r="M718" s="846"/>
      <c r="N718" s="846"/>
      <c r="O718" s="737">
        <f t="shared" si="95"/>
        <v>0</v>
      </c>
      <c r="P718" s="847"/>
      <c r="Q718" s="847"/>
      <c r="R718" s="738">
        <f t="shared" si="98"/>
        <v>0</v>
      </c>
      <c r="S718" s="737">
        <f t="shared" si="99"/>
        <v>0</v>
      </c>
      <c r="T718" s="739">
        <f t="shared" si="100"/>
        <v>0</v>
      </c>
      <c r="U718" s="846"/>
      <c r="V718" s="847"/>
      <c r="W718" s="846"/>
      <c r="X718" s="846"/>
      <c r="Y718" s="740">
        <f t="shared" si="96"/>
        <v>0</v>
      </c>
      <c r="Z718" s="847"/>
      <c r="AA718" s="847"/>
      <c r="AB718" s="741">
        <f t="shared" si="97"/>
        <v>0</v>
      </c>
      <c r="AC718" s="846"/>
      <c r="AD718" s="847"/>
      <c r="AE718" s="846"/>
      <c r="AF718" s="846"/>
      <c r="AG718" s="847"/>
      <c r="AH718" s="847"/>
      <c r="AI718" s="742">
        <f t="shared" si="101"/>
        <v>0</v>
      </c>
      <c r="AJ718" s="743">
        <f t="shared" si="102"/>
        <v>0</v>
      </c>
    </row>
    <row r="719" spans="1:36">
      <c r="A719" s="1314" t="s">
        <v>148</v>
      </c>
      <c r="B719" s="1018" t="s">
        <v>209</v>
      </c>
      <c r="C719" s="1322" t="s">
        <v>250</v>
      </c>
      <c r="D719" s="1321"/>
      <c r="E719" s="1021"/>
      <c r="F719" s="1022"/>
      <c r="G719" s="846"/>
      <c r="H719" s="847"/>
      <c r="I719" s="846"/>
      <c r="J719" s="847"/>
      <c r="K719" s="846"/>
      <c r="L719" s="847"/>
      <c r="M719" s="846"/>
      <c r="N719" s="846"/>
      <c r="O719" s="737">
        <f t="shared" si="95"/>
        <v>0</v>
      </c>
      <c r="P719" s="847"/>
      <c r="Q719" s="847"/>
      <c r="R719" s="738">
        <f t="shared" si="98"/>
        <v>0</v>
      </c>
      <c r="S719" s="737">
        <f t="shared" si="99"/>
        <v>0</v>
      </c>
      <c r="T719" s="739">
        <f t="shared" si="100"/>
        <v>0</v>
      </c>
      <c r="U719" s="846"/>
      <c r="V719" s="847"/>
      <c r="W719" s="846"/>
      <c r="X719" s="846"/>
      <c r="Y719" s="740">
        <f t="shared" si="96"/>
        <v>0</v>
      </c>
      <c r="Z719" s="847"/>
      <c r="AA719" s="847"/>
      <c r="AB719" s="741">
        <f t="shared" si="97"/>
        <v>0</v>
      </c>
      <c r="AC719" s="846"/>
      <c r="AD719" s="847"/>
      <c r="AE719" s="846"/>
      <c r="AF719" s="846"/>
      <c r="AG719" s="847"/>
      <c r="AH719" s="847"/>
      <c r="AI719" s="742">
        <f t="shared" si="101"/>
        <v>0</v>
      </c>
      <c r="AJ719" s="743">
        <f t="shared" si="102"/>
        <v>0</v>
      </c>
    </row>
    <row r="720" spans="1:36">
      <c r="A720" s="1314" t="s">
        <v>148</v>
      </c>
      <c r="B720" s="1018" t="s">
        <v>210</v>
      </c>
      <c r="C720" s="1322" t="s">
        <v>311</v>
      </c>
      <c r="D720" s="1321"/>
      <c r="E720" s="1021"/>
      <c r="F720" s="1022"/>
      <c r="G720" s="846"/>
      <c r="H720" s="847"/>
      <c r="I720" s="846"/>
      <c r="J720" s="847"/>
      <c r="K720" s="846"/>
      <c r="L720" s="847"/>
      <c r="M720" s="846"/>
      <c r="N720" s="846"/>
      <c r="O720" s="737">
        <f t="shared" si="95"/>
        <v>0</v>
      </c>
      <c r="P720" s="847"/>
      <c r="Q720" s="847"/>
      <c r="R720" s="738">
        <f t="shared" si="98"/>
        <v>0</v>
      </c>
      <c r="S720" s="737">
        <f t="shared" si="99"/>
        <v>0</v>
      </c>
      <c r="T720" s="739">
        <f t="shared" si="100"/>
        <v>0</v>
      </c>
      <c r="U720" s="846"/>
      <c r="V720" s="847"/>
      <c r="W720" s="846"/>
      <c r="X720" s="846"/>
      <c r="Y720" s="740">
        <f t="shared" si="96"/>
        <v>0</v>
      </c>
      <c r="Z720" s="847"/>
      <c r="AA720" s="847"/>
      <c r="AB720" s="741">
        <f t="shared" si="97"/>
        <v>0</v>
      </c>
      <c r="AC720" s="846"/>
      <c r="AD720" s="847"/>
      <c r="AE720" s="846"/>
      <c r="AF720" s="846"/>
      <c r="AG720" s="847"/>
      <c r="AH720" s="847"/>
      <c r="AI720" s="742">
        <f t="shared" si="101"/>
        <v>0</v>
      </c>
      <c r="AJ720" s="743">
        <f t="shared" si="102"/>
        <v>0</v>
      </c>
    </row>
    <row r="721" spans="1:36">
      <c r="A721" s="1314" t="s">
        <v>148</v>
      </c>
      <c r="B721" s="1018" t="s">
        <v>204</v>
      </c>
      <c r="C721" s="1322" t="s">
        <v>249</v>
      </c>
      <c r="D721" s="1321"/>
      <c r="E721" s="1021"/>
      <c r="F721" s="1022"/>
      <c r="G721" s="846"/>
      <c r="H721" s="847"/>
      <c r="I721" s="846"/>
      <c r="J721" s="847"/>
      <c r="K721" s="846"/>
      <c r="L721" s="847"/>
      <c r="M721" s="846"/>
      <c r="N721" s="846"/>
      <c r="O721" s="737">
        <f t="shared" si="95"/>
        <v>0</v>
      </c>
      <c r="P721" s="847"/>
      <c r="Q721" s="847"/>
      <c r="R721" s="738">
        <f t="shared" si="98"/>
        <v>0</v>
      </c>
      <c r="S721" s="737">
        <f t="shared" si="99"/>
        <v>0</v>
      </c>
      <c r="T721" s="739">
        <f t="shared" si="100"/>
        <v>0</v>
      </c>
      <c r="U721" s="846"/>
      <c r="V721" s="847"/>
      <c r="W721" s="846"/>
      <c r="X721" s="846"/>
      <c r="Y721" s="740">
        <f t="shared" si="96"/>
        <v>0</v>
      </c>
      <c r="Z721" s="847"/>
      <c r="AA721" s="847"/>
      <c r="AB721" s="741">
        <f t="shared" si="97"/>
        <v>0</v>
      </c>
      <c r="AC721" s="846"/>
      <c r="AD721" s="847"/>
      <c r="AE721" s="846"/>
      <c r="AF721" s="846"/>
      <c r="AG721" s="847"/>
      <c r="AH721" s="847"/>
      <c r="AI721" s="742">
        <f t="shared" si="101"/>
        <v>0</v>
      </c>
      <c r="AJ721" s="743">
        <f t="shared" si="102"/>
        <v>0</v>
      </c>
    </row>
    <row r="722" spans="1:36">
      <c r="A722" s="1314" t="s">
        <v>148</v>
      </c>
      <c r="B722" s="1018" t="s">
        <v>205</v>
      </c>
      <c r="C722" s="1322" t="s">
        <v>222</v>
      </c>
      <c r="D722" s="1321"/>
      <c r="E722" s="1021"/>
      <c r="F722" s="1022"/>
      <c r="G722" s="846"/>
      <c r="H722" s="847"/>
      <c r="I722" s="846"/>
      <c r="J722" s="847"/>
      <c r="K722" s="846"/>
      <c r="L722" s="847"/>
      <c r="M722" s="846"/>
      <c r="N722" s="846"/>
      <c r="O722" s="737">
        <f t="shared" si="95"/>
        <v>0</v>
      </c>
      <c r="P722" s="847"/>
      <c r="Q722" s="847"/>
      <c r="R722" s="738">
        <f t="shared" si="98"/>
        <v>0</v>
      </c>
      <c r="S722" s="737">
        <f t="shared" si="99"/>
        <v>0</v>
      </c>
      <c r="T722" s="739">
        <f t="shared" si="100"/>
        <v>0</v>
      </c>
      <c r="U722" s="846"/>
      <c r="V722" s="847"/>
      <c r="W722" s="846"/>
      <c r="X722" s="846"/>
      <c r="Y722" s="740">
        <f t="shared" si="96"/>
        <v>0</v>
      </c>
      <c r="Z722" s="847"/>
      <c r="AA722" s="847"/>
      <c r="AB722" s="741">
        <f t="shared" si="97"/>
        <v>0</v>
      </c>
      <c r="AC722" s="846"/>
      <c r="AD722" s="847"/>
      <c r="AE722" s="846"/>
      <c r="AF722" s="846"/>
      <c r="AG722" s="847"/>
      <c r="AH722" s="847"/>
      <c r="AI722" s="742">
        <f t="shared" si="101"/>
        <v>0</v>
      </c>
      <c r="AJ722" s="743">
        <f t="shared" si="102"/>
        <v>0</v>
      </c>
    </row>
    <row r="723" spans="1:36">
      <c r="A723" s="1314" t="s">
        <v>148</v>
      </c>
      <c r="B723" s="1018" t="s">
        <v>218</v>
      </c>
      <c r="C723" s="1322" t="s">
        <v>311</v>
      </c>
      <c r="D723" s="1321"/>
      <c r="E723" s="1021"/>
      <c r="F723" s="1022"/>
      <c r="G723" s="846"/>
      <c r="H723" s="847"/>
      <c r="I723" s="846"/>
      <c r="J723" s="847"/>
      <c r="K723" s="846"/>
      <c r="L723" s="847"/>
      <c r="M723" s="846"/>
      <c r="N723" s="846"/>
      <c r="O723" s="737">
        <f t="shared" si="95"/>
        <v>0</v>
      </c>
      <c r="P723" s="847"/>
      <c r="Q723" s="847"/>
      <c r="R723" s="738">
        <f t="shared" si="98"/>
        <v>0</v>
      </c>
      <c r="S723" s="737">
        <f t="shared" si="99"/>
        <v>0</v>
      </c>
      <c r="T723" s="739">
        <f t="shared" si="100"/>
        <v>0</v>
      </c>
      <c r="U723" s="846"/>
      <c r="V723" s="847"/>
      <c r="W723" s="846"/>
      <c r="X723" s="846"/>
      <c r="Y723" s="740">
        <f t="shared" si="96"/>
        <v>0</v>
      </c>
      <c r="Z723" s="847"/>
      <c r="AA723" s="847"/>
      <c r="AB723" s="741">
        <f t="shared" si="97"/>
        <v>0</v>
      </c>
      <c r="AC723" s="846"/>
      <c r="AD723" s="847"/>
      <c r="AE723" s="846"/>
      <c r="AF723" s="846"/>
      <c r="AG723" s="847"/>
      <c r="AH723" s="847"/>
      <c r="AI723" s="742">
        <f t="shared" si="101"/>
        <v>0</v>
      </c>
      <c r="AJ723" s="743">
        <f t="shared" si="102"/>
        <v>0</v>
      </c>
    </row>
    <row r="724" spans="1:36">
      <c r="A724" s="1314" t="s">
        <v>148</v>
      </c>
      <c r="B724" s="1018" t="s">
        <v>219</v>
      </c>
      <c r="C724" s="1322" t="s">
        <v>249</v>
      </c>
      <c r="D724" s="1321"/>
      <c r="E724" s="1021"/>
      <c r="F724" s="1022"/>
      <c r="G724" s="846"/>
      <c r="H724" s="847"/>
      <c r="I724" s="846"/>
      <c r="J724" s="847"/>
      <c r="K724" s="846"/>
      <c r="L724" s="847"/>
      <c r="M724" s="846"/>
      <c r="N724" s="846"/>
      <c r="O724" s="737">
        <f t="shared" si="95"/>
        <v>0</v>
      </c>
      <c r="P724" s="847"/>
      <c r="Q724" s="847"/>
      <c r="R724" s="738">
        <f t="shared" si="98"/>
        <v>0</v>
      </c>
      <c r="S724" s="737">
        <f t="shared" si="99"/>
        <v>0</v>
      </c>
      <c r="T724" s="739">
        <f t="shared" si="100"/>
        <v>0</v>
      </c>
      <c r="U724" s="846">
        <v>23834</v>
      </c>
      <c r="V724" s="847">
        <v>16000</v>
      </c>
      <c r="W724" s="846"/>
      <c r="X724" s="846"/>
      <c r="Y724" s="740">
        <f t="shared" si="96"/>
        <v>0</v>
      </c>
      <c r="Z724" s="847"/>
      <c r="AA724" s="847"/>
      <c r="AB724" s="741">
        <f t="shared" si="97"/>
        <v>0</v>
      </c>
      <c r="AC724" s="846"/>
      <c r="AD724" s="847"/>
      <c r="AE724" s="846"/>
      <c r="AF724" s="846"/>
      <c r="AG724" s="847"/>
      <c r="AH724" s="847"/>
      <c r="AI724" s="742">
        <f t="shared" si="101"/>
        <v>23834</v>
      </c>
      <c r="AJ724" s="743">
        <f t="shared" si="102"/>
        <v>16000</v>
      </c>
    </row>
    <row r="725" spans="1:36">
      <c r="A725" s="1314" t="s">
        <v>148</v>
      </c>
      <c r="B725" s="1018" t="s">
        <v>292</v>
      </c>
      <c r="C725" s="1327" t="s">
        <v>1591</v>
      </c>
      <c r="D725" s="1020"/>
      <c r="E725" s="1021"/>
      <c r="F725" s="1022"/>
      <c r="G725" s="846"/>
      <c r="H725" s="847"/>
      <c r="I725" s="846"/>
      <c r="J725" s="847"/>
      <c r="K725" s="846"/>
      <c r="L725" s="847"/>
      <c r="M725" s="846"/>
      <c r="N725" s="846"/>
      <c r="O725" s="737">
        <f t="shared" si="95"/>
        <v>0</v>
      </c>
      <c r="P725" s="847"/>
      <c r="Q725" s="847"/>
      <c r="R725" s="738">
        <f t="shared" si="98"/>
        <v>0</v>
      </c>
      <c r="S725" s="737">
        <f t="shared" si="99"/>
        <v>0</v>
      </c>
      <c r="T725" s="739">
        <f t="shared" si="100"/>
        <v>0</v>
      </c>
      <c r="U725" s="846"/>
      <c r="V725" s="847"/>
      <c r="W725" s="846"/>
      <c r="X725" s="846"/>
      <c r="Y725" s="740">
        <f t="shared" si="96"/>
        <v>0</v>
      </c>
      <c r="Z725" s="847"/>
      <c r="AA725" s="847"/>
      <c r="AB725" s="741">
        <f t="shared" si="97"/>
        <v>0</v>
      </c>
      <c r="AC725" s="846"/>
      <c r="AD725" s="847"/>
      <c r="AE725" s="846"/>
      <c r="AF725" s="846"/>
      <c r="AG725" s="847"/>
      <c r="AH725" s="847"/>
      <c r="AI725" s="742">
        <f t="shared" si="101"/>
        <v>0</v>
      </c>
      <c r="AJ725" s="743">
        <f t="shared" si="102"/>
        <v>0</v>
      </c>
    </row>
    <row r="726" spans="1:36">
      <c r="A726" s="1314" t="s">
        <v>148</v>
      </c>
      <c r="B726" s="1018" t="s">
        <v>209</v>
      </c>
      <c r="C726" s="1322" t="s">
        <v>250</v>
      </c>
      <c r="D726" s="1321"/>
      <c r="E726" s="1021"/>
      <c r="F726" s="1022"/>
      <c r="G726" s="846"/>
      <c r="H726" s="847"/>
      <c r="I726" s="846"/>
      <c r="J726" s="847"/>
      <c r="K726" s="846"/>
      <c r="L726" s="847"/>
      <c r="M726" s="846"/>
      <c r="N726" s="846"/>
      <c r="O726" s="737">
        <f t="shared" si="95"/>
        <v>0</v>
      </c>
      <c r="P726" s="847"/>
      <c r="Q726" s="847"/>
      <c r="R726" s="738">
        <f t="shared" si="98"/>
        <v>0</v>
      </c>
      <c r="S726" s="737">
        <f t="shared" si="99"/>
        <v>0</v>
      </c>
      <c r="T726" s="739">
        <f t="shared" si="100"/>
        <v>0</v>
      </c>
      <c r="U726" s="846"/>
      <c r="V726" s="847"/>
      <c r="W726" s="846"/>
      <c r="X726" s="846"/>
      <c r="Y726" s="740">
        <f t="shared" si="96"/>
        <v>0</v>
      </c>
      <c r="Z726" s="847"/>
      <c r="AA726" s="847"/>
      <c r="AB726" s="741">
        <f t="shared" si="97"/>
        <v>0</v>
      </c>
      <c r="AC726" s="846"/>
      <c r="AD726" s="847"/>
      <c r="AE726" s="846"/>
      <c r="AF726" s="846"/>
      <c r="AG726" s="847"/>
      <c r="AH726" s="847"/>
      <c r="AI726" s="742">
        <f t="shared" si="101"/>
        <v>0</v>
      </c>
      <c r="AJ726" s="743">
        <f t="shared" si="102"/>
        <v>0</v>
      </c>
    </row>
    <row r="727" spans="1:36">
      <c r="A727" s="1314" t="s">
        <v>148</v>
      </c>
      <c r="B727" s="1018" t="s">
        <v>210</v>
      </c>
      <c r="C727" s="1322" t="s">
        <v>311</v>
      </c>
      <c r="D727" s="1321"/>
      <c r="E727" s="1021"/>
      <c r="F727" s="1022"/>
      <c r="G727" s="846"/>
      <c r="H727" s="847"/>
      <c r="I727" s="846"/>
      <c r="J727" s="847"/>
      <c r="K727" s="846"/>
      <c r="L727" s="847"/>
      <c r="M727" s="846"/>
      <c r="N727" s="846"/>
      <c r="O727" s="737">
        <f t="shared" si="95"/>
        <v>0</v>
      </c>
      <c r="P727" s="847"/>
      <c r="Q727" s="847"/>
      <c r="R727" s="738">
        <f t="shared" si="98"/>
        <v>0</v>
      </c>
      <c r="S727" s="737">
        <f t="shared" si="99"/>
        <v>0</v>
      </c>
      <c r="T727" s="739">
        <f t="shared" si="100"/>
        <v>0</v>
      </c>
      <c r="U727" s="846"/>
      <c r="V727" s="847"/>
      <c r="W727" s="846"/>
      <c r="X727" s="846"/>
      <c r="Y727" s="740">
        <f t="shared" si="96"/>
        <v>0</v>
      </c>
      <c r="Z727" s="847"/>
      <c r="AA727" s="847"/>
      <c r="AB727" s="741">
        <f t="shared" si="97"/>
        <v>0</v>
      </c>
      <c r="AC727" s="846"/>
      <c r="AD727" s="847"/>
      <c r="AE727" s="846"/>
      <c r="AF727" s="846"/>
      <c r="AG727" s="847"/>
      <c r="AH727" s="847"/>
      <c r="AI727" s="742">
        <f t="shared" si="101"/>
        <v>0</v>
      </c>
      <c r="AJ727" s="743">
        <f t="shared" si="102"/>
        <v>0</v>
      </c>
    </row>
    <row r="728" spans="1:36">
      <c r="A728" s="1314" t="s">
        <v>148</v>
      </c>
      <c r="B728" s="1018" t="s">
        <v>204</v>
      </c>
      <c r="C728" s="1322" t="s">
        <v>249</v>
      </c>
      <c r="D728" s="1321"/>
      <c r="E728" s="1021"/>
      <c r="F728" s="1022"/>
      <c r="G728" s="846"/>
      <c r="H728" s="847"/>
      <c r="I728" s="846"/>
      <c r="J728" s="847"/>
      <c r="K728" s="846"/>
      <c r="L728" s="847"/>
      <c r="M728" s="846"/>
      <c r="N728" s="846"/>
      <c r="O728" s="737">
        <f t="shared" si="95"/>
        <v>0</v>
      </c>
      <c r="P728" s="847"/>
      <c r="Q728" s="847"/>
      <c r="R728" s="738">
        <f t="shared" si="98"/>
        <v>0</v>
      </c>
      <c r="S728" s="737">
        <f t="shared" si="99"/>
        <v>0</v>
      </c>
      <c r="T728" s="739">
        <f t="shared" si="100"/>
        <v>0</v>
      </c>
      <c r="U728" s="846">
        <v>129482</v>
      </c>
      <c r="V728" s="847">
        <v>170055</v>
      </c>
      <c r="W728" s="846"/>
      <c r="X728" s="846"/>
      <c r="Y728" s="740">
        <f t="shared" si="96"/>
        <v>0</v>
      </c>
      <c r="Z728" s="847"/>
      <c r="AA728" s="847"/>
      <c r="AB728" s="741">
        <f t="shared" si="97"/>
        <v>0</v>
      </c>
      <c r="AC728" s="846"/>
      <c r="AD728" s="847"/>
      <c r="AE728" s="846"/>
      <c r="AF728" s="846"/>
      <c r="AG728" s="847"/>
      <c r="AH728" s="847"/>
      <c r="AI728" s="742">
        <f t="shared" si="101"/>
        <v>129482</v>
      </c>
      <c r="AJ728" s="743">
        <f t="shared" si="102"/>
        <v>170055</v>
      </c>
    </row>
    <row r="729" spans="1:36">
      <c r="A729" s="1314" t="s">
        <v>148</v>
      </c>
      <c r="B729" s="1018" t="s">
        <v>205</v>
      </c>
      <c r="C729" s="1322" t="s">
        <v>222</v>
      </c>
      <c r="D729" s="1321"/>
      <c r="E729" s="1021"/>
      <c r="F729" s="1022"/>
      <c r="G729" s="846"/>
      <c r="H729" s="847"/>
      <c r="I729" s="846"/>
      <c r="J729" s="847"/>
      <c r="K729" s="846"/>
      <c r="L729" s="847"/>
      <c r="M729" s="846"/>
      <c r="N729" s="846"/>
      <c r="O729" s="737">
        <f t="shared" si="95"/>
        <v>0</v>
      </c>
      <c r="P729" s="847"/>
      <c r="Q729" s="847"/>
      <c r="R729" s="738">
        <f t="shared" si="98"/>
        <v>0</v>
      </c>
      <c r="S729" s="737">
        <f t="shared" si="99"/>
        <v>0</v>
      </c>
      <c r="T729" s="739">
        <f t="shared" si="100"/>
        <v>0</v>
      </c>
      <c r="U729" s="846"/>
      <c r="V729" s="847"/>
      <c r="W729" s="846"/>
      <c r="X729" s="846"/>
      <c r="Y729" s="740">
        <f t="shared" si="96"/>
        <v>0</v>
      </c>
      <c r="Z729" s="847"/>
      <c r="AA729" s="847"/>
      <c r="AB729" s="741">
        <f t="shared" si="97"/>
        <v>0</v>
      </c>
      <c r="AC729" s="846"/>
      <c r="AD729" s="847"/>
      <c r="AE729" s="846"/>
      <c r="AF729" s="846"/>
      <c r="AG729" s="847"/>
      <c r="AH729" s="847"/>
      <c r="AI729" s="742">
        <f t="shared" si="101"/>
        <v>0</v>
      </c>
      <c r="AJ729" s="743">
        <f t="shared" si="102"/>
        <v>0</v>
      </c>
    </row>
    <row r="730" spans="1:36">
      <c r="A730" s="1314" t="s">
        <v>148</v>
      </c>
      <c r="B730" s="1018" t="s">
        <v>218</v>
      </c>
      <c r="C730" s="1322" t="s">
        <v>311</v>
      </c>
      <c r="D730" s="1321"/>
      <c r="E730" s="1021"/>
      <c r="F730" s="1022"/>
      <c r="G730" s="846"/>
      <c r="H730" s="847"/>
      <c r="I730" s="846"/>
      <c r="J730" s="847"/>
      <c r="K730" s="846"/>
      <c r="L730" s="847"/>
      <c r="M730" s="846"/>
      <c r="N730" s="846"/>
      <c r="O730" s="737">
        <f t="shared" si="95"/>
        <v>0</v>
      </c>
      <c r="P730" s="847"/>
      <c r="Q730" s="847"/>
      <c r="R730" s="738">
        <f t="shared" si="98"/>
        <v>0</v>
      </c>
      <c r="S730" s="737">
        <f t="shared" si="99"/>
        <v>0</v>
      </c>
      <c r="T730" s="739">
        <f t="shared" si="100"/>
        <v>0</v>
      </c>
      <c r="U730" s="846"/>
      <c r="V730" s="847"/>
      <c r="W730" s="846"/>
      <c r="X730" s="846"/>
      <c r="Y730" s="740">
        <f t="shared" si="96"/>
        <v>0</v>
      </c>
      <c r="Z730" s="847"/>
      <c r="AA730" s="847"/>
      <c r="AB730" s="741">
        <f t="shared" si="97"/>
        <v>0</v>
      </c>
      <c r="AC730" s="846"/>
      <c r="AD730" s="847"/>
      <c r="AE730" s="846"/>
      <c r="AF730" s="846"/>
      <c r="AG730" s="847"/>
      <c r="AH730" s="847"/>
      <c r="AI730" s="742">
        <f t="shared" si="101"/>
        <v>0</v>
      </c>
      <c r="AJ730" s="743">
        <f t="shared" si="102"/>
        <v>0</v>
      </c>
    </row>
    <row r="731" spans="1:36">
      <c r="A731" s="1314" t="s">
        <v>148</v>
      </c>
      <c r="B731" s="1018" t="s">
        <v>219</v>
      </c>
      <c r="C731" s="1322" t="s">
        <v>249</v>
      </c>
      <c r="D731" s="1321"/>
      <c r="E731" s="1021"/>
      <c r="F731" s="1022"/>
      <c r="G731" s="846"/>
      <c r="H731" s="847"/>
      <c r="I731" s="846"/>
      <c r="J731" s="847"/>
      <c r="K731" s="846"/>
      <c r="L731" s="847"/>
      <c r="M731" s="846"/>
      <c r="N731" s="846"/>
      <c r="O731" s="737">
        <f t="shared" si="95"/>
        <v>0</v>
      </c>
      <c r="P731" s="847"/>
      <c r="Q731" s="847"/>
      <c r="R731" s="738">
        <f t="shared" si="98"/>
        <v>0</v>
      </c>
      <c r="S731" s="737">
        <f t="shared" si="99"/>
        <v>0</v>
      </c>
      <c r="T731" s="739">
        <f t="shared" si="100"/>
        <v>0</v>
      </c>
      <c r="U731" s="846">
        <v>30511</v>
      </c>
      <c r="V731" s="847">
        <v>40072</v>
      </c>
      <c r="W731" s="846"/>
      <c r="X731" s="846"/>
      <c r="Y731" s="740">
        <f t="shared" si="96"/>
        <v>0</v>
      </c>
      <c r="Z731" s="847"/>
      <c r="AA731" s="847"/>
      <c r="AB731" s="741">
        <f t="shared" si="97"/>
        <v>0</v>
      </c>
      <c r="AC731" s="846"/>
      <c r="AD731" s="847"/>
      <c r="AE731" s="846"/>
      <c r="AF731" s="846"/>
      <c r="AG731" s="847"/>
      <c r="AH731" s="847"/>
      <c r="AI731" s="742">
        <f t="shared" si="101"/>
        <v>30511</v>
      </c>
      <c r="AJ731" s="743">
        <f t="shared" si="102"/>
        <v>40072</v>
      </c>
    </row>
    <row r="732" spans="1:36">
      <c r="A732" s="1314" t="s">
        <v>148</v>
      </c>
      <c r="B732" s="1018" t="s">
        <v>292</v>
      </c>
      <c r="C732" s="1327" t="s">
        <v>1592</v>
      </c>
      <c r="D732" s="1020"/>
      <c r="E732" s="1021"/>
      <c r="F732" s="1022"/>
      <c r="G732" s="846"/>
      <c r="H732" s="847"/>
      <c r="I732" s="846"/>
      <c r="J732" s="847"/>
      <c r="K732" s="846"/>
      <c r="L732" s="847"/>
      <c r="M732" s="846"/>
      <c r="N732" s="846"/>
      <c r="O732" s="737">
        <f t="shared" si="95"/>
        <v>0</v>
      </c>
      <c r="P732" s="847"/>
      <c r="Q732" s="847"/>
      <c r="R732" s="738">
        <f t="shared" si="98"/>
        <v>0</v>
      </c>
      <c r="S732" s="737">
        <f t="shared" si="99"/>
        <v>0</v>
      </c>
      <c r="T732" s="739">
        <f t="shared" si="100"/>
        <v>0</v>
      </c>
      <c r="U732" s="846">
        <v>269791</v>
      </c>
      <c r="V732" s="847">
        <v>259651</v>
      </c>
      <c r="W732" s="846"/>
      <c r="X732" s="846"/>
      <c r="Y732" s="740">
        <f t="shared" si="96"/>
        <v>0</v>
      </c>
      <c r="Z732" s="847"/>
      <c r="AA732" s="847"/>
      <c r="AB732" s="741">
        <f t="shared" si="97"/>
        <v>0</v>
      </c>
      <c r="AC732" s="846"/>
      <c r="AD732" s="847"/>
      <c r="AE732" s="846"/>
      <c r="AF732" s="846"/>
      <c r="AG732" s="847"/>
      <c r="AH732" s="847"/>
      <c r="AI732" s="742">
        <f t="shared" si="101"/>
        <v>269791</v>
      </c>
      <c r="AJ732" s="743">
        <f t="shared" si="102"/>
        <v>259651</v>
      </c>
    </row>
    <row r="733" spans="1:36">
      <c r="A733" s="1314" t="s">
        <v>148</v>
      </c>
      <c r="B733" s="1018" t="s">
        <v>310</v>
      </c>
      <c r="C733" s="1019" t="s">
        <v>311</v>
      </c>
      <c r="D733" s="1020"/>
      <c r="E733" s="1021"/>
      <c r="F733" s="1022"/>
      <c r="G733" s="846"/>
      <c r="H733" s="847"/>
      <c r="I733" s="846"/>
      <c r="J733" s="847"/>
      <c r="K733" s="846"/>
      <c r="L733" s="847"/>
      <c r="M733" s="846"/>
      <c r="N733" s="846"/>
      <c r="O733" s="737">
        <f t="shared" si="95"/>
        <v>0</v>
      </c>
      <c r="P733" s="847"/>
      <c r="Q733" s="847"/>
      <c r="R733" s="738">
        <f t="shared" si="98"/>
        <v>0</v>
      </c>
      <c r="S733" s="737">
        <f t="shared" si="99"/>
        <v>0</v>
      </c>
      <c r="T733" s="739">
        <f t="shared" si="100"/>
        <v>0</v>
      </c>
      <c r="U733" s="846"/>
      <c r="V733" s="847"/>
      <c r="W733" s="846"/>
      <c r="X733" s="846"/>
      <c r="Y733" s="740">
        <f t="shared" si="96"/>
        <v>0</v>
      </c>
      <c r="Z733" s="847"/>
      <c r="AA733" s="847"/>
      <c r="AB733" s="741">
        <f t="shared" si="97"/>
        <v>0</v>
      </c>
      <c r="AC733" s="846"/>
      <c r="AD733" s="847"/>
      <c r="AE733" s="846"/>
      <c r="AF733" s="846"/>
      <c r="AG733" s="847"/>
      <c r="AH733" s="847"/>
      <c r="AI733" s="742">
        <f t="shared" si="101"/>
        <v>0</v>
      </c>
      <c r="AJ733" s="743">
        <f t="shared" si="102"/>
        <v>0</v>
      </c>
    </row>
    <row r="734" spans="1:36">
      <c r="A734" s="1314" t="s">
        <v>148</v>
      </c>
      <c r="B734" s="1018" t="s">
        <v>251</v>
      </c>
      <c r="C734" s="1019" t="s">
        <v>249</v>
      </c>
      <c r="D734" s="1020"/>
      <c r="E734" s="1021"/>
      <c r="F734" s="1022"/>
      <c r="G734" s="846"/>
      <c r="H734" s="847"/>
      <c r="I734" s="846"/>
      <c r="J734" s="847"/>
      <c r="K734" s="846"/>
      <c r="L734" s="847"/>
      <c r="M734" s="846"/>
      <c r="N734" s="846"/>
      <c r="O734" s="737">
        <f t="shared" si="95"/>
        <v>0</v>
      </c>
      <c r="P734" s="847"/>
      <c r="Q734" s="847"/>
      <c r="R734" s="738">
        <f t="shared" si="98"/>
        <v>0</v>
      </c>
      <c r="S734" s="737">
        <f t="shared" si="99"/>
        <v>0</v>
      </c>
      <c r="T734" s="739">
        <f t="shared" si="100"/>
        <v>0</v>
      </c>
      <c r="U734" s="846"/>
      <c r="V734" s="847"/>
      <c r="W734" s="846"/>
      <c r="X734" s="846"/>
      <c r="Y734" s="740">
        <f t="shared" si="96"/>
        <v>0</v>
      </c>
      <c r="Z734" s="847"/>
      <c r="AA734" s="847"/>
      <c r="AB734" s="741">
        <f t="shared" si="97"/>
        <v>0</v>
      </c>
      <c r="AC734" s="846"/>
      <c r="AD734" s="847"/>
      <c r="AE734" s="846"/>
      <c r="AF734" s="846"/>
      <c r="AG734" s="847"/>
      <c r="AH734" s="847"/>
      <c r="AI734" s="742">
        <f t="shared" si="101"/>
        <v>0</v>
      </c>
      <c r="AJ734" s="743">
        <f t="shared" si="102"/>
        <v>0</v>
      </c>
    </row>
    <row r="735" spans="1:36">
      <c r="A735" s="1314" t="s">
        <v>148</v>
      </c>
      <c r="B735" s="1018" t="s">
        <v>209</v>
      </c>
      <c r="C735" s="1328" t="s">
        <v>250</v>
      </c>
      <c r="D735" s="1020"/>
      <c r="E735" s="1021"/>
      <c r="F735" s="1022"/>
      <c r="G735" s="846"/>
      <c r="H735" s="847"/>
      <c r="I735" s="846"/>
      <c r="J735" s="847"/>
      <c r="K735" s="846"/>
      <c r="L735" s="847"/>
      <c r="M735" s="846"/>
      <c r="N735" s="846"/>
      <c r="O735" s="737">
        <f t="shared" si="95"/>
        <v>0</v>
      </c>
      <c r="P735" s="847"/>
      <c r="Q735" s="847"/>
      <c r="R735" s="738">
        <f t="shared" si="98"/>
        <v>0</v>
      </c>
      <c r="S735" s="737">
        <f t="shared" si="99"/>
        <v>0</v>
      </c>
      <c r="T735" s="739">
        <f t="shared" si="100"/>
        <v>0</v>
      </c>
      <c r="U735" s="846"/>
      <c r="V735" s="847"/>
      <c r="W735" s="846"/>
      <c r="X735" s="846"/>
      <c r="Y735" s="740">
        <f t="shared" si="96"/>
        <v>0</v>
      </c>
      <c r="Z735" s="847"/>
      <c r="AA735" s="847"/>
      <c r="AB735" s="741">
        <f t="shared" si="97"/>
        <v>0</v>
      </c>
      <c r="AC735" s="846"/>
      <c r="AD735" s="847"/>
      <c r="AE735" s="846"/>
      <c r="AF735" s="846"/>
      <c r="AG735" s="847"/>
      <c r="AH735" s="847"/>
      <c r="AI735" s="742">
        <f t="shared" si="101"/>
        <v>0</v>
      </c>
      <c r="AJ735" s="743">
        <f t="shared" si="102"/>
        <v>0</v>
      </c>
    </row>
    <row r="736" spans="1:36">
      <c r="A736" s="1314" t="s">
        <v>148</v>
      </c>
      <c r="B736" s="1018" t="s">
        <v>210</v>
      </c>
      <c r="C736" s="1322" t="s">
        <v>311</v>
      </c>
      <c r="D736" s="1321"/>
      <c r="E736" s="1021"/>
      <c r="F736" s="1022"/>
      <c r="G736" s="846"/>
      <c r="H736" s="847"/>
      <c r="I736" s="846"/>
      <c r="J736" s="847"/>
      <c r="K736" s="846"/>
      <c r="L736" s="847"/>
      <c r="M736" s="846"/>
      <c r="N736" s="846"/>
      <c r="O736" s="737">
        <f t="shared" si="95"/>
        <v>0</v>
      </c>
      <c r="P736" s="847"/>
      <c r="Q736" s="847"/>
      <c r="R736" s="738">
        <f t="shared" si="98"/>
        <v>0</v>
      </c>
      <c r="S736" s="737">
        <f t="shared" si="99"/>
        <v>0</v>
      </c>
      <c r="T736" s="739">
        <f t="shared" si="100"/>
        <v>0</v>
      </c>
      <c r="U736" s="846"/>
      <c r="V736" s="847"/>
      <c r="W736" s="846"/>
      <c r="X736" s="846"/>
      <c r="Y736" s="740">
        <f t="shared" si="96"/>
        <v>0</v>
      </c>
      <c r="Z736" s="847"/>
      <c r="AA736" s="847"/>
      <c r="AB736" s="741">
        <f t="shared" si="97"/>
        <v>0</v>
      </c>
      <c r="AC736" s="846"/>
      <c r="AD736" s="847"/>
      <c r="AE736" s="846"/>
      <c r="AF736" s="846"/>
      <c r="AG736" s="847"/>
      <c r="AH736" s="847"/>
      <c r="AI736" s="742">
        <f t="shared" si="101"/>
        <v>0</v>
      </c>
      <c r="AJ736" s="743">
        <f t="shared" si="102"/>
        <v>0</v>
      </c>
    </row>
    <row r="737" spans="1:36">
      <c r="A737" s="1314" t="s">
        <v>148</v>
      </c>
      <c r="B737" s="1018" t="s">
        <v>204</v>
      </c>
      <c r="C737" s="1322" t="s">
        <v>249</v>
      </c>
      <c r="D737" s="1321"/>
      <c r="E737" s="1021"/>
      <c r="F737" s="1022"/>
      <c r="G737" s="846"/>
      <c r="H737" s="847"/>
      <c r="I737" s="846"/>
      <c r="J737" s="847"/>
      <c r="K737" s="846"/>
      <c r="L737" s="847"/>
      <c r="M737" s="846"/>
      <c r="N737" s="846"/>
      <c r="O737" s="737">
        <f t="shared" si="95"/>
        <v>0</v>
      </c>
      <c r="P737" s="847"/>
      <c r="Q737" s="847"/>
      <c r="R737" s="738">
        <f t="shared" si="98"/>
        <v>0</v>
      </c>
      <c r="S737" s="737">
        <f t="shared" si="99"/>
        <v>0</v>
      </c>
      <c r="T737" s="739">
        <f t="shared" si="100"/>
        <v>0</v>
      </c>
      <c r="U737" s="846"/>
      <c r="V737" s="847"/>
      <c r="W737" s="846"/>
      <c r="X737" s="846"/>
      <c r="Y737" s="740">
        <f t="shared" si="96"/>
        <v>0</v>
      </c>
      <c r="Z737" s="847"/>
      <c r="AA737" s="847"/>
      <c r="AB737" s="741">
        <f t="shared" si="97"/>
        <v>0</v>
      </c>
      <c r="AC737" s="846"/>
      <c r="AD737" s="847"/>
      <c r="AE737" s="846"/>
      <c r="AF737" s="846"/>
      <c r="AG737" s="847"/>
      <c r="AH737" s="847"/>
      <c r="AI737" s="742">
        <f t="shared" si="101"/>
        <v>0</v>
      </c>
      <c r="AJ737" s="743">
        <f t="shared" si="102"/>
        <v>0</v>
      </c>
    </row>
    <row r="738" spans="1:36">
      <c r="A738" s="1314" t="s">
        <v>148</v>
      </c>
      <c r="B738" s="1018" t="s">
        <v>205</v>
      </c>
      <c r="C738" s="1322" t="s">
        <v>222</v>
      </c>
      <c r="D738" s="1321"/>
      <c r="E738" s="1021"/>
      <c r="F738" s="1022"/>
      <c r="G738" s="846"/>
      <c r="H738" s="847"/>
      <c r="I738" s="846"/>
      <c r="J738" s="847"/>
      <c r="K738" s="846"/>
      <c r="L738" s="847"/>
      <c r="M738" s="846"/>
      <c r="N738" s="846"/>
      <c r="O738" s="737">
        <f t="shared" si="95"/>
        <v>0</v>
      </c>
      <c r="P738" s="847"/>
      <c r="Q738" s="847"/>
      <c r="R738" s="738">
        <f t="shared" si="98"/>
        <v>0</v>
      </c>
      <c r="S738" s="737">
        <f t="shared" si="99"/>
        <v>0</v>
      </c>
      <c r="T738" s="739">
        <f t="shared" si="100"/>
        <v>0</v>
      </c>
      <c r="U738" s="846"/>
      <c r="V738" s="847"/>
      <c r="W738" s="846"/>
      <c r="X738" s="846"/>
      <c r="Y738" s="740">
        <f t="shared" si="96"/>
        <v>0</v>
      </c>
      <c r="Z738" s="847"/>
      <c r="AA738" s="847"/>
      <c r="AB738" s="741">
        <f t="shared" si="97"/>
        <v>0</v>
      </c>
      <c r="AC738" s="846"/>
      <c r="AD738" s="847"/>
      <c r="AE738" s="846"/>
      <c r="AF738" s="846"/>
      <c r="AG738" s="847"/>
      <c r="AH738" s="847"/>
      <c r="AI738" s="742">
        <f t="shared" si="101"/>
        <v>0</v>
      </c>
      <c r="AJ738" s="743">
        <f t="shared" si="102"/>
        <v>0</v>
      </c>
    </row>
    <row r="739" spans="1:36">
      <c r="A739" s="1314" t="s">
        <v>148</v>
      </c>
      <c r="B739" s="1018" t="s">
        <v>218</v>
      </c>
      <c r="C739" s="1322" t="s">
        <v>311</v>
      </c>
      <c r="D739" s="1321"/>
      <c r="E739" s="1021"/>
      <c r="F739" s="1022"/>
      <c r="G739" s="846"/>
      <c r="H739" s="847"/>
      <c r="I739" s="846"/>
      <c r="J739" s="847"/>
      <c r="K739" s="846"/>
      <c r="L739" s="847"/>
      <c r="M739" s="846"/>
      <c r="N739" s="846"/>
      <c r="O739" s="737">
        <f t="shared" si="95"/>
        <v>0</v>
      </c>
      <c r="P739" s="847"/>
      <c r="Q739" s="847"/>
      <c r="R739" s="738">
        <f t="shared" si="98"/>
        <v>0</v>
      </c>
      <c r="S739" s="737">
        <f t="shared" si="99"/>
        <v>0</v>
      </c>
      <c r="T739" s="739">
        <f t="shared" si="100"/>
        <v>0</v>
      </c>
      <c r="U739" s="846"/>
      <c r="V739" s="847"/>
      <c r="W739" s="846"/>
      <c r="X739" s="846"/>
      <c r="Y739" s="740">
        <f t="shared" si="96"/>
        <v>0</v>
      </c>
      <c r="Z739" s="847"/>
      <c r="AA739" s="847"/>
      <c r="AB739" s="741">
        <f t="shared" si="97"/>
        <v>0</v>
      </c>
      <c r="AC739" s="846"/>
      <c r="AD739" s="847"/>
      <c r="AE739" s="846"/>
      <c r="AF739" s="846"/>
      <c r="AG739" s="847"/>
      <c r="AH739" s="847"/>
      <c r="AI739" s="742">
        <f t="shared" si="101"/>
        <v>0</v>
      </c>
      <c r="AJ739" s="743">
        <f t="shared" si="102"/>
        <v>0</v>
      </c>
    </row>
    <row r="740" spans="1:36">
      <c r="A740" s="1314" t="s">
        <v>148</v>
      </c>
      <c r="B740" s="1018" t="s">
        <v>219</v>
      </c>
      <c r="C740" s="1322" t="s">
        <v>249</v>
      </c>
      <c r="D740" s="1321"/>
      <c r="E740" s="1021"/>
      <c r="F740" s="1022"/>
      <c r="G740" s="846"/>
      <c r="H740" s="847"/>
      <c r="I740" s="846"/>
      <c r="J740" s="847"/>
      <c r="K740" s="846"/>
      <c r="L740" s="847"/>
      <c r="M740" s="846"/>
      <c r="N740" s="846"/>
      <c r="O740" s="737">
        <f t="shared" si="95"/>
        <v>0</v>
      </c>
      <c r="P740" s="847"/>
      <c r="Q740" s="847"/>
      <c r="R740" s="738">
        <f t="shared" si="98"/>
        <v>0</v>
      </c>
      <c r="S740" s="737">
        <f t="shared" si="99"/>
        <v>0</v>
      </c>
      <c r="T740" s="739">
        <f t="shared" si="100"/>
        <v>0</v>
      </c>
      <c r="U740" s="846"/>
      <c r="V740" s="847"/>
      <c r="W740" s="846"/>
      <c r="X740" s="846"/>
      <c r="Y740" s="740">
        <f t="shared" si="96"/>
        <v>0</v>
      </c>
      <c r="Z740" s="847"/>
      <c r="AA740" s="847"/>
      <c r="AB740" s="741">
        <f t="shared" si="97"/>
        <v>0</v>
      </c>
      <c r="AC740" s="846"/>
      <c r="AD740" s="847"/>
      <c r="AE740" s="846"/>
      <c r="AF740" s="846"/>
      <c r="AG740" s="847"/>
      <c r="AH740" s="847"/>
      <c r="AI740" s="742">
        <f t="shared" si="101"/>
        <v>0</v>
      </c>
      <c r="AJ740" s="743">
        <f t="shared" si="102"/>
        <v>0</v>
      </c>
    </row>
    <row r="741" spans="1:36">
      <c r="A741" s="1314" t="s">
        <v>148</v>
      </c>
      <c r="B741" s="1018" t="s">
        <v>292</v>
      </c>
      <c r="C741" s="1327" t="s">
        <v>1593</v>
      </c>
      <c r="D741" s="1020"/>
      <c r="E741" s="1021"/>
      <c r="F741" s="1022"/>
      <c r="G741" s="846"/>
      <c r="H741" s="847"/>
      <c r="I741" s="846"/>
      <c r="J741" s="847"/>
      <c r="K741" s="846"/>
      <c r="L741" s="847"/>
      <c r="M741" s="846"/>
      <c r="N741" s="846"/>
      <c r="O741" s="737">
        <f t="shared" si="95"/>
        <v>0</v>
      </c>
      <c r="P741" s="847"/>
      <c r="Q741" s="847"/>
      <c r="R741" s="738">
        <f t="shared" si="98"/>
        <v>0</v>
      </c>
      <c r="S741" s="737">
        <f t="shared" si="99"/>
        <v>0</v>
      </c>
      <c r="T741" s="739">
        <f t="shared" si="100"/>
        <v>0</v>
      </c>
      <c r="U741" s="846"/>
      <c r="V741" s="847"/>
      <c r="W741" s="846"/>
      <c r="X741" s="846"/>
      <c r="Y741" s="740">
        <f t="shared" si="96"/>
        <v>0</v>
      </c>
      <c r="Z741" s="847"/>
      <c r="AA741" s="847"/>
      <c r="AB741" s="741">
        <f t="shared" si="97"/>
        <v>0</v>
      </c>
      <c r="AC741" s="846"/>
      <c r="AD741" s="847"/>
      <c r="AE741" s="846"/>
      <c r="AF741" s="846"/>
      <c r="AG741" s="847"/>
      <c r="AH741" s="847"/>
      <c r="AI741" s="742">
        <f t="shared" si="101"/>
        <v>0</v>
      </c>
      <c r="AJ741" s="743">
        <f t="shared" si="102"/>
        <v>0</v>
      </c>
    </row>
    <row r="742" spans="1:36">
      <c r="A742" s="1314" t="s">
        <v>148</v>
      </c>
      <c r="B742" s="1018" t="s">
        <v>310</v>
      </c>
      <c r="C742" s="1019" t="s">
        <v>311</v>
      </c>
      <c r="D742" s="1020"/>
      <c r="E742" s="1021"/>
      <c r="F742" s="1022"/>
      <c r="G742" s="846"/>
      <c r="H742" s="847"/>
      <c r="I742" s="846"/>
      <c r="J742" s="847"/>
      <c r="K742" s="846"/>
      <c r="L742" s="847"/>
      <c r="M742" s="846"/>
      <c r="N742" s="846"/>
      <c r="O742" s="737">
        <f t="shared" si="95"/>
        <v>0</v>
      </c>
      <c r="P742" s="847"/>
      <c r="Q742" s="847"/>
      <c r="R742" s="738">
        <f t="shared" si="98"/>
        <v>0</v>
      </c>
      <c r="S742" s="737">
        <f t="shared" si="99"/>
        <v>0</v>
      </c>
      <c r="T742" s="739">
        <f t="shared" si="100"/>
        <v>0</v>
      </c>
      <c r="U742" s="846">
        <v>7500</v>
      </c>
      <c r="V742" s="847">
        <v>7500</v>
      </c>
      <c r="W742" s="846"/>
      <c r="X742" s="846"/>
      <c r="Y742" s="740">
        <f t="shared" si="96"/>
        <v>0</v>
      </c>
      <c r="Z742" s="847"/>
      <c r="AA742" s="847"/>
      <c r="AB742" s="741">
        <f t="shared" si="97"/>
        <v>0</v>
      </c>
      <c r="AC742" s="846"/>
      <c r="AD742" s="847"/>
      <c r="AE742" s="846"/>
      <c r="AF742" s="846"/>
      <c r="AG742" s="847"/>
      <c r="AH742" s="847"/>
      <c r="AI742" s="742">
        <f t="shared" si="101"/>
        <v>7500</v>
      </c>
      <c r="AJ742" s="743">
        <f t="shared" si="102"/>
        <v>7500</v>
      </c>
    </row>
    <row r="743" spans="1:36">
      <c r="A743" s="1314" t="s">
        <v>148</v>
      </c>
      <c r="B743" s="1018" t="s">
        <v>251</v>
      </c>
      <c r="C743" s="1019" t="s">
        <v>249</v>
      </c>
      <c r="D743" s="1020"/>
      <c r="E743" s="1021"/>
      <c r="F743" s="1022"/>
      <c r="G743" s="846"/>
      <c r="H743" s="847"/>
      <c r="I743" s="846"/>
      <c r="J743" s="847"/>
      <c r="K743" s="846"/>
      <c r="L743" s="847"/>
      <c r="M743" s="846"/>
      <c r="N743" s="846"/>
      <c r="O743" s="737">
        <f t="shared" si="95"/>
        <v>0</v>
      </c>
      <c r="P743" s="847"/>
      <c r="Q743" s="847"/>
      <c r="R743" s="738">
        <f t="shared" si="98"/>
        <v>0</v>
      </c>
      <c r="S743" s="737">
        <f t="shared" si="99"/>
        <v>0</v>
      </c>
      <c r="T743" s="739">
        <f t="shared" si="100"/>
        <v>0</v>
      </c>
      <c r="U743" s="846">
        <v>20000</v>
      </c>
      <c r="V743" s="847">
        <v>20000</v>
      </c>
      <c r="W743" s="846"/>
      <c r="X743" s="846"/>
      <c r="Y743" s="740">
        <f t="shared" si="96"/>
        <v>0</v>
      </c>
      <c r="Z743" s="847"/>
      <c r="AA743" s="847"/>
      <c r="AB743" s="741">
        <f t="shared" si="97"/>
        <v>0</v>
      </c>
      <c r="AC743" s="846"/>
      <c r="AD743" s="847"/>
      <c r="AE743" s="846"/>
      <c r="AF743" s="846"/>
      <c r="AG743" s="847"/>
      <c r="AH743" s="847"/>
      <c r="AI743" s="742">
        <f t="shared" si="101"/>
        <v>20000</v>
      </c>
      <c r="AJ743" s="743">
        <f t="shared" si="102"/>
        <v>20000</v>
      </c>
    </row>
    <row r="744" spans="1:36">
      <c r="A744" s="1314" t="s">
        <v>148</v>
      </c>
      <c r="B744" s="1018" t="s">
        <v>209</v>
      </c>
      <c r="C744" s="1328" t="s">
        <v>250</v>
      </c>
      <c r="D744" s="1020"/>
      <c r="E744" s="1021"/>
      <c r="F744" s="1022"/>
      <c r="G744" s="846"/>
      <c r="H744" s="847"/>
      <c r="I744" s="846"/>
      <c r="J744" s="847"/>
      <c r="K744" s="846"/>
      <c r="L744" s="847"/>
      <c r="M744" s="846"/>
      <c r="N744" s="846"/>
      <c r="O744" s="737">
        <f t="shared" si="95"/>
        <v>0</v>
      </c>
      <c r="P744" s="847"/>
      <c r="Q744" s="847"/>
      <c r="R744" s="738">
        <f t="shared" si="98"/>
        <v>0</v>
      </c>
      <c r="S744" s="737">
        <f t="shared" si="99"/>
        <v>0</v>
      </c>
      <c r="T744" s="739">
        <f t="shared" si="100"/>
        <v>0</v>
      </c>
      <c r="U744" s="846"/>
      <c r="V744" s="847"/>
      <c r="W744" s="846"/>
      <c r="X744" s="846"/>
      <c r="Y744" s="740">
        <f t="shared" si="96"/>
        <v>0</v>
      </c>
      <c r="Z744" s="847"/>
      <c r="AA744" s="847"/>
      <c r="AB744" s="741">
        <f t="shared" si="97"/>
        <v>0</v>
      </c>
      <c r="AC744" s="846"/>
      <c r="AD744" s="847"/>
      <c r="AE744" s="846"/>
      <c r="AF744" s="846"/>
      <c r="AG744" s="847"/>
      <c r="AH744" s="847"/>
      <c r="AI744" s="742">
        <f t="shared" si="101"/>
        <v>0</v>
      </c>
      <c r="AJ744" s="743">
        <f t="shared" si="102"/>
        <v>0</v>
      </c>
    </row>
    <row r="745" spans="1:36">
      <c r="A745" s="1314" t="s">
        <v>148</v>
      </c>
      <c r="B745" s="1018" t="s">
        <v>210</v>
      </c>
      <c r="C745" s="1322" t="s">
        <v>311</v>
      </c>
      <c r="D745" s="1321"/>
      <c r="E745" s="1021"/>
      <c r="F745" s="1022"/>
      <c r="G745" s="846"/>
      <c r="H745" s="847"/>
      <c r="I745" s="846"/>
      <c r="J745" s="847"/>
      <c r="K745" s="846"/>
      <c r="L745" s="847"/>
      <c r="M745" s="846"/>
      <c r="N745" s="846"/>
      <c r="O745" s="737">
        <f t="shared" si="95"/>
        <v>0</v>
      </c>
      <c r="P745" s="847"/>
      <c r="Q745" s="847"/>
      <c r="R745" s="738">
        <f t="shared" si="98"/>
        <v>0</v>
      </c>
      <c r="S745" s="737">
        <f t="shared" si="99"/>
        <v>0</v>
      </c>
      <c r="T745" s="739">
        <f t="shared" si="100"/>
        <v>0</v>
      </c>
      <c r="U745" s="846"/>
      <c r="V745" s="847"/>
      <c r="W745" s="846"/>
      <c r="X745" s="846"/>
      <c r="Y745" s="740">
        <f t="shared" si="96"/>
        <v>0</v>
      </c>
      <c r="Z745" s="847"/>
      <c r="AA745" s="847"/>
      <c r="AB745" s="741">
        <f t="shared" si="97"/>
        <v>0</v>
      </c>
      <c r="AC745" s="846"/>
      <c r="AD745" s="847"/>
      <c r="AE745" s="846"/>
      <c r="AF745" s="846"/>
      <c r="AG745" s="847"/>
      <c r="AH745" s="847"/>
      <c r="AI745" s="742">
        <f t="shared" si="101"/>
        <v>0</v>
      </c>
      <c r="AJ745" s="743">
        <f t="shared" si="102"/>
        <v>0</v>
      </c>
    </row>
    <row r="746" spans="1:36">
      <c r="A746" s="1314" t="s">
        <v>148</v>
      </c>
      <c r="B746" s="1018" t="s">
        <v>204</v>
      </c>
      <c r="C746" s="1322" t="s">
        <v>249</v>
      </c>
      <c r="D746" s="1321"/>
      <c r="E746" s="1021"/>
      <c r="F746" s="1022"/>
      <c r="G746" s="846"/>
      <c r="H746" s="847"/>
      <c r="I746" s="846"/>
      <c r="J746" s="847"/>
      <c r="K746" s="846"/>
      <c r="L746" s="847"/>
      <c r="M746" s="846"/>
      <c r="N746" s="846"/>
      <c r="O746" s="737">
        <f t="shared" si="95"/>
        <v>0</v>
      </c>
      <c r="P746" s="847"/>
      <c r="Q746" s="847"/>
      <c r="R746" s="738">
        <f t="shared" si="98"/>
        <v>0</v>
      </c>
      <c r="S746" s="737">
        <f t="shared" si="99"/>
        <v>0</v>
      </c>
      <c r="T746" s="739">
        <f t="shared" si="100"/>
        <v>0</v>
      </c>
      <c r="U746" s="846"/>
      <c r="V746" s="847"/>
      <c r="W746" s="846"/>
      <c r="X746" s="846"/>
      <c r="Y746" s="740">
        <f t="shared" si="96"/>
        <v>0</v>
      </c>
      <c r="Z746" s="847"/>
      <c r="AA746" s="847"/>
      <c r="AB746" s="741">
        <f t="shared" si="97"/>
        <v>0</v>
      </c>
      <c r="AC746" s="846"/>
      <c r="AD746" s="847"/>
      <c r="AE746" s="846"/>
      <c r="AF746" s="846"/>
      <c r="AG746" s="847"/>
      <c r="AH746" s="847"/>
      <c r="AI746" s="742">
        <f t="shared" si="101"/>
        <v>0</v>
      </c>
      <c r="AJ746" s="743">
        <f t="shared" si="102"/>
        <v>0</v>
      </c>
    </row>
    <row r="747" spans="1:36">
      <c r="A747" s="1314" t="s">
        <v>148</v>
      </c>
      <c r="B747" s="1018" t="s">
        <v>205</v>
      </c>
      <c r="C747" s="1322" t="s">
        <v>222</v>
      </c>
      <c r="D747" s="1321"/>
      <c r="E747" s="1021"/>
      <c r="F747" s="1022"/>
      <c r="G747" s="846"/>
      <c r="H747" s="847"/>
      <c r="I747" s="846"/>
      <c r="J747" s="847"/>
      <c r="K747" s="846"/>
      <c r="L747" s="847"/>
      <c r="M747" s="846"/>
      <c r="N747" s="846"/>
      <c r="O747" s="737">
        <f t="shared" si="95"/>
        <v>0</v>
      </c>
      <c r="P747" s="847"/>
      <c r="Q747" s="847"/>
      <c r="R747" s="738">
        <f t="shared" si="98"/>
        <v>0</v>
      </c>
      <c r="S747" s="737">
        <f t="shared" si="99"/>
        <v>0</v>
      </c>
      <c r="T747" s="739">
        <f t="shared" si="100"/>
        <v>0</v>
      </c>
      <c r="U747" s="846"/>
      <c r="V747" s="847"/>
      <c r="W747" s="846"/>
      <c r="X747" s="846"/>
      <c r="Y747" s="740">
        <f t="shared" si="96"/>
        <v>0</v>
      </c>
      <c r="Z747" s="847"/>
      <c r="AA747" s="847"/>
      <c r="AB747" s="741">
        <f t="shared" si="97"/>
        <v>0</v>
      </c>
      <c r="AC747" s="846"/>
      <c r="AD747" s="847"/>
      <c r="AE747" s="846"/>
      <c r="AF747" s="846"/>
      <c r="AG747" s="847"/>
      <c r="AH747" s="847"/>
      <c r="AI747" s="742">
        <f t="shared" si="101"/>
        <v>0</v>
      </c>
      <c r="AJ747" s="743">
        <f t="shared" si="102"/>
        <v>0</v>
      </c>
    </row>
    <row r="748" spans="1:36">
      <c r="A748" s="1314" t="s">
        <v>148</v>
      </c>
      <c r="B748" s="1018" t="s">
        <v>218</v>
      </c>
      <c r="C748" s="1322" t="s">
        <v>311</v>
      </c>
      <c r="D748" s="1321"/>
      <c r="E748" s="1021"/>
      <c r="F748" s="1022"/>
      <c r="G748" s="846"/>
      <c r="H748" s="847"/>
      <c r="I748" s="846"/>
      <c r="J748" s="847"/>
      <c r="K748" s="846"/>
      <c r="L748" s="847"/>
      <c r="M748" s="846"/>
      <c r="N748" s="846"/>
      <c r="O748" s="737">
        <f t="shared" si="95"/>
        <v>0</v>
      </c>
      <c r="P748" s="847"/>
      <c r="Q748" s="847"/>
      <c r="R748" s="738">
        <f t="shared" si="98"/>
        <v>0</v>
      </c>
      <c r="S748" s="737">
        <f t="shared" si="99"/>
        <v>0</v>
      </c>
      <c r="T748" s="739">
        <f t="shared" si="100"/>
        <v>0</v>
      </c>
      <c r="U748" s="846"/>
      <c r="V748" s="847"/>
      <c r="W748" s="846"/>
      <c r="X748" s="846"/>
      <c r="Y748" s="740">
        <f t="shared" si="96"/>
        <v>0</v>
      </c>
      <c r="Z748" s="847"/>
      <c r="AA748" s="847"/>
      <c r="AB748" s="741">
        <f t="shared" si="97"/>
        <v>0</v>
      </c>
      <c r="AC748" s="846"/>
      <c r="AD748" s="847"/>
      <c r="AE748" s="846"/>
      <c r="AF748" s="846"/>
      <c r="AG748" s="847"/>
      <c r="AH748" s="847"/>
      <c r="AI748" s="742">
        <f t="shared" si="101"/>
        <v>0</v>
      </c>
      <c r="AJ748" s="743">
        <f t="shared" si="102"/>
        <v>0</v>
      </c>
    </row>
    <row r="749" spans="1:36">
      <c r="A749" s="1314" t="s">
        <v>148</v>
      </c>
      <c r="B749" s="1018" t="s">
        <v>219</v>
      </c>
      <c r="C749" s="1322" t="s">
        <v>249</v>
      </c>
      <c r="D749" s="1321"/>
      <c r="E749" s="1021"/>
      <c r="F749" s="1022"/>
      <c r="G749" s="846"/>
      <c r="H749" s="847"/>
      <c r="I749" s="846"/>
      <c r="J749" s="847"/>
      <c r="K749" s="846"/>
      <c r="L749" s="847"/>
      <c r="M749" s="846"/>
      <c r="N749" s="846"/>
      <c r="O749" s="737">
        <f t="shared" si="95"/>
        <v>0</v>
      </c>
      <c r="P749" s="847"/>
      <c r="Q749" s="847"/>
      <c r="R749" s="738">
        <f t="shared" si="98"/>
        <v>0</v>
      </c>
      <c r="S749" s="737">
        <f t="shared" si="99"/>
        <v>0</v>
      </c>
      <c r="T749" s="739">
        <f t="shared" si="100"/>
        <v>0</v>
      </c>
      <c r="U749" s="846"/>
      <c r="V749" s="847"/>
      <c r="W749" s="846"/>
      <c r="X749" s="846"/>
      <c r="Y749" s="740">
        <f t="shared" si="96"/>
        <v>0</v>
      </c>
      <c r="Z749" s="847"/>
      <c r="AA749" s="847"/>
      <c r="AB749" s="741">
        <f t="shared" si="97"/>
        <v>0</v>
      </c>
      <c r="AC749" s="846"/>
      <c r="AD749" s="847"/>
      <c r="AE749" s="846"/>
      <c r="AF749" s="846"/>
      <c r="AG749" s="847"/>
      <c r="AH749" s="847"/>
      <c r="AI749" s="742">
        <f t="shared" si="101"/>
        <v>0</v>
      </c>
      <c r="AJ749" s="743">
        <f t="shared" si="102"/>
        <v>0</v>
      </c>
    </row>
    <row r="750" spans="1:36">
      <c r="A750" s="1314" t="s">
        <v>148</v>
      </c>
      <c r="B750" s="1018" t="s">
        <v>292</v>
      </c>
      <c r="C750" s="1327" t="s">
        <v>1594</v>
      </c>
      <c r="D750" s="1020"/>
      <c r="E750" s="1021"/>
      <c r="F750" s="1022"/>
      <c r="G750" s="846"/>
      <c r="H750" s="847"/>
      <c r="I750" s="846"/>
      <c r="J750" s="847"/>
      <c r="K750" s="846"/>
      <c r="L750" s="847"/>
      <c r="M750" s="846"/>
      <c r="N750" s="846"/>
      <c r="O750" s="737">
        <f t="shared" si="95"/>
        <v>0</v>
      </c>
      <c r="P750" s="847"/>
      <c r="Q750" s="847"/>
      <c r="R750" s="738">
        <f t="shared" si="98"/>
        <v>0</v>
      </c>
      <c r="S750" s="737">
        <f t="shared" si="99"/>
        <v>0</v>
      </c>
      <c r="T750" s="739">
        <f t="shared" si="100"/>
        <v>0</v>
      </c>
      <c r="U750" s="846"/>
      <c r="V750" s="847"/>
      <c r="W750" s="846"/>
      <c r="X750" s="846"/>
      <c r="Y750" s="740">
        <f t="shared" si="96"/>
        <v>0</v>
      </c>
      <c r="Z750" s="847"/>
      <c r="AA750" s="847"/>
      <c r="AB750" s="741">
        <f t="shared" si="97"/>
        <v>0</v>
      </c>
      <c r="AC750" s="846"/>
      <c r="AD750" s="847"/>
      <c r="AE750" s="846"/>
      <c r="AF750" s="846"/>
      <c r="AG750" s="847"/>
      <c r="AH750" s="847"/>
      <c r="AI750" s="742">
        <f t="shared" si="101"/>
        <v>0</v>
      </c>
      <c r="AJ750" s="743">
        <f t="shared" si="102"/>
        <v>0</v>
      </c>
    </row>
    <row r="751" spans="1:36">
      <c r="A751" s="1314" t="s">
        <v>148</v>
      </c>
      <c r="B751" s="1018" t="s">
        <v>310</v>
      </c>
      <c r="C751" s="1019" t="s">
        <v>311</v>
      </c>
      <c r="D751" s="1020"/>
      <c r="E751" s="1021"/>
      <c r="F751" s="1022"/>
      <c r="G751" s="846"/>
      <c r="H751" s="847"/>
      <c r="I751" s="846"/>
      <c r="J751" s="847"/>
      <c r="K751" s="846"/>
      <c r="L751" s="847"/>
      <c r="M751" s="846"/>
      <c r="N751" s="846"/>
      <c r="O751" s="737">
        <f t="shared" si="95"/>
        <v>0</v>
      </c>
      <c r="P751" s="847"/>
      <c r="Q751" s="847"/>
      <c r="R751" s="738">
        <f t="shared" si="98"/>
        <v>0</v>
      </c>
      <c r="S751" s="737">
        <f t="shared" si="99"/>
        <v>0</v>
      </c>
      <c r="T751" s="739">
        <f t="shared" si="100"/>
        <v>0</v>
      </c>
      <c r="U751" s="846"/>
      <c r="V751" s="847"/>
      <c r="W751" s="846"/>
      <c r="X751" s="846"/>
      <c r="Y751" s="740">
        <f t="shared" si="96"/>
        <v>0</v>
      </c>
      <c r="Z751" s="847"/>
      <c r="AA751" s="847"/>
      <c r="AB751" s="741">
        <f t="shared" si="97"/>
        <v>0</v>
      </c>
      <c r="AC751" s="846"/>
      <c r="AD751" s="847"/>
      <c r="AE751" s="846"/>
      <c r="AF751" s="846"/>
      <c r="AG751" s="847"/>
      <c r="AH751" s="847"/>
      <c r="AI751" s="742">
        <f t="shared" si="101"/>
        <v>0</v>
      </c>
      <c r="AJ751" s="743">
        <f t="shared" si="102"/>
        <v>0</v>
      </c>
    </row>
    <row r="752" spans="1:36">
      <c r="A752" s="1314" t="s">
        <v>148</v>
      </c>
      <c r="B752" s="1018" t="s">
        <v>251</v>
      </c>
      <c r="C752" s="1019" t="s">
        <v>249</v>
      </c>
      <c r="D752" s="1020"/>
      <c r="E752" s="1021"/>
      <c r="F752" s="1022"/>
      <c r="G752" s="846"/>
      <c r="H752" s="847"/>
      <c r="I752" s="846"/>
      <c r="J752" s="847"/>
      <c r="K752" s="846"/>
      <c r="L752" s="847"/>
      <c r="M752" s="846"/>
      <c r="N752" s="846"/>
      <c r="O752" s="737">
        <f t="shared" si="95"/>
        <v>0</v>
      </c>
      <c r="P752" s="847"/>
      <c r="Q752" s="847"/>
      <c r="R752" s="738">
        <f t="shared" si="98"/>
        <v>0</v>
      </c>
      <c r="S752" s="737">
        <f t="shared" si="99"/>
        <v>0</v>
      </c>
      <c r="T752" s="739">
        <f t="shared" si="100"/>
        <v>0</v>
      </c>
      <c r="U752" s="846">
        <v>1399500</v>
      </c>
      <c r="V752" s="847">
        <v>1607000</v>
      </c>
      <c r="W752" s="846"/>
      <c r="X752" s="846"/>
      <c r="Y752" s="740">
        <f t="shared" si="96"/>
        <v>0</v>
      </c>
      <c r="Z752" s="847"/>
      <c r="AA752" s="847"/>
      <c r="AB752" s="741">
        <f t="shared" si="97"/>
        <v>0</v>
      </c>
      <c r="AC752" s="846"/>
      <c r="AD752" s="847"/>
      <c r="AE752" s="846"/>
      <c r="AF752" s="846"/>
      <c r="AG752" s="847"/>
      <c r="AH752" s="847"/>
      <c r="AI752" s="742">
        <f t="shared" si="101"/>
        <v>1399500</v>
      </c>
      <c r="AJ752" s="743">
        <f t="shared" si="102"/>
        <v>1607000</v>
      </c>
    </row>
    <row r="753" spans="1:36">
      <c r="A753" s="1314" t="s">
        <v>148</v>
      </c>
      <c r="B753" s="1018" t="s">
        <v>209</v>
      </c>
      <c r="C753" s="1328" t="s">
        <v>250</v>
      </c>
      <c r="D753" s="1020"/>
      <c r="E753" s="1021"/>
      <c r="F753" s="1022"/>
      <c r="G753" s="846"/>
      <c r="H753" s="847"/>
      <c r="I753" s="846"/>
      <c r="J753" s="847"/>
      <c r="K753" s="846"/>
      <c r="L753" s="847"/>
      <c r="M753" s="846"/>
      <c r="N753" s="846"/>
      <c r="O753" s="737">
        <f t="shared" si="95"/>
        <v>0</v>
      </c>
      <c r="P753" s="847"/>
      <c r="Q753" s="847"/>
      <c r="R753" s="738">
        <f t="shared" si="98"/>
        <v>0</v>
      </c>
      <c r="S753" s="737">
        <f t="shared" si="99"/>
        <v>0</v>
      </c>
      <c r="T753" s="739">
        <f t="shared" si="100"/>
        <v>0</v>
      </c>
      <c r="U753" s="846"/>
      <c r="V753" s="847"/>
      <c r="W753" s="846"/>
      <c r="X753" s="846"/>
      <c r="Y753" s="740">
        <f t="shared" si="96"/>
        <v>0</v>
      </c>
      <c r="Z753" s="847"/>
      <c r="AA753" s="847"/>
      <c r="AB753" s="741">
        <f t="shared" si="97"/>
        <v>0</v>
      </c>
      <c r="AC753" s="846"/>
      <c r="AD753" s="847"/>
      <c r="AE753" s="846"/>
      <c r="AF753" s="846"/>
      <c r="AG753" s="847"/>
      <c r="AH753" s="847"/>
      <c r="AI753" s="742">
        <f t="shared" si="101"/>
        <v>0</v>
      </c>
      <c r="AJ753" s="743">
        <f t="shared" si="102"/>
        <v>0</v>
      </c>
    </row>
    <row r="754" spans="1:36">
      <c r="A754" s="1314" t="s">
        <v>148</v>
      </c>
      <c r="B754" s="1018" t="s">
        <v>210</v>
      </c>
      <c r="C754" s="1322" t="s">
        <v>311</v>
      </c>
      <c r="D754" s="1321"/>
      <c r="E754" s="1021"/>
      <c r="F754" s="1022"/>
      <c r="G754" s="846"/>
      <c r="H754" s="847"/>
      <c r="I754" s="846"/>
      <c r="J754" s="847"/>
      <c r="K754" s="846"/>
      <c r="L754" s="847"/>
      <c r="M754" s="846"/>
      <c r="N754" s="846"/>
      <c r="O754" s="737">
        <f t="shared" si="95"/>
        <v>0</v>
      </c>
      <c r="P754" s="847"/>
      <c r="Q754" s="847"/>
      <c r="R754" s="738">
        <f t="shared" si="98"/>
        <v>0</v>
      </c>
      <c r="S754" s="737">
        <f t="shared" si="99"/>
        <v>0</v>
      </c>
      <c r="T754" s="739">
        <f t="shared" si="100"/>
        <v>0</v>
      </c>
      <c r="U754" s="846"/>
      <c r="V754" s="847"/>
      <c r="W754" s="846"/>
      <c r="X754" s="846"/>
      <c r="Y754" s="740">
        <f t="shared" si="96"/>
        <v>0</v>
      </c>
      <c r="Z754" s="847"/>
      <c r="AA754" s="847"/>
      <c r="AB754" s="741">
        <f t="shared" si="97"/>
        <v>0</v>
      </c>
      <c r="AC754" s="846"/>
      <c r="AD754" s="847"/>
      <c r="AE754" s="846"/>
      <c r="AF754" s="846"/>
      <c r="AG754" s="847"/>
      <c r="AH754" s="847"/>
      <c r="AI754" s="742">
        <f t="shared" si="101"/>
        <v>0</v>
      </c>
      <c r="AJ754" s="743">
        <f t="shared" si="102"/>
        <v>0</v>
      </c>
    </row>
    <row r="755" spans="1:36">
      <c r="A755" s="1314" t="s">
        <v>148</v>
      </c>
      <c r="B755" s="1018" t="s">
        <v>204</v>
      </c>
      <c r="C755" s="1322" t="s">
        <v>249</v>
      </c>
      <c r="D755" s="1321"/>
      <c r="E755" s="1021"/>
      <c r="F755" s="1022"/>
      <c r="G755" s="846"/>
      <c r="H755" s="847"/>
      <c r="I755" s="846"/>
      <c r="J755" s="847"/>
      <c r="K755" s="846"/>
      <c r="L755" s="847"/>
      <c r="M755" s="846"/>
      <c r="N755" s="846"/>
      <c r="O755" s="737">
        <f t="shared" si="95"/>
        <v>0</v>
      </c>
      <c r="P755" s="847"/>
      <c r="Q755" s="847"/>
      <c r="R755" s="738">
        <f t="shared" si="98"/>
        <v>0</v>
      </c>
      <c r="S755" s="737">
        <f t="shared" si="99"/>
        <v>0</v>
      </c>
      <c r="T755" s="739">
        <f t="shared" si="100"/>
        <v>0</v>
      </c>
      <c r="U755" s="846"/>
      <c r="V755" s="847"/>
      <c r="W755" s="846"/>
      <c r="X755" s="846"/>
      <c r="Y755" s="740">
        <f t="shared" si="96"/>
        <v>0</v>
      </c>
      <c r="Z755" s="847"/>
      <c r="AA755" s="847"/>
      <c r="AB755" s="741">
        <f t="shared" si="97"/>
        <v>0</v>
      </c>
      <c r="AC755" s="846"/>
      <c r="AD755" s="847"/>
      <c r="AE755" s="846"/>
      <c r="AF755" s="846"/>
      <c r="AG755" s="847"/>
      <c r="AH755" s="847"/>
      <c r="AI755" s="742">
        <f t="shared" si="101"/>
        <v>0</v>
      </c>
      <c r="AJ755" s="743">
        <f t="shared" si="102"/>
        <v>0</v>
      </c>
    </row>
    <row r="756" spans="1:36">
      <c r="A756" s="1314" t="s">
        <v>148</v>
      </c>
      <c r="B756" s="1018" t="s">
        <v>205</v>
      </c>
      <c r="C756" s="1322" t="s">
        <v>222</v>
      </c>
      <c r="D756" s="1321"/>
      <c r="E756" s="1021"/>
      <c r="F756" s="1022"/>
      <c r="G756" s="846"/>
      <c r="H756" s="847"/>
      <c r="I756" s="846"/>
      <c r="J756" s="847"/>
      <c r="K756" s="846"/>
      <c r="L756" s="847"/>
      <c r="M756" s="846"/>
      <c r="N756" s="846"/>
      <c r="O756" s="737">
        <f t="shared" si="95"/>
        <v>0</v>
      </c>
      <c r="P756" s="847"/>
      <c r="Q756" s="847"/>
      <c r="R756" s="738">
        <f t="shared" si="98"/>
        <v>0</v>
      </c>
      <c r="S756" s="737">
        <f t="shared" si="99"/>
        <v>0</v>
      </c>
      <c r="T756" s="739">
        <f t="shared" si="100"/>
        <v>0</v>
      </c>
      <c r="U756" s="846"/>
      <c r="V756" s="847"/>
      <c r="W756" s="846"/>
      <c r="X756" s="846"/>
      <c r="Y756" s="740">
        <f t="shared" si="96"/>
        <v>0</v>
      </c>
      <c r="Z756" s="847"/>
      <c r="AA756" s="847"/>
      <c r="AB756" s="741">
        <f t="shared" si="97"/>
        <v>0</v>
      </c>
      <c r="AC756" s="846"/>
      <c r="AD756" s="847"/>
      <c r="AE756" s="846"/>
      <c r="AF756" s="846"/>
      <c r="AG756" s="847"/>
      <c r="AH756" s="847"/>
      <c r="AI756" s="742">
        <f t="shared" si="101"/>
        <v>0</v>
      </c>
      <c r="AJ756" s="743">
        <f t="shared" si="102"/>
        <v>0</v>
      </c>
    </row>
    <row r="757" spans="1:36">
      <c r="A757" s="1314" t="s">
        <v>148</v>
      </c>
      <c r="B757" s="1018" t="s">
        <v>218</v>
      </c>
      <c r="C757" s="1322" t="s">
        <v>311</v>
      </c>
      <c r="D757" s="1321"/>
      <c r="E757" s="1021"/>
      <c r="F757" s="1022"/>
      <c r="G757" s="846"/>
      <c r="H757" s="847"/>
      <c r="I757" s="846"/>
      <c r="J757" s="847"/>
      <c r="K757" s="846"/>
      <c r="L757" s="847"/>
      <c r="M757" s="846"/>
      <c r="N757" s="846"/>
      <c r="O757" s="737">
        <f t="shared" si="95"/>
        <v>0</v>
      </c>
      <c r="P757" s="847"/>
      <c r="Q757" s="847"/>
      <c r="R757" s="738">
        <f t="shared" si="98"/>
        <v>0</v>
      </c>
      <c r="S757" s="737">
        <f t="shared" si="99"/>
        <v>0</v>
      </c>
      <c r="T757" s="739">
        <f t="shared" si="100"/>
        <v>0</v>
      </c>
      <c r="U757" s="846"/>
      <c r="V757" s="847"/>
      <c r="W757" s="846"/>
      <c r="X757" s="846"/>
      <c r="Y757" s="740">
        <f t="shared" si="96"/>
        <v>0</v>
      </c>
      <c r="Z757" s="847"/>
      <c r="AA757" s="847"/>
      <c r="AB757" s="741">
        <f t="shared" si="97"/>
        <v>0</v>
      </c>
      <c r="AC757" s="846"/>
      <c r="AD757" s="847"/>
      <c r="AE757" s="846"/>
      <c r="AF757" s="846"/>
      <c r="AG757" s="847"/>
      <c r="AH757" s="847"/>
      <c r="AI757" s="742">
        <f t="shared" si="101"/>
        <v>0</v>
      </c>
      <c r="AJ757" s="743">
        <f t="shared" si="102"/>
        <v>0</v>
      </c>
    </row>
    <row r="758" spans="1:36">
      <c r="A758" s="1314" t="s">
        <v>148</v>
      </c>
      <c r="B758" s="1018" t="s">
        <v>219</v>
      </c>
      <c r="C758" s="1322" t="s">
        <v>249</v>
      </c>
      <c r="D758" s="1321"/>
      <c r="E758" s="1021"/>
      <c r="F758" s="1022"/>
      <c r="G758" s="846"/>
      <c r="H758" s="847"/>
      <c r="I758" s="846"/>
      <c r="J758" s="847"/>
      <c r="K758" s="846"/>
      <c r="L758" s="847"/>
      <c r="M758" s="846"/>
      <c r="N758" s="846"/>
      <c r="O758" s="737">
        <f t="shared" si="95"/>
        <v>0</v>
      </c>
      <c r="P758" s="847"/>
      <c r="Q758" s="847"/>
      <c r="R758" s="738">
        <f t="shared" si="98"/>
        <v>0</v>
      </c>
      <c r="S758" s="737">
        <f t="shared" si="99"/>
        <v>0</v>
      </c>
      <c r="T758" s="739">
        <f t="shared" si="100"/>
        <v>0</v>
      </c>
      <c r="U758" s="846"/>
      <c r="V758" s="847"/>
      <c r="W758" s="846"/>
      <c r="X758" s="846"/>
      <c r="Y758" s="740">
        <f t="shared" si="96"/>
        <v>0</v>
      </c>
      <c r="Z758" s="847"/>
      <c r="AA758" s="847"/>
      <c r="AB758" s="741">
        <f t="shared" si="97"/>
        <v>0</v>
      </c>
      <c r="AC758" s="846"/>
      <c r="AD758" s="847"/>
      <c r="AE758" s="846"/>
      <c r="AF758" s="846"/>
      <c r="AG758" s="847"/>
      <c r="AH758" s="847"/>
      <c r="AI758" s="742">
        <f t="shared" si="101"/>
        <v>0</v>
      </c>
      <c r="AJ758" s="743">
        <f t="shared" si="102"/>
        <v>0</v>
      </c>
    </row>
    <row r="759" spans="1:36">
      <c r="A759" s="1314" t="s">
        <v>148</v>
      </c>
      <c r="B759" s="1018" t="s">
        <v>293</v>
      </c>
      <c r="C759" s="1325" t="s">
        <v>121</v>
      </c>
      <c r="D759" s="1326"/>
      <c r="E759" s="1021"/>
      <c r="F759" s="1022"/>
      <c r="G759" s="846"/>
      <c r="H759" s="847"/>
      <c r="I759" s="846"/>
      <c r="J759" s="847"/>
      <c r="K759" s="846"/>
      <c r="L759" s="847"/>
      <c r="M759" s="846"/>
      <c r="N759" s="846"/>
      <c r="O759" s="737">
        <f t="shared" si="95"/>
        <v>0</v>
      </c>
      <c r="P759" s="847"/>
      <c r="Q759" s="847"/>
      <c r="R759" s="738">
        <f t="shared" si="98"/>
        <v>0</v>
      </c>
      <c r="S759" s="737">
        <f t="shared" si="99"/>
        <v>0</v>
      </c>
      <c r="T759" s="739">
        <f t="shared" si="100"/>
        <v>0</v>
      </c>
      <c r="U759" s="846"/>
      <c r="V759" s="847"/>
      <c r="W759" s="846"/>
      <c r="X759" s="846"/>
      <c r="Y759" s="740">
        <f t="shared" si="96"/>
        <v>0</v>
      </c>
      <c r="Z759" s="847"/>
      <c r="AA759" s="847"/>
      <c r="AB759" s="741">
        <f t="shared" si="97"/>
        <v>0</v>
      </c>
      <c r="AC759" s="846"/>
      <c r="AD759" s="847"/>
      <c r="AE759" s="846"/>
      <c r="AF759" s="846"/>
      <c r="AG759" s="847"/>
      <c r="AH759" s="847"/>
      <c r="AI759" s="742">
        <f t="shared" si="101"/>
        <v>0</v>
      </c>
      <c r="AJ759" s="743">
        <f t="shared" si="102"/>
        <v>0</v>
      </c>
    </row>
    <row r="760" spans="1:36">
      <c r="A760" s="1314" t="s">
        <v>148</v>
      </c>
      <c r="B760" s="1018" t="s">
        <v>252</v>
      </c>
      <c r="C760" s="1322" t="s">
        <v>311</v>
      </c>
      <c r="D760" s="1321"/>
      <c r="E760" s="1021"/>
      <c r="F760" s="1022"/>
      <c r="G760" s="846"/>
      <c r="H760" s="847"/>
      <c r="I760" s="846"/>
      <c r="J760" s="847"/>
      <c r="K760" s="846"/>
      <c r="L760" s="847"/>
      <c r="M760" s="846"/>
      <c r="N760" s="846"/>
      <c r="O760" s="737">
        <f t="shared" si="95"/>
        <v>0</v>
      </c>
      <c r="P760" s="847"/>
      <c r="Q760" s="847"/>
      <c r="R760" s="738">
        <f t="shared" si="98"/>
        <v>0</v>
      </c>
      <c r="S760" s="737">
        <f t="shared" si="99"/>
        <v>0</v>
      </c>
      <c r="T760" s="739">
        <f t="shared" si="100"/>
        <v>0</v>
      </c>
      <c r="U760" s="846"/>
      <c r="V760" s="847"/>
      <c r="W760" s="846"/>
      <c r="X760" s="846"/>
      <c r="Y760" s="740">
        <f t="shared" si="96"/>
        <v>0</v>
      </c>
      <c r="Z760" s="847"/>
      <c r="AA760" s="847"/>
      <c r="AB760" s="741">
        <f t="shared" si="97"/>
        <v>0</v>
      </c>
      <c r="AC760" s="846"/>
      <c r="AD760" s="847"/>
      <c r="AE760" s="846"/>
      <c r="AF760" s="846"/>
      <c r="AG760" s="847"/>
      <c r="AH760" s="847"/>
      <c r="AI760" s="742">
        <f t="shared" si="101"/>
        <v>0</v>
      </c>
      <c r="AJ760" s="743">
        <f t="shared" si="102"/>
        <v>0</v>
      </c>
    </row>
    <row r="761" spans="1:36">
      <c r="A761" s="1314" t="s">
        <v>148</v>
      </c>
      <c r="B761" s="1018" t="s">
        <v>253</v>
      </c>
      <c r="C761" s="1322" t="s">
        <v>249</v>
      </c>
      <c r="D761" s="1321"/>
      <c r="E761" s="1021"/>
      <c r="F761" s="1022"/>
      <c r="G761" s="846"/>
      <c r="H761" s="847"/>
      <c r="I761" s="846"/>
      <c r="J761" s="847"/>
      <c r="K761" s="846"/>
      <c r="L761" s="847"/>
      <c r="M761" s="846"/>
      <c r="N761" s="846"/>
      <c r="O761" s="737">
        <f t="shared" si="95"/>
        <v>0</v>
      </c>
      <c r="P761" s="847"/>
      <c r="Q761" s="847"/>
      <c r="R761" s="738">
        <f t="shared" si="98"/>
        <v>0</v>
      </c>
      <c r="S761" s="737">
        <f t="shared" si="99"/>
        <v>0</v>
      </c>
      <c r="T761" s="739">
        <f t="shared" si="100"/>
        <v>0</v>
      </c>
      <c r="U761" s="846"/>
      <c r="V761" s="847"/>
      <c r="W761" s="846"/>
      <c r="X761" s="846"/>
      <c r="Y761" s="740">
        <f t="shared" si="96"/>
        <v>0</v>
      </c>
      <c r="Z761" s="847"/>
      <c r="AA761" s="847"/>
      <c r="AB761" s="741">
        <f t="shared" si="97"/>
        <v>0</v>
      </c>
      <c r="AC761" s="846"/>
      <c r="AD761" s="847"/>
      <c r="AE761" s="846"/>
      <c r="AF761" s="846"/>
      <c r="AG761" s="847"/>
      <c r="AH761" s="847"/>
      <c r="AI761" s="742">
        <f t="shared" si="101"/>
        <v>0</v>
      </c>
      <c r="AJ761" s="743">
        <f t="shared" si="102"/>
        <v>0</v>
      </c>
    </row>
    <row r="762" spans="1:36">
      <c r="A762" s="1314" t="s">
        <v>148</v>
      </c>
      <c r="B762" s="1018" t="s">
        <v>294</v>
      </c>
      <c r="C762" s="1325" t="s">
        <v>307</v>
      </c>
      <c r="D762" s="1326"/>
      <c r="E762" s="1021"/>
      <c r="F762" s="1022"/>
      <c r="G762" s="846"/>
      <c r="H762" s="847"/>
      <c r="I762" s="846"/>
      <c r="J762" s="847"/>
      <c r="K762" s="846"/>
      <c r="L762" s="847"/>
      <c r="M762" s="846"/>
      <c r="N762" s="846"/>
      <c r="O762" s="737">
        <f t="shared" si="95"/>
        <v>0</v>
      </c>
      <c r="P762" s="847"/>
      <c r="Q762" s="847"/>
      <c r="R762" s="738">
        <f t="shared" si="98"/>
        <v>0</v>
      </c>
      <c r="S762" s="737">
        <f t="shared" si="99"/>
        <v>0</v>
      </c>
      <c r="T762" s="739">
        <f t="shared" si="100"/>
        <v>0</v>
      </c>
      <c r="U762" s="846"/>
      <c r="V762" s="847"/>
      <c r="W762" s="846"/>
      <c r="X762" s="846"/>
      <c r="Y762" s="740">
        <f t="shared" si="96"/>
        <v>0</v>
      </c>
      <c r="Z762" s="847"/>
      <c r="AA762" s="847"/>
      <c r="AB762" s="741">
        <f t="shared" si="97"/>
        <v>0</v>
      </c>
      <c r="AC762" s="846"/>
      <c r="AD762" s="847"/>
      <c r="AE762" s="846"/>
      <c r="AF762" s="846"/>
      <c r="AG762" s="847"/>
      <c r="AH762" s="847"/>
      <c r="AI762" s="742">
        <f t="shared" si="101"/>
        <v>0</v>
      </c>
      <c r="AJ762" s="743">
        <f t="shared" si="102"/>
        <v>0</v>
      </c>
    </row>
    <row r="763" spans="1:36">
      <c r="A763" s="1314" t="s">
        <v>148</v>
      </c>
      <c r="B763" s="1018" t="s">
        <v>254</v>
      </c>
      <c r="C763" s="1322" t="s">
        <v>311</v>
      </c>
      <c r="D763" s="1321"/>
      <c r="E763" s="1021"/>
      <c r="F763" s="1022"/>
      <c r="G763" s="846"/>
      <c r="H763" s="847"/>
      <c r="I763" s="846"/>
      <c r="J763" s="847"/>
      <c r="K763" s="846"/>
      <c r="L763" s="847"/>
      <c r="M763" s="846"/>
      <c r="N763" s="846"/>
      <c r="O763" s="737">
        <f t="shared" si="95"/>
        <v>0</v>
      </c>
      <c r="P763" s="847"/>
      <c r="Q763" s="847"/>
      <c r="R763" s="738">
        <f t="shared" si="98"/>
        <v>0</v>
      </c>
      <c r="S763" s="737">
        <f t="shared" si="99"/>
        <v>0</v>
      </c>
      <c r="T763" s="739">
        <f t="shared" si="100"/>
        <v>0</v>
      </c>
      <c r="U763" s="846"/>
      <c r="V763" s="847"/>
      <c r="W763" s="846"/>
      <c r="X763" s="846"/>
      <c r="Y763" s="740">
        <f t="shared" si="96"/>
        <v>0</v>
      </c>
      <c r="Z763" s="847"/>
      <c r="AA763" s="847"/>
      <c r="AB763" s="741">
        <f t="shared" si="97"/>
        <v>0</v>
      </c>
      <c r="AC763" s="846"/>
      <c r="AD763" s="847"/>
      <c r="AE763" s="846"/>
      <c r="AF763" s="846"/>
      <c r="AG763" s="847"/>
      <c r="AH763" s="847"/>
      <c r="AI763" s="742">
        <f t="shared" si="101"/>
        <v>0</v>
      </c>
      <c r="AJ763" s="743">
        <f t="shared" si="102"/>
        <v>0</v>
      </c>
    </row>
    <row r="764" spans="1:36">
      <c r="A764" s="1314" t="s">
        <v>148</v>
      </c>
      <c r="B764" s="1018" t="s">
        <v>255</v>
      </c>
      <c r="C764" s="1322" t="s">
        <v>249</v>
      </c>
      <c r="D764" s="1321"/>
      <c r="E764" s="1021"/>
      <c r="F764" s="1022"/>
      <c r="G764" s="846"/>
      <c r="H764" s="847"/>
      <c r="I764" s="846"/>
      <c r="J764" s="847"/>
      <c r="K764" s="846"/>
      <c r="L764" s="847"/>
      <c r="M764" s="846"/>
      <c r="N764" s="846"/>
      <c r="O764" s="737">
        <f t="shared" si="95"/>
        <v>0</v>
      </c>
      <c r="P764" s="847"/>
      <c r="Q764" s="847"/>
      <c r="R764" s="738">
        <f t="shared" si="98"/>
        <v>0</v>
      </c>
      <c r="S764" s="737">
        <f t="shared" si="99"/>
        <v>0</v>
      </c>
      <c r="T764" s="739">
        <f t="shared" si="100"/>
        <v>0</v>
      </c>
      <c r="U764" s="846"/>
      <c r="V764" s="847"/>
      <c r="W764" s="846"/>
      <c r="X764" s="846"/>
      <c r="Y764" s="740">
        <f t="shared" si="96"/>
        <v>0</v>
      </c>
      <c r="Z764" s="847"/>
      <c r="AA764" s="847"/>
      <c r="AB764" s="741">
        <f t="shared" si="97"/>
        <v>0</v>
      </c>
      <c r="AC764" s="846"/>
      <c r="AD764" s="847"/>
      <c r="AE764" s="846"/>
      <c r="AF764" s="846"/>
      <c r="AG764" s="847"/>
      <c r="AH764" s="847"/>
      <c r="AI764" s="742">
        <f t="shared" si="101"/>
        <v>0</v>
      </c>
      <c r="AJ764" s="743">
        <f t="shared" si="102"/>
        <v>0</v>
      </c>
    </row>
    <row r="765" spans="1:36">
      <c r="A765" s="1062" t="s">
        <v>149</v>
      </c>
      <c r="B765" s="901" t="s">
        <v>264</v>
      </c>
      <c r="C765" s="1063" t="s">
        <v>954</v>
      </c>
      <c r="D765" s="1064"/>
      <c r="E765" s="1065">
        <v>133951</v>
      </c>
      <c r="F765" s="898">
        <v>1</v>
      </c>
      <c r="G765" s="890">
        <v>188429118</v>
      </c>
      <c r="H765" s="895">
        <v>187181431</v>
      </c>
      <c r="I765" s="846"/>
      <c r="J765" s="895"/>
      <c r="K765" s="846"/>
      <c r="L765" s="895"/>
      <c r="M765" s="890">
        <v>233626179</v>
      </c>
      <c r="N765" s="846">
        <v>3143429.28</v>
      </c>
      <c r="O765" s="737">
        <f t="shared" si="95"/>
        <v>236769608.28</v>
      </c>
      <c r="P765" s="895">
        <v>240883763</v>
      </c>
      <c r="Q765" s="895">
        <v>3864368.04</v>
      </c>
      <c r="R765" s="738">
        <f t="shared" si="98"/>
        <v>244748131.03999999</v>
      </c>
      <c r="S765" s="737">
        <f t="shared" si="99"/>
        <v>422055297</v>
      </c>
      <c r="T765" s="739">
        <f t="shared" si="100"/>
        <v>428065194</v>
      </c>
      <c r="U765" s="846"/>
      <c r="V765" s="895"/>
      <c r="W765" s="846"/>
      <c r="X765" s="846"/>
      <c r="Y765" s="740">
        <f t="shared" si="96"/>
        <v>0</v>
      </c>
      <c r="Z765" s="895"/>
      <c r="AA765" s="895"/>
      <c r="AB765" s="741">
        <f t="shared" si="97"/>
        <v>0</v>
      </c>
      <c r="AC765" s="846"/>
      <c r="AD765" s="895"/>
      <c r="AE765" s="846"/>
      <c r="AF765" s="846"/>
      <c r="AG765" s="895"/>
      <c r="AH765" s="895"/>
      <c r="AI765" s="742">
        <f t="shared" si="101"/>
        <v>422055297</v>
      </c>
      <c r="AJ765" s="743">
        <f t="shared" si="102"/>
        <v>428065194</v>
      </c>
    </row>
    <row r="766" spans="1:36">
      <c r="A766" s="1062" t="s">
        <v>149</v>
      </c>
      <c r="B766" s="901" t="s">
        <v>264</v>
      </c>
      <c r="C766" s="1066" t="s">
        <v>955</v>
      </c>
      <c r="D766" s="1067"/>
      <c r="E766" s="910">
        <v>133951</v>
      </c>
      <c r="F766" s="898">
        <v>1</v>
      </c>
      <c r="G766" s="846"/>
      <c r="H766" s="847"/>
      <c r="I766" s="846">
        <v>540666</v>
      </c>
      <c r="J766" s="895">
        <v>540666</v>
      </c>
      <c r="K766" s="846"/>
      <c r="L766" s="847"/>
      <c r="M766" s="846"/>
      <c r="N766" s="846"/>
      <c r="O766" s="737">
        <f t="shared" si="95"/>
        <v>0</v>
      </c>
      <c r="P766" s="847"/>
      <c r="Q766" s="895"/>
      <c r="R766" s="738">
        <f t="shared" si="98"/>
        <v>0</v>
      </c>
      <c r="S766" s="737">
        <f t="shared" si="99"/>
        <v>540666</v>
      </c>
      <c r="T766" s="739">
        <f t="shared" si="100"/>
        <v>540666</v>
      </c>
      <c r="U766" s="846"/>
      <c r="V766" s="847"/>
      <c r="W766" s="846"/>
      <c r="X766" s="846"/>
      <c r="Y766" s="740">
        <f t="shared" si="96"/>
        <v>0</v>
      </c>
      <c r="Z766" s="847"/>
      <c r="AA766" s="895"/>
      <c r="AB766" s="741">
        <f t="shared" si="97"/>
        <v>0</v>
      </c>
      <c r="AC766" s="846"/>
      <c r="AD766" s="847"/>
      <c r="AE766" s="846"/>
      <c r="AF766" s="846"/>
      <c r="AG766" s="847"/>
      <c r="AH766" s="895"/>
      <c r="AI766" s="742">
        <f t="shared" si="101"/>
        <v>540666</v>
      </c>
      <c r="AJ766" s="743">
        <f t="shared" si="102"/>
        <v>540666</v>
      </c>
    </row>
    <row r="767" spans="1:36">
      <c r="A767" s="1062" t="s">
        <v>149</v>
      </c>
      <c r="B767" s="901" t="s">
        <v>264</v>
      </c>
      <c r="C767" s="1066" t="s">
        <v>956</v>
      </c>
      <c r="D767" s="1067"/>
      <c r="E767" s="910">
        <v>133951</v>
      </c>
      <c r="F767" s="898">
        <v>1</v>
      </c>
      <c r="G767" s="846"/>
      <c r="H767" s="847"/>
      <c r="I767" s="890">
        <v>1895507</v>
      </c>
      <c r="J767" s="847">
        <v>1895507</v>
      </c>
      <c r="K767" s="846"/>
      <c r="L767" s="847"/>
      <c r="M767" s="846"/>
      <c r="N767" s="846"/>
      <c r="O767" s="737">
        <f t="shared" si="95"/>
        <v>0</v>
      </c>
      <c r="P767" s="847"/>
      <c r="Q767" s="895"/>
      <c r="R767" s="738">
        <f t="shared" si="98"/>
        <v>0</v>
      </c>
      <c r="S767" s="737">
        <f t="shared" si="99"/>
        <v>1895507</v>
      </c>
      <c r="T767" s="739">
        <f t="shared" si="100"/>
        <v>1895507</v>
      </c>
      <c r="U767" s="846"/>
      <c r="V767" s="847"/>
      <c r="W767" s="846"/>
      <c r="X767" s="846"/>
      <c r="Y767" s="740">
        <f t="shared" si="96"/>
        <v>0</v>
      </c>
      <c r="Z767" s="847"/>
      <c r="AA767" s="895"/>
      <c r="AB767" s="741">
        <f t="shared" si="97"/>
        <v>0</v>
      </c>
      <c r="AC767" s="890">
        <v>34877</v>
      </c>
      <c r="AD767" s="847">
        <v>34877</v>
      </c>
      <c r="AE767" s="846"/>
      <c r="AF767" s="846"/>
      <c r="AG767" s="847"/>
      <c r="AH767" s="895"/>
      <c r="AI767" s="742">
        <f t="shared" si="101"/>
        <v>1930384</v>
      </c>
      <c r="AJ767" s="743">
        <f t="shared" si="102"/>
        <v>1930384</v>
      </c>
    </row>
    <row r="768" spans="1:36">
      <c r="A768" s="1062" t="s">
        <v>149</v>
      </c>
      <c r="B768" s="901" t="s">
        <v>280</v>
      </c>
      <c r="C768" s="1066" t="s">
        <v>717</v>
      </c>
      <c r="D768" s="1067"/>
      <c r="E768" s="910">
        <v>133951</v>
      </c>
      <c r="F768" s="898">
        <v>1</v>
      </c>
      <c r="G768" s="846"/>
      <c r="H768" s="847"/>
      <c r="I768" s="846"/>
      <c r="J768" s="847"/>
      <c r="K768" s="846"/>
      <c r="L768" s="847"/>
      <c r="M768" s="846"/>
      <c r="N768" s="846"/>
      <c r="O768" s="737">
        <f t="shared" si="95"/>
        <v>0</v>
      </c>
      <c r="P768" s="847"/>
      <c r="Q768" s="895"/>
      <c r="R768" s="738">
        <f t="shared" si="98"/>
        <v>0</v>
      </c>
      <c r="S768" s="737">
        <f t="shared" si="99"/>
        <v>0</v>
      </c>
      <c r="T768" s="739">
        <f t="shared" si="100"/>
        <v>0</v>
      </c>
      <c r="U768" s="846"/>
      <c r="V768" s="847"/>
      <c r="W768" s="846"/>
      <c r="X768" s="846"/>
      <c r="Y768" s="740">
        <f t="shared" si="96"/>
        <v>0</v>
      </c>
      <c r="Z768" s="847"/>
      <c r="AA768" s="895"/>
      <c r="AB768" s="741">
        <f t="shared" si="97"/>
        <v>0</v>
      </c>
      <c r="AC768" s="890">
        <v>30508312</v>
      </c>
      <c r="AD768" s="847">
        <v>30833444</v>
      </c>
      <c r="AE768" s="846">
        <v>12532971</v>
      </c>
      <c r="AF768" s="846"/>
      <c r="AG768" s="847">
        <v>15601041</v>
      </c>
      <c r="AH768" s="895"/>
      <c r="AI768" s="742">
        <f t="shared" si="101"/>
        <v>43041283</v>
      </c>
      <c r="AJ768" s="743">
        <f t="shared" si="102"/>
        <v>46434485</v>
      </c>
    </row>
    <row r="769" spans="1:36">
      <c r="A769" s="1062" t="s">
        <v>149</v>
      </c>
      <c r="B769" s="901" t="s">
        <v>271</v>
      </c>
      <c r="C769" s="1068" t="s">
        <v>309</v>
      </c>
      <c r="D769" s="1067"/>
      <c r="E769" s="910">
        <v>137351</v>
      </c>
      <c r="F769" s="898">
        <v>1</v>
      </c>
      <c r="G769" s="846"/>
      <c r="H769" s="847"/>
      <c r="I769" s="846"/>
      <c r="J769" s="847"/>
      <c r="K769" s="846"/>
      <c r="L769" s="847"/>
      <c r="M769" s="846"/>
      <c r="N769" s="846"/>
      <c r="O769" s="737">
        <f t="shared" si="95"/>
        <v>0</v>
      </c>
      <c r="P769" s="847"/>
      <c r="Q769" s="895"/>
      <c r="R769" s="738">
        <f t="shared" si="98"/>
        <v>0</v>
      </c>
      <c r="S769" s="737">
        <f t="shared" si="99"/>
        <v>0</v>
      </c>
      <c r="T769" s="739">
        <f t="shared" si="100"/>
        <v>0</v>
      </c>
      <c r="U769" s="846"/>
      <c r="V769" s="847"/>
      <c r="W769" s="846"/>
      <c r="X769" s="846"/>
      <c r="Y769" s="740">
        <f t="shared" si="96"/>
        <v>0</v>
      </c>
      <c r="Z769" s="847"/>
      <c r="AA769" s="895"/>
      <c r="AB769" s="741">
        <f t="shared" si="97"/>
        <v>0</v>
      </c>
      <c r="AC769" s="846"/>
      <c r="AD769" s="847"/>
      <c r="AE769" s="846"/>
      <c r="AF769" s="846"/>
      <c r="AG769" s="847"/>
      <c r="AH769" s="895"/>
      <c r="AI769" s="742">
        <f t="shared" si="101"/>
        <v>0</v>
      </c>
      <c r="AJ769" s="743">
        <f t="shared" si="102"/>
        <v>0</v>
      </c>
    </row>
    <row r="770" spans="1:36">
      <c r="A770" s="1062" t="s">
        <v>149</v>
      </c>
      <c r="B770" s="901" t="s">
        <v>264</v>
      </c>
      <c r="C770" s="1069" t="s">
        <v>957</v>
      </c>
      <c r="D770" s="1070"/>
      <c r="E770" s="910">
        <v>134097</v>
      </c>
      <c r="F770" s="911">
        <v>1</v>
      </c>
      <c r="G770" s="890">
        <v>293334632</v>
      </c>
      <c r="H770" s="895">
        <v>290720351</v>
      </c>
      <c r="I770" s="846"/>
      <c r="J770" s="895"/>
      <c r="K770" s="846"/>
      <c r="L770" s="895"/>
      <c r="M770" s="890">
        <v>220934594.86000001</v>
      </c>
      <c r="N770" s="846">
        <v>2082630.14</v>
      </c>
      <c r="O770" s="737">
        <f t="shared" si="95"/>
        <v>223017225</v>
      </c>
      <c r="P770" s="895">
        <v>225390821</v>
      </c>
      <c r="Q770" s="895">
        <v>2159882.4700000002</v>
      </c>
      <c r="R770" s="738">
        <f t="shared" si="98"/>
        <v>227550703.47</v>
      </c>
      <c r="S770" s="737">
        <f t="shared" si="99"/>
        <v>514269226.86000001</v>
      </c>
      <c r="T770" s="739">
        <f t="shared" si="100"/>
        <v>516111172</v>
      </c>
      <c r="U770" s="846"/>
      <c r="V770" s="895"/>
      <c r="W770" s="846"/>
      <c r="X770" s="846"/>
      <c r="Y770" s="740">
        <f t="shared" si="96"/>
        <v>0</v>
      </c>
      <c r="Z770" s="895"/>
      <c r="AA770" s="895"/>
      <c r="AB770" s="741">
        <f t="shared" si="97"/>
        <v>0</v>
      </c>
      <c r="AC770" s="846"/>
      <c r="AD770" s="895"/>
      <c r="AE770" s="846"/>
      <c r="AF770" s="846"/>
      <c r="AG770" s="895"/>
      <c r="AH770" s="895"/>
      <c r="AI770" s="742">
        <f t="shared" si="101"/>
        <v>514269226.86000001</v>
      </c>
      <c r="AJ770" s="743">
        <f t="shared" si="102"/>
        <v>516111172</v>
      </c>
    </row>
    <row r="771" spans="1:36">
      <c r="A771" s="1062" t="s">
        <v>149</v>
      </c>
      <c r="B771" s="901" t="s">
        <v>264</v>
      </c>
      <c r="C771" s="1066" t="s">
        <v>955</v>
      </c>
      <c r="D771" s="1067"/>
      <c r="E771" s="910">
        <v>134097</v>
      </c>
      <c r="F771" s="911">
        <v>1</v>
      </c>
      <c r="G771" s="846"/>
      <c r="H771" s="847"/>
      <c r="I771" s="846">
        <v>1467667</v>
      </c>
      <c r="J771" s="847">
        <v>1467667</v>
      </c>
      <c r="K771" s="846"/>
      <c r="L771" s="847"/>
      <c r="M771" s="846"/>
      <c r="N771" s="846"/>
      <c r="O771" s="737">
        <f t="shared" si="95"/>
        <v>0</v>
      </c>
      <c r="P771" s="847"/>
      <c r="Q771" s="895"/>
      <c r="R771" s="738">
        <f t="shared" si="98"/>
        <v>0</v>
      </c>
      <c r="S771" s="737">
        <f t="shared" si="99"/>
        <v>1467667</v>
      </c>
      <c r="T771" s="739">
        <f t="shared" si="100"/>
        <v>1467667</v>
      </c>
      <c r="U771" s="846"/>
      <c r="V771" s="847"/>
      <c r="W771" s="846"/>
      <c r="X771" s="846"/>
      <c r="Y771" s="740">
        <f t="shared" si="96"/>
        <v>0</v>
      </c>
      <c r="Z771" s="847"/>
      <c r="AA771" s="895"/>
      <c r="AB771" s="741">
        <f t="shared" si="97"/>
        <v>0</v>
      </c>
      <c r="AC771" s="846"/>
      <c r="AD771" s="847"/>
      <c r="AE771" s="846"/>
      <c r="AF771" s="846"/>
      <c r="AG771" s="847"/>
      <c r="AH771" s="895"/>
      <c r="AI771" s="742">
        <f t="shared" si="101"/>
        <v>1467667</v>
      </c>
      <c r="AJ771" s="743">
        <f t="shared" si="102"/>
        <v>1467667</v>
      </c>
    </row>
    <row r="772" spans="1:36">
      <c r="A772" s="1062" t="s">
        <v>149</v>
      </c>
      <c r="B772" s="901" t="s">
        <v>264</v>
      </c>
      <c r="C772" s="1066" t="s">
        <v>956</v>
      </c>
      <c r="D772" s="1067"/>
      <c r="E772" s="910">
        <v>134097</v>
      </c>
      <c r="F772" s="911">
        <v>1</v>
      </c>
      <c r="G772" s="846"/>
      <c r="H772" s="847"/>
      <c r="I772" s="890">
        <v>1986543</v>
      </c>
      <c r="J772" s="847">
        <v>1986543</v>
      </c>
      <c r="K772" s="846"/>
      <c r="L772" s="847"/>
      <c r="M772" s="846"/>
      <c r="N772" s="846"/>
      <c r="O772" s="737">
        <f t="shared" si="95"/>
        <v>0</v>
      </c>
      <c r="P772" s="847"/>
      <c r="Q772" s="895"/>
      <c r="R772" s="738">
        <f t="shared" si="98"/>
        <v>0</v>
      </c>
      <c r="S772" s="737">
        <f t="shared" si="99"/>
        <v>1986543</v>
      </c>
      <c r="T772" s="739">
        <f t="shared" si="100"/>
        <v>1986543</v>
      </c>
      <c r="U772" s="846"/>
      <c r="V772" s="847"/>
      <c r="W772" s="846"/>
      <c r="X772" s="846"/>
      <c r="Y772" s="740">
        <f t="shared" si="96"/>
        <v>0</v>
      </c>
      <c r="Z772" s="847"/>
      <c r="AA772" s="895"/>
      <c r="AB772" s="741">
        <f t="shared" si="97"/>
        <v>0</v>
      </c>
      <c r="AC772" s="890">
        <v>83282</v>
      </c>
      <c r="AD772" s="847">
        <v>83282</v>
      </c>
      <c r="AE772" s="846"/>
      <c r="AF772" s="846"/>
      <c r="AG772" s="847"/>
      <c r="AH772" s="895"/>
      <c r="AI772" s="742">
        <f t="shared" si="101"/>
        <v>2069825</v>
      </c>
      <c r="AJ772" s="743">
        <f t="shared" si="102"/>
        <v>2069825</v>
      </c>
    </row>
    <row r="773" spans="1:36">
      <c r="A773" s="1062" t="s">
        <v>149</v>
      </c>
      <c r="B773" s="901" t="s">
        <v>280</v>
      </c>
      <c r="C773" s="1066" t="s">
        <v>717</v>
      </c>
      <c r="D773" s="1067"/>
      <c r="E773" s="910">
        <v>134097</v>
      </c>
      <c r="F773" s="911">
        <v>1</v>
      </c>
      <c r="G773" s="846"/>
      <c r="H773" s="847"/>
      <c r="I773" s="846"/>
      <c r="J773" s="847"/>
      <c r="K773" s="846"/>
      <c r="L773" s="847"/>
      <c r="M773" s="846"/>
      <c r="N773" s="846"/>
      <c r="O773" s="737">
        <f t="shared" si="95"/>
        <v>0</v>
      </c>
      <c r="P773" s="847"/>
      <c r="Q773" s="895"/>
      <c r="R773" s="738">
        <f t="shared" si="98"/>
        <v>0</v>
      </c>
      <c r="S773" s="737">
        <f t="shared" si="99"/>
        <v>0</v>
      </c>
      <c r="T773" s="739">
        <f t="shared" si="100"/>
        <v>0</v>
      </c>
      <c r="U773" s="846"/>
      <c r="V773" s="847"/>
      <c r="W773" s="846"/>
      <c r="X773" s="846"/>
      <c r="Y773" s="740">
        <f t="shared" si="96"/>
        <v>0</v>
      </c>
      <c r="Z773" s="847"/>
      <c r="AA773" s="895"/>
      <c r="AB773" s="741">
        <f t="shared" si="97"/>
        <v>0</v>
      </c>
      <c r="AC773" s="890">
        <v>34568898</v>
      </c>
      <c r="AD773" s="847">
        <v>34926100</v>
      </c>
      <c r="AE773" s="846">
        <v>11572716</v>
      </c>
      <c r="AF773" s="846"/>
      <c r="AG773" s="847">
        <v>11572716</v>
      </c>
      <c r="AH773" s="895"/>
      <c r="AI773" s="742">
        <f t="shared" si="101"/>
        <v>46141614</v>
      </c>
      <c r="AJ773" s="743">
        <f t="shared" si="102"/>
        <v>46498816</v>
      </c>
    </row>
    <row r="774" spans="1:36">
      <c r="A774" s="1062" t="s">
        <v>149</v>
      </c>
      <c r="B774" s="901" t="s">
        <v>280</v>
      </c>
      <c r="C774" s="1066" t="s">
        <v>958</v>
      </c>
      <c r="D774" s="1067"/>
      <c r="E774" s="910">
        <v>134097</v>
      </c>
      <c r="F774" s="911">
        <v>1</v>
      </c>
      <c r="G774" s="846"/>
      <c r="H774" s="847"/>
      <c r="I774" s="846"/>
      <c r="J774" s="847"/>
      <c r="K774" s="846"/>
      <c r="L774" s="847"/>
      <c r="M774" s="846"/>
      <c r="N774" s="846"/>
      <c r="O774" s="737">
        <f t="shared" si="95"/>
        <v>0</v>
      </c>
      <c r="P774" s="847"/>
      <c r="Q774" s="895"/>
      <c r="R774" s="738">
        <f t="shared" si="98"/>
        <v>0</v>
      </c>
      <c r="S774" s="737">
        <f t="shared" si="99"/>
        <v>0</v>
      </c>
      <c r="T774" s="739">
        <f t="shared" si="100"/>
        <v>0</v>
      </c>
      <c r="U774" s="846"/>
      <c r="V774" s="847"/>
      <c r="W774" s="846"/>
      <c r="X774" s="846"/>
      <c r="Y774" s="740">
        <f t="shared" si="96"/>
        <v>0</v>
      </c>
      <c r="Z774" s="847"/>
      <c r="AA774" s="895"/>
      <c r="AB774" s="741">
        <f t="shared" si="97"/>
        <v>0</v>
      </c>
      <c r="AC774" s="846">
        <v>1056231</v>
      </c>
      <c r="AD774" s="847">
        <v>1267477</v>
      </c>
      <c r="AE774" s="846"/>
      <c r="AF774" s="846"/>
      <c r="AG774" s="847"/>
      <c r="AH774" s="895"/>
      <c r="AI774" s="742">
        <f t="shared" si="101"/>
        <v>1056231</v>
      </c>
      <c r="AJ774" s="743">
        <f t="shared" si="102"/>
        <v>1267477</v>
      </c>
    </row>
    <row r="775" spans="1:36">
      <c r="A775" s="1062" t="s">
        <v>149</v>
      </c>
      <c r="B775" s="901" t="s">
        <v>266</v>
      </c>
      <c r="C775" s="1068" t="s">
        <v>319</v>
      </c>
      <c r="D775" s="1067"/>
      <c r="E775" s="910">
        <v>134097</v>
      </c>
      <c r="F775" s="911">
        <v>1</v>
      </c>
      <c r="G775" s="846"/>
      <c r="H775" s="847"/>
      <c r="I775" s="846">
        <v>396525</v>
      </c>
      <c r="J775" s="847">
        <v>450000</v>
      </c>
      <c r="K775" s="846"/>
      <c r="L775" s="847"/>
      <c r="M775" s="846"/>
      <c r="N775" s="846"/>
      <c r="O775" s="737">
        <f t="shared" si="95"/>
        <v>0</v>
      </c>
      <c r="P775" s="847"/>
      <c r="Q775" s="895"/>
      <c r="R775" s="738">
        <f t="shared" si="98"/>
        <v>0</v>
      </c>
      <c r="S775" s="737">
        <f t="shared" si="99"/>
        <v>396525</v>
      </c>
      <c r="T775" s="739">
        <f t="shared" si="100"/>
        <v>450000</v>
      </c>
      <c r="U775" s="846"/>
      <c r="V775" s="847"/>
      <c r="W775" s="846"/>
      <c r="X775" s="846"/>
      <c r="Y775" s="740">
        <f t="shared" si="96"/>
        <v>0</v>
      </c>
      <c r="Z775" s="847"/>
      <c r="AA775" s="895"/>
      <c r="AB775" s="741">
        <f t="shared" si="97"/>
        <v>0</v>
      </c>
      <c r="AC775" s="846"/>
      <c r="AD775" s="847"/>
      <c r="AE775" s="846"/>
      <c r="AF775" s="846"/>
      <c r="AG775" s="847"/>
      <c r="AH775" s="895"/>
      <c r="AI775" s="742">
        <f t="shared" si="101"/>
        <v>396525</v>
      </c>
      <c r="AJ775" s="743">
        <f t="shared" si="102"/>
        <v>450000</v>
      </c>
    </row>
    <row r="776" spans="1:36">
      <c r="A776" s="1062" t="s">
        <v>149</v>
      </c>
      <c r="B776" s="901" t="s">
        <v>266</v>
      </c>
      <c r="C776" s="1066" t="s">
        <v>959</v>
      </c>
      <c r="D776" s="1067"/>
      <c r="E776" s="910">
        <v>134097</v>
      </c>
      <c r="F776" s="911">
        <v>1</v>
      </c>
      <c r="G776" s="846"/>
      <c r="H776" s="847"/>
      <c r="I776" s="846"/>
      <c r="J776" s="847"/>
      <c r="K776" s="846"/>
      <c r="L776" s="847"/>
      <c r="M776" s="846"/>
      <c r="N776" s="846"/>
      <c r="O776" s="737">
        <f t="shared" si="95"/>
        <v>0</v>
      </c>
      <c r="P776" s="847"/>
      <c r="Q776" s="895"/>
      <c r="R776" s="738">
        <f t="shared" si="98"/>
        <v>0</v>
      </c>
      <c r="S776" s="737">
        <f t="shared" si="99"/>
        <v>0</v>
      </c>
      <c r="T776" s="739">
        <f t="shared" si="100"/>
        <v>0</v>
      </c>
      <c r="U776" s="846"/>
      <c r="V776" s="847"/>
      <c r="W776" s="846"/>
      <c r="X776" s="846"/>
      <c r="Y776" s="740">
        <f t="shared" si="96"/>
        <v>0</v>
      </c>
      <c r="Z776" s="847"/>
      <c r="AA776" s="895"/>
      <c r="AB776" s="741">
        <f t="shared" si="97"/>
        <v>0</v>
      </c>
      <c r="AC776" s="846"/>
      <c r="AD776" s="847"/>
      <c r="AE776" s="846"/>
      <c r="AF776" s="846"/>
      <c r="AG776" s="847"/>
      <c r="AH776" s="895"/>
      <c r="AI776" s="742">
        <f t="shared" si="101"/>
        <v>0</v>
      </c>
      <c r="AJ776" s="743">
        <f t="shared" si="102"/>
        <v>0</v>
      </c>
    </row>
    <row r="777" spans="1:36">
      <c r="A777" s="1062" t="s">
        <v>149</v>
      </c>
      <c r="B777" s="901" t="s">
        <v>266</v>
      </c>
      <c r="C777" s="1066" t="s">
        <v>960</v>
      </c>
      <c r="D777" s="1067"/>
      <c r="E777" s="910">
        <v>134097</v>
      </c>
      <c r="F777" s="911">
        <v>1</v>
      </c>
      <c r="G777" s="846"/>
      <c r="H777" s="847"/>
      <c r="I777" s="846">
        <v>15685691</v>
      </c>
      <c r="J777" s="847">
        <v>16649439</v>
      </c>
      <c r="K777" s="846"/>
      <c r="L777" s="847"/>
      <c r="M777" s="846"/>
      <c r="N777" s="846"/>
      <c r="O777" s="737">
        <f t="shared" si="95"/>
        <v>0</v>
      </c>
      <c r="P777" s="847"/>
      <c r="Q777" s="895"/>
      <c r="R777" s="738">
        <f t="shared" si="98"/>
        <v>0</v>
      </c>
      <c r="S777" s="737">
        <f t="shared" si="99"/>
        <v>15685691</v>
      </c>
      <c r="T777" s="739">
        <f t="shared" si="100"/>
        <v>16649439</v>
      </c>
      <c r="U777" s="846"/>
      <c r="V777" s="847"/>
      <c r="W777" s="846"/>
      <c r="X777" s="846"/>
      <c r="Y777" s="740">
        <f t="shared" si="96"/>
        <v>0</v>
      </c>
      <c r="Z777" s="847"/>
      <c r="AA777" s="895"/>
      <c r="AB777" s="741">
        <f t="shared" si="97"/>
        <v>0</v>
      </c>
      <c r="AC777" s="846"/>
      <c r="AD777" s="847"/>
      <c r="AE777" s="846"/>
      <c r="AF777" s="846"/>
      <c r="AG777" s="847"/>
      <c r="AH777" s="895"/>
      <c r="AI777" s="742">
        <f t="shared" si="101"/>
        <v>15685691</v>
      </c>
      <c r="AJ777" s="743">
        <f t="shared" si="102"/>
        <v>16649439</v>
      </c>
    </row>
    <row r="778" spans="1:36">
      <c r="A778" s="1062" t="s">
        <v>149</v>
      </c>
      <c r="B778" s="901" t="s">
        <v>271</v>
      </c>
      <c r="C778" s="1068" t="s">
        <v>309</v>
      </c>
      <c r="D778" s="1067"/>
      <c r="E778" s="910">
        <v>134097</v>
      </c>
      <c r="F778" s="911">
        <v>1</v>
      </c>
      <c r="G778" s="846"/>
      <c r="H778" s="847"/>
      <c r="I778" s="846">
        <v>396525</v>
      </c>
      <c r="J778" s="847">
        <v>450000</v>
      </c>
      <c r="K778" s="846"/>
      <c r="L778" s="847"/>
      <c r="M778" s="846"/>
      <c r="N778" s="846"/>
      <c r="O778" s="737">
        <f t="shared" ref="O778:O841" si="103">SUM(M778:N778)</f>
        <v>0</v>
      </c>
      <c r="P778" s="847"/>
      <c r="Q778" s="895"/>
      <c r="R778" s="738">
        <f t="shared" si="98"/>
        <v>0</v>
      </c>
      <c r="S778" s="737">
        <f t="shared" si="99"/>
        <v>396525</v>
      </c>
      <c r="T778" s="739">
        <f t="shared" si="100"/>
        <v>450000</v>
      </c>
      <c r="U778" s="846"/>
      <c r="V778" s="847"/>
      <c r="W778" s="846"/>
      <c r="X778" s="846"/>
      <c r="Y778" s="740">
        <f t="shared" ref="Y778:Y841" si="104">SUM(W778:X778)</f>
        <v>0</v>
      </c>
      <c r="Z778" s="847"/>
      <c r="AA778" s="895"/>
      <c r="AB778" s="741">
        <f t="shared" ref="AB778:AB841" si="105">SUM(Z778:AA778)</f>
        <v>0</v>
      </c>
      <c r="AC778" s="846"/>
      <c r="AD778" s="847"/>
      <c r="AE778" s="846"/>
      <c r="AF778" s="846"/>
      <c r="AG778" s="847"/>
      <c r="AH778" s="895"/>
      <c r="AI778" s="742">
        <f t="shared" si="101"/>
        <v>396525</v>
      </c>
      <c r="AJ778" s="743">
        <f t="shared" si="102"/>
        <v>450000</v>
      </c>
    </row>
    <row r="779" spans="1:36">
      <c r="A779" s="1062" t="s">
        <v>149</v>
      </c>
      <c r="B779" s="901" t="s">
        <v>264</v>
      </c>
      <c r="C779" s="1069" t="s">
        <v>961</v>
      </c>
      <c r="D779" s="1070"/>
      <c r="E779" s="910">
        <v>132903</v>
      </c>
      <c r="F779" s="911">
        <v>1</v>
      </c>
      <c r="G779" s="890">
        <v>245572287</v>
      </c>
      <c r="H779" s="895">
        <v>241959241</v>
      </c>
      <c r="I779" s="846"/>
      <c r="J779" s="895"/>
      <c r="K779" s="846"/>
      <c r="L779" s="895"/>
      <c r="M779" s="890">
        <v>269288387.26999998</v>
      </c>
      <c r="N779" s="846">
        <v>3968254.73</v>
      </c>
      <c r="O779" s="737">
        <f t="shared" si="103"/>
        <v>273256642</v>
      </c>
      <c r="P779" s="895">
        <v>280942607</v>
      </c>
      <c r="Q779" s="895">
        <v>3614984.02</v>
      </c>
      <c r="R779" s="738">
        <f t="shared" ref="R779:R842" si="106">SUM(P779:Q779)</f>
        <v>284557591.01999998</v>
      </c>
      <c r="S779" s="737">
        <f t="shared" ref="S779:S842" si="107">SUM(G779,I779,K779,M779)</f>
        <v>514860674.26999998</v>
      </c>
      <c r="T779" s="739">
        <f t="shared" ref="T779:T842" si="108">SUM(H779,J779,L779,P779)</f>
        <v>522901848</v>
      </c>
      <c r="U779" s="846"/>
      <c r="V779" s="895"/>
      <c r="W779" s="846"/>
      <c r="X779" s="846"/>
      <c r="Y779" s="740">
        <f t="shared" si="104"/>
        <v>0</v>
      </c>
      <c r="Z779" s="895"/>
      <c r="AA779" s="895"/>
      <c r="AB779" s="741">
        <f t="shared" si="105"/>
        <v>0</v>
      </c>
      <c r="AC779" s="846"/>
      <c r="AD779" s="895"/>
      <c r="AE779" s="846"/>
      <c r="AF779" s="846"/>
      <c r="AG779" s="895"/>
      <c r="AH779" s="895"/>
      <c r="AI779" s="742">
        <f t="shared" ref="AI779:AI842" si="109">SUM(S779,U779,W779,AC779,AE779)</f>
        <v>514860674.26999998</v>
      </c>
      <c r="AJ779" s="743">
        <f t="shared" ref="AJ779:AJ842" si="110">SUM(T779,V779,Z779,AD779,AG779)</f>
        <v>522901848</v>
      </c>
    </row>
    <row r="780" spans="1:36">
      <c r="A780" s="1062" t="s">
        <v>149</v>
      </c>
      <c r="B780" s="901" t="s">
        <v>264</v>
      </c>
      <c r="C780" s="1066" t="s">
        <v>955</v>
      </c>
      <c r="D780" s="1067"/>
      <c r="E780" s="910">
        <v>132903</v>
      </c>
      <c r="F780" s="911">
        <v>1</v>
      </c>
      <c r="G780" s="846"/>
      <c r="H780" s="847"/>
      <c r="I780" s="846">
        <v>858405</v>
      </c>
      <c r="J780" s="847">
        <v>858405</v>
      </c>
      <c r="K780" s="846"/>
      <c r="L780" s="847"/>
      <c r="M780" s="846"/>
      <c r="N780" s="846"/>
      <c r="O780" s="737">
        <f t="shared" si="103"/>
        <v>0</v>
      </c>
      <c r="P780" s="895"/>
      <c r="Q780" s="895"/>
      <c r="R780" s="738">
        <f t="shared" si="106"/>
        <v>0</v>
      </c>
      <c r="S780" s="737">
        <f t="shared" si="107"/>
        <v>858405</v>
      </c>
      <c r="T780" s="739">
        <f t="shared" si="108"/>
        <v>858405</v>
      </c>
      <c r="U780" s="846"/>
      <c r="V780" s="847"/>
      <c r="W780" s="846"/>
      <c r="X780" s="846"/>
      <c r="Y780" s="740">
        <f t="shared" si="104"/>
        <v>0</v>
      </c>
      <c r="Z780" s="895"/>
      <c r="AA780" s="895"/>
      <c r="AB780" s="741">
        <f t="shared" si="105"/>
        <v>0</v>
      </c>
      <c r="AC780" s="846"/>
      <c r="AD780" s="847"/>
      <c r="AE780" s="846"/>
      <c r="AF780" s="846"/>
      <c r="AG780" s="895"/>
      <c r="AH780" s="895"/>
      <c r="AI780" s="742">
        <f t="shared" si="109"/>
        <v>858405</v>
      </c>
      <c r="AJ780" s="743">
        <f t="shared" si="110"/>
        <v>858405</v>
      </c>
    </row>
    <row r="781" spans="1:36">
      <c r="A781" s="1062" t="s">
        <v>149</v>
      </c>
      <c r="B781" s="901" t="s">
        <v>264</v>
      </c>
      <c r="C781" s="1066" t="s">
        <v>956</v>
      </c>
      <c r="D781" s="1067"/>
      <c r="E781" s="910">
        <v>132903</v>
      </c>
      <c r="F781" s="911">
        <v>1</v>
      </c>
      <c r="G781" s="846"/>
      <c r="H781" s="847"/>
      <c r="I781" s="890">
        <v>2576247</v>
      </c>
      <c r="J781" s="847">
        <v>2576247</v>
      </c>
      <c r="K781" s="846"/>
      <c r="L781" s="847"/>
      <c r="M781" s="846"/>
      <c r="N781" s="846"/>
      <c r="O781" s="737">
        <f t="shared" si="103"/>
        <v>0</v>
      </c>
      <c r="P781" s="847"/>
      <c r="Q781" s="895"/>
      <c r="R781" s="738">
        <f t="shared" si="106"/>
        <v>0</v>
      </c>
      <c r="S781" s="737">
        <f t="shared" si="107"/>
        <v>2576247</v>
      </c>
      <c r="T781" s="739">
        <f t="shared" si="108"/>
        <v>2576247</v>
      </c>
      <c r="U781" s="846"/>
      <c r="V781" s="847"/>
      <c r="W781" s="846"/>
      <c r="X781" s="846"/>
      <c r="Y781" s="740">
        <f t="shared" si="104"/>
        <v>0</v>
      </c>
      <c r="Z781" s="847"/>
      <c r="AA781" s="895"/>
      <c r="AB781" s="741">
        <f t="shared" si="105"/>
        <v>0</v>
      </c>
      <c r="AC781" s="846"/>
      <c r="AD781" s="847"/>
      <c r="AE781" s="846"/>
      <c r="AF781" s="846"/>
      <c r="AG781" s="847"/>
      <c r="AH781" s="895"/>
      <c r="AI781" s="742">
        <f t="shared" si="109"/>
        <v>2576247</v>
      </c>
      <c r="AJ781" s="743">
        <f t="shared" si="110"/>
        <v>2576247</v>
      </c>
    </row>
    <row r="782" spans="1:36">
      <c r="A782" s="1062" t="s">
        <v>149</v>
      </c>
      <c r="B782" s="901" t="s">
        <v>280</v>
      </c>
      <c r="C782" s="1066" t="s">
        <v>717</v>
      </c>
      <c r="D782" s="1067"/>
      <c r="E782" s="910">
        <v>132903</v>
      </c>
      <c r="F782" s="911">
        <v>1</v>
      </c>
      <c r="G782" s="846"/>
      <c r="H782" s="847"/>
      <c r="I782" s="846"/>
      <c r="J782" s="847"/>
      <c r="K782" s="846"/>
      <c r="L782" s="847"/>
      <c r="M782" s="846"/>
      <c r="N782" s="846"/>
      <c r="O782" s="737">
        <f t="shared" si="103"/>
        <v>0</v>
      </c>
      <c r="P782" s="847"/>
      <c r="Q782" s="895"/>
      <c r="R782" s="738">
        <f t="shared" si="106"/>
        <v>0</v>
      </c>
      <c r="S782" s="737">
        <f t="shared" si="107"/>
        <v>0</v>
      </c>
      <c r="T782" s="739">
        <f t="shared" si="108"/>
        <v>0</v>
      </c>
      <c r="U782" s="846"/>
      <c r="V782" s="847"/>
      <c r="W782" s="846"/>
      <c r="X782" s="846"/>
      <c r="Y782" s="740">
        <f t="shared" si="104"/>
        <v>0</v>
      </c>
      <c r="Z782" s="847"/>
      <c r="AA782" s="895"/>
      <c r="AB782" s="741">
        <f t="shared" si="105"/>
        <v>0</v>
      </c>
      <c r="AC782" s="890">
        <v>24547472</v>
      </c>
      <c r="AD782" s="847">
        <v>25757576</v>
      </c>
      <c r="AE782" s="846">
        <v>10547071</v>
      </c>
      <c r="AF782" s="846"/>
      <c r="AG782" s="847">
        <v>13508590</v>
      </c>
      <c r="AH782" s="895"/>
      <c r="AI782" s="742">
        <f t="shared" si="109"/>
        <v>35094543</v>
      </c>
      <c r="AJ782" s="743">
        <f t="shared" si="110"/>
        <v>39266166</v>
      </c>
    </row>
    <row r="783" spans="1:36">
      <c r="A783" s="1062" t="s">
        <v>149</v>
      </c>
      <c r="B783" s="901" t="s">
        <v>266</v>
      </c>
      <c r="C783" s="1068" t="s">
        <v>319</v>
      </c>
      <c r="D783" s="1067"/>
      <c r="E783" s="910">
        <v>132903</v>
      </c>
      <c r="F783" s="911">
        <v>1</v>
      </c>
      <c r="G783" s="846"/>
      <c r="H783" s="847"/>
      <c r="I783" s="846"/>
      <c r="J783" s="847"/>
      <c r="K783" s="846"/>
      <c r="L783" s="847"/>
      <c r="M783" s="846"/>
      <c r="N783" s="846"/>
      <c r="O783" s="737">
        <f t="shared" si="103"/>
        <v>0</v>
      </c>
      <c r="P783" s="847"/>
      <c r="Q783" s="895"/>
      <c r="R783" s="738">
        <f t="shared" si="106"/>
        <v>0</v>
      </c>
      <c r="S783" s="737">
        <f t="shared" si="107"/>
        <v>0</v>
      </c>
      <c r="T783" s="739">
        <f t="shared" si="108"/>
        <v>0</v>
      </c>
      <c r="U783" s="846"/>
      <c r="V783" s="847"/>
      <c r="W783" s="846"/>
      <c r="X783" s="846"/>
      <c r="Y783" s="740">
        <f t="shared" si="104"/>
        <v>0</v>
      </c>
      <c r="Z783" s="847"/>
      <c r="AA783" s="895"/>
      <c r="AB783" s="741">
        <f t="shared" si="105"/>
        <v>0</v>
      </c>
      <c r="AC783" s="846"/>
      <c r="AD783" s="847"/>
      <c r="AE783" s="846"/>
      <c r="AF783" s="846"/>
      <c r="AG783" s="847"/>
      <c r="AH783" s="895"/>
      <c r="AI783" s="742">
        <f t="shared" si="109"/>
        <v>0</v>
      </c>
      <c r="AJ783" s="743">
        <f t="shared" si="110"/>
        <v>0</v>
      </c>
    </row>
    <row r="784" spans="1:36">
      <c r="A784" s="1062" t="s">
        <v>149</v>
      </c>
      <c r="B784" s="901" t="s">
        <v>266</v>
      </c>
      <c r="C784" s="1066" t="s">
        <v>962</v>
      </c>
      <c r="D784" s="1067"/>
      <c r="E784" s="910">
        <v>132903</v>
      </c>
      <c r="F784" s="911">
        <v>1</v>
      </c>
      <c r="G784" s="846"/>
      <c r="H784" s="847"/>
      <c r="I784" s="846">
        <v>1126462</v>
      </c>
      <c r="J784" s="847">
        <v>1351754</v>
      </c>
      <c r="K784" s="846"/>
      <c r="L784" s="847"/>
      <c r="M784" s="846"/>
      <c r="N784" s="846"/>
      <c r="O784" s="737">
        <f t="shared" si="103"/>
        <v>0</v>
      </c>
      <c r="P784" s="847"/>
      <c r="Q784" s="895"/>
      <c r="R784" s="738">
        <f t="shared" si="106"/>
        <v>0</v>
      </c>
      <c r="S784" s="737">
        <f t="shared" si="107"/>
        <v>1126462</v>
      </c>
      <c r="T784" s="739">
        <f t="shared" si="108"/>
        <v>1351754</v>
      </c>
      <c r="U784" s="846"/>
      <c r="V784" s="847"/>
      <c r="W784" s="846"/>
      <c r="X784" s="846"/>
      <c r="Y784" s="740">
        <f t="shared" si="104"/>
        <v>0</v>
      </c>
      <c r="Z784" s="847"/>
      <c r="AA784" s="895"/>
      <c r="AB784" s="741">
        <f t="shared" si="105"/>
        <v>0</v>
      </c>
      <c r="AC784" s="846"/>
      <c r="AD784" s="847"/>
      <c r="AE784" s="846"/>
      <c r="AF784" s="846"/>
      <c r="AG784" s="847"/>
      <c r="AH784" s="895"/>
      <c r="AI784" s="742">
        <f t="shared" si="109"/>
        <v>1126462</v>
      </c>
      <c r="AJ784" s="743">
        <f t="shared" si="110"/>
        <v>1351754</v>
      </c>
    </row>
    <row r="785" spans="1:36">
      <c r="A785" s="1062" t="s">
        <v>149</v>
      </c>
      <c r="B785" s="901" t="s">
        <v>271</v>
      </c>
      <c r="C785" s="1068" t="s">
        <v>309</v>
      </c>
      <c r="D785" s="1067"/>
      <c r="E785" s="910">
        <v>132903</v>
      </c>
      <c r="F785" s="911">
        <v>1</v>
      </c>
      <c r="G785" s="846"/>
      <c r="H785" s="847"/>
      <c r="I785" s="846"/>
      <c r="J785" s="847"/>
      <c r="K785" s="846"/>
      <c r="L785" s="847"/>
      <c r="M785" s="846"/>
      <c r="N785" s="846"/>
      <c r="O785" s="737">
        <f t="shared" si="103"/>
        <v>0</v>
      </c>
      <c r="P785" s="847"/>
      <c r="Q785" s="895"/>
      <c r="R785" s="738">
        <f t="shared" si="106"/>
        <v>0</v>
      </c>
      <c r="S785" s="737">
        <f t="shared" si="107"/>
        <v>0</v>
      </c>
      <c r="T785" s="739">
        <f t="shared" si="108"/>
        <v>0</v>
      </c>
      <c r="U785" s="846"/>
      <c r="V785" s="847"/>
      <c r="W785" s="846"/>
      <c r="X785" s="846"/>
      <c r="Y785" s="740">
        <f t="shared" si="104"/>
        <v>0</v>
      </c>
      <c r="Z785" s="847"/>
      <c r="AA785" s="895"/>
      <c r="AB785" s="741">
        <f t="shared" si="105"/>
        <v>0</v>
      </c>
      <c r="AC785" s="846"/>
      <c r="AD785" s="847"/>
      <c r="AE785" s="846"/>
      <c r="AF785" s="846"/>
      <c r="AG785" s="847"/>
      <c r="AH785" s="895"/>
      <c r="AI785" s="742">
        <f t="shared" si="109"/>
        <v>0</v>
      </c>
      <c r="AJ785" s="743">
        <f t="shared" si="110"/>
        <v>0</v>
      </c>
    </row>
    <row r="786" spans="1:36">
      <c r="A786" s="1062" t="s">
        <v>149</v>
      </c>
      <c r="B786" s="901" t="s">
        <v>264</v>
      </c>
      <c r="C786" s="1069" t="s">
        <v>963</v>
      </c>
      <c r="D786" s="1070"/>
      <c r="E786" s="910">
        <v>134130</v>
      </c>
      <c r="F786" s="911">
        <v>1</v>
      </c>
      <c r="G786" s="890">
        <v>339022187</v>
      </c>
      <c r="H786" s="895">
        <v>326673649</v>
      </c>
      <c r="I786" s="846"/>
      <c r="J786" s="895"/>
      <c r="K786" s="846"/>
      <c r="L786" s="895"/>
      <c r="M786" s="890">
        <v>322386720.57999998</v>
      </c>
      <c r="N786" s="846">
        <v>3578573.42</v>
      </c>
      <c r="O786" s="737">
        <f t="shared" si="103"/>
        <v>325965294</v>
      </c>
      <c r="P786" s="895">
        <v>330415989</v>
      </c>
      <c r="Q786" s="895">
        <v>3586792.78</v>
      </c>
      <c r="R786" s="738">
        <f t="shared" si="106"/>
        <v>334002781.77999997</v>
      </c>
      <c r="S786" s="737">
        <f t="shared" si="107"/>
        <v>661408907.57999992</v>
      </c>
      <c r="T786" s="739">
        <f t="shared" si="108"/>
        <v>657089638</v>
      </c>
      <c r="U786" s="846"/>
      <c r="V786" s="895"/>
      <c r="W786" s="846"/>
      <c r="X786" s="846"/>
      <c r="Y786" s="740">
        <f t="shared" si="104"/>
        <v>0</v>
      </c>
      <c r="Z786" s="895"/>
      <c r="AA786" s="895"/>
      <c r="AB786" s="741">
        <f t="shared" si="105"/>
        <v>0</v>
      </c>
      <c r="AC786" s="846"/>
      <c r="AD786" s="895"/>
      <c r="AE786" s="846"/>
      <c r="AF786" s="846"/>
      <c r="AG786" s="895"/>
      <c r="AH786" s="895"/>
      <c r="AI786" s="742">
        <f t="shared" si="109"/>
        <v>661408907.57999992</v>
      </c>
      <c r="AJ786" s="743">
        <f t="shared" si="110"/>
        <v>657089638</v>
      </c>
    </row>
    <row r="787" spans="1:36">
      <c r="A787" s="1062" t="s">
        <v>149</v>
      </c>
      <c r="B787" s="901" t="s">
        <v>264</v>
      </c>
      <c r="C787" s="1066" t="s">
        <v>955</v>
      </c>
      <c r="D787" s="1067"/>
      <c r="E787" s="910">
        <v>134130</v>
      </c>
      <c r="F787" s="911">
        <v>1</v>
      </c>
      <c r="G787" s="846"/>
      <c r="H787" s="847"/>
      <c r="I787" s="846">
        <v>1737381</v>
      </c>
      <c r="J787" s="847">
        <v>1737381</v>
      </c>
      <c r="K787" s="846"/>
      <c r="L787" s="847"/>
      <c r="M787" s="846"/>
      <c r="N787" s="846"/>
      <c r="O787" s="737">
        <f t="shared" si="103"/>
        <v>0</v>
      </c>
      <c r="P787" s="847"/>
      <c r="Q787" s="895"/>
      <c r="R787" s="738">
        <f t="shared" si="106"/>
        <v>0</v>
      </c>
      <c r="S787" s="737">
        <f t="shared" si="107"/>
        <v>1737381</v>
      </c>
      <c r="T787" s="739">
        <f t="shared" si="108"/>
        <v>1737381</v>
      </c>
      <c r="U787" s="846"/>
      <c r="V787" s="847"/>
      <c r="W787" s="846"/>
      <c r="X787" s="846"/>
      <c r="Y787" s="740">
        <f t="shared" si="104"/>
        <v>0</v>
      </c>
      <c r="Z787" s="847"/>
      <c r="AA787" s="895"/>
      <c r="AB787" s="741">
        <f t="shared" si="105"/>
        <v>0</v>
      </c>
      <c r="AC787" s="846"/>
      <c r="AD787" s="847"/>
      <c r="AE787" s="846"/>
      <c r="AF787" s="846"/>
      <c r="AG787" s="847"/>
      <c r="AH787" s="895"/>
      <c r="AI787" s="742">
        <f t="shared" si="109"/>
        <v>1737381</v>
      </c>
      <c r="AJ787" s="743">
        <f t="shared" si="110"/>
        <v>1737381</v>
      </c>
    </row>
    <row r="788" spans="1:36">
      <c r="A788" s="1062" t="s">
        <v>149</v>
      </c>
      <c r="B788" s="901" t="s">
        <v>264</v>
      </c>
      <c r="C788" s="1066" t="s">
        <v>956</v>
      </c>
      <c r="D788" s="1067"/>
      <c r="E788" s="910">
        <v>134130</v>
      </c>
      <c r="F788" s="911">
        <v>1</v>
      </c>
      <c r="G788" s="846"/>
      <c r="H788" s="847"/>
      <c r="I788" s="890">
        <v>4607591</v>
      </c>
      <c r="J788" s="847">
        <v>2851393</v>
      </c>
      <c r="K788" s="846"/>
      <c r="L788" s="847"/>
      <c r="M788" s="846"/>
      <c r="N788" s="846"/>
      <c r="O788" s="737">
        <f t="shared" si="103"/>
        <v>0</v>
      </c>
      <c r="P788" s="847"/>
      <c r="Q788" s="895"/>
      <c r="R788" s="738">
        <f t="shared" si="106"/>
        <v>0</v>
      </c>
      <c r="S788" s="737">
        <f t="shared" si="107"/>
        <v>4607591</v>
      </c>
      <c r="T788" s="739">
        <f t="shared" si="108"/>
        <v>2851393</v>
      </c>
      <c r="U788" s="846"/>
      <c r="V788" s="847"/>
      <c r="W788" s="846"/>
      <c r="X788" s="846"/>
      <c r="Y788" s="740">
        <f t="shared" si="104"/>
        <v>0</v>
      </c>
      <c r="Z788" s="847"/>
      <c r="AA788" s="895"/>
      <c r="AB788" s="741">
        <f t="shared" si="105"/>
        <v>0</v>
      </c>
      <c r="AC788" s="890">
        <v>1239867</v>
      </c>
      <c r="AD788" s="847">
        <v>1239867</v>
      </c>
      <c r="AE788" s="846"/>
      <c r="AF788" s="846"/>
      <c r="AG788" s="847"/>
      <c r="AH788" s="895"/>
      <c r="AI788" s="742">
        <f t="shared" si="109"/>
        <v>5847458</v>
      </c>
      <c r="AJ788" s="743">
        <f t="shared" si="110"/>
        <v>4091260</v>
      </c>
    </row>
    <row r="789" spans="1:36">
      <c r="A789" s="1062" t="s">
        <v>149</v>
      </c>
      <c r="B789" s="901" t="s">
        <v>280</v>
      </c>
      <c r="C789" s="1066" t="s">
        <v>717</v>
      </c>
      <c r="D789" s="1067"/>
      <c r="E789" s="910">
        <v>134130</v>
      </c>
      <c r="F789" s="911">
        <v>1</v>
      </c>
      <c r="G789" s="846"/>
      <c r="H789" s="847"/>
      <c r="I789" s="846"/>
      <c r="J789" s="847"/>
      <c r="K789" s="846"/>
      <c r="L789" s="847"/>
      <c r="M789" s="846"/>
      <c r="N789" s="846"/>
      <c r="O789" s="737">
        <f t="shared" si="103"/>
        <v>0</v>
      </c>
      <c r="P789" s="847"/>
      <c r="Q789" s="895"/>
      <c r="R789" s="738">
        <f t="shared" si="106"/>
        <v>0</v>
      </c>
      <c r="S789" s="737">
        <f t="shared" si="107"/>
        <v>0</v>
      </c>
      <c r="T789" s="739">
        <f t="shared" si="108"/>
        <v>0</v>
      </c>
      <c r="U789" s="846"/>
      <c r="V789" s="847"/>
      <c r="W789" s="846"/>
      <c r="X789" s="846"/>
      <c r="Y789" s="740">
        <f t="shared" si="104"/>
        <v>0</v>
      </c>
      <c r="Z789" s="847"/>
      <c r="AA789" s="895"/>
      <c r="AB789" s="741">
        <f t="shared" si="105"/>
        <v>0</v>
      </c>
      <c r="AC789" s="890">
        <v>107979655</v>
      </c>
      <c r="AD789" s="847">
        <v>109448568</v>
      </c>
      <c r="AE789" s="846">
        <v>38463434</v>
      </c>
      <c r="AF789" s="846"/>
      <c r="AG789" s="847">
        <v>38463434</v>
      </c>
      <c r="AH789" s="895"/>
      <c r="AI789" s="742">
        <f t="shared" si="109"/>
        <v>146443089</v>
      </c>
      <c r="AJ789" s="743">
        <f t="shared" si="110"/>
        <v>147912002</v>
      </c>
    </row>
    <row r="790" spans="1:36">
      <c r="A790" s="1062" t="s">
        <v>149</v>
      </c>
      <c r="B790" s="901" t="s">
        <v>280</v>
      </c>
      <c r="C790" s="1066" t="s">
        <v>958</v>
      </c>
      <c r="D790" s="1067"/>
      <c r="E790" s="910">
        <v>134130</v>
      </c>
      <c r="F790" s="911">
        <v>1</v>
      </c>
      <c r="G790" s="846"/>
      <c r="H790" s="847"/>
      <c r="I790" s="846"/>
      <c r="J790" s="847"/>
      <c r="K790" s="846"/>
      <c r="L790" s="847"/>
      <c r="M790" s="846"/>
      <c r="N790" s="846"/>
      <c r="O790" s="737">
        <f t="shared" si="103"/>
        <v>0</v>
      </c>
      <c r="P790" s="847"/>
      <c r="Q790" s="895"/>
      <c r="R790" s="738">
        <f t="shared" si="106"/>
        <v>0</v>
      </c>
      <c r="S790" s="737">
        <f t="shared" si="107"/>
        <v>0</v>
      </c>
      <c r="T790" s="739">
        <f t="shared" si="108"/>
        <v>0</v>
      </c>
      <c r="U790" s="846"/>
      <c r="V790" s="847"/>
      <c r="W790" s="846"/>
      <c r="X790" s="846"/>
      <c r="Y790" s="740">
        <f t="shared" si="104"/>
        <v>0</v>
      </c>
      <c r="Z790" s="847"/>
      <c r="AA790" s="895"/>
      <c r="AB790" s="741">
        <f t="shared" si="105"/>
        <v>0</v>
      </c>
      <c r="AC790" s="846">
        <v>912177</v>
      </c>
      <c r="AD790" s="847">
        <v>1094613</v>
      </c>
      <c r="AE790" s="846"/>
      <c r="AF790" s="846"/>
      <c r="AG790" s="847"/>
      <c r="AH790" s="895"/>
      <c r="AI790" s="742">
        <f t="shared" si="109"/>
        <v>912177</v>
      </c>
      <c r="AJ790" s="743">
        <f t="shared" si="110"/>
        <v>1094613</v>
      </c>
    </row>
    <row r="791" spans="1:36">
      <c r="A791" s="1062" t="s">
        <v>149</v>
      </c>
      <c r="B791" s="901" t="s">
        <v>280</v>
      </c>
      <c r="C791" s="1066" t="s">
        <v>964</v>
      </c>
      <c r="D791" s="1067"/>
      <c r="E791" s="910">
        <v>134130</v>
      </c>
      <c r="F791" s="911">
        <v>1</v>
      </c>
      <c r="G791" s="846"/>
      <c r="H791" s="847"/>
      <c r="I791" s="846"/>
      <c r="J791" s="847"/>
      <c r="K791" s="846"/>
      <c r="L791" s="847"/>
      <c r="M791" s="846"/>
      <c r="N791" s="846"/>
      <c r="O791" s="737">
        <f t="shared" si="103"/>
        <v>0</v>
      </c>
      <c r="P791" s="847"/>
      <c r="Q791" s="895"/>
      <c r="R791" s="738">
        <f t="shared" si="106"/>
        <v>0</v>
      </c>
      <c r="S791" s="737">
        <f t="shared" si="107"/>
        <v>0</v>
      </c>
      <c r="T791" s="739">
        <f t="shared" si="108"/>
        <v>0</v>
      </c>
      <c r="U791" s="846"/>
      <c r="V791" s="847"/>
      <c r="W791" s="846"/>
      <c r="X791" s="846"/>
      <c r="Y791" s="740">
        <f t="shared" si="104"/>
        <v>0</v>
      </c>
      <c r="Z791" s="847"/>
      <c r="AA791" s="895"/>
      <c r="AB791" s="741">
        <f t="shared" si="105"/>
        <v>0</v>
      </c>
      <c r="AC791" s="846">
        <v>950586</v>
      </c>
      <c r="AD791" s="847">
        <v>1140703</v>
      </c>
      <c r="AE791" s="846"/>
      <c r="AF791" s="846"/>
      <c r="AG791" s="847"/>
      <c r="AH791" s="895"/>
      <c r="AI791" s="742">
        <f t="shared" si="109"/>
        <v>950586</v>
      </c>
      <c r="AJ791" s="743">
        <f t="shared" si="110"/>
        <v>1140703</v>
      </c>
    </row>
    <row r="792" spans="1:36">
      <c r="A792" s="1062" t="s">
        <v>149</v>
      </c>
      <c r="B792" s="901" t="s">
        <v>266</v>
      </c>
      <c r="C792" s="1068" t="s">
        <v>319</v>
      </c>
      <c r="D792" s="1067"/>
      <c r="E792" s="910">
        <v>134130</v>
      </c>
      <c r="F792" s="911">
        <v>1</v>
      </c>
      <c r="G792" s="846"/>
      <c r="H792" s="847"/>
      <c r="I792" s="846"/>
      <c r="J792" s="847"/>
      <c r="K792" s="846"/>
      <c r="L792" s="847"/>
      <c r="M792" s="846"/>
      <c r="N792" s="846"/>
      <c r="O792" s="737">
        <f t="shared" si="103"/>
        <v>0</v>
      </c>
      <c r="P792" s="847"/>
      <c r="Q792" s="895"/>
      <c r="R792" s="738">
        <f t="shared" si="106"/>
        <v>0</v>
      </c>
      <c r="S792" s="737">
        <f t="shared" si="107"/>
        <v>0</v>
      </c>
      <c r="T792" s="739">
        <f t="shared" si="108"/>
        <v>0</v>
      </c>
      <c r="U792" s="846"/>
      <c r="V792" s="847"/>
      <c r="W792" s="846"/>
      <c r="X792" s="846"/>
      <c r="Y792" s="740">
        <f t="shared" si="104"/>
        <v>0</v>
      </c>
      <c r="Z792" s="847"/>
      <c r="AA792" s="895"/>
      <c r="AB792" s="741">
        <f t="shared" si="105"/>
        <v>0</v>
      </c>
      <c r="AC792" s="846"/>
      <c r="AD792" s="847"/>
      <c r="AE792" s="846"/>
      <c r="AF792" s="846"/>
      <c r="AG792" s="847"/>
      <c r="AH792" s="895"/>
      <c r="AI792" s="742">
        <f t="shared" si="109"/>
        <v>0</v>
      </c>
      <c r="AJ792" s="743">
        <f t="shared" si="110"/>
        <v>0</v>
      </c>
    </row>
    <row r="793" spans="1:36">
      <c r="A793" s="1062" t="s">
        <v>149</v>
      </c>
      <c r="B793" s="901" t="s">
        <v>266</v>
      </c>
      <c r="C793" s="1066" t="s">
        <v>960</v>
      </c>
      <c r="D793" s="1067"/>
      <c r="E793" s="910">
        <v>134130</v>
      </c>
      <c r="F793" s="911">
        <v>1</v>
      </c>
      <c r="G793" s="846"/>
      <c r="H793" s="847"/>
      <c r="I793" s="846">
        <v>7879690</v>
      </c>
      <c r="J793" s="847">
        <v>8417898</v>
      </c>
      <c r="K793" s="846"/>
      <c r="L793" s="847"/>
      <c r="M793" s="846"/>
      <c r="N793" s="846"/>
      <c r="O793" s="737">
        <f t="shared" si="103"/>
        <v>0</v>
      </c>
      <c r="P793" s="847"/>
      <c r="Q793" s="895"/>
      <c r="R793" s="738">
        <f t="shared" si="106"/>
        <v>0</v>
      </c>
      <c r="S793" s="737">
        <f t="shared" si="107"/>
        <v>7879690</v>
      </c>
      <c r="T793" s="739">
        <f t="shared" si="108"/>
        <v>8417898</v>
      </c>
      <c r="U793" s="846"/>
      <c r="V793" s="847"/>
      <c r="W793" s="846"/>
      <c r="X793" s="846"/>
      <c r="Y793" s="740">
        <f t="shared" si="104"/>
        <v>0</v>
      </c>
      <c r="Z793" s="847"/>
      <c r="AA793" s="895"/>
      <c r="AB793" s="741">
        <f t="shared" si="105"/>
        <v>0</v>
      </c>
      <c r="AC793" s="846"/>
      <c r="AD793" s="847"/>
      <c r="AE793" s="846"/>
      <c r="AF793" s="846"/>
      <c r="AG793" s="847"/>
      <c r="AH793" s="895"/>
      <c r="AI793" s="742">
        <f t="shared" si="109"/>
        <v>7879690</v>
      </c>
      <c r="AJ793" s="743">
        <f t="shared" si="110"/>
        <v>8417898</v>
      </c>
    </row>
    <row r="794" spans="1:36">
      <c r="A794" s="1062" t="s">
        <v>149</v>
      </c>
      <c r="B794" s="901" t="s">
        <v>268</v>
      </c>
      <c r="C794" s="1068" t="s">
        <v>257</v>
      </c>
      <c r="D794" s="1067"/>
      <c r="E794" s="910">
        <v>134130</v>
      </c>
      <c r="F794" s="911">
        <v>1</v>
      </c>
      <c r="G794" s="846"/>
      <c r="H794" s="847"/>
      <c r="I794" s="890">
        <v>143135893</v>
      </c>
      <c r="J794" s="847">
        <v>151250141</v>
      </c>
      <c r="K794" s="846"/>
      <c r="L794" s="847"/>
      <c r="M794" s="846"/>
      <c r="N794" s="846"/>
      <c r="O794" s="737">
        <f t="shared" si="103"/>
        <v>0</v>
      </c>
      <c r="P794" s="847"/>
      <c r="Q794" s="895"/>
      <c r="R794" s="738">
        <f t="shared" si="106"/>
        <v>0</v>
      </c>
      <c r="S794" s="737">
        <f t="shared" si="107"/>
        <v>143135893</v>
      </c>
      <c r="T794" s="739">
        <f t="shared" si="108"/>
        <v>151250141</v>
      </c>
      <c r="U794" s="846"/>
      <c r="V794" s="847"/>
      <c r="W794" s="846"/>
      <c r="X794" s="846"/>
      <c r="Y794" s="740">
        <f t="shared" si="104"/>
        <v>0</v>
      </c>
      <c r="Z794" s="847"/>
      <c r="AA794" s="895"/>
      <c r="AB794" s="741">
        <f t="shared" si="105"/>
        <v>0</v>
      </c>
      <c r="AC794" s="846"/>
      <c r="AD794" s="847"/>
      <c r="AE794" s="846"/>
      <c r="AF794" s="846"/>
      <c r="AG794" s="847"/>
      <c r="AH794" s="895"/>
      <c r="AI794" s="742">
        <f t="shared" si="109"/>
        <v>143135893</v>
      </c>
      <c r="AJ794" s="743">
        <f t="shared" si="110"/>
        <v>151250141</v>
      </c>
    </row>
    <row r="795" spans="1:36">
      <c r="A795" s="1062" t="s">
        <v>149</v>
      </c>
      <c r="B795" s="901" t="s">
        <v>271</v>
      </c>
      <c r="C795" s="1068" t="s">
        <v>309</v>
      </c>
      <c r="D795" s="1067"/>
      <c r="E795" s="910">
        <v>134130</v>
      </c>
      <c r="F795" s="911">
        <v>1</v>
      </c>
      <c r="G795" s="846"/>
      <c r="H795" s="847"/>
      <c r="I795" s="846">
        <v>396525</v>
      </c>
      <c r="J795" s="847">
        <v>450000</v>
      </c>
      <c r="K795" s="846"/>
      <c r="L795" s="847"/>
      <c r="M795" s="846"/>
      <c r="N795" s="846"/>
      <c r="O795" s="737">
        <f t="shared" si="103"/>
        <v>0</v>
      </c>
      <c r="P795" s="847"/>
      <c r="Q795" s="895"/>
      <c r="R795" s="738">
        <f t="shared" si="106"/>
        <v>0</v>
      </c>
      <c r="S795" s="737">
        <f t="shared" si="107"/>
        <v>396525</v>
      </c>
      <c r="T795" s="739">
        <f t="shared" si="108"/>
        <v>450000</v>
      </c>
      <c r="U795" s="846"/>
      <c r="V795" s="847"/>
      <c r="W795" s="846"/>
      <c r="X795" s="846"/>
      <c r="Y795" s="740">
        <f t="shared" si="104"/>
        <v>0</v>
      </c>
      <c r="Z795" s="847"/>
      <c r="AA795" s="895"/>
      <c r="AB795" s="741">
        <f t="shared" si="105"/>
        <v>0</v>
      </c>
      <c r="AC795" s="846">
        <v>396526</v>
      </c>
      <c r="AD795" s="847">
        <v>450000</v>
      </c>
      <c r="AE795" s="846"/>
      <c r="AF795" s="846"/>
      <c r="AG795" s="847"/>
      <c r="AH795" s="895"/>
      <c r="AI795" s="742">
        <f t="shared" si="109"/>
        <v>793051</v>
      </c>
      <c r="AJ795" s="743">
        <f t="shared" si="110"/>
        <v>900000</v>
      </c>
    </row>
    <row r="796" spans="1:36">
      <c r="A796" s="1062" t="s">
        <v>149</v>
      </c>
      <c r="B796" s="901" t="s">
        <v>264</v>
      </c>
      <c r="C796" s="1069" t="s">
        <v>965</v>
      </c>
      <c r="D796" s="1070"/>
      <c r="E796" s="910">
        <v>137351</v>
      </c>
      <c r="F796" s="911">
        <v>1</v>
      </c>
      <c r="G796" s="890">
        <v>248920504</v>
      </c>
      <c r="H796" s="895">
        <v>243694415</v>
      </c>
      <c r="I796" s="846"/>
      <c r="J796" s="895"/>
      <c r="K796" s="846"/>
      <c r="L796" s="895"/>
      <c r="M796" s="890">
        <v>212085405</v>
      </c>
      <c r="N796" s="846">
        <v>3178067.62</v>
      </c>
      <c r="O796" s="737">
        <f t="shared" si="103"/>
        <v>215263472.62</v>
      </c>
      <c r="P796" s="895">
        <v>219393488</v>
      </c>
      <c r="Q796" s="895">
        <v>2758404.12</v>
      </c>
      <c r="R796" s="738">
        <f t="shared" si="106"/>
        <v>222151892.12</v>
      </c>
      <c r="S796" s="737">
        <f t="shared" si="107"/>
        <v>461005909</v>
      </c>
      <c r="T796" s="739">
        <f t="shared" si="108"/>
        <v>463087903</v>
      </c>
      <c r="U796" s="846"/>
      <c r="V796" s="895"/>
      <c r="W796" s="846"/>
      <c r="X796" s="846"/>
      <c r="Y796" s="740">
        <f t="shared" si="104"/>
        <v>0</v>
      </c>
      <c r="Z796" s="895"/>
      <c r="AA796" s="895"/>
      <c r="AB796" s="741">
        <f t="shared" si="105"/>
        <v>0</v>
      </c>
      <c r="AC796" s="846"/>
      <c r="AD796" s="895"/>
      <c r="AE796" s="846"/>
      <c r="AF796" s="846"/>
      <c r="AG796" s="895"/>
      <c r="AH796" s="895"/>
      <c r="AI796" s="742">
        <f t="shared" si="109"/>
        <v>461005909</v>
      </c>
      <c r="AJ796" s="743">
        <f t="shared" si="110"/>
        <v>463087903</v>
      </c>
    </row>
    <row r="797" spans="1:36">
      <c r="A797" s="1062" t="s">
        <v>149</v>
      </c>
      <c r="B797" s="901" t="s">
        <v>264</v>
      </c>
      <c r="C797" s="1066" t="s">
        <v>955</v>
      </c>
      <c r="D797" s="1067"/>
      <c r="E797" s="910">
        <v>137351</v>
      </c>
      <c r="F797" s="911">
        <v>1</v>
      </c>
      <c r="G797" s="846"/>
      <c r="H797" s="847"/>
      <c r="I797" s="846">
        <v>801368</v>
      </c>
      <c r="J797" s="847">
        <v>801368</v>
      </c>
      <c r="K797" s="846"/>
      <c r="L797" s="847"/>
      <c r="M797" s="846"/>
      <c r="N797" s="846"/>
      <c r="O797" s="737">
        <f t="shared" si="103"/>
        <v>0</v>
      </c>
      <c r="P797" s="847"/>
      <c r="Q797" s="895"/>
      <c r="R797" s="738">
        <f t="shared" si="106"/>
        <v>0</v>
      </c>
      <c r="S797" s="737">
        <f t="shared" si="107"/>
        <v>801368</v>
      </c>
      <c r="T797" s="739">
        <f t="shared" si="108"/>
        <v>801368</v>
      </c>
      <c r="U797" s="846"/>
      <c r="V797" s="847"/>
      <c r="W797" s="846"/>
      <c r="X797" s="846"/>
      <c r="Y797" s="740">
        <f t="shared" si="104"/>
        <v>0</v>
      </c>
      <c r="Z797" s="847"/>
      <c r="AA797" s="895"/>
      <c r="AB797" s="741">
        <f t="shared" si="105"/>
        <v>0</v>
      </c>
      <c r="AC797" s="846"/>
      <c r="AD797" s="847"/>
      <c r="AE797" s="846"/>
      <c r="AF797" s="846"/>
      <c r="AG797" s="847"/>
      <c r="AH797" s="895"/>
      <c r="AI797" s="742">
        <f t="shared" si="109"/>
        <v>801368</v>
      </c>
      <c r="AJ797" s="743">
        <f t="shared" si="110"/>
        <v>801368</v>
      </c>
    </row>
    <row r="798" spans="1:36">
      <c r="A798" s="1062" t="s">
        <v>149</v>
      </c>
      <c r="B798" s="901" t="s">
        <v>264</v>
      </c>
      <c r="C798" s="1066" t="s">
        <v>956</v>
      </c>
      <c r="D798" s="1067"/>
      <c r="E798" s="910">
        <v>137351</v>
      </c>
      <c r="F798" s="911">
        <v>1</v>
      </c>
      <c r="G798" s="846"/>
      <c r="H798" s="847"/>
      <c r="I798" s="890">
        <v>2654408</v>
      </c>
      <c r="J798" s="847">
        <v>2654408</v>
      </c>
      <c r="K798" s="846"/>
      <c r="L798" s="847"/>
      <c r="M798" s="846"/>
      <c r="N798" s="846"/>
      <c r="O798" s="737">
        <f t="shared" si="103"/>
        <v>0</v>
      </c>
      <c r="P798" s="847"/>
      <c r="Q798" s="895"/>
      <c r="R798" s="738">
        <f t="shared" si="106"/>
        <v>0</v>
      </c>
      <c r="S798" s="737">
        <f t="shared" si="107"/>
        <v>2654408</v>
      </c>
      <c r="T798" s="739">
        <f t="shared" si="108"/>
        <v>2654408</v>
      </c>
      <c r="U798" s="846"/>
      <c r="V798" s="847"/>
      <c r="W798" s="846"/>
      <c r="X798" s="846"/>
      <c r="Y798" s="740">
        <f t="shared" si="104"/>
        <v>0</v>
      </c>
      <c r="Z798" s="847"/>
      <c r="AA798" s="895"/>
      <c r="AB798" s="741">
        <f t="shared" si="105"/>
        <v>0</v>
      </c>
      <c r="AC798" s="890">
        <v>260001</v>
      </c>
      <c r="AD798" s="847">
        <v>260001</v>
      </c>
      <c r="AE798" s="846"/>
      <c r="AF798" s="846"/>
      <c r="AG798" s="847"/>
      <c r="AH798" s="895"/>
      <c r="AI798" s="742">
        <f t="shared" si="109"/>
        <v>2914409</v>
      </c>
      <c r="AJ798" s="743">
        <f t="shared" si="110"/>
        <v>2914409</v>
      </c>
    </row>
    <row r="799" spans="1:36">
      <c r="A799" s="1062" t="s">
        <v>149</v>
      </c>
      <c r="B799" s="901" t="s">
        <v>280</v>
      </c>
      <c r="C799" s="1066" t="s">
        <v>717</v>
      </c>
      <c r="D799" s="1067"/>
      <c r="E799" s="910">
        <v>137351</v>
      </c>
      <c r="F799" s="911">
        <v>1</v>
      </c>
      <c r="G799" s="846"/>
      <c r="H799" s="847"/>
      <c r="I799" s="846"/>
      <c r="J799" s="847"/>
      <c r="K799" s="846"/>
      <c r="L799" s="847"/>
      <c r="M799" s="846"/>
      <c r="N799" s="846"/>
      <c r="O799" s="737">
        <f t="shared" si="103"/>
        <v>0</v>
      </c>
      <c r="P799" s="847"/>
      <c r="Q799" s="895"/>
      <c r="R799" s="738">
        <f t="shared" si="106"/>
        <v>0</v>
      </c>
      <c r="S799" s="737">
        <f t="shared" si="107"/>
        <v>0</v>
      </c>
      <c r="T799" s="739">
        <f t="shared" si="108"/>
        <v>0</v>
      </c>
      <c r="U799" s="846"/>
      <c r="V799" s="847"/>
      <c r="W799" s="846"/>
      <c r="X799" s="846"/>
      <c r="Y799" s="740">
        <f t="shared" si="104"/>
        <v>0</v>
      </c>
      <c r="Z799" s="847"/>
      <c r="AA799" s="895"/>
      <c r="AB799" s="741">
        <f t="shared" si="105"/>
        <v>0</v>
      </c>
      <c r="AC799" s="890">
        <v>72678697</v>
      </c>
      <c r="AD799" s="847">
        <v>74396898</v>
      </c>
      <c r="AE799" s="890">
        <v>55024463</v>
      </c>
      <c r="AF799" s="846"/>
      <c r="AG799" s="847">
        <v>56731164</v>
      </c>
      <c r="AH799" s="895"/>
      <c r="AI799" s="742">
        <f t="shared" si="109"/>
        <v>127703160</v>
      </c>
      <c r="AJ799" s="743">
        <f t="shared" si="110"/>
        <v>131128062</v>
      </c>
    </row>
    <row r="800" spans="1:36">
      <c r="A800" s="1062" t="s">
        <v>149</v>
      </c>
      <c r="B800" s="901" t="s">
        <v>271</v>
      </c>
      <c r="C800" s="1068" t="s">
        <v>309</v>
      </c>
      <c r="D800" s="1067"/>
      <c r="E800" s="910">
        <v>137351</v>
      </c>
      <c r="F800" s="911">
        <v>1</v>
      </c>
      <c r="G800" s="846"/>
      <c r="H800" s="847"/>
      <c r="I800" s="846">
        <v>396525</v>
      </c>
      <c r="J800" s="847">
        <v>405000</v>
      </c>
      <c r="K800" s="846"/>
      <c r="L800" s="847"/>
      <c r="M800" s="846"/>
      <c r="N800" s="846"/>
      <c r="O800" s="737">
        <f t="shared" si="103"/>
        <v>0</v>
      </c>
      <c r="P800" s="847"/>
      <c r="Q800" s="895"/>
      <c r="R800" s="738">
        <f t="shared" si="106"/>
        <v>0</v>
      </c>
      <c r="S800" s="737">
        <f t="shared" si="107"/>
        <v>396525</v>
      </c>
      <c r="T800" s="739">
        <f t="shared" si="108"/>
        <v>405000</v>
      </c>
      <c r="U800" s="846"/>
      <c r="V800" s="847"/>
      <c r="W800" s="846"/>
      <c r="X800" s="846"/>
      <c r="Y800" s="740">
        <f t="shared" si="104"/>
        <v>0</v>
      </c>
      <c r="Z800" s="847"/>
      <c r="AA800" s="895"/>
      <c r="AB800" s="741">
        <f t="shared" si="105"/>
        <v>0</v>
      </c>
      <c r="AC800" s="846"/>
      <c r="AD800" s="847"/>
      <c r="AE800" s="846"/>
      <c r="AF800" s="846"/>
      <c r="AG800" s="847"/>
      <c r="AH800" s="895"/>
      <c r="AI800" s="742">
        <f t="shared" si="109"/>
        <v>396525</v>
      </c>
      <c r="AJ800" s="743">
        <f t="shared" si="110"/>
        <v>405000</v>
      </c>
    </row>
    <row r="801" spans="1:36">
      <c r="A801" s="1062" t="s">
        <v>149</v>
      </c>
      <c r="B801" s="901" t="s">
        <v>271</v>
      </c>
      <c r="C801" s="1066" t="s">
        <v>966</v>
      </c>
      <c r="D801" s="1067"/>
      <c r="E801" s="910">
        <v>137351</v>
      </c>
      <c r="F801" s="911">
        <v>1</v>
      </c>
      <c r="G801" s="846"/>
      <c r="H801" s="847"/>
      <c r="I801" s="846">
        <v>0</v>
      </c>
      <c r="J801" s="847">
        <v>0</v>
      </c>
      <c r="K801" s="846"/>
      <c r="L801" s="847"/>
      <c r="M801" s="846"/>
      <c r="N801" s="846"/>
      <c r="O801" s="737">
        <f t="shared" si="103"/>
        <v>0</v>
      </c>
      <c r="P801" s="847"/>
      <c r="Q801" s="895"/>
      <c r="R801" s="738">
        <f t="shared" si="106"/>
        <v>0</v>
      </c>
      <c r="S801" s="737">
        <f t="shared" si="107"/>
        <v>0</v>
      </c>
      <c r="T801" s="739">
        <f t="shared" si="108"/>
        <v>0</v>
      </c>
      <c r="U801" s="846"/>
      <c r="V801" s="847"/>
      <c r="W801" s="846"/>
      <c r="X801" s="846"/>
      <c r="Y801" s="740">
        <f t="shared" si="104"/>
        <v>0</v>
      </c>
      <c r="Z801" s="847"/>
      <c r="AA801" s="895"/>
      <c r="AB801" s="741">
        <f t="shared" si="105"/>
        <v>0</v>
      </c>
      <c r="AC801" s="846"/>
      <c r="AD801" s="847"/>
      <c r="AE801" s="846"/>
      <c r="AF801" s="846"/>
      <c r="AG801" s="847"/>
      <c r="AH801" s="895"/>
      <c r="AI801" s="742">
        <f t="shared" si="109"/>
        <v>0</v>
      </c>
      <c r="AJ801" s="743">
        <f t="shared" si="110"/>
        <v>0</v>
      </c>
    </row>
    <row r="802" spans="1:36">
      <c r="A802" s="1062" t="s">
        <v>149</v>
      </c>
      <c r="B802" s="901" t="s">
        <v>272</v>
      </c>
      <c r="C802" s="1068" t="s">
        <v>636</v>
      </c>
      <c r="D802" s="1067"/>
      <c r="E802" s="910">
        <v>137351</v>
      </c>
      <c r="F802" s="911">
        <v>1</v>
      </c>
      <c r="G802" s="846"/>
      <c r="H802" s="847"/>
      <c r="I802" s="846"/>
      <c r="J802" s="847"/>
      <c r="K802" s="846"/>
      <c r="L802" s="847"/>
      <c r="M802" s="846"/>
      <c r="N802" s="846"/>
      <c r="O802" s="737">
        <f t="shared" si="103"/>
        <v>0</v>
      </c>
      <c r="P802" s="847"/>
      <c r="Q802" s="895"/>
      <c r="R802" s="738">
        <f t="shared" si="106"/>
        <v>0</v>
      </c>
      <c r="S802" s="737">
        <f t="shared" si="107"/>
        <v>0</v>
      </c>
      <c r="T802" s="739">
        <f t="shared" si="108"/>
        <v>0</v>
      </c>
      <c r="U802" s="846"/>
      <c r="V802" s="847"/>
      <c r="W802" s="846"/>
      <c r="X802" s="846"/>
      <c r="Y802" s="740">
        <f t="shared" si="104"/>
        <v>0</v>
      </c>
      <c r="Z802" s="847"/>
      <c r="AA802" s="895"/>
      <c r="AB802" s="741">
        <f t="shared" si="105"/>
        <v>0</v>
      </c>
      <c r="AC802" s="846"/>
      <c r="AD802" s="847"/>
      <c r="AE802" s="846"/>
      <c r="AF802" s="846"/>
      <c r="AG802" s="847"/>
      <c r="AH802" s="895"/>
      <c r="AI802" s="742">
        <f t="shared" si="109"/>
        <v>0</v>
      </c>
      <c r="AJ802" s="743">
        <f t="shared" si="110"/>
        <v>0</v>
      </c>
    </row>
    <row r="803" spans="1:36">
      <c r="A803" s="1062" t="s">
        <v>149</v>
      </c>
      <c r="B803" s="901" t="s">
        <v>272</v>
      </c>
      <c r="C803" s="1066" t="s">
        <v>967</v>
      </c>
      <c r="D803" s="1067"/>
      <c r="E803" s="910">
        <v>137351</v>
      </c>
      <c r="F803" s="911">
        <v>1</v>
      </c>
      <c r="G803" s="846"/>
      <c r="H803" s="847"/>
      <c r="I803" s="846"/>
      <c r="J803" s="847"/>
      <c r="K803" s="846"/>
      <c r="L803" s="847"/>
      <c r="M803" s="846"/>
      <c r="N803" s="846"/>
      <c r="O803" s="737">
        <f t="shared" si="103"/>
        <v>0</v>
      </c>
      <c r="P803" s="847"/>
      <c r="Q803" s="895"/>
      <c r="R803" s="738">
        <f t="shared" si="106"/>
        <v>0</v>
      </c>
      <c r="S803" s="737">
        <f t="shared" si="107"/>
        <v>0</v>
      </c>
      <c r="T803" s="739">
        <f t="shared" si="108"/>
        <v>0</v>
      </c>
      <c r="U803" s="846"/>
      <c r="V803" s="847"/>
      <c r="W803" s="846"/>
      <c r="X803" s="846"/>
      <c r="Y803" s="740">
        <f t="shared" si="104"/>
        <v>0</v>
      </c>
      <c r="Z803" s="847"/>
      <c r="AA803" s="895"/>
      <c r="AB803" s="741">
        <f t="shared" si="105"/>
        <v>0</v>
      </c>
      <c r="AC803" s="846">
        <v>1315410</v>
      </c>
      <c r="AD803" s="847">
        <v>1578492</v>
      </c>
      <c r="AE803" s="846"/>
      <c r="AF803" s="846"/>
      <c r="AG803" s="847"/>
      <c r="AH803" s="895"/>
      <c r="AI803" s="742">
        <f t="shared" si="109"/>
        <v>1315410</v>
      </c>
      <c r="AJ803" s="743">
        <f t="shared" si="110"/>
        <v>1578492</v>
      </c>
    </row>
    <row r="804" spans="1:36">
      <c r="A804" s="1062" t="s">
        <v>149</v>
      </c>
      <c r="B804" s="901" t="s">
        <v>264</v>
      </c>
      <c r="C804" s="1069" t="s">
        <v>968</v>
      </c>
      <c r="D804" s="1081" t="s">
        <v>764</v>
      </c>
      <c r="E804" s="898">
        <v>133669</v>
      </c>
      <c r="F804" s="1082">
        <v>1</v>
      </c>
      <c r="G804" s="890">
        <v>143962152</v>
      </c>
      <c r="H804" s="895">
        <v>140112087</v>
      </c>
      <c r="I804" s="846"/>
      <c r="J804" s="895"/>
      <c r="K804" s="846"/>
      <c r="L804" s="895"/>
      <c r="M804" s="890">
        <v>124695241.97</v>
      </c>
      <c r="N804" s="846">
        <v>1918098.03</v>
      </c>
      <c r="O804" s="737">
        <f t="shared" si="103"/>
        <v>126613340</v>
      </c>
      <c r="P804" s="895">
        <v>127377784</v>
      </c>
      <c r="Q804" s="895">
        <v>1767373.71</v>
      </c>
      <c r="R804" s="738">
        <f t="shared" si="106"/>
        <v>129145157.70999999</v>
      </c>
      <c r="S804" s="737">
        <f t="shared" si="107"/>
        <v>268657393.97000003</v>
      </c>
      <c r="T804" s="739">
        <f t="shared" si="108"/>
        <v>267489871</v>
      </c>
      <c r="U804" s="846"/>
      <c r="V804" s="895"/>
      <c r="W804" s="846"/>
      <c r="X804" s="846"/>
      <c r="Y804" s="740">
        <f t="shared" si="104"/>
        <v>0</v>
      </c>
      <c r="Z804" s="895"/>
      <c r="AA804" s="895"/>
      <c r="AB804" s="741">
        <f t="shared" si="105"/>
        <v>0</v>
      </c>
      <c r="AC804" s="846"/>
      <c r="AD804" s="895"/>
      <c r="AE804" s="846"/>
      <c r="AF804" s="846"/>
      <c r="AG804" s="895"/>
      <c r="AH804" s="895"/>
      <c r="AI804" s="742">
        <f t="shared" si="109"/>
        <v>268657393.97000003</v>
      </c>
      <c r="AJ804" s="743">
        <f t="shared" si="110"/>
        <v>267489871</v>
      </c>
    </row>
    <row r="805" spans="1:36">
      <c r="A805" s="1062" t="s">
        <v>149</v>
      </c>
      <c r="B805" s="901" t="s">
        <v>272</v>
      </c>
      <c r="C805" s="1066" t="s">
        <v>955</v>
      </c>
      <c r="D805" s="1067"/>
      <c r="E805" s="910">
        <v>133669</v>
      </c>
      <c r="F805" s="1082">
        <v>1</v>
      </c>
      <c r="G805" s="846"/>
      <c r="H805" s="847"/>
      <c r="I805" s="846">
        <v>399658</v>
      </c>
      <c r="J805" s="847">
        <v>399658</v>
      </c>
      <c r="K805" s="846"/>
      <c r="L805" s="847"/>
      <c r="M805" s="846"/>
      <c r="N805" s="846"/>
      <c r="O805" s="737">
        <f t="shared" si="103"/>
        <v>0</v>
      </c>
      <c r="P805" s="847"/>
      <c r="Q805" s="895"/>
      <c r="R805" s="738">
        <f t="shared" si="106"/>
        <v>0</v>
      </c>
      <c r="S805" s="737">
        <f t="shared" si="107"/>
        <v>399658</v>
      </c>
      <c r="T805" s="739">
        <f t="shared" si="108"/>
        <v>399658</v>
      </c>
      <c r="U805" s="846"/>
      <c r="V805" s="847"/>
      <c r="W805" s="846"/>
      <c r="X805" s="846"/>
      <c r="Y805" s="740">
        <f t="shared" si="104"/>
        <v>0</v>
      </c>
      <c r="Z805" s="847"/>
      <c r="AA805" s="895"/>
      <c r="AB805" s="741">
        <f t="shared" si="105"/>
        <v>0</v>
      </c>
      <c r="AC805" s="846"/>
      <c r="AD805" s="847"/>
      <c r="AE805" s="846"/>
      <c r="AF805" s="846"/>
      <c r="AG805" s="847"/>
      <c r="AH805" s="895"/>
      <c r="AI805" s="742">
        <f t="shared" si="109"/>
        <v>399658</v>
      </c>
      <c r="AJ805" s="743">
        <f t="shared" si="110"/>
        <v>399658</v>
      </c>
    </row>
    <row r="806" spans="1:36">
      <c r="A806" s="1062" t="s">
        <v>149</v>
      </c>
      <c r="B806" s="901" t="s">
        <v>272</v>
      </c>
      <c r="C806" s="1066" t="s">
        <v>956</v>
      </c>
      <c r="D806" s="1067"/>
      <c r="E806" s="910">
        <v>133669</v>
      </c>
      <c r="F806" s="1082">
        <v>1</v>
      </c>
      <c r="G806" s="846"/>
      <c r="H806" s="847"/>
      <c r="I806" s="890">
        <v>1368699</v>
      </c>
      <c r="J806" s="847">
        <v>1368699</v>
      </c>
      <c r="K806" s="846"/>
      <c r="L806" s="847"/>
      <c r="M806" s="846"/>
      <c r="N806" s="846"/>
      <c r="O806" s="737">
        <f t="shared" si="103"/>
        <v>0</v>
      </c>
      <c r="P806" s="847"/>
      <c r="Q806" s="895"/>
      <c r="R806" s="738">
        <f t="shared" si="106"/>
        <v>0</v>
      </c>
      <c r="S806" s="737">
        <f t="shared" si="107"/>
        <v>1368699</v>
      </c>
      <c r="T806" s="739">
        <f t="shared" si="108"/>
        <v>1368699</v>
      </c>
      <c r="U806" s="846"/>
      <c r="V806" s="847"/>
      <c r="W806" s="846"/>
      <c r="X806" s="846"/>
      <c r="Y806" s="740">
        <f t="shared" si="104"/>
        <v>0</v>
      </c>
      <c r="Z806" s="847"/>
      <c r="AA806" s="895"/>
      <c r="AB806" s="741">
        <f t="shared" si="105"/>
        <v>0</v>
      </c>
      <c r="AC806" s="846"/>
      <c r="AD806" s="847"/>
      <c r="AE806" s="846"/>
      <c r="AF806" s="846"/>
      <c r="AG806" s="847"/>
      <c r="AH806" s="895"/>
      <c r="AI806" s="742">
        <f t="shared" si="109"/>
        <v>1368699</v>
      </c>
      <c r="AJ806" s="743">
        <f t="shared" si="110"/>
        <v>1368699</v>
      </c>
    </row>
    <row r="807" spans="1:36">
      <c r="A807" s="1062" t="s">
        <v>149</v>
      </c>
      <c r="B807" s="901" t="s">
        <v>280</v>
      </c>
      <c r="C807" s="1066" t="s">
        <v>717</v>
      </c>
      <c r="D807" s="1067"/>
      <c r="E807" s="910">
        <v>133669</v>
      </c>
      <c r="F807" s="1082">
        <v>1</v>
      </c>
      <c r="G807" s="846"/>
      <c r="H807" s="847"/>
      <c r="I807" s="846"/>
      <c r="J807" s="847"/>
      <c r="K807" s="846"/>
      <c r="L807" s="847"/>
      <c r="M807" s="846"/>
      <c r="N807" s="846"/>
      <c r="O807" s="737">
        <f t="shared" si="103"/>
        <v>0</v>
      </c>
      <c r="P807" s="847"/>
      <c r="Q807" s="895"/>
      <c r="R807" s="738">
        <f t="shared" si="106"/>
        <v>0</v>
      </c>
      <c r="S807" s="737">
        <f t="shared" si="107"/>
        <v>0</v>
      </c>
      <c r="T807" s="739">
        <f t="shared" si="108"/>
        <v>0</v>
      </c>
      <c r="U807" s="846"/>
      <c r="V807" s="847"/>
      <c r="W807" s="846"/>
      <c r="X807" s="846"/>
      <c r="Y807" s="740">
        <f t="shared" si="104"/>
        <v>0</v>
      </c>
      <c r="Z807" s="847"/>
      <c r="AA807" s="895"/>
      <c r="AB807" s="741">
        <f t="shared" si="105"/>
        <v>0</v>
      </c>
      <c r="AC807" s="890">
        <v>14697669</v>
      </c>
      <c r="AD807" s="847">
        <v>14344890</v>
      </c>
      <c r="AE807" s="846">
        <v>6158280</v>
      </c>
      <c r="AF807" s="846"/>
      <c r="AG807" s="847">
        <v>8238505</v>
      </c>
      <c r="AH807" s="895"/>
      <c r="AI807" s="742">
        <f t="shared" si="109"/>
        <v>20855949</v>
      </c>
      <c r="AJ807" s="743">
        <f t="shared" si="110"/>
        <v>22583395</v>
      </c>
    </row>
    <row r="808" spans="1:36">
      <c r="A808" s="1062" t="s">
        <v>149</v>
      </c>
      <c r="B808" s="901" t="s">
        <v>272</v>
      </c>
      <c r="C808" s="1068" t="s">
        <v>636</v>
      </c>
      <c r="D808" s="1067"/>
      <c r="E808" s="910">
        <v>133669</v>
      </c>
      <c r="F808" s="1082">
        <v>1</v>
      </c>
      <c r="G808" s="846"/>
      <c r="H808" s="847"/>
      <c r="I808" s="846"/>
      <c r="J808" s="847"/>
      <c r="K808" s="846"/>
      <c r="L808" s="847"/>
      <c r="M808" s="846"/>
      <c r="N808" s="846"/>
      <c r="O808" s="737">
        <f t="shared" si="103"/>
        <v>0</v>
      </c>
      <c r="P808" s="847"/>
      <c r="Q808" s="895"/>
      <c r="R808" s="738">
        <f t="shared" si="106"/>
        <v>0</v>
      </c>
      <c r="S808" s="737">
        <f t="shared" si="107"/>
        <v>0</v>
      </c>
      <c r="T808" s="739">
        <f t="shared" si="108"/>
        <v>0</v>
      </c>
      <c r="U808" s="846"/>
      <c r="V808" s="847"/>
      <c r="W808" s="846"/>
      <c r="X808" s="846"/>
      <c r="Y808" s="740">
        <f t="shared" si="104"/>
        <v>0</v>
      </c>
      <c r="Z808" s="847"/>
      <c r="AA808" s="895"/>
      <c r="AB808" s="741">
        <f t="shared" si="105"/>
        <v>0</v>
      </c>
      <c r="AC808" s="846"/>
      <c r="AD808" s="847"/>
      <c r="AE808" s="846"/>
      <c r="AF808" s="846"/>
      <c r="AG808" s="847"/>
      <c r="AH808" s="895"/>
      <c r="AI808" s="742">
        <f t="shared" si="109"/>
        <v>0</v>
      </c>
      <c r="AJ808" s="743">
        <f t="shared" si="110"/>
        <v>0</v>
      </c>
    </row>
    <row r="809" spans="1:36">
      <c r="A809" s="1062" t="s">
        <v>149</v>
      </c>
      <c r="B809" s="901" t="s">
        <v>272</v>
      </c>
      <c r="C809" s="1066" t="s">
        <v>962</v>
      </c>
      <c r="D809" s="1067"/>
      <c r="E809" s="910">
        <v>133669</v>
      </c>
      <c r="F809" s="1082">
        <v>1</v>
      </c>
      <c r="G809" s="846"/>
      <c r="H809" s="847"/>
      <c r="I809" s="846">
        <v>713387</v>
      </c>
      <c r="J809" s="847">
        <v>856065</v>
      </c>
      <c r="K809" s="846"/>
      <c r="L809" s="847"/>
      <c r="M809" s="846"/>
      <c r="N809" s="846"/>
      <c r="O809" s="737">
        <f t="shared" si="103"/>
        <v>0</v>
      </c>
      <c r="P809" s="847"/>
      <c r="Q809" s="895"/>
      <c r="R809" s="738">
        <f t="shared" si="106"/>
        <v>0</v>
      </c>
      <c r="S809" s="737">
        <f t="shared" si="107"/>
        <v>713387</v>
      </c>
      <c r="T809" s="739">
        <f t="shared" si="108"/>
        <v>856065</v>
      </c>
      <c r="U809" s="846"/>
      <c r="V809" s="847"/>
      <c r="W809" s="846"/>
      <c r="X809" s="846"/>
      <c r="Y809" s="740">
        <f t="shared" si="104"/>
        <v>0</v>
      </c>
      <c r="Z809" s="847"/>
      <c r="AA809" s="895"/>
      <c r="AB809" s="741">
        <f t="shared" si="105"/>
        <v>0</v>
      </c>
      <c r="AC809" s="846"/>
      <c r="AD809" s="847">
        <v>856065</v>
      </c>
      <c r="AE809" s="846"/>
      <c r="AF809" s="846"/>
      <c r="AG809" s="847"/>
      <c r="AH809" s="895"/>
      <c r="AI809" s="742">
        <f t="shared" si="109"/>
        <v>713387</v>
      </c>
      <c r="AJ809" s="743">
        <f t="shared" si="110"/>
        <v>1712130</v>
      </c>
    </row>
    <row r="810" spans="1:36">
      <c r="A810" s="1062" t="s">
        <v>149</v>
      </c>
      <c r="B810" s="901" t="s">
        <v>266</v>
      </c>
      <c r="C810" s="1068" t="s">
        <v>319</v>
      </c>
      <c r="D810" s="1067"/>
      <c r="E810" s="910">
        <v>133669</v>
      </c>
      <c r="F810" s="1082">
        <v>1</v>
      </c>
      <c r="G810" s="846"/>
      <c r="H810" s="847"/>
      <c r="I810" s="846"/>
      <c r="J810" s="847"/>
      <c r="K810" s="846"/>
      <c r="L810" s="847"/>
      <c r="M810" s="846"/>
      <c r="N810" s="846"/>
      <c r="O810" s="737">
        <f t="shared" si="103"/>
        <v>0</v>
      </c>
      <c r="P810" s="847"/>
      <c r="Q810" s="895"/>
      <c r="R810" s="738">
        <f t="shared" si="106"/>
        <v>0</v>
      </c>
      <c r="S810" s="737">
        <f t="shared" si="107"/>
        <v>0</v>
      </c>
      <c r="T810" s="739">
        <f t="shared" si="108"/>
        <v>0</v>
      </c>
      <c r="U810" s="846"/>
      <c r="V810" s="847"/>
      <c r="W810" s="846"/>
      <c r="X810" s="846"/>
      <c r="Y810" s="740">
        <f t="shared" si="104"/>
        <v>0</v>
      </c>
      <c r="Z810" s="847"/>
      <c r="AA810" s="895"/>
      <c r="AB810" s="741">
        <f t="shared" si="105"/>
        <v>0</v>
      </c>
      <c r="AC810" s="846"/>
      <c r="AD810" s="847"/>
      <c r="AE810" s="846"/>
      <c r="AF810" s="846"/>
      <c r="AG810" s="847"/>
      <c r="AH810" s="895"/>
      <c r="AI810" s="742">
        <f t="shared" si="109"/>
        <v>0</v>
      </c>
      <c r="AJ810" s="743">
        <f t="shared" si="110"/>
        <v>0</v>
      </c>
    </row>
    <row r="811" spans="1:36">
      <c r="A811" s="1062" t="s">
        <v>149</v>
      </c>
      <c r="B811" s="901" t="s">
        <v>266</v>
      </c>
      <c r="C811" s="1066" t="s">
        <v>960</v>
      </c>
      <c r="D811" s="1067"/>
      <c r="E811" s="910">
        <v>133669</v>
      </c>
      <c r="F811" s="1082">
        <v>1</v>
      </c>
      <c r="G811" s="846"/>
      <c r="H811" s="847"/>
      <c r="I811" s="846">
        <v>15171391</v>
      </c>
      <c r="J811" s="847">
        <v>17147399</v>
      </c>
      <c r="K811" s="846"/>
      <c r="L811" s="847"/>
      <c r="M811" s="846"/>
      <c r="N811" s="846"/>
      <c r="O811" s="737">
        <f t="shared" si="103"/>
        <v>0</v>
      </c>
      <c r="P811" s="847"/>
      <c r="Q811" s="895"/>
      <c r="R811" s="738">
        <f t="shared" si="106"/>
        <v>0</v>
      </c>
      <c r="S811" s="737">
        <f t="shared" si="107"/>
        <v>15171391</v>
      </c>
      <c r="T811" s="739">
        <f t="shared" si="108"/>
        <v>17147399</v>
      </c>
      <c r="U811" s="846"/>
      <c r="V811" s="847"/>
      <c r="W811" s="846"/>
      <c r="X811" s="846"/>
      <c r="Y811" s="740">
        <f t="shared" si="104"/>
        <v>0</v>
      </c>
      <c r="Z811" s="847"/>
      <c r="AA811" s="895"/>
      <c r="AB811" s="741">
        <f t="shared" si="105"/>
        <v>0</v>
      </c>
      <c r="AC811" s="846"/>
      <c r="AD811" s="847"/>
      <c r="AE811" s="846"/>
      <c r="AF811" s="846"/>
      <c r="AG811" s="847"/>
      <c r="AH811" s="895"/>
      <c r="AI811" s="742">
        <f t="shared" si="109"/>
        <v>15171391</v>
      </c>
      <c r="AJ811" s="743">
        <f t="shared" si="110"/>
        <v>17147399</v>
      </c>
    </row>
    <row r="812" spans="1:36">
      <c r="A812" s="1062" t="s">
        <v>149</v>
      </c>
      <c r="B812" s="901" t="s">
        <v>271</v>
      </c>
      <c r="C812" s="1068" t="s">
        <v>309</v>
      </c>
      <c r="D812" s="1067"/>
      <c r="E812" s="910">
        <v>133669</v>
      </c>
      <c r="F812" s="1082">
        <v>1</v>
      </c>
      <c r="G812" s="846"/>
      <c r="H812" s="847"/>
      <c r="I812" s="846"/>
      <c r="J812" s="847"/>
      <c r="K812" s="846"/>
      <c r="L812" s="847"/>
      <c r="M812" s="846"/>
      <c r="N812" s="846"/>
      <c r="O812" s="737">
        <f t="shared" si="103"/>
        <v>0</v>
      </c>
      <c r="P812" s="847"/>
      <c r="Q812" s="895"/>
      <c r="R812" s="738">
        <f t="shared" si="106"/>
        <v>0</v>
      </c>
      <c r="S812" s="737">
        <f t="shared" si="107"/>
        <v>0</v>
      </c>
      <c r="T812" s="739">
        <f t="shared" si="108"/>
        <v>0</v>
      </c>
      <c r="U812" s="846"/>
      <c r="V812" s="847"/>
      <c r="W812" s="846"/>
      <c r="X812" s="846"/>
      <c r="Y812" s="740">
        <f t="shared" si="104"/>
        <v>0</v>
      </c>
      <c r="Z812" s="847"/>
      <c r="AA812" s="895"/>
      <c r="AB812" s="741">
        <f t="shared" si="105"/>
        <v>0</v>
      </c>
      <c r="AC812" s="846"/>
      <c r="AD812" s="847"/>
      <c r="AE812" s="846"/>
      <c r="AF812" s="846"/>
      <c r="AG812" s="847"/>
      <c r="AH812" s="895"/>
      <c r="AI812" s="742">
        <f t="shared" si="109"/>
        <v>0</v>
      </c>
      <c r="AJ812" s="743">
        <f t="shared" si="110"/>
        <v>0</v>
      </c>
    </row>
    <row r="813" spans="1:36">
      <c r="A813" s="1062" t="s">
        <v>149</v>
      </c>
      <c r="B813" s="901" t="s">
        <v>264</v>
      </c>
      <c r="C813" s="1069" t="s">
        <v>969</v>
      </c>
      <c r="D813" s="1064"/>
      <c r="E813" s="910">
        <v>133650</v>
      </c>
      <c r="F813" s="911">
        <v>3</v>
      </c>
      <c r="G813" s="890">
        <v>97742797</v>
      </c>
      <c r="H813" s="895">
        <v>99651738</v>
      </c>
      <c r="I813" s="846"/>
      <c r="J813" s="895"/>
      <c r="K813" s="846"/>
      <c r="L813" s="895"/>
      <c r="M813" s="890">
        <v>72129166.939999998</v>
      </c>
      <c r="N813" s="846">
        <v>874618.06</v>
      </c>
      <c r="O813" s="737">
        <f t="shared" si="103"/>
        <v>73003785</v>
      </c>
      <c r="P813" s="895">
        <v>71542644</v>
      </c>
      <c r="Q813" s="895">
        <v>904288.14</v>
      </c>
      <c r="R813" s="738">
        <f t="shared" si="106"/>
        <v>72446932.140000001</v>
      </c>
      <c r="S813" s="737">
        <f t="shared" si="107"/>
        <v>169871963.94</v>
      </c>
      <c r="T813" s="739">
        <f t="shared" si="108"/>
        <v>171194382</v>
      </c>
      <c r="U813" s="846"/>
      <c r="V813" s="895"/>
      <c r="W813" s="846"/>
      <c r="X813" s="846"/>
      <c r="Y813" s="740">
        <f t="shared" si="104"/>
        <v>0</v>
      </c>
      <c r="Z813" s="895"/>
      <c r="AA813" s="895"/>
      <c r="AB813" s="741">
        <f t="shared" si="105"/>
        <v>0</v>
      </c>
      <c r="AC813" s="846"/>
      <c r="AD813" s="895"/>
      <c r="AE813" s="846"/>
      <c r="AF813" s="846"/>
      <c r="AG813" s="895"/>
      <c r="AH813" s="895"/>
      <c r="AI813" s="742">
        <f t="shared" si="109"/>
        <v>169871963.94</v>
      </c>
      <c r="AJ813" s="743">
        <f t="shared" si="110"/>
        <v>171194382</v>
      </c>
    </row>
    <row r="814" spans="1:36">
      <c r="A814" s="1062" t="s">
        <v>149</v>
      </c>
      <c r="B814" s="901" t="s">
        <v>264</v>
      </c>
      <c r="C814" s="1066" t="s">
        <v>955</v>
      </c>
      <c r="D814" s="1067"/>
      <c r="E814" s="910">
        <v>133650</v>
      </c>
      <c r="F814" s="911">
        <v>3</v>
      </c>
      <c r="G814" s="846"/>
      <c r="H814" s="847"/>
      <c r="I814" s="846">
        <v>624417</v>
      </c>
      <c r="J814" s="847">
        <v>624417</v>
      </c>
      <c r="K814" s="846"/>
      <c r="L814" s="847"/>
      <c r="M814" s="846"/>
      <c r="N814" s="846"/>
      <c r="O814" s="737">
        <f t="shared" si="103"/>
        <v>0</v>
      </c>
      <c r="P814" s="847"/>
      <c r="Q814" s="895"/>
      <c r="R814" s="738">
        <f t="shared" si="106"/>
        <v>0</v>
      </c>
      <c r="S814" s="737">
        <f t="shared" si="107"/>
        <v>624417</v>
      </c>
      <c r="T814" s="739">
        <f t="shared" si="108"/>
        <v>624417</v>
      </c>
      <c r="U814" s="846"/>
      <c r="V814" s="847"/>
      <c r="W814" s="846"/>
      <c r="X814" s="846"/>
      <c r="Y814" s="740">
        <f t="shared" si="104"/>
        <v>0</v>
      </c>
      <c r="Z814" s="847"/>
      <c r="AA814" s="895"/>
      <c r="AB814" s="741">
        <f t="shared" si="105"/>
        <v>0</v>
      </c>
      <c r="AC814" s="846"/>
      <c r="AD814" s="847"/>
      <c r="AE814" s="846"/>
      <c r="AF814" s="846"/>
      <c r="AG814" s="847"/>
      <c r="AH814" s="895"/>
      <c r="AI814" s="742">
        <f t="shared" si="109"/>
        <v>624417</v>
      </c>
      <c r="AJ814" s="743">
        <f t="shared" si="110"/>
        <v>624417</v>
      </c>
    </row>
    <row r="815" spans="1:36">
      <c r="A815" s="1062" t="s">
        <v>149</v>
      </c>
      <c r="B815" s="901" t="s">
        <v>264</v>
      </c>
      <c r="C815" s="1066" t="s">
        <v>956</v>
      </c>
      <c r="D815" s="1067"/>
      <c r="E815" s="910">
        <v>133650</v>
      </c>
      <c r="F815" s="911">
        <v>3</v>
      </c>
      <c r="G815" s="846"/>
      <c r="H815" s="847"/>
      <c r="I815" s="890">
        <v>1265683</v>
      </c>
      <c r="J815" s="847">
        <v>1265683</v>
      </c>
      <c r="K815" s="846"/>
      <c r="L815" s="847"/>
      <c r="M815" s="846"/>
      <c r="N815" s="846"/>
      <c r="O815" s="737">
        <f t="shared" si="103"/>
        <v>0</v>
      </c>
      <c r="P815" s="847"/>
      <c r="Q815" s="895"/>
      <c r="R815" s="738">
        <f t="shared" si="106"/>
        <v>0</v>
      </c>
      <c r="S815" s="737">
        <f t="shared" si="107"/>
        <v>1265683</v>
      </c>
      <c r="T815" s="739">
        <f t="shared" si="108"/>
        <v>1265683</v>
      </c>
      <c r="U815" s="846"/>
      <c r="V815" s="847"/>
      <c r="W815" s="846"/>
      <c r="X815" s="846"/>
      <c r="Y815" s="740">
        <f t="shared" si="104"/>
        <v>0</v>
      </c>
      <c r="Z815" s="847"/>
      <c r="AA815" s="895"/>
      <c r="AB815" s="741">
        <f t="shared" si="105"/>
        <v>0</v>
      </c>
      <c r="AC815" s="846"/>
      <c r="AD815" s="847"/>
      <c r="AE815" s="846"/>
      <c r="AF815" s="846"/>
      <c r="AG815" s="847"/>
      <c r="AH815" s="895"/>
      <c r="AI815" s="742">
        <f t="shared" si="109"/>
        <v>1265683</v>
      </c>
      <c r="AJ815" s="743">
        <f t="shared" si="110"/>
        <v>1265683</v>
      </c>
    </row>
    <row r="816" spans="1:36">
      <c r="A816" s="1062" t="s">
        <v>149</v>
      </c>
      <c r="B816" s="901" t="s">
        <v>266</v>
      </c>
      <c r="C816" s="1068" t="s">
        <v>319</v>
      </c>
      <c r="D816" s="1067"/>
      <c r="E816" s="910">
        <v>133650</v>
      </c>
      <c r="F816" s="911">
        <v>3</v>
      </c>
      <c r="G816" s="846"/>
      <c r="H816" s="847"/>
      <c r="I816" s="846"/>
      <c r="J816" s="847"/>
      <c r="K816" s="846"/>
      <c r="L816" s="847"/>
      <c r="M816" s="846"/>
      <c r="N816" s="846"/>
      <c r="O816" s="737">
        <f t="shared" si="103"/>
        <v>0</v>
      </c>
      <c r="P816" s="847"/>
      <c r="Q816" s="895"/>
      <c r="R816" s="738">
        <f t="shared" si="106"/>
        <v>0</v>
      </c>
      <c r="S816" s="737">
        <f t="shared" si="107"/>
        <v>0</v>
      </c>
      <c r="T816" s="739">
        <f t="shared" si="108"/>
        <v>0</v>
      </c>
      <c r="U816" s="846"/>
      <c r="V816" s="847"/>
      <c r="W816" s="846"/>
      <c r="X816" s="846"/>
      <c r="Y816" s="740">
        <f t="shared" si="104"/>
        <v>0</v>
      </c>
      <c r="Z816" s="847"/>
      <c r="AA816" s="895"/>
      <c r="AB816" s="741">
        <f t="shared" si="105"/>
        <v>0</v>
      </c>
      <c r="AC816" s="846"/>
      <c r="AD816" s="847"/>
      <c r="AE816" s="846"/>
      <c r="AF816" s="846"/>
      <c r="AG816" s="847"/>
      <c r="AH816" s="895"/>
      <c r="AI816" s="742">
        <f t="shared" si="109"/>
        <v>0</v>
      </c>
      <c r="AJ816" s="743">
        <f t="shared" si="110"/>
        <v>0</v>
      </c>
    </row>
    <row r="817" spans="1:36">
      <c r="A817" s="1062" t="s">
        <v>149</v>
      </c>
      <c r="B817" s="901" t="s">
        <v>266</v>
      </c>
      <c r="C817" s="1066" t="s">
        <v>960</v>
      </c>
      <c r="D817" s="1067"/>
      <c r="E817" s="910">
        <v>133650</v>
      </c>
      <c r="F817" s="911">
        <v>3</v>
      </c>
      <c r="G817" s="846"/>
      <c r="H817" s="847"/>
      <c r="I817" s="846">
        <v>3450190</v>
      </c>
      <c r="J817" s="847">
        <v>3673844</v>
      </c>
      <c r="K817" s="846"/>
      <c r="L817" s="847"/>
      <c r="M817" s="846"/>
      <c r="N817" s="846"/>
      <c r="O817" s="737">
        <f t="shared" si="103"/>
        <v>0</v>
      </c>
      <c r="P817" s="847"/>
      <c r="Q817" s="895"/>
      <c r="R817" s="738">
        <f t="shared" si="106"/>
        <v>0</v>
      </c>
      <c r="S817" s="737">
        <f t="shared" si="107"/>
        <v>3450190</v>
      </c>
      <c r="T817" s="739">
        <f t="shared" si="108"/>
        <v>3673844</v>
      </c>
      <c r="U817" s="846"/>
      <c r="V817" s="847"/>
      <c r="W817" s="846"/>
      <c r="X817" s="846"/>
      <c r="Y817" s="740">
        <f t="shared" si="104"/>
        <v>0</v>
      </c>
      <c r="Z817" s="847"/>
      <c r="AA817" s="895"/>
      <c r="AB817" s="741">
        <f t="shared" si="105"/>
        <v>0</v>
      </c>
      <c r="AC817" s="846"/>
      <c r="AD817" s="847"/>
      <c r="AE817" s="846"/>
      <c r="AF817" s="846"/>
      <c r="AG817" s="847"/>
      <c r="AH817" s="895"/>
      <c r="AI817" s="742">
        <f t="shared" si="109"/>
        <v>3450190</v>
      </c>
      <c r="AJ817" s="743">
        <f t="shared" si="110"/>
        <v>3673844</v>
      </c>
    </row>
    <row r="818" spans="1:36">
      <c r="A818" s="1062" t="s">
        <v>149</v>
      </c>
      <c r="B818" s="901" t="s">
        <v>264</v>
      </c>
      <c r="C818" s="1069" t="s">
        <v>970</v>
      </c>
      <c r="D818" s="1070"/>
      <c r="E818" s="910">
        <v>136172</v>
      </c>
      <c r="F818" s="911">
        <v>3</v>
      </c>
      <c r="G818" s="890">
        <v>79652233</v>
      </c>
      <c r="H818" s="895">
        <v>79613390</v>
      </c>
      <c r="I818" s="846"/>
      <c r="J818" s="895"/>
      <c r="K818" s="846"/>
      <c r="L818" s="895"/>
      <c r="M818" s="890">
        <v>70017103.109999999</v>
      </c>
      <c r="N818" s="846">
        <v>1086777.8899999999</v>
      </c>
      <c r="O818" s="737">
        <f t="shared" si="103"/>
        <v>71103881</v>
      </c>
      <c r="P818" s="895">
        <v>69319907</v>
      </c>
      <c r="Q818" s="895">
        <v>1019221.65</v>
      </c>
      <c r="R818" s="738">
        <f t="shared" si="106"/>
        <v>70339128.650000006</v>
      </c>
      <c r="S818" s="737">
        <f t="shared" si="107"/>
        <v>149669336.11000001</v>
      </c>
      <c r="T818" s="739">
        <f t="shared" si="108"/>
        <v>148933297</v>
      </c>
      <c r="U818" s="846"/>
      <c r="V818" s="895"/>
      <c r="W818" s="846"/>
      <c r="X818" s="846"/>
      <c r="Y818" s="740">
        <f t="shared" si="104"/>
        <v>0</v>
      </c>
      <c r="Z818" s="895"/>
      <c r="AA818" s="895"/>
      <c r="AB818" s="741">
        <f t="shared" si="105"/>
        <v>0</v>
      </c>
      <c r="AC818" s="846"/>
      <c r="AD818" s="895"/>
      <c r="AE818" s="846"/>
      <c r="AF818" s="846"/>
      <c r="AG818" s="895"/>
      <c r="AH818" s="895"/>
      <c r="AI818" s="742">
        <f t="shared" si="109"/>
        <v>149669336.11000001</v>
      </c>
      <c r="AJ818" s="743">
        <f t="shared" si="110"/>
        <v>148933297</v>
      </c>
    </row>
    <row r="819" spans="1:36">
      <c r="A819" s="1062" t="s">
        <v>149</v>
      </c>
      <c r="B819" s="901" t="s">
        <v>264</v>
      </c>
      <c r="C819" s="1066" t="s">
        <v>955</v>
      </c>
      <c r="D819" s="1067"/>
      <c r="E819" s="910">
        <v>136172</v>
      </c>
      <c r="F819" s="911">
        <v>3</v>
      </c>
      <c r="G819" s="846"/>
      <c r="H819" s="847"/>
      <c r="I819" s="846">
        <v>200570</v>
      </c>
      <c r="J819" s="847">
        <v>200570</v>
      </c>
      <c r="K819" s="846"/>
      <c r="L819" s="847"/>
      <c r="M819" s="846"/>
      <c r="N819" s="846"/>
      <c r="O819" s="737">
        <f t="shared" si="103"/>
        <v>0</v>
      </c>
      <c r="P819" s="847"/>
      <c r="Q819" s="895"/>
      <c r="R819" s="738">
        <f t="shared" si="106"/>
        <v>0</v>
      </c>
      <c r="S819" s="737">
        <f t="shared" si="107"/>
        <v>200570</v>
      </c>
      <c r="T819" s="739">
        <f t="shared" si="108"/>
        <v>200570</v>
      </c>
      <c r="U819" s="846"/>
      <c r="V819" s="847"/>
      <c r="W819" s="846"/>
      <c r="X819" s="846"/>
      <c r="Y819" s="740">
        <f t="shared" si="104"/>
        <v>0</v>
      </c>
      <c r="Z819" s="847"/>
      <c r="AA819" s="895"/>
      <c r="AB819" s="741">
        <f t="shared" si="105"/>
        <v>0</v>
      </c>
      <c r="AC819" s="846"/>
      <c r="AD819" s="847"/>
      <c r="AE819" s="846"/>
      <c r="AF819" s="846"/>
      <c r="AG819" s="847"/>
      <c r="AH819" s="895"/>
      <c r="AI819" s="742">
        <f t="shared" si="109"/>
        <v>200570</v>
      </c>
      <c r="AJ819" s="743">
        <f t="shared" si="110"/>
        <v>200570</v>
      </c>
    </row>
    <row r="820" spans="1:36">
      <c r="A820" s="1062" t="s">
        <v>149</v>
      </c>
      <c r="B820" s="901" t="s">
        <v>264</v>
      </c>
      <c r="C820" s="1066" t="s">
        <v>956</v>
      </c>
      <c r="D820" s="1067"/>
      <c r="E820" s="910">
        <v>136172</v>
      </c>
      <c r="F820" s="911">
        <v>3</v>
      </c>
      <c r="G820" s="846"/>
      <c r="H820" s="847"/>
      <c r="I820" s="890">
        <v>1193458</v>
      </c>
      <c r="J820" s="847">
        <v>1193458</v>
      </c>
      <c r="K820" s="846"/>
      <c r="L820" s="847"/>
      <c r="M820" s="846"/>
      <c r="N820" s="846"/>
      <c r="O820" s="737">
        <f t="shared" si="103"/>
        <v>0</v>
      </c>
      <c r="P820" s="847"/>
      <c r="Q820" s="895"/>
      <c r="R820" s="738">
        <f t="shared" si="106"/>
        <v>0</v>
      </c>
      <c r="S820" s="737">
        <f t="shared" si="107"/>
        <v>1193458</v>
      </c>
      <c r="T820" s="739">
        <f t="shared" si="108"/>
        <v>1193458</v>
      </c>
      <c r="U820" s="846"/>
      <c r="V820" s="847"/>
      <c r="W820" s="846"/>
      <c r="X820" s="846"/>
      <c r="Y820" s="740">
        <f t="shared" si="104"/>
        <v>0</v>
      </c>
      <c r="Z820" s="847"/>
      <c r="AA820" s="895"/>
      <c r="AB820" s="741">
        <f t="shared" si="105"/>
        <v>0</v>
      </c>
      <c r="AC820" s="846"/>
      <c r="AD820" s="847"/>
      <c r="AE820" s="846"/>
      <c r="AF820" s="846"/>
      <c r="AG820" s="847"/>
      <c r="AH820" s="895"/>
      <c r="AI820" s="742">
        <f t="shared" si="109"/>
        <v>1193458</v>
      </c>
      <c r="AJ820" s="743">
        <f t="shared" si="110"/>
        <v>1193458</v>
      </c>
    </row>
    <row r="821" spans="1:36">
      <c r="A821" s="1062" t="s">
        <v>149</v>
      </c>
      <c r="B821" s="901" t="s">
        <v>264</v>
      </c>
      <c r="C821" s="1069" t="s">
        <v>971</v>
      </c>
      <c r="D821" s="1070"/>
      <c r="E821" s="910">
        <v>138354</v>
      </c>
      <c r="F821" s="911">
        <v>3</v>
      </c>
      <c r="G821" s="890">
        <v>70323717</v>
      </c>
      <c r="H821" s="895">
        <v>81300593</v>
      </c>
      <c r="I821" s="846"/>
      <c r="J821" s="895"/>
      <c r="K821" s="846"/>
      <c r="L821" s="895"/>
      <c r="M821" s="890">
        <v>53439791.240000002</v>
      </c>
      <c r="N821" s="846">
        <v>818330.76</v>
      </c>
      <c r="O821" s="737">
        <f t="shared" si="103"/>
        <v>54258122</v>
      </c>
      <c r="P821" s="895">
        <v>59749269</v>
      </c>
      <c r="Q821" s="895">
        <v>607195.88</v>
      </c>
      <c r="R821" s="738">
        <f t="shared" si="106"/>
        <v>60356464.880000003</v>
      </c>
      <c r="S821" s="737">
        <f t="shared" si="107"/>
        <v>123763508.24000001</v>
      </c>
      <c r="T821" s="739">
        <f t="shared" si="108"/>
        <v>141049862</v>
      </c>
      <c r="U821" s="846"/>
      <c r="V821" s="895"/>
      <c r="W821" s="846"/>
      <c r="X821" s="846"/>
      <c r="Y821" s="740">
        <f t="shared" si="104"/>
        <v>0</v>
      </c>
      <c r="Z821" s="895"/>
      <c r="AA821" s="895"/>
      <c r="AB821" s="741">
        <f t="shared" si="105"/>
        <v>0</v>
      </c>
      <c r="AC821" s="846"/>
      <c r="AD821" s="895"/>
      <c r="AE821" s="846"/>
      <c r="AF821" s="846"/>
      <c r="AG821" s="895"/>
      <c r="AH821" s="895"/>
      <c r="AI821" s="742">
        <f t="shared" si="109"/>
        <v>123763508.24000001</v>
      </c>
      <c r="AJ821" s="743">
        <f t="shared" si="110"/>
        <v>141049862</v>
      </c>
    </row>
    <row r="822" spans="1:36">
      <c r="A822" s="1062" t="s">
        <v>149</v>
      </c>
      <c r="B822" s="901" t="s">
        <v>264</v>
      </c>
      <c r="C822" s="1066" t="s">
        <v>955</v>
      </c>
      <c r="D822" s="1067"/>
      <c r="E822" s="910">
        <v>138354</v>
      </c>
      <c r="F822" s="911">
        <v>3</v>
      </c>
      <c r="G822" s="846"/>
      <c r="H822" s="847"/>
      <c r="I822" s="846">
        <v>157766</v>
      </c>
      <c r="J822" s="847">
        <v>157766</v>
      </c>
      <c r="K822" s="846"/>
      <c r="L822" s="847"/>
      <c r="M822" s="846"/>
      <c r="N822" s="846"/>
      <c r="O822" s="737">
        <f t="shared" si="103"/>
        <v>0</v>
      </c>
      <c r="P822" s="847"/>
      <c r="Q822" s="895"/>
      <c r="R822" s="738">
        <f t="shared" si="106"/>
        <v>0</v>
      </c>
      <c r="S822" s="737">
        <f t="shared" si="107"/>
        <v>157766</v>
      </c>
      <c r="T822" s="739">
        <f t="shared" si="108"/>
        <v>157766</v>
      </c>
      <c r="U822" s="846"/>
      <c r="V822" s="847"/>
      <c r="W822" s="846"/>
      <c r="X822" s="846"/>
      <c r="Y822" s="740">
        <f t="shared" si="104"/>
        <v>0</v>
      </c>
      <c r="Z822" s="847"/>
      <c r="AA822" s="895"/>
      <c r="AB822" s="741">
        <f t="shared" si="105"/>
        <v>0</v>
      </c>
      <c r="AC822" s="846"/>
      <c r="AD822" s="847"/>
      <c r="AE822" s="846"/>
      <c r="AF822" s="846"/>
      <c r="AG822" s="847"/>
      <c r="AH822" s="895"/>
      <c r="AI822" s="742">
        <f t="shared" si="109"/>
        <v>157766</v>
      </c>
      <c r="AJ822" s="743">
        <f t="shared" si="110"/>
        <v>157766</v>
      </c>
    </row>
    <row r="823" spans="1:36">
      <c r="A823" s="1062" t="s">
        <v>149</v>
      </c>
      <c r="B823" s="901" t="s">
        <v>264</v>
      </c>
      <c r="C823" s="1066" t="s">
        <v>956</v>
      </c>
      <c r="D823" s="1067"/>
      <c r="E823" s="910">
        <v>138354</v>
      </c>
      <c r="F823" s="911">
        <v>3</v>
      </c>
      <c r="G823" s="846"/>
      <c r="H823" s="847"/>
      <c r="I823" s="890">
        <v>521250</v>
      </c>
      <c r="J823" s="847">
        <v>521250</v>
      </c>
      <c r="K823" s="846"/>
      <c r="L823" s="847"/>
      <c r="M823" s="846"/>
      <c r="N823" s="846"/>
      <c r="O823" s="737">
        <f t="shared" si="103"/>
        <v>0</v>
      </c>
      <c r="P823" s="1071"/>
      <c r="Q823" s="895"/>
      <c r="R823" s="738">
        <f t="shared" si="106"/>
        <v>0</v>
      </c>
      <c r="S823" s="737">
        <f t="shared" si="107"/>
        <v>521250</v>
      </c>
      <c r="T823" s="739">
        <f t="shared" si="108"/>
        <v>521250</v>
      </c>
      <c r="U823" s="846"/>
      <c r="V823" s="847"/>
      <c r="W823" s="846"/>
      <c r="X823" s="846"/>
      <c r="Y823" s="740">
        <f t="shared" si="104"/>
        <v>0</v>
      </c>
      <c r="Z823" s="1071"/>
      <c r="AA823" s="895"/>
      <c r="AB823" s="741">
        <f t="shared" si="105"/>
        <v>0</v>
      </c>
      <c r="AC823" s="846"/>
      <c r="AD823" s="847"/>
      <c r="AE823" s="846"/>
      <c r="AF823" s="846"/>
      <c r="AG823" s="1071"/>
      <c r="AH823" s="895"/>
      <c r="AI823" s="742">
        <f t="shared" si="109"/>
        <v>521250</v>
      </c>
      <c r="AJ823" s="743">
        <f t="shared" si="110"/>
        <v>521250</v>
      </c>
    </row>
    <row r="824" spans="1:36">
      <c r="A824" s="1062" t="s">
        <v>149</v>
      </c>
      <c r="B824" s="901" t="s">
        <v>264</v>
      </c>
      <c r="C824" s="1069" t="s">
        <v>972</v>
      </c>
      <c r="D824" s="1070"/>
      <c r="E824" s="910">
        <v>433660</v>
      </c>
      <c r="F824" s="911">
        <v>4</v>
      </c>
      <c r="G824" s="890">
        <v>58848008</v>
      </c>
      <c r="H824" s="895">
        <v>55441539</v>
      </c>
      <c r="I824" s="846"/>
      <c r="J824" s="895"/>
      <c r="K824" s="846"/>
      <c r="L824" s="895"/>
      <c r="M824" s="890">
        <v>61870318.740000002</v>
      </c>
      <c r="N824" s="846">
        <v>933070.26</v>
      </c>
      <c r="O824" s="737">
        <f t="shared" si="103"/>
        <v>62803389</v>
      </c>
      <c r="P824" s="895">
        <v>62047721</v>
      </c>
      <c r="Q824" s="895">
        <v>1331493.81</v>
      </c>
      <c r="R824" s="738">
        <f t="shared" si="106"/>
        <v>63379214.810000002</v>
      </c>
      <c r="S824" s="737">
        <f t="shared" si="107"/>
        <v>120718326.74000001</v>
      </c>
      <c r="T824" s="739">
        <f t="shared" si="108"/>
        <v>117489260</v>
      </c>
      <c r="U824" s="846"/>
      <c r="V824" s="895"/>
      <c r="W824" s="846"/>
      <c r="X824" s="846"/>
      <c r="Y824" s="740">
        <f t="shared" si="104"/>
        <v>0</v>
      </c>
      <c r="Z824" s="895"/>
      <c r="AA824" s="895"/>
      <c r="AB824" s="741">
        <f t="shared" si="105"/>
        <v>0</v>
      </c>
      <c r="AC824" s="846"/>
      <c r="AD824" s="895"/>
      <c r="AE824" s="846"/>
      <c r="AF824" s="846"/>
      <c r="AG824" s="895"/>
      <c r="AH824" s="895"/>
      <c r="AI824" s="742">
        <f t="shared" si="109"/>
        <v>120718326.74000001</v>
      </c>
      <c r="AJ824" s="743">
        <f t="shared" si="110"/>
        <v>117489260</v>
      </c>
    </row>
    <row r="825" spans="1:36">
      <c r="A825" s="1062" t="s">
        <v>149</v>
      </c>
      <c r="B825" s="901" t="s">
        <v>264</v>
      </c>
      <c r="C825" s="1066" t="s">
        <v>955</v>
      </c>
      <c r="D825" s="1067"/>
      <c r="E825" s="910">
        <v>433660</v>
      </c>
      <c r="F825" s="911">
        <v>4</v>
      </c>
      <c r="G825" s="846"/>
      <c r="H825" s="847"/>
      <c r="I825" s="846">
        <v>98073</v>
      </c>
      <c r="J825" s="847">
        <v>98073</v>
      </c>
      <c r="K825" s="846"/>
      <c r="L825" s="847"/>
      <c r="M825" s="846"/>
      <c r="N825" s="846"/>
      <c r="O825" s="737">
        <f t="shared" si="103"/>
        <v>0</v>
      </c>
      <c r="P825" s="847"/>
      <c r="Q825" s="847"/>
      <c r="R825" s="738">
        <f t="shared" si="106"/>
        <v>0</v>
      </c>
      <c r="S825" s="737">
        <f t="shared" si="107"/>
        <v>98073</v>
      </c>
      <c r="T825" s="739">
        <f t="shared" si="108"/>
        <v>98073</v>
      </c>
      <c r="U825" s="846"/>
      <c r="V825" s="847"/>
      <c r="W825" s="846"/>
      <c r="X825" s="846"/>
      <c r="Y825" s="740">
        <f t="shared" si="104"/>
        <v>0</v>
      </c>
      <c r="Z825" s="847"/>
      <c r="AA825" s="847"/>
      <c r="AB825" s="741">
        <f t="shared" si="105"/>
        <v>0</v>
      </c>
      <c r="AC825" s="846"/>
      <c r="AD825" s="847"/>
      <c r="AE825" s="846"/>
      <c r="AF825" s="846"/>
      <c r="AG825" s="847"/>
      <c r="AH825" s="847"/>
      <c r="AI825" s="742">
        <f t="shared" si="109"/>
        <v>98073</v>
      </c>
      <c r="AJ825" s="743">
        <f t="shared" si="110"/>
        <v>98073</v>
      </c>
    </row>
    <row r="826" spans="1:36">
      <c r="A826" s="1062" t="s">
        <v>149</v>
      </c>
      <c r="B826" s="901" t="s">
        <v>264</v>
      </c>
      <c r="C826" s="1066" t="s">
        <v>956</v>
      </c>
      <c r="D826" s="1067"/>
      <c r="E826" s="910">
        <v>433660</v>
      </c>
      <c r="F826" s="911">
        <v>4</v>
      </c>
      <c r="G826" s="846"/>
      <c r="H826" s="847"/>
      <c r="I826" s="890">
        <v>544711</v>
      </c>
      <c r="J826" s="847">
        <v>544711</v>
      </c>
      <c r="K826" s="846"/>
      <c r="L826" s="847"/>
      <c r="M826" s="846"/>
      <c r="N826" s="846"/>
      <c r="O826" s="737">
        <f t="shared" si="103"/>
        <v>0</v>
      </c>
      <c r="P826" s="847"/>
      <c r="Q826" s="847"/>
      <c r="R826" s="738">
        <f t="shared" si="106"/>
        <v>0</v>
      </c>
      <c r="S826" s="737">
        <f t="shared" si="107"/>
        <v>544711</v>
      </c>
      <c r="T826" s="739">
        <f t="shared" si="108"/>
        <v>544711</v>
      </c>
      <c r="U826" s="846"/>
      <c r="V826" s="847"/>
      <c r="W826" s="846"/>
      <c r="X826" s="846"/>
      <c r="Y826" s="740">
        <f t="shared" si="104"/>
        <v>0</v>
      </c>
      <c r="Z826" s="847"/>
      <c r="AA826" s="847"/>
      <c r="AB826" s="741">
        <f t="shared" si="105"/>
        <v>0</v>
      </c>
      <c r="AC826" s="846"/>
      <c r="AD826" s="847"/>
      <c r="AE826" s="846"/>
      <c r="AF826" s="846"/>
      <c r="AG826" s="847"/>
      <c r="AH826" s="847"/>
      <c r="AI826" s="742">
        <f t="shared" si="109"/>
        <v>544711</v>
      </c>
      <c r="AJ826" s="743">
        <f t="shared" si="110"/>
        <v>544711</v>
      </c>
    </row>
    <row r="827" spans="1:36">
      <c r="A827" s="1062" t="s">
        <v>149</v>
      </c>
      <c r="B827" s="901" t="s">
        <v>264</v>
      </c>
      <c r="C827" s="1069" t="s">
        <v>973</v>
      </c>
      <c r="D827" s="1070"/>
      <c r="E827" s="910">
        <v>262129</v>
      </c>
      <c r="F827" s="911">
        <v>6</v>
      </c>
      <c r="G827" s="890">
        <v>17527157</v>
      </c>
      <c r="H827" s="895">
        <v>15849884</v>
      </c>
      <c r="I827" s="846"/>
      <c r="J827" s="895"/>
      <c r="K827" s="846"/>
      <c r="L827" s="895"/>
      <c r="M827" s="890">
        <v>6223311.2199999997</v>
      </c>
      <c r="N827" s="846">
        <v>67111.78</v>
      </c>
      <c r="O827" s="737">
        <f t="shared" si="103"/>
        <v>6290423</v>
      </c>
      <c r="P827" s="895">
        <v>6061646.6299999999</v>
      </c>
      <c r="Q827" s="895">
        <v>71562</v>
      </c>
      <c r="R827" s="738">
        <f t="shared" si="106"/>
        <v>6133208.6299999999</v>
      </c>
      <c r="S827" s="737">
        <f t="shared" si="107"/>
        <v>23750468.219999999</v>
      </c>
      <c r="T827" s="739">
        <f t="shared" si="108"/>
        <v>21911530.629999999</v>
      </c>
      <c r="U827" s="846"/>
      <c r="V827" s="895"/>
      <c r="W827" s="846"/>
      <c r="X827" s="846"/>
      <c r="Y827" s="740">
        <f t="shared" si="104"/>
        <v>0</v>
      </c>
      <c r="Z827" s="895"/>
      <c r="AA827" s="895"/>
      <c r="AB827" s="741">
        <f t="shared" si="105"/>
        <v>0</v>
      </c>
      <c r="AC827" s="846"/>
      <c r="AD827" s="895"/>
      <c r="AE827" s="846"/>
      <c r="AF827" s="846"/>
      <c r="AG827" s="895"/>
      <c r="AH827" s="895"/>
      <c r="AI827" s="742">
        <f t="shared" si="109"/>
        <v>23750468.219999999</v>
      </c>
      <c r="AJ827" s="743">
        <f t="shared" si="110"/>
        <v>21911530.629999999</v>
      </c>
    </row>
    <row r="828" spans="1:36">
      <c r="A828" s="1062" t="s">
        <v>149</v>
      </c>
      <c r="B828" s="901" t="s">
        <v>264</v>
      </c>
      <c r="C828" s="1066" t="s">
        <v>955</v>
      </c>
      <c r="D828" s="1067"/>
      <c r="E828" s="910">
        <v>262129</v>
      </c>
      <c r="F828" s="911">
        <v>6</v>
      </c>
      <c r="G828" s="846"/>
      <c r="H828" s="847"/>
      <c r="I828" s="846">
        <v>204407</v>
      </c>
      <c r="J828" s="847">
        <v>204407</v>
      </c>
      <c r="K828" s="846"/>
      <c r="L828" s="847"/>
      <c r="M828" s="846"/>
      <c r="N828" s="846"/>
      <c r="O828" s="737">
        <f t="shared" si="103"/>
        <v>0</v>
      </c>
      <c r="P828" s="847"/>
      <c r="Q828" s="847"/>
      <c r="R828" s="738">
        <f t="shared" si="106"/>
        <v>0</v>
      </c>
      <c r="S828" s="737">
        <f t="shared" si="107"/>
        <v>204407</v>
      </c>
      <c r="T828" s="739">
        <f t="shared" si="108"/>
        <v>204407</v>
      </c>
      <c r="U828" s="846"/>
      <c r="V828" s="847"/>
      <c r="W828" s="846"/>
      <c r="X828" s="846"/>
      <c r="Y828" s="740">
        <f t="shared" si="104"/>
        <v>0</v>
      </c>
      <c r="Z828" s="847"/>
      <c r="AA828" s="847"/>
      <c r="AB828" s="741">
        <f t="shared" si="105"/>
        <v>0</v>
      </c>
      <c r="AC828" s="846"/>
      <c r="AD828" s="847"/>
      <c r="AE828" s="846"/>
      <c r="AF828" s="846"/>
      <c r="AG828" s="847"/>
      <c r="AH828" s="847"/>
      <c r="AI828" s="742">
        <f t="shared" si="109"/>
        <v>204407</v>
      </c>
      <c r="AJ828" s="743">
        <f t="shared" si="110"/>
        <v>204407</v>
      </c>
    </row>
    <row r="829" spans="1:36">
      <c r="A829" s="1062" t="s">
        <v>149</v>
      </c>
      <c r="B829" s="901" t="s">
        <v>264</v>
      </c>
      <c r="C829" s="1066" t="s">
        <v>956</v>
      </c>
      <c r="D829" s="1067"/>
      <c r="E829" s="910">
        <v>262129</v>
      </c>
      <c r="F829" s="911">
        <v>6</v>
      </c>
      <c r="G829" s="846"/>
      <c r="H829" s="847"/>
      <c r="I829" s="890">
        <v>227111</v>
      </c>
      <c r="J829" s="847">
        <v>227111</v>
      </c>
      <c r="K829" s="846"/>
      <c r="L829" s="847"/>
      <c r="M829" s="846"/>
      <c r="N829" s="846"/>
      <c r="O829" s="737">
        <f t="shared" si="103"/>
        <v>0</v>
      </c>
      <c r="P829" s="847"/>
      <c r="Q829" s="847"/>
      <c r="R829" s="738">
        <f t="shared" si="106"/>
        <v>0</v>
      </c>
      <c r="S829" s="737">
        <f t="shared" si="107"/>
        <v>227111</v>
      </c>
      <c r="T829" s="739">
        <f t="shared" si="108"/>
        <v>227111</v>
      </c>
      <c r="U829" s="846"/>
      <c r="V829" s="847"/>
      <c r="W829" s="846"/>
      <c r="X829" s="846"/>
      <c r="Y829" s="740">
        <f t="shared" si="104"/>
        <v>0</v>
      </c>
      <c r="Z829" s="847"/>
      <c r="AA829" s="847"/>
      <c r="AB829" s="741">
        <f t="shared" si="105"/>
        <v>0</v>
      </c>
      <c r="AC829" s="846"/>
      <c r="AD829" s="847"/>
      <c r="AE829" s="846"/>
      <c r="AF829" s="846"/>
      <c r="AG829" s="847"/>
      <c r="AH829" s="847"/>
      <c r="AI829" s="742">
        <f t="shared" si="109"/>
        <v>227111</v>
      </c>
      <c r="AJ829" s="743">
        <f t="shared" si="110"/>
        <v>227111</v>
      </c>
    </row>
    <row r="830" spans="1:36">
      <c r="A830" s="1062" t="s">
        <v>149</v>
      </c>
      <c r="B830" s="901" t="s">
        <v>264</v>
      </c>
      <c r="C830" s="1069" t="s">
        <v>974</v>
      </c>
      <c r="D830" s="1070"/>
      <c r="E830" s="1072" t="s">
        <v>975</v>
      </c>
      <c r="F830" s="911">
        <v>99</v>
      </c>
      <c r="G830" s="890">
        <v>28674187</v>
      </c>
      <c r="H830" s="895">
        <v>30658090</v>
      </c>
      <c r="I830" s="846"/>
      <c r="J830" s="895"/>
      <c r="K830" s="846"/>
      <c r="L830" s="895"/>
      <c r="M830" s="846"/>
      <c r="N830" s="846"/>
      <c r="O830" s="737">
        <f t="shared" si="103"/>
        <v>0</v>
      </c>
      <c r="P830" s="895"/>
      <c r="Q830" s="847"/>
      <c r="R830" s="738">
        <f t="shared" si="106"/>
        <v>0</v>
      </c>
      <c r="S830" s="737">
        <f t="shared" si="107"/>
        <v>28674187</v>
      </c>
      <c r="T830" s="739">
        <f t="shared" si="108"/>
        <v>30658090</v>
      </c>
      <c r="U830" s="846"/>
      <c r="V830" s="895"/>
      <c r="W830" s="846"/>
      <c r="X830" s="846"/>
      <c r="Y830" s="740">
        <f t="shared" si="104"/>
        <v>0</v>
      </c>
      <c r="Z830" s="895"/>
      <c r="AA830" s="847"/>
      <c r="AB830" s="741">
        <f t="shared" si="105"/>
        <v>0</v>
      </c>
      <c r="AC830" s="846"/>
      <c r="AD830" s="895"/>
      <c r="AE830" s="846"/>
      <c r="AF830" s="846"/>
      <c r="AG830" s="895"/>
      <c r="AH830" s="847"/>
      <c r="AI830" s="742">
        <f t="shared" si="109"/>
        <v>28674187</v>
      </c>
      <c r="AJ830" s="743">
        <f t="shared" si="110"/>
        <v>30658090</v>
      </c>
    </row>
    <row r="831" spans="1:36">
      <c r="A831" s="1062" t="s">
        <v>149</v>
      </c>
      <c r="B831" s="901" t="s">
        <v>272</v>
      </c>
      <c r="C831" s="1066" t="s">
        <v>955</v>
      </c>
      <c r="D831" s="1067"/>
      <c r="E831" s="1072" t="s">
        <v>975</v>
      </c>
      <c r="F831" s="911">
        <v>99</v>
      </c>
      <c r="G831" s="846"/>
      <c r="H831" s="847"/>
      <c r="I831" s="846">
        <v>50000</v>
      </c>
      <c r="J831" s="847">
        <v>50000</v>
      </c>
      <c r="K831" s="846"/>
      <c r="L831" s="847"/>
      <c r="M831" s="846"/>
      <c r="N831" s="846"/>
      <c r="O831" s="737">
        <f t="shared" si="103"/>
        <v>0</v>
      </c>
      <c r="P831" s="847"/>
      <c r="Q831" s="847"/>
      <c r="R831" s="738">
        <f t="shared" si="106"/>
        <v>0</v>
      </c>
      <c r="S831" s="737">
        <f t="shared" si="107"/>
        <v>50000</v>
      </c>
      <c r="T831" s="739">
        <f t="shared" si="108"/>
        <v>50000</v>
      </c>
      <c r="U831" s="846"/>
      <c r="V831" s="847"/>
      <c r="W831" s="846"/>
      <c r="X831" s="846"/>
      <c r="Y831" s="740">
        <f t="shared" si="104"/>
        <v>0</v>
      </c>
      <c r="Z831" s="847"/>
      <c r="AA831" s="847"/>
      <c r="AB831" s="741">
        <f t="shared" si="105"/>
        <v>0</v>
      </c>
      <c r="AC831" s="846"/>
      <c r="AD831" s="847"/>
      <c r="AE831" s="846"/>
      <c r="AF831" s="846"/>
      <c r="AG831" s="847"/>
      <c r="AH831" s="847"/>
      <c r="AI831" s="742">
        <f t="shared" si="109"/>
        <v>50000</v>
      </c>
      <c r="AJ831" s="743">
        <f t="shared" si="110"/>
        <v>50000</v>
      </c>
    </row>
    <row r="832" spans="1:36">
      <c r="A832" s="1062" t="s">
        <v>149</v>
      </c>
      <c r="B832" s="901" t="s">
        <v>272</v>
      </c>
      <c r="C832" s="1066" t="s">
        <v>956</v>
      </c>
      <c r="D832" s="1067"/>
      <c r="E832" s="1072" t="s">
        <v>975</v>
      </c>
      <c r="F832" s="911">
        <v>99</v>
      </c>
      <c r="G832" s="846"/>
      <c r="H832" s="847"/>
      <c r="I832" s="890">
        <v>17767</v>
      </c>
      <c r="J832" s="847">
        <v>17767</v>
      </c>
      <c r="K832" s="846"/>
      <c r="L832" s="847"/>
      <c r="M832" s="846"/>
      <c r="N832" s="846"/>
      <c r="O832" s="737">
        <f t="shared" si="103"/>
        <v>0</v>
      </c>
      <c r="P832" s="847"/>
      <c r="Q832" s="847"/>
      <c r="R832" s="738">
        <f t="shared" si="106"/>
        <v>0</v>
      </c>
      <c r="S832" s="737">
        <f t="shared" si="107"/>
        <v>17767</v>
      </c>
      <c r="T832" s="739">
        <f t="shared" si="108"/>
        <v>17767</v>
      </c>
      <c r="U832" s="846"/>
      <c r="V832" s="847"/>
      <c r="W832" s="846"/>
      <c r="X832" s="846"/>
      <c r="Y832" s="740">
        <f t="shared" si="104"/>
        <v>0</v>
      </c>
      <c r="Z832" s="847"/>
      <c r="AA832" s="847"/>
      <c r="AB832" s="741">
        <f t="shared" si="105"/>
        <v>0</v>
      </c>
      <c r="AC832" s="846"/>
      <c r="AD832" s="847"/>
      <c r="AE832" s="846"/>
      <c r="AF832" s="846"/>
      <c r="AG832" s="847"/>
      <c r="AH832" s="847"/>
      <c r="AI832" s="742">
        <f t="shared" si="109"/>
        <v>17767</v>
      </c>
      <c r="AJ832" s="743">
        <f t="shared" si="110"/>
        <v>17767</v>
      </c>
    </row>
    <row r="833" spans="1:36">
      <c r="A833" s="1062" t="s">
        <v>149</v>
      </c>
      <c r="B833" s="901" t="s">
        <v>271</v>
      </c>
      <c r="C833" s="1066" t="s">
        <v>966</v>
      </c>
      <c r="D833" s="1067"/>
      <c r="E833" s="1072" t="s">
        <v>975</v>
      </c>
      <c r="F833" s="911">
        <v>99</v>
      </c>
      <c r="G833" s="846"/>
      <c r="H833" s="847"/>
      <c r="I833" s="890">
        <v>5060505</v>
      </c>
      <c r="J833" s="847">
        <v>5075347</v>
      </c>
      <c r="K833" s="846"/>
      <c r="L833" s="847"/>
      <c r="M833" s="846"/>
      <c r="N833" s="846"/>
      <c r="O833" s="737">
        <f t="shared" si="103"/>
        <v>0</v>
      </c>
      <c r="P833" s="847"/>
      <c r="Q833" s="847"/>
      <c r="R833" s="738">
        <f t="shared" si="106"/>
        <v>0</v>
      </c>
      <c r="S833" s="737">
        <f t="shared" si="107"/>
        <v>5060505</v>
      </c>
      <c r="T833" s="739">
        <f t="shared" si="108"/>
        <v>5075347</v>
      </c>
      <c r="U833" s="846"/>
      <c r="V833" s="847"/>
      <c r="W833" s="846"/>
      <c r="X833" s="846"/>
      <c r="Y833" s="740">
        <f t="shared" si="104"/>
        <v>0</v>
      </c>
      <c r="Z833" s="847"/>
      <c r="AA833" s="847"/>
      <c r="AB833" s="741">
        <f t="shared" si="105"/>
        <v>0</v>
      </c>
      <c r="AC833" s="846"/>
      <c r="AD833" s="847"/>
      <c r="AE833" s="846"/>
      <c r="AF833" s="846"/>
      <c r="AG833" s="847"/>
      <c r="AH833" s="847"/>
      <c r="AI833" s="742">
        <f t="shared" si="109"/>
        <v>5060505</v>
      </c>
      <c r="AJ833" s="743">
        <f t="shared" si="110"/>
        <v>5075347</v>
      </c>
    </row>
    <row r="834" spans="1:36">
      <c r="A834" s="1062" t="s">
        <v>149</v>
      </c>
      <c r="B834" s="901" t="s">
        <v>303</v>
      </c>
      <c r="C834" s="1070" t="s">
        <v>496</v>
      </c>
      <c r="D834" s="1070"/>
      <c r="E834" s="910"/>
      <c r="F834" s="911"/>
      <c r="G834" s="846"/>
      <c r="H834" s="847"/>
      <c r="I834" s="846"/>
      <c r="J834" s="847"/>
      <c r="K834" s="846"/>
      <c r="L834" s="847"/>
      <c r="M834" s="846"/>
      <c r="N834" s="846"/>
      <c r="O834" s="737">
        <f t="shared" si="103"/>
        <v>0</v>
      </c>
      <c r="P834" s="847"/>
      <c r="Q834" s="847"/>
      <c r="R834" s="738">
        <f t="shared" si="106"/>
        <v>0</v>
      </c>
      <c r="S834" s="737">
        <f t="shared" si="107"/>
        <v>0</v>
      </c>
      <c r="T834" s="739">
        <f t="shared" si="108"/>
        <v>0</v>
      </c>
      <c r="U834" s="846"/>
      <c r="V834" s="847"/>
      <c r="W834" s="846"/>
      <c r="X834" s="846"/>
      <c r="Y834" s="740">
        <f t="shared" si="104"/>
        <v>0</v>
      </c>
      <c r="Z834" s="847"/>
      <c r="AA834" s="847"/>
      <c r="AB834" s="741">
        <f t="shared" si="105"/>
        <v>0</v>
      </c>
      <c r="AC834" s="846"/>
      <c r="AD834" s="847"/>
      <c r="AE834" s="846"/>
      <c r="AF834" s="846"/>
      <c r="AG834" s="847"/>
      <c r="AH834" s="847"/>
      <c r="AI834" s="742">
        <f t="shared" si="109"/>
        <v>0</v>
      </c>
      <c r="AJ834" s="743">
        <f t="shared" si="110"/>
        <v>0</v>
      </c>
    </row>
    <row r="835" spans="1:36">
      <c r="A835" s="1062" t="s">
        <v>149</v>
      </c>
      <c r="B835" s="901" t="s">
        <v>274</v>
      </c>
      <c r="C835" s="1068" t="s">
        <v>319</v>
      </c>
      <c r="D835" s="1067"/>
      <c r="E835" s="910"/>
      <c r="F835" s="911"/>
      <c r="G835" s="846"/>
      <c r="H835" s="847"/>
      <c r="I835" s="846"/>
      <c r="J835" s="847"/>
      <c r="K835" s="846"/>
      <c r="L835" s="847"/>
      <c r="M835" s="846"/>
      <c r="N835" s="846"/>
      <c r="O835" s="737">
        <f t="shared" si="103"/>
        <v>0</v>
      </c>
      <c r="P835" s="847"/>
      <c r="Q835" s="847"/>
      <c r="R835" s="738">
        <f t="shared" si="106"/>
        <v>0</v>
      </c>
      <c r="S835" s="737">
        <f t="shared" si="107"/>
        <v>0</v>
      </c>
      <c r="T835" s="739">
        <f t="shared" si="108"/>
        <v>0</v>
      </c>
      <c r="U835" s="846"/>
      <c r="V835" s="847"/>
      <c r="W835" s="846"/>
      <c r="X835" s="846"/>
      <c r="Y835" s="740">
        <f t="shared" si="104"/>
        <v>0</v>
      </c>
      <c r="Z835" s="847"/>
      <c r="AA835" s="847"/>
      <c r="AB835" s="741">
        <f t="shared" si="105"/>
        <v>0</v>
      </c>
      <c r="AC835" s="846"/>
      <c r="AD835" s="847"/>
      <c r="AE835" s="846"/>
      <c r="AF835" s="846"/>
      <c r="AG835" s="847"/>
      <c r="AH835" s="847"/>
      <c r="AI835" s="742">
        <f t="shared" si="109"/>
        <v>0</v>
      </c>
      <c r="AJ835" s="743">
        <f t="shared" si="110"/>
        <v>0</v>
      </c>
    </row>
    <row r="836" spans="1:36">
      <c r="A836" s="1062" t="s">
        <v>149</v>
      </c>
      <c r="B836" s="901" t="s">
        <v>278</v>
      </c>
      <c r="C836" s="1068" t="s">
        <v>309</v>
      </c>
      <c r="D836" s="1067"/>
      <c r="E836" s="910"/>
      <c r="F836" s="911"/>
      <c r="G836" s="846"/>
      <c r="H836" s="847"/>
      <c r="I836" s="846"/>
      <c r="J836" s="847"/>
      <c r="K836" s="846"/>
      <c r="L836" s="847"/>
      <c r="M836" s="846"/>
      <c r="N836" s="846"/>
      <c r="O836" s="737">
        <f t="shared" si="103"/>
        <v>0</v>
      </c>
      <c r="P836" s="847"/>
      <c r="Q836" s="847"/>
      <c r="R836" s="738">
        <f t="shared" si="106"/>
        <v>0</v>
      </c>
      <c r="S836" s="737">
        <f t="shared" si="107"/>
        <v>0</v>
      </c>
      <c r="T836" s="739">
        <f t="shared" si="108"/>
        <v>0</v>
      </c>
      <c r="U836" s="846"/>
      <c r="V836" s="847"/>
      <c r="W836" s="846"/>
      <c r="X836" s="846"/>
      <c r="Y836" s="740">
        <f t="shared" si="104"/>
        <v>0</v>
      </c>
      <c r="Z836" s="847"/>
      <c r="AA836" s="847"/>
      <c r="AB836" s="741">
        <f t="shared" si="105"/>
        <v>0</v>
      </c>
      <c r="AC836" s="846"/>
      <c r="AD836" s="847"/>
      <c r="AE836" s="846"/>
      <c r="AF836" s="846"/>
      <c r="AG836" s="847"/>
      <c r="AH836" s="847"/>
      <c r="AI836" s="742">
        <f t="shared" si="109"/>
        <v>0</v>
      </c>
      <c r="AJ836" s="743">
        <f t="shared" si="110"/>
        <v>0</v>
      </c>
    </row>
    <row r="837" spans="1:36">
      <c r="A837" s="1062" t="s">
        <v>149</v>
      </c>
      <c r="B837" s="901" t="s">
        <v>278</v>
      </c>
      <c r="C837" s="1066" t="s">
        <v>976</v>
      </c>
      <c r="D837" s="1067"/>
      <c r="E837" s="910"/>
      <c r="F837" s="911"/>
      <c r="G837" s="846"/>
      <c r="H837" s="847"/>
      <c r="I837" s="846">
        <v>10576930</v>
      </c>
      <c r="J837" s="847">
        <v>12576930</v>
      </c>
      <c r="K837" s="846"/>
      <c r="L837" s="847"/>
      <c r="M837" s="846"/>
      <c r="N837" s="846"/>
      <c r="O837" s="737">
        <f t="shared" si="103"/>
        <v>0</v>
      </c>
      <c r="P837" s="847"/>
      <c r="Q837" s="847"/>
      <c r="R837" s="738">
        <f t="shared" si="106"/>
        <v>0</v>
      </c>
      <c r="S837" s="737">
        <f t="shared" si="107"/>
        <v>10576930</v>
      </c>
      <c r="T837" s="739">
        <f t="shared" si="108"/>
        <v>12576930</v>
      </c>
      <c r="U837" s="846"/>
      <c r="V837" s="847"/>
      <c r="W837" s="846"/>
      <c r="X837" s="846"/>
      <c r="Y837" s="740">
        <f t="shared" si="104"/>
        <v>0</v>
      </c>
      <c r="Z837" s="847"/>
      <c r="AA837" s="847"/>
      <c r="AB837" s="741">
        <f t="shared" si="105"/>
        <v>0</v>
      </c>
      <c r="AC837" s="846"/>
      <c r="AD837" s="847"/>
      <c r="AE837" s="846"/>
      <c r="AF837" s="846"/>
      <c r="AG837" s="847"/>
      <c r="AH837" s="847"/>
      <c r="AI837" s="742">
        <f t="shared" si="109"/>
        <v>10576930</v>
      </c>
      <c r="AJ837" s="743">
        <f t="shared" si="110"/>
        <v>12576930</v>
      </c>
    </row>
    <row r="838" spans="1:36">
      <c r="A838" s="1062" t="s">
        <v>149</v>
      </c>
      <c r="B838" s="901" t="s">
        <v>278</v>
      </c>
      <c r="C838" s="1066" t="s">
        <v>977</v>
      </c>
      <c r="D838" s="1067"/>
      <c r="E838" s="910"/>
      <c r="F838" s="911"/>
      <c r="G838" s="846"/>
      <c r="H838" s="847"/>
      <c r="I838" s="846">
        <v>2739184</v>
      </c>
      <c r="J838" s="847">
        <v>3489184</v>
      </c>
      <c r="K838" s="846"/>
      <c r="L838" s="847"/>
      <c r="M838" s="846"/>
      <c r="N838" s="846"/>
      <c r="O838" s="737">
        <f t="shared" si="103"/>
        <v>0</v>
      </c>
      <c r="P838" s="847"/>
      <c r="Q838" s="847"/>
      <c r="R838" s="738">
        <f t="shared" si="106"/>
        <v>0</v>
      </c>
      <c r="S838" s="737">
        <f t="shared" si="107"/>
        <v>2739184</v>
      </c>
      <c r="T838" s="739">
        <f t="shared" si="108"/>
        <v>3489184</v>
      </c>
      <c r="U838" s="846"/>
      <c r="V838" s="847"/>
      <c r="W838" s="846"/>
      <c r="X838" s="846"/>
      <c r="Y838" s="740">
        <f t="shared" si="104"/>
        <v>0</v>
      </c>
      <c r="Z838" s="847"/>
      <c r="AA838" s="847"/>
      <c r="AB838" s="741">
        <f t="shared" si="105"/>
        <v>0</v>
      </c>
      <c r="AC838" s="846"/>
      <c r="AD838" s="847"/>
      <c r="AE838" s="846"/>
      <c r="AF838" s="846"/>
      <c r="AG838" s="847"/>
      <c r="AH838" s="847"/>
      <c r="AI838" s="742">
        <f t="shared" si="109"/>
        <v>2739184</v>
      </c>
      <c r="AJ838" s="743">
        <f t="shared" si="110"/>
        <v>3489184</v>
      </c>
    </row>
    <row r="839" spans="1:36">
      <c r="A839" s="1062" t="s">
        <v>149</v>
      </c>
      <c r="B839" s="901" t="s">
        <v>279</v>
      </c>
      <c r="C839" s="1068" t="s">
        <v>636</v>
      </c>
      <c r="D839" s="1067"/>
      <c r="E839" s="910"/>
      <c r="F839" s="911"/>
      <c r="G839" s="846"/>
      <c r="H839" s="847"/>
      <c r="I839" s="846"/>
      <c r="J839" s="847"/>
      <c r="K839" s="846"/>
      <c r="L839" s="847"/>
      <c r="M839" s="846"/>
      <c r="N839" s="846"/>
      <c r="O839" s="737">
        <f t="shared" si="103"/>
        <v>0</v>
      </c>
      <c r="P839" s="847"/>
      <c r="Q839" s="847"/>
      <c r="R839" s="738">
        <f t="shared" si="106"/>
        <v>0</v>
      </c>
      <c r="S839" s="737">
        <f t="shared" si="107"/>
        <v>0</v>
      </c>
      <c r="T839" s="739">
        <f t="shared" si="108"/>
        <v>0</v>
      </c>
      <c r="U839" s="846"/>
      <c r="V839" s="847"/>
      <c r="W839" s="846"/>
      <c r="X839" s="846"/>
      <c r="Y839" s="740">
        <f t="shared" si="104"/>
        <v>0</v>
      </c>
      <c r="Z839" s="847"/>
      <c r="AA839" s="847"/>
      <c r="AB839" s="741">
        <f t="shared" si="105"/>
        <v>0</v>
      </c>
      <c r="AC839" s="846"/>
      <c r="AD839" s="847"/>
      <c r="AE839" s="846"/>
      <c r="AF839" s="846"/>
      <c r="AG839" s="847"/>
      <c r="AH839" s="847"/>
      <c r="AI839" s="742">
        <f t="shared" si="109"/>
        <v>0</v>
      </c>
      <c r="AJ839" s="743">
        <f t="shared" si="110"/>
        <v>0</v>
      </c>
    </row>
    <row r="840" spans="1:36">
      <c r="A840" s="1062" t="s">
        <v>149</v>
      </c>
      <c r="B840" s="901" t="s">
        <v>279</v>
      </c>
      <c r="C840" s="1066" t="s">
        <v>978</v>
      </c>
      <c r="D840" s="1067"/>
      <c r="E840" s="910"/>
      <c r="F840" s="911"/>
      <c r="G840" s="846"/>
      <c r="H840" s="847"/>
      <c r="I840" s="846"/>
      <c r="J840" s="847"/>
      <c r="K840" s="846"/>
      <c r="L840" s="847"/>
      <c r="M840" s="846"/>
      <c r="N840" s="846"/>
      <c r="O840" s="737">
        <f t="shared" si="103"/>
        <v>0</v>
      </c>
      <c r="P840" s="847"/>
      <c r="Q840" s="847"/>
      <c r="R840" s="738">
        <f t="shared" si="106"/>
        <v>0</v>
      </c>
      <c r="S840" s="737">
        <f t="shared" si="107"/>
        <v>0</v>
      </c>
      <c r="T840" s="739">
        <f t="shared" si="108"/>
        <v>0</v>
      </c>
      <c r="U840" s="846"/>
      <c r="V840" s="847"/>
      <c r="W840" s="846"/>
      <c r="X840" s="846"/>
      <c r="Y840" s="740">
        <f t="shared" si="104"/>
        <v>0</v>
      </c>
      <c r="Z840" s="847"/>
      <c r="AA840" s="847"/>
      <c r="AB840" s="741">
        <f t="shared" si="105"/>
        <v>0</v>
      </c>
      <c r="AC840" s="846"/>
      <c r="AD840" s="847"/>
      <c r="AE840" s="846"/>
      <c r="AF840" s="846"/>
      <c r="AG840" s="847"/>
      <c r="AH840" s="847"/>
      <c r="AI840" s="742">
        <f t="shared" si="109"/>
        <v>0</v>
      </c>
      <c r="AJ840" s="743">
        <f t="shared" si="110"/>
        <v>0</v>
      </c>
    </row>
    <row r="841" spans="1:36">
      <c r="A841" s="1062" t="s">
        <v>149</v>
      </c>
      <c r="B841" s="901" t="s">
        <v>281</v>
      </c>
      <c r="C841" s="1070" t="s">
        <v>109</v>
      </c>
      <c r="D841" s="1070"/>
      <c r="E841" s="910"/>
      <c r="F841" s="911"/>
      <c r="G841" s="846"/>
      <c r="H841" s="847"/>
      <c r="I841" s="846"/>
      <c r="J841" s="847"/>
      <c r="K841" s="846"/>
      <c r="L841" s="847"/>
      <c r="M841" s="846"/>
      <c r="N841" s="846"/>
      <c r="O841" s="737">
        <f t="shared" si="103"/>
        <v>0</v>
      </c>
      <c r="P841" s="847"/>
      <c r="Q841" s="847"/>
      <c r="R841" s="738">
        <f t="shared" si="106"/>
        <v>0</v>
      </c>
      <c r="S841" s="737">
        <f t="shared" si="107"/>
        <v>0</v>
      </c>
      <c r="T841" s="739">
        <f t="shared" si="108"/>
        <v>0</v>
      </c>
      <c r="U841" s="846"/>
      <c r="V841" s="847"/>
      <c r="W841" s="846"/>
      <c r="X841" s="846"/>
      <c r="Y841" s="740">
        <f t="shared" si="104"/>
        <v>0</v>
      </c>
      <c r="Z841" s="847"/>
      <c r="AA841" s="847"/>
      <c r="AB841" s="741">
        <f t="shared" si="105"/>
        <v>0</v>
      </c>
      <c r="AC841" s="846"/>
      <c r="AD841" s="847"/>
      <c r="AE841" s="846"/>
      <c r="AF841" s="846"/>
      <c r="AG841" s="847"/>
      <c r="AH841" s="847"/>
      <c r="AI841" s="742">
        <f t="shared" si="109"/>
        <v>0</v>
      </c>
      <c r="AJ841" s="743">
        <f t="shared" si="110"/>
        <v>0</v>
      </c>
    </row>
    <row r="842" spans="1:36">
      <c r="A842" s="1062" t="s">
        <v>149</v>
      </c>
      <c r="B842" s="901" t="s">
        <v>282</v>
      </c>
      <c r="C842" s="1068" t="s">
        <v>140</v>
      </c>
      <c r="D842" s="1067"/>
      <c r="E842" s="910"/>
      <c r="F842" s="911"/>
      <c r="G842" s="846"/>
      <c r="H842" s="847"/>
      <c r="I842" s="846"/>
      <c r="J842" s="847"/>
      <c r="K842" s="846"/>
      <c r="L842" s="847"/>
      <c r="M842" s="846"/>
      <c r="N842" s="846"/>
      <c r="O842" s="737">
        <f t="shared" ref="O842:O905" si="111">SUM(M842:N842)</f>
        <v>0</v>
      </c>
      <c r="P842" s="847"/>
      <c r="Q842" s="847"/>
      <c r="R842" s="738">
        <f t="shared" si="106"/>
        <v>0</v>
      </c>
      <c r="S842" s="737">
        <f t="shared" si="107"/>
        <v>0</v>
      </c>
      <c r="T842" s="739">
        <f t="shared" si="108"/>
        <v>0</v>
      </c>
      <c r="U842" s="846"/>
      <c r="V842" s="847"/>
      <c r="W842" s="846"/>
      <c r="X842" s="846"/>
      <c r="Y842" s="740">
        <f t="shared" ref="Y842:Y905" si="112">SUM(W842:X842)</f>
        <v>0</v>
      </c>
      <c r="Z842" s="847"/>
      <c r="AA842" s="847"/>
      <c r="AB842" s="741">
        <f t="shared" ref="AB842:AB905" si="113">SUM(Z842:AA842)</f>
        <v>0</v>
      </c>
      <c r="AC842" s="846"/>
      <c r="AD842" s="847"/>
      <c r="AE842" s="846"/>
      <c r="AF842" s="846"/>
      <c r="AG842" s="847"/>
      <c r="AH842" s="847"/>
      <c r="AI842" s="742">
        <f t="shared" si="109"/>
        <v>0</v>
      </c>
      <c r="AJ842" s="743">
        <f t="shared" si="110"/>
        <v>0</v>
      </c>
    </row>
    <row r="843" spans="1:36">
      <c r="A843" s="1062" t="s">
        <v>149</v>
      </c>
      <c r="B843" s="901" t="s">
        <v>282</v>
      </c>
      <c r="C843" s="1066" t="s">
        <v>979</v>
      </c>
      <c r="D843" s="1067"/>
      <c r="E843" s="910"/>
      <c r="F843" s="1073"/>
      <c r="G843" s="846"/>
      <c r="H843" s="847"/>
      <c r="I843" s="846"/>
      <c r="J843" s="847"/>
      <c r="K843" s="846"/>
      <c r="L843" s="847"/>
      <c r="M843" s="846"/>
      <c r="N843" s="846"/>
      <c r="O843" s="737">
        <f t="shared" si="111"/>
        <v>0</v>
      </c>
      <c r="P843" s="847"/>
      <c r="Q843" s="847"/>
      <c r="R843" s="738">
        <f t="shared" ref="R843:R906" si="114">SUM(P843:Q843)</f>
        <v>0</v>
      </c>
      <c r="S843" s="737">
        <f t="shared" ref="S843:S906" si="115">SUM(G843,I843,K843,M843)</f>
        <v>0</v>
      </c>
      <c r="T843" s="739">
        <f t="shared" ref="T843:T906" si="116">SUM(H843,J843,L843,P843)</f>
        <v>0</v>
      </c>
      <c r="U843" s="846">
        <v>6550307</v>
      </c>
      <c r="V843" s="847">
        <v>8209301</v>
      </c>
      <c r="W843" s="846"/>
      <c r="X843" s="846"/>
      <c r="Y843" s="740">
        <f t="shared" si="112"/>
        <v>0</v>
      </c>
      <c r="Z843" s="847"/>
      <c r="AA843" s="847"/>
      <c r="AB843" s="741">
        <f t="shared" si="113"/>
        <v>0</v>
      </c>
      <c r="AC843" s="846"/>
      <c r="AD843" s="847"/>
      <c r="AE843" s="846"/>
      <c r="AF843" s="846"/>
      <c r="AG843" s="847"/>
      <c r="AH843" s="847"/>
      <c r="AI843" s="742">
        <f t="shared" ref="AI843:AI906" si="117">SUM(S843,U843,W843,AC843,AE843)</f>
        <v>6550307</v>
      </c>
      <c r="AJ843" s="743">
        <f t="shared" ref="AJ843:AJ906" si="118">SUM(T843,V843,Z843,AD843,AG843)</f>
        <v>8209301</v>
      </c>
    </row>
    <row r="844" spans="1:36">
      <c r="A844" s="1062" t="s">
        <v>149</v>
      </c>
      <c r="B844" s="901" t="s">
        <v>284</v>
      </c>
      <c r="C844" s="1068" t="s">
        <v>138</v>
      </c>
      <c r="D844" s="1067"/>
      <c r="E844" s="910"/>
      <c r="F844" s="911"/>
      <c r="G844" s="846"/>
      <c r="H844" s="847"/>
      <c r="I844" s="846"/>
      <c r="J844" s="847"/>
      <c r="K844" s="846"/>
      <c r="L844" s="847"/>
      <c r="M844" s="846"/>
      <c r="N844" s="846"/>
      <c r="O844" s="737">
        <f t="shared" si="111"/>
        <v>0</v>
      </c>
      <c r="P844" s="847"/>
      <c r="Q844" s="847"/>
      <c r="R844" s="738">
        <f t="shared" si="114"/>
        <v>0</v>
      </c>
      <c r="S844" s="737">
        <f t="shared" si="115"/>
        <v>0</v>
      </c>
      <c r="T844" s="739">
        <f t="shared" si="116"/>
        <v>0</v>
      </c>
      <c r="U844" s="846"/>
      <c r="V844" s="847"/>
      <c r="W844" s="846"/>
      <c r="X844" s="846"/>
      <c r="Y844" s="740">
        <f t="shared" si="112"/>
        <v>0</v>
      </c>
      <c r="Z844" s="847"/>
      <c r="AA844" s="847"/>
      <c r="AB844" s="741">
        <f t="shared" si="113"/>
        <v>0</v>
      </c>
      <c r="AC844" s="846"/>
      <c r="AD844" s="847"/>
      <c r="AE844" s="846"/>
      <c r="AF844" s="846"/>
      <c r="AG844" s="847"/>
      <c r="AH844" s="847"/>
      <c r="AI844" s="742">
        <f t="shared" si="117"/>
        <v>0</v>
      </c>
      <c r="AJ844" s="743">
        <f t="shared" si="118"/>
        <v>0</v>
      </c>
    </row>
    <row r="845" spans="1:36">
      <c r="A845" s="1062" t="s">
        <v>149</v>
      </c>
      <c r="B845" s="901" t="s">
        <v>284</v>
      </c>
      <c r="C845" s="1066" t="s">
        <v>502</v>
      </c>
      <c r="D845" s="1067"/>
      <c r="E845" s="910"/>
      <c r="F845" s="911"/>
      <c r="G845" s="846"/>
      <c r="H845" s="847"/>
      <c r="I845" s="846"/>
      <c r="J845" s="847"/>
      <c r="K845" s="846"/>
      <c r="L845" s="847"/>
      <c r="M845" s="846"/>
      <c r="N845" s="846"/>
      <c r="O845" s="737">
        <f t="shared" si="111"/>
        <v>0</v>
      </c>
      <c r="P845" s="847"/>
      <c r="Q845" s="847"/>
      <c r="R845" s="738">
        <f t="shared" si="114"/>
        <v>0</v>
      </c>
      <c r="S845" s="737">
        <f t="shared" si="115"/>
        <v>0</v>
      </c>
      <c r="T845" s="739">
        <f t="shared" si="116"/>
        <v>0</v>
      </c>
      <c r="U845" s="846">
        <v>193550</v>
      </c>
      <c r="V845" s="847">
        <v>193550</v>
      </c>
      <c r="W845" s="846"/>
      <c r="X845" s="846"/>
      <c r="Y845" s="740">
        <f t="shared" si="112"/>
        <v>0</v>
      </c>
      <c r="Z845" s="847"/>
      <c r="AA845" s="847"/>
      <c r="AB845" s="741">
        <f t="shared" si="113"/>
        <v>0</v>
      </c>
      <c r="AC845" s="846"/>
      <c r="AD845" s="847"/>
      <c r="AE845" s="846"/>
      <c r="AF845" s="846"/>
      <c r="AG845" s="847"/>
      <c r="AH845" s="847"/>
      <c r="AI845" s="742">
        <f t="shared" si="117"/>
        <v>193550</v>
      </c>
      <c r="AJ845" s="743">
        <f t="shared" si="118"/>
        <v>193550</v>
      </c>
    </row>
    <row r="846" spans="1:36">
      <c r="A846" s="1062" t="s">
        <v>149</v>
      </c>
      <c r="B846" s="901" t="s">
        <v>285</v>
      </c>
      <c r="C846" s="1068" t="s">
        <v>504</v>
      </c>
      <c r="D846" s="1067"/>
      <c r="E846" s="910"/>
      <c r="F846" s="911"/>
      <c r="G846" s="846"/>
      <c r="H846" s="847"/>
      <c r="I846" s="846"/>
      <c r="J846" s="847"/>
      <c r="K846" s="846"/>
      <c r="L846" s="847"/>
      <c r="M846" s="846"/>
      <c r="N846" s="846"/>
      <c r="O846" s="737">
        <f t="shared" si="111"/>
        <v>0</v>
      </c>
      <c r="P846" s="847"/>
      <c r="Q846" s="847"/>
      <c r="R846" s="738">
        <f t="shared" si="114"/>
        <v>0</v>
      </c>
      <c r="S846" s="737">
        <f t="shared" si="115"/>
        <v>0</v>
      </c>
      <c r="T846" s="739">
        <f t="shared" si="116"/>
        <v>0</v>
      </c>
      <c r="U846" s="846"/>
      <c r="V846" s="847"/>
      <c r="W846" s="846"/>
      <c r="X846" s="846"/>
      <c r="Y846" s="740">
        <f t="shared" si="112"/>
        <v>0</v>
      </c>
      <c r="Z846" s="847"/>
      <c r="AA846" s="847"/>
      <c r="AB846" s="741">
        <f t="shared" si="113"/>
        <v>0</v>
      </c>
      <c r="AC846" s="846"/>
      <c r="AD846" s="847"/>
      <c r="AE846" s="846"/>
      <c r="AF846" s="846"/>
      <c r="AG846" s="847"/>
      <c r="AH846" s="847"/>
      <c r="AI846" s="742">
        <f t="shared" si="117"/>
        <v>0</v>
      </c>
      <c r="AJ846" s="743">
        <f t="shared" si="118"/>
        <v>0</v>
      </c>
    </row>
    <row r="847" spans="1:36">
      <c r="A847" s="1062" t="s">
        <v>149</v>
      </c>
      <c r="B847" s="901" t="s">
        <v>286</v>
      </c>
      <c r="C847" s="1070" t="s">
        <v>506</v>
      </c>
      <c r="D847" s="1070"/>
      <c r="E847" s="910"/>
      <c r="F847" s="911"/>
      <c r="G847" s="846"/>
      <c r="H847" s="847"/>
      <c r="I847" s="846"/>
      <c r="J847" s="847"/>
      <c r="K847" s="846"/>
      <c r="L847" s="847"/>
      <c r="M847" s="846"/>
      <c r="N847" s="846"/>
      <c r="O847" s="737">
        <f t="shared" si="111"/>
        <v>0</v>
      </c>
      <c r="P847" s="847"/>
      <c r="Q847" s="847"/>
      <c r="R847" s="738">
        <f t="shared" si="114"/>
        <v>0</v>
      </c>
      <c r="S847" s="737">
        <f t="shared" si="115"/>
        <v>0</v>
      </c>
      <c r="T847" s="739">
        <f t="shared" si="116"/>
        <v>0</v>
      </c>
      <c r="U847" s="846"/>
      <c r="V847" s="847"/>
      <c r="W847" s="846"/>
      <c r="X847" s="846"/>
      <c r="Y847" s="740">
        <f t="shared" si="112"/>
        <v>0</v>
      </c>
      <c r="Z847" s="847"/>
      <c r="AA847" s="847"/>
      <c r="AB847" s="741">
        <f t="shared" si="113"/>
        <v>0</v>
      </c>
      <c r="AC847" s="846"/>
      <c r="AD847" s="847"/>
      <c r="AE847" s="846"/>
      <c r="AF847" s="846"/>
      <c r="AG847" s="847"/>
      <c r="AH847" s="847"/>
      <c r="AI847" s="742">
        <f t="shared" si="117"/>
        <v>0</v>
      </c>
      <c r="AJ847" s="743">
        <f t="shared" si="118"/>
        <v>0</v>
      </c>
    </row>
    <row r="848" spans="1:36">
      <c r="A848" s="1062" t="s">
        <v>149</v>
      </c>
      <c r="B848" s="901" t="s">
        <v>286</v>
      </c>
      <c r="C848" s="1066" t="s">
        <v>980</v>
      </c>
      <c r="D848" s="1067"/>
      <c r="E848" s="910"/>
      <c r="F848" s="911"/>
      <c r="G848" s="846"/>
      <c r="H848" s="847"/>
      <c r="I848" s="846"/>
      <c r="J848" s="847"/>
      <c r="K848" s="846"/>
      <c r="L848" s="847"/>
      <c r="M848" s="846"/>
      <c r="N848" s="846"/>
      <c r="O848" s="737">
        <f t="shared" si="111"/>
        <v>0</v>
      </c>
      <c r="P848" s="847"/>
      <c r="Q848" s="847"/>
      <c r="R848" s="738">
        <f t="shared" si="114"/>
        <v>0</v>
      </c>
      <c r="S848" s="737">
        <f t="shared" si="115"/>
        <v>0</v>
      </c>
      <c r="T848" s="739">
        <f t="shared" si="116"/>
        <v>0</v>
      </c>
      <c r="U848" s="846"/>
      <c r="V848" s="847"/>
      <c r="W848" s="846"/>
      <c r="X848" s="846"/>
      <c r="Y848" s="740">
        <f t="shared" si="112"/>
        <v>0</v>
      </c>
      <c r="Z848" s="847"/>
      <c r="AA848" s="847"/>
      <c r="AB848" s="741">
        <f t="shared" si="113"/>
        <v>0</v>
      </c>
      <c r="AC848" s="846"/>
      <c r="AD848" s="847"/>
      <c r="AE848" s="846"/>
      <c r="AF848" s="846"/>
      <c r="AG848" s="847"/>
      <c r="AH848" s="847"/>
      <c r="AI848" s="742">
        <f t="shared" si="117"/>
        <v>0</v>
      </c>
      <c r="AJ848" s="743">
        <f t="shared" si="118"/>
        <v>0</v>
      </c>
    </row>
    <row r="849" spans="1:36">
      <c r="A849" s="1062" t="s">
        <v>149</v>
      </c>
      <c r="B849" s="901" t="s">
        <v>286</v>
      </c>
      <c r="C849" s="1066" t="s">
        <v>981</v>
      </c>
      <c r="D849" s="1067"/>
      <c r="E849" s="910"/>
      <c r="F849" s="911"/>
      <c r="G849" s="846"/>
      <c r="H849" s="847"/>
      <c r="I849" s="846"/>
      <c r="J849" s="847"/>
      <c r="K849" s="846"/>
      <c r="L849" s="847"/>
      <c r="M849" s="846"/>
      <c r="N849" s="846"/>
      <c r="O849" s="737">
        <f t="shared" si="111"/>
        <v>0</v>
      </c>
      <c r="P849" s="847"/>
      <c r="Q849" s="847"/>
      <c r="R849" s="738">
        <f t="shared" si="114"/>
        <v>0</v>
      </c>
      <c r="S849" s="737">
        <f t="shared" si="115"/>
        <v>0</v>
      </c>
      <c r="T849" s="739">
        <f t="shared" si="116"/>
        <v>0</v>
      </c>
      <c r="U849" s="846"/>
      <c r="V849" s="847"/>
      <c r="W849" s="846"/>
      <c r="X849" s="846"/>
      <c r="Y849" s="740">
        <f t="shared" si="112"/>
        <v>0</v>
      </c>
      <c r="Z849" s="847"/>
      <c r="AA849" s="847"/>
      <c r="AB849" s="741">
        <f t="shared" si="113"/>
        <v>0</v>
      </c>
      <c r="AC849" s="846"/>
      <c r="AD849" s="847"/>
      <c r="AE849" s="846"/>
      <c r="AF849" s="846"/>
      <c r="AG849" s="847"/>
      <c r="AH849" s="847"/>
      <c r="AI849" s="742">
        <f t="shared" si="117"/>
        <v>0</v>
      </c>
      <c r="AJ849" s="743">
        <f t="shared" si="118"/>
        <v>0</v>
      </c>
    </row>
    <row r="850" spans="1:36">
      <c r="A850" s="1062" t="s">
        <v>149</v>
      </c>
      <c r="B850" s="901" t="s">
        <v>286</v>
      </c>
      <c r="C850" s="1066" t="s">
        <v>982</v>
      </c>
      <c r="D850" s="1067"/>
      <c r="E850" s="910"/>
      <c r="F850" s="911"/>
      <c r="G850" s="846"/>
      <c r="H850" s="847"/>
      <c r="I850" s="846"/>
      <c r="J850" s="847"/>
      <c r="K850" s="846"/>
      <c r="L850" s="847"/>
      <c r="M850" s="846"/>
      <c r="N850" s="846"/>
      <c r="O850" s="737">
        <f t="shared" si="111"/>
        <v>0</v>
      </c>
      <c r="P850" s="847"/>
      <c r="Q850" s="847"/>
      <c r="R850" s="738">
        <f t="shared" si="114"/>
        <v>0</v>
      </c>
      <c r="S850" s="737">
        <f t="shared" si="115"/>
        <v>0</v>
      </c>
      <c r="T850" s="739">
        <f t="shared" si="116"/>
        <v>0</v>
      </c>
      <c r="U850" s="846">
        <v>1425747</v>
      </c>
      <c r="V850" s="847">
        <v>1710896</v>
      </c>
      <c r="W850" s="846"/>
      <c r="X850" s="846"/>
      <c r="Y850" s="740">
        <f t="shared" si="112"/>
        <v>0</v>
      </c>
      <c r="Z850" s="847"/>
      <c r="AA850" s="847"/>
      <c r="AB850" s="741">
        <f t="shared" si="113"/>
        <v>0</v>
      </c>
      <c r="AC850" s="846"/>
      <c r="AD850" s="847"/>
      <c r="AE850" s="846"/>
      <c r="AF850" s="846"/>
      <c r="AG850" s="847"/>
      <c r="AH850" s="847"/>
      <c r="AI850" s="742">
        <f t="shared" si="117"/>
        <v>1425747</v>
      </c>
      <c r="AJ850" s="743">
        <f t="shared" si="118"/>
        <v>1710896</v>
      </c>
    </row>
    <row r="851" spans="1:36">
      <c r="A851" s="1062" t="s">
        <v>149</v>
      </c>
      <c r="B851" s="901" t="s">
        <v>286</v>
      </c>
      <c r="C851" s="1066" t="s">
        <v>983</v>
      </c>
      <c r="D851" s="1067"/>
      <c r="E851" s="910"/>
      <c r="F851" s="911"/>
      <c r="G851" s="846"/>
      <c r="H851" s="847"/>
      <c r="I851" s="846"/>
      <c r="J851" s="847"/>
      <c r="K851" s="846"/>
      <c r="L851" s="847"/>
      <c r="M851" s="846"/>
      <c r="N851" s="846"/>
      <c r="O851" s="737">
        <f t="shared" si="111"/>
        <v>0</v>
      </c>
      <c r="P851" s="847"/>
      <c r="Q851" s="847"/>
      <c r="R851" s="738">
        <f t="shared" si="114"/>
        <v>0</v>
      </c>
      <c r="S851" s="737">
        <f t="shared" si="115"/>
        <v>0</v>
      </c>
      <c r="T851" s="739">
        <f t="shared" si="116"/>
        <v>0</v>
      </c>
      <c r="U851" s="846"/>
      <c r="V851" s="847"/>
      <c r="W851" s="846"/>
      <c r="X851" s="846"/>
      <c r="Y851" s="740">
        <f t="shared" si="112"/>
        <v>0</v>
      </c>
      <c r="Z851" s="847"/>
      <c r="AA851" s="847"/>
      <c r="AB851" s="741">
        <f t="shared" si="113"/>
        <v>0</v>
      </c>
      <c r="AC851" s="846"/>
      <c r="AD851" s="847"/>
      <c r="AE851" s="846"/>
      <c r="AF851" s="846"/>
      <c r="AG851" s="847"/>
      <c r="AH851" s="847"/>
      <c r="AI851" s="742">
        <f t="shared" si="117"/>
        <v>0</v>
      </c>
      <c r="AJ851" s="743">
        <f t="shared" si="118"/>
        <v>0</v>
      </c>
    </row>
    <row r="852" spans="1:36">
      <c r="A852" s="1062" t="s">
        <v>149</v>
      </c>
      <c r="B852" s="901" t="s">
        <v>286</v>
      </c>
      <c r="C852" s="1066" t="s">
        <v>984</v>
      </c>
      <c r="D852" s="1067"/>
      <c r="E852" s="910"/>
      <c r="F852" s="911"/>
      <c r="G852" s="846"/>
      <c r="H852" s="847"/>
      <c r="I852" s="846"/>
      <c r="J852" s="847"/>
      <c r="K852" s="846"/>
      <c r="L852" s="847"/>
      <c r="M852" s="846"/>
      <c r="N852" s="846"/>
      <c r="O852" s="737">
        <f t="shared" si="111"/>
        <v>0</v>
      </c>
      <c r="P852" s="847"/>
      <c r="Q852" s="847"/>
      <c r="R852" s="738">
        <f t="shared" si="114"/>
        <v>0</v>
      </c>
      <c r="S852" s="737">
        <f t="shared" si="115"/>
        <v>0</v>
      </c>
      <c r="T852" s="739">
        <f t="shared" si="116"/>
        <v>0</v>
      </c>
      <c r="U852" s="846">
        <v>3960111</v>
      </c>
      <c r="V852" s="847">
        <v>4474096</v>
      </c>
      <c r="W852" s="846"/>
      <c r="X852" s="846"/>
      <c r="Y852" s="740">
        <f t="shared" si="112"/>
        <v>0</v>
      </c>
      <c r="Z852" s="847"/>
      <c r="AA852" s="847"/>
      <c r="AB852" s="741">
        <f t="shared" si="113"/>
        <v>0</v>
      </c>
      <c r="AC852" s="846"/>
      <c r="AD852" s="847"/>
      <c r="AE852" s="846"/>
      <c r="AF852" s="846"/>
      <c r="AG852" s="847"/>
      <c r="AH852" s="847"/>
      <c r="AI852" s="742">
        <f t="shared" si="117"/>
        <v>3960111</v>
      </c>
      <c r="AJ852" s="743">
        <f t="shared" si="118"/>
        <v>4474096</v>
      </c>
    </row>
    <row r="853" spans="1:36">
      <c r="A853" s="1062" t="s">
        <v>149</v>
      </c>
      <c r="B853" s="901" t="s">
        <v>286</v>
      </c>
      <c r="C853" s="1066" t="s">
        <v>985</v>
      </c>
      <c r="D853" s="1067"/>
      <c r="E853" s="910"/>
      <c r="F853" s="911"/>
      <c r="G853" s="846"/>
      <c r="H853" s="847"/>
      <c r="I853" s="846"/>
      <c r="J853" s="847"/>
      <c r="K853" s="846"/>
      <c r="L853" s="847"/>
      <c r="M853" s="846"/>
      <c r="N853" s="846"/>
      <c r="O853" s="737">
        <f t="shared" si="111"/>
        <v>0</v>
      </c>
      <c r="P853" s="847"/>
      <c r="Q853" s="847"/>
      <c r="R853" s="738">
        <f t="shared" si="114"/>
        <v>0</v>
      </c>
      <c r="S853" s="737">
        <f t="shared" si="115"/>
        <v>0</v>
      </c>
      <c r="T853" s="739">
        <f t="shared" si="116"/>
        <v>0</v>
      </c>
      <c r="U853" s="846">
        <v>2929526</v>
      </c>
      <c r="V853" s="847">
        <v>3329526</v>
      </c>
      <c r="W853" s="846"/>
      <c r="X853" s="846"/>
      <c r="Y853" s="740">
        <f t="shared" si="112"/>
        <v>0</v>
      </c>
      <c r="Z853" s="847"/>
      <c r="AA853" s="847"/>
      <c r="AB853" s="741">
        <f t="shared" si="113"/>
        <v>0</v>
      </c>
      <c r="AC853" s="846"/>
      <c r="AD853" s="847"/>
      <c r="AE853" s="846"/>
      <c r="AF853" s="846"/>
      <c r="AG853" s="847"/>
      <c r="AH853" s="847"/>
      <c r="AI853" s="742">
        <f t="shared" si="117"/>
        <v>2929526</v>
      </c>
      <c r="AJ853" s="743">
        <f t="shared" si="118"/>
        <v>3329526</v>
      </c>
    </row>
    <row r="854" spans="1:36">
      <c r="A854" s="1062" t="s">
        <v>149</v>
      </c>
      <c r="B854" s="901" t="s">
        <v>286</v>
      </c>
      <c r="C854" s="1066" t="s">
        <v>986</v>
      </c>
      <c r="D854" s="1067"/>
      <c r="E854" s="910"/>
      <c r="F854" s="911"/>
      <c r="G854" s="846"/>
      <c r="H854" s="847"/>
      <c r="I854" s="846"/>
      <c r="J854" s="847"/>
      <c r="K854" s="846"/>
      <c r="L854" s="847"/>
      <c r="M854" s="846"/>
      <c r="N854" s="846"/>
      <c r="O854" s="737">
        <f t="shared" si="111"/>
        <v>0</v>
      </c>
      <c r="P854" s="847"/>
      <c r="Q854" s="847"/>
      <c r="R854" s="738">
        <f t="shared" si="114"/>
        <v>0</v>
      </c>
      <c r="S854" s="737">
        <f t="shared" si="115"/>
        <v>0</v>
      </c>
      <c r="T854" s="739">
        <f t="shared" si="116"/>
        <v>0</v>
      </c>
      <c r="U854" s="846">
        <v>3532048</v>
      </c>
      <c r="V854" s="847">
        <v>3932048</v>
      </c>
      <c r="W854" s="846"/>
      <c r="X854" s="846"/>
      <c r="Y854" s="740">
        <f t="shared" si="112"/>
        <v>0</v>
      </c>
      <c r="Z854" s="847"/>
      <c r="AA854" s="847"/>
      <c r="AB854" s="741">
        <f t="shared" si="113"/>
        <v>0</v>
      </c>
      <c r="AC854" s="846"/>
      <c r="AD854" s="847"/>
      <c r="AE854" s="846"/>
      <c r="AF854" s="846"/>
      <c r="AG854" s="847"/>
      <c r="AH854" s="847"/>
      <c r="AI854" s="742">
        <f t="shared" si="117"/>
        <v>3532048</v>
      </c>
      <c r="AJ854" s="743">
        <f t="shared" si="118"/>
        <v>3932048</v>
      </c>
    </row>
    <row r="855" spans="1:36">
      <c r="A855" s="1062" t="s">
        <v>149</v>
      </c>
      <c r="B855" s="901" t="s">
        <v>286</v>
      </c>
      <c r="C855" s="1066" t="s">
        <v>987</v>
      </c>
      <c r="D855" s="1067"/>
      <c r="E855" s="910"/>
      <c r="F855" s="911"/>
      <c r="G855" s="846"/>
      <c r="H855" s="847"/>
      <c r="I855" s="846"/>
      <c r="J855" s="847"/>
      <c r="K855" s="846"/>
      <c r="L855" s="847"/>
      <c r="M855" s="846"/>
      <c r="N855" s="846"/>
      <c r="O855" s="737">
        <f t="shared" si="111"/>
        <v>0</v>
      </c>
      <c r="P855" s="847"/>
      <c r="Q855" s="847"/>
      <c r="R855" s="738">
        <f t="shared" si="114"/>
        <v>0</v>
      </c>
      <c r="S855" s="737">
        <f t="shared" si="115"/>
        <v>0</v>
      </c>
      <c r="T855" s="739">
        <f t="shared" si="116"/>
        <v>0</v>
      </c>
      <c r="U855" s="846">
        <v>519858</v>
      </c>
      <c r="V855" s="847">
        <v>907844</v>
      </c>
      <c r="W855" s="846"/>
      <c r="X855" s="846"/>
      <c r="Y855" s="740">
        <f t="shared" si="112"/>
        <v>0</v>
      </c>
      <c r="Z855" s="847"/>
      <c r="AA855" s="847"/>
      <c r="AB855" s="741">
        <f t="shared" si="113"/>
        <v>0</v>
      </c>
      <c r="AC855" s="846"/>
      <c r="AD855" s="847"/>
      <c r="AE855" s="846"/>
      <c r="AF855" s="846"/>
      <c r="AG855" s="847"/>
      <c r="AH855" s="847"/>
      <c r="AI855" s="742">
        <f t="shared" si="117"/>
        <v>519858</v>
      </c>
      <c r="AJ855" s="743">
        <f t="shared" si="118"/>
        <v>907844</v>
      </c>
    </row>
    <row r="856" spans="1:36">
      <c r="A856" s="1062" t="s">
        <v>149</v>
      </c>
      <c r="B856" s="901" t="s">
        <v>287</v>
      </c>
      <c r="C856" s="1070" t="s">
        <v>510</v>
      </c>
      <c r="D856" s="1070"/>
      <c r="E856" s="910"/>
      <c r="F856" s="911"/>
      <c r="G856" s="846"/>
      <c r="H856" s="847"/>
      <c r="I856" s="846"/>
      <c r="J856" s="847"/>
      <c r="K856" s="846"/>
      <c r="L856" s="847"/>
      <c r="M856" s="846"/>
      <c r="N856" s="846"/>
      <c r="O856" s="737">
        <f t="shared" si="111"/>
        <v>0</v>
      </c>
      <c r="P856" s="847"/>
      <c r="Q856" s="847"/>
      <c r="R856" s="738">
        <f t="shared" si="114"/>
        <v>0</v>
      </c>
      <c r="S856" s="737">
        <f t="shared" si="115"/>
        <v>0</v>
      </c>
      <c r="T856" s="739">
        <f t="shared" si="116"/>
        <v>0</v>
      </c>
      <c r="U856" s="846"/>
      <c r="V856" s="847"/>
      <c r="W856" s="846"/>
      <c r="X856" s="846"/>
      <c r="Y856" s="740">
        <f t="shared" si="112"/>
        <v>0</v>
      </c>
      <c r="Z856" s="847"/>
      <c r="AA856" s="847"/>
      <c r="AB856" s="741">
        <f t="shared" si="113"/>
        <v>0</v>
      </c>
      <c r="AC856" s="846"/>
      <c r="AD856" s="847"/>
      <c r="AE856" s="846"/>
      <c r="AF856" s="846"/>
      <c r="AG856" s="847"/>
      <c r="AH856" s="847"/>
      <c r="AI856" s="742">
        <f t="shared" si="117"/>
        <v>0</v>
      </c>
      <c r="AJ856" s="743">
        <f t="shared" si="118"/>
        <v>0</v>
      </c>
    </row>
    <row r="857" spans="1:36">
      <c r="A857" s="1062" t="s">
        <v>149</v>
      </c>
      <c r="B857" s="901" t="s">
        <v>288</v>
      </c>
      <c r="C857" s="1068" t="s">
        <v>511</v>
      </c>
      <c r="D857" s="1067"/>
      <c r="E857" s="910"/>
      <c r="F857" s="911"/>
      <c r="G857" s="846"/>
      <c r="H857" s="847"/>
      <c r="I857" s="846"/>
      <c r="J857" s="847"/>
      <c r="K857" s="846"/>
      <c r="L857" s="847"/>
      <c r="M857" s="846"/>
      <c r="N857" s="846"/>
      <c r="O857" s="737">
        <f t="shared" si="111"/>
        <v>0</v>
      </c>
      <c r="P857" s="847"/>
      <c r="Q857" s="847"/>
      <c r="R857" s="738">
        <f t="shared" si="114"/>
        <v>0</v>
      </c>
      <c r="S857" s="737">
        <f t="shared" si="115"/>
        <v>0</v>
      </c>
      <c r="T857" s="739">
        <f t="shared" si="116"/>
        <v>0</v>
      </c>
      <c r="U857" s="846"/>
      <c r="V857" s="847"/>
      <c r="W857" s="846"/>
      <c r="X857" s="846"/>
      <c r="Y857" s="740">
        <f t="shared" si="112"/>
        <v>0</v>
      </c>
      <c r="Z857" s="847"/>
      <c r="AA857" s="847"/>
      <c r="AB857" s="741">
        <f t="shared" si="113"/>
        <v>0</v>
      </c>
      <c r="AC857" s="846"/>
      <c r="AD857" s="847"/>
      <c r="AE857" s="846"/>
      <c r="AF857" s="846"/>
      <c r="AG857" s="847"/>
      <c r="AH857" s="847"/>
      <c r="AI857" s="742">
        <f t="shared" si="117"/>
        <v>0</v>
      </c>
      <c r="AJ857" s="743">
        <f t="shared" si="118"/>
        <v>0</v>
      </c>
    </row>
    <row r="858" spans="1:36">
      <c r="A858" s="1062" t="s">
        <v>149</v>
      </c>
      <c r="B858" s="901" t="s">
        <v>289</v>
      </c>
      <c r="C858" s="1068" t="s">
        <v>515</v>
      </c>
      <c r="D858" s="1067"/>
      <c r="E858" s="910"/>
      <c r="F858" s="911"/>
      <c r="G858" s="846"/>
      <c r="H858" s="847"/>
      <c r="I858" s="846"/>
      <c r="J858" s="847"/>
      <c r="K858" s="846"/>
      <c r="L858" s="847"/>
      <c r="M858" s="846"/>
      <c r="N858" s="846"/>
      <c r="O858" s="737">
        <f t="shared" si="111"/>
        <v>0</v>
      </c>
      <c r="P858" s="847"/>
      <c r="Q858" s="847"/>
      <c r="R858" s="738">
        <f t="shared" si="114"/>
        <v>0</v>
      </c>
      <c r="S858" s="737">
        <f t="shared" si="115"/>
        <v>0</v>
      </c>
      <c r="T858" s="739">
        <f t="shared" si="116"/>
        <v>0</v>
      </c>
      <c r="U858" s="846"/>
      <c r="V858" s="847"/>
      <c r="W858" s="846"/>
      <c r="X858" s="846"/>
      <c r="Y858" s="740">
        <f t="shared" si="112"/>
        <v>0</v>
      </c>
      <c r="Z858" s="847"/>
      <c r="AA858" s="847"/>
      <c r="AB858" s="741">
        <f t="shared" si="113"/>
        <v>0</v>
      </c>
      <c r="AC858" s="846"/>
      <c r="AD858" s="847"/>
      <c r="AE858" s="846"/>
      <c r="AF858" s="846"/>
      <c r="AG858" s="847"/>
      <c r="AH858" s="847"/>
      <c r="AI858" s="742">
        <f t="shared" si="117"/>
        <v>0</v>
      </c>
      <c r="AJ858" s="743">
        <f t="shared" si="118"/>
        <v>0</v>
      </c>
    </row>
    <row r="859" spans="1:36">
      <c r="A859" s="1062" t="s">
        <v>149</v>
      </c>
      <c r="B859" s="901" t="s">
        <v>290</v>
      </c>
      <c r="C859" s="1068" t="s">
        <v>137</v>
      </c>
      <c r="D859" s="1067"/>
      <c r="E859" s="910"/>
      <c r="F859" s="911"/>
      <c r="G859" s="846"/>
      <c r="H859" s="847"/>
      <c r="I859" s="846"/>
      <c r="J859" s="847"/>
      <c r="K859" s="846"/>
      <c r="L859" s="847"/>
      <c r="M859" s="846"/>
      <c r="N859" s="846"/>
      <c r="O859" s="737">
        <f t="shared" si="111"/>
        <v>0</v>
      </c>
      <c r="P859" s="847"/>
      <c r="Q859" s="847"/>
      <c r="R859" s="738">
        <f t="shared" si="114"/>
        <v>0</v>
      </c>
      <c r="S859" s="737">
        <f t="shared" si="115"/>
        <v>0</v>
      </c>
      <c r="T859" s="739">
        <f t="shared" si="116"/>
        <v>0</v>
      </c>
      <c r="U859" s="846"/>
      <c r="V859" s="847"/>
      <c r="W859" s="846"/>
      <c r="X859" s="846"/>
      <c r="Y859" s="740">
        <f t="shared" si="112"/>
        <v>0</v>
      </c>
      <c r="Z859" s="847"/>
      <c r="AA859" s="847"/>
      <c r="AB859" s="741">
        <f t="shared" si="113"/>
        <v>0</v>
      </c>
      <c r="AC859" s="846"/>
      <c r="AD859" s="847"/>
      <c r="AE859" s="846"/>
      <c r="AF859" s="846"/>
      <c r="AG859" s="847"/>
      <c r="AH859" s="847"/>
      <c r="AI859" s="742">
        <f t="shared" si="117"/>
        <v>0</v>
      </c>
      <c r="AJ859" s="743">
        <f t="shared" si="118"/>
        <v>0</v>
      </c>
    </row>
    <row r="860" spans="1:36">
      <c r="A860" s="1062" t="s">
        <v>149</v>
      </c>
      <c r="B860" s="901" t="s">
        <v>290</v>
      </c>
      <c r="C860" s="1066" t="s">
        <v>988</v>
      </c>
      <c r="D860" s="1067"/>
      <c r="E860" s="910"/>
      <c r="F860" s="911"/>
      <c r="G860" s="846"/>
      <c r="H860" s="847"/>
      <c r="I860" s="846"/>
      <c r="J860" s="847"/>
      <c r="K860" s="846"/>
      <c r="L860" s="847"/>
      <c r="M860" s="846"/>
      <c r="N860" s="846"/>
      <c r="O860" s="737">
        <f t="shared" si="111"/>
        <v>0</v>
      </c>
      <c r="P860" s="847"/>
      <c r="Q860" s="847"/>
      <c r="R860" s="738">
        <f t="shared" si="114"/>
        <v>0</v>
      </c>
      <c r="S860" s="737">
        <f t="shared" si="115"/>
        <v>0</v>
      </c>
      <c r="T860" s="739">
        <f t="shared" si="116"/>
        <v>0</v>
      </c>
      <c r="U860" s="846"/>
      <c r="V860" s="847"/>
      <c r="W860" s="846"/>
      <c r="X860" s="846"/>
      <c r="Y860" s="740">
        <f t="shared" si="112"/>
        <v>0</v>
      </c>
      <c r="Z860" s="847"/>
      <c r="AA860" s="847"/>
      <c r="AB860" s="741">
        <f t="shared" si="113"/>
        <v>0</v>
      </c>
      <c r="AC860" s="846"/>
      <c r="AD860" s="847"/>
      <c r="AE860" s="846"/>
      <c r="AF860" s="846"/>
      <c r="AG860" s="847"/>
      <c r="AH860" s="847"/>
      <c r="AI860" s="742">
        <f t="shared" si="117"/>
        <v>0</v>
      </c>
      <c r="AJ860" s="743">
        <f t="shared" si="118"/>
        <v>0</v>
      </c>
    </row>
    <row r="861" spans="1:36">
      <c r="A861" s="1062" t="s">
        <v>149</v>
      </c>
      <c r="B861" s="901" t="s">
        <v>290</v>
      </c>
      <c r="C861" s="1066" t="s">
        <v>989</v>
      </c>
      <c r="D861" s="1067"/>
      <c r="E861" s="910"/>
      <c r="F861" s="911"/>
      <c r="G861" s="846"/>
      <c r="H861" s="847"/>
      <c r="I861" s="846"/>
      <c r="J861" s="847"/>
      <c r="K861" s="846"/>
      <c r="L861" s="847"/>
      <c r="M861" s="846"/>
      <c r="N861" s="846"/>
      <c r="O861" s="737">
        <f t="shared" si="111"/>
        <v>0</v>
      </c>
      <c r="P861" s="847"/>
      <c r="Q861" s="847"/>
      <c r="R861" s="738">
        <f t="shared" si="114"/>
        <v>0</v>
      </c>
      <c r="S861" s="737">
        <f t="shared" si="115"/>
        <v>0</v>
      </c>
      <c r="T861" s="739">
        <f t="shared" si="116"/>
        <v>0</v>
      </c>
      <c r="U861" s="846">
        <v>39214</v>
      </c>
      <c r="V861" s="847">
        <v>39214</v>
      </c>
      <c r="W861" s="846"/>
      <c r="X861" s="846"/>
      <c r="Y861" s="740">
        <f t="shared" si="112"/>
        <v>0</v>
      </c>
      <c r="Z861" s="847"/>
      <c r="AA861" s="847"/>
      <c r="AB861" s="741">
        <f t="shared" si="113"/>
        <v>0</v>
      </c>
      <c r="AC861" s="846"/>
      <c r="AD861" s="847"/>
      <c r="AE861" s="846"/>
      <c r="AF861" s="846"/>
      <c r="AG861" s="847"/>
      <c r="AH861" s="847"/>
      <c r="AI861" s="742">
        <f t="shared" si="117"/>
        <v>39214</v>
      </c>
      <c r="AJ861" s="743">
        <f t="shared" si="118"/>
        <v>39214</v>
      </c>
    </row>
    <row r="862" spans="1:36">
      <c r="A862" s="1062" t="s">
        <v>149</v>
      </c>
      <c r="B862" s="901" t="s">
        <v>290</v>
      </c>
      <c r="C862" s="1066" t="s">
        <v>990</v>
      </c>
      <c r="D862" s="1067"/>
      <c r="E862" s="910"/>
      <c r="F862" s="911"/>
      <c r="G862" s="846"/>
      <c r="H862" s="847"/>
      <c r="I862" s="846"/>
      <c r="J862" s="847"/>
      <c r="K862" s="846"/>
      <c r="L862" s="847"/>
      <c r="M862" s="846"/>
      <c r="N862" s="846"/>
      <c r="O862" s="737">
        <f t="shared" si="111"/>
        <v>0</v>
      </c>
      <c r="P862" s="847"/>
      <c r="Q862" s="847"/>
      <c r="R862" s="738">
        <f t="shared" si="114"/>
        <v>0</v>
      </c>
      <c r="S862" s="737">
        <f t="shared" si="115"/>
        <v>0</v>
      </c>
      <c r="T862" s="739">
        <f t="shared" si="116"/>
        <v>0</v>
      </c>
      <c r="U862" s="846">
        <v>500000</v>
      </c>
      <c r="V862" s="847">
        <v>750000</v>
      </c>
      <c r="W862" s="846"/>
      <c r="X862" s="846"/>
      <c r="Y862" s="740">
        <f t="shared" si="112"/>
        <v>0</v>
      </c>
      <c r="Z862" s="847"/>
      <c r="AA862" s="847"/>
      <c r="AB862" s="741">
        <f t="shared" si="113"/>
        <v>0</v>
      </c>
      <c r="AC862" s="846"/>
      <c r="AD862" s="847"/>
      <c r="AE862" s="846"/>
      <c r="AF862" s="846"/>
      <c r="AG862" s="847"/>
      <c r="AH862" s="847"/>
      <c r="AI862" s="742">
        <f t="shared" si="117"/>
        <v>500000</v>
      </c>
      <c r="AJ862" s="743">
        <f t="shared" si="118"/>
        <v>750000</v>
      </c>
    </row>
    <row r="863" spans="1:36">
      <c r="A863" s="1062" t="s">
        <v>149</v>
      </c>
      <c r="B863" s="901" t="s">
        <v>290</v>
      </c>
      <c r="C863" s="1066" t="s">
        <v>991</v>
      </c>
      <c r="D863" s="1067"/>
      <c r="E863" s="910"/>
      <c r="F863" s="911"/>
      <c r="G863" s="846"/>
      <c r="H863" s="847"/>
      <c r="I863" s="846"/>
      <c r="J863" s="847"/>
      <c r="K863" s="846"/>
      <c r="L863" s="847"/>
      <c r="M863" s="846"/>
      <c r="N863" s="846"/>
      <c r="O863" s="737">
        <f t="shared" si="111"/>
        <v>0</v>
      </c>
      <c r="P863" s="847"/>
      <c r="Q863" s="847"/>
      <c r="R863" s="738">
        <f t="shared" si="114"/>
        <v>0</v>
      </c>
      <c r="S863" s="737">
        <f t="shared" si="115"/>
        <v>0</v>
      </c>
      <c r="T863" s="739">
        <f t="shared" si="116"/>
        <v>0</v>
      </c>
      <c r="U863" s="846">
        <v>705000</v>
      </c>
      <c r="V863" s="847">
        <v>343520</v>
      </c>
      <c r="W863" s="846"/>
      <c r="X863" s="846"/>
      <c r="Y863" s="740">
        <f t="shared" si="112"/>
        <v>0</v>
      </c>
      <c r="Z863" s="847"/>
      <c r="AA863" s="847"/>
      <c r="AB863" s="741">
        <f t="shared" si="113"/>
        <v>0</v>
      </c>
      <c r="AC863" s="846"/>
      <c r="AD863" s="847"/>
      <c r="AE863" s="846"/>
      <c r="AF863" s="846"/>
      <c r="AG863" s="847"/>
      <c r="AH863" s="847"/>
      <c r="AI863" s="742">
        <f t="shared" si="117"/>
        <v>705000</v>
      </c>
      <c r="AJ863" s="743">
        <f t="shared" si="118"/>
        <v>343520</v>
      </c>
    </row>
    <row r="864" spans="1:36">
      <c r="A864" s="1062" t="s">
        <v>149</v>
      </c>
      <c r="B864" s="901" t="s">
        <v>290</v>
      </c>
      <c r="C864" s="1066" t="s">
        <v>992</v>
      </c>
      <c r="D864" s="1067"/>
      <c r="E864" s="910"/>
      <c r="F864" s="911"/>
      <c r="G864" s="846"/>
      <c r="H864" s="847"/>
      <c r="I864" s="846"/>
      <c r="J864" s="847"/>
      <c r="K864" s="846"/>
      <c r="L864" s="847"/>
      <c r="M864" s="846"/>
      <c r="N864" s="846"/>
      <c r="O864" s="737">
        <f t="shared" si="111"/>
        <v>0</v>
      </c>
      <c r="P864" s="847"/>
      <c r="Q864" s="847"/>
      <c r="R864" s="738">
        <f t="shared" si="114"/>
        <v>0</v>
      </c>
      <c r="S864" s="737">
        <f t="shared" si="115"/>
        <v>0</v>
      </c>
      <c r="T864" s="739">
        <f t="shared" si="116"/>
        <v>0</v>
      </c>
      <c r="U864" s="846">
        <v>1691010</v>
      </c>
      <c r="V864" s="847">
        <v>1691010</v>
      </c>
      <c r="W864" s="846"/>
      <c r="X864" s="846"/>
      <c r="Y864" s="740">
        <f t="shared" si="112"/>
        <v>0</v>
      </c>
      <c r="Z864" s="847"/>
      <c r="AA864" s="847"/>
      <c r="AB864" s="741">
        <f t="shared" si="113"/>
        <v>0</v>
      </c>
      <c r="AC864" s="846"/>
      <c r="AD864" s="847"/>
      <c r="AE864" s="846"/>
      <c r="AF864" s="846"/>
      <c r="AG864" s="847"/>
      <c r="AH864" s="847"/>
      <c r="AI864" s="742">
        <f t="shared" si="117"/>
        <v>1691010</v>
      </c>
      <c r="AJ864" s="743">
        <f t="shared" si="118"/>
        <v>1691010</v>
      </c>
    </row>
    <row r="865" spans="1:36">
      <c r="A865" s="1062" t="s">
        <v>149</v>
      </c>
      <c r="B865" s="901" t="s">
        <v>291</v>
      </c>
      <c r="C865" s="1070" t="s">
        <v>520</v>
      </c>
      <c r="D865" s="1070"/>
      <c r="E865" s="910"/>
      <c r="F865" s="911"/>
      <c r="G865" s="846"/>
      <c r="H865" s="847"/>
      <c r="I865" s="846"/>
      <c r="J865" s="847"/>
      <c r="K865" s="846"/>
      <c r="L865" s="847"/>
      <c r="M865" s="846"/>
      <c r="N865" s="846"/>
      <c r="O865" s="737">
        <f t="shared" si="111"/>
        <v>0</v>
      </c>
      <c r="P865" s="847"/>
      <c r="Q865" s="847"/>
      <c r="R865" s="738">
        <f t="shared" si="114"/>
        <v>0</v>
      </c>
      <c r="S865" s="737">
        <f t="shared" si="115"/>
        <v>0</v>
      </c>
      <c r="T865" s="739">
        <f t="shared" si="116"/>
        <v>0</v>
      </c>
      <c r="U865" s="846"/>
      <c r="V865" s="847"/>
      <c r="W865" s="846"/>
      <c r="X865" s="846"/>
      <c r="Y865" s="740">
        <f t="shared" si="112"/>
        <v>0</v>
      </c>
      <c r="Z865" s="847"/>
      <c r="AA865" s="847"/>
      <c r="AB865" s="741">
        <f t="shared" si="113"/>
        <v>0</v>
      </c>
      <c r="AC865" s="846"/>
      <c r="AD865" s="847"/>
      <c r="AE865" s="846"/>
      <c r="AF865" s="846"/>
      <c r="AG865" s="847"/>
      <c r="AH865" s="847"/>
      <c r="AI865" s="742">
        <f t="shared" si="117"/>
        <v>0</v>
      </c>
      <c r="AJ865" s="743">
        <f t="shared" si="118"/>
        <v>0</v>
      </c>
    </row>
    <row r="866" spans="1:36">
      <c r="A866" s="1062" t="s">
        <v>149</v>
      </c>
      <c r="B866" s="901" t="s">
        <v>292</v>
      </c>
      <c r="C866" s="902" t="s">
        <v>34</v>
      </c>
      <c r="D866" s="1074"/>
      <c r="E866" s="910"/>
      <c r="F866" s="911"/>
      <c r="G866" s="846"/>
      <c r="H866" s="847"/>
      <c r="I866" s="846"/>
      <c r="J866" s="847"/>
      <c r="K866" s="846"/>
      <c r="L866" s="847"/>
      <c r="M866" s="846"/>
      <c r="N866" s="846"/>
      <c r="O866" s="737">
        <f t="shared" si="111"/>
        <v>0</v>
      </c>
      <c r="P866" s="847"/>
      <c r="Q866" s="847"/>
      <c r="R866" s="738">
        <f t="shared" si="114"/>
        <v>0</v>
      </c>
      <c r="S866" s="737">
        <f t="shared" si="115"/>
        <v>0</v>
      </c>
      <c r="T866" s="739">
        <f t="shared" si="116"/>
        <v>0</v>
      </c>
      <c r="U866" s="846"/>
      <c r="V866" s="847"/>
      <c r="W866" s="846"/>
      <c r="X866" s="846"/>
      <c r="Y866" s="740">
        <f t="shared" si="112"/>
        <v>0</v>
      </c>
      <c r="Z866" s="847"/>
      <c r="AA866" s="847"/>
      <c r="AB866" s="741">
        <f t="shared" si="113"/>
        <v>0</v>
      </c>
      <c r="AC866" s="846"/>
      <c r="AD866" s="847"/>
      <c r="AE866" s="846"/>
      <c r="AF866" s="846"/>
      <c r="AG866" s="847"/>
      <c r="AH866" s="847"/>
      <c r="AI866" s="742">
        <f t="shared" si="117"/>
        <v>0</v>
      </c>
      <c r="AJ866" s="743">
        <f t="shared" si="118"/>
        <v>0</v>
      </c>
    </row>
    <row r="867" spans="1:36">
      <c r="A867" s="1062" t="s">
        <v>149</v>
      </c>
      <c r="B867" s="901" t="s">
        <v>292</v>
      </c>
      <c r="C867" s="1075" t="s">
        <v>993</v>
      </c>
      <c r="D867" s="1076"/>
      <c r="E867" s="910"/>
      <c r="F867" s="911"/>
      <c r="G867" s="846"/>
      <c r="H867" s="847"/>
      <c r="I867" s="846"/>
      <c r="J867" s="847"/>
      <c r="K867" s="846"/>
      <c r="L867" s="847"/>
      <c r="M867" s="846"/>
      <c r="N867" s="846"/>
      <c r="O867" s="737">
        <f t="shared" si="111"/>
        <v>0</v>
      </c>
      <c r="P867" s="847"/>
      <c r="Q867" s="847"/>
      <c r="R867" s="738">
        <f t="shared" si="114"/>
        <v>0</v>
      </c>
      <c r="S867" s="737">
        <f t="shared" si="115"/>
        <v>0</v>
      </c>
      <c r="T867" s="739">
        <f t="shared" si="116"/>
        <v>0</v>
      </c>
      <c r="U867" s="846"/>
      <c r="V867" s="847"/>
      <c r="W867" s="846"/>
      <c r="X867" s="846"/>
      <c r="Y867" s="740">
        <f t="shared" si="112"/>
        <v>0</v>
      </c>
      <c r="Z867" s="847"/>
      <c r="AA867" s="847"/>
      <c r="AB867" s="741">
        <f t="shared" si="113"/>
        <v>0</v>
      </c>
      <c r="AC867" s="846"/>
      <c r="AD867" s="847"/>
      <c r="AE867" s="846"/>
      <c r="AF867" s="846"/>
      <c r="AG867" s="847"/>
      <c r="AH867" s="847"/>
      <c r="AI867" s="742">
        <f t="shared" si="117"/>
        <v>0</v>
      </c>
      <c r="AJ867" s="743">
        <f t="shared" si="118"/>
        <v>0</v>
      </c>
    </row>
    <row r="868" spans="1:36">
      <c r="A868" s="1062" t="s">
        <v>149</v>
      </c>
      <c r="B868" s="907" t="s">
        <v>310</v>
      </c>
      <c r="C868" s="908" t="s">
        <v>311</v>
      </c>
      <c r="D868" s="1076"/>
      <c r="E868" s="910"/>
      <c r="F868" s="911"/>
      <c r="G868" s="846"/>
      <c r="H868" s="847"/>
      <c r="I868" s="846"/>
      <c r="J868" s="847"/>
      <c r="K868" s="846"/>
      <c r="L868" s="847"/>
      <c r="M868" s="846"/>
      <c r="N868" s="846"/>
      <c r="O868" s="737">
        <f t="shared" si="111"/>
        <v>0</v>
      </c>
      <c r="P868" s="847"/>
      <c r="Q868" s="847"/>
      <c r="R868" s="738">
        <f t="shared" si="114"/>
        <v>0</v>
      </c>
      <c r="S868" s="737">
        <f t="shared" si="115"/>
        <v>0</v>
      </c>
      <c r="T868" s="739">
        <f t="shared" si="116"/>
        <v>0</v>
      </c>
      <c r="U868" s="846"/>
      <c r="V868" s="847"/>
      <c r="W868" s="846"/>
      <c r="X868" s="846"/>
      <c r="Y868" s="740">
        <f t="shared" si="112"/>
        <v>0</v>
      </c>
      <c r="Z868" s="847"/>
      <c r="AA868" s="847"/>
      <c r="AB868" s="741">
        <f t="shared" si="113"/>
        <v>0</v>
      </c>
      <c r="AC868" s="846"/>
      <c r="AD868" s="847"/>
      <c r="AE868" s="846"/>
      <c r="AF868" s="846"/>
      <c r="AG868" s="847"/>
      <c r="AH868" s="847"/>
      <c r="AI868" s="742">
        <f t="shared" si="117"/>
        <v>0</v>
      </c>
      <c r="AJ868" s="743">
        <f t="shared" si="118"/>
        <v>0</v>
      </c>
    </row>
    <row r="869" spans="1:36">
      <c r="A869" s="1062" t="s">
        <v>149</v>
      </c>
      <c r="B869" s="907" t="s">
        <v>251</v>
      </c>
      <c r="C869" s="908" t="s">
        <v>249</v>
      </c>
      <c r="D869" s="1076"/>
      <c r="E869" s="910"/>
      <c r="F869" s="911"/>
      <c r="G869" s="846"/>
      <c r="H869" s="847"/>
      <c r="I869" s="846"/>
      <c r="J869" s="847"/>
      <c r="K869" s="846"/>
      <c r="L869" s="847"/>
      <c r="M869" s="846"/>
      <c r="N869" s="846"/>
      <c r="O869" s="737">
        <f t="shared" si="111"/>
        <v>0</v>
      </c>
      <c r="P869" s="847"/>
      <c r="Q869" s="847"/>
      <c r="R869" s="738">
        <f t="shared" si="114"/>
        <v>0</v>
      </c>
      <c r="S869" s="737">
        <f t="shared" si="115"/>
        <v>0</v>
      </c>
      <c r="T869" s="739">
        <f t="shared" si="116"/>
        <v>0</v>
      </c>
      <c r="U869" s="846">
        <v>309413826</v>
      </c>
      <c r="V869" s="847">
        <v>266191952</v>
      </c>
      <c r="W869" s="846"/>
      <c r="X869" s="846"/>
      <c r="Y869" s="740">
        <f t="shared" si="112"/>
        <v>0</v>
      </c>
      <c r="Z869" s="847"/>
      <c r="AA869" s="847"/>
      <c r="AB869" s="741">
        <f t="shared" si="113"/>
        <v>0</v>
      </c>
      <c r="AC869" s="846"/>
      <c r="AD869" s="847"/>
      <c r="AE869" s="846"/>
      <c r="AF869" s="846"/>
      <c r="AG869" s="847"/>
      <c r="AH869" s="847"/>
      <c r="AI869" s="742">
        <f t="shared" si="117"/>
        <v>309413826</v>
      </c>
      <c r="AJ869" s="743">
        <f t="shared" si="118"/>
        <v>266191952</v>
      </c>
    </row>
    <row r="870" spans="1:36">
      <c r="A870" s="1062" t="s">
        <v>149</v>
      </c>
      <c r="B870" s="907" t="s">
        <v>209</v>
      </c>
      <c r="C870" s="908" t="s">
        <v>522</v>
      </c>
      <c r="D870" s="1076"/>
      <c r="E870" s="1077"/>
      <c r="F870" s="1078"/>
      <c r="G870" s="846"/>
      <c r="H870" s="847"/>
      <c r="I870" s="846"/>
      <c r="J870" s="847"/>
      <c r="K870" s="846"/>
      <c r="L870" s="847"/>
      <c r="M870" s="846"/>
      <c r="N870" s="846"/>
      <c r="O870" s="737">
        <f t="shared" si="111"/>
        <v>0</v>
      </c>
      <c r="P870" s="847"/>
      <c r="Q870" s="847"/>
      <c r="R870" s="738">
        <f t="shared" si="114"/>
        <v>0</v>
      </c>
      <c r="S870" s="737">
        <f t="shared" si="115"/>
        <v>0</v>
      </c>
      <c r="T870" s="739">
        <f t="shared" si="116"/>
        <v>0</v>
      </c>
      <c r="U870" s="846"/>
      <c r="V870" s="847"/>
      <c r="W870" s="846"/>
      <c r="X870" s="846"/>
      <c r="Y870" s="740">
        <f t="shared" si="112"/>
        <v>0</v>
      </c>
      <c r="Z870" s="847"/>
      <c r="AA870" s="847"/>
      <c r="AB870" s="741">
        <f t="shared" si="113"/>
        <v>0</v>
      </c>
      <c r="AC870" s="846"/>
      <c r="AD870" s="847"/>
      <c r="AE870" s="846"/>
      <c r="AF870" s="846"/>
      <c r="AG870" s="847"/>
      <c r="AH870" s="847"/>
      <c r="AI870" s="742">
        <f t="shared" si="117"/>
        <v>0</v>
      </c>
      <c r="AJ870" s="743">
        <f t="shared" si="118"/>
        <v>0</v>
      </c>
    </row>
    <row r="871" spans="1:36">
      <c r="A871" s="1062" t="s">
        <v>149</v>
      </c>
      <c r="B871" s="907" t="s">
        <v>210</v>
      </c>
      <c r="C871" s="908" t="s">
        <v>311</v>
      </c>
      <c r="D871" s="1076"/>
      <c r="E871" s="1077"/>
      <c r="F871" s="1078"/>
      <c r="G871" s="846"/>
      <c r="H871" s="847"/>
      <c r="I871" s="846"/>
      <c r="J871" s="847"/>
      <c r="K871" s="846"/>
      <c r="L871" s="847"/>
      <c r="M871" s="846"/>
      <c r="N871" s="846"/>
      <c r="O871" s="737">
        <f t="shared" si="111"/>
        <v>0</v>
      </c>
      <c r="P871" s="847"/>
      <c r="Q871" s="847"/>
      <c r="R871" s="738">
        <f t="shared" si="114"/>
        <v>0</v>
      </c>
      <c r="S871" s="737">
        <f t="shared" si="115"/>
        <v>0</v>
      </c>
      <c r="T871" s="739">
        <f t="shared" si="116"/>
        <v>0</v>
      </c>
      <c r="U871" s="846"/>
      <c r="V871" s="847"/>
      <c r="W871" s="846"/>
      <c r="X871" s="846"/>
      <c r="Y871" s="740">
        <f t="shared" si="112"/>
        <v>0</v>
      </c>
      <c r="Z871" s="847"/>
      <c r="AA871" s="847"/>
      <c r="AB871" s="741">
        <f t="shared" si="113"/>
        <v>0</v>
      </c>
      <c r="AC871" s="846"/>
      <c r="AD871" s="847"/>
      <c r="AE871" s="846"/>
      <c r="AF871" s="846"/>
      <c r="AG871" s="847"/>
      <c r="AH871" s="847"/>
      <c r="AI871" s="742">
        <f t="shared" si="117"/>
        <v>0</v>
      </c>
      <c r="AJ871" s="743">
        <f t="shared" si="118"/>
        <v>0</v>
      </c>
    </row>
    <row r="872" spans="1:36">
      <c r="A872" s="1062" t="s">
        <v>149</v>
      </c>
      <c r="B872" s="907" t="s">
        <v>204</v>
      </c>
      <c r="C872" s="908" t="s">
        <v>249</v>
      </c>
      <c r="D872" s="1076"/>
      <c r="E872" s="1077"/>
      <c r="F872" s="1078"/>
      <c r="G872" s="846"/>
      <c r="H872" s="847"/>
      <c r="I872" s="846"/>
      <c r="J872" s="847"/>
      <c r="K872" s="846"/>
      <c r="L872" s="847"/>
      <c r="M872" s="846"/>
      <c r="N872" s="846"/>
      <c r="O872" s="737">
        <f t="shared" si="111"/>
        <v>0</v>
      </c>
      <c r="P872" s="847"/>
      <c r="Q872" s="847"/>
      <c r="R872" s="738">
        <f t="shared" si="114"/>
        <v>0</v>
      </c>
      <c r="S872" s="737">
        <f t="shared" si="115"/>
        <v>0</v>
      </c>
      <c r="T872" s="739">
        <f t="shared" si="116"/>
        <v>0</v>
      </c>
      <c r="U872" s="846"/>
      <c r="V872" s="847"/>
      <c r="W872" s="846"/>
      <c r="X872" s="846"/>
      <c r="Y872" s="740">
        <f t="shared" si="112"/>
        <v>0</v>
      </c>
      <c r="Z872" s="847"/>
      <c r="AA872" s="847"/>
      <c r="AB872" s="741">
        <f t="shared" si="113"/>
        <v>0</v>
      </c>
      <c r="AC872" s="846"/>
      <c r="AD872" s="847"/>
      <c r="AE872" s="846"/>
      <c r="AF872" s="846"/>
      <c r="AG872" s="847"/>
      <c r="AH872" s="847"/>
      <c r="AI872" s="742">
        <f t="shared" si="117"/>
        <v>0</v>
      </c>
      <c r="AJ872" s="743">
        <f t="shared" si="118"/>
        <v>0</v>
      </c>
    </row>
    <row r="873" spans="1:36">
      <c r="A873" s="1062" t="s">
        <v>149</v>
      </c>
      <c r="B873" s="907" t="s">
        <v>205</v>
      </c>
      <c r="C873" s="908" t="s">
        <v>523</v>
      </c>
      <c r="D873" s="1076"/>
      <c r="E873" s="1077"/>
      <c r="F873" s="1078"/>
      <c r="G873" s="846"/>
      <c r="H873" s="847"/>
      <c r="I873" s="846"/>
      <c r="J873" s="847"/>
      <c r="K873" s="846"/>
      <c r="L873" s="847"/>
      <c r="M873" s="846"/>
      <c r="N873" s="846"/>
      <c r="O873" s="737">
        <f t="shared" si="111"/>
        <v>0</v>
      </c>
      <c r="P873" s="847"/>
      <c r="Q873" s="847"/>
      <c r="R873" s="738">
        <f t="shared" si="114"/>
        <v>0</v>
      </c>
      <c r="S873" s="737">
        <f t="shared" si="115"/>
        <v>0</v>
      </c>
      <c r="T873" s="739">
        <f t="shared" si="116"/>
        <v>0</v>
      </c>
      <c r="U873" s="846"/>
      <c r="V873" s="847"/>
      <c r="W873" s="846"/>
      <c r="X873" s="846"/>
      <c r="Y873" s="740">
        <f t="shared" si="112"/>
        <v>0</v>
      </c>
      <c r="Z873" s="847"/>
      <c r="AA873" s="847"/>
      <c r="AB873" s="741">
        <f t="shared" si="113"/>
        <v>0</v>
      </c>
      <c r="AC873" s="846"/>
      <c r="AD873" s="847"/>
      <c r="AE873" s="846"/>
      <c r="AF873" s="846"/>
      <c r="AG873" s="847"/>
      <c r="AH873" s="847"/>
      <c r="AI873" s="742">
        <f t="shared" si="117"/>
        <v>0</v>
      </c>
      <c r="AJ873" s="743">
        <f t="shared" si="118"/>
        <v>0</v>
      </c>
    </row>
    <row r="874" spans="1:36">
      <c r="A874" s="1062" t="s">
        <v>149</v>
      </c>
      <c r="B874" s="907" t="s">
        <v>218</v>
      </c>
      <c r="C874" s="908" t="s">
        <v>311</v>
      </c>
      <c r="D874" s="1076"/>
      <c r="E874" s="1077"/>
      <c r="F874" s="1078"/>
      <c r="G874" s="846"/>
      <c r="H874" s="847"/>
      <c r="I874" s="846"/>
      <c r="J874" s="847"/>
      <c r="K874" s="846"/>
      <c r="L874" s="847"/>
      <c r="M874" s="846"/>
      <c r="N874" s="846"/>
      <c r="O874" s="737">
        <f t="shared" si="111"/>
        <v>0</v>
      </c>
      <c r="P874" s="847"/>
      <c r="Q874" s="847"/>
      <c r="R874" s="738">
        <f t="shared" si="114"/>
        <v>0</v>
      </c>
      <c r="S874" s="737">
        <f t="shared" si="115"/>
        <v>0</v>
      </c>
      <c r="T874" s="739">
        <f t="shared" si="116"/>
        <v>0</v>
      </c>
      <c r="U874" s="846"/>
      <c r="V874" s="847"/>
      <c r="W874" s="846"/>
      <c r="X874" s="846"/>
      <c r="Y874" s="740">
        <f t="shared" si="112"/>
        <v>0</v>
      </c>
      <c r="Z874" s="847"/>
      <c r="AA874" s="847"/>
      <c r="AB874" s="741">
        <f t="shared" si="113"/>
        <v>0</v>
      </c>
      <c r="AC874" s="846"/>
      <c r="AD874" s="847"/>
      <c r="AE874" s="846"/>
      <c r="AF874" s="846"/>
      <c r="AG874" s="847"/>
      <c r="AH874" s="847"/>
      <c r="AI874" s="742">
        <f t="shared" si="117"/>
        <v>0</v>
      </c>
      <c r="AJ874" s="743">
        <f t="shared" si="118"/>
        <v>0</v>
      </c>
    </row>
    <row r="875" spans="1:36">
      <c r="A875" s="1062" t="s">
        <v>149</v>
      </c>
      <c r="B875" s="907" t="s">
        <v>219</v>
      </c>
      <c r="C875" s="908" t="s">
        <v>249</v>
      </c>
      <c r="D875" s="1076"/>
      <c r="E875" s="1077"/>
      <c r="F875" s="1078"/>
      <c r="G875" s="846"/>
      <c r="H875" s="847"/>
      <c r="I875" s="846"/>
      <c r="J875" s="847"/>
      <c r="K875" s="846"/>
      <c r="L875" s="847"/>
      <c r="M875" s="846"/>
      <c r="N875" s="846"/>
      <c r="O875" s="737">
        <f t="shared" si="111"/>
        <v>0</v>
      </c>
      <c r="P875" s="847"/>
      <c r="Q875" s="847"/>
      <c r="R875" s="738">
        <f t="shared" si="114"/>
        <v>0</v>
      </c>
      <c r="S875" s="737">
        <f t="shared" si="115"/>
        <v>0</v>
      </c>
      <c r="T875" s="739">
        <f t="shared" si="116"/>
        <v>0</v>
      </c>
      <c r="U875" s="846"/>
      <c r="V875" s="847"/>
      <c r="W875" s="846"/>
      <c r="X875" s="846"/>
      <c r="Y875" s="740">
        <f t="shared" si="112"/>
        <v>0</v>
      </c>
      <c r="Z875" s="847"/>
      <c r="AA875" s="847"/>
      <c r="AB875" s="741">
        <f t="shared" si="113"/>
        <v>0</v>
      </c>
      <c r="AC875" s="846"/>
      <c r="AD875" s="847"/>
      <c r="AE875" s="846"/>
      <c r="AF875" s="846"/>
      <c r="AG875" s="847"/>
      <c r="AH875" s="847"/>
      <c r="AI875" s="742">
        <f t="shared" si="117"/>
        <v>0</v>
      </c>
      <c r="AJ875" s="743">
        <f t="shared" si="118"/>
        <v>0</v>
      </c>
    </row>
    <row r="876" spans="1:36">
      <c r="A876" s="1062" t="s">
        <v>149</v>
      </c>
      <c r="B876" s="901" t="s">
        <v>292</v>
      </c>
      <c r="C876" s="1075" t="s">
        <v>994</v>
      </c>
      <c r="D876" s="1076"/>
      <c r="E876" s="910"/>
      <c r="F876" s="911"/>
      <c r="G876" s="846"/>
      <c r="H876" s="847"/>
      <c r="I876" s="846"/>
      <c r="J876" s="847"/>
      <c r="K876" s="846"/>
      <c r="L876" s="847"/>
      <c r="M876" s="846"/>
      <c r="N876" s="846"/>
      <c r="O876" s="737">
        <f t="shared" si="111"/>
        <v>0</v>
      </c>
      <c r="P876" s="847"/>
      <c r="Q876" s="847"/>
      <c r="R876" s="738">
        <f t="shared" si="114"/>
        <v>0</v>
      </c>
      <c r="S876" s="737">
        <f t="shared" si="115"/>
        <v>0</v>
      </c>
      <c r="T876" s="739">
        <f t="shared" si="116"/>
        <v>0</v>
      </c>
      <c r="U876" s="846"/>
      <c r="V876" s="847"/>
      <c r="W876" s="846"/>
      <c r="X876" s="846"/>
      <c r="Y876" s="740">
        <f t="shared" si="112"/>
        <v>0</v>
      </c>
      <c r="Z876" s="847"/>
      <c r="AA876" s="847"/>
      <c r="AB876" s="741">
        <f t="shared" si="113"/>
        <v>0</v>
      </c>
      <c r="AC876" s="846"/>
      <c r="AD876" s="847"/>
      <c r="AE876" s="846"/>
      <c r="AF876" s="846"/>
      <c r="AG876" s="847"/>
      <c r="AH876" s="847"/>
      <c r="AI876" s="742">
        <f t="shared" si="117"/>
        <v>0</v>
      </c>
      <c r="AJ876" s="743">
        <f t="shared" si="118"/>
        <v>0</v>
      </c>
    </row>
    <row r="877" spans="1:36">
      <c r="A877" s="1062" t="s">
        <v>149</v>
      </c>
      <c r="B877" s="907" t="s">
        <v>310</v>
      </c>
      <c r="C877" s="908" t="s">
        <v>311</v>
      </c>
      <c r="D877" s="1076"/>
      <c r="E877" s="910"/>
      <c r="F877" s="911"/>
      <c r="G877" s="846"/>
      <c r="H877" s="847"/>
      <c r="I877" s="846"/>
      <c r="J877" s="847"/>
      <c r="K877" s="846"/>
      <c r="L877" s="847"/>
      <c r="M877" s="846"/>
      <c r="N877" s="846"/>
      <c r="O877" s="737">
        <f t="shared" si="111"/>
        <v>0</v>
      </c>
      <c r="P877" s="847"/>
      <c r="Q877" s="847"/>
      <c r="R877" s="738">
        <f t="shared" si="114"/>
        <v>0</v>
      </c>
      <c r="S877" s="737">
        <f t="shared" si="115"/>
        <v>0</v>
      </c>
      <c r="T877" s="739">
        <f t="shared" si="116"/>
        <v>0</v>
      </c>
      <c r="U877" s="846"/>
      <c r="V877" s="847"/>
      <c r="W877" s="846"/>
      <c r="X877" s="846"/>
      <c r="Y877" s="740">
        <f t="shared" si="112"/>
        <v>0</v>
      </c>
      <c r="Z877" s="847"/>
      <c r="AA877" s="847"/>
      <c r="AB877" s="741">
        <f t="shared" si="113"/>
        <v>0</v>
      </c>
      <c r="AC877" s="846"/>
      <c r="AD877" s="847"/>
      <c r="AE877" s="846"/>
      <c r="AF877" s="846"/>
      <c r="AG877" s="847"/>
      <c r="AH877" s="847"/>
      <c r="AI877" s="742">
        <f t="shared" si="117"/>
        <v>0</v>
      </c>
      <c r="AJ877" s="743">
        <f t="shared" si="118"/>
        <v>0</v>
      </c>
    </row>
    <row r="878" spans="1:36">
      <c r="A878" s="1062" t="s">
        <v>149</v>
      </c>
      <c r="B878" s="907" t="s">
        <v>251</v>
      </c>
      <c r="C878" s="908" t="s">
        <v>249</v>
      </c>
      <c r="D878" s="1076"/>
      <c r="E878" s="910"/>
      <c r="F878" s="911"/>
      <c r="G878" s="846"/>
      <c r="H878" s="847"/>
      <c r="I878" s="846"/>
      <c r="J878" s="847"/>
      <c r="K878" s="846"/>
      <c r="L878" s="847"/>
      <c r="M878" s="846"/>
      <c r="N878" s="846"/>
      <c r="O878" s="737">
        <f t="shared" si="111"/>
        <v>0</v>
      </c>
      <c r="P878" s="847"/>
      <c r="Q878" s="847"/>
      <c r="R878" s="738">
        <f t="shared" si="114"/>
        <v>0</v>
      </c>
      <c r="S878" s="737">
        <f t="shared" si="115"/>
        <v>0</v>
      </c>
      <c r="T878" s="739">
        <f t="shared" si="116"/>
        <v>0</v>
      </c>
      <c r="U878" s="846">
        <v>2895907</v>
      </c>
      <c r="V878" s="847">
        <v>3115690</v>
      </c>
      <c r="W878" s="846"/>
      <c r="X878" s="846"/>
      <c r="Y878" s="740">
        <f t="shared" si="112"/>
        <v>0</v>
      </c>
      <c r="Z878" s="847"/>
      <c r="AA878" s="847"/>
      <c r="AB878" s="741">
        <f t="shared" si="113"/>
        <v>0</v>
      </c>
      <c r="AC878" s="846"/>
      <c r="AD878" s="847"/>
      <c r="AE878" s="846"/>
      <c r="AF878" s="846"/>
      <c r="AG878" s="847"/>
      <c r="AH878" s="847"/>
      <c r="AI878" s="742">
        <f t="shared" si="117"/>
        <v>2895907</v>
      </c>
      <c r="AJ878" s="743">
        <f t="shared" si="118"/>
        <v>3115690</v>
      </c>
    </row>
    <row r="879" spans="1:36">
      <c r="A879" s="1062" t="s">
        <v>149</v>
      </c>
      <c r="B879" s="907" t="s">
        <v>209</v>
      </c>
      <c r="C879" s="908" t="s">
        <v>522</v>
      </c>
      <c r="D879" s="1076"/>
      <c r="E879" s="1077"/>
      <c r="F879" s="1078"/>
      <c r="G879" s="846"/>
      <c r="H879" s="847"/>
      <c r="I879" s="846"/>
      <c r="J879" s="847"/>
      <c r="K879" s="846"/>
      <c r="L879" s="847"/>
      <c r="M879" s="846"/>
      <c r="N879" s="846"/>
      <c r="O879" s="737">
        <f t="shared" si="111"/>
        <v>0</v>
      </c>
      <c r="P879" s="847"/>
      <c r="Q879" s="847"/>
      <c r="R879" s="738">
        <f t="shared" si="114"/>
        <v>0</v>
      </c>
      <c r="S879" s="737">
        <f t="shared" si="115"/>
        <v>0</v>
      </c>
      <c r="T879" s="739">
        <f t="shared" si="116"/>
        <v>0</v>
      </c>
      <c r="U879" s="846"/>
      <c r="V879" s="847"/>
      <c r="W879" s="846"/>
      <c r="X879" s="846"/>
      <c r="Y879" s="740">
        <f t="shared" si="112"/>
        <v>0</v>
      </c>
      <c r="Z879" s="847"/>
      <c r="AA879" s="847"/>
      <c r="AB879" s="741">
        <f t="shared" si="113"/>
        <v>0</v>
      </c>
      <c r="AC879" s="846"/>
      <c r="AD879" s="847"/>
      <c r="AE879" s="846"/>
      <c r="AF879" s="846"/>
      <c r="AG879" s="847"/>
      <c r="AH879" s="847"/>
      <c r="AI879" s="742">
        <f t="shared" si="117"/>
        <v>0</v>
      </c>
      <c r="AJ879" s="743">
        <f t="shared" si="118"/>
        <v>0</v>
      </c>
    </row>
    <row r="880" spans="1:36">
      <c r="A880" s="1062" t="s">
        <v>149</v>
      </c>
      <c r="B880" s="907" t="s">
        <v>210</v>
      </c>
      <c r="C880" s="908" t="s">
        <v>311</v>
      </c>
      <c r="D880" s="1076"/>
      <c r="E880" s="1077"/>
      <c r="F880" s="1078"/>
      <c r="G880" s="846"/>
      <c r="H880" s="847"/>
      <c r="I880" s="846"/>
      <c r="J880" s="847"/>
      <c r="K880" s="846"/>
      <c r="L880" s="847"/>
      <c r="M880" s="846"/>
      <c r="N880" s="846"/>
      <c r="O880" s="737">
        <f t="shared" si="111"/>
        <v>0</v>
      </c>
      <c r="P880" s="847"/>
      <c r="Q880" s="847"/>
      <c r="R880" s="738">
        <f t="shared" si="114"/>
        <v>0</v>
      </c>
      <c r="S880" s="737">
        <f t="shared" si="115"/>
        <v>0</v>
      </c>
      <c r="T880" s="739">
        <f t="shared" si="116"/>
        <v>0</v>
      </c>
      <c r="U880" s="846"/>
      <c r="V880" s="847"/>
      <c r="W880" s="846"/>
      <c r="X880" s="846"/>
      <c r="Y880" s="740">
        <f t="shared" si="112"/>
        <v>0</v>
      </c>
      <c r="Z880" s="847"/>
      <c r="AA880" s="847"/>
      <c r="AB880" s="741">
        <f t="shared" si="113"/>
        <v>0</v>
      </c>
      <c r="AC880" s="846"/>
      <c r="AD880" s="847"/>
      <c r="AE880" s="846"/>
      <c r="AF880" s="846"/>
      <c r="AG880" s="847"/>
      <c r="AH880" s="847"/>
      <c r="AI880" s="742">
        <f t="shared" si="117"/>
        <v>0</v>
      </c>
      <c r="AJ880" s="743">
        <f t="shared" si="118"/>
        <v>0</v>
      </c>
    </row>
    <row r="881" spans="1:36">
      <c r="A881" s="1062" t="s">
        <v>149</v>
      </c>
      <c r="B881" s="907" t="s">
        <v>204</v>
      </c>
      <c r="C881" s="908" t="s">
        <v>249</v>
      </c>
      <c r="D881" s="1076"/>
      <c r="E881" s="1077"/>
      <c r="F881" s="1078"/>
      <c r="G881" s="846"/>
      <c r="H881" s="847"/>
      <c r="I881" s="846"/>
      <c r="J881" s="847"/>
      <c r="K881" s="846"/>
      <c r="L881" s="847"/>
      <c r="M881" s="846"/>
      <c r="N881" s="846"/>
      <c r="O881" s="737">
        <f t="shared" si="111"/>
        <v>0</v>
      </c>
      <c r="P881" s="847"/>
      <c r="Q881" s="847"/>
      <c r="R881" s="738">
        <f t="shared" si="114"/>
        <v>0</v>
      </c>
      <c r="S881" s="737">
        <f t="shared" si="115"/>
        <v>0</v>
      </c>
      <c r="T881" s="739">
        <f t="shared" si="116"/>
        <v>0</v>
      </c>
      <c r="U881" s="846"/>
      <c r="V881" s="847"/>
      <c r="W881" s="846"/>
      <c r="X881" s="846"/>
      <c r="Y881" s="740">
        <f t="shared" si="112"/>
        <v>0</v>
      </c>
      <c r="Z881" s="847"/>
      <c r="AA881" s="847"/>
      <c r="AB881" s="741">
        <f t="shared" si="113"/>
        <v>0</v>
      </c>
      <c r="AC881" s="846"/>
      <c r="AD881" s="847"/>
      <c r="AE881" s="846"/>
      <c r="AF881" s="846"/>
      <c r="AG881" s="847"/>
      <c r="AH881" s="847"/>
      <c r="AI881" s="742">
        <f t="shared" si="117"/>
        <v>0</v>
      </c>
      <c r="AJ881" s="743">
        <f t="shared" si="118"/>
        <v>0</v>
      </c>
    </row>
    <row r="882" spans="1:36">
      <c r="A882" s="1062" t="s">
        <v>149</v>
      </c>
      <c r="B882" s="907" t="s">
        <v>205</v>
      </c>
      <c r="C882" s="908" t="s">
        <v>523</v>
      </c>
      <c r="D882" s="1076"/>
      <c r="E882" s="1077"/>
      <c r="F882" s="1078"/>
      <c r="G882" s="846"/>
      <c r="H882" s="847"/>
      <c r="I882" s="846"/>
      <c r="J882" s="847"/>
      <c r="K882" s="846"/>
      <c r="L882" s="847"/>
      <c r="M882" s="846"/>
      <c r="N882" s="846"/>
      <c r="O882" s="737">
        <f t="shared" si="111"/>
        <v>0</v>
      </c>
      <c r="P882" s="847"/>
      <c r="Q882" s="847"/>
      <c r="R882" s="738">
        <f t="shared" si="114"/>
        <v>0</v>
      </c>
      <c r="S882" s="737">
        <f t="shared" si="115"/>
        <v>0</v>
      </c>
      <c r="T882" s="739">
        <f t="shared" si="116"/>
        <v>0</v>
      </c>
      <c r="U882" s="846"/>
      <c r="V882" s="847"/>
      <c r="W882" s="846"/>
      <c r="X882" s="846"/>
      <c r="Y882" s="740">
        <f t="shared" si="112"/>
        <v>0</v>
      </c>
      <c r="Z882" s="847"/>
      <c r="AA882" s="847"/>
      <c r="AB882" s="741">
        <f t="shared" si="113"/>
        <v>0</v>
      </c>
      <c r="AC882" s="846"/>
      <c r="AD882" s="847"/>
      <c r="AE882" s="846"/>
      <c r="AF882" s="846"/>
      <c r="AG882" s="847"/>
      <c r="AH882" s="847"/>
      <c r="AI882" s="742">
        <f t="shared" si="117"/>
        <v>0</v>
      </c>
      <c r="AJ882" s="743">
        <f t="shared" si="118"/>
        <v>0</v>
      </c>
    </row>
    <row r="883" spans="1:36">
      <c r="A883" s="1062" t="s">
        <v>149</v>
      </c>
      <c r="B883" s="907" t="s">
        <v>218</v>
      </c>
      <c r="C883" s="908" t="s">
        <v>311</v>
      </c>
      <c r="D883" s="1076"/>
      <c r="E883" s="1077"/>
      <c r="F883" s="1078"/>
      <c r="G883" s="846"/>
      <c r="H883" s="847"/>
      <c r="I883" s="846"/>
      <c r="J883" s="847"/>
      <c r="K883" s="846"/>
      <c r="L883" s="847"/>
      <c r="M883" s="846"/>
      <c r="N883" s="846"/>
      <c r="O883" s="737">
        <f t="shared" si="111"/>
        <v>0</v>
      </c>
      <c r="P883" s="847"/>
      <c r="Q883" s="847"/>
      <c r="R883" s="738">
        <f t="shared" si="114"/>
        <v>0</v>
      </c>
      <c r="S883" s="737">
        <f t="shared" si="115"/>
        <v>0</v>
      </c>
      <c r="T883" s="739">
        <f t="shared" si="116"/>
        <v>0</v>
      </c>
      <c r="U883" s="846"/>
      <c r="V883" s="847"/>
      <c r="W883" s="846"/>
      <c r="X883" s="846"/>
      <c r="Y883" s="740">
        <f t="shared" si="112"/>
        <v>0</v>
      </c>
      <c r="Z883" s="847"/>
      <c r="AA883" s="847"/>
      <c r="AB883" s="741">
        <f t="shared" si="113"/>
        <v>0</v>
      </c>
      <c r="AC883" s="846"/>
      <c r="AD883" s="847"/>
      <c r="AE883" s="846"/>
      <c r="AF883" s="846"/>
      <c r="AG883" s="847"/>
      <c r="AH883" s="847"/>
      <c r="AI883" s="742">
        <f t="shared" si="117"/>
        <v>0</v>
      </c>
      <c r="AJ883" s="743">
        <f t="shared" si="118"/>
        <v>0</v>
      </c>
    </row>
    <row r="884" spans="1:36">
      <c r="A884" s="1062" t="s">
        <v>149</v>
      </c>
      <c r="B884" s="907" t="s">
        <v>219</v>
      </c>
      <c r="C884" s="908" t="s">
        <v>249</v>
      </c>
      <c r="D884" s="1076"/>
      <c r="E884" s="1077"/>
      <c r="F884" s="1078"/>
      <c r="G884" s="846"/>
      <c r="H884" s="847"/>
      <c r="I884" s="846"/>
      <c r="J884" s="847"/>
      <c r="K884" s="846"/>
      <c r="L884" s="847"/>
      <c r="M884" s="846"/>
      <c r="N884" s="846"/>
      <c r="O884" s="737">
        <f t="shared" si="111"/>
        <v>0</v>
      </c>
      <c r="P884" s="847"/>
      <c r="Q884" s="847"/>
      <c r="R884" s="738">
        <f t="shared" si="114"/>
        <v>0</v>
      </c>
      <c r="S884" s="737">
        <f t="shared" si="115"/>
        <v>0</v>
      </c>
      <c r="T884" s="739">
        <f t="shared" si="116"/>
        <v>0</v>
      </c>
      <c r="U884" s="846"/>
      <c r="V884" s="847"/>
      <c r="W884" s="846"/>
      <c r="X884" s="846"/>
      <c r="Y884" s="740">
        <f t="shared" si="112"/>
        <v>0</v>
      </c>
      <c r="Z884" s="847"/>
      <c r="AA884" s="847"/>
      <c r="AB884" s="741">
        <f t="shared" si="113"/>
        <v>0</v>
      </c>
      <c r="AC884" s="846"/>
      <c r="AD884" s="847"/>
      <c r="AE884" s="846"/>
      <c r="AF884" s="846"/>
      <c r="AG884" s="847"/>
      <c r="AH884" s="847"/>
      <c r="AI884" s="742">
        <f t="shared" si="117"/>
        <v>0</v>
      </c>
      <c r="AJ884" s="743">
        <f t="shared" si="118"/>
        <v>0</v>
      </c>
    </row>
    <row r="885" spans="1:36">
      <c r="A885" s="1062" t="s">
        <v>149</v>
      </c>
      <c r="B885" s="901" t="s">
        <v>292</v>
      </c>
      <c r="C885" s="1075" t="s">
        <v>995</v>
      </c>
      <c r="D885" s="1076"/>
      <c r="E885" s="910"/>
      <c r="F885" s="911"/>
      <c r="G885" s="846"/>
      <c r="H885" s="847"/>
      <c r="I885" s="846"/>
      <c r="J885" s="847"/>
      <c r="K885" s="846"/>
      <c r="L885" s="847"/>
      <c r="M885" s="846"/>
      <c r="N885" s="846"/>
      <c r="O885" s="737">
        <f t="shared" si="111"/>
        <v>0</v>
      </c>
      <c r="P885" s="847"/>
      <c r="Q885" s="847"/>
      <c r="R885" s="738">
        <f t="shared" si="114"/>
        <v>0</v>
      </c>
      <c r="S885" s="737">
        <f t="shared" si="115"/>
        <v>0</v>
      </c>
      <c r="T885" s="739">
        <f t="shared" si="116"/>
        <v>0</v>
      </c>
      <c r="U885" s="846"/>
      <c r="V885" s="847"/>
      <c r="W885" s="846"/>
      <c r="X885" s="846"/>
      <c r="Y885" s="740">
        <f t="shared" si="112"/>
        <v>0</v>
      </c>
      <c r="Z885" s="847"/>
      <c r="AA885" s="847"/>
      <c r="AB885" s="741">
        <f t="shared" si="113"/>
        <v>0</v>
      </c>
      <c r="AC885" s="846"/>
      <c r="AD885" s="847"/>
      <c r="AE885" s="846"/>
      <c r="AF885" s="846"/>
      <c r="AG885" s="847"/>
      <c r="AH885" s="847"/>
      <c r="AI885" s="742">
        <f t="shared" si="117"/>
        <v>0</v>
      </c>
      <c r="AJ885" s="743">
        <f t="shared" si="118"/>
        <v>0</v>
      </c>
    </row>
    <row r="886" spans="1:36">
      <c r="A886" s="1062" t="s">
        <v>149</v>
      </c>
      <c r="B886" s="907" t="s">
        <v>310</v>
      </c>
      <c r="C886" s="908" t="s">
        <v>311</v>
      </c>
      <c r="D886" s="1076"/>
      <c r="E886" s="910"/>
      <c r="F886" s="911"/>
      <c r="G886" s="846"/>
      <c r="H886" s="847"/>
      <c r="I886" s="846"/>
      <c r="J886" s="847"/>
      <c r="K886" s="846"/>
      <c r="L886" s="847"/>
      <c r="M886" s="1079"/>
      <c r="N886" s="846"/>
      <c r="O886" s="737">
        <f t="shared" si="111"/>
        <v>0</v>
      </c>
      <c r="P886" s="1080"/>
      <c r="Q886" s="847"/>
      <c r="R886" s="738">
        <f t="shared" si="114"/>
        <v>0</v>
      </c>
      <c r="S886" s="737">
        <f t="shared" si="115"/>
        <v>0</v>
      </c>
      <c r="T886" s="739">
        <f t="shared" si="116"/>
        <v>0</v>
      </c>
      <c r="U886" s="846">
        <v>1569922</v>
      </c>
      <c r="V886" s="847">
        <v>1569922</v>
      </c>
      <c r="W886" s="1079"/>
      <c r="X886" s="846"/>
      <c r="Y886" s="740">
        <f t="shared" si="112"/>
        <v>0</v>
      </c>
      <c r="Z886" s="1080"/>
      <c r="AA886" s="847"/>
      <c r="AB886" s="741">
        <f t="shared" si="113"/>
        <v>0</v>
      </c>
      <c r="AC886" s="846"/>
      <c r="AD886" s="847"/>
      <c r="AE886" s="1079"/>
      <c r="AF886" s="846"/>
      <c r="AG886" s="1080"/>
      <c r="AH886" s="847"/>
      <c r="AI886" s="742">
        <f t="shared" si="117"/>
        <v>1569922</v>
      </c>
      <c r="AJ886" s="743">
        <f t="shared" si="118"/>
        <v>1569922</v>
      </c>
    </row>
    <row r="887" spans="1:36">
      <c r="A887" s="1062" t="s">
        <v>149</v>
      </c>
      <c r="B887" s="907" t="s">
        <v>251</v>
      </c>
      <c r="C887" s="908" t="s">
        <v>249</v>
      </c>
      <c r="D887" s="1076"/>
      <c r="E887" s="910"/>
      <c r="F887" s="911"/>
      <c r="G887" s="846"/>
      <c r="H887" s="847"/>
      <c r="I887" s="846"/>
      <c r="J887" s="847"/>
      <c r="K887" s="846"/>
      <c r="L887" s="847"/>
      <c r="M887" s="1079"/>
      <c r="N887" s="846"/>
      <c r="O887" s="737">
        <f t="shared" si="111"/>
        <v>0</v>
      </c>
      <c r="P887" s="1080"/>
      <c r="Q887" s="847"/>
      <c r="R887" s="738">
        <f t="shared" si="114"/>
        <v>0</v>
      </c>
      <c r="S887" s="737">
        <f t="shared" si="115"/>
        <v>0</v>
      </c>
      <c r="T887" s="739">
        <f t="shared" si="116"/>
        <v>0</v>
      </c>
      <c r="U887" s="846"/>
      <c r="V887" s="847"/>
      <c r="W887" s="1079"/>
      <c r="X887" s="846"/>
      <c r="Y887" s="740">
        <f t="shared" si="112"/>
        <v>0</v>
      </c>
      <c r="Z887" s="1080"/>
      <c r="AA887" s="847"/>
      <c r="AB887" s="741">
        <f t="shared" si="113"/>
        <v>0</v>
      </c>
      <c r="AC887" s="846"/>
      <c r="AD887" s="847"/>
      <c r="AE887" s="1079"/>
      <c r="AF887" s="846"/>
      <c r="AG887" s="1080"/>
      <c r="AH887" s="847"/>
      <c r="AI887" s="742">
        <f t="shared" si="117"/>
        <v>0</v>
      </c>
      <c r="AJ887" s="743">
        <f t="shared" si="118"/>
        <v>0</v>
      </c>
    </row>
    <row r="888" spans="1:36">
      <c r="A888" s="1062" t="s">
        <v>149</v>
      </c>
      <c r="B888" s="907" t="s">
        <v>209</v>
      </c>
      <c r="C888" s="908" t="s">
        <v>522</v>
      </c>
      <c r="D888" s="1076"/>
      <c r="E888" s="1077"/>
      <c r="F888" s="1078"/>
      <c r="G888" s="846"/>
      <c r="H888" s="847"/>
      <c r="I888" s="846"/>
      <c r="J888" s="847"/>
      <c r="K888" s="846"/>
      <c r="L888" s="847"/>
      <c r="M888" s="1079"/>
      <c r="N888" s="846"/>
      <c r="O888" s="737">
        <f t="shared" si="111"/>
        <v>0</v>
      </c>
      <c r="P888" s="1080"/>
      <c r="Q888" s="847"/>
      <c r="R888" s="738">
        <f t="shared" si="114"/>
        <v>0</v>
      </c>
      <c r="S888" s="737">
        <f t="shared" si="115"/>
        <v>0</v>
      </c>
      <c r="T888" s="739">
        <f t="shared" si="116"/>
        <v>0</v>
      </c>
      <c r="U888" s="846"/>
      <c r="V888" s="847"/>
      <c r="W888" s="1079"/>
      <c r="X888" s="846"/>
      <c r="Y888" s="740">
        <f t="shared" si="112"/>
        <v>0</v>
      </c>
      <c r="Z888" s="1080"/>
      <c r="AA888" s="847"/>
      <c r="AB888" s="741">
        <f t="shared" si="113"/>
        <v>0</v>
      </c>
      <c r="AC888" s="846"/>
      <c r="AD888" s="847"/>
      <c r="AE888" s="1079"/>
      <c r="AF888" s="846"/>
      <c r="AG888" s="1080"/>
      <c r="AH888" s="847"/>
      <c r="AI888" s="742">
        <f t="shared" si="117"/>
        <v>0</v>
      </c>
      <c r="AJ888" s="743">
        <f t="shared" si="118"/>
        <v>0</v>
      </c>
    </row>
    <row r="889" spans="1:36">
      <c r="A889" s="1062" t="s">
        <v>149</v>
      </c>
      <c r="B889" s="907" t="s">
        <v>210</v>
      </c>
      <c r="C889" s="908" t="s">
        <v>311</v>
      </c>
      <c r="D889" s="1076"/>
      <c r="E889" s="1077"/>
      <c r="F889" s="1078"/>
      <c r="G889" s="846"/>
      <c r="H889" s="847"/>
      <c r="I889" s="846"/>
      <c r="J889" s="847"/>
      <c r="K889" s="846"/>
      <c r="L889" s="847"/>
      <c r="M889" s="1079"/>
      <c r="N889" s="846"/>
      <c r="O889" s="737">
        <f t="shared" si="111"/>
        <v>0</v>
      </c>
      <c r="P889" s="1080"/>
      <c r="Q889" s="847"/>
      <c r="R889" s="738">
        <f t="shared" si="114"/>
        <v>0</v>
      </c>
      <c r="S889" s="737">
        <f t="shared" si="115"/>
        <v>0</v>
      </c>
      <c r="T889" s="739">
        <f t="shared" si="116"/>
        <v>0</v>
      </c>
      <c r="U889" s="846"/>
      <c r="V889" s="847"/>
      <c r="W889" s="1079"/>
      <c r="X889" s="846"/>
      <c r="Y889" s="740">
        <f t="shared" si="112"/>
        <v>0</v>
      </c>
      <c r="Z889" s="1080"/>
      <c r="AA889" s="847"/>
      <c r="AB889" s="741">
        <f t="shared" si="113"/>
        <v>0</v>
      </c>
      <c r="AC889" s="846"/>
      <c r="AD889" s="847"/>
      <c r="AE889" s="1079"/>
      <c r="AF889" s="846"/>
      <c r="AG889" s="1080"/>
      <c r="AH889" s="847"/>
      <c r="AI889" s="742">
        <f t="shared" si="117"/>
        <v>0</v>
      </c>
      <c r="AJ889" s="743">
        <f t="shared" si="118"/>
        <v>0</v>
      </c>
    </row>
    <row r="890" spans="1:36">
      <c r="A890" s="1062" t="s">
        <v>149</v>
      </c>
      <c r="B890" s="907" t="s">
        <v>204</v>
      </c>
      <c r="C890" s="908" t="s">
        <v>249</v>
      </c>
      <c r="D890" s="1076"/>
      <c r="E890" s="1077"/>
      <c r="F890" s="1078"/>
      <c r="G890" s="846"/>
      <c r="H890" s="847"/>
      <c r="I890" s="846"/>
      <c r="J890" s="847"/>
      <c r="K890" s="846"/>
      <c r="L890" s="847"/>
      <c r="M890" s="1079"/>
      <c r="N890" s="846"/>
      <c r="O890" s="737">
        <f t="shared" si="111"/>
        <v>0</v>
      </c>
      <c r="P890" s="1080"/>
      <c r="Q890" s="847"/>
      <c r="R890" s="738">
        <f t="shared" si="114"/>
        <v>0</v>
      </c>
      <c r="S890" s="737">
        <f t="shared" si="115"/>
        <v>0</v>
      </c>
      <c r="T890" s="739">
        <f t="shared" si="116"/>
        <v>0</v>
      </c>
      <c r="U890" s="846"/>
      <c r="V890" s="847"/>
      <c r="W890" s="1079"/>
      <c r="X890" s="846"/>
      <c r="Y890" s="740">
        <f t="shared" si="112"/>
        <v>0</v>
      </c>
      <c r="Z890" s="1080"/>
      <c r="AA890" s="847"/>
      <c r="AB890" s="741">
        <f t="shared" si="113"/>
        <v>0</v>
      </c>
      <c r="AC890" s="846"/>
      <c r="AD890" s="847"/>
      <c r="AE890" s="1079"/>
      <c r="AF890" s="846"/>
      <c r="AG890" s="1080"/>
      <c r="AH890" s="847"/>
      <c r="AI890" s="742">
        <f t="shared" si="117"/>
        <v>0</v>
      </c>
      <c r="AJ890" s="743">
        <f t="shared" si="118"/>
        <v>0</v>
      </c>
    </row>
    <row r="891" spans="1:36">
      <c r="A891" s="1062" t="s">
        <v>149</v>
      </c>
      <c r="B891" s="907" t="s">
        <v>205</v>
      </c>
      <c r="C891" s="908" t="s">
        <v>523</v>
      </c>
      <c r="D891" s="1076"/>
      <c r="E891" s="1077"/>
      <c r="F891" s="1078"/>
      <c r="G891" s="846"/>
      <c r="H891" s="847"/>
      <c r="I891" s="846"/>
      <c r="J891" s="847"/>
      <c r="K891" s="846"/>
      <c r="L891" s="847"/>
      <c r="M891" s="1079"/>
      <c r="N891" s="846"/>
      <c r="O891" s="737">
        <f t="shared" si="111"/>
        <v>0</v>
      </c>
      <c r="P891" s="1080"/>
      <c r="Q891" s="847"/>
      <c r="R891" s="738">
        <f t="shared" si="114"/>
        <v>0</v>
      </c>
      <c r="S891" s="737">
        <f t="shared" si="115"/>
        <v>0</v>
      </c>
      <c r="T891" s="739">
        <f t="shared" si="116"/>
        <v>0</v>
      </c>
      <c r="U891" s="846"/>
      <c r="V891" s="847"/>
      <c r="W891" s="1079"/>
      <c r="X891" s="846"/>
      <c r="Y891" s="740">
        <f t="shared" si="112"/>
        <v>0</v>
      </c>
      <c r="Z891" s="1080"/>
      <c r="AA891" s="847"/>
      <c r="AB891" s="741">
        <f t="shared" si="113"/>
        <v>0</v>
      </c>
      <c r="AC891" s="846"/>
      <c r="AD891" s="847"/>
      <c r="AE891" s="1079"/>
      <c r="AF891" s="846"/>
      <c r="AG891" s="1080"/>
      <c r="AH891" s="847"/>
      <c r="AI891" s="742">
        <f t="shared" si="117"/>
        <v>0</v>
      </c>
      <c r="AJ891" s="743">
        <f t="shared" si="118"/>
        <v>0</v>
      </c>
    </row>
    <row r="892" spans="1:36">
      <c r="A892" s="1062" t="s">
        <v>149</v>
      </c>
      <c r="B892" s="907" t="s">
        <v>218</v>
      </c>
      <c r="C892" s="908" t="s">
        <v>311</v>
      </c>
      <c r="D892" s="1076"/>
      <c r="E892" s="1077"/>
      <c r="F892" s="1078"/>
      <c r="G892" s="846"/>
      <c r="H892" s="847"/>
      <c r="I892" s="846"/>
      <c r="J892" s="847"/>
      <c r="K892" s="846"/>
      <c r="L892" s="847"/>
      <c r="M892" s="1079"/>
      <c r="N892" s="846"/>
      <c r="O892" s="737">
        <f t="shared" si="111"/>
        <v>0</v>
      </c>
      <c r="P892" s="1080"/>
      <c r="Q892" s="847"/>
      <c r="R892" s="738">
        <f t="shared" si="114"/>
        <v>0</v>
      </c>
      <c r="S892" s="737">
        <f t="shared" si="115"/>
        <v>0</v>
      </c>
      <c r="T892" s="739">
        <f t="shared" si="116"/>
        <v>0</v>
      </c>
      <c r="U892" s="846"/>
      <c r="V892" s="847"/>
      <c r="W892" s="1079"/>
      <c r="X892" s="846"/>
      <c r="Y892" s="740">
        <f t="shared" si="112"/>
        <v>0</v>
      </c>
      <c r="Z892" s="1080"/>
      <c r="AA892" s="847"/>
      <c r="AB892" s="741">
        <f t="shared" si="113"/>
        <v>0</v>
      </c>
      <c r="AC892" s="846"/>
      <c r="AD892" s="847"/>
      <c r="AE892" s="1079"/>
      <c r="AF892" s="846"/>
      <c r="AG892" s="1080"/>
      <c r="AH892" s="847"/>
      <c r="AI892" s="742">
        <f t="shared" si="117"/>
        <v>0</v>
      </c>
      <c r="AJ892" s="743">
        <f t="shared" si="118"/>
        <v>0</v>
      </c>
    </row>
    <row r="893" spans="1:36">
      <c r="A893" s="1062" t="s">
        <v>149</v>
      </c>
      <c r="B893" s="907" t="s">
        <v>219</v>
      </c>
      <c r="C893" s="908" t="s">
        <v>249</v>
      </c>
      <c r="D893" s="1076"/>
      <c r="E893" s="1077"/>
      <c r="F893" s="1078"/>
      <c r="G893" s="846"/>
      <c r="H893" s="847"/>
      <c r="I893" s="846"/>
      <c r="J893" s="847"/>
      <c r="K893" s="846"/>
      <c r="L893" s="847"/>
      <c r="M893" s="1079"/>
      <c r="N893" s="846"/>
      <c r="O893" s="737">
        <f t="shared" si="111"/>
        <v>0</v>
      </c>
      <c r="P893" s="1080"/>
      <c r="Q893" s="847"/>
      <c r="R893" s="738">
        <f t="shared" si="114"/>
        <v>0</v>
      </c>
      <c r="S893" s="737">
        <f t="shared" si="115"/>
        <v>0</v>
      </c>
      <c r="T893" s="739">
        <f t="shared" si="116"/>
        <v>0</v>
      </c>
      <c r="U893" s="846"/>
      <c r="V893" s="847"/>
      <c r="W893" s="1079"/>
      <c r="X893" s="846"/>
      <c r="Y893" s="740">
        <f t="shared" si="112"/>
        <v>0</v>
      </c>
      <c r="Z893" s="1080"/>
      <c r="AA893" s="847"/>
      <c r="AB893" s="741">
        <f t="shared" si="113"/>
        <v>0</v>
      </c>
      <c r="AC893" s="846"/>
      <c r="AD893" s="847"/>
      <c r="AE893" s="1079"/>
      <c r="AF893" s="846"/>
      <c r="AG893" s="1080"/>
      <c r="AH893" s="847"/>
      <c r="AI893" s="742">
        <f t="shared" si="117"/>
        <v>0</v>
      </c>
      <c r="AJ893" s="743">
        <f t="shared" si="118"/>
        <v>0</v>
      </c>
    </row>
    <row r="894" spans="1:36">
      <c r="A894" s="1062" t="s">
        <v>149</v>
      </c>
      <c r="B894" s="901" t="s">
        <v>292</v>
      </c>
      <c r="C894" s="1075" t="s">
        <v>996</v>
      </c>
      <c r="D894" s="1076"/>
      <c r="E894" s="910"/>
      <c r="F894" s="911"/>
      <c r="G894" s="846"/>
      <c r="H894" s="847"/>
      <c r="I894" s="846"/>
      <c r="J894" s="847"/>
      <c r="K894" s="846"/>
      <c r="L894" s="847"/>
      <c r="M894" s="1079"/>
      <c r="N894" s="846"/>
      <c r="O894" s="737">
        <f t="shared" si="111"/>
        <v>0</v>
      </c>
      <c r="P894" s="1080"/>
      <c r="Q894" s="847"/>
      <c r="R894" s="738">
        <f t="shared" si="114"/>
        <v>0</v>
      </c>
      <c r="S894" s="737">
        <f t="shared" si="115"/>
        <v>0</v>
      </c>
      <c r="T894" s="739">
        <f t="shared" si="116"/>
        <v>0</v>
      </c>
      <c r="U894" s="846"/>
      <c r="V894" s="847"/>
      <c r="W894" s="1079"/>
      <c r="X894" s="846"/>
      <c r="Y894" s="740">
        <f t="shared" si="112"/>
        <v>0</v>
      </c>
      <c r="Z894" s="1080"/>
      <c r="AA894" s="847"/>
      <c r="AB894" s="741">
        <f t="shared" si="113"/>
        <v>0</v>
      </c>
      <c r="AC894" s="846"/>
      <c r="AD894" s="847"/>
      <c r="AE894" s="1079"/>
      <c r="AF894" s="846"/>
      <c r="AG894" s="1080"/>
      <c r="AH894" s="847"/>
      <c r="AI894" s="742">
        <f t="shared" si="117"/>
        <v>0</v>
      </c>
      <c r="AJ894" s="743">
        <f t="shared" si="118"/>
        <v>0</v>
      </c>
    </row>
    <row r="895" spans="1:36">
      <c r="A895" s="1062" t="s">
        <v>149</v>
      </c>
      <c r="B895" s="907" t="s">
        <v>310</v>
      </c>
      <c r="C895" s="908" t="s">
        <v>311</v>
      </c>
      <c r="D895" s="1076"/>
      <c r="E895" s="910"/>
      <c r="F895" s="911"/>
      <c r="G895" s="846"/>
      <c r="H895" s="847"/>
      <c r="I895" s="846"/>
      <c r="J895" s="847"/>
      <c r="K895" s="846"/>
      <c r="L895" s="847"/>
      <c r="M895" s="1079"/>
      <c r="N895" s="846"/>
      <c r="O895" s="737">
        <f t="shared" si="111"/>
        <v>0</v>
      </c>
      <c r="P895" s="1080"/>
      <c r="Q895" s="847"/>
      <c r="R895" s="738">
        <f t="shared" si="114"/>
        <v>0</v>
      </c>
      <c r="S895" s="737">
        <f t="shared" si="115"/>
        <v>0</v>
      </c>
      <c r="T895" s="739">
        <f t="shared" si="116"/>
        <v>0</v>
      </c>
      <c r="U895" s="846">
        <v>50000</v>
      </c>
      <c r="V895" s="847" t="s">
        <v>997</v>
      </c>
      <c r="W895" s="1079"/>
      <c r="X895" s="846"/>
      <c r="Y895" s="740">
        <f t="shared" si="112"/>
        <v>0</v>
      </c>
      <c r="Z895" s="1080"/>
      <c r="AA895" s="847"/>
      <c r="AB895" s="741">
        <f t="shared" si="113"/>
        <v>0</v>
      </c>
      <c r="AC895" s="846"/>
      <c r="AD895" s="847"/>
      <c r="AE895" s="1079"/>
      <c r="AF895" s="846"/>
      <c r="AG895" s="1080"/>
      <c r="AH895" s="847"/>
      <c r="AI895" s="742">
        <f t="shared" si="117"/>
        <v>50000</v>
      </c>
      <c r="AJ895" s="743">
        <f t="shared" si="118"/>
        <v>0</v>
      </c>
    </row>
    <row r="896" spans="1:36">
      <c r="A896" s="1062" t="s">
        <v>149</v>
      </c>
      <c r="B896" s="907" t="s">
        <v>251</v>
      </c>
      <c r="C896" s="908" t="s">
        <v>249</v>
      </c>
      <c r="D896" s="1076"/>
      <c r="E896" s="910"/>
      <c r="F896" s="911"/>
      <c r="G896" s="846"/>
      <c r="H896" s="847"/>
      <c r="I896" s="846"/>
      <c r="J896" s="847"/>
      <c r="K896" s="846"/>
      <c r="L896" s="847"/>
      <c r="M896" s="1079"/>
      <c r="N896" s="846"/>
      <c r="O896" s="737">
        <f t="shared" si="111"/>
        <v>0</v>
      </c>
      <c r="P896" s="1080"/>
      <c r="Q896" s="847"/>
      <c r="R896" s="738">
        <f t="shared" si="114"/>
        <v>0</v>
      </c>
      <c r="S896" s="737">
        <f t="shared" si="115"/>
        <v>0</v>
      </c>
      <c r="T896" s="739">
        <f t="shared" si="116"/>
        <v>0</v>
      </c>
      <c r="U896" s="846"/>
      <c r="V896" s="847"/>
      <c r="W896" s="1079"/>
      <c r="X896" s="846"/>
      <c r="Y896" s="740">
        <f t="shared" si="112"/>
        <v>0</v>
      </c>
      <c r="Z896" s="1080"/>
      <c r="AA896" s="847"/>
      <c r="AB896" s="741">
        <f t="shared" si="113"/>
        <v>0</v>
      </c>
      <c r="AC896" s="846"/>
      <c r="AD896" s="847"/>
      <c r="AE896" s="1079"/>
      <c r="AF896" s="846"/>
      <c r="AG896" s="1080"/>
      <c r="AH896" s="847"/>
      <c r="AI896" s="742">
        <f t="shared" si="117"/>
        <v>0</v>
      </c>
      <c r="AJ896" s="743">
        <f t="shared" si="118"/>
        <v>0</v>
      </c>
    </row>
    <row r="897" spans="1:36">
      <c r="A897" s="1062" t="s">
        <v>149</v>
      </c>
      <c r="B897" s="907" t="s">
        <v>209</v>
      </c>
      <c r="C897" s="908" t="s">
        <v>522</v>
      </c>
      <c r="D897" s="1076"/>
      <c r="E897" s="1077"/>
      <c r="F897" s="1078"/>
      <c r="G897" s="846"/>
      <c r="H897" s="847"/>
      <c r="I897" s="846"/>
      <c r="J897" s="847"/>
      <c r="K897" s="846"/>
      <c r="L897" s="847"/>
      <c r="M897" s="1079"/>
      <c r="N897" s="846"/>
      <c r="O897" s="737">
        <f t="shared" si="111"/>
        <v>0</v>
      </c>
      <c r="P897" s="1080"/>
      <c r="Q897" s="847"/>
      <c r="R897" s="738">
        <f t="shared" si="114"/>
        <v>0</v>
      </c>
      <c r="S897" s="737">
        <f t="shared" si="115"/>
        <v>0</v>
      </c>
      <c r="T897" s="739">
        <f t="shared" si="116"/>
        <v>0</v>
      </c>
      <c r="U897" s="846"/>
      <c r="V897" s="847"/>
      <c r="W897" s="1079"/>
      <c r="X897" s="846"/>
      <c r="Y897" s="740">
        <f t="shared" si="112"/>
        <v>0</v>
      </c>
      <c r="Z897" s="1080"/>
      <c r="AA897" s="847"/>
      <c r="AB897" s="741">
        <f t="shared" si="113"/>
        <v>0</v>
      </c>
      <c r="AC897" s="846"/>
      <c r="AD897" s="847"/>
      <c r="AE897" s="1079"/>
      <c r="AF897" s="846"/>
      <c r="AG897" s="1080"/>
      <c r="AH897" s="847"/>
      <c r="AI897" s="742">
        <f t="shared" si="117"/>
        <v>0</v>
      </c>
      <c r="AJ897" s="743">
        <f t="shared" si="118"/>
        <v>0</v>
      </c>
    </row>
    <row r="898" spans="1:36">
      <c r="A898" s="1062" t="s">
        <v>149</v>
      </c>
      <c r="B898" s="907" t="s">
        <v>210</v>
      </c>
      <c r="C898" s="908" t="s">
        <v>311</v>
      </c>
      <c r="D898" s="1076"/>
      <c r="E898" s="1077"/>
      <c r="F898" s="1078"/>
      <c r="G898" s="846"/>
      <c r="H898" s="847"/>
      <c r="I898" s="846"/>
      <c r="J898" s="847"/>
      <c r="K898" s="846"/>
      <c r="L898" s="847"/>
      <c r="M898" s="1079"/>
      <c r="N898" s="846"/>
      <c r="O898" s="737">
        <f t="shared" si="111"/>
        <v>0</v>
      </c>
      <c r="P898" s="1080"/>
      <c r="Q898" s="847"/>
      <c r="R898" s="738">
        <f t="shared" si="114"/>
        <v>0</v>
      </c>
      <c r="S898" s="737">
        <f t="shared" si="115"/>
        <v>0</v>
      </c>
      <c r="T898" s="739">
        <f t="shared" si="116"/>
        <v>0</v>
      </c>
      <c r="U898" s="846"/>
      <c r="V898" s="847"/>
      <c r="W898" s="1079"/>
      <c r="X898" s="846"/>
      <c r="Y898" s="740">
        <f t="shared" si="112"/>
        <v>0</v>
      </c>
      <c r="Z898" s="1080"/>
      <c r="AA898" s="847"/>
      <c r="AB898" s="741">
        <f t="shared" si="113"/>
        <v>0</v>
      </c>
      <c r="AC898" s="846"/>
      <c r="AD898" s="847"/>
      <c r="AE898" s="1079"/>
      <c r="AF898" s="846"/>
      <c r="AG898" s="1080"/>
      <c r="AH898" s="847"/>
      <c r="AI898" s="742">
        <f t="shared" si="117"/>
        <v>0</v>
      </c>
      <c r="AJ898" s="743">
        <f t="shared" si="118"/>
        <v>0</v>
      </c>
    </row>
    <row r="899" spans="1:36">
      <c r="A899" s="1062" t="s">
        <v>149</v>
      </c>
      <c r="B899" s="907" t="s">
        <v>204</v>
      </c>
      <c r="C899" s="908" t="s">
        <v>249</v>
      </c>
      <c r="D899" s="1076"/>
      <c r="E899" s="1077"/>
      <c r="F899" s="1078"/>
      <c r="G899" s="846"/>
      <c r="H899" s="847"/>
      <c r="I899" s="846"/>
      <c r="J899" s="847"/>
      <c r="K899" s="846"/>
      <c r="L899" s="847"/>
      <c r="M899" s="1079"/>
      <c r="N899" s="846"/>
      <c r="O899" s="737">
        <f t="shared" si="111"/>
        <v>0</v>
      </c>
      <c r="P899" s="1080"/>
      <c r="Q899" s="847"/>
      <c r="R899" s="738">
        <f t="shared" si="114"/>
        <v>0</v>
      </c>
      <c r="S899" s="737">
        <f t="shared" si="115"/>
        <v>0</v>
      </c>
      <c r="T899" s="739">
        <f t="shared" si="116"/>
        <v>0</v>
      </c>
      <c r="U899" s="846"/>
      <c r="V899" s="847"/>
      <c r="W899" s="1079"/>
      <c r="X899" s="846"/>
      <c r="Y899" s="740">
        <f t="shared" si="112"/>
        <v>0</v>
      </c>
      <c r="Z899" s="1080"/>
      <c r="AA899" s="847"/>
      <c r="AB899" s="741">
        <f t="shared" si="113"/>
        <v>0</v>
      </c>
      <c r="AC899" s="846"/>
      <c r="AD899" s="847"/>
      <c r="AE899" s="1079"/>
      <c r="AF899" s="846"/>
      <c r="AG899" s="1080"/>
      <c r="AH899" s="847"/>
      <c r="AI899" s="742">
        <f t="shared" si="117"/>
        <v>0</v>
      </c>
      <c r="AJ899" s="743">
        <f t="shared" si="118"/>
        <v>0</v>
      </c>
    </row>
    <row r="900" spans="1:36">
      <c r="A900" s="1062" t="s">
        <v>149</v>
      </c>
      <c r="B900" s="907" t="s">
        <v>205</v>
      </c>
      <c r="C900" s="908" t="s">
        <v>523</v>
      </c>
      <c r="D900" s="1076"/>
      <c r="E900" s="1077"/>
      <c r="F900" s="1078"/>
      <c r="G900" s="846"/>
      <c r="H900" s="847"/>
      <c r="I900" s="846"/>
      <c r="J900" s="847"/>
      <c r="K900" s="846"/>
      <c r="L900" s="847"/>
      <c r="M900" s="1079"/>
      <c r="N900" s="846"/>
      <c r="O900" s="737">
        <f t="shared" si="111"/>
        <v>0</v>
      </c>
      <c r="P900" s="1080"/>
      <c r="Q900" s="847"/>
      <c r="R900" s="738">
        <f t="shared" si="114"/>
        <v>0</v>
      </c>
      <c r="S900" s="737">
        <f t="shared" si="115"/>
        <v>0</v>
      </c>
      <c r="T900" s="739">
        <f t="shared" si="116"/>
        <v>0</v>
      </c>
      <c r="U900" s="846"/>
      <c r="V900" s="847"/>
      <c r="W900" s="1079"/>
      <c r="X900" s="846"/>
      <c r="Y900" s="740">
        <f t="shared" si="112"/>
        <v>0</v>
      </c>
      <c r="Z900" s="1080"/>
      <c r="AA900" s="847"/>
      <c r="AB900" s="741">
        <f t="shared" si="113"/>
        <v>0</v>
      </c>
      <c r="AC900" s="846"/>
      <c r="AD900" s="847"/>
      <c r="AE900" s="1079"/>
      <c r="AF900" s="846"/>
      <c r="AG900" s="1080"/>
      <c r="AH900" s="847"/>
      <c r="AI900" s="742">
        <f t="shared" si="117"/>
        <v>0</v>
      </c>
      <c r="AJ900" s="743">
        <f t="shared" si="118"/>
        <v>0</v>
      </c>
    </row>
    <row r="901" spans="1:36">
      <c r="A901" s="1062" t="s">
        <v>149</v>
      </c>
      <c r="B901" s="907" t="s">
        <v>218</v>
      </c>
      <c r="C901" s="908" t="s">
        <v>311</v>
      </c>
      <c r="D901" s="1076"/>
      <c r="E901" s="1077"/>
      <c r="F901" s="1078"/>
      <c r="G901" s="846"/>
      <c r="H901" s="847"/>
      <c r="I901" s="846"/>
      <c r="J901" s="847"/>
      <c r="K901" s="846"/>
      <c r="L901" s="847"/>
      <c r="M901" s="1079"/>
      <c r="N901" s="846"/>
      <c r="O901" s="737">
        <f t="shared" si="111"/>
        <v>0</v>
      </c>
      <c r="P901" s="1080"/>
      <c r="Q901" s="847"/>
      <c r="R901" s="738">
        <f t="shared" si="114"/>
        <v>0</v>
      </c>
      <c r="S901" s="737">
        <f t="shared" si="115"/>
        <v>0</v>
      </c>
      <c r="T901" s="739">
        <f t="shared" si="116"/>
        <v>0</v>
      </c>
      <c r="U901" s="846"/>
      <c r="V901" s="847"/>
      <c r="W901" s="1079"/>
      <c r="X901" s="846"/>
      <c r="Y901" s="740">
        <f t="shared" si="112"/>
        <v>0</v>
      </c>
      <c r="Z901" s="1080"/>
      <c r="AA901" s="847"/>
      <c r="AB901" s="741">
        <f t="shared" si="113"/>
        <v>0</v>
      </c>
      <c r="AC901" s="846"/>
      <c r="AD901" s="847"/>
      <c r="AE901" s="1079"/>
      <c r="AF901" s="846"/>
      <c r="AG901" s="1080"/>
      <c r="AH901" s="847"/>
      <c r="AI901" s="742">
        <f t="shared" si="117"/>
        <v>0</v>
      </c>
      <c r="AJ901" s="743">
        <f t="shared" si="118"/>
        <v>0</v>
      </c>
    </row>
    <row r="902" spans="1:36">
      <c r="A902" s="1062" t="s">
        <v>149</v>
      </c>
      <c r="B902" s="907" t="s">
        <v>219</v>
      </c>
      <c r="C902" s="908" t="s">
        <v>249</v>
      </c>
      <c r="D902" s="1076"/>
      <c r="E902" s="1077"/>
      <c r="F902" s="1078"/>
      <c r="G902" s="846"/>
      <c r="H902" s="847"/>
      <c r="I902" s="846"/>
      <c r="J902" s="847"/>
      <c r="K902" s="846"/>
      <c r="L902" s="847"/>
      <c r="M902" s="1079"/>
      <c r="N902" s="846"/>
      <c r="O902" s="737">
        <f t="shared" si="111"/>
        <v>0</v>
      </c>
      <c r="P902" s="1080"/>
      <c r="Q902" s="847"/>
      <c r="R902" s="738">
        <f t="shared" si="114"/>
        <v>0</v>
      </c>
      <c r="S902" s="737">
        <f t="shared" si="115"/>
        <v>0</v>
      </c>
      <c r="T902" s="739">
        <f t="shared" si="116"/>
        <v>0</v>
      </c>
      <c r="U902" s="846"/>
      <c r="V902" s="847"/>
      <c r="W902" s="1079"/>
      <c r="X902" s="846"/>
      <c r="Y902" s="740">
        <f t="shared" si="112"/>
        <v>0</v>
      </c>
      <c r="Z902" s="1080"/>
      <c r="AA902" s="847"/>
      <c r="AB902" s="741">
        <f t="shared" si="113"/>
        <v>0</v>
      </c>
      <c r="AC902" s="846"/>
      <c r="AD902" s="847"/>
      <c r="AE902" s="1079"/>
      <c r="AF902" s="846"/>
      <c r="AG902" s="1080"/>
      <c r="AH902" s="847"/>
      <c r="AI902" s="742">
        <f t="shared" si="117"/>
        <v>0</v>
      </c>
      <c r="AJ902" s="743">
        <f t="shared" si="118"/>
        <v>0</v>
      </c>
    </row>
    <row r="903" spans="1:36">
      <c r="A903" s="1062" t="s">
        <v>149</v>
      </c>
      <c r="B903" s="901" t="s">
        <v>292</v>
      </c>
      <c r="C903" s="1075" t="s">
        <v>998</v>
      </c>
      <c r="D903" s="1076"/>
      <c r="E903" s="910"/>
      <c r="F903" s="911"/>
      <c r="G903" s="846"/>
      <c r="H903" s="847"/>
      <c r="I903" s="846"/>
      <c r="J903" s="847"/>
      <c r="K903" s="846"/>
      <c r="L903" s="847"/>
      <c r="M903" s="1079"/>
      <c r="N903" s="846"/>
      <c r="O903" s="737">
        <f t="shared" si="111"/>
        <v>0</v>
      </c>
      <c r="P903" s="1080"/>
      <c r="Q903" s="847"/>
      <c r="R903" s="738">
        <f t="shared" si="114"/>
        <v>0</v>
      </c>
      <c r="S903" s="737">
        <f t="shared" si="115"/>
        <v>0</v>
      </c>
      <c r="T903" s="739">
        <f t="shared" si="116"/>
        <v>0</v>
      </c>
      <c r="U903" s="846"/>
      <c r="V903" s="847"/>
      <c r="W903" s="1079"/>
      <c r="X903" s="846"/>
      <c r="Y903" s="740">
        <f t="shared" si="112"/>
        <v>0</v>
      </c>
      <c r="Z903" s="1080"/>
      <c r="AA903" s="847"/>
      <c r="AB903" s="741">
        <f t="shared" si="113"/>
        <v>0</v>
      </c>
      <c r="AC903" s="846"/>
      <c r="AD903" s="847"/>
      <c r="AE903" s="1079"/>
      <c r="AF903" s="846"/>
      <c r="AG903" s="1080"/>
      <c r="AH903" s="847"/>
      <c r="AI903" s="742">
        <f t="shared" si="117"/>
        <v>0</v>
      </c>
      <c r="AJ903" s="743">
        <f t="shared" si="118"/>
        <v>0</v>
      </c>
    </row>
    <row r="904" spans="1:36">
      <c r="A904" s="1062" t="s">
        <v>149</v>
      </c>
      <c r="B904" s="907" t="s">
        <v>310</v>
      </c>
      <c r="C904" s="908" t="s">
        <v>311</v>
      </c>
      <c r="D904" s="1076"/>
      <c r="E904" s="910"/>
      <c r="F904" s="911"/>
      <c r="G904" s="846"/>
      <c r="H904" s="847"/>
      <c r="I904" s="846"/>
      <c r="J904" s="847"/>
      <c r="K904" s="846"/>
      <c r="L904" s="847"/>
      <c r="M904" s="1079"/>
      <c r="N904" s="846"/>
      <c r="O904" s="737">
        <f t="shared" si="111"/>
        <v>0</v>
      </c>
      <c r="P904" s="1080"/>
      <c r="Q904" s="847"/>
      <c r="R904" s="738">
        <f t="shared" si="114"/>
        <v>0</v>
      </c>
      <c r="S904" s="737">
        <f t="shared" si="115"/>
        <v>0</v>
      </c>
      <c r="T904" s="739">
        <f t="shared" si="116"/>
        <v>0</v>
      </c>
      <c r="U904" s="846">
        <v>7000000</v>
      </c>
      <c r="V904" s="847">
        <v>7000000</v>
      </c>
      <c r="W904" s="1079"/>
      <c r="X904" s="846"/>
      <c r="Y904" s="740">
        <f t="shared" si="112"/>
        <v>0</v>
      </c>
      <c r="Z904" s="1080"/>
      <c r="AA904" s="847"/>
      <c r="AB904" s="741">
        <f t="shared" si="113"/>
        <v>0</v>
      </c>
      <c r="AC904" s="846"/>
      <c r="AD904" s="847"/>
      <c r="AE904" s="1079"/>
      <c r="AF904" s="846"/>
      <c r="AG904" s="1080"/>
      <c r="AH904" s="847"/>
      <c r="AI904" s="742">
        <f t="shared" si="117"/>
        <v>7000000</v>
      </c>
      <c r="AJ904" s="743">
        <f t="shared" si="118"/>
        <v>7000000</v>
      </c>
    </row>
    <row r="905" spans="1:36">
      <c r="A905" s="1062" t="s">
        <v>149</v>
      </c>
      <c r="B905" s="907" t="s">
        <v>251</v>
      </c>
      <c r="C905" s="908" t="s">
        <v>249</v>
      </c>
      <c r="D905" s="1076"/>
      <c r="E905" s="910"/>
      <c r="F905" s="911"/>
      <c r="G905" s="846"/>
      <c r="H905" s="847"/>
      <c r="I905" s="846"/>
      <c r="J905" s="847"/>
      <c r="K905" s="846"/>
      <c r="L905" s="847"/>
      <c r="M905" s="1079"/>
      <c r="N905" s="846"/>
      <c r="O905" s="737">
        <f t="shared" si="111"/>
        <v>0</v>
      </c>
      <c r="P905" s="1080"/>
      <c r="Q905" s="847"/>
      <c r="R905" s="738">
        <f t="shared" si="114"/>
        <v>0</v>
      </c>
      <c r="S905" s="737">
        <f t="shared" si="115"/>
        <v>0</v>
      </c>
      <c r="T905" s="739">
        <f t="shared" si="116"/>
        <v>0</v>
      </c>
      <c r="U905" s="846"/>
      <c r="V905" s="847"/>
      <c r="W905" s="1079"/>
      <c r="X905" s="846"/>
      <c r="Y905" s="740">
        <f t="shared" si="112"/>
        <v>0</v>
      </c>
      <c r="Z905" s="1080"/>
      <c r="AA905" s="847"/>
      <c r="AB905" s="741">
        <f t="shared" si="113"/>
        <v>0</v>
      </c>
      <c r="AC905" s="846"/>
      <c r="AD905" s="847"/>
      <c r="AE905" s="1079"/>
      <c r="AF905" s="846"/>
      <c r="AG905" s="1080"/>
      <c r="AH905" s="847"/>
      <c r="AI905" s="742">
        <f t="shared" si="117"/>
        <v>0</v>
      </c>
      <c r="AJ905" s="743">
        <f t="shared" si="118"/>
        <v>0</v>
      </c>
    </row>
    <row r="906" spans="1:36">
      <c r="A906" s="1062" t="s">
        <v>149</v>
      </c>
      <c r="B906" s="907" t="s">
        <v>209</v>
      </c>
      <c r="C906" s="908" t="s">
        <v>522</v>
      </c>
      <c r="D906" s="1076"/>
      <c r="E906" s="1077"/>
      <c r="F906" s="1078"/>
      <c r="G906" s="846"/>
      <c r="H906" s="847"/>
      <c r="I906" s="846"/>
      <c r="J906" s="847"/>
      <c r="K906" s="846"/>
      <c r="L906" s="847"/>
      <c r="M906" s="1079"/>
      <c r="N906" s="846"/>
      <c r="O906" s="737">
        <f t="shared" ref="O906:O969" si="119">SUM(M906:N906)</f>
        <v>0</v>
      </c>
      <c r="P906" s="1080"/>
      <c r="Q906" s="847"/>
      <c r="R906" s="738">
        <f t="shared" si="114"/>
        <v>0</v>
      </c>
      <c r="S906" s="737">
        <f t="shared" si="115"/>
        <v>0</v>
      </c>
      <c r="T906" s="739">
        <f t="shared" si="116"/>
        <v>0</v>
      </c>
      <c r="U906" s="846"/>
      <c r="V906" s="847"/>
      <c r="W906" s="1079"/>
      <c r="X906" s="846"/>
      <c r="Y906" s="740">
        <f t="shared" ref="Y906:Y969" si="120">SUM(W906:X906)</f>
        <v>0</v>
      </c>
      <c r="Z906" s="1080"/>
      <c r="AA906" s="847"/>
      <c r="AB906" s="741">
        <f t="shared" ref="AB906:AB969" si="121">SUM(Z906:AA906)</f>
        <v>0</v>
      </c>
      <c r="AC906" s="846"/>
      <c r="AD906" s="847"/>
      <c r="AE906" s="1079"/>
      <c r="AF906" s="846"/>
      <c r="AG906" s="1080"/>
      <c r="AH906" s="847"/>
      <c r="AI906" s="742">
        <f t="shared" si="117"/>
        <v>0</v>
      </c>
      <c r="AJ906" s="743">
        <f t="shared" si="118"/>
        <v>0</v>
      </c>
    </row>
    <row r="907" spans="1:36">
      <c r="A907" s="1062" t="s">
        <v>149</v>
      </c>
      <c r="B907" s="907" t="s">
        <v>210</v>
      </c>
      <c r="C907" s="908" t="s">
        <v>311</v>
      </c>
      <c r="D907" s="1076"/>
      <c r="E907" s="1077"/>
      <c r="F907" s="1078"/>
      <c r="G907" s="846"/>
      <c r="H907" s="847"/>
      <c r="I907" s="846"/>
      <c r="J907" s="847"/>
      <c r="K907" s="846"/>
      <c r="L907" s="847"/>
      <c r="M907" s="1079"/>
      <c r="N907" s="846"/>
      <c r="O907" s="737">
        <f t="shared" si="119"/>
        <v>0</v>
      </c>
      <c r="P907" s="1080"/>
      <c r="Q907" s="847"/>
      <c r="R907" s="738">
        <f t="shared" ref="R907:R970" si="122">SUM(P907:Q907)</f>
        <v>0</v>
      </c>
      <c r="S907" s="737">
        <f t="shared" ref="S907:S970" si="123">SUM(G907,I907,K907,M907)</f>
        <v>0</v>
      </c>
      <c r="T907" s="739">
        <f t="shared" ref="T907:T970" si="124">SUM(H907,J907,L907,P907)</f>
        <v>0</v>
      </c>
      <c r="U907" s="846"/>
      <c r="V907" s="847"/>
      <c r="W907" s="1079"/>
      <c r="X907" s="846"/>
      <c r="Y907" s="740">
        <f t="shared" si="120"/>
        <v>0</v>
      </c>
      <c r="Z907" s="1080"/>
      <c r="AA907" s="847"/>
      <c r="AB907" s="741">
        <f t="shared" si="121"/>
        <v>0</v>
      </c>
      <c r="AC907" s="846"/>
      <c r="AD907" s="847"/>
      <c r="AE907" s="1079"/>
      <c r="AF907" s="846"/>
      <c r="AG907" s="1080"/>
      <c r="AH907" s="847"/>
      <c r="AI907" s="742">
        <f t="shared" ref="AI907:AI970" si="125">SUM(S907,U907,W907,AC907,AE907)</f>
        <v>0</v>
      </c>
      <c r="AJ907" s="743">
        <f t="shared" ref="AJ907:AJ970" si="126">SUM(T907,V907,Z907,AD907,AG907)</f>
        <v>0</v>
      </c>
    </row>
    <row r="908" spans="1:36">
      <c r="A908" s="1062" t="s">
        <v>149</v>
      </c>
      <c r="B908" s="907" t="s">
        <v>204</v>
      </c>
      <c r="C908" s="908" t="s">
        <v>249</v>
      </c>
      <c r="D908" s="1076"/>
      <c r="E908" s="1077"/>
      <c r="F908" s="1078"/>
      <c r="G908" s="846"/>
      <c r="H908" s="847"/>
      <c r="I908" s="846"/>
      <c r="J908" s="847"/>
      <c r="K908" s="846"/>
      <c r="L908" s="847"/>
      <c r="M908" s="1079"/>
      <c r="N908" s="846"/>
      <c r="O908" s="737">
        <f t="shared" si="119"/>
        <v>0</v>
      </c>
      <c r="P908" s="1080"/>
      <c r="Q908" s="847"/>
      <c r="R908" s="738">
        <f t="shared" si="122"/>
        <v>0</v>
      </c>
      <c r="S908" s="737">
        <f t="shared" si="123"/>
        <v>0</v>
      </c>
      <c r="T908" s="739">
        <f t="shared" si="124"/>
        <v>0</v>
      </c>
      <c r="U908" s="846"/>
      <c r="V908" s="847"/>
      <c r="W908" s="1079"/>
      <c r="X908" s="846"/>
      <c r="Y908" s="740">
        <f t="shared" si="120"/>
        <v>0</v>
      </c>
      <c r="Z908" s="1080"/>
      <c r="AA908" s="847"/>
      <c r="AB908" s="741">
        <f t="shared" si="121"/>
        <v>0</v>
      </c>
      <c r="AC908" s="846"/>
      <c r="AD908" s="847"/>
      <c r="AE908" s="1079"/>
      <c r="AF908" s="846"/>
      <c r="AG908" s="1080"/>
      <c r="AH908" s="847"/>
      <c r="AI908" s="742">
        <f t="shared" si="125"/>
        <v>0</v>
      </c>
      <c r="AJ908" s="743">
        <f t="shared" si="126"/>
        <v>0</v>
      </c>
    </row>
    <row r="909" spans="1:36">
      <c r="A909" s="1062" t="s">
        <v>149</v>
      </c>
      <c r="B909" s="907" t="s">
        <v>205</v>
      </c>
      <c r="C909" s="908" t="s">
        <v>523</v>
      </c>
      <c r="D909" s="1076"/>
      <c r="E909" s="1077"/>
      <c r="F909" s="1078"/>
      <c r="G909" s="846"/>
      <c r="H909" s="847"/>
      <c r="I909" s="846"/>
      <c r="J909" s="847"/>
      <c r="K909" s="846"/>
      <c r="L909" s="847"/>
      <c r="M909" s="1079"/>
      <c r="N909" s="846"/>
      <c r="O909" s="737">
        <f t="shared" si="119"/>
        <v>0</v>
      </c>
      <c r="P909" s="1080"/>
      <c r="Q909" s="847"/>
      <c r="R909" s="738">
        <f t="shared" si="122"/>
        <v>0</v>
      </c>
      <c r="S909" s="737">
        <f t="shared" si="123"/>
        <v>0</v>
      </c>
      <c r="T909" s="739">
        <f t="shared" si="124"/>
        <v>0</v>
      </c>
      <c r="U909" s="846"/>
      <c r="V909" s="847"/>
      <c r="W909" s="1079"/>
      <c r="X909" s="846"/>
      <c r="Y909" s="740">
        <f t="shared" si="120"/>
        <v>0</v>
      </c>
      <c r="Z909" s="1080"/>
      <c r="AA909" s="847"/>
      <c r="AB909" s="741">
        <f t="shared" si="121"/>
        <v>0</v>
      </c>
      <c r="AC909" s="846"/>
      <c r="AD909" s="847"/>
      <c r="AE909" s="1079"/>
      <c r="AF909" s="846"/>
      <c r="AG909" s="1080"/>
      <c r="AH909" s="847"/>
      <c r="AI909" s="742">
        <f t="shared" si="125"/>
        <v>0</v>
      </c>
      <c r="AJ909" s="743">
        <f t="shared" si="126"/>
        <v>0</v>
      </c>
    </row>
    <row r="910" spans="1:36">
      <c r="A910" s="1062" t="s">
        <v>149</v>
      </c>
      <c r="B910" s="907" t="s">
        <v>218</v>
      </c>
      <c r="C910" s="908" t="s">
        <v>311</v>
      </c>
      <c r="D910" s="1076"/>
      <c r="E910" s="1077"/>
      <c r="F910" s="1078"/>
      <c r="G910" s="846"/>
      <c r="H910" s="847"/>
      <c r="I910" s="846"/>
      <c r="J910" s="847"/>
      <c r="K910" s="846"/>
      <c r="L910" s="847"/>
      <c r="M910" s="1079"/>
      <c r="N910" s="846"/>
      <c r="O910" s="737">
        <f t="shared" si="119"/>
        <v>0</v>
      </c>
      <c r="P910" s="1080"/>
      <c r="Q910" s="847"/>
      <c r="R910" s="738">
        <f t="shared" si="122"/>
        <v>0</v>
      </c>
      <c r="S910" s="737">
        <f t="shared" si="123"/>
        <v>0</v>
      </c>
      <c r="T910" s="739">
        <f t="shared" si="124"/>
        <v>0</v>
      </c>
      <c r="U910" s="846"/>
      <c r="V910" s="847"/>
      <c r="W910" s="1079"/>
      <c r="X910" s="846"/>
      <c r="Y910" s="740">
        <f t="shared" si="120"/>
        <v>0</v>
      </c>
      <c r="Z910" s="1080"/>
      <c r="AA910" s="847"/>
      <c r="AB910" s="741">
        <f t="shared" si="121"/>
        <v>0</v>
      </c>
      <c r="AC910" s="846"/>
      <c r="AD910" s="847"/>
      <c r="AE910" s="1079"/>
      <c r="AF910" s="846"/>
      <c r="AG910" s="1080"/>
      <c r="AH910" s="847"/>
      <c r="AI910" s="742">
        <f t="shared" si="125"/>
        <v>0</v>
      </c>
      <c r="AJ910" s="743">
        <f t="shared" si="126"/>
        <v>0</v>
      </c>
    </row>
    <row r="911" spans="1:36">
      <c r="A911" s="1062" t="s">
        <v>149</v>
      </c>
      <c r="B911" s="907" t="s">
        <v>219</v>
      </c>
      <c r="C911" s="908" t="s">
        <v>249</v>
      </c>
      <c r="D911" s="1076"/>
      <c r="E911" s="1077"/>
      <c r="F911" s="1078"/>
      <c r="G911" s="846"/>
      <c r="H911" s="847"/>
      <c r="I911" s="846"/>
      <c r="J911" s="847"/>
      <c r="K911" s="846"/>
      <c r="L911" s="847"/>
      <c r="M911" s="1079"/>
      <c r="N911" s="846"/>
      <c r="O911" s="737">
        <f t="shared" si="119"/>
        <v>0</v>
      </c>
      <c r="P911" s="1080"/>
      <c r="Q911" s="847"/>
      <c r="R911" s="738">
        <f t="shared" si="122"/>
        <v>0</v>
      </c>
      <c r="S911" s="737">
        <f t="shared" si="123"/>
        <v>0</v>
      </c>
      <c r="T911" s="739">
        <f t="shared" si="124"/>
        <v>0</v>
      </c>
      <c r="U911" s="846"/>
      <c r="V911" s="847"/>
      <c r="W911" s="1079"/>
      <c r="X911" s="846"/>
      <c r="Y911" s="740">
        <f t="shared" si="120"/>
        <v>0</v>
      </c>
      <c r="Z911" s="1080"/>
      <c r="AA911" s="847"/>
      <c r="AB911" s="741">
        <f t="shared" si="121"/>
        <v>0</v>
      </c>
      <c r="AC911" s="846"/>
      <c r="AD911" s="847"/>
      <c r="AE911" s="1079"/>
      <c r="AF911" s="846"/>
      <c r="AG911" s="1080"/>
      <c r="AH911" s="847"/>
      <c r="AI911" s="742">
        <f t="shared" si="125"/>
        <v>0</v>
      </c>
      <c r="AJ911" s="743">
        <f t="shared" si="126"/>
        <v>0</v>
      </c>
    </row>
    <row r="912" spans="1:36">
      <c r="A912" s="1062" t="s">
        <v>149</v>
      </c>
      <c r="B912" s="901" t="s">
        <v>293</v>
      </c>
      <c r="C912" s="902" t="s">
        <v>121</v>
      </c>
      <c r="D912" s="1074"/>
      <c r="E912" s="910"/>
      <c r="F912" s="911"/>
      <c r="G912" s="846"/>
      <c r="H912" s="847"/>
      <c r="I912" s="846"/>
      <c r="J912" s="847"/>
      <c r="K912" s="846"/>
      <c r="L912" s="847"/>
      <c r="M912" s="1079"/>
      <c r="N912" s="846"/>
      <c r="O912" s="737">
        <f t="shared" si="119"/>
        <v>0</v>
      </c>
      <c r="P912" s="1080"/>
      <c r="Q912" s="847"/>
      <c r="R912" s="738">
        <f t="shared" si="122"/>
        <v>0</v>
      </c>
      <c r="S912" s="737">
        <f t="shared" si="123"/>
        <v>0</v>
      </c>
      <c r="T912" s="739">
        <f t="shared" si="124"/>
        <v>0</v>
      </c>
      <c r="U912" s="846"/>
      <c r="V912" s="847"/>
      <c r="W912" s="1079"/>
      <c r="X912" s="846"/>
      <c r="Y912" s="740">
        <f t="shared" si="120"/>
        <v>0</v>
      </c>
      <c r="Z912" s="1080"/>
      <c r="AA912" s="847"/>
      <c r="AB912" s="741">
        <f t="shared" si="121"/>
        <v>0</v>
      </c>
      <c r="AC912" s="846"/>
      <c r="AD912" s="847"/>
      <c r="AE912" s="1079"/>
      <c r="AF912" s="846"/>
      <c r="AG912" s="1080"/>
      <c r="AH912" s="847"/>
      <c r="AI912" s="742">
        <f t="shared" si="125"/>
        <v>0</v>
      </c>
      <c r="AJ912" s="743">
        <f t="shared" si="126"/>
        <v>0</v>
      </c>
    </row>
    <row r="913" spans="1:36">
      <c r="A913" s="1062" t="s">
        <v>149</v>
      </c>
      <c r="B913" s="901" t="s">
        <v>293</v>
      </c>
      <c r="C913" s="1075" t="s">
        <v>999</v>
      </c>
      <c r="D913" s="1076"/>
      <c r="E913" s="1077"/>
      <c r="F913" s="1078"/>
      <c r="G913" s="846"/>
      <c r="H913" s="847"/>
      <c r="I913" s="846"/>
      <c r="J913" s="847"/>
      <c r="K913" s="846"/>
      <c r="L913" s="847"/>
      <c r="M913" s="1079"/>
      <c r="N913" s="846"/>
      <c r="O913" s="737">
        <f t="shared" si="119"/>
        <v>0</v>
      </c>
      <c r="P913" s="1080"/>
      <c r="Q913" s="847"/>
      <c r="R913" s="738">
        <f t="shared" si="122"/>
        <v>0</v>
      </c>
      <c r="S913" s="737">
        <f t="shared" si="123"/>
        <v>0</v>
      </c>
      <c r="T913" s="739">
        <f t="shared" si="124"/>
        <v>0</v>
      </c>
      <c r="U913" s="846"/>
      <c r="V913" s="847"/>
      <c r="W913" s="1079"/>
      <c r="X913" s="846"/>
      <c r="Y913" s="740">
        <f t="shared" si="120"/>
        <v>0</v>
      </c>
      <c r="Z913" s="1080"/>
      <c r="AA913" s="847"/>
      <c r="AB913" s="741">
        <f t="shared" si="121"/>
        <v>0</v>
      </c>
      <c r="AC913" s="846"/>
      <c r="AD913" s="847"/>
      <c r="AE913" s="1079"/>
      <c r="AF913" s="846"/>
      <c r="AG913" s="1080"/>
      <c r="AH913" s="847"/>
      <c r="AI913" s="742">
        <f t="shared" si="125"/>
        <v>0</v>
      </c>
      <c r="AJ913" s="743">
        <f t="shared" si="126"/>
        <v>0</v>
      </c>
    </row>
    <row r="914" spans="1:36">
      <c r="A914" s="1062" t="s">
        <v>149</v>
      </c>
      <c r="B914" s="907" t="s">
        <v>252</v>
      </c>
      <c r="C914" s="908" t="s">
        <v>311</v>
      </c>
      <c r="D914" s="1076"/>
      <c r="E914" s="1077"/>
      <c r="F914" s="1078"/>
      <c r="G914" s="846"/>
      <c r="H914" s="847"/>
      <c r="I914" s="846"/>
      <c r="J914" s="847"/>
      <c r="K914" s="846"/>
      <c r="L914" s="847"/>
      <c r="M914" s="1079"/>
      <c r="N914" s="846"/>
      <c r="O914" s="737">
        <f t="shared" si="119"/>
        <v>0</v>
      </c>
      <c r="P914" s="1080"/>
      <c r="Q914" s="847"/>
      <c r="R914" s="738">
        <f t="shared" si="122"/>
        <v>0</v>
      </c>
      <c r="S914" s="737">
        <f t="shared" si="123"/>
        <v>0</v>
      </c>
      <c r="T914" s="739">
        <f t="shared" si="124"/>
        <v>0</v>
      </c>
      <c r="U914" s="846">
        <v>102964587</v>
      </c>
      <c r="V914" s="847">
        <v>114525243</v>
      </c>
      <c r="W914" s="1079"/>
      <c r="X914" s="846"/>
      <c r="Y914" s="740">
        <f t="shared" si="120"/>
        <v>0</v>
      </c>
      <c r="Z914" s="1080"/>
      <c r="AA914" s="847"/>
      <c r="AB914" s="741">
        <f t="shared" si="121"/>
        <v>0</v>
      </c>
      <c r="AC914" s="846"/>
      <c r="AD914" s="847"/>
      <c r="AE914" s="1079"/>
      <c r="AF914" s="846"/>
      <c r="AG914" s="1080"/>
      <c r="AH914" s="847"/>
      <c r="AI914" s="742">
        <f t="shared" si="125"/>
        <v>102964587</v>
      </c>
      <c r="AJ914" s="743">
        <f t="shared" si="126"/>
        <v>114525243</v>
      </c>
    </row>
    <row r="915" spans="1:36">
      <c r="A915" s="1062" t="s">
        <v>149</v>
      </c>
      <c r="B915" s="907" t="s">
        <v>253</v>
      </c>
      <c r="C915" s="908" t="s">
        <v>249</v>
      </c>
      <c r="D915" s="1076"/>
      <c r="E915" s="1077"/>
      <c r="F915" s="1078"/>
      <c r="G915" s="846"/>
      <c r="H915" s="847"/>
      <c r="I915" s="846"/>
      <c r="J915" s="847"/>
      <c r="K915" s="846"/>
      <c r="L915" s="847"/>
      <c r="M915" s="1079"/>
      <c r="N915" s="846"/>
      <c r="O915" s="737">
        <f t="shared" si="119"/>
        <v>0</v>
      </c>
      <c r="P915" s="1080"/>
      <c r="Q915" s="847"/>
      <c r="R915" s="738">
        <f t="shared" si="122"/>
        <v>0</v>
      </c>
      <c r="S915" s="737">
        <f t="shared" si="123"/>
        <v>0</v>
      </c>
      <c r="T915" s="739">
        <f t="shared" si="124"/>
        <v>0</v>
      </c>
      <c r="U915" s="846"/>
      <c r="V915" s="847"/>
      <c r="W915" s="1079"/>
      <c r="X915" s="846"/>
      <c r="Y915" s="740">
        <f t="shared" si="120"/>
        <v>0</v>
      </c>
      <c r="Z915" s="1080"/>
      <c r="AA915" s="847"/>
      <c r="AB915" s="741">
        <f t="shared" si="121"/>
        <v>0</v>
      </c>
      <c r="AC915" s="846"/>
      <c r="AD915" s="847"/>
      <c r="AE915" s="1079"/>
      <c r="AF915" s="846"/>
      <c r="AG915" s="1080"/>
      <c r="AH915" s="847"/>
      <c r="AI915" s="742">
        <f t="shared" si="125"/>
        <v>0</v>
      </c>
      <c r="AJ915" s="743">
        <f t="shared" si="126"/>
        <v>0</v>
      </c>
    </row>
    <row r="916" spans="1:36">
      <c r="A916" s="1062" t="s">
        <v>149</v>
      </c>
      <c r="B916" s="901" t="s">
        <v>293</v>
      </c>
      <c r="C916" s="1075" t="s">
        <v>1000</v>
      </c>
      <c r="D916" s="1076"/>
      <c r="E916" s="910"/>
      <c r="F916" s="911"/>
      <c r="G916" s="846"/>
      <c r="H916" s="847"/>
      <c r="I916" s="846"/>
      <c r="J916" s="847"/>
      <c r="K916" s="846"/>
      <c r="L916" s="847"/>
      <c r="M916" s="1079"/>
      <c r="N916" s="846"/>
      <c r="O916" s="737">
        <f t="shared" si="119"/>
        <v>0</v>
      </c>
      <c r="P916" s="1080"/>
      <c r="Q916" s="847"/>
      <c r="R916" s="738">
        <f t="shared" si="122"/>
        <v>0</v>
      </c>
      <c r="S916" s="737">
        <f t="shared" si="123"/>
        <v>0</v>
      </c>
      <c r="T916" s="739">
        <f t="shared" si="124"/>
        <v>0</v>
      </c>
      <c r="U916" s="846"/>
      <c r="V916" s="847"/>
      <c r="W916" s="1079"/>
      <c r="X916" s="846"/>
      <c r="Y916" s="740">
        <f t="shared" si="120"/>
        <v>0</v>
      </c>
      <c r="Z916" s="1080"/>
      <c r="AA916" s="847"/>
      <c r="AB916" s="741">
        <f t="shared" si="121"/>
        <v>0</v>
      </c>
      <c r="AC916" s="846"/>
      <c r="AD916" s="847"/>
      <c r="AE916" s="1079"/>
      <c r="AF916" s="846"/>
      <c r="AG916" s="1080"/>
      <c r="AH916" s="847"/>
      <c r="AI916" s="742">
        <f t="shared" si="125"/>
        <v>0</v>
      </c>
      <c r="AJ916" s="743">
        <f t="shared" si="126"/>
        <v>0</v>
      </c>
    </row>
    <row r="917" spans="1:36">
      <c r="A917" s="1062" t="s">
        <v>149</v>
      </c>
      <c r="B917" s="907" t="s">
        <v>252</v>
      </c>
      <c r="C917" s="908" t="s">
        <v>311</v>
      </c>
      <c r="D917" s="1076"/>
      <c r="E917" s="1077"/>
      <c r="F917" s="1078"/>
      <c r="G917" s="846"/>
      <c r="H917" s="847"/>
      <c r="I917" s="846"/>
      <c r="J917" s="847"/>
      <c r="K917" s="846"/>
      <c r="L917" s="847"/>
      <c r="M917" s="1079"/>
      <c r="N917" s="846"/>
      <c r="O917" s="737">
        <f t="shared" si="119"/>
        <v>0</v>
      </c>
      <c r="P917" s="1080"/>
      <c r="Q917" s="847"/>
      <c r="R917" s="738">
        <f t="shared" si="122"/>
        <v>0</v>
      </c>
      <c r="S917" s="737">
        <f t="shared" si="123"/>
        <v>0</v>
      </c>
      <c r="T917" s="739">
        <f t="shared" si="124"/>
        <v>0</v>
      </c>
      <c r="U917" s="846"/>
      <c r="V917" s="847"/>
      <c r="W917" s="1079"/>
      <c r="X917" s="846"/>
      <c r="Y917" s="740">
        <f t="shared" si="120"/>
        <v>0</v>
      </c>
      <c r="Z917" s="1080"/>
      <c r="AA917" s="847"/>
      <c r="AB917" s="741">
        <f t="shared" si="121"/>
        <v>0</v>
      </c>
      <c r="AC917" s="846"/>
      <c r="AD917" s="847"/>
      <c r="AE917" s="1079"/>
      <c r="AF917" s="846"/>
      <c r="AG917" s="1080"/>
      <c r="AH917" s="847"/>
      <c r="AI917" s="742">
        <f t="shared" si="125"/>
        <v>0</v>
      </c>
      <c r="AJ917" s="743">
        <f t="shared" si="126"/>
        <v>0</v>
      </c>
    </row>
    <row r="918" spans="1:36">
      <c r="A918" s="1062" t="s">
        <v>149</v>
      </c>
      <c r="B918" s="907" t="s">
        <v>253</v>
      </c>
      <c r="C918" s="908" t="s">
        <v>249</v>
      </c>
      <c r="D918" s="1076"/>
      <c r="E918" s="1077"/>
      <c r="F918" s="1078"/>
      <c r="G918" s="846"/>
      <c r="H918" s="847"/>
      <c r="I918" s="846"/>
      <c r="J918" s="847"/>
      <c r="K918" s="846"/>
      <c r="L918" s="847"/>
      <c r="M918" s="1079"/>
      <c r="N918" s="846"/>
      <c r="O918" s="737">
        <f t="shared" si="119"/>
        <v>0</v>
      </c>
      <c r="P918" s="1080"/>
      <c r="Q918" s="847"/>
      <c r="R918" s="738">
        <f t="shared" si="122"/>
        <v>0</v>
      </c>
      <c r="S918" s="737">
        <f t="shared" si="123"/>
        <v>0</v>
      </c>
      <c r="T918" s="739">
        <f t="shared" si="124"/>
        <v>0</v>
      </c>
      <c r="U918" s="846">
        <v>885468</v>
      </c>
      <c r="V918" s="847">
        <v>1000000</v>
      </c>
      <c r="W918" s="1079"/>
      <c r="X918" s="846"/>
      <c r="Y918" s="740">
        <f t="shared" si="120"/>
        <v>0</v>
      </c>
      <c r="Z918" s="1080"/>
      <c r="AA918" s="847"/>
      <c r="AB918" s="741">
        <f t="shared" si="121"/>
        <v>0</v>
      </c>
      <c r="AC918" s="846"/>
      <c r="AD918" s="847"/>
      <c r="AE918" s="1079"/>
      <c r="AF918" s="846"/>
      <c r="AG918" s="1080"/>
      <c r="AH918" s="847"/>
      <c r="AI918" s="742">
        <f t="shared" si="125"/>
        <v>885468</v>
      </c>
      <c r="AJ918" s="743">
        <f t="shared" si="126"/>
        <v>1000000</v>
      </c>
    </row>
    <row r="919" spans="1:36">
      <c r="A919" s="1062" t="s">
        <v>149</v>
      </c>
      <c r="B919" s="901" t="s">
        <v>293</v>
      </c>
      <c r="C919" s="1075" t="s">
        <v>1001</v>
      </c>
      <c r="D919" s="1076"/>
      <c r="E919" s="910"/>
      <c r="F919" s="911"/>
      <c r="G919" s="846"/>
      <c r="H919" s="847"/>
      <c r="I919" s="846"/>
      <c r="J919" s="847"/>
      <c r="K919" s="846"/>
      <c r="L919" s="847"/>
      <c r="M919" s="1079"/>
      <c r="N919" s="846"/>
      <c r="O919" s="737">
        <f t="shared" si="119"/>
        <v>0</v>
      </c>
      <c r="P919" s="1080"/>
      <c r="Q919" s="847"/>
      <c r="R919" s="738">
        <f t="shared" si="122"/>
        <v>0</v>
      </c>
      <c r="S919" s="737">
        <f t="shared" si="123"/>
        <v>0</v>
      </c>
      <c r="T919" s="739">
        <f t="shared" si="124"/>
        <v>0</v>
      </c>
      <c r="U919" s="846"/>
      <c r="V919" s="847"/>
      <c r="W919" s="1079"/>
      <c r="X919" s="846"/>
      <c r="Y919" s="740">
        <f t="shared" si="120"/>
        <v>0</v>
      </c>
      <c r="Z919" s="1080"/>
      <c r="AA919" s="847"/>
      <c r="AB919" s="741">
        <f t="shared" si="121"/>
        <v>0</v>
      </c>
      <c r="AC919" s="846"/>
      <c r="AD919" s="847"/>
      <c r="AE919" s="1079"/>
      <c r="AF919" s="846"/>
      <c r="AG919" s="1080"/>
      <c r="AH919" s="847"/>
      <c r="AI919" s="742">
        <f t="shared" si="125"/>
        <v>0</v>
      </c>
      <c r="AJ919" s="743">
        <f t="shared" si="126"/>
        <v>0</v>
      </c>
    </row>
    <row r="920" spans="1:36">
      <c r="A920" s="1062" t="s">
        <v>149</v>
      </c>
      <c r="B920" s="907" t="s">
        <v>252</v>
      </c>
      <c r="C920" s="908" t="s">
        <v>311</v>
      </c>
      <c r="D920" s="1076"/>
      <c r="E920" s="1077"/>
      <c r="F920" s="1078"/>
      <c r="G920" s="846"/>
      <c r="H920" s="847"/>
      <c r="I920" s="846"/>
      <c r="J920" s="847"/>
      <c r="K920" s="846"/>
      <c r="L920" s="847"/>
      <c r="M920" s="1079"/>
      <c r="N920" s="846"/>
      <c r="O920" s="737">
        <f t="shared" si="119"/>
        <v>0</v>
      </c>
      <c r="P920" s="1080"/>
      <c r="Q920" s="847"/>
      <c r="R920" s="738">
        <f t="shared" si="122"/>
        <v>0</v>
      </c>
      <c r="S920" s="737">
        <f t="shared" si="123"/>
        <v>0</v>
      </c>
      <c r="T920" s="739">
        <f t="shared" si="124"/>
        <v>0</v>
      </c>
      <c r="U920" s="846"/>
      <c r="V920" s="847"/>
      <c r="W920" s="1079"/>
      <c r="X920" s="846"/>
      <c r="Y920" s="740">
        <f t="shared" si="120"/>
        <v>0</v>
      </c>
      <c r="Z920" s="1080"/>
      <c r="AA920" s="847"/>
      <c r="AB920" s="741">
        <f t="shared" si="121"/>
        <v>0</v>
      </c>
      <c r="AC920" s="846"/>
      <c r="AD920" s="847"/>
      <c r="AE920" s="1079"/>
      <c r="AF920" s="846"/>
      <c r="AG920" s="1080"/>
      <c r="AH920" s="847"/>
      <c r="AI920" s="742">
        <f t="shared" si="125"/>
        <v>0</v>
      </c>
      <c r="AJ920" s="743">
        <f t="shared" si="126"/>
        <v>0</v>
      </c>
    </row>
    <row r="921" spans="1:36">
      <c r="A921" s="1062" t="s">
        <v>149</v>
      </c>
      <c r="B921" s="907" t="s">
        <v>253</v>
      </c>
      <c r="C921" s="908" t="s">
        <v>249</v>
      </c>
      <c r="D921" s="1076"/>
      <c r="E921" s="1077"/>
      <c r="F921" s="1078"/>
      <c r="G921" s="846"/>
      <c r="H921" s="847"/>
      <c r="I921" s="846"/>
      <c r="J921" s="847"/>
      <c r="K921" s="846"/>
      <c r="L921" s="847"/>
      <c r="M921" s="1079"/>
      <c r="N921" s="846"/>
      <c r="O921" s="737">
        <f t="shared" si="119"/>
        <v>0</v>
      </c>
      <c r="P921" s="1080"/>
      <c r="Q921" s="847"/>
      <c r="R921" s="738">
        <f t="shared" si="122"/>
        <v>0</v>
      </c>
      <c r="S921" s="737">
        <f t="shared" si="123"/>
        <v>0</v>
      </c>
      <c r="T921" s="739">
        <f t="shared" si="124"/>
        <v>0</v>
      </c>
      <c r="U921" s="846">
        <v>60000</v>
      </c>
      <c r="V921" s="847">
        <v>256747</v>
      </c>
      <c r="W921" s="1079"/>
      <c r="X921" s="846"/>
      <c r="Y921" s="740">
        <f t="shared" si="120"/>
        <v>0</v>
      </c>
      <c r="Z921" s="1080"/>
      <c r="AA921" s="847"/>
      <c r="AB921" s="741">
        <f t="shared" si="121"/>
        <v>0</v>
      </c>
      <c r="AC921" s="846"/>
      <c r="AD921" s="847"/>
      <c r="AE921" s="1079"/>
      <c r="AF921" s="846"/>
      <c r="AG921" s="1080"/>
      <c r="AH921" s="847"/>
      <c r="AI921" s="742">
        <f t="shared" si="125"/>
        <v>60000</v>
      </c>
      <c r="AJ921" s="743">
        <f t="shared" si="126"/>
        <v>256747</v>
      </c>
    </row>
    <row r="922" spans="1:36">
      <c r="A922" s="1062" t="s">
        <v>149</v>
      </c>
      <c r="B922" s="901" t="s">
        <v>294</v>
      </c>
      <c r="C922" s="902" t="s">
        <v>307</v>
      </c>
      <c r="D922" s="1074"/>
      <c r="E922" s="910"/>
      <c r="F922" s="911"/>
      <c r="G922" s="846"/>
      <c r="H922" s="847"/>
      <c r="I922" s="846"/>
      <c r="J922" s="847"/>
      <c r="K922" s="846"/>
      <c r="L922" s="847"/>
      <c r="M922" s="1079"/>
      <c r="N922" s="846"/>
      <c r="O922" s="737">
        <f t="shared" si="119"/>
        <v>0</v>
      </c>
      <c r="P922" s="1080"/>
      <c r="Q922" s="847"/>
      <c r="R922" s="738">
        <f t="shared" si="122"/>
        <v>0</v>
      </c>
      <c r="S922" s="737">
        <f t="shared" si="123"/>
        <v>0</v>
      </c>
      <c r="T922" s="739">
        <f t="shared" si="124"/>
        <v>0</v>
      </c>
      <c r="U922" s="846"/>
      <c r="V922" s="847"/>
      <c r="W922" s="1079"/>
      <c r="X922" s="846"/>
      <c r="Y922" s="740">
        <f t="shared" si="120"/>
        <v>0</v>
      </c>
      <c r="Z922" s="1080"/>
      <c r="AA922" s="847"/>
      <c r="AB922" s="741">
        <f t="shared" si="121"/>
        <v>0</v>
      </c>
      <c r="AC922" s="846"/>
      <c r="AD922" s="847"/>
      <c r="AE922" s="1079"/>
      <c r="AF922" s="846"/>
      <c r="AG922" s="1080"/>
      <c r="AH922" s="847"/>
      <c r="AI922" s="742">
        <f t="shared" si="125"/>
        <v>0</v>
      </c>
      <c r="AJ922" s="743">
        <f t="shared" si="126"/>
        <v>0</v>
      </c>
    </row>
    <row r="923" spans="1:36">
      <c r="A923" s="1062" t="s">
        <v>149</v>
      </c>
      <c r="B923" s="901" t="s">
        <v>294</v>
      </c>
      <c r="C923" s="1075" t="s">
        <v>1002</v>
      </c>
      <c r="D923" s="1076"/>
      <c r="E923" s="910"/>
      <c r="F923" s="911"/>
      <c r="G923" s="846"/>
      <c r="H923" s="847"/>
      <c r="I923" s="846"/>
      <c r="J923" s="847"/>
      <c r="K923" s="846"/>
      <c r="L923" s="847"/>
      <c r="M923" s="1079"/>
      <c r="N923" s="846"/>
      <c r="O923" s="737">
        <f t="shared" si="119"/>
        <v>0</v>
      </c>
      <c r="P923" s="1080"/>
      <c r="Q923" s="847"/>
      <c r="R923" s="738">
        <f t="shared" si="122"/>
        <v>0</v>
      </c>
      <c r="S923" s="737">
        <f t="shared" si="123"/>
        <v>0</v>
      </c>
      <c r="T923" s="739">
        <f t="shared" si="124"/>
        <v>0</v>
      </c>
      <c r="U923" s="846"/>
      <c r="V923" s="847"/>
      <c r="W923" s="1079"/>
      <c r="X923" s="846"/>
      <c r="Y923" s="740">
        <f t="shared" si="120"/>
        <v>0</v>
      </c>
      <c r="Z923" s="1080"/>
      <c r="AA923" s="847"/>
      <c r="AB923" s="741">
        <f t="shared" si="121"/>
        <v>0</v>
      </c>
      <c r="AC923" s="846"/>
      <c r="AD923" s="847"/>
      <c r="AE923" s="1079"/>
      <c r="AF923" s="846"/>
      <c r="AG923" s="1080"/>
      <c r="AH923" s="847"/>
      <c r="AI923" s="742">
        <f t="shared" si="125"/>
        <v>0</v>
      </c>
      <c r="AJ923" s="743">
        <f t="shared" si="126"/>
        <v>0</v>
      </c>
    </row>
    <row r="924" spans="1:36">
      <c r="A924" s="1062" t="s">
        <v>149</v>
      </c>
      <c r="B924" s="907" t="s">
        <v>254</v>
      </c>
      <c r="C924" s="908" t="s">
        <v>311</v>
      </c>
      <c r="D924" s="1076"/>
      <c r="E924" s="1077"/>
      <c r="F924" s="1078"/>
      <c r="G924" s="846"/>
      <c r="H924" s="847"/>
      <c r="I924" s="846"/>
      <c r="J924" s="847"/>
      <c r="K924" s="846"/>
      <c r="L924" s="847"/>
      <c r="M924" s="1079"/>
      <c r="N924" s="846"/>
      <c r="O924" s="737">
        <f t="shared" si="119"/>
        <v>0</v>
      </c>
      <c r="P924" s="1080"/>
      <c r="Q924" s="847"/>
      <c r="R924" s="738">
        <f t="shared" si="122"/>
        <v>0</v>
      </c>
      <c r="S924" s="737">
        <f t="shared" si="123"/>
        <v>0</v>
      </c>
      <c r="T924" s="739">
        <f t="shared" si="124"/>
        <v>0</v>
      </c>
      <c r="U924" s="846"/>
      <c r="W924" s="1079"/>
      <c r="X924" s="846"/>
      <c r="Y924" s="740">
        <f t="shared" si="120"/>
        <v>0</v>
      </c>
      <c r="Z924" s="1080"/>
      <c r="AA924" s="847"/>
      <c r="AB924" s="741">
        <f t="shared" si="121"/>
        <v>0</v>
      </c>
      <c r="AC924" s="846"/>
      <c r="AD924" s="847"/>
      <c r="AE924" s="1079"/>
      <c r="AF924" s="846"/>
      <c r="AG924" s="1080"/>
      <c r="AH924" s="847"/>
      <c r="AI924" s="742">
        <f t="shared" si="125"/>
        <v>0</v>
      </c>
      <c r="AJ924" s="743">
        <f t="shared" si="126"/>
        <v>0</v>
      </c>
    </row>
    <row r="925" spans="1:36">
      <c r="A925" s="1062" t="s">
        <v>149</v>
      </c>
      <c r="B925" s="907" t="s">
        <v>255</v>
      </c>
      <c r="C925" s="908" t="s">
        <v>249</v>
      </c>
      <c r="D925" s="1076"/>
      <c r="E925" s="1077"/>
      <c r="F925" s="1078"/>
      <c r="G925" s="846"/>
      <c r="H925" s="847"/>
      <c r="I925" s="846"/>
      <c r="J925" s="847"/>
      <c r="K925" s="846"/>
      <c r="L925" s="847"/>
      <c r="M925" s="1079"/>
      <c r="N925" s="846"/>
      <c r="O925" s="737">
        <f t="shared" si="119"/>
        <v>0</v>
      </c>
      <c r="P925" s="1080"/>
      <c r="Q925" s="847"/>
      <c r="R925" s="738">
        <f t="shared" si="122"/>
        <v>0</v>
      </c>
      <c r="S925" s="737">
        <f t="shared" si="123"/>
        <v>0</v>
      </c>
      <c r="T925" s="739">
        <f t="shared" si="124"/>
        <v>0</v>
      </c>
      <c r="U925" s="846">
        <v>89664961</v>
      </c>
      <c r="V925" s="847">
        <v>112359000</v>
      </c>
      <c r="W925" s="1079"/>
      <c r="X925" s="846"/>
      <c r="Y925" s="740">
        <f t="shared" si="120"/>
        <v>0</v>
      </c>
      <c r="Z925" s="1080"/>
      <c r="AA925" s="847"/>
      <c r="AB925" s="741">
        <f t="shared" si="121"/>
        <v>0</v>
      </c>
      <c r="AC925" s="846"/>
      <c r="AD925" s="847"/>
      <c r="AE925" s="1079"/>
      <c r="AF925" s="846"/>
      <c r="AG925" s="1080"/>
      <c r="AH925" s="847"/>
      <c r="AI925" s="742">
        <f t="shared" si="125"/>
        <v>89664961</v>
      </c>
      <c r="AJ925" s="743">
        <f t="shared" si="126"/>
        <v>112359000</v>
      </c>
    </row>
    <row r="926" spans="1:36">
      <c r="A926" s="1062" t="s">
        <v>149</v>
      </c>
      <c r="B926" s="901" t="s">
        <v>294</v>
      </c>
      <c r="C926" s="1075" t="s">
        <v>1003</v>
      </c>
      <c r="D926" s="1076"/>
      <c r="E926" s="1077"/>
      <c r="F926" s="1078"/>
      <c r="G926" s="846"/>
      <c r="H926" s="847"/>
      <c r="I926" s="846"/>
      <c r="J926" s="847"/>
      <c r="K926" s="846"/>
      <c r="L926" s="847"/>
      <c r="M926" s="1079"/>
      <c r="N926" s="846"/>
      <c r="O926" s="737">
        <f t="shared" si="119"/>
        <v>0</v>
      </c>
      <c r="P926" s="1080"/>
      <c r="Q926" s="847"/>
      <c r="R926" s="738">
        <f t="shared" si="122"/>
        <v>0</v>
      </c>
      <c r="S926" s="737">
        <f t="shared" si="123"/>
        <v>0</v>
      </c>
      <c r="T926" s="739">
        <f t="shared" si="124"/>
        <v>0</v>
      </c>
      <c r="U926" s="846"/>
      <c r="V926" s="847"/>
      <c r="W926" s="1079"/>
      <c r="X926" s="846"/>
      <c r="Y926" s="740">
        <f t="shared" si="120"/>
        <v>0</v>
      </c>
      <c r="Z926" s="1080"/>
      <c r="AA926" s="847"/>
      <c r="AB926" s="741">
        <f t="shared" si="121"/>
        <v>0</v>
      </c>
      <c r="AC926" s="846"/>
      <c r="AD926" s="847"/>
      <c r="AE926" s="1079"/>
      <c r="AF926" s="846"/>
      <c r="AG926" s="1080"/>
      <c r="AH926" s="847"/>
      <c r="AI926" s="742">
        <f t="shared" si="125"/>
        <v>0</v>
      </c>
      <c r="AJ926" s="743">
        <f t="shared" si="126"/>
        <v>0</v>
      </c>
    </row>
    <row r="927" spans="1:36">
      <c r="A927" s="1062" t="s">
        <v>149</v>
      </c>
      <c r="B927" s="907" t="s">
        <v>254</v>
      </c>
      <c r="C927" s="908" t="s">
        <v>311</v>
      </c>
      <c r="D927" s="1076"/>
      <c r="E927" s="1077"/>
      <c r="F927" s="1078"/>
      <c r="G927" s="846"/>
      <c r="H927" s="847"/>
      <c r="I927" s="846"/>
      <c r="J927" s="847"/>
      <c r="K927" s="846"/>
      <c r="L927" s="847"/>
      <c r="M927" s="1079"/>
      <c r="N927" s="846"/>
      <c r="O927" s="737">
        <f t="shared" si="119"/>
        <v>0</v>
      </c>
      <c r="P927" s="1080"/>
      <c r="Q927" s="847"/>
      <c r="R927" s="738">
        <f t="shared" si="122"/>
        <v>0</v>
      </c>
      <c r="S927" s="737">
        <f t="shared" si="123"/>
        <v>0</v>
      </c>
      <c r="T927" s="739">
        <f t="shared" si="124"/>
        <v>0</v>
      </c>
      <c r="U927" s="846"/>
      <c r="V927" s="847"/>
      <c r="W927" s="1079"/>
      <c r="X927" s="846"/>
      <c r="Y927" s="740">
        <f t="shared" si="120"/>
        <v>0</v>
      </c>
      <c r="Z927" s="1080"/>
      <c r="AA927" s="847"/>
      <c r="AB927" s="741">
        <f t="shared" si="121"/>
        <v>0</v>
      </c>
      <c r="AC927" s="846"/>
      <c r="AD927" s="847"/>
      <c r="AE927" s="1079"/>
      <c r="AF927" s="846"/>
      <c r="AG927" s="1080"/>
      <c r="AH927" s="847"/>
      <c r="AI927" s="742">
        <f t="shared" si="125"/>
        <v>0</v>
      </c>
      <c r="AJ927" s="743">
        <f t="shared" si="126"/>
        <v>0</v>
      </c>
    </row>
    <row r="928" spans="1:36">
      <c r="A928" s="1062" t="s">
        <v>149</v>
      </c>
      <c r="B928" s="907" t="s">
        <v>255</v>
      </c>
      <c r="C928" s="908" t="s">
        <v>249</v>
      </c>
      <c r="D928" s="1076"/>
      <c r="E928" s="1077"/>
      <c r="F928" s="1078"/>
      <c r="G928" s="846"/>
      <c r="H928" s="847"/>
      <c r="I928" s="846"/>
      <c r="J928" s="847"/>
      <c r="K928" s="846"/>
      <c r="L928" s="847"/>
      <c r="M928" s="1079"/>
      <c r="N928" s="846"/>
      <c r="O928" s="737">
        <f t="shared" si="119"/>
        <v>0</v>
      </c>
      <c r="P928" s="1080"/>
      <c r="Q928" s="847"/>
      <c r="R928" s="738">
        <f t="shared" si="122"/>
        <v>0</v>
      </c>
      <c r="S928" s="737">
        <f t="shared" si="123"/>
        <v>0</v>
      </c>
      <c r="T928" s="739">
        <f t="shared" si="124"/>
        <v>0</v>
      </c>
      <c r="U928" s="846">
        <v>3239567</v>
      </c>
      <c r="V928" s="847">
        <v>5689500</v>
      </c>
      <c r="W928" s="1079"/>
      <c r="X928" s="846"/>
      <c r="Y928" s="740">
        <f t="shared" si="120"/>
        <v>0</v>
      </c>
      <c r="Z928" s="1080"/>
      <c r="AA928" s="847"/>
      <c r="AB928" s="741">
        <f t="shared" si="121"/>
        <v>0</v>
      </c>
      <c r="AC928" s="846"/>
      <c r="AD928" s="847"/>
      <c r="AE928" s="1079"/>
      <c r="AF928" s="846"/>
      <c r="AG928" s="1080"/>
      <c r="AH928" s="847"/>
      <c r="AI928" s="742">
        <f t="shared" si="125"/>
        <v>3239567</v>
      </c>
      <c r="AJ928" s="743">
        <f t="shared" si="126"/>
        <v>5689500</v>
      </c>
    </row>
    <row r="929" spans="1:36">
      <c r="A929" s="1062" t="s">
        <v>149</v>
      </c>
      <c r="B929" s="901" t="s">
        <v>294</v>
      </c>
      <c r="C929" s="1075" t="s">
        <v>1004</v>
      </c>
      <c r="D929" s="1076"/>
      <c r="E929" s="910"/>
      <c r="F929" s="911"/>
      <c r="G929" s="846"/>
      <c r="H929" s="847"/>
      <c r="I929" s="846"/>
      <c r="J929" s="847"/>
      <c r="K929" s="846"/>
      <c r="L929" s="847"/>
      <c r="M929" s="1079"/>
      <c r="N929" s="846"/>
      <c r="O929" s="737">
        <f t="shared" si="119"/>
        <v>0</v>
      </c>
      <c r="P929" s="1080"/>
      <c r="Q929" s="847"/>
      <c r="R929" s="738">
        <f t="shared" si="122"/>
        <v>0</v>
      </c>
      <c r="S929" s="737">
        <f t="shared" si="123"/>
        <v>0</v>
      </c>
      <c r="T929" s="739">
        <f t="shared" si="124"/>
        <v>0</v>
      </c>
      <c r="U929" s="846"/>
      <c r="V929" s="847"/>
      <c r="W929" s="1079"/>
      <c r="X929" s="846"/>
      <c r="Y929" s="740">
        <f t="shared" si="120"/>
        <v>0</v>
      </c>
      <c r="Z929" s="1080"/>
      <c r="AA929" s="847"/>
      <c r="AB929" s="741">
        <f t="shared" si="121"/>
        <v>0</v>
      </c>
      <c r="AC929" s="846"/>
      <c r="AD929" s="847"/>
      <c r="AE929" s="1079"/>
      <c r="AF929" s="846"/>
      <c r="AG929" s="1080"/>
      <c r="AH929" s="847"/>
      <c r="AI929" s="742">
        <f t="shared" si="125"/>
        <v>0</v>
      </c>
      <c r="AJ929" s="743">
        <f t="shared" si="126"/>
        <v>0</v>
      </c>
    </row>
    <row r="930" spans="1:36">
      <c r="A930" s="1062" t="s">
        <v>149</v>
      </c>
      <c r="B930" s="907" t="s">
        <v>254</v>
      </c>
      <c r="C930" s="908" t="s">
        <v>311</v>
      </c>
      <c r="D930" s="1076"/>
      <c r="E930" s="1077"/>
      <c r="F930" s="1078"/>
      <c r="G930" s="846"/>
      <c r="H930" s="847"/>
      <c r="I930" s="846"/>
      <c r="J930" s="847"/>
      <c r="K930" s="846"/>
      <c r="L930" s="847"/>
      <c r="M930" s="1079"/>
      <c r="N930" s="846"/>
      <c r="O930" s="737">
        <f t="shared" si="119"/>
        <v>0</v>
      </c>
      <c r="P930" s="1080"/>
      <c r="Q930" s="847"/>
      <c r="R930" s="738">
        <f t="shared" si="122"/>
        <v>0</v>
      </c>
      <c r="S930" s="737">
        <f t="shared" si="123"/>
        <v>0</v>
      </c>
      <c r="T930" s="739">
        <f t="shared" si="124"/>
        <v>0</v>
      </c>
      <c r="U930" s="846">
        <v>11806087</v>
      </c>
      <c r="V930" s="847">
        <v>12881651</v>
      </c>
      <c r="W930" s="1079"/>
      <c r="X930" s="846"/>
      <c r="Y930" s="740">
        <f t="shared" si="120"/>
        <v>0</v>
      </c>
      <c r="Z930" s="1080"/>
      <c r="AA930" s="847"/>
      <c r="AB930" s="741">
        <f t="shared" si="121"/>
        <v>0</v>
      </c>
      <c r="AC930" s="846"/>
      <c r="AD930" s="847"/>
      <c r="AE930" s="1079"/>
      <c r="AF930" s="846"/>
      <c r="AG930" s="1080"/>
      <c r="AH930" s="847"/>
      <c r="AI930" s="742">
        <f t="shared" si="125"/>
        <v>11806087</v>
      </c>
      <c r="AJ930" s="743">
        <f t="shared" si="126"/>
        <v>12881651</v>
      </c>
    </row>
    <row r="931" spans="1:36">
      <c r="A931" s="1062" t="s">
        <v>149</v>
      </c>
      <c r="B931" s="907" t="s">
        <v>255</v>
      </c>
      <c r="C931" s="908" t="s">
        <v>249</v>
      </c>
      <c r="D931" s="1076"/>
      <c r="E931" s="1077"/>
      <c r="F931" s="1078"/>
      <c r="G931" s="846"/>
      <c r="H931" s="847"/>
      <c r="I931" s="846"/>
      <c r="J931" s="847"/>
      <c r="K931" s="846"/>
      <c r="L931" s="847"/>
      <c r="M931" s="1079"/>
      <c r="N931" s="846"/>
      <c r="O931" s="737">
        <f t="shared" si="119"/>
        <v>0</v>
      </c>
      <c r="P931" s="1080"/>
      <c r="Q931" s="847"/>
      <c r="R931" s="738">
        <f t="shared" si="122"/>
        <v>0</v>
      </c>
      <c r="S931" s="737">
        <f t="shared" si="123"/>
        <v>0</v>
      </c>
      <c r="T931" s="739">
        <f t="shared" si="124"/>
        <v>0</v>
      </c>
      <c r="U931" s="846"/>
      <c r="V931" s="847"/>
      <c r="W931" s="1079"/>
      <c r="X931" s="846"/>
      <c r="Y931" s="740">
        <f t="shared" si="120"/>
        <v>0</v>
      </c>
      <c r="Z931" s="1080"/>
      <c r="AA931" s="847"/>
      <c r="AB931" s="741">
        <f t="shared" si="121"/>
        <v>0</v>
      </c>
      <c r="AC931" s="846"/>
      <c r="AD931" s="847"/>
      <c r="AE931" s="1079"/>
      <c r="AF931" s="846"/>
      <c r="AG931" s="1080"/>
      <c r="AH931" s="847"/>
      <c r="AI931" s="742">
        <f t="shared" si="125"/>
        <v>0</v>
      </c>
      <c r="AJ931" s="743">
        <f t="shared" si="126"/>
        <v>0</v>
      </c>
    </row>
    <row r="932" spans="1:36">
      <c r="A932" s="1062" t="s">
        <v>149</v>
      </c>
      <c r="B932" s="901" t="s">
        <v>294</v>
      </c>
      <c r="C932" s="1075" t="s">
        <v>1005</v>
      </c>
      <c r="D932" s="1076"/>
      <c r="E932" s="910"/>
      <c r="F932" s="911"/>
      <c r="G932" s="846"/>
      <c r="H932" s="847"/>
      <c r="I932" s="846"/>
      <c r="J932" s="847"/>
      <c r="K932" s="846"/>
      <c r="L932" s="847"/>
      <c r="M932" s="1079"/>
      <c r="N932" s="846"/>
      <c r="O932" s="737">
        <f t="shared" si="119"/>
        <v>0</v>
      </c>
      <c r="P932" s="1080"/>
      <c r="Q932" s="847"/>
      <c r="R932" s="738">
        <f t="shared" si="122"/>
        <v>0</v>
      </c>
      <c r="S932" s="737">
        <f t="shared" si="123"/>
        <v>0</v>
      </c>
      <c r="T932" s="739">
        <f t="shared" si="124"/>
        <v>0</v>
      </c>
      <c r="U932" s="846"/>
      <c r="V932" s="847"/>
      <c r="W932" s="1079"/>
      <c r="X932" s="846"/>
      <c r="Y932" s="740">
        <f t="shared" si="120"/>
        <v>0</v>
      </c>
      <c r="Z932" s="1080"/>
      <c r="AA932" s="847"/>
      <c r="AB932" s="741">
        <f t="shared" si="121"/>
        <v>0</v>
      </c>
      <c r="AC932" s="846"/>
      <c r="AD932" s="847"/>
      <c r="AE932" s="1079"/>
      <c r="AF932" s="846"/>
      <c r="AG932" s="1080"/>
      <c r="AH932" s="847"/>
      <c r="AI932" s="742">
        <f t="shared" si="125"/>
        <v>0</v>
      </c>
      <c r="AJ932" s="743">
        <f t="shared" si="126"/>
        <v>0</v>
      </c>
    </row>
    <row r="933" spans="1:36">
      <c r="A933" s="1062" t="s">
        <v>149</v>
      </c>
      <c r="B933" s="907" t="s">
        <v>254</v>
      </c>
      <c r="C933" s="908" t="s">
        <v>311</v>
      </c>
      <c r="D933" s="1076"/>
      <c r="E933" s="1077"/>
      <c r="F933" s="1078"/>
      <c r="G933" s="846"/>
      <c r="H933" s="847"/>
      <c r="I933" s="846"/>
      <c r="J933" s="847"/>
      <c r="K933" s="846"/>
      <c r="L933" s="847"/>
      <c r="M933" s="1079"/>
      <c r="N933" s="846"/>
      <c r="O933" s="737">
        <f t="shared" si="119"/>
        <v>0</v>
      </c>
      <c r="P933" s="1080"/>
      <c r="Q933" s="847"/>
      <c r="R933" s="738">
        <f t="shared" si="122"/>
        <v>0</v>
      </c>
      <c r="S933" s="737">
        <f t="shared" si="123"/>
        <v>0</v>
      </c>
      <c r="T933" s="739">
        <f t="shared" si="124"/>
        <v>0</v>
      </c>
      <c r="U933" s="846">
        <v>16578164</v>
      </c>
      <c r="V933" s="847">
        <v>18439527</v>
      </c>
      <c r="W933" s="1079"/>
      <c r="X933" s="846"/>
      <c r="Y933" s="740">
        <f t="shared" si="120"/>
        <v>0</v>
      </c>
      <c r="Z933" s="1080"/>
      <c r="AA933" s="847"/>
      <c r="AB933" s="741">
        <f t="shared" si="121"/>
        <v>0</v>
      </c>
      <c r="AC933" s="846"/>
      <c r="AD933" s="847"/>
      <c r="AE933" s="1079"/>
      <c r="AF933" s="846"/>
      <c r="AG933" s="1080"/>
      <c r="AH933" s="847"/>
      <c r="AI933" s="742">
        <f t="shared" si="125"/>
        <v>16578164</v>
      </c>
      <c r="AJ933" s="743">
        <f t="shared" si="126"/>
        <v>18439527</v>
      </c>
    </row>
    <row r="934" spans="1:36">
      <c r="A934" s="1062" t="s">
        <v>149</v>
      </c>
      <c r="B934" s="907" t="s">
        <v>255</v>
      </c>
      <c r="C934" s="908" t="s">
        <v>249</v>
      </c>
      <c r="D934" s="1076"/>
      <c r="E934" s="1077"/>
      <c r="F934" s="1078"/>
      <c r="G934" s="846"/>
      <c r="H934" s="847"/>
      <c r="I934" s="846"/>
      <c r="J934" s="847"/>
      <c r="K934" s="846"/>
      <c r="L934" s="847"/>
      <c r="M934" s="1079"/>
      <c r="N934" s="846"/>
      <c r="O934" s="737">
        <f t="shared" si="119"/>
        <v>0</v>
      </c>
      <c r="P934" s="1080"/>
      <c r="Q934" s="847"/>
      <c r="R934" s="738">
        <f t="shared" si="122"/>
        <v>0</v>
      </c>
      <c r="S934" s="737">
        <f t="shared" si="123"/>
        <v>0</v>
      </c>
      <c r="T934" s="739">
        <f t="shared" si="124"/>
        <v>0</v>
      </c>
      <c r="U934" s="846"/>
      <c r="V934" s="847"/>
      <c r="W934" s="1079"/>
      <c r="X934" s="846"/>
      <c r="Y934" s="740">
        <f t="shared" si="120"/>
        <v>0</v>
      </c>
      <c r="Z934" s="1080"/>
      <c r="AA934" s="847"/>
      <c r="AB934" s="741">
        <f t="shared" si="121"/>
        <v>0</v>
      </c>
      <c r="AC934" s="846"/>
      <c r="AD934" s="847"/>
      <c r="AE934" s="1079"/>
      <c r="AF934" s="846"/>
      <c r="AG934" s="1080"/>
      <c r="AH934" s="847"/>
      <c r="AI934" s="742">
        <f t="shared" si="125"/>
        <v>0</v>
      </c>
      <c r="AJ934" s="743">
        <f t="shared" si="126"/>
        <v>0</v>
      </c>
    </row>
    <row r="935" spans="1:36">
      <c r="A935" s="1062" t="s">
        <v>149</v>
      </c>
      <c r="B935" s="901" t="s">
        <v>294</v>
      </c>
      <c r="C935" s="1075" t="s">
        <v>1006</v>
      </c>
      <c r="D935" s="1076"/>
      <c r="E935" s="910"/>
      <c r="F935" s="911"/>
      <c r="G935" s="846"/>
      <c r="H935" s="847"/>
      <c r="I935" s="846"/>
      <c r="J935" s="847"/>
      <c r="K935" s="846"/>
      <c r="L935" s="847"/>
      <c r="M935" s="1079"/>
      <c r="N935" s="846"/>
      <c r="O935" s="737">
        <f t="shared" si="119"/>
        <v>0</v>
      </c>
      <c r="P935" s="1080"/>
      <c r="Q935" s="847"/>
      <c r="R935" s="738">
        <f t="shared" si="122"/>
        <v>0</v>
      </c>
      <c r="S935" s="737">
        <f t="shared" si="123"/>
        <v>0</v>
      </c>
      <c r="T935" s="739">
        <f t="shared" si="124"/>
        <v>0</v>
      </c>
      <c r="U935" s="846"/>
      <c r="V935" s="847"/>
      <c r="W935" s="1079"/>
      <c r="X935" s="846"/>
      <c r="Y935" s="740">
        <f t="shared" si="120"/>
        <v>0</v>
      </c>
      <c r="Z935" s="1080"/>
      <c r="AA935" s="847"/>
      <c r="AB935" s="741">
        <f t="shared" si="121"/>
        <v>0</v>
      </c>
      <c r="AC935" s="846"/>
      <c r="AD935" s="847"/>
      <c r="AE935" s="1079"/>
      <c r="AF935" s="846"/>
      <c r="AG935" s="1080"/>
      <c r="AH935" s="847"/>
      <c r="AI935" s="742">
        <f t="shared" si="125"/>
        <v>0</v>
      </c>
      <c r="AJ935" s="743">
        <f t="shared" si="126"/>
        <v>0</v>
      </c>
    </row>
    <row r="936" spans="1:36">
      <c r="A936" s="1062" t="s">
        <v>149</v>
      </c>
      <c r="B936" s="907" t="s">
        <v>254</v>
      </c>
      <c r="C936" s="908" t="s">
        <v>311</v>
      </c>
      <c r="D936" s="1076"/>
      <c r="E936" s="1077"/>
      <c r="F936" s="1078"/>
      <c r="G936" s="846"/>
      <c r="H936" s="847"/>
      <c r="I936" s="846"/>
      <c r="J936" s="847"/>
      <c r="K936" s="846"/>
      <c r="L936" s="847"/>
      <c r="M936" s="1079"/>
      <c r="N936" s="846"/>
      <c r="O936" s="737">
        <f t="shared" si="119"/>
        <v>0</v>
      </c>
      <c r="P936" s="1080"/>
      <c r="Q936" s="847"/>
      <c r="R936" s="738">
        <f t="shared" si="122"/>
        <v>0</v>
      </c>
      <c r="S936" s="737">
        <f t="shared" si="123"/>
        <v>0</v>
      </c>
      <c r="T936" s="739">
        <f t="shared" si="124"/>
        <v>0</v>
      </c>
      <c r="U936" s="846">
        <v>160500</v>
      </c>
      <c r="V936" s="847">
        <v>160500</v>
      </c>
      <c r="W936" s="1079"/>
      <c r="X936" s="846"/>
      <c r="Y936" s="740">
        <f t="shared" si="120"/>
        <v>0</v>
      </c>
      <c r="Z936" s="1080"/>
      <c r="AA936" s="847"/>
      <c r="AB936" s="741">
        <f t="shared" si="121"/>
        <v>0</v>
      </c>
      <c r="AC936" s="846"/>
      <c r="AD936" s="847"/>
      <c r="AE936" s="1079"/>
      <c r="AF936" s="846"/>
      <c r="AG936" s="1080"/>
      <c r="AH936" s="847"/>
      <c r="AI936" s="742">
        <f t="shared" si="125"/>
        <v>160500</v>
      </c>
      <c r="AJ936" s="743">
        <f t="shared" si="126"/>
        <v>160500</v>
      </c>
    </row>
    <row r="937" spans="1:36">
      <c r="A937" s="1062" t="s">
        <v>149</v>
      </c>
      <c r="B937" s="907" t="s">
        <v>255</v>
      </c>
      <c r="C937" s="908" t="s">
        <v>249</v>
      </c>
      <c r="D937" s="1076"/>
      <c r="E937" s="1077"/>
      <c r="F937" s="1078"/>
      <c r="G937" s="846"/>
      <c r="H937" s="847"/>
      <c r="I937" s="846"/>
      <c r="J937" s="847"/>
      <c r="K937" s="846"/>
      <c r="L937" s="847"/>
      <c r="M937" s="1079"/>
      <c r="N937" s="846"/>
      <c r="O937" s="737">
        <f t="shared" si="119"/>
        <v>0</v>
      </c>
      <c r="P937" s="1080"/>
      <c r="Q937" s="847"/>
      <c r="R937" s="738">
        <f t="shared" si="122"/>
        <v>0</v>
      </c>
      <c r="S937" s="737">
        <f t="shared" si="123"/>
        <v>0</v>
      </c>
      <c r="T937" s="739">
        <f t="shared" si="124"/>
        <v>0</v>
      </c>
      <c r="U937" s="846"/>
      <c r="V937" s="847"/>
      <c r="W937" s="1079"/>
      <c r="X937" s="846"/>
      <c r="Y937" s="740">
        <f t="shared" si="120"/>
        <v>0</v>
      </c>
      <c r="Z937" s="1080"/>
      <c r="AA937" s="847"/>
      <c r="AB937" s="741">
        <f t="shared" si="121"/>
        <v>0</v>
      </c>
      <c r="AC937" s="846"/>
      <c r="AD937" s="847"/>
      <c r="AE937" s="1079"/>
      <c r="AF937" s="846"/>
      <c r="AG937" s="1080"/>
      <c r="AH937" s="847"/>
      <c r="AI937" s="742">
        <f t="shared" si="125"/>
        <v>0</v>
      </c>
      <c r="AJ937" s="743">
        <f t="shared" si="126"/>
        <v>0</v>
      </c>
    </row>
    <row r="938" spans="1:36">
      <c r="A938" s="1083" t="s">
        <v>149</v>
      </c>
      <c r="B938" s="1084" t="s">
        <v>264</v>
      </c>
      <c r="C938" s="1085" t="s">
        <v>1007</v>
      </c>
      <c r="D938" s="1086"/>
      <c r="E938" s="1087">
        <v>132709</v>
      </c>
      <c r="F938" s="1104">
        <v>7</v>
      </c>
      <c r="G938" s="1089">
        <v>81519321</v>
      </c>
      <c r="H938" s="847">
        <v>85846873</v>
      </c>
      <c r="I938" s="1089"/>
      <c r="J938" s="847"/>
      <c r="K938" s="1089"/>
      <c r="L938" s="847"/>
      <c r="M938" s="846">
        <v>79247792</v>
      </c>
      <c r="N938" s="846"/>
      <c r="O938" s="737">
        <f t="shared" si="119"/>
        <v>79247792</v>
      </c>
      <c r="P938" s="847">
        <v>72589535</v>
      </c>
      <c r="Q938" s="847"/>
      <c r="R938" s="738">
        <f t="shared" si="122"/>
        <v>72589535</v>
      </c>
      <c r="S938" s="737">
        <f t="shared" si="123"/>
        <v>160767113</v>
      </c>
      <c r="T938" s="739">
        <f t="shared" si="124"/>
        <v>158436408</v>
      </c>
      <c r="U938" s="1089"/>
      <c r="V938" s="847"/>
      <c r="W938" s="846"/>
      <c r="X938" s="846"/>
      <c r="Y938" s="740">
        <f t="shared" si="120"/>
        <v>0</v>
      </c>
      <c r="Z938" s="847"/>
      <c r="AA938" s="847"/>
      <c r="AB938" s="741">
        <f t="shared" si="121"/>
        <v>0</v>
      </c>
      <c r="AC938" s="1089"/>
      <c r="AD938" s="847"/>
      <c r="AE938" s="846"/>
      <c r="AF938" s="846"/>
      <c r="AG938" s="847"/>
      <c r="AH938" s="847"/>
      <c r="AI938" s="742">
        <f t="shared" si="125"/>
        <v>160767113</v>
      </c>
      <c r="AJ938" s="743">
        <f t="shared" si="126"/>
        <v>158436408</v>
      </c>
    </row>
    <row r="939" spans="1:36">
      <c r="A939" s="1083" t="s">
        <v>149</v>
      </c>
      <c r="B939" s="1084" t="s">
        <v>264</v>
      </c>
      <c r="C939" s="1090" t="s">
        <v>1008</v>
      </c>
      <c r="D939" s="1091"/>
      <c r="E939" s="1087">
        <v>133021</v>
      </c>
      <c r="F939" s="1087">
        <v>7</v>
      </c>
      <c r="G939" s="1089">
        <v>11243042</v>
      </c>
      <c r="H939" s="847">
        <v>13160498</v>
      </c>
      <c r="I939" s="1089"/>
      <c r="J939" s="847"/>
      <c r="K939" s="1089"/>
      <c r="L939" s="847"/>
      <c r="M939" s="846">
        <v>3104641</v>
      </c>
      <c r="N939" s="846"/>
      <c r="O939" s="737">
        <f t="shared" si="119"/>
        <v>3104641</v>
      </c>
      <c r="P939" s="847">
        <v>2951163</v>
      </c>
      <c r="Q939" s="847"/>
      <c r="R939" s="738">
        <f t="shared" si="122"/>
        <v>2951163</v>
      </c>
      <c r="S939" s="737">
        <f t="shared" si="123"/>
        <v>14347683</v>
      </c>
      <c r="T939" s="739">
        <f t="shared" si="124"/>
        <v>16111661</v>
      </c>
      <c r="U939" s="1089"/>
      <c r="V939" s="847"/>
      <c r="W939" s="846"/>
      <c r="X939" s="846"/>
      <c r="Y939" s="740">
        <f t="shared" si="120"/>
        <v>0</v>
      </c>
      <c r="Z939" s="847"/>
      <c r="AA939" s="847"/>
      <c r="AB939" s="741">
        <f t="shared" si="121"/>
        <v>0</v>
      </c>
      <c r="AC939" s="1089"/>
      <c r="AD939" s="847"/>
      <c r="AE939" s="846"/>
      <c r="AF939" s="846"/>
      <c r="AG939" s="847"/>
      <c r="AH939" s="847"/>
      <c r="AI939" s="742">
        <f t="shared" si="125"/>
        <v>14347683</v>
      </c>
      <c r="AJ939" s="743">
        <f t="shared" si="126"/>
        <v>16111661</v>
      </c>
    </row>
    <row r="940" spans="1:36">
      <c r="A940" s="1083" t="s">
        <v>149</v>
      </c>
      <c r="B940" s="1084" t="s">
        <v>264</v>
      </c>
      <c r="C940" s="1085" t="s">
        <v>1009</v>
      </c>
      <c r="D940" s="1092"/>
      <c r="E940" s="1087">
        <v>133386</v>
      </c>
      <c r="F940" s="1087">
        <v>7</v>
      </c>
      <c r="G940" s="1089">
        <v>50626420</v>
      </c>
      <c r="H940" s="847">
        <v>51396223</v>
      </c>
      <c r="I940" s="1089"/>
      <c r="J940" s="847"/>
      <c r="K940" s="1089"/>
      <c r="L940" s="847"/>
      <c r="M940" s="846">
        <v>27418416</v>
      </c>
      <c r="N940" s="846"/>
      <c r="O940" s="737">
        <f t="shared" si="119"/>
        <v>27418416</v>
      </c>
      <c r="P940" s="847">
        <v>25982301</v>
      </c>
      <c r="Q940" s="847"/>
      <c r="R940" s="738">
        <f t="shared" si="122"/>
        <v>25982301</v>
      </c>
      <c r="S940" s="737">
        <f t="shared" si="123"/>
        <v>78044836</v>
      </c>
      <c r="T940" s="739">
        <f t="shared" si="124"/>
        <v>77378524</v>
      </c>
      <c r="U940" s="1089"/>
      <c r="V940" s="847"/>
      <c r="W940" s="846"/>
      <c r="X940" s="846"/>
      <c r="Y940" s="740">
        <f t="shared" si="120"/>
        <v>0</v>
      </c>
      <c r="Z940" s="847"/>
      <c r="AA940" s="847"/>
      <c r="AB940" s="741">
        <f t="shared" si="121"/>
        <v>0</v>
      </c>
      <c r="AC940" s="1089"/>
      <c r="AD940" s="847"/>
      <c r="AE940" s="846"/>
      <c r="AF940" s="846"/>
      <c r="AG940" s="847"/>
      <c r="AH940" s="847"/>
      <c r="AI940" s="742">
        <f t="shared" si="125"/>
        <v>78044836</v>
      </c>
      <c r="AJ940" s="743">
        <f t="shared" si="126"/>
        <v>77378524</v>
      </c>
    </row>
    <row r="941" spans="1:36">
      <c r="A941" s="1083" t="s">
        <v>149</v>
      </c>
      <c r="B941" s="1084" t="s">
        <v>264</v>
      </c>
      <c r="C941" s="1093" t="s">
        <v>1010</v>
      </c>
      <c r="D941" s="1092"/>
      <c r="E941" s="1094">
        <v>133508</v>
      </c>
      <c r="F941" s="1094">
        <v>7</v>
      </c>
      <c r="G941" s="1089">
        <v>30334488</v>
      </c>
      <c r="H941" s="847">
        <v>31290836</v>
      </c>
      <c r="I941" s="1089"/>
      <c r="J941" s="847"/>
      <c r="K941" s="1089"/>
      <c r="L941" s="847"/>
      <c r="M941" s="846">
        <v>25566196</v>
      </c>
      <c r="N941" s="846"/>
      <c r="O941" s="737">
        <f t="shared" si="119"/>
        <v>25566196</v>
      </c>
      <c r="P941" s="847">
        <v>24825101</v>
      </c>
      <c r="Q941" s="847"/>
      <c r="R941" s="738">
        <f t="shared" si="122"/>
        <v>24825101</v>
      </c>
      <c r="S941" s="737">
        <f t="shared" si="123"/>
        <v>55900684</v>
      </c>
      <c r="T941" s="739">
        <f t="shared" si="124"/>
        <v>56115937</v>
      </c>
      <c r="U941" s="1089"/>
      <c r="V941" s="847"/>
      <c r="W941" s="846"/>
      <c r="X941" s="846"/>
      <c r="Y941" s="740">
        <f t="shared" si="120"/>
        <v>0</v>
      </c>
      <c r="Z941" s="847"/>
      <c r="AA941" s="847"/>
      <c r="AB941" s="741">
        <f t="shared" si="121"/>
        <v>0</v>
      </c>
      <c r="AC941" s="1089"/>
      <c r="AD941" s="847"/>
      <c r="AE941" s="846"/>
      <c r="AF941" s="846"/>
      <c r="AG941" s="847"/>
      <c r="AH941" s="847"/>
      <c r="AI941" s="742">
        <f t="shared" si="125"/>
        <v>55900684</v>
      </c>
      <c r="AJ941" s="743">
        <f t="shared" si="126"/>
        <v>56115937</v>
      </c>
    </row>
    <row r="942" spans="1:36">
      <c r="A942" s="1083" t="s">
        <v>149</v>
      </c>
      <c r="B942" s="1084" t="s">
        <v>264</v>
      </c>
      <c r="C942" s="1085" t="s">
        <v>1011</v>
      </c>
      <c r="D942" s="1095"/>
      <c r="E942" s="1087">
        <v>133702</v>
      </c>
      <c r="F942" s="1087">
        <v>7</v>
      </c>
      <c r="G942" s="1089">
        <v>76467992</v>
      </c>
      <c r="H942" s="847">
        <v>77281964</v>
      </c>
      <c r="I942" s="1089"/>
      <c r="J942" s="847"/>
      <c r="K942" s="1089"/>
      <c r="L942" s="847"/>
      <c r="M942" s="846">
        <v>53197788</v>
      </c>
      <c r="N942" s="846"/>
      <c r="O942" s="737">
        <f t="shared" si="119"/>
        <v>53197788</v>
      </c>
      <c r="P942" s="847">
        <v>49661526</v>
      </c>
      <c r="Q942" s="847"/>
      <c r="R942" s="738">
        <f t="shared" si="122"/>
        <v>49661526</v>
      </c>
      <c r="S942" s="737">
        <f t="shared" si="123"/>
        <v>129665780</v>
      </c>
      <c r="T942" s="739">
        <f t="shared" si="124"/>
        <v>126943490</v>
      </c>
      <c r="U942" s="1089"/>
      <c r="V942" s="847"/>
      <c r="W942" s="846"/>
      <c r="X942" s="846"/>
      <c r="Y942" s="740">
        <f t="shared" si="120"/>
        <v>0</v>
      </c>
      <c r="Z942" s="847"/>
      <c r="AA942" s="847"/>
      <c r="AB942" s="741">
        <f t="shared" si="121"/>
        <v>0</v>
      </c>
      <c r="AC942" s="1089"/>
      <c r="AD942" s="847"/>
      <c r="AE942" s="846"/>
      <c r="AF942" s="846"/>
      <c r="AG942" s="847"/>
      <c r="AH942" s="847"/>
      <c r="AI942" s="742">
        <f t="shared" si="125"/>
        <v>129665780</v>
      </c>
      <c r="AJ942" s="743">
        <f t="shared" si="126"/>
        <v>126943490</v>
      </c>
    </row>
    <row r="943" spans="1:36">
      <c r="A943" s="1083" t="s">
        <v>149</v>
      </c>
      <c r="B943" s="1084" t="s">
        <v>264</v>
      </c>
      <c r="C943" s="1085" t="s">
        <v>1012</v>
      </c>
      <c r="D943" s="1095"/>
      <c r="E943" s="1087">
        <v>134608</v>
      </c>
      <c r="F943" s="1087">
        <v>7</v>
      </c>
      <c r="G943" s="1089">
        <v>46596282</v>
      </c>
      <c r="H943" s="847">
        <v>47473090</v>
      </c>
      <c r="I943" s="1089"/>
      <c r="J943" s="847"/>
      <c r="K943" s="1089"/>
      <c r="L943" s="847"/>
      <c r="M943" s="846">
        <v>27411496</v>
      </c>
      <c r="N943" s="846"/>
      <c r="O943" s="737">
        <f t="shared" si="119"/>
        <v>27411496</v>
      </c>
      <c r="P943" s="847">
        <v>27645578</v>
      </c>
      <c r="Q943" s="847"/>
      <c r="R943" s="738">
        <f t="shared" si="122"/>
        <v>27645578</v>
      </c>
      <c r="S943" s="737">
        <f t="shared" si="123"/>
        <v>74007778</v>
      </c>
      <c r="T943" s="739">
        <f t="shared" si="124"/>
        <v>75118668</v>
      </c>
      <c r="U943" s="1089"/>
      <c r="V943" s="847"/>
      <c r="W943" s="846"/>
      <c r="X943" s="846"/>
      <c r="Y943" s="740">
        <f t="shared" si="120"/>
        <v>0</v>
      </c>
      <c r="Z943" s="847"/>
      <c r="AA943" s="847"/>
      <c r="AB943" s="741">
        <f t="shared" si="121"/>
        <v>0</v>
      </c>
      <c r="AC943" s="1089"/>
      <c r="AD943" s="847"/>
      <c r="AE943" s="846"/>
      <c r="AF943" s="846"/>
      <c r="AG943" s="847"/>
      <c r="AH943" s="847"/>
      <c r="AI943" s="742">
        <f t="shared" si="125"/>
        <v>74007778</v>
      </c>
      <c r="AJ943" s="743">
        <f t="shared" si="126"/>
        <v>75118668</v>
      </c>
    </row>
    <row r="944" spans="1:36">
      <c r="A944" s="1083" t="s">
        <v>149</v>
      </c>
      <c r="B944" s="1084" t="s">
        <v>264</v>
      </c>
      <c r="C944" s="1090" t="s">
        <v>1013</v>
      </c>
      <c r="D944" s="1091"/>
      <c r="E944" s="1087">
        <v>135717</v>
      </c>
      <c r="F944" s="1087">
        <v>7</v>
      </c>
      <c r="G944" s="1089">
        <v>173217376</v>
      </c>
      <c r="H944" s="847">
        <v>174381030</v>
      </c>
      <c r="I944" s="1089"/>
      <c r="J944" s="847"/>
      <c r="K944" s="1089"/>
      <c r="L944" s="847"/>
      <c r="M944" s="846">
        <v>146638483</v>
      </c>
      <c r="N944" s="846"/>
      <c r="O944" s="737">
        <f t="shared" si="119"/>
        <v>146638483</v>
      </c>
      <c r="P944" s="847">
        <v>141658373</v>
      </c>
      <c r="Q944" s="847"/>
      <c r="R944" s="738">
        <f t="shared" si="122"/>
        <v>141658373</v>
      </c>
      <c r="S944" s="737">
        <f t="shared" si="123"/>
        <v>319855859</v>
      </c>
      <c r="T944" s="739">
        <f t="shared" si="124"/>
        <v>316039403</v>
      </c>
      <c r="U944" s="1089"/>
      <c r="V944" s="847"/>
      <c r="W944" s="846"/>
      <c r="X944" s="846"/>
      <c r="Y944" s="740">
        <f t="shared" si="120"/>
        <v>0</v>
      </c>
      <c r="Z944" s="847"/>
      <c r="AA944" s="847"/>
      <c r="AB944" s="741">
        <f t="shared" si="121"/>
        <v>0</v>
      </c>
      <c r="AC944" s="1089"/>
      <c r="AD944" s="847"/>
      <c r="AE944" s="846"/>
      <c r="AF944" s="846"/>
      <c r="AG944" s="847"/>
      <c r="AH944" s="847"/>
      <c r="AI944" s="742">
        <f t="shared" si="125"/>
        <v>319855859</v>
      </c>
      <c r="AJ944" s="743">
        <f t="shared" si="126"/>
        <v>316039403</v>
      </c>
    </row>
    <row r="945" spans="1:36">
      <c r="A945" s="1083" t="s">
        <v>149</v>
      </c>
      <c r="B945" s="1084" t="s">
        <v>264</v>
      </c>
      <c r="C945" s="1090" t="s">
        <v>1014</v>
      </c>
      <c r="D945" s="1091"/>
      <c r="E945" s="1096">
        <v>136233</v>
      </c>
      <c r="F945" s="1087">
        <v>7</v>
      </c>
      <c r="G945" s="1089">
        <v>18575488</v>
      </c>
      <c r="H945" s="847">
        <v>19185916</v>
      </c>
      <c r="I945" s="1089"/>
      <c r="J945" s="847"/>
      <c r="K945" s="1089"/>
      <c r="L945" s="847"/>
      <c r="M945" s="846">
        <v>11240951</v>
      </c>
      <c r="N945" s="846"/>
      <c r="O945" s="737">
        <f t="shared" si="119"/>
        <v>11240951</v>
      </c>
      <c r="P945" s="847">
        <v>10917308</v>
      </c>
      <c r="Q945" s="847"/>
      <c r="R945" s="738">
        <f t="shared" si="122"/>
        <v>10917308</v>
      </c>
      <c r="S945" s="737">
        <f t="shared" si="123"/>
        <v>29816439</v>
      </c>
      <c r="T945" s="739">
        <f t="shared" si="124"/>
        <v>30103224</v>
      </c>
      <c r="U945" s="1089"/>
      <c r="V945" s="847"/>
      <c r="W945" s="846"/>
      <c r="X945" s="846"/>
      <c r="Y945" s="740">
        <f t="shared" si="120"/>
        <v>0</v>
      </c>
      <c r="Z945" s="847"/>
      <c r="AA945" s="847"/>
      <c r="AB945" s="741">
        <f t="shared" si="121"/>
        <v>0</v>
      </c>
      <c r="AC945" s="1089"/>
      <c r="AD945" s="847"/>
      <c r="AE945" s="846"/>
      <c r="AF945" s="846"/>
      <c r="AG945" s="847"/>
      <c r="AH945" s="847"/>
      <c r="AI945" s="742">
        <f t="shared" si="125"/>
        <v>29816439</v>
      </c>
      <c r="AJ945" s="743">
        <f t="shared" si="126"/>
        <v>30103224</v>
      </c>
    </row>
    <row r="946" spans="1:36">
      <c r="A946" s="1083" t="s">
        <v>149</v>
      </c>
      <c r="B946" s="1084" t="s">
        <v>264</v>
      </c>
      <c r="C946" s="1085" t="s">
        <v>1015</v>
      </c>
      <c r="D946" s="1086"/>
      <c r="E946" s="1087">
        <v>136358</v>
      </c>
      <c r="F946" s="1104">
        <v>7</v>
      </c>
      <c r="G946" s="1089">
        <v>53701201</v>
      </c>
      <c r="H946" s="847">
        <v>56868631</v>
      </c>
      <c r="I946" s="1089"/>
      <c r="J946" s="847"/>
      <c r="K946" s="1089"/>
      <c r="L946" s="847"/>
      <c r="M946" s="846">
        <v>50139964</v>
      </c>
      <c r="N946" s="846"/>
      <c r="O946" s="737">
        <f t="shared" si="119"/>
        <v>50139964</v>
      </c>
      <c r="P946" s="847">
        <v>49502525</v>
      </c>
      <c r="Q946" s="847"/>
      <c r="R946" s="738">
        <f t="shared" si="122"/>
        <v>49502525</v>
      </c>
      <c r="S946" s="737">
        <f t="shared" si="123"/>
        <v>103841165</v>
      </c>
      <c r="T946" s="739">
        <f t="shared" si="124"/>
        <v>106371156</v>
      </c>
      <c r="U946" s="1089"/>
      <c r="V946" s="847"/>
      <c r="W946" s="846"/>
      <c r="X946" s="846"/>
      <c r="Y946" s="740">
        <f t="shared" si="120"/>
        <v>0</v>
      </c>
      <c r="Z946" s="847"/>
      <c r="AA946" s="847"/>
      <c r="AB946" s="741">
        <f t="shared" si="121"/>
        <v>0</v>
      </c>
      <c r="AC946" s="1089"/>
      <c r="AD946" s="847"/>
      <c r="AE946" s="846"/>
      <c r="AF946" s="846"/>
      <c r="AG946" s="847"/>
      <c r="AH946" s="847"/>
      <c r="AI946" s="742">
        <f t="shared" si="125"/>
        <v>103841165</v>
      </c>
      <c r="AJ946" s="743">
        <f t="shared" si="126"/>
        <v>106371156</v>
      </c>
    </row>
    <row r="947" spans="1:36">
      <c r="A947" s="1083" t="s">
        <v>149</v>
      </c>
      <c r="B947" s="1084" t="s">
        <v>264</v>
      </c>
      <c r="C947" s="1085" t="s">
        <v>1016</v>
      </c>
      <c r="D947" s="1086"/>
      <c r="E947" s="1087">
        <v>136516</v>
      </c>
      <c r="F947" s="1104">
        <v>7</v>
      </c>
      <c r="G947" s="1089">
        <v>26573056</v>
      </c>
      <c r="H947" s="847">
        <v>27324887</v>
      </c>
      <c r="I947" s="1089"/>
      <c r="J947" s="847"/>
      <c r="K947" s="1089"/>
      <c r="L947" s="847"/>
      <c r="M947" s="846">
        <v>18424231</v>
      </c>
      <c r="N947" s="846"/>
      <c r="O947" s="737">
        <f t="shared" si="119"/>
        <v>18424231</v>
      </c>
      <c r="P947" s="847">
        <v>17252582</v>
      </c>
      <c r="Q947" s="847"/>
      <c r="R947" s="738">
        <f t="shared" si="122"/>
        <v>17252582</v>
      </c>
      <c r="S947" s="737">
        <f t="shared" si="123"/>
        <v>44997287</v>
      </c>
      <c r="T947" s="739">
        <f t="shared" si="124"/>
        <v>44577469</v>
      </c>
      <c r="U947" s="1089"/>
      <c r="V947" s="847"/>
      <c r="W947" s="846"/>
      <c r="X947" s="846"/>
      <c r="Y947" s="740">
        <f t="shared" si="120"/>
        <v>0</v>
      </c>
      <c r="Z947" s="847"/>
      <c r="AA947" s="847"/>
      <c r="AB947" s="741">
        <f t="shared" si="121"/>
        <v>0</v>
      </c>
      <c r="AC947" s="1089"/>
      <c r="AD947" s="847"/>
      <c r="AE947" s="846"/>
      <c r="AF947" s="846"/>
      <c r="AG947" s="847"/>
      <c r="AH947" s="847"/>
      <c r="AI947" s="742">
        <f t="shared" si="125"/>
        <v>44997287</v>
      </c>
      <c r="AJ947" s="743">
        <f t="shared" si="126"/>
        <v>44577469</v>
      </c>
    </row>
    <row r="948" spans="1:36">
      <c r="A948" s="1083" t="s">
        <v>149</v>
      </c>
      <c r="B948" s="1084" t="s">
        <v>264</v>
      </c>
      <c r="C948" s="1085" t="s">
        <v>1017</v>
      </c>
      <c r="D948" s="1086"/>
      <c r="E948" s="1087">
        <v>137281</v>
      </c>
      <c r="F948" s="1104">
        <v>7</v>
      </c>
      <c r="G948" s="1089">
        <v>19167779</v>
      </c>
      <c r="H948" s="847">
        <v>17898690</v>
      </c>
      <c r="I948" s="1089"/>
      <c r="J948" s="847"/>
      <c r="K948" s="1089"/>
      <c r="L948" s="847"/>
      <c r="M948" s="846">
        <v>10911333</v>
      </c>
      <c r="N948" s="846"/>
      <c r="O948" s="737">
        <f t="shared" si="119"/>
        <v>10911333</v>
      </c>
      <c r="P948" s="847">
        <v>10211685</v>
      </c>
      <c r="Q948" s="847"/>
      <c r="R948" s="738">
        <f t="shared" si="122"/>
        <v>10211685</v>
      </c>
      <c r="S948" s="737">
        <f t="shared" si="123"/>
        <v>30079112</v>
      </c>
      <c r="T948" s="739">
        <f t="shared" si="124"/>
        <v>28110375</v>
      </c>
      <c r="U948" s="1089"/>
      <c r="V948" s="847"/>
      <c r="W948" s="846"/>
      <c r="X948" s="846"/>
      <c r="Y948" s="740">
        <f t="shared" si="120"/>
        <v>0</v>
      </c>
      <c r="Z948" s="847"/>
      <c r="AA948" s="847"/>
      <c r="AB948" s="741">
        <f t="shared" si="121"/>
        <v>0</v>
      </c>
      <c r="AC948" s="1089"/>
      <c r="AD948" s="847"/>
      <c r="AE948" s="846"/>
      <c r="AF948" s="846"/>
      <c r="AG948" s="847"/>
      <c r="AH948" s="847"/>
      <c r="AI948" s="742">
        <f t="shared" si="125"/>
        <v>30079112</v>
      </c>
      <c r="AJ948" s="743">
        <f t="shared" si="126"/>
        <v>28110375</v>
      </c>
    </row>
    <row r="949" spans="1:36">
      <c r="A949" s="1083" t="s">
        <v>149</v>
      </c>
      <c r="B949" s="1084" t="s">
        <v>264</v>
      </c>
      <c r="C949" s="1090" t="s">
        <v>1018</v>
      </c>
      <c r="D949" s="1091"/>
      <c r="E949" s="1087">
        <v>137078</v>
      </c>
      <c r="F949" s="1087">
        <v>7</v>
      </c>
      <c r="G949" s="1089">
        <v>67208473</v>
      </c>
      <c r="H949" s="847">
        <v>69023054</v>
      </c>
      <c r="I949" s="1089"/>
      <c r="J949" s="847"/>
      <c r="K949" s="1089"/>
      <c r="L949" s="847"/>
      <c r="M949" s="846">
        <v>56670019</v>
      </c>
      <c r="N949" s="846"/>
      <c r="O949" s="737">
        <f t="shared" si="119"/>
        <v>56670019</v>
      </c>
      <c r="P949" s="847">
        <v>54225125</v>
      </c>
      <c r="Q949" s="847"/>
      <c r="R949" s="738">
        <f t="shared" si="122"/>
        <v>54225125</v>
      </c>
      <c r="S949" s="737">
        <f t="shared" si="123"/>
        <v>123878492</v>
      </c>
      <c r="T949" s="739">
        <f t="shared" si="124"/>
        <v>123248179</v>
      </c>
      <c r="U949" s="1089"/>
      <c r="V949" s="847"/>
      <c r="W949" s="846"/>
      <c r="X949" s="846"/>
      <c r="Y949" s="740">
        <f t="shared" si="120"/>
        <v>0</v>
      </c>
      <c r="Z949" s="847"/>
      <c r="AA949" s="847"/>
      <c r="AB949" s="741">
        <f t="shared" si="121"/>
        <v>0</v>
      </c>
      <c r="AC949" s="1089"/>
      <c r="AD949" s="847"/>
      <c r="AE949" s="846"/>
      <c r="AF949" s="846"/>
      <c r="AG949" s="847"/>
      <c r="AH949" s="847"/>
      <c r="AI949" s="742">
        <f t="shared" si="125"/>
        <v>123878492</v>
      </c>
      <c r="AJ949" s="743">
        <f t="shared" si="126"/>
        <v>123248179</v>
      </c>
    </row>
    <row r="950" spans="1:36">
      <c r="A950" s="1083" t="s">
        <v>149</v>
      </c>
      <c r="B950" s="1084" t="s">
        <v>264</v>
      </c>
      <c r="C950" s="1085" t="s">
        <v>1019</v>
      </c>
      <c r="D950" s="1086"/>
      <c r="E950" s="1087">
        <v>135391</v>
      </c>
      <c r="F950" s="1104">
        <v>7</v>
      </c>
      <c r="G950" s="1089">
        <v>22310836</v>
      </c>
      <c r="H950" s="847">
        <v>22814044</v>
      </c>
      <c r="I950" s="1089"/>
      <c r="J950" s="847"/>
      <c r="K950" s="1089"/>
      <c r="L950" s="847"/>
      <c r="M950" s="846">
        <v>18934773</v>
      </c>
      <c r="N950" s="846"/>
      <c r="O950" s="737">
        <f t="shared" si="119"/>
        <v>18934773</v>
      </c>
      <c r="P950" s="847">
        <v>18981108</v>
      </c>
      <c r="Q950" s="847"/>
      <c r="R950" s="738">
        <f t="shared" si="122"/>
        <v>18981108</v>
      </c>
      <c r="S950" s="737">
        <f t="shared" si="123"/>
        <v>41245609</v>
      </c>
      <c r="T950" s="739">
        <f t="shared" si="124"/>
        <v>41795152</v>
      </c>
      <c r="U950" s="1089"/>
      <c r="V950" s="847"/>
      <c r="W950" s="846"/>
      <c r="X950" s="846"/>
      <c r="Y950" s="740">
        <f t="shared" si="120"/>
        <v>0</v>
      </c>
      <c r="Z950" s="847"/>
      <c r="AA950" s="847"/>
      <c r="AB950" s="741">
        <f t="shared" si="121"/>
        <v>0</v>
      </c>
      <c r="AC950" s="1089"/>
      <c r="AD950" s="847"/>
      <c r="AE950" s="846"/>
      <c r="AF950" s="846"/>
      <c r="AG950" s="847"/>
      <c r="AH950" s="847"/>
      <c r="AI950" s="742">
        <f t="shared" si="125"/>
        <v>41245609</v>
      </c>
      <c r="AJ950" s="743">
        <f t="shared" si="126"/>
        <v>41795152</v>
      </c>
    </row>
    <row r="951" spans="1:36">
      <c r="A951" s="1083" t="s">
        <v>149</v>
      </c>
      <c r="B951" s="1084" t="s">
        <v>264</v>
      </c>
      <c r="C951" s="1085" t="s">
        <v>1020</v>
      </c>
      <c r="D951" s="1092" t="s">
        <v>1036</v>
      </c>
      <c r="E951" s="1094">
        <v>132851</v>
      </c>
      <c r="F951" s="1094">
        <v>8</v>
      </c>
      <c r="G951" s="1089">
        <v>20987826</v>
      </c>
      <c r="H951" s="847">
        <v>22620090</v>
      </c>
      <c r="I951" s="1089"/>
      <c r="J951" s="847"/>
      <c r="K951" s="1089"/>
      <c r="L951" s="847"/>
      <c r="M951" s="846">
        <v>14774430</v>
      </c>
      <c r="N951" s="846"/>
      <c r="O951" s="737">
        <f t="shared" si="119"/>
        <v>14774430</v>
      </c>
      <c r="P951" s="847">
        <v>14018215</v>
      </c>
      <c r="Q951" s="847"/>
      <c r="R951" s="738">
        <f t="shared" si="122"/>
        <v>14018215</v>
      </c>
      <c r="S951" s="737">
        <f t="shared" si="123"/>
        <v>35762256</v>
      </c>
      <c r="T951" s="739">
        <f t="shared" si="124"/>
        <v>36638305</v>
      </c>
      <c r="U951" s="1089"/>
      <c r="V951" s="847"/>
      <c r="W951" s="846"/>
      <c r="X951" s="846"/>
      <c r="Y951" s="740">
        <f t="shared" si="120"/>
        <v>0</v>
      </c>
      <c r="Z951" s="847"/>
      <c r="AA951" s="847"/>
      <c r="AB951" s="741">
        <f t="shared" si="121"/>
        <v>0</v>
      </c>
      <c r="AC951" s="1089"/>
      <c r="AD951" s="847"/>
      <c r="AE951" s="846"/>
      <c r="AF951" s="846"/>
      <c r="AG951" s="847"/>
      <c r="AH951" s="847"/>
      <c r="AI951" s="742">
        <f t="shared" si="125"/>
        <v>35762256</v>
      </c>
      <c r="AJ951" s="743">
        <f t="shared" si="126"/>
        <v>36638305</v>
      </c>
    </row>
    <row r="952" spans="1:36">
      <c r="A952" s="1083" t="s">
        <v>149</v>
      </c>
      <c r="B952" s="1084" t="s">
        <v>264</v>
      </c>
      <c r="C952" s="1085" t="s">
        <v>1021</v>
      </c>
      <c r="D952" s="1091"/>
      <c r="E952" s="1087">
        <v>132693</v>
      </c>
      <c r="F952" s="1087">
        <v>8</v>
      </c>
      <c r="G952" s="1089">
        <v>41059428</v>
      </c>
      <c r="H952" s="847">
        <v>42728121</v>
      </c>
      <c r="I952" s="1089"/>
      <c r="J952" s="847"/>
      <c r="K952" s="1089"/>
      <c r="L952" s="847"/>
      <c r="M952" s="846">
        <v>24349616</v>
      </c>
      <c r="N952" s="846"/>
      <c r="O952" s="737">
        <f t="shared" si="119"/>
        <v>24349616</v>
      </c>
      <c r="P952" s="847">
        <v>24378805</v>
      </c>
      <c r="Q952" s="847"/>
      <c r="R952" s="738">
        <f t="shared" si="122"/>
        <v>24378805</v>
      </c>
      <c r="S952" s="737">
        <f t="shared" si="123"/>
        <v>65409044</v>
      </c>
      <c r="T952" s="739">
        <f t="shared" si="124"/>
        <v>67106926</v>
      </c>
      <c r="U952" s="1089"/>
      <c r="V952" s="847"/>
      <c r="W952" s="846"/>
      <c r="X952" s="846"/>
      <c r="Y952" s="740">
        <f t="shared" si="120"/>
        <v>0</v>
      </c>
      <c r="Z952" s="847"/>
      <c r="AA952" s="847"/>
      <c r="AB952" s="741">
        <f t="shared" si="121"/>
        <v>0</v>
      </c>
      <c r="AC952" s="1089"/>
      <c r="AD952" s="847"/>
      <c r="AE952" s="846"/>
      <c r="AF952" s="846"/>
      <c r="AG952" s="847"/>
      <c r="AH952" s="847"/>
      <c r="AI952" s="742">
        <f t="shared" si="125"/>
        <v>65409044</v>
      </c>
      <c r="AJ952" s="743">
        <f t="shared" si="126"/>
        <v>67106926</v>
      </c>
    </row>
    <row r="953" spans="1:36">
      <c r="A953" s="1083" t="s">
        <v>149</v>
      </c>
      <c r="B953" s="1084" t="s">
        <v>264</v>
      </c>
      <c r="C953" s="1085" t="s">
        <v>1022</v>
      </c>
      <c r="D953" s="1092"/>
      <c r="E953" s="1087">
        <v>134495</v>
      </c>
      <c r="F953" s="1087">
        <v>8</v>
      </c>
      <c r="G953" s="1089">
        <v>52640686</v>
      </c>
      <c r="H953" s="847">
        <v>58127314</v>
      </c>
      <c r="I953" s="1089"/>
      <c r="J953" s="847"/>
      <c r="K953" s="1089"/>
      <c r="L953" s="847"/>
      <c r="M953" s="846">
        <v>51868267</v>
      </c>
      <c r="N953" s="846"/>
      <c r="O953" s="737">
        <f t="shared" si="119"/>
        <v>51868267</v>
      </c>
      <c r="P953" s="847">
        <v>49674380</v>
      </c>
      <c r="Q953" s="847"/>
      <c r="R953" s="738">
        <f t="shared" si="122"/>
        <v>49674380</v>
      </c>
      <c r="S953" s="737">
        <f t="shared" si="123"/>
        <v>104508953</v>
      </c>
      <c r="T953" s="739">
        <f t="shared" si="124"/>
        <v>107801694</v>
      </c>
      <c r="U953" s="1089"/>
      <c r="V953" s="847"/>
      <c r="W953" s="846"/>
      <c r="X953" s="846"/>
      <c r="Y953" s="740">
        <f t="shared" si="120"/>
        <v>0</v>
      </c>
      <c r="Z953" s="847"/>
      <c r="AA953" s="847"/>
      <c r="AB953" s="741">
        <f t="shared" si="121"/>
        <v>0</v>
      </c>
      <c r="AC953" s="1089"/>
      <c r="AD953" s="847"/>
      <c r="AE953" s="846"/>
      <c r="AF953" s="846"/>
      <c r="AG953" s="847"/>
      <c r="AH953" s="847"/>
      <c r="AI953" s="742">
        <f t="shared" si="125"/>
        <v>104508953</v>
      </c>
      <c r="AJ953" s="743">
        <f t="shared" si="126"/>
        <v>107801694</v>
      </c>
    </row>
    <row r="954" spans="1:36">
      <c r="A954" s="1083" t="s">
        <v>149</v>
      </c>
      <c r="B954" s="1084" t="s">
        <v>264</v>
      </c>
      <c r="C954" s="1085" t="s">
        <v>1023</v>
      </c>
      <c r="D954" s="1092"/>
      <c r="E954" s="1087">
        <v>136400</v>
      </c>
      <c r="F954" s="1087">
        <v>8</v>
      </c>
      <c r="G954" s="1089">
        <v>27248501</v>
      </c>
      <c r="H954" s="847">
        <v>27808782</v>
      </c>
      <c r="I954" s="1089"/>
      <c r="J954" s="847"/>
      <c r="K954" s="1089"/>
      <c r="L954" s="847"/>
      <c r="M954" s="846">
        <v>15917566</v>
      </c>
      <c r="N954" s="846"/>
      <c r="O954" s="737">
        <f t="shared" si="119"/>
        <v>15917566</v>
      </c>
      <c r="P954" s="847">
        <v>17132816</v>
      </c>
      <c r="Q954" s="847"/>
      <c r="R954" s="738">
        <f t="shared" si="122"/>
        <v>17132816</v>
      </c>
      <c r="S954" s="737">
        <f t="shared" si="123"/>
        <v>43166067</v>
      </c>
      <c r="T954" s="739">
        <f t="shared" si="124"/>
        <v>44941598</v>
      </c>
      <c r="U954" s="1089"/>
      <c r="V954" s="847"/>
      <c r="W954" s="846"/>
      <c r="X954" s="846"/>
      <c r="Y954" s="740">
        <f t="shared" si="120"/>
        <v>0</v>
      </c>
      <c r="Z954" s="847"/>
      <c r="AA954" s="847"/>
      <c r="AB954" s="741">
        <f t="shared" si="121"/>
        <v>0</v>
      </c>
      <c r="AC954" s="1089"/>
      <c r="AD954" s="847"/>
      <c r="AE954" s="846"/>
      <c r="AF954" s="846"/>
      <c r="AG954" s="847"/>
      <c r="AH954" s="847"/>
      <c r="AI954" s="742">
        <f t="shared" si="125"/>
        <v>43166067</v>
      </c>
      <c r="AJ954" s="743">
        <f t="shared" si="126"/>
        <v>44941598</v>
      </c>
    </row>
    <row r="955" spans="1:36">
      <c r="A955" s="1083" t="s">
        <v>149</v>
      </c>
      <c r="B955" s="1084" t="s">
        <v>264</v>
      </c>
      <c r="C955" s="1085" t="s">
        <v>1024</v>
      </c>
      <c r="D955" s="1086" t="s">
        <v>1037</v>
      </c>
      <c r="E955" s="1087">
        <v>136473</v>
      </c>
      <c r="F955" s="1088">
        <v>7</v>
      </c>
      <c r="G955" s="1089">
        <v>34256668</v>
      </c>
      <c r="H955" s="847">
        <v>34671980</v>
      </c>
      <c r="I955" s="1089"/>
      <c r="J955" s="847"/>
      <c r="K955" s="1089"/>
      <c r="L955" s="847"/>
      <c r="M955" s="846">
        <v>17796376</v>
      </c>
      <c r="N955" s="846"/>
      <c r="O955" s="737">
        <f t="shared" si="119"/>
        <v>17796376</v>
      </c>
      <c r="P955" s="847">
        <v>16092087</v>
      </c>
      <c r="Q955" s="847"/>
      <c r="R955" s="738">
        <f t="shared" si="122"/>
        <v>16092087</v>
      </c>
      <c r="S955" s="737">
        <f t="shared" si="123"/>
        <v>52053044</v>
      </c>
      <c r="T955" s="739">
        <f t="shared" si="124"/>
        <v>50764067</v>
      </c>
      <c r="U955" s="1089"/>
      <c r="V955" s="847"/>
      <c r="W955" s="846"/>
      <c r="X955" s="846"/>
      <c r="Y955" s="740">
        <f t="shared" si="120"/>
        <v>0</v>
      </c>
      <c r="Z955" s="847"/>
      <c r="AA955" s="847"/>
      <c r="AB955" s="741">
        <f t="shared" si="121"/>
        <v>0</v>
      </c>
      <c r="AC955" s="1089"/>
      <c r="AD955" s="847"/>
      <c r="AE955" s="846"/>
      <c r="AF955" s="846"/>
      <c r="AG955" s="847"/>
      <c r="AH955" s="847"/>
      <c r="AI955" s="742">
        <f t="shared" si="125"/>
        <v>52053044</v>
      </c>
      <c r="AJ955" s="743">
        <f t="shared" si="126"/>
        <v>50764067</v>
      </c>
    </row>
    <row r="956" spans="1:36">
      <c r="A956" s="1083" t="s">
        <v>149</v>
      </c>
      <c r="B956" s="1084" t="s">
        <v>264</v>
      </c>
      <c r="C956" s="1085" t="s">
        <v>1025</v>
      </c>
      <c r="D956" s="1086" t="s">
        <v>1037</v>
      </c>
      <c r="E956" s="1087">
        <v>137096</v>
      </c>
      <c r="F956" s="1088">
        <v>7</v>
      </c>
      <c r="G956" s="1089">
        <v>35341108</v>
      </c>
      <c r="H956" s="847">
        <v>35784139</v>
      </c>
      <c r="I956" s="1089"/>
      <c r="J956" s="847"/>
      <c r="K956" s="1089"/>
      <c r="L956" s="847"/>
      <c r="M956" s="846">
        <v>29881290</v>
      </c>
      <c r="N956" s="846"/>
      <c r="O956" s="737">
        <f t="shared" si="119"/>
        <v>29881290</v>
      </c>
      <c r="P956" s="847">
        <v>28655183</v>
      </c>
      <c r="Q956" s="847"/>
      <c r="R956" s="738">
        <f t="shared" si="122"/>
        <v>28655183</v>
      </c>
      <c r="S956" s="737">
        <f t="shared" si="123"/>
        <v>65222398</v>
      </c>
      <c r="T956" s="739">
        <f t="shared" si="124"/>
        <v>64439322</v>
      </c>
      <c r="U956" s="1089"/>
      <c r="V956" s="847"/>
      <c r="W956" s="846"/>
      <c r="X956" s="846"/>
      <c r="Y956" s="740">
        <f t="shared" si="120"/>
        <v>0</v>
      </c>
      <c r="Z956" s="847"/>
      <c r="AA956" s="847"/>
      <c r="AB956" s="741">
        <f t="shared" si="121"/>
        <v>0</v>
      </c>
      <c r="AC956" s="1089"/>
      <c r="AD956" s="847"/>
      <c r="AE956" s="846"/>
      <c r="AF956" s="846"/>
      <c r="AG956" s="847"/>
      <c r="AH956" s="847"/>
      <c r="AI956" s="742">
        <f t="shared" si="125"/>
        <v>65222398</v>
      </c>
      <c r="AJ956" s="743">
        <f t="shared" si="126"/>
        <v>64439322</v>
      </c>
    </row>
    <row r="957" spans="1:36">
      <c r="A957" s="1083" t="s">
        <v>149</v>
      </c>
      <c r="B957" s="1084" t="s">
        <v>264</v>
      </c>
      <c r="C957" s="1085" t="s">
        <v>1026</v>
      </c>
      <c r="D957" s="1086" t="s">
        <v>1037</v>
      </c>
      <c r="E957" s="1087">
        <v>137209</v>
      </c>
      <c r="F957" s="1088">
        <v>7</v>
      </c>
      <c r="G957" s="1089">
        <v>37244286</v>
      </c>
      <c r="H957" s="847">
        <v>38654853</v>
      </c>
      <c r="I957" s="1089"/>
      <c r="J957" s="847"/>
      <c r="K957" s="1089"/>
      <c r="L957" s="847"/>
      <c r="M957" s="846">
        <v>33282194</v>
      </c>
      <c r="N957" s="846"/>
      <c r="O957" s="737">
        <f t="shared" si="119"/>
        <v>33282194</v>
      </c>
      <c r="P957" s="847">
        <v>31624867</v>
      </c>
      <c r="Q957" s="847"/>
      <c r="R957" s="738">
        <f t="shared" si="122"/>
        <v>31624867</v>
      </c>
      <c r="S957" s="737">
        <f t="shared" si="123"/>
        <v>70526480</v>
      </c>
      <c r="T957" s="739">
        <f t="shared" si="124"/>
        <v>70279720</v>
      </c>
      <c r="U957" s="1089"/>
      <c r="V957" s="847"/>
      <c r="W957" s="846"/>
      <c r="X957" s="846"/>
      <c r="Y957" s="740">
        <f t="shared" si="120"/>
        <v>0</v>
      </c>
      <c r="Z957" s="847"/>
      <c r="AA957" s="847"/>
      <c r="AB957" s="741">
        <f t="shared" si="121"/>
        <v>0</v>
      </c>
      <c r="AC957" s="1089"/>
      <c r="AD957" s="847"/>
      <c r="AE957" s="846"/>
      <c r="AF957" s="846"/>
      <c r="AG957" s="847"/>
      <c r="AH957" s="847"/>
      <c r="AI957" s="742">
        <f t="shared" si="125"/>
        <v>70526480</v>
      </c>
      <c r="AJ957" s="743">
        <f t="shared" si="126"/>
        <v>70279720</v>
      </c>
    </row>
    <row r="958" spans="1:36">
      <c r="A958" s="1083" t="s">
        <v>149</v>
      </c>
      <c r="B958" s="1084" t="s">
        <v>264</v>
      </c>
      <c r="C958" s="1085" t="s">
        <v>1027</v>
      </c>
      <c r="D958" s="1092"/>
      <c r="E958" s="1087">
        <v>137759</v>
      </c>
      <c r="F958" s="1087">
        <v>8</v>
      </c>
      <c r="G958" s="1089">
        <v>29735762</v>
      </c>
      <c r="H958" s="847">
        <v>31676762</v>
      </c>
      <c r="I958" s="1089"/>
      <c r="J958" s="847"/>
      <c r="K958" s="1089"/>
      <c r="L958" s="847"/>
      <c r="M958" s="846">
        <v>26661671</v>
      </c>
      <c r="N958" s="846"/>
      <c r="O958" s="737">
        <f t="shared" si="119"/>
        <v>26661671</v>
      </c>
      <c r="P958" s="847">
        <v>24407151</v>
      </c>
      <c r="Q958" s="847"/>
      <c r="R958" s="738">
        <f t="shared" si="122"/>
        <v>24407151</v>
      </c>
      <c r="S958" s="737">
        <f t="shared" si="123"/>
        <v>56397433</v>
      </c>
      <c r="T958" s="739">
        <f t="shared" si="124"/>
        <v>56083913</v>
      </c>
      <c r="U958" s="1089"/>
      <c r="V958" s="847"/>
      <c r="W958" s="846"/>
      <c r="X958" s="846"/>
      <c r="Y958" s="740">
        <f t="shared" si="120"/>
        <v>0</v>
      </c>
      <c r="Z958" s="847"/>
      <c r="AA958" s="847"/>
      <c r="AB958" s="741">
        <f t="shared" si="121"/>
        <v>0</v>
      </c>
      <c r="AC958" s="1089"/>
      <c r="AD958" s="847"/>
      <c r="AE958" s="846"/>
      <c r="AF958" s="846"/>
      <c r="AG958" s="847"/>
      <c r="AH958" s="847"/>
      <c r="AI958" s="742">
        <f t="shared" si="125"/>
        <v>56397433</v>
      </c>
      <c r="AJ958" s="743">
        <f t="shared" si="126"/>
        <v>56083913</v>
      </c>
    </row>
    <row r="959" spans="1:36">
      <c r="A959" s="1083" t="s">
        <v>149</v>
      </c>
      <c r="B959" s="1084" t="s">
        <v>264</v>
      </c>
      <c r="C959" s="1085" t="s">
        <v>1028</v>
      </c>
      <c r="D959" s="1092" t="s">
        <v>1036</v>
      </c>
      <c r="E959" s="1087">
        <v>138187</v>
      </c>
      <c r="F959" s="1087">
        <v>8</v>
      </c>
      <c r="G959" s="1089">
        <v>67215536</v>
      </c>
      <c r="H959" s="847">
        <v>68193641</v>
      </c>
      <c r="I959" s="1089"/>
      <c r="J959" s="847"/>
      <c r="K959" s="1089"/>
      <c r="L959" s="847"/>
      <c r="M959" s="846">
        <v>80928031</v>
      </c>
      <c r="N959" s="846"/>
      <c r="O959" s="737">
        <f t="shared" si="119"/>
        <v>80928031</v>
      </c>
      <c r="P959" s="847">
        <v>82611283</v>
      </c>
      <c r="Q959" s="847"/>
      <c r="R959" s="738">
        <f t="shared" si="122"/>
        <v>82611283</v>
      </c>
      <c r="S959" s="737">
        <f t="shared" si="123"/>
        <v>148143567</v>
      </c>
      <c r="T959" s="739">
        <f t="shared" si="124"/>
        <v>150804924</v>
      </c>
      <c r="U959" s="1089"/>
      <c r="V959" s="847"/>
      <c r="W959" s="846"/>
      <c r="X959" s="846"/>
      <c r="Y959" s="740">
        <f t="shared" si="120"/>
        <v>0</v>
      </c>
      <c r="Z959" s="847"/>
      <c r="AA959" s="847"/>
      <c r="AB959" s="741">
        <f t="shared" si="121"/>
        <v>0</v>
      </c>
      <c r="AC959" s="1089"/>
      <c r="AD959" s="847"/>
      <c r="AE959" s="846"/>
      <c r="AF959" s="846"/>
      <c r="AG959" s="847"/>
      <c r="AH959" s="847"/>
      <c r="AI959" s="742">
        <f t="shared" si="125"/>
        <v>148143567</v>
      </c>
      <c r="AJ959" s="743">
        <f t="shared" si="126"/>
        <v>150804924</v>
      </c>
    </row>
    <row r="960" spans="1:36">
      <c r="A960" s="1083" t="s">
        <v>149</v>
      </c>
      <c r="B960" s="1084" t="s">
        <v>264</v>
      </c>
      <c r="C960" s="1085" t="s">
        <v>1029</v>
      </c>
      <c r="D960" s="1092" t="s">
        <v>1038</v>
      </c>
      <c r="E960" s="1087">
        <v>135160</v>
      </c>
      <c r="F960" s="1087">
        <v>9</v>
      </c>
      <c r="G960" s="1089">
        <v>12685807</v>
      </c>
      <c r="H960" s="847">
        <v>13445409</v>
      </c>
      <c r="I960" s="1089"/>
      <c r="J960" s="847"/>
      <c r="K960" s="1089"/>
      <c r="L960" s="847"/>
      <c r="M960" s="846">
        <v>6187957</v>
      </c>
      <c r="N960" s="846"/>
      <c r="O960" s="737">
        <f t="shared" si="119"/>
        <v>6187957</v>
      </c>
      <c r="P960" s="847">
        <v>3880729</v>
      </c>
      <c r="Q960" s="847"/>
      <c r="R960" s="738">
        <f t="shared" si="122"/>
        <v>3880729</v>
      </c>
      <c r="S960" s="737">
        <f t="shared" si="123"/>
        <v>18873764</v>
      </c>
      <c r="T960" s="739">
        <f t="shared" si="124"/>
        <v>17326138</v>
      </c>
      <c r="U960" s="1089"/>
      <c r="V960" s="847"/>
      <c r="W960" s="846"/>
      <c r="X960" s="846"/>
      <c r="Y960" s="740">
        <f t="shared" si="120"/>
        <v>0</v>
      </c>
      <c r="Z960" s="847"/>
      <c r="AA960" s="847"/>
      <c r="AB960" s="741">
        <f t="shared" si="121"/>
        <v>0</v>
      </c>
      <c r="AC960" s="1089"/>
      <c r="AD960" s="847"/>
      <c r="AE960" s="846"/>
      <c r="AF960" s="846"/>
      <c r="AG960" s="847"/>
      <c r="AH960" s="847"/>
      <c r="AI960" s="742">
        <f t="shared" si="125"/>
        <v>18873764</v>
      </c>
      <c r="AJ960" s="743">
        <f t="shared" si="126"/>
        <v>17326138</v>
      </c>
    </row>
    <row r="961" spans="1:36">
      <c r="A961" s="1083" t="s">
        <v>149</v>
      </c>
      <c r="B961" s="1084" t="s">
        <v>264</v>
      </c>
      <c r="C961" s="1085" t="s">
        <v>1030</v>
      </c>
      <c r="D961" s="1086" t="s">
        <v>1037</v>
      </c>
      <c r="E961" s="1087">
        <v>134343</v>
      </c>
      <c r="F961" s="1088">
        <v>7</v>
      </c>
      <c r="G961" s="1089">
        <v>21735273</v>
      </c>
      <c r="H961" s="847">
        <v>21655792</v>
      </c>
      <c r="I961" s="1089"/>
      <c r="J961" s="847"/>
      <c r="K961" s="1089"/>
      <c r="L961" s="847"/>
      <c r="M961" s="846">
        <v>9171898</v>
      </c>
      <c r="N961" s="846"/>
      <c r="O961" s="737">
        <f t="shared" si="119"/>
        <v>9171898</v>
      </c>
      <c r="P961" s="847">
        <v>8598205</v>
      </c>
      <c r="Q961" s="847"/>
      <c r="R961" s="738">
        <f t="shared" si="122"/>
        <v>8598205</v>
      </c>
      <c r="S961" s="737">
        <f t="shared" si="123"/>
        <v>30907171</v>
      </c>
      <c r="T961" s="739">
        <f t="shared" si="124"/>
        <v>30253997</v>
      </c>
      <c r="U961" s="1089"/>
      <c r="V961" s="847"/>
      <c r="W961" s="846"/>
      <c r="X961" s="846"/>
      <c r="Y961" s="740">
        <f t="shared" si="120"/>
        <v>0</v>
      </c>
      <c r="Z961" s="847"/>
      <c r="AA961" s="847"/>
      <c r="AB961" s="741">
        <f t="shared" si="121"/>
        <v>0</v>
      </c>
      <c r="AC961" s="1089"/>
      <c r="AD961" s="847"/>
      <c r="AE961" s="846"/>
      <c r="AF961" s="846"/>
      <c r="AG961" s="847"/>
      <c r="AH961" s="847"/>
      <c r="AI961" s="742">
        <f t="shared" si="125"/>
        <v>30907171</v>
      </c>
      <c r="AJ961" s="743">
        <f t="shared" si="126"/>
        <v>30253997</v>
      </c>
    </row>
    <row r="962" spans="1:36">
      <c r="A962" s="1083" t="s">
        <v>149</v>
      </c>
      <c r="B962" s="1084" t="s">
        <v>264</v>
      </c>
      <c r="C962" s="1085" t="s">
        <v>1031</v>
      </c>
      <c r="D962" s="1091"/>
      <c r="E962" s="1087">
        <v>135188</v>
      </c>
      <c r="F962" s="1087">
        <v>9</v>
      </c>
      <c r="G962" s="1089">
        <v>13603078</v>
      </c>
      <c r="H962" s="847">
        <v>13385812</v>
      </c>
      <c r="I962" s="1089"/>
      <c r="J962" s="847"/>
      <c r="K962" s="1089"/>
      <c r="L962" s="847"/>
      <c r="M962" s="846">
        <v>6482276</v>
      </c>
      <c r="N962" s="846"/>
      <c r="O962" s="737">
        <f t="shared" si="119"/>
        <v>6482276</v>
      </c>
      <c r="P962" s="847">
        <v>6507528</v>
      </c>
      <c r="Q962" s="847"/>
      <c r="R962" s="738">
        <f t="shared" si="122"/>
        <v>6507528</v>
      </c>
      <c r="S962" s="737">
        <f t="shared" si="123"/>
        <v>20085354</v>
      </c>
      <c r="T962" s="739">
        <f t="shared" si="124"/>
        <v>19893340</v>
      </c>
      <c r="U962" s="1089"/>
      <c r="V962" s="847"/>
      <c r="W962" s="846"/>
      <c r="X962" s="846"/>
      <c r="Y962" s="740">
        <f t="shared" si="120"/>
        <v>0</v>
      </c>
      <c r="Z962" s="847"/>
      <c r="AA962" s="847"/>
      <c r="AB962" s="741">
        <f t="shared" si="121"/>
        <v>0</v>
      </c>
      <c r="AC962" s="1089"/>
      <c r="AD962" s="847"/>
      <c r="AE962" s="846"/>
      <c r="AF962" s="846"/>
      <c r="AG962" s="847"/>
      <c r="AH962" s="847"/>
      <c r="AI962" s="742">
        <f t="shared" si="125"/>
        <v>20085354</v>
      </c>
      <c r="AJ962" s="743">
        <f t="shared" si="126"/>
        <v>19893340</v>
      </c>
    </row>
    <row r="963" spans="1:36">
      <c r="A963" s="1083" t="s">
        <v>149</v>
      </c>
      <c r="B963" s="1084" t="s">
        <v>264</v>
      </c>
      <c r="C963" s="1085" t="s">
        <v>1032</v>
      </c>
      <c r="D963" s="1091"/>
      <c r="E963" s="1087">
        <v>137315</v>
      </c>
      <c r="F963" s="1087">
        <v>9</v>
      </c>
      <c r="G963" s="1089">
        <v>15736621</v>
      </c>
      <c r="H963" s="847">
        <v>15879132</v>
      </c>
      <c r="I963" s="1089"/>
      <c r="J963" s="847"/>
      <c r="K963" s="1089"/>
      <c r="L963" s="847"/>
      <c r="M963" s="846">
        <v>3898226</v>
      </c>
      <c r="N963" s="846"/>
      <c r="O963" s="737">
        <f t="shared" si="119"/>
        <v>3898226</v>
      </c>
      <c r="P963" s="847">
        <v>3907643</v>
      </c>
      <c r="Q963" s="847"/>
      <c r="R963" s="738">
        <f t="shared" si="122"/>
        <v>3907643</v>
      </c>
      <c r="S963" s="737">
        <f t="shared" si="123"/>
        <v>19634847</v>
      </c>
      <c r="T963" s="739">
        <f t="shared" si="124"/>
        <v>19786775</v>
      </c>
      <c r="U963" s="1089"/>
      <c r="V963" s="847"/>
      <c r="W963" s="846"/>
      <c r="X963" s="846"/>
      <c r="Y963" s="740">
        <f t="shared" si="120"/>
        <v>0</v>
      </c>
      <c r="Z963" s="847"/>
      <c r="AA963" s="847"/>
      <c r="AB963" s="741">
        <f t="shared" si="121"/>
        <v>0</v>
      </c>
      <c r="AC963" s="1089"/>
      <c r="AD963" s="847"/>
      <c r="AE963" s="846"/>
      <c r="AF963" s="846"/>
      <c r="AG963" s="847"/>
      <c r="AH963" s="847"/>
      <c r="AI963" s="742">
        <f t="shared" si="125"/>
        <v>19634847</v>
      </c>
      <c r="AJ963" s="743">
        <f t="shared" si="126"/>
        <v>19786775</v>
      </c>
    </row>
    <row r="964" spans="1:36">
      <c r="A964" s="1083" t="s">
        <v>149</v>
      </c>
      <c r="B964" s="1084" t="s">
        <v>264</v>
      </c>
      <c r="C964" s="1090" t="s">
        <v>1033</v>
      </c>
      <c r="D964" s="1091"/>
      <c r="E964" s="1087">
        <v>133960</v>
      </c>
      <c r="F964" s="1087">
        <v>10</v>
      </c>
      <c r="G964" s="1089">
        <v>6409496</v>
      </c>
      <c r="H964" s="847">
        <v>6572368</v>
      </c>
      <c r="I964" s="1089"/>
      <c r="J964" s="847"/>
      <c r="K964" s="1089"/>
      <c r="L964" s="847"/>
      <c r="M964" s="846">
        <v>2290720</v>
      </c>
      <c r="N964" s="846"/>
      <c r="O964" s="737">
        <f t="shared" si="119"/>
        <v>2290720</v>
      </c>
      <c r="P964" s="847">
        <v>2222898</v>
      </c>
      <c r="Q964" s="847"/>
      <c r="R964" s="738">
        <f t="shared" si="122"/>
        <v>2222898</v>
      </c>
      <c r="S964" s="737">
        <f t="shared" si="123"/>
        <v>8700216</v>
      </c>
      <c r="T964" s="739">
        <f t="shared" si="124"/>
        <v>8795266</v>
      </c>
      <c r="U964" s="1089"/>
      <c r="V964" s="847"/>
      <c r="W964" s="846"/>
      <c r="X964" s="846"/>
      <c r="Y964" s="740">
        <f t="shared" si="120"/>
        <v>0</v>
      </c>
      <c r="Z964" s="847"/>
      <c r="AA964" s="847"/>
      <c r="AB964" s="741">
        <f t="shared" si="121"/>
        <v>0</v>
      </c>
      <c r="AC964" s="1089"/>
      <c r="AD964" s="847"/>
      <c r="AE964" s="846"/>
      <c r="AF964" s="846"/>
      <c r="AG964" s="847"/>
      <c r="AH964" s="847"/>
      <c r="AI964" s="742">
        <f t="shared" si="125"/>
        <v>8700216</v>
      </c>
      <c r="AJ964" s="743">
        <f t="shared" si="126"/>
        <v>8795266</v>
      </c>
    </row>
    <row r="965" spans="1:36">
      <c r="A965" s="1083" t="s">
        <v>149</v>
      </c>
      <c r="B965" s="1084" t="s">
        <v>264</v>
      </c>
      <c r="C965" s="1090" t="s">
        <v>1034</v>
      </c>
      <c r="D965" s="1091"/>
      <c r="E965" s="1087">
        <v>136145</v>
      </c>
      <c r="F965" s="1087">
        <v>10</v>
      </c>
      <c r="G965" s="1089">
        <v>6946880</v>
      </c>
      <c r="H965" s="847">
        <v>7273808</v>
      </c>
      <c r="I965" s="1089"/>
      <c r="J965" s="847"/>
      <c r="K965" s="1089"/>
      <c r="L965" s="847"/>
      <c r="M965" s="846">
        <v>1706056</v>
      </c>
      <c r="N965" s="846"/>
      <c r="O965" s="737">
        <f t="shared" si="119"/>
        <v>1706056</v>
      </c>
      <c r="P965" s="847">
        <v>1590625</v>
      </c>
      <c r="Q965" s="847"/>
      <c r="R965" s="738">
        <f t="shared" si="122"/>
        <v>1590625</v>
      </c>
      <c r="S965" s="737">
        <f t="shared" si="123"/>
        <v>8652936</v>
      </c>
      <c r="T965" s="739">
        <f t="shared" si="124"/>
        <v>8864433</v>
      </c>
      <c r="U965" s="1089"/>
      <c r="V965" s="847"/>
      <c r="W965" s="846"/>
      <c r="X965" s="846"/>
      <c r="Y965" s="740">
        <f t="shared" si="120"/>
        <v>0</v>
      </c>
      <c r="Z965" s="847"/>
      <c r="AA965" s="847"/>
      <c r="AB965" s="741">
        <f t="shared" si="121"/>
        <v>0</v>
      </c>
      <c r="AC965" s="1089"/>
      <c r="AD965" s="847"/>
      <c r="AE965" s="846"/>
      <c r="AF965" s="846"/>
      <c r="AG965" s="847"/>
      <c r="AH965" s="847"/>
      <c r="AI965" s="742">
        <f t="shared" si="125"/>
        <v>8652936</v>
      </c>
      <c r="AJ965" s="743">
        <f t="shared" si="126"/>
        <v>8864433</v>
      </c>
    </row>
    <row r="966" spans="1:36">
      <c r="A966" s="1083" t="s">
        <v>149</v>
      </c>
      <c r="B966" s="1084" t="s">
        <v>283</v>
      </c>
      <c r="C966" s="1097" t="s">
        <v>1035</v>
      </c>
      <c r="D966" s="1098"/>
      <c r="E966" s="1099"/>
      <c r="F966" s="1100"/>
      <c r="G966" s="846"/>
      <c r="H966" s="847"/>
      <c r="I966" s="846"/>
      <c r="J966" s="847"/>
      <c r="K966" s="846"/>
      <c r="L966" s="847"/>
      <c r="M966" s="846"/>
      <c r="N966" s="846"/>
      <c r="O966" s="737">
        <f t="shared" si="119"/>
        <v>0</v>
      </c>
      <c r="P966" s="847"/>
      <c r="Q966" s="847"/>
      <c r="R966" s="738">
        <f t="shared" si="122"/>
        <v>0</v>
      </c>
      <c r="S966" s="737">
        <f t="shared" si="123"/>
        <v>0</v>
      </c>
      <c r="T966" s="739">
        <f t="shared" si="124"/>
        <v>0</v>
      </c>
      <c r="U966" s="846">
        <v>2274086</v>
      </c>
      <c r="V966" s="847">
        <v>2019424</v>
      </c>
      <c r="W966" s="846"/>
      <c r="X966" s="846"/>
      <c r="Y966" s="740">
        <f t="shared" si="120"/>
        <v>0</v>
      </c>
      <c r="Z966" s="847"/>
      <c r="AA966" s="847"/>
      <c r="AB966" s="741">
        <f t="shared" si="121"/>
        <v>0</v>
      </c>
      <c r="AC966" s="846"/>
      <c r="AD966" s="847"/>
      <c r="AE966" s="846"/>
      <c r="AF966" s="846"/>
      <c r="AG966" s="847"/>
      <c r="AH966" s="847"/>
      <c r="AI966" s="742">
        <f t="shared" si="125"/>
        <v>2274086</v>
      </c>
      <c r="AJ966" s="743">
        <f t="shared" si="126"/>
        <v>2019424</v>
      </c>
    </row>
    <row r="967" spans="1:36">
      <c r="A967" s="1083" t="s">
        <v>149</v>
      </c>
      <c r="B967" s="1084" t="s">
        <v>281</v>
      </c>
      <c r="C967" s="1101" t="s">
        <v>109</v>
      </c>
      <c r="D967" s="1102"/>
      <c r="E967" s="1103"/>
      <c r="F967" s="1100"/>
      <c r="G967" s="1089"/>
      <c r="H967" s="847"/>
      <c r="I967" s="1089"/>
      <c r="J967" s="847"/>
      <c r="K967" s="1089"/>
      <c r="L967" s="847"/>
      <c r="M967" s="846"/>
      <c r="N967" s="846"/>
      <c r="O967" s="737">
        <f t="shared" si="119"/>
        <v>0</v>
      </c>
      <c r="P967" s="847"/>
      <c r="Q967" s="847"/>
      <c r="R967" s="738">
        <f t="shared" si="122"/>
        <v>0</v>
      </c>
      <c r="S967" s="737">
        <f t="shared" si="123"/>
        <v>0</v>
      </c>
      <c r="T967" s="739">
        <f t="shared" si="124"/>
        <v>0</v>
      </c>
      <c r="U967" s="1089"/>
      <c r="V967" s="847"/>
      <c r="W967" s="846"/>
      <c r="X967" s="846"/>
      <c r="Y967" s="740">
        <f t="shared" si="120"/>
        <v>0</v>
      </c>
      <c r="Z967" s="847"/>
      <c r="AA967" s="847"/>
      <c r="AB967" s="741">
        <f t="shared" si="121"/>
        <v>0</v>
      </c>
      <c r="AC967" s="1089"/>
      <c r="AD967" s="847"/>
      <c r="AE967" s="846"/>
      <c r="AF967" s="846"/>
      <c r="AG967" s="847"/>
      <c r="AH967" s="847"/>
      <c r="AI967" s="742">
        <f t="shared" si="125"/>
        <v>0</v>
      </c>
      <c r="AJ967" s="743">
        <f t="shared" si="126"/>
        <v>0</v>
      </c>
    </row>
    <row r="968" spans="1:36">
      <c r="A968" s="840" t="s">
        <v>144</v>
      </c>
      <c r="B968" s="841" t="s">
        <v>264</v>
      </c>
      <c r="C968" s="842" t="s">
        <v>448</v>
      </c>
      <c r="D968" s="843"/>
      <c r="E968" s="844">
        <v>139940</v>
      </c>
      <c r="F968" s="845">
        <v>1</v>
      </c>
      <c r="G968" s="846">
        <v>187700309</v>
      </c>
      <c r="H968" s="847">
        <v>187839221</v>
      </c>
      <c r="I968" s="846"/>
      <c r="J968" s="847"/>
      <c r="K968" s="846"/>
      <c r="L968" s="847"/>
      <c r="M968" s="846">
        <v>258288568</v>
      </c>
      <c r="N968" s="846"/>
      <c r="O968" s="737">
        <f t="shared" si="119"/>
        <v>258288568</v>
      </c>
      <c r="P968" s="847">
        <v>269419483</v>
      </c>
      <c r="Q968" s="847"/>
      <c r="R968" s="738">
        <f t="shared" si="122"/>
        <v>269419483</v>
      </c>
      <c r="S968" s="737">
        <f t="shared" si="123"/>
        <v>445988877</v>
      </c>
      <c r="T968" s="739">
        <f t="shared" si="124"/>
        <v>457258704</v>
      </c>
      <c r="U968" s="846"/>
      <c r="V968" s="847"/>
      <c r="W968" s="846"/>
      <c r="X968" s="846"/>
      <c r="Y968" s="740">
        <f t="shared" si="120"/>
        <v>0</v>
      </c>
      <c r="Z968" s="847"/>
      <c r="AA968" s="847"/>
      <c r="AB968" s="741">
        <f t="shared" si="121"/>
        <v>0</v>
      </c>
      <c r="AC968" s="846"/>
      <c r="AD968" s="847"/>
      <c r="AE968" s="846"/>
      <c r="AF968" s="846"/>
      <c r="AG968" s="847"/>
      <c r="AH968" s="847"/>
      <c r="AI968" s="742">
        <f t="shared" si="125"/>
        <v>445988877</v>
      </c>
      <c r="AJ968" s="743">
        <f t="shared" si="126"/>
        <v>457258704</v>
      </c>
    </row>
    <row r="969" spans="1:36">
      <c r="A969" s="840" t="s">
        <v>144</v>
      </c>
      <c r="B969" s="841" t="s">
        <v>264</v>
      </c>
      <c r="C969" s="842" t="s">
        <v>449</v>
      </c>
      <c r="D969" s="843"/>
      <c r="E969" s="844">
        <v>139959</v>
      </c>
      <c r="F969" s="845">
        <v>1</v>
      </c>
      <c r="G969" s="846">
        <v>299748876</v>
      </c>
      <c r="H969" s="847">
        <v>307670782</v>
      </c>
      <c r="I969" s="846"/>
      <c r="J969" s="847"/>
      <c r="K969" s="846"/>
      <c r="L969" s="847"/>
      <c r="M969" s="846">
        <v>349392697</v>
      </c>
      <c r="N969" s="846"/>
      <c r="O969" s="737">
        <f t="shared" si="119"/>
        <v>349392697</v>
      </c>
      <c r="P969" s="847">
        <v>343050364</v>
      </c>
      <c r="Q969" s="847"/>
      <c r="R969" s="738">
        <f t="shared" si="122"/>
        <v>343050364</v>
      </c>
      <c r="S969" s="737">
        <f t="shared" si="123"/>
        <v>649141573</v>
      </c>
      <c r="T969" s="739">
        <f t="shared" si="124"/>
        <v>650721146</v>
      </c>
      <c r="U969" s="846"/>
      <c r="V969" s="847"/>
      <c r="W969" s="846"/>
      <c r="X969" s="846"/>
      <c r="Y969" s="740">
        <f t="shared" si="120"/>
        <v>0</v>
      </c>
      <c r="Z969" s="847"/>
      <c r="AA969" s="847"/>
      <c r="AB969" s="741">
        <f t="shared" si="121"/>
        <v>0</v>
      </c>
      <c r="AC969" s="846"/>
      <c r="AD969" s="847"/>
      <c r="AE969" s="846"/>
      <c r="AF969" s="846"/>
      <c r="AG969" s="847"/>
      <c r="AH969" s="847"/>
      <c r="AI969" s="742">
        <f t="shared" si="125"/>
        <v>649141573</v>
      </c>
      <c r="AJ969" s="743">
        <f t="shared" si="126"/>
        <v>650721146</v>
      </c>
    </row>
    <row r="970" spans="1:36">
      <c r="A970" s="840" t="s">
        <v>144</v>
      </c>
      <c r="B970" s="841" t="s">
        <v>280</v>
      </c>
      <c r="C970" s="848" t="s">
        <v>450</v>
      </c>
      <c r="D970" s="849"/>
      <c r="E970" s="844">
        <v>139959</v>
      </c>
      <c r="F970" s="845">
        <v>1</v>
      </c>
      <c r="G970" s="846"/>
      <c r="H970" s="847"/>
      <c r="I970" s="846"/>
      <c r="J970" s="847"/>
      <c r="K970" s="846"/>
      <c r="L970" s="847"/>
      <c r="M970" s="846"/>
      <c r="N970" s="846"/>
      <c r="O970" s="737">
        <f t="shared" ref="O970:O1033" si="127">SUM(M970:N970)</f>
        <v>0</v>
      </c>
      <c r="P970" s="847"/>
      <c r="Q970" s="847"/>
      <c r="R970" s="738">
        <f t="shared" si="122"/>
        <v>0</v>
      </c>
      <c r="S970" s="737">
        <f t="shared" si="123"/>
        <v>0</v>
      </c>
      <c r="T970" s="739">
        <f t="shared" si="124"/>
        <v>0</v>
      </c>
      <c r="U970" s="846"/>
      <c r="V970" s="847"/>
      <c r="W970" s="846"/>
      <c r="X970" s="846"/>
      <c r="Y970" s="740">
        <f t="shared" ref="Y970:Y1033" si="128">SUM(W970:X970)</f>
        <v>0</v>
      </c>
      <c r="Z970" s="847"/>
      <c r="AA970" s="847"/>
      <c r="AB970" s="741">
        <f t="shared" ref="AB970:AB1033" si="129">SUM(Z970:AA970)</f>
        <v>0</v>
      </c>
      <c r="AC970" s="846"/>
      <c r="AD970" s="847"/>
      <c r="AE970" s="846"/>
      <c r="AF970" s="846"/>
      <c r="AG970" s="847"/>
      <c r="AH970" s="847"/>
      <c r="AI970" s="742">
        <f t="shared" si="125"/>
        <v>0</v>
      </c>
      <c r="AJ970" s="743">
        <f t="shared" si="126"/>
        <v>0</v>
      </c>
    </row>
    <row r="971" spans="1:36">
      <c r="A971" s="840" t="s">
        <v>144</v>
      </c>
      <c r="B971" s="841" t="s">
        <v>280</v>
      </c>
      <c r="C971" s="850" t="s">
        <v>451</v>
      </c>
      <c r="D971" s="849"/>
      <c r="E971" s="844">
        <v>139959</v>
      </c>
      <c r="F971" s="845">
        <v>1</v>
      </c>
      <c r="G971" s="846"/>
      <c r="H971" s="847"/>
      <c r="I971" s="846"/>
      <c r="J971" s="847"/>
      <c r="K971" s="846"/>
      <c r="L971" s="847"/>
      <c r="M971" s="846"/>
      <c r="N971" s="846"/>
      <c r="O971" s="737">
        <f t="shared" si="127"/>
        <v>0</v>
      </c>
      <c r="P971" s="847"/>
      <c r="Q971" s="847"/>
      <c r="R971" s="738">
        <f t="shared" ref="R971:R1034" si="130">SUM(P971:Q971)</f>
        <v>0</v>
      </c>
      <c r="S971" s="737">
        <f t="shared" ref="S971:S1034" si="131">SUM(G971,I971,K971,M971)</f>
        <v>0</v>
      </c>
      <c r="T971" s="739">
        <f t="shared" ref="T971:T1034" si="132">SUM(H971,J971,L971,P971)</f>
        <v>0</v>
      </c>
      <c r="U971" s="846"/>
      <c r="V971" s="847"/>
      <c r="W971" s="846"/>
      <c r="X971" s="846"/>
      <c r="Y971" s="740">
        <f t="shared" si="128"/>
        <v>0</v>
      </c>
      <c r="Z971" s="847"/>
      <c r="AA971" s="847"/>
      <c r="AB971" s="741">
        <f t="shared" si="129"/>
        <v>0</v>
      </c>
      <c r="AC971" s="846">
        <v>13045397</v>
      </c>
      <c r="AD971" s="847">
        <v>14199654</v>
      </c>
      <c r="AE971" s="846">
        <v>7067460</v>
      </c>
      <c r="AF971" s="846"/>
      <c r="AG971" s="847">
        <v>7873360</v>
      </c>
      <c r="AH971" s="847"/>
      <c r="AI971" s="742">
        <f t="shared" ref="AI971:AI1034" si="133">SUM(S971,U971,W971,AC971,AE971)</f>
        <v>20112857</v>
      </c>
      <c r="AJ971" s="743">
        <f t="shared" ref="AJ971:AJ1034" si="134">SUM(T971,V971,Z971,AD971,AG971)</f>
        <v>22073014</v>
      </c>
    </row>
    <row r="972" spans="1:36">
      <c r="A972" s="840" t="s">
        <v>144</v>
      </c>
      <c r="B972" s="841" t="s">
        <v>280</v>
      </c>
      <c r="C972" s="850" t="s">
        <v>452</v>
      </c>
      <c r="D972" s="849"/>
      <c r="E972" s="844">
        <v>139959</v>
      </c>
      <c r="F972" s="845">
        <v>1</v>
      </c>
      <c r="G972" s="846"/>
      <c r="H972" s="847"/>
      <c r="I972" s="846"/>
      <c r="J972" s="847"/>
      <c r="K972" s="846"/>
      <c r="L972" s="847"/>
      <c r="M972" s="846"/>
      <c r="N972" s="846"/>
      <c r="O972" s="737">
        <f t="shared" si="127"/>
        <v>0</v>
      </c>
      <c r="P972" s="847"/>
      <c r="Q972" s="847"/>
      <c r="R972" s="738">
        <f t="shared" si="130"/>
        <v>0</v>
      </c>
      <c r="S972" s="737">
        <f t="shared" si="131"/>
        <v>0</v>
      </c>
      <c r="T972" s="739">
        <f t="shared" si="132"/>
        <v>0</v>
      </c>
      <c r="U972" s="846"/>
      <c r="V972" s="847"/>
      <c r="W972" s="846"/>
      <c r="X972" s="846"/>
      <c r="Y972" s="740">
        <f t="shared" si="128"/>
        <v>0</v>
      </c>
      <c r="Z972" s="847"/>
      <c r="AA972" s="847"/>
      <c r="AB972" s="741">
        <f t="shared" si="129"/>
        <v>0</v>
      </c>
      <c r="AC972" s="846">
        <v>386135</v>
      </c>
      <c r="AD972" s="847">
        <v>393117</v>
      </c>
      <c r="AE972" s="846"/>
      <c r="AF972" s="846"/>
      <c r="AG972" s="847"/>
      <c r="AH972" s="847"/>
      <c r="AI972" s="742">
        <f t="shared" si="133"/>
        <v>386135</v>
      </c>
      <c r="AJ972" s="743">
        <f t="shared" si="134"/>
        <v>393117</v>
      </c>
    </row>
    <row r="973" spans="1:36">
      <c r="A973" s="840" t="s">
        <v>144</v>
      </c>
      <c r="B973" s="841" t="s">
        <v>266</v>
      </c>
      <c r="C973" s="848" t="s">
        <v>453</v>
      </c>
      <c r="D973" s="849"/>
      <c r="E973" s="844">
        <v>139959</v>
      </c>
      <c r="F973" s="845">
        <v>1</v>
      </c>
      <c r="G973" s="846"/>
      <c r="H973" s="847"/>
      <c r="I973" s="846"/>
      <c r="J973" s="847"/>
      <c r="K973" s="846"/>
      <c r="L973" s="847"/>
      <c r="M973" s="846"/>
      <c r="N973" s="846"/>
      <c r="O973" s="737">
        <f t="shared" si="127"/>
        <v>0</v>
      </c>
      <c r="P973" s="847"/>
      <c r="Q973" s="847"/>
      <c r="R973" s="738">
        <f t="shared" si="130"/>
        <v>0</v>
      </c>
      <c r="S973" s="737">
        <f t="shared" si="131"/>
        <v>0</v>
      </c>
      <c r="T973" s="739">
        <f t="shared" si="132"/>
        <v>0</v>
      </c>
      <c r="U973" s="846"/>
      <c r="V973" s="847"/>
      <c r="W973" s="846"/>
      <c r="X973" s="846"/>
      <c r="Y973" s="740">
        <f t="shared" si="128"/>
        <v>0</v>
      </c>
      <c r="Z973" s="847"/>
      <c r="AA973" s="847"/>
      <c r="AB973" s="741">
        <f t="shared" si="129"/>
        <v>0</v>
      </c>
      <c r="AC973" s="846"/>
      <c r="AD973" s="847"/>
      <c r="AE973" s="846"/>
      <c r="AF973" s="846"/>
      <c r="AG973" s="847"/>
      <c r="AH973" s="847"/>
      <c r="AI973" s="742">
        <f t="shared" si="133"/>
        <v>0</v>
      </c>
      <c r="AJ973" s="743">
        <f t="shared" si="134"/>
        <v>0</v>
      </c>
    </row>
    <row r="974" spans="1:36">
      <c r="A974" s="840" t="s">
        <v>144</v>
      </c>
      <c r="B974" s="841" t="s">
        <v>268</v>
      </c>
      <c r="C974" s="848" t="s">
        <v>454</v>
      </c>
      <c r="D974" s="849"/>
      <c r="E974" s="844">
        <v>139959</v>
      </c>
      <c r="F974" s="845">
        <v>1</v>
      </c>
      <c r="G974" s="846"/>
      <c r="H974" s="847"/>
      <c r="I974" s="846">
        <v>29365384</v>
      </c>
      <c r="J974" s="847">
        <v>30465088</v>
      </c>
      <c r="K974" s="846"/>
      <c r="L974" s="847"/>
      <c r="M974" s="846"/>
      <c r="N974" s="846"/>
      <c r="O974" s="737">
        <f t="shared" si="127"/>
        <v>0</v>
      </c>
      <c r="P974" s="847"/>
      <c r="Q974" s="847"/>
      <c r="R974" s="738">
        <f t="shared" si="130"/>
        <v>0</v>
      </c>
      <c r="S974" s="737">
        <f t="shared" si="131"/>
        <v>29365384</v>
      </c>
      <c r="T974" s="739">
        <f t="shared" si="132"/>
        <v>30465088</v>
      </c>
      <c r="U974" s="846"/>
      <c r="V974" s="847"/>
      <c r="W974" s="846"/>
      <c r="X974" s="846"/>
      <c r="Y974" s="740">
        <f t="shared" si="128"/>
        <v>0</v>
      </c>
      <c r="Z974" s="847"/>
      <c r="AA974" s="847"/>
      <c r="AB974" s="741">
        <f t="shared" si="129"/>
        <v>0</v>
      </c>
      <c r="AC974" s="846"/>
      <c r="AD974" s="847"/>
      <c r="AE974" s="846"/>
      <c r="AF974" s="846"/>
      <c r="AG974" s="847"/>
      <c r="AH974" s="847"/>
      <c r="AI974" s="742">
        <f t="shared" si="133"/>
        <v>29365384</v>
      </c>
      <c r="AJ974" s="743">
        <f t="shared" si="134"/>
        <v>30465088</v>
      </c>
    </row>
    <row r="975" spans="1:36">
      <c r="A975" s="840" t="s">
        <v>144</v>
      </c>
      <c r="B975" s="841" t="s">
        <v>269</v>
      </c>
      <c r="C975" s="848" t="s">
        <v>455</v>
      </c>
      <c r="D975" s="849"/>
      <c r="E975" s="844">
        <v>139959</v>
      </c>
      <c r="F975" s="845">
        <v>1</v>
      </c>
      <c r="G975" s="846"/>
      <c r="H975" s="847"/>
      <c r="I975" s="846">
        <v>35233027</v>
      </c>
      <c r="J975" s="847">
        <v>36858936</v>
      </c>
      <c r="K975" s="846"/>
      <c r="L975" s="847"/>
      <c r="M975" s="846"/>
      <c r="N975" s="846"/>
      <c r="O975" s="737">
        <f t="shared" si="127"/>
        <v>0</v>
      </c>
      <c r="P975" s="847"/>
      <c r="Q975" s="847"/>
      <c r="R975" s="738">
        <f t="shared" si="130"/>
        <v>0</v>
      </c>
      <c r="S975" s="737">
        <f t="shared" si="131"/>
        <v>35233027</v>
      </c>
      <c r="T975" s="739">
        <f t="shared" si="132"/>
        <v>36858936</v>
      </c>
      <c r="U975" s="846"/>
      <c r="V975" s="847"/>
      <c r="W975" s="846"/>
      <c r="X975" s="846"/>
      <c r="Y975" s="740">
        <f t="shared" si="128"/>
        <v>0</v>
      </c>
      <c r="Z975" s="847"/>
      <c r="AA975" s="847"/>
      <c r="AB975" s="741">
        <f t="shared" si="129"/>
        <v>0</v>
      </c>
      <c r="AC975" s="846"/>
      <c r="AD975" s="847"/>
      <c r="AE975" s="846"/>
      <c r="AF975" s="846"/>
      <c r="AG975" s="847"/>
      <c r="AH975" s="847"/>
      <c r="AI975" s="742">
        <f t="shared" si="133"/>
        <v>35233027</v>
      </c>
      <c r="AJ975" s="743">
        <f t="shared" si="134"/>
        <v>36858936</v>
      </c>
    </row>
    <row r="976" spans="1:36">
      <c r="A976" s="840" t="s">
        <v>144</v>
      </c>
      <c r="B976" s="841" t="s">
        <v>271</v>
      </c>
      <c r="C976" s="848" t="s">
        <v>456</v>
      </c>
      <c r="D976" s="849"/>
      <c r="E976" s="844">
        <v>139959</v>
      </c>
      <c r="F976" s="845">
        <v>1</v>
      </c>
      <c r="G976" s="846"/>
      <c r="H976" s="847"/>
      <c r="I976" s="846"/>
      <c r="J976" s="847"/>
      <c r="K976" s="846"/>
      <c r="L976" s="847"/>
      <c r="M976" s="846"/>
      <c r="N976" s="846"/>
      <c r="O976" s="737">
        <f t="shared" si="127"/>
        <v>0</v>
      </c>
      <c r="P976" s="847"/>
      <c r="Q976" s="847"/>
      <c r="R976" s="738">
        <f t="shared" si="130"/>
        <v>0</v>
      </c>
      <c r="S976" s="737">
        <f t="shared" si="131"/>
        <v>0</v>
      </c>
      <c r="T976" s="739">
        <f t="shared" si="132"/>
        <v>0</v>
      </c>
      <c r="U976" s="846"/>
      <c r="V976" s="847"/>
      <c r="W976" s="846"/>
      <c r="X976" s="846"/>
      <c r="Y976" s="740">
        <f t="shared" si="128"/>
        <v>0</v>
      </c>
      <c r="Z976" s="847"/>
      <c r="AA976" s="847"/>
      <c r="AB976" s="741">
        <f t="shared" si="129"/>
        <v>0</v>
      </c>
      <c r="AC976" s="846"/>
      <c r="AD976" s="847"/>
      <c r="AE976" s="846"/>
      <c r="AF976" s="846"/>
      <c r="AG976" s="847"/>
      <c r="AH976" s="847"/>
      <c r="AI976" s="742">
        <f t="shared" si="133"/>
        <v>0</v>
      </c>
      <c r="AJ976" s="743">
        <f t="shared" si="134"/>
        <v>0</v>
      </c>
    </row>
    <row r="977" spans="1:36">
      <c r="A977" s="840" t="s">
        <v>144</v>
      </c>
      <c r="B977" s="841" t="s">
        <v>271</v>
      </c>
      <c r="C977" s="850" t="s">
        <v>457</v>
      </c>
      <c r="D977" s="849"/>
      <c r="E977" s="844">
        <v>139959</v>
      </c>
      <c r="F977" s="845">
        <v>1</v>
      </c>
      <c r="G977" s="846"/>
      <c r="H977" s="847"/>
      <c r="I977" s="846">
        <v>1179252</v>
      </c>
      <c r="J977" s="847">
        <v>1214511</v>
      </c>
      <c r="K977" s="846"/>
      <c r="L977" s="847"/>
      <c r="M977" s="846"/>
      <c r="N977" s="846"/>
      <c r="O977" s="737">
        <f t="shared" si="127"/>
        <v>0</v>
      </c>
      <c r="P977" s="847"/>
      <c r="Q977" s="847"/>
      <c r="R977" s="738">
        <f t="shared" si="130"/>
        <v>0</v>
      </c>
      <c r="S977" s="737">
        <f t="shared" si="131"/>
        <v>1179252</v>
      </c>
      <c r="T977" s="739">
        <f t="shared" si="132"/>
        <v>1214511</v>
      </c>
      <c r="U977" s="846"/>
      <c r="V977" s="847"/>
      <c r="W977" s="846"/>
      <c r="X977" s="846"/>
      <c r="Y977" s="740">
        <f t="shared" si="128"/>
        <v>0</v>
      </c>
      <c r="Z977" s="847"/>
      <c r="AA977" s="847"/>
      <c r="AB977" s="741">
        <f t="shared" si="129"/>
        <v>0</v>
      </c>
      <c r="AC977" s="846"/>
      <c r="AD977" s="847"/>
      <c r="AE977" s="846"/>
      <c r="AF977" s="846"/>
      <c r="AG977" s="847"/>
      <c r="AH977" s="847"/>
      <c r="AI977" s="742">
        <f t="shared" si="133"/>
        <v>1179252</v>
      </c>
      <c r="AJ977" s="743">
        <f t="shared" si="134"/>
        <v>1214511</v>
      </c>
    </row>
    <row r="978" spans="1:36">
      <c r="A978" s="840" t="s">
        <v>144</v>
      </c>
      <c r="B978" s="841" t="s">
        <v>271</v>
      </c>
      <c r="C978" s="850" t="s">
        <v>458</v>
      </c>
      <c r="D978" s="849"/>
      <c r="E978" s="844">
        <v>139959</v>
      </c>
      <c r="F978" s="845">
        <v>1</v>
      </c>
      <c r="G978" s="846"/>
      <c r="H978" s="847"/>
      <c r="I978" s="846">
        <v>2569841</v>
      </c>
      <c r="J978" s="847">
        <v>2618043</v>
      </c>
      <c r="K978" s="846"/>
      <c r="L978" s="847"/>
      <c r="M978" s="846"/>
      <c r="N978" s="846"/>
      <c r="O978" s="737">
        <f t="shared" si="127"/>
        <v>0</v>
      </c>
      <c r="P978" s="847"/>
      <c r="Q978" s="847"/>
      <c r="R978" s="738">
        <f t="shared" si="130"/>
        <v>0</v>
      </c>
      <c r="S978" s="737">
        <f t="shared" si="131"/>
        <v>2569841</v>
      </c>
      <c r="T978" s="739">
        <f t="shared" si="132"/>
        <v>2618043</v>
      </c>
      <c r="U978" s="846"/>
      <c r="V978" s="847"/>
      <c r="W978" s="846"/>
      <c r="X978" s="846"/>
      <c r="Y978" s="740">
        <f t="shared" si="128"/>
        <v>0</v>
      </c>
      <c r="Z978" s="847"/>
      <c r="AA978" s="847"/>
      <c r="AB978" s="741">
        <f t="shared" si="129"/>
        <v>0</v>
      </c>
      <c r="AC978" s="846"/>
      <c r="AD978" s="847"/>
      <c r="AE978" s="846"/>
      <c r="AF978" s="846"/>
      <c r="AG978" s="847"/>
      <c r="AH978" s="847"/>
      <c r="AI978" s="742">
        <f t="shared" si="133"/>
        <v>2569841</v>
      </c>
      <c r="AJ978" s="743">
        <f t="shared" si="134"/>
        <v>2618043</v>
      </c>
    </row>
    <row r="979" spans="1:36">
      <c r="A979" s="840" t="s">
        <v>144</v>
      </c>
      <c r="B979" s="841" t="s">
        <v>271</v>
      </c>
      <c r="C979" s="850" t="s">
        <v>459</v>
      </c>
      <c r="D979" s="849"/>
      <c r="E979" s="844">
        <v>139959</v>
      </c>
      <c r="F979" s="845">
        <v>1</v>
      </c>
      <c r="G979" s="846"/>
      <c r="H979" s="847"/>
      <c r="I979" s="846">
        <v>714567</v>
      </c>
      <c r="J979" s="847">
        <v>728632</v>
      </c>
      <c r="K979" s="846"/>
      <c r="L979" s="847"/>
      <c r="M979" s="846"/>
      <c r="N979" s="846"/>
      <c r="O979" s="737">
        <f t="shared" si="127"/>
        <v>0</v>
      </c>
      <c r="P979" s="847"/>
      <c r="Q979" s="847"/>
      <c r="R979" s="738">
        <f t="shared" si="130"/>
        <v>0</v>
      </c>
      <c r="S979" s="737">
        <f t="shared" si="131"/>
        <v>714567</v>
      </c>
      <c r="T979" s="739">
        <f t="shared" si="132"/>
        <v>728632</v>
      </c>
      <c r="U979" s="846"/>
      <c r="V979" s="847"/>
      <c r="W979" s="846"/>
      <c r="X979" s="846"/>
      <c r="Y979" s="740">
        <f t="shared" si="128"/>
        <v>0</v>
      </c>
      <c r="Z979" s="847"/>
      <c r="AA979" s="847"/>
      <c r="AB979" s="741">
        <f t="shared" si="129"/>
        <v>0</v>
      </c>
      <c r="AC979" s="846"/>
      <c r="AD979" s="847"/>
      <c r="AE979" s="846"/>
      <c r="AF979" s="846"/>
      <c r="AG979" s="847"/>
      <c r="AH979" s="847"/>
      <c r="AI979" s="742">
        <f t="shared" si="133"/>
        <v>714567</v>
      </c>
      <c r="AJ979" s="743">
        <f t="shared" si="134"/>
        <v>728632</v>
      </c>
    </row>
    <row r="980" spans="1:36">
      <c r="A980" s="840" t="s">
        <v>144</v>
      </c>
      <c r="B980" s="841" t="s">
        <v>271</v>
      </c>
      <c r="C980" s="850" t="s">
        <v>460</v>
      </c>
      <c r="D980" s="849"/>
      <c r="E980" s="844">
        <v>139959</v>
      </c>
      <c r="F980" s="845">
        <v>1</v>
      </c>
      <c r="G980" s="846"/>
      <c r="H980" s="847"/>
      <c r="I980" s="846">
        <v>3057445</v>
      </c>
      <c r="J980" s="847">
        <v>3154688</v>
      </c>
      <c r="K980" s="846"/>
      <c r="L980" s="847"/>
      <c r="M980" s="846"/>
      <c r="N980" s="846"/>
      <c r="O980" s="737">
        <f t="shared" si="127"/>
        <v>0</v>
      </c>
      <c r="P980" s="847"/>
      <c r="Q980" s="847"/>
      <c r="R980" s="738">
        <f t="shared" si="130"/>
        <v>0</v>
      </c>
      <c r="S980" s="737">
        <f t="shared" si="131"/>
        <v>3057445</v>
      </c>
      <c r="T980" s="739">
        <f t="shared" si="132"/>
        <v>3154688</v>
      </c>
      <c r="U980" s="846"/>
      <c r="V980" s="847"/>
      <c r="W980" s="846"/>
      <c r="X980" s="846"/>
      <c r="Y980" s="740">
        <f t="shared" si="128"/>
        <v>0</v>
      </c>
      <c r="Z980" s="847"/>
      <c r="AA980" s="847"/>
      <c r="AB980" s="741">
        <f t="shared" si="129"/>
        <v>0</v>
      </c>
      <c r="AC980" s="846"/>
      <c r="AD980" s="847"/>
      <c r="AE980" s="846"/>
      <c r="AF980" s="846"/>
      <c r="AG980" s="847"/>
      <c r="AH980" s="847"/>
      <c r="AI980" s="742">
        <f t="shared" si="133"/>
        <v>3057445</v>
      </c>
      <c r="AJ980" s="743">
        <f t="shared" si="134"/>
        <v>3154688</v>
      </c>
    </row>
    <row r="981" spans="1:36">
      <c r="A981" s="840" t="s">
        <v>144</v>
      </c>
      <c r="B981" s="841" t="s">
        <v>271</v>
      </c>
      <c r="C981" s="850" t="s">
        <v>461</v>
      </c>
      <c r="D981" s="849"/>
      <c r="E981" s="844">
        <v>139959</v>
      </c>
      <c r="F981" s="845">
        <v>1</v>
      </c>
      <c r="G981" s="846"/>
      <c r="H981" s="847"/>
      <c r="I981" s="846">
        <v>2803450</v>
      </c>
      <c r="J981" s="847">
        <v>2854231</v>
      </c>
      <c r="K981" s="846"/>
      <c r="L981" s="847"/>
      <c r="M981" s="846"/>
      <c r="N981" s="846"/>
      <c r="O981" s="737">
        <f t="shared" si="127"/>
        <v>0</v>
      </c>
      <c r="P981" s="847"/>
      <c r="Q981" s="847"/>
      <c r="R981" s="738">
        <f t="shared" si="130"/>
        <v>0</v>
      </c>
      <c r="S981" s="737">
        <f t="shared" si="131"/>
        <v>2803450</v>
      </c>
      <c r="T981" s="739">
        <f t="shared" si="132"/>
        <v>2854231</v>
      </c>
      <c r="U981" s="846"/>
      <c r="V981" s="847"/>
      <c r="W981" s="846"/>
      <c r="X981" s="846"/>
      <c r="Y981" s="740">
        <f t="shared" si="128"/>
        <v>0</v>
      </c>
      <c r="Z981" s="847"/>
      <c r="AA981" s="847"/>
      <c r="AB981" s="741">
        <f t="shared" si="129"/>
        <v>0</v>
      </c>
      <c r="AC981" s="846"/>
      <c r="AD981" s="847"/>
      <c r="AE981" s="846"/>
      <c r="AF981" s="846"/>
      <c r="AG981" s="847"/>
      <c r="AH981" s="847"/>
      <c r="AI981" s="742">
        <f t="shared" si="133"/>
        <v>2803450</v>
      </c>
      <c r="AJ981" s="743">
        <f t="shared" si="134"/>
        <v>2854231</v>
      </c>
    </row>
    <row r="982" spans="1:36">
      <c r="A982" s="840" t="s">
        <v>144</v>
      </c>
      <c r="B982" s="841" t="s">
        <v>264</v>
      </c>
      <c r="C982" s="842" t="s">
        <v>462</v>
      </c>
      <c r="D982" s="843"/>
      <c r="E982" s="844">
        <v>139755</v>
      </c>
      <c r="F982" s="845">
        <v>2</v>
      </c>
      <c r="G982" s="846">
        <v>209550458</v>
      </c>
      <c r="H982" s="847">
        <v>214351028</v>
      </c>
      <c r="I982" s="846"/>
      <c r="J982" s="847"/>
      <c r="K982" s="846"/>
      <c r="L982" s="847"/>
      <c r="M982" s="846">
        <v>329757719</v>
      </c>
      <c r="N982" s="846"/>
      <c r="O982" s="737">
        <f t="shared" si="127"/>
        <v>329757719</v>
      </c>
      <c r="P982" s="847">
        <v>362089377</v>
      </c>
      <c r="Q982" s="847"/>
      <c r="R982" s="738">
        <f t="shared" si="130"/>
        <v>362089377</v>
      </c>
      <c r="S982" s="737">
        <f t="shared" si="131"/>
        <v>539308177</v>
      </c>
      <c r="T982" s="739">
        <f t="shared" si="132"/>
        <v>576440405</v>
      </c>
      <c r="U982" s="846"/>
      <c r="V982" s="847"/>
      <c r="W982" s="846"/>
      <c r="X982" s="846"/>
      <c r="Y982" s="740">
        <f t="shared" si="128"/>
        <v>0</v>
      </c>
      <c r="Z982" s="847"/>
      <c r="AA982" s="847"/>
      <c r="AB982" s="741">
        <f t="shared" si="129"/>
        <v>0</v>
      </c>
      <c r="AC982" s="846"/>
      <c r="AD982" s="847"/>
      <c r="AE982" s="846"/>
      <c r="AF982" s="846"/>
      <c r="AG982" s="847"/>
      <c r="AH982" s="847"/>
      <c r="AI982" s="742">
        <f t="shared" si="133"/>
        <v>539308177</v>
      </c>
      <c r="AJ982" s="743">
        <f t="shared" si="134"/>
        <v>576440405</v>
      </c>
    </row>
    <row r="983" spans="1:36">
      <c r="A983" s="840" t="s">
        <v>144</v>
      </c>
      <c r="B983" s="841" t="s">
        <v>266</v>
      </c>
      <c r="C983" s="848" t="s">
        <v>453</v>
      </c>
      <c r="D983" s="849"/>
      <c r="E983" s="844">
        <v>139755</v>
      </c>
      <c r="F983" s="845">
        <v>2</v>
      </c>
      <c r="G983" s="846"/>
      <c r="H983" s="847"/>
      <c r="I983" s="846"/>
      <c r="J983" s="847"/>
      <c r="K983" s="846"/>
      <c r="L983" s="847"/>
      <c r="M983" s="846"/>
      <c r="N983" s="846"/>
      <c r="O983" s="737">
        <f t="shared" si="127"/>
        <v>0</v>
      </c>
      <c r="P983" s="847"/>
      <c r="Q983" s="847"/>
      <c r="R983" s="738">
        <f t="shared" si="130"/>
        <v>0</v>
      </c>
      <c r="S983" s="737">
        <f t="shared" si="131"/>
        <v>0</v>
      </c>
      <c r="T983" s="739">
        <f t="shared" si="132"/>
        <v>0</v>
      </c>
      <c r="U983" s="846"/>
      <c r="V983" s="847"/>
      <c r="W983" s="846"/>
      <c r="X983" s="846"/>
      <c r="Y983" s="740">
        <f t="shared" si="128"/>
        <v>0</v>
      </c>
      <c r="Z983" s="847"/>
      <c r="AA983" s="847"/>
      <c r="AB983" s="741">
        <f t="shared" si="129"/>
        <v>0</v>
      </c>
      <c r="AC983" s="846"/>
      <c r="AD983" s="847"/>
      <c r="AE983" s="846"/>
      <c r="AF983" s="846"/>
      <c r="AG983" s="847"/>
      <c r="AH983" s="847"/>
      <c r="AI983" s="742">
        <f t="shared" si="133"/>
        <v>0</v>
      </c>
      <c r="AJ983" s="743">
        <f t="shared" si="134"/>
        <v>0</v>
      </c>
    </row>
    <row r="984" spans="1:36">
      <c r="A984" s="840" t="s">
        <v>144</v>
      </c>
      <c r="B984" s="841" t="s">
        <v>266</v>
      </c>
      <c r="C984" s="850" t="s">
        <v>463</v>
      </c>
      <c r="D984" s="849"/>
      <c r="E984" s="844">
        <v>139755</v>
      </c>
      <c r="F984" s="845">
        <v>2</v>
      </c>
      <c r="G984" s="846"/>
      <c r="H984" s="847"/>
      <c r="I984" s="846">
        <v>7187612</v>
      </c>
      <c r="J984" s="847">
        <v>7274703</v>
      </c>
      <c r="K984" s="846"/>
      <c r="L984" s="847"/>
      <c r="M984" s="846"/>
      <c r="N984" s="846"/>
      <c r="O984" s="737">
        <f t="shared" si="127"/>
        <v>0</v>
      </c>
      <c r="P984" s="847"/>
      <c r="Q984" s="847"/>
      <c r="R984" s="738">
        <f t="shared" si="130"/>
        <v>0</v>
      </c>
      <c r="S984" s="737">
        <f t="shared" si="131"/>
        <v>7187612</v>
      </c>
      <c r="T984" s="739">
        <f t="shared" si="132"/>
        <v>7274703</v>
      </c>
      <c r="U984" s="846"/>
      <c r="V984" s="847"/>
      <c r="W984" s="846"/>
      <c r="X984" s="846"/>
      <c r="Y984" s="740">
        <f t="shared" si="128"/>
        <v>0</v>
      </c>
      <c r="Z984" s="847"/>
      <c r="AA984" s="847"/>
      <c r="AB984" s="741">
        <f t="shared" si="129"/>
        <v>0</v>
      </c>
      <c r="AC984" s="846"/>
      <c r="AD984" s="847"/>
      <c r="AE984" s="846"/>
      <c r="AF984" s="846"/>
      <c r="AG984" s="847"/>
      <c r="AH984" s="847"/>
      <c r="AI984" s="742">
        <f t="shared" si="133"/>
        <v>7187612</v>
      </c>
      <c r="AJ984" s="743">
        <f t="shared" si="134"/>
        <v>7274703</v>
      </c>
    </row>
    <row r="985" spans="1:36">
      <c r="A985" s="840" t="s">
        <v>144</v>
      </c>
      <c r="B985" s="841" t="s">
        <v>271</v>
      </c>
      <c r="C985" s="848" t="s">
        <v>456</v>
      </c>
      <c r="D985" s="849"/>
      <c r="E985" s="844">
        <v>139755</v>
      </c>
      <c r="F985" s="845">
        <v>2</v>
      </c>
      <c r="G985" s="846"/>
      <c r="H985" s="847"/>
      <c r="I985" s="846"/>
      <c r="J985" s="847"/>
      <c r="K985" s="846"/>
      <c r="L985" s="847"/>
      <c r="M985" s="846"/>
      <c r="N985" s="846"/>
      <c r="O985" s="737">
        <f t="shared" si="127"/>
        <v>0</v>
      </c>
      <c r="P985" s="847"/>
      <c r="Q985" s="847"/>
      <c r="R985" s="738">
        <f t="shared" si="130"/>
        <v>0</v>
      </c>
      <c r="S985" s="737">
        <f t="shared" si="131"/>
        <v>0</v>
      </c>
      <c r="T985" s="739">
        <f t="shared" si="132"/>
        <v>0</v>
      </c>
      <c r="U985" s="846"/>
      <c r="V985" s="847"/>
      <c r="W985" s="846"/>
      <c r="X985" s="846"/>
      <c r="Y985" s="740">
        <f t="shared" si="128"/>
        <v>0</v>
      </c>
      <c r="Z985" s="847"/>
      <c r="AA985" s="847"/>
      <c r="AB985" s="741">
        <f t="shared" si="129"/>
        <v>0</v>
      </c>
      <c r="AC985" s="846"/>
      <c r="AD985" s="847"/>
      <c r="AE985" s="846"/>
      <c r="AF985" s="846"/>
      <c r="AG985" s="847"/>
      <c r="AH985" s="847"/>
      <c r="AI985" s="742">
        <f t="shared" si="133"/>
        <v>0</v>
      </c>
      <c r="AJ985" s="743">
        <f t="shared" si="134"/>
        <v>0</v>
      </c>
    </row>
    <row r="986" spans="1:36">
      <c r="A986" s="840" t="s">
        <v>144</v>
      </c>
      <c r="B986" s="841" t="s">
        <v>270</v>
      </c>
      <c r="C986" s="848" t="s">
        <v>464</v>
      </c>
      <c r="D986" s="849"/>
      <c r="E986" s="844">
        <v>139755</v>
      </c>
      <c r="F986" s="845">
        <v>2</v>
      </c>
      <c r="G986" s="846"/>
      <c r="H986" s="847"/>
      <c r="I986" s="846">
        <v>5588520</v>
      </c>
      <c r="J986" s="847">
        <v>5629947</v>
      </c>
      <c r="K986" s="846"/>
      <c r="L986" s="847"/>
      <c r="M986" s="846"/>
      <c r="N986" s="846"/>
      <c r="O986" s="737">
        <f t="shared" si="127"/>
        <v>0</v>
      </c>
      <c r="P986" s="847"/>
      <c r="Q986" s="847"/>
      <c r="R986" s="738">
        <f t="shared" si="130"/>
        <v>0</v>
      </c>
      <c r="S986" s="737">
        <f t="shared" si="131"/>
        <v>5588520</v>
      </c>
      <c r="T986" s="739">
        <f t="shared" si="132"/>
        <v>5629947</v>
      </c>
      <c r="U986" s="846"/>
      <c r="V986" s="847"/>
      <c r="W986" s="846"/>
      <c r="X986" s="846"/>
      <c r="Y986" s="740">
        <f t="shared" si="128"/>
        <v>0</v>
      </c>
      <c r="Z986" s="847"/>
      <c r="AA986" s="847"/>
      <c r="AB986" s="741">
        <f t="shared" si="129"/>
        <v>0</v>
      </c>
      <c r="AC986" s="846"/>
      <c r="AD986" s="847"/>
      <c r="AE986" s="846"/>
      <c r="AF986" s="846"/>
      <c r="AG986" s="847"/>
      <c r="AH986" s="847"/>
      <c r="AI986" s="742">
        <f t="shared" si="133"/>
        <v>5588520</v>
      </c>
      <c r="AJ986" s="743">
        <f t="shared" si="134"/>
        <v>5629947</v>
      </c>
    </row>
    <row r="987" spans="1:36">
      <c r="A987" s="840" t="s">
        <v>144</v>
      </c>
      <c r="B987" s="841" t="s">
        <v>264</v>
      </c>
      <c r="C987" s="842" t="s">
        <v>465</v>
      </c>
      <c r="D987" s="843"/>
      <c r="E987" s="844">
        <v>139931</v>
      </c>
      <c r="F987" s="845">
        <v>3</v>
      </c>
      <c r="G987" s="846">
        <v>81637310</v>
      </c>
      <c r="H987" s="847">
        <v>85934264</v>
      </c>
      <c r="I987" s="846"/>
      <c r="J987" s="847"/>
      <c r="K987" s="846"/>
      <c r="L987" s="847"/>
      <c r="M987" s="846">
        <v>117003531</v>
      </c>
      <c r="N987" s="846"/>
      <c r="O987" s="737">
        <f t="shared" si="127"/>
        <v>117003531</v>
      </c>
      <c r="P987" s="847">
        <v>119953260</v>
      </c>
      <c r="Q987" s="847"/>
      <c r="R987" s="738">
        <f t="shared" si="130"/>
        <v>119953260</v>
      </c>
      <c r="S987" s="737">
        <f t="shared" si="131"/>
        <v>198640841</v>
      </c>
      <c r="T987" s="739">
        <f t="shared" si="132"/>
        <v>205887524</v>
      </c>
      <c r="U987" s="846"/>
      <c r="V987" s="847"/>
      <c r="W987" s="846"/>
      <c r="X987" s="846"/>
      <c r="Y987" s="740">
        <f t="shared" si="128"/>
        <v>0</v>
      </c>
      <c r="Z987" s="847"/>
      <c r="AA987" s="847"/>
      <c r="AB987" s="741">
        <f t="shared" si="129"/>
        <v>0</v>
      </c>
      <c r="AC987" s="846"/>
      <c r="AD987" s="847"/>
      <c r="AE987" s="846"/>
      <c r="AF987" s="846"/>
      <c r="AG987" s="847"/>
      <c r="AH987" s="847"/>
      <c r="AI987" s="742">
        <f t="shared" si="133"/>
        <v>198640841</v>
      </c>
      <c r="AJ987" s="743">
        <f t="shared" si="134"/>
        <v>205887524</v>
      </c>
    </row>
    <row r="988" spans="1:36">
      <c r="A988" s="840" t="s">
        <v>144</v>
      </c>
      <c r="B988" s="841" t="s">
        <v>264</v>
      </c>
      <c r="C988" s="842" t="s">
        <v>466</v>
      </c>
      <c r="D988" s="851"/>
      <c r="E988" s="852">
        <v>140164</v>
      </c>
      <c r="F988" s="882">
        <v>3</v>
      </c>
      <c r="G988" s="846">
        <v>82429443</v>
      </c>
      <c r="H988" s="847">
        <v>84302621</v>
      </c>
      <c r="I988" s="846"/>
      <c r="J988" s="847"/>
      <c r="K988" s="846"/>
      <c r="L988" s="847"/>
      <c r="M988" s="846">
        <v>135549412</v>
      </c>
      <c r="N988" s="846"/>
      <c r="O988" s="737">
        <f t="shared" si="127"/>
        <v>135549412</v>
      </c>
      <c r="P988" s="847">
        <v>146904599</v>
      </c>
      <c r="Q988" s="847"/>
      <c r="R988" s="738">
        <f t="shared" si="130"/>
        <v>146904599</v>
      </c>
      <c r="S988" s="737">
        <f t="shared" si="131"/>
        <v>217978855</v>
      </c>
      <c r="T988" s="739">
        <f t="shared" si="132"/>
        <v>231207220</v>
      </c>
      <c r="U988" s="846"/>
      <c r="V988" s="847"/>
      <c r="W988" s="846"/>
      <c r="X988" s="846"/>
      <c r="Y988" s="740">
        <f t="shared" si="128"/>
        <v>0</v>
      </c>
      <c r="Z988" s="847"/>
      <c r="AA988" s="847"/>
      <c r="AB988" s="741">
        <f t="shared" si="129"/>
        <v>0</v>
      </c>
      <c r="AC988" s="846"/>
      <c r="AD988" s="847"/>
      <c r="AE988" s="846"/>
      <c r="AF988" s="846"/>
      <c r="AG988" s="847"/>
      <c r="AH988" s="847"/>
      <c r="AI988" s="742">
        <f t="shared" si="133"/>
        <v>217978855</v>
      </c>
      <c r="AJ988" s="743">
        <f t="shared" si="134"/>
        <v>231207220</v>
      </c>
    </row>
    <row r="989" spans="1:36">
      <c r="A989" s="840" t="s">
        <v>144</v>
      </c>
      <c r="B989" s="841" t="s">
        <v>264</v>
      </c>
      <c r="C989" s="842" t="s">
        <v>467</v>
      </c>
      <c r="D989" s="843"/>
      <c r="E989" s="844">
        <v>141334</v>
      </c>
      <c r="F989" s="845">
        <v>3</v>
      </c>
      <c r="G989" s="846">
        <v>44301877</v>
      </c>
      <c r="H989" s="847">
        <v>48256788</v>
      </c>
      <c r="I989" s="846"/>
      <c r="J989" s="847"/>
      <c r="K989" s="846"/>
      <c r="L989" s="847"/>
      <c r="M989" s="846">
        <v>64881304</v>
      </c>
      <c r="N989" s="846"/>
      <c r="O989" s="737">
        <f t="shared" si="127"/>
        <v>64881304</v>
      </c>
      <c r="P989" s="847">
        <v>68473990</v>
      </c>
      <c r="Q989" s="847"/>
      <c r="R989" s="738">
        <f t="shared" si="130"/>
        <v>68473990</v>
      </c>
      <c r="S989" s="737">
        <f t="shared" si="131"/>
        <v>109183181</v>
      </c>
      <c r="T989" s="739">
        <f t="shared" si="132"/>
        <v>116730778</v>
      </c>
      <c r="U989" s="846"/>
      <c r="V989" s="847"/>
      <c r="W989" s="846"/>
      <c r="X989" s="846"/>
      <c r="Y989" s="740">
        <f t="shared" si="128"/>
        <v>0</v>
      </c>
      <c r="Z989" s="847"/>
      <c r="AA989" s="847"/>
      <c r="AB989" s="741">
        <f t="shared" si="129"/>
        <v>0</v>
      </c>
      <c r="AC989" s="846"/>
      <c r="AD989" s="847"/>
      <c r="AE989" s="846"/>
      <c r="AF989" s="846"/>
      <c r="AG989" s="847"/>
      <c r="AH989" s="847"/>
      <c r="AI989" s="742">
        <f t="shared" si="133"/>
        <v>109183181</v>
      </c>
      <c r="AJ989" s="743">
        <f t="shared" si="134"/>
        <v>116730778</v>
      </c>
    </row>
    <row r="990" spans="1:36">
      <c r="A990" s="840" t="s">
        <v>144</v>
      </c>
      <c r="B990" s="841" t="s">
        <v>264</v>
      </c>
      <c r="C990" s="842" t="s">
        <v>468</v>
      </c>
      <c r="D990" s="843"/>
      <c r="E990" s="844">
        <v>141264</v>
      </c>
      <c r="F990" s="845">
        <v>3</v>
      </c>
      <c r="G990" s="846">
        <v>48673777</v>
      </c>
      <c r="H990" s="847">
        <v>49492789</v>
      </c>
      <c r="I990" s="846"/>
      <c r="J990" s="847"/>
      <c r="K990" s="846"/>
      <c r="L990" s="847"/>
      <c r="M990" s="846">
        <v>62507046</v>
      </c>
      <c r="N990" s="846"/>
      <c r="O990" s="737">
        <f t="shared" si="127"/>
        <v>62507046</v>
      </c>
      <c r="P990" s="847">
        <v>62986544</v>
      </c>
      <c r="Q990" s="847"/>
      <c r="R990" s="738">
        <f t="shared" si="130"/>
        <v>62986544</v>
      </c>
      <c r="S990" s="737">
        <f t="shared" si="131"/>
        <v>111180823</v>
      </c>
      <c r="T990" s="739">
        <f t="shared" si="132"/>
        <v>112479333</v>
      </c>
      <c r="U990" s="846"/>
      <c r="V990" s="847"/>
      <c r="W990" s="846"/>
      <c r="X990" s="846"/>
      <c r="Y990" s="740">
        <f t="shared" si="128"/>
        <v>0</v>
      </c>
      <c r="Z990" s="847"/>
      <c r="AA990" s="847"/>
      <c r="AB990" s="741">
        <f t="shared" si="129"/>
        <v>0</v>
      </c>
      <c r="AC990" s="846"/>
      <c r="AD990" s="847"/>
      <c r="AE990" s="846"/>
      <c r="AF990" s="846"/>
      <c r="AG990" s="847"/>
      <c r="AH990" s="847"/>
      <c r="AI990" s="742">
        <f t="shared" si="133"/>
        <v>111180823</v>
      </c>
      <c r="AJ990" s="743">
        <f t="shared" si="134"/>
        <v>112479333</v>
      </c>
    </row>
    <row r="991" spans="1:36">
      <c r="A991" s="840" t="s">
        <v>144</v>
      </c>
      <c r="B991" s="841" t="s">
        <v>264</v>
      </c>
      <c r="C991" s="842" t="s">
        <v>469</v>
      </c>
      <c r="D991" s="843"/>
      <c r="E991" s="844">
        <v>138716</v>
      </c>
      <c r="F991" s="845">
        <v>4</v>
      </c>
      <c r="G991" s="846">
        <v>18940821</v>
      </c>
      <c r="H991" s="847">
        <v>19482197</v>
      </c>
      <c r="I991" s="846"/>
      <c r="J991" s="847"/>
      <c r="K991" s="846"/>
      <c r="L991" s="847"/>
      <c r="M991" s="846">
        <v>19297763</v>
      </c>
      <c r="N991" s="846"/>
      <c r="O991" s="737">
        <f t="shared" si="127"/>
        <v>19297763</v>
      </c>
      <c r="P991" s="847">
        <v>19676274</v>
      </c>
      <c r="Q991" s="847"/>
      <c r="R991" s="738">
        <f t="shared" si="130"/>
        <v>19676274</v>
      </c>
      <c r="S991" s="737">
        <f t="shared" si="131"/>
        <v>38238584</v>
      </c>
      <c r="T991" s="739">
        <f t="shared" si="132"/>
        <v>39158471</v>
      </c>
      <c r="U991" s="846"/>
      <c r="V991" s="847"/>
      <c r="W991" s="846"/>
      <c r="X991" s="846"/>
      <c r="Y991" s="740">
        <f t="shared" si="128"/>
        <v>0</v>
      </c>
      <c r="Z991" s="847"/>
      <c r="AA991" s="847"/>
      <c r="AB991" s="741">
        <f t="shared" si="129"/>
        <v>0</v>
      </c>
      <c r="AC991" s="846"/>
      <c r="AD991" s="847"/>
      <c r="AE991" s="846"/>
      <c r="AF991" s="846"/>
      <c r="AG991" s="847"/>
      <c r="AH991" s="847"/>
      <c r="AI991" s="742">
        <f t="shared" si="133"/>
        <v>38238584</v>
      </c>
      <c r="AJ991" s="743">
        <f t="shared" si="134"/>
        <v>39158471</v>
      </c>
    </row>
    <row r="992" spans="1:36">
      <c r="A992" s="840" t="s">
        <v>144</v>
      </c>
      <c r="B992" s="841" t="s">
        <v>264</v>
      </c>
      <c r="C992" s="842" t="s">
        <v>470</v>
      </c>
      <c r="D992" s="843"/>
      <c r="E992" s="844">
        <v>138789</v>
      </c>
      <c r="F992" s="845">
        <v>4</v>
      </c>
      <c r="G992" s="846">
        <v>28838670</v>
      </c>
      <c r="H992" s="847">
        <v>29628154</v>
      </c>
      <c r="I992" s="846"/>
      <c r="J992" s="847"/>
      <c r="K992" s="846"/>
      <c r="L992" s="847"/>
      <c r="M992" s="846">
        <v>36579115</v>
      </c>
      <c r="N992" s="846"/>
      <c r="O992" s="737">
        <f t="shared" si="127"/>
        <v>36579115</v>
      </c>
      <c r="P992" s="847">
        <v>35969951</v>
      </c>
      <c r="Q992" s="847"/>
      <c r="R992" s="738">
        <f t="shared" si="130"/>
        <v>35969951</v>
      </c>
      <c r="S992" s="737">
        <f t="shared" si="131"/>
        <v>65417785</v>
      </c>
      <c r="T992" s="739">
        <f t="shared" si="132"/>
        <v>65598105</v>
      </c>
      <c r="U992" s="846"/>
      <c r="V992" s="847"/>
      <c r="W992" s="846"/>
      <c r="X992" s="846"/>
      <c r="Y992" s="740">
        <f t="shared" si="128"/>
        <v>0</v>
      </c>
      <c r="Z992" s="847"/>
      <c r="AA992" s="847"/>
      <c r="AB992" s="741">
        <f t="shared" si="129"/>
        <v>0</v>
      </c>
      <c r="AC992" s="846"/>
      <c r="AD992" s="847"/>
      <c r="AE992" s="846"/>
      <c r="AF992" s="846"/>
      <c r="AG992" s="847"/>
      <c r="AH992" s="847"/>
      <c r="AI992" s="742">
        <f t="shared" si="133"/>
        <v>65417785</v>
      </c>
      <c r="AJ992" s="743">
        <f t="shared" si="134"/>
        <v>65598105</v>
      </c>
    </row>
    <row r="993" spans="1:36">
      <c r="A993" s="840" t="s">
        <v>144</v>
      </c>
      <c r="B993" s="841" t="s">
        <v>264</v>
      </c>
      <c r="C993" s="842" t="s">
        <v>471</v>
      </c>
      <c r="D993" s="843"/>
      <c r="E993" s="844">
        <v>139366</v>
      </c>
      <c r="F993" s="845">
        <v>4</v>
      </c>
      <c r="G993" s="846">
        <v>33181647</v>
      </c>
      <c r="H993" s="847">
        <v>33353910</v>
      </c>
      <c r="I993" s="846"/>
      <c r="J993" s="847"/>
      <c r="K993" s="846"/>
      <c r="L993" s="847"/>
      <c r="M993" s="846">
        <v>42883501</v>
      </c>
      <c r="N993" s="846"/>
      <c r="O993" s="737">
        <f t="shared" si="127"/>
        <v>42883501</v>
      </c>
      <c r="P993" s="847">
        <v>44586478</v>
      </c>
      <c r="Q993" s="847"/>
      <c r="R993" s="738">
        <f t="shared" si="130"/>
        <v>44586478</v>
      </c>
      <c r="S993" s="737">
        <f t="shared" si="131"/>
        <v>76065148</v>
      </c>
      <c r="T993" s="739">
        <f t="shared" si="132"/>
        <v>77940388</v>
      </c>
      <c r="U993" s="846"/>
      <c r="V993" s="847"/>
      <c r="W993" s="846"/>
      <c r="X993" s="846"/>
      <c r="Y993" s="740">
        <f t="shared" si="128"/>
        <v>0</v>
      </c>
      <c r="Z993" s="847"/>
      <c r="AA993" s="847"/>
      <c r="AB993" s="741">
        <f t="shared" si="129"/>
        <v>0</v>
      </c>
      <c r="AC993" s="846"/>
      <c r="AD993" s="847"/>
      <c r="AE993" s="846"/>
      <c r="AF993" s="846"/>
      <c r="AG993" s="847"/>
      <c r="AH993" s="847"/>
      <c r="AI993" s="742">
        <f t="shared" si="133"/>
        <v>76065148</v>
      </c>
      <c r="AJ993" s="743">
        <f t="shared" si="134"/>
        <v>77940388</v>
      </c>
    </row>
    <row r="994" spans="1:36">
      <c r="A994" s="840" t="s">
        <v>144</v>
      </c>
      <c r="B994" s="841" t="s">
        <v>264</v>
      </c>
      <c r="C994" s="842" t="s">
        <v>472</v>
      </c>
      <c r="D994" s="843"/>
      <c r="E994" s="844">
        <v>139861</v>
      </c>
      <c r="F994" s="845">
        <v>4</v>
      </c>
      <c r="G994" s="846">
        <v>29038579</v>
      </c>
      <c r="H994" s="847">
        <v>29652653</v>
      </c>
      <c r="I994" s="846"/>
      <c r="J994" s="847"/>
      <c r="K994" s="846"/>
      <c r="L994" s="847"/>
      <c r="M994" s="846">
        <v>50180775</v>
      </c>
      <c r="N994" s="846"/>
      <c r="O994" s="737">
        <f t="shared" si="127"/>
        <v>50180775</v>
      </c>
      <c r="P994" s="847">
        <v>52766180</v>
      </c>
      <c r="Q994" s="847"/>
      <c r="R994" s="738">
        <f t="shared" si="130"/>
        <v>52766180</v>
      </c>
      <c r="S994" s="737">
        <f t="shared" si="131"/>
        <v>79219354</v>
      </c>
      <c r="T994" s="739">
        <f t="shared" si="132"/>
        <v>82418833</v>
      </c>
      <c r="U994" s="846"/>
      <c r="V994" s="847"/>
      <c r="W994" s="846"/>
      <c r="X994" s="846"/>
      <c r="Y994" s="740">
        <f t="shared" si="128"/>
        <v>0</v>
      </c>
      <c r="Z994" s="847"/>
      <c r="AA994" s="847"/>
      <c r="AB994" s="741">
        <f t="shared" si="129"/>
        <v>0</v>
      </c>
      <c r="AC994" s="846"/>
      <c r="AD994" s="847"/>
      <c r="AE994" s="846"/>
      <c r="AF994" s="846"/>
      <c r="AG994" s="847"/>
      <c r="AH994" s="847"/>
      <c r="AI994" s="742">
        <f t="shared" si="133"/>
        <v>79219354</v>
      </c>
      <c r="AJ994" s="743">
        <f t="shared" si="134"/>
        <v>82418833</v>
      </c>
    </row>
    <row r="995" spans="1:36">
      <c r="A995" s="840" t="s">
        <v>144</v>
      </c>
      <c r="B995" s="841" t="s">
        <v>264</v>
      </c>
      <c r="C995" s="842" t="s">
        <v>473</v>
      </c>
      <c r="D995" s="843"/>
      <c r="E995" s="854">
        <v>482149</v>
      </c>
      <c r="F995" s="855">
        <v>4</v>
      </c>
      <c r="G995" s="846">
        <v>24720854</v>
      </c>
      <c r="H995" s="847">
        <v>26740707</v>
      </c>
      <c r="I995" s="846"/>
      <c r="J995" s="847"/>
      <c r="K995" s="846"/>
      <c r="L995" s="847"/>
      <c r="M995" s="846">
        <v>36084702</v>
      </c>
      <c r="N995" s="846"/>
      <c r="O995" s="737">
        <f t="shared" si="127"/>
        <v>36084702</v>
      </c>
      <c r="P995" s="856">
        <v>27710677</v>
      </c>
      <c r="Q995" s="847"/>
      <c r="R995" s="738">
        <f t="shared" si="130"/>
        <v>27710677</v>
      </c>
      <c r="S995" s="737">
        <f t="shared" si="131"/>
        <v>60805556</v>
      </c>
      <c r="T995" s="739">
        <f t="shared" si="132"/>
        <v>54451384</v>
      </c>
      <c r="U995" s="846"/>
      <c r="V995" s="847"/>
      <c r="W995" s="846"/>
      <c r="X995" s="846"/>
      <c r="Y995" s="740">
        <f t="shared" si="128"/>
        <v>0</v>
      </c>
      <c r="Z995" s="856"/>
      <c r="AA995" s="847"/>
      <c r="AB995" s="741">
        <f t="shared" si="129"/>
        <v>0</v>
      </c>
      <c r="AC995" s="846"/>
      <c r="AD995" s="847"/>
      <c r="AE995" s="846"/>
      <c r="AF995" s="846"/>
      <c r="AG995" s="856"/>
      <c r="AH995" s="847"/>
      <c r="AI995" s="742">
        <f t="shared" si="133"/>
        <v>60805556</v>
      </c>
      <c r="AJ995" s="743">
        <f t="shared" si="134"/>
        <v>54451384</v>
      </c>
    </row>
    <row r="996" spans="1:36">
      <c r="A996" s="840" t="s">
        <v>144</v>
      </c>
      <c r="B996" s="841" t="s">
        <v>280</v>
      </c>
      <c r="C996" s="848" t="s">
        <v>450</v>
      </c>
      <c r="D996" s="843"/>
      <c r="E996" s="854">
        <v>482149</v>
      </c>
      <c r="F996" s="855">
        <v>4</v>
      </c>
      <c r="G996" s="846"/>
      <c r="H996" s="857"/>
      <c r="I996" s="846"/>
      <c r="J996" s="857"/>
      <c r="K996" s="846"/>
      <c r="L996" s="857"/>
      <c r="M996" s="846"/>
      <c r="N996" s="846"/>
      <c r="O996" s="737">
        <f t="shared" si="127"/>
        <v>0</v>
      </c>
      <c r="P996" s="857"/>
      <c r="Q996" s="847"/>
      <c r="R996" s="738">
        <f t="shared" si="130"/>
        <v>0</v>
      </c>
      <c r="S996" s="737">
        <f t="shared" si="131"/>
        <v>0</v>
      </c>
      <c r="T996" s="739">
        <f t="shared" si="132"/>
        <v>0</v>
      </c>
      <c r="U996" s="846"/>
      <c r="V996" s="857"/>
      <c r="W996" s="846"/>
      <c r="X996" s="846"/>
      <c r="Y996" s="740">
        <f t="shared" si="128"/>
        <v>0</v>
      </c>
      <c r="Z996" s="857"/>
      <c r="AA996" s="847"/>
      <c r="AB996" s="741">
        <f t="shared" si="129"/>
        <v>0</v>
      </c>
      <c r="AC996" s="846">
        <v>177232939</v>
      </c>
      <c r="AD996" s="857">
        <v>189614274</v>
      </c>
      <c r="AE996" s="846">
        <v>43211088</v>
      </c>
      <c r="AF996" s="846"/>
      <c r="AG996" s="857">
        <v>55494799</v>
      </c>
      <c r="AH996" s="847"/>
      <c r="AI996" s="742">
        <f t="shared" si="133"/>
        <v>220444027</v>
      </c>
      <c r="AJ996" s="743">
        <f t="shared" si="134"/>
        <v>245109073</v>
      </c>
    </row>
    <row r="997" spans="1:36">
      <c r="A997" s="840" t="s">
        <v>144</v>
      </c>
      <c r="B997" s="841" t="s">
        <v>264</v>
      </c>
      <c r="C997" s="842" t="s">
        <v>474</v>
      </c>
      <c r="D997" s="843"/>
      <c r="E997" s="858">
        <v>482680</v>
      </c>
      <c r="F997" s="855">
        <v>4</v>
      </c>
      <c r="G997" s="846">
        <v>45277086</v>
      </c>
      <c r="H997" s="847">
        <v>49381387</v>
      </c>
      <c r="I997" s="846"/>
      <c r="J997" s="847"/>
      <c r="K997" s="846"/>
      <c r="L997" s="847"/>
      <c r="M997" s="846">
        <v>63605080</v>
      </c>
      <c r="N997" s="846"/>
      <c r="O997" s="737">
        <f t="shared" si="127"/>
        <v>63605080</v>
      </c>
      <c r="P997" s="859">
        <v>70243981</v>
      </c>
      <c r="Q997" s="847"/>
      <c r="R997" s="738">
        <f t="shared" si="130"/>
        <v>70243981</v>
      </c>
      <c r="S997" s="737">
        <f t="shared" si="131"/>
        <v>108882166</v>
      </c>
      <c r="T997" s="739">
        <f t="shared" si="132"/>
        <v>119625368</v>
      </c>
      <c r="U997" s="846"/>
      <c r="V997" s="847"/>
      <c r="W997" s="846"/>
      <c r="X997" s="846"/>
      <c r="Y997" s="740">
        <f t="shared" si="128"/>
        <v>0</v>
      </c>
      <c r="Z997" s="859"/>
      <c r="AA997" s="847"/>
      <c r="AB997" s="741">
        <f t="shared" si="129"/>
        <v>0</v>
      </c>
      <c r="AC997" s="846"/>
      <c r="AD997" s="847"/>
      <c r="AE997" s="846"/>
      <c r="AF997" s="846"/>
      <c r="AG997" s="859"/>
      <c r="AH997" s="847"/>
      <c r="AI997" s="742">
        <f t="shared" si="133"/>
        <v>108882166</v>
      </c>
      <c r="AJ997" s="743">
        <f t="shared" si="134"/>
        <v>119625368</v>
      </c>
    </row>
    <row r="998" spans="1:36">
      <c r="A998" s="840" t="s">
        <v>144</v>
      </c>
      <c r="B998" s="841" t="s">
        <v>264</v>
      </c>
      <c r="C998" s="860" t="s">
        <v>475</v>
      </c>
      <c r="D998" s="851" t="s">
        <v>528</v>
      </c>
      <c r="E998" s="854">
        <v>139311</v>
      </c>
      <c r="F998" s="853">
        <v>4</v>
      </c>
      <c r="G998" s="846">
        <v>23414055</v>
      </c>
      <c r="H998" s="847">
        <v>24192783</v>
      </c>
      <c r="I998" s="846"/>
      <c r="J998" s="847"/>
      <c r="K998" s="846"/>
      <c r="L998" s="847"/>
      <c r="M998" s="846">
        <v>32115044</v>
      </c>
      <c r="N998" s="846"/>
      <c r="O998" s="737">
        <f t="shared" si="127"/>
        <v>32115044</v>
      </c>
      <c r="P998" s="847">
        <v>31842429</v>
      </c>
      <c r="Q998" s="847"/>
      <c r="R998" s="738">
        <f t="shared" si="130"/>
        <v>31842429</v>
      </c>
      <c r="S998" s="737">
        <f t="shared" si="131"/>
        <v>55529099</v>
      </c>
      <c r="T998" s="739">
        <f t="shared" si="132"/>
        <v>56035212</v>
      </c>
      <c r="U998" s="846"/>
      <c r="V998" s="847"/>
      <c r="W998" s="846"/>
      <c r="X998" s="846"/>
      <c r="Y998" s="740">
        <f t="shared" si="128"/>
        <v>0</v>
      </c>
      <c r="Z998" s="847"/>
      <c r="AA998" s="847"/>
      <c r="AB998" s="741">
        <f t="shared" si="129"/>
        <v>0</v>
      </c>
      <c r="AC998" s="846"/>
      <c r="AD998" s="847"/>
      <c r="AE998" s="846"/>
      <c r="AF998" s="846"/>
      <c r="AG998" s="847"/>
      <c r="AH998" s="847"/>
      <c r="AI998" s="742">
        <f t="shared" si="133"/>
        <v>55529099</v>
      </c>
      <c r="AJ998" s="743">
        <f t="shared" si="134"/>
        <v>56035212</v>
      </c>
    </row>
    <row r="999" spans="1:36">
      <c r="A999" s="840" t="s">
        <v>144</v>
      </c>
      <c r="B999" s="841" t="s">
        <v>264</v>
      </c>
      <c r="C999" s="842" t="s">
        <v>476</v>
      </c>
      <c r="D999" s="861" t="s">
        <v>529</v>
      </c>
      <c r="E999" s="854">
        <v>139719</v>
      </c>
      <c r="F999" s="855">
        <v>5</v>
      </c>
      <c r="G999" s="846">
        <v>24005877</v>
      </c>
      <c r="H999" s="847">
        <v>23428988</v>
      </c>
      <c r="I999" s="846"/>
      <c r="J999" s="847"/>
      <c r="K999" s="846"/>
      <c r="L999" s="847"/>
      <c r="M999" s="846">
        <v>15088186</v>
      </c>
      <c r="N999" s="846"/>
      <c r="O999" s="737">
        <f t="shared" si="127"/>
        <v>15088186</v>
      </c>
      <c r="P999" s="847">
        <v>12514525</v>
      </c>
      <c r="Q999" s="847"/>
      <c r="R999" s="738">
        <f t="shared" si="130"/>
        <v>12514525</v>
      </c>
      <c r="S999" s="737">
        <f t="shared" si="131"/>
        <v>39094063</v>
      </c>
      <c r="T999" s="739">
        <f t="shared" si="132"/>
        <v>35943513</v>
      </c>
      <c r="U999" s="846"/>
      <c r="V999" s="847"/>
      <c r="W999" s="846"/>
      <c r="X999" s="846"/>
      <c r="Y999" s="740">
        <f t="shared" si="128"/>
        <v>0</v>
      </c>
      <c r="Z999" s="847"/>
      <c r="AA999" s="847"/>
      <c r="AB999" s="741">
        <f t="shared" si="129"/>
        <v>0</v>
      </c>
      <c r="AC999" s="846"/>
      <c r="AD999" s="847"/>
      <c r="AE999" s="846"/>
      <c r="AF999" s="846"/>
      <c r="AG999" s="847"/>
      <c r="AH999" s="847"/>
      <c r="AI999" s="742">
        <f t="shared" si="133"/>
        <v>39094063</v>
      </c>
      <c r="AJ999" s="743">
        <f t="shared" si="134"/>
        <v>35943513</v>
      </c>
    </row>
    <row r="1000" spans="1:36">
      <c r="A1000" s="840" t="s">
        <v>144</v>
      </c>
      <c r="B1000" s="841" t="s">
        <v>264</v>
      </c>
      <c r="C1000" s="842" t="s">
        <v>477</v>
      </c>
      <c r="D1000" s="861"/>
      <c r="E1000" s="852">
        <v>139764</v>
      </c>
      <c r="F1000" s="855">
        <v>5</v>
      </c>
      <c r="G1000" s="846">
        <v>11869936</v>
      </c>
      <c r="H1000" s="847">
        <v>12089175</v>
      </c>
      <c r="I1000" s="846"/>
      <c r="J1000" s="847"/>
      <c r="K1000" s="846"/>
      <c r="L1000" s="847"/>
      <c r="M1000" s="846">
        <v>14020481</v>
      </c>
      <c r="N1000" s="846"/>
      <c r="O1000" s="737">
        <f t="shared" si="127"/>
        <v>14020481</v>
      </c>
      <c r="P1000" s="847">
        <v>13701589</v>
      </c>
      <c r="Q1000" s="847"/>
      <c r="R1000" s="738">
        <f t="shared" si="130"/>
        <v>13701589</v>
      </c>
      <c r="S1000" s="737">
        <f t="shared" si="131"/>
        <v>25890417</v>
      </c>
      <c r="T1000" s="739">
        <f t="shared" si="132"/>
        <v>25790764</v>
      </c>
      <c r="U1000" s="846"/>
      <c r="V1000" s="847"/>
      <c r="W1000" s="846"/>
      <c r="X1000" s="846"/>
      <c r="Y1000" s="740">
        <f t="shared" si="128"/>
        <v>0</v>
      </c>
      <c r="Z1000" s="847"/>
      <c r="AA1000" s="847"/>
      <c r="AB1000" s="741">
        <f t="shared" si="129"/>
        <v>0</v>
      </c>
      <c r="AC1000" s="846"/>
      <c r="AD1000" s="847"/>
      <c r="AE1000" s="846"/>
      <c r="AF1000" s="846"/>
      <c r="AG1000" s="847"/>
      <c r="AH1000" s="847"/>
      <c r="AI1000" s="742">
        <f t="shared" si="133"/>
        <v>25890417</v>
      </c>
      <c r="AJ1000" s="743">
        <f t="shared" si="134"/>
        <v>25790764</v>
      </c>
    </row>
    <row r="1001" spans="1:36">
      <c r="A1001" s="840" t="s">
        <v>144</v>
      </c>
      <c r="B1001" s="841" t="s">
        <v>264</v>
      </c>
      <c r="C1001" s="842" t="s">
        <v>478</v>
      </c>
      <c r="D1001" s="861"/>
      <c r="E1001" s="852">
        <v>140960</v>
      </c>
      <c r="F1001" s="855">
        <v>5</v>
      </c>
      <c r="G1001" s="846">
        <v>18671267</v>
      </c>
      <c r="H1001" s="847">
        <v>19467891</v>
      </c>
      <c r="I1001" s="846"/>
      <c r="J1001" s="847"/>
      <c r="K1001" s="846"/>
      <c r="L1001" s="847"/>
      <c r="M1001" s="846">
        <v>24243021</v>
      </c>
      <c r="N1001" s="846"/>
      <c r="O1001" s="737">
        <f t="shared" si="127"/>
        <v>24243021</v>
      </c>
      <c r="P1001" s="847">
        <v>24304156</v>
      </c>
      <c r="Q1001" s="847"/>
      <c r="R1001" s="738">
        <f t="shared" si="130"/>
        <v>24304156</v>
      </c>
      <c r="S1001" s="737">
        <f t="shared" si="131"/>
        <v>42914288</v>
      </c>
      <c r="T1001" s="739">
        <f t="shared" si="132"/>
        <v>43772047</v>
      </c>
      <c r="U1001" s="846"/>
      <c r="V1001" s="847"/>
      <c r="W1001" s="846"/>
      <c r="X1001" s="846"/>
      <c r="Y1001" s="740">
        <f t="shared" si="128"/>
        <v>0</v>
      </c>
      <c r="Z1001" s="847"/>
      <c r="AA1001" s="847"/>
      <c r="AB1001" s="741">
        <f t="shared" si="129"/>
        <v>0</v>
      </c>
      <c r="AC1001" s="846"/>
      <c r="AD1001" s="847"/>
      <c r="AE1001" s="846"/>
      <c r="AF1001" s="846"/>
      <c r="AG1001" s="847"/>
      <c r="AH1001" s="847"/>
      <c r="AI1001" s="742">
        <f t="shared" si="133"/>
        <v>42914288</v>
      </c>
      <c r="AJ1001" s="743">
        <f t="shared" si="134"/>
        <v>43772047</v>
      </c>
    </row>
    <row r="1002" spans="1:36">
      <c r="A1002" s="840" t="s">
        <v>144</v>
      </c>
      <c r="B1002" s="841" t="s">
        <v>264</v>
      </c>
      <c r="C1002" s="842" t="s">
        <v>479</v>
      </c>
      <c r="D1002" s="851"/>
      <c r="E1002" s="852">
        <v>139463</v>
      </c>
      <c r="F1002" s="883">
        <v>6</v>
      </c>
      <c r="G1002" s="846">
        <v>14043992</v>
      </c>
      <c r="H1002" s="847">
        <v>14345612</v>
      </c>
      <c r="I1002" s="846"/>
      <c r="J1002" s="847"/>
      <c r="K1002" s="846"/>
      <c r="L1002" s="847"/>
      <c r="M1002" s="846">
        <v>13495209</v>
      </c>
      <c r="N1002" s="846"/>
      <c r="O1002" s="737">
        <f t="shared" si="127"/>
        <v>13495209</v>
      </c>
      <c r="P1002" s="847">
        <v>13631582</v>
      </c>
      <c r="Q1002" s="847"/>
      <c r="R1002" s="738">
        <f t="shared" si="130"/>
        <v>13631582</v>
      </c>
      <c r="S1002" s="737">
        <f t="shared" si="131"/>
        <v>27539201</v>
      </c>
      <c r="T1002" s="739">
        <f t="shared" si="132"/>
        <v>27977194</v>
      </c>
      <c r="U1002" s="846"/>
      <c r="V1002" s="847"/>
      <c r="W1002" s="846"/>
      <c r="X1002" s="846"/>
      <c r="Y1002" s="740">
        <f t="shared" si="128"/>
        <v>0</v>
      </c>
      <c r="Z1002" s="847"/>
      <c r="AA1002" s="847"/>
      <c r="AB1002" s="741">
        <f t="shared" si="129"/>
        <v>0</v>
      </c>
      <c r="AC1002" s="846"/>
      <c r="AD1002" s="847"/>
      <c r="AE1002" s="846"/>
      <c r="AF1002" s="846"/>
      <c r="AG1002" s="847"/>
      <c r="AH1002" s="847"/>
      <c r="AI1002" s="742">
        <f t="shared" si="133"/>
        <v>27539201</v>
      </c>
      <c r="AJ1002" s="743">
        <f t="shared" si="134"/>
        <v>27977194</v>
      </c>
    </row>
    <row r="1003" spans="1:36">
      <c r="A1003" s="840" t="s">
        <v>144</v>
      </c>
      <c r="B1003" s="841" t="s">
        <v>302</v>
      </c>
      <c r="C1003" s="860" t="s">
        <v>480</v>
      </c>
      <c r="D1003" s="851"/>
      <c r="E1003" s="852">
        <v>447689</v>
      </c>
      <c r="F1003" s="855">
        <v>6</v>
      </c>
      <c r="G1003" s="846">
        <v>39791420</v>
      </c>
      <c r="H1003" s="847">
        <v>44877063</v>
      </c>
      <c r="I1003" s="846"/>
      <c r="J1003" s="847"/>
      <c r="K1003" s="846"/>
      <c r="L1003" s="847"/>
      <c r="M1003" s="846">
        <v>35671148</v>
      </c>
      <c r="N1003" s="846"/>
      <c r="O1003" s="737">
        <f t="shared" si="127"/>
        <v>35671148</v>
      </c>
      <c r="P1003" s="847">
        <v>40025270</v>
      </c>
      <c r="Q1003" s="847"/>
      <c r="R1003" s="738">
        <f t="shared" si="130"/>
        <v>40025270</v>
      </c>
      <c r="S1003" s="737">
        <f t="shared" si="131"/>
        <v>75462568</v>
      </c>
      <c r="T1003" s="739">
        <f t="shared" si="132"/>
        <v>84902333</v>
      </c>
      <c r="U1003" s="846"/>
      <c r="V1003" s="847"/>
      <c r="W1003" s="846"/>
      <c r="X1003" s="846"/>
      <c r="Y1003" s="740">
        <f t="shared" si="128"/>
        <v>0</v>
      </c>
      <c r="Z1003" s="847"/>
      <c r="AA1003" s="847"/>
      <c r="AB1003" s="741">
        <f t="shared" si="129"/>
        <v>0</v>
      </c>
      <c r="AC1003" s="846"/>
      <c r="AD1003" s="847"/>
      <c r="AE1003" s="846"/>
      <c r="AF1003" s="846"/>
      <c r="AG1003" s="847"/>
      <c r="AH1003" s="847"/>
      <c r="AI1003" s="742">
        <f t="shared" si="133"/>
        <v>75462568</v>
      </c>
      <c r="AJ1003" s="743">
        <f t="shared" si="134"/>
        <v>84902333</v>
      </c>
    </row>
    <row r="1004" spans="1:36">
      <c r="A1004" s="840" t="s">
        <v>144</v>
      </c>
      <c r="B1004" s="841" t="s">
        <v>264</v>
      </c>
      <c r="C1004" s="842" t="s">
        <v>481</v>
      </c>
      <c r="D1004" s="861"/>
      <c r="E1004" s="858">
        <v>482158</v>
      </c>
      <c r="F1004" s="855">
        <v>6</v>
      </c>
      <c r="G1004" s="846">
        <v>34390867</v>
      </c>
      <c r="H1004" s="847">
        <v>32814498</v>
      </c>
      <c r="I1004" s="846"/>
      <c r="J1004" s="847"/>
      <c r="K1004" s="846"/>
      <c r="L1004" s="847"/>
      <c r="M1004" s="846">
        <v>24445234</v>
      </c>
      <c r="N1004" s="846"/>
      <c r="O1004" s="737">
        <f t="shared" si="127"/>
        <v>24445234</v>
      </c>
      <c r="P1004" s="859">
        <v>23556028</v>
      </c>
      <c r="Q1004" s="847"/>
      <c r="R1004" s="738">
        <f t="shared" si="130"/>
        <v>23556028</v>
      </c>
      <c r="S1004" s="737">
        <f t="shared" si="131"/>
        <v>58836101</v>
      </c>
      <c r="T1004" s="739">
        <f t="shared" si="132"/>
        <v>56370526</v>
      </c>
      <c r="U1004" s="846"/>
      <c r="V1004" s="847"/>
      <c r="W1004" s="846"/>
      <c r="X1004" s="846"/>
      <c r="Y1004" s="740">
        <f t="shared" si="128"/>
        <v>0</v>
      </c>
      <c r="Z1004" s="859"/>
      <c r="AA1004" s="847"/>
      <c r="AB1004" s="741">
        <f t="shared" si="129"/>
        <v>0</v>
      </c>
      <c r="AC1004" s="846"/>
      <c r="AD1004" s="847"/>
      <c r="AE1004" s="846"/>
      <c r="AF1004" s="846"/>
      <c r="AG1004" s="859"/>
      <c r="AH1004" s="847"/>
      <c r="AI1004" s="742">
        <f t="shared" si="133"/>
        <v>58836101</v>
      </c>
      <c r="AJ1004" s="743">
        <f t="shared" si="134"/>
        <v>56370526</v>
      </c>
    </row>
    <row r="1005" spans="1:36">
      <c r="A1005" s="840" t="s">
        <v>144</v>
      </c>
      <c r="B1005" s="841" t="s">
        <v>264</v>
      </c>
      <c r="C1005" s="860" t="s">
        <v>482</v>
      </c>
      <c r="D1005" s="851"/>
      <c r="E1005" s="852">
        <v>138558</v>
      </c>
      <c r="F1005" s="883">
        <v>7</v>
      </c>
      <c r="G1005" s="846">
        <v>13421632</v>
      </c>
      <c r="H1005" s="847">
        <v>13884816</v>
      </c>
      <c r="I1005" s="846"/>
      <c r="J1005" s="847"/>
      <c r="K1005" s="846"/>
      <c r="L1005" s="847"/>
      <c r="M1005" s="846">
        <v>10285856</v>
      </c>
      <c r="N1005" s="846"/>
      <c r="O1005" s="737">
        <f t="shared" si="127"/>
        <v>10285856</v>
      </c>
      <c r="P1005" s="847">
        <v>10681407</v>
      </c>
      <c r="Q1005" s="847"/>
      <c r="R1005" s="738">
        <f t="shared" si="130"/>
        <v>10681407</v>
      </c>
      <c r="S1005" s="737">
        <f t="shared" si="131"/>
        <v>23707488</v>
      </c>
      <c r="T1005" s="739">
        <f t="shared" si="132"/>
        <v>24566223</v>
      </c>
      <c r="U1005" s="846"/>
      <c r="V1005" s="847"/>
      <c r="W1005" s="846"/>
      <c r="X1005" s="846"/>
      <c r="Y1005" s="740">
        <f t="shared" si="128"/>
        <v>0</v>
      </c>
      <c r="Z1005" s="847"/>
      <c r="AA1005" s="847"/>
      <c r="AB1005" s="741">
        <f t="shared" si="129"/>
        <v>0</v>
      </c>
      <c r="AC1005" s="846"/>
      <c r="AD1005" s="847"/>
      <c r="AE1005" s="846"/>
      <c r="AF1005" s="846"/>
      <c r="AG1005" s="847"/>
      <c r="AH1005" s="847"/>
      <c r="AI1005" s="742">
        <f t="shared" si="133"/>
        <v>23707488</v>
      </c>
      <c r="AJ1005" s="743">
        <f t="shared" si="134"/>
        <v>24566223</v>
      </c>
    </row>
    <row r="1006" spans="1:36">
      <c r="A1006" s="840" t="s">
        <v>144</v>
      </c>
      <c r="B1006" s="841" t="s">
        <v>264</v>
      </c>
      <c r="C1006" s="842" t="s">
        <v>483</v>
      </c>
      <c r="D1006" s="861" t="s">
        <v>530</v>
      </c>
      <c r="E1006" s="852">
        <v>139250</v>
      </c>
      <c r="F1006" s="883">
        <v>7</v>
      </c>
      <c r="G1006" s="846">
        <v>13958960</v>
      </c>
      <c r="H1006" s="847">
        <v>13935828</v>
      </c>
      <c r="I1006" s="846"/>
      <c r="J1006" s="847"/>
      <c r="K1006" s="846"/>
      <c r="L1006" s="847"/>
      <c r="M1006" s="846">
        <v>8822136</v>
      </c>
      <c r="N1006" s="846"/>
      <c r="O1006" s="737">
        <f t="shared" si="127"/>
        <v>8822136</v>
      </c>
      <c r="P1006" s="847">
        <v>8961856</v>
      </c>
      <c r="Q1006" s="847"/>
      <c r="R1006" s="738">
        <f t="shared" si="130"/>
        <v>8961856</v>
      </c>
      <c r="S1006" s="737">
        <f t="shared" si="131"/>
        <v>22781096</v>
      </c>
      <c r="T1006" s="739">
        <f t="shared" si="132"/>
        <v>22897684</v>
      </c>
      <c r="U1006" s="846"/>
      <c r="V1006" s="847"/>
      <c r="W1006" s="846"/>
      <c r="X1006" s="846"/>
      <c r="Y1006" s="740">
        <f t="shared" si="128"/>
        <v>0</v>
      </c>
      <c r="Z1006" s="847"/>
      <c r="AA1006" s="847"/>
      <c r="AB1006" s="741">
        <f t="shared" si="129"/>
        <v>0</v>
      </c>
      <c r="AC1006" s="846"/>
      <c r="AD1006" s="847"/>
      <c r="AE1006" s="846"/>
      <c r="AF1006" s="846"/>
      <c r="AG1006" s="847"/>
      <c r="AH1006" s="847"/>
      <c r="AI1006" s="742">
        <f t="shared" si="133"/>
        <v>22781096</v>
      </c>
      <c r="AJ1006" s="743">
        <f t="shared" si="134"/>
        <v>22897684</v>
      </c>
    </row>
    <row r="1007" spans="1:36">
      <c r="A1007" s="840" t="s">
        <v>144</v>
      </c>
      <c r="B1007" s="841" t="s">
        <v>264</v>
      </c>
      <c r="C1007" s="860" t="s">
        <v>484</v>
      </c>
      <c r="D1007" s="851"/>
      <c r="E1007" s="852">
        <v>139968</v>
      </c>
      <c r="F1007" s="862">
        <v>7</v>
      </c>
      <c r="G1007" s="846">
        <v>11295645</v>
      </c>
      <c r="H1007" s="847">
        <v>12019257</v>
      </c>
      <c r="I1007" s="846"/>
      <c r="J1007" s="847"/>
      <c r="K1007" s="846"/>
      <c r="L1007" s="847"/>
      <c r="M1007" s="846">
        <v>11623896</v>
      </c>
      <c r="N1007" s="846"/>
      <c r="O1007" s="737">
        <f t="shared" si="127"/>
        <v>11623896</v>
      </c>
      <c r="P1007" s="847">
        <v>11190209</v>
      </c>
      <c r="Q1007" s="847"/>
      <c r="R1007" s="738">
        <f t="shared" si="130"/>
        <v>11190209</v>
      </c>
      <c r="S1007" s="737">
        <f t="shared" si="131"/>
        <v>22919541</v>
      </c>
      <c r="T1007" s="739">
        <f t="shared" si="132"/>
        <v>23209466</v>
      </c>
      <c r="U1007" s="846"/>
      <c r="V1007" s="847"/>
      <c r="W1007" s="846"/>
      <c r="X1007" s="846"/>
      <c r="Y1007" s="740">
        <f t="shared" si="128"/>
        <v>0</v>
      </c>
      <c r="Z1007" s="847"/>
      <c r="AA1007" s="847"/>
      <c r="AB1007" s="741">
        <f t="shared" si="129"/>
        <v>0</v>
      </c>
      <c r="AC1007" s="846"/>
      <c r="AD1007" s="847"/>
      <c r="AE1007" s="846"/>
      <c r="AF1007" s="846"/>
      <c r="AG1007" s="847"/>
      <c r="AH1007" s="847"/>
      <c r="AI1007" s="742">
        <f t="shared" si="133"/>
        <v>22919541</v>
      </c>
      <c r="AJ1007" s="743">
        <f t="shared" si="134"/>
        <v>23209466</v>
      </c>
    </row>
    <row r="1008" spans="1:36">
      <c r="A1008" s="840" t="s">
        <v>144</v>
      </c>
      <c r="B1008" s="841" t="s">
        <v>264</v>
      </c>
      <c r="C1008" s="842" t="s">
        <v>485</v>
      </c>
      <c r="D1008" s="861"/>
      <c r="E1008" s="852">
        <v>244437</v>
      </c>
      <c r="F1008" s="862">
        <v>8</v>
      </c>
      <c r="G1008" s="846">
        <v>56886594</v>
      </c>
      <c r="H1008" s="847">
        <v>52238491</v>
      </c>
      <c r="I1008" s="846"/>
      <c r="J1008" s="847"/>
      <c r="K1008" s="846"/>
      <c r="L1008" s="847"/>
      <c r="M1008" s="846">
        <v>57412699</v>
      </c>
      <c r="N1008" s="846"/>
      <c r="O1008" s="737">
        <f t="shared" si="127"/>
        <v>57412699</v>
      </c>
      <c r="P1008" s="847">
        <v>63302890</v>
      </c>
      <c r="Q1008" s="847"/>
      <c r="R1008" s="738">
        <f t="shared" si="130"/>
        <v>63302890</v>
      </c>
      <c r="S1008" s="737">
        <f t="shared" si="131"/>
        <v>114299293</v>
      </c>
      <c r="T1008" s="739">
        <f t="shared" si="132"/>
        <v>115541381</v>
      </c>
      <c r="U1008" s="846"/>
      <c r="V1008" s="847"/>
      <c r="W1008" s="846"/>
      <c r="X1008" s="846"/>
      <c r="Y1008" s="740">
        <f t="shared" si="128"/>
        <v>0</v>
      </c>
      <c r="Z1008" s="847"/>
      <c r="AA1008" s="847"/>
      <c r="AB1008" s="741">
        <f t="shared" si="129"/>
        <v>0</v>
      </c>
      <c r="AC1008" s="846"/>
      <c r="AD1008" s="847"/>
      <c r="AE1008" s="846"/>
      <c r="AF1008" s="846"/>
      <c r="AG1008" s="847"/>
      <c r="AH1008" s="847"/>
      <c r="AI1008" s="742">
        <f t="shared" si="133"/>
        <v>114299293</v>
      </c>
      <c r="AJ1008" s="743">
        <f t="shared" si="134"/>
        <v>115541381</v>
      </c>
    </row>
    <row r="1009" spans="1:36">
      <c r="A1009" s="840" t="s">
        <v>144</v>
      </c>
      <c r="B1009" s="841" t="s">
        <v>264</v>
      </c>
      <c r="C1009" s="860" t="s">
        <v>486</v>
      </c>
      <c r="D1009" s="861" t="s">
        <v>531</v>
      </c>
      <c r="E1009" s="852">
        <v>138901</v>
      </c>
      <c r="F1009" s="862">
        <v>9</v>
      </c>
      <c r="G1009" s="846">
        <v>8907405</v>
      </c>
      <c r="H1009" s="847">
        <v>9642996</v>
      </c>
      <c r="I1009" s="846"/>
      <c r="J1009" s="847"/>
      <c r="K1009" s="846"/>
      <c r="L1009" s="847"/>
      <c r="M1009" s="846">
        <v>8559342</v>
      </c>
      <c r="N1009" s="846"/>
      <c r="O1009" s="737">
        <f t="shared" si="127"/>
        <v>8559342</v>
      </c>
      <c r="P1009" s="847">
        <v>8834067</v>
      </c>
      <c r="Q1009" s="847"/>
      <c r="R1009" s="738">
        <f t="shared" si="130"/>
        <v>8834067</v>
      </c>
      <c r="S1009" s="737">
        <f t="shared" si="131"/>
        <v>17466747</v>
      </c>
      <c r="T1009" s="739">
        <f t="shared" si="132"/>
        <v>18477063</v>
      </c>
      <c r="U1009" s="846"/>
      <c r="V1009" s="847"/>
      <c r="W1009" s="846"/>
      <c r="X1009" s="846"/>
      <c r="Y1009" s="740">
        <f t="shared" si="128"/>
        <v>0</v>
      </c>
      <c r="Z1009" s="847"/>
      <c r="AA1009" s="847"/>
      <c r="AB1009" s="741">
        <f t="shared" si="129"/>
        <v>0</v>
      </c>
      <c r="AC1009" s="846"/>
      <c r="AD1009" s="847"/>
      <c r="AE1009" s="846"/>
      <c r="AF1009" s="846"/>
      <c r="AG1009" s="847"/>
      <c r="AH1009" s="847"/>
      <c r="AI1009" s="742">
        <f t="shared" si="133"/>
        <v>17466747</v>
      </c>
      <c r="AJ1009" s="743">
        <f t="shared" si="134"/>
        <v>18477063</v>
      </c>
    </row>
    <row r="1010" spans="1:36">
      <c r="A1010" s="840" t="s">
        <v>144</v>
      </c>
      <c r="B1010" s="841" t="s">
        <v>264</v>
      </c>
      <c r="C1010" s="842" t="s">
        <v>487</v>
      </c>
      <c r="D1010" s="861" t="s">
        <v>532</v>
      </c>
      <c r="E1010" s="852">
        <v>139010</v>
      </c>
      <c r="F1010" s="862">
        <v>9</v>
      </c>
      <c r="G1010" s="846">
        <v>10007069</v>
      </c>
      <c r="H1010" s="847">
        <v>8146353</v>
      </c>
      <c r="I1010" s="846"/>
      <c r="J1010" s="847"/>
      <c r="K1010" s="846"/>
      <c r="L1010" s="847"/>
      <c r="M1010" s="846">
        <v>6357131</v>
      </c>
      <c r="N1010" s="846"/>
      <c r="O1010" s="737">
        <f t="shared" si="127"/>
        <v>6357131</v>
      </c>
      <c r="P1010" s="847">
        <v>5801440</v>
      </c>
      <c r="Q1010" s="847"/>
      <c r="R1010" s="738">
        <f t="shared" si="130"/>
        <v>5801440</v>
      </c>
      <c r="S1010" s="737">
        <f t="shared" si="131"/>
        <v>16364200</v>
      </c>
      <c r="T1010" s="739">
        <f t="shared" si="132"/>
        <v>13947793</v>
      </c>
      <c r="U1010" s="846"/>
      <c r="V1010" s="847"/>
      <c r="W1010" s="846"/>
      <c r="X1010" s="846"/>
      <c r="Y1010" s="740">
        <f t="shared" si="128"/>
        <v>0</v>
      </c>
      <c r="Z1010" s="847"/>
      <c r="AA1010" s="847"/>
      <c r="AB1010" s="741">
        <f t="shared" si="129"/>
        <v>0</v>
      </c>
      <c r="AC1010" s="846"/>
      <c r="AD1010" s="847"/>
      <c r="AE1010" s="846"/>
      <c r="AF1010" s="846"/>
      <c r="AG1010" s="847"/>
      <c r="AH1010" s="847"/>
      <c r="AI1010" s="742">
        <f t="shared" si="133"/>
        <v>16364200</v>
      </c>
      <c r="AJ1010" s="743">
        <f t="shared" si="134"/>
        <v>13947793</v>
      </c>
    </row>
    <row r="1011" spans="1:36">
      <c r="A1011" s="840" t="s">
        <v>144</v>
      </c>
      <c r="B1011" s="841" t="s">
        <v>264</v>
      </c>
      <c r="C1011" s="842" t="s">
        <v>488</v>
      </c>
      <c r="D1011" s="861" t="s">
        <v>531</v>
      </c>
      <c r="E1011" s="852">
        <v>138691</v>
      </c>
      <c r="F1011" s="862">
        <v>9</v>
      </c>
      <c r="G1011" s="846">
        <v>15537414</v>
      </c>
      <c r="H1011" s="847">
        <v>17023516</v>
      </c>
      <c r="I1011" s="846"/>
      <c r="J1011" s="847"/>
      <c r="K1011" s="846"/>
      <c r="L1011" s="847"/>
      <c r="M1011" s="846">
        <v>15311335</v>
      </c>
      <c r="N1011" s="846"/>
      <c r="O1011" s="737">
        <f t="shared" si="127"/>
        <v>15311335</v>
      </c>
      <c r="P1011" s="847">
        <v>15021768</v>
      </c>
      <c r="Q1011" s="847"/>
      <c r="R1011" s="738">
        <f t="shared" si="130"/>
        <v>15021768</v>
      </c>
      <c r="S1011" s="737">
        <f t="shared" si="131"/>
        <v>30848749</v>
      </c>
      <c r="T1011" s="739">
        <f t="shared" si="132"/>
        <v>32045284</v>
      </c>
      <c r="U1011" s="846"/>
      <c r="V1011" s="847"/>
      <c r="W1011" s="846"/>
      <c r="X1011" s="846"/>
      <c r="Y1011" s="740">
        <f t="shared" si="128"/>
        <v>0</v>
      </c>
      <c r="Z1011" s="847"/>
      <c r="AA1011" s="847"/>
      <c r="AB1011" s="741">
        <f t="shared" si="129"/>
        <v>0</v>
      </c>
      <c r="AC1011" s="846"/>
      <c r="AD1011" s="847"/>
      <c r="AE1011" s="846"/>
      <c r="AF1011" s="846"/>
      <c r="AG1011" s="847"/>
      <c r="AH1011" s="847"/>
      <c r="AI1011" s="742">
        <f t="shared" si="133"/>
        <v>30848749</v>
      </c>
      <c r="AJ1011" s="743">
        <f t="shared" si="134"/>
        <v>32045284</v>
      </c>
    </row>
    <row r="1012" spans="1:36">
      <c r="A1012" s="840" t="s">
        <v>144</v>
      </c>
      <c r="B1012" s="841" t="s">
        <v>264</v>
      </c>
      <c r="C1012" s="860" t="s">
        <v>489</v>
      </c>
      <c r="D1012" s="861" t="s">
        <v>531</v>
      </c>
      <c r="E1012" s="852">
        <v>139621</v>
      </c>
      <c r="F1012" s="862">
        <v>9</v>
      </c>
      <c r="G1012" s="846">
        <v>7617744</v>
      </c>
      <c r="H1012" s="847">
        <v>7095912</v>
      </c>
      <c r="I1012" s="846"/>
      <c r="J1012" s="847"/>
      <c r="K1012" s="846"/>
      <c r="L1012" s="847"/>
      <c r="M1012" s="846">
        <v>7740370</v>
      </c>
      <c r="N1012" s="846"/>
      <c r="O1012" s="737">
        <f t="shared" si="127"/>
        <v>7740370</v>
      </c>
      <c r="P1012" s="847">
        <v>7951121</v>
      </c>
      <c r="Q1012" s="847"/>
      <c r="R1012" s="738">
        <f t="shared" si="130"/>
        <v>7951121</v>
      </c>
      <c r="S1012" s="737">
        <f t="shared" si="131"/>
        <v>15358114</v>
      </c>
      <c r="T1012" s="739">
        <f t="shared" si="132"/>
        <v>15047033</v>
      </c>
      <c r="U1012" s="846"/>
      <c r="V1012" s="847"/>
      <c r="W1012" s="846"/>
      <c r="X1012" s="846"/>
      <c r="Y1012" s="740">
        <f t="shared" si="128"/>
        <v>0</v>
      </c>
      <c r="Z1012" s="847"/>
      <c r="AA1012" s="847"/>
      <c r="AB1012" s="741">
        <f t="shared" si="129"/>
        <v>0</v>
      </c>
      <c r="AC1012" s="846"/>
      <c r="AD1012" s="847"/>
      <c r="AE1012" s="846"/>
      <c r="AF1012" s="846"/>
      <c r="AG1012" s="847"/>
      <c r="AH1012" s="847"/>
      <c r="AI1012" s="742">
        <f t="shared" si="133"/>
        <v>15358114</v>
      </c>
      <c r="AJ1012" s="743">
        <f t="shared" si="134"/>
        <v>15047033</v>
      </c>
    </row>
    <row r="1013" spans="1:36">
      <c r="A1013" s="840" t="s">
        <v>144</v>
      </c>
      <c r="B1013" s="841" t="s">
        <v>264</v>
      </c>
      <c r="C1013" s="842" t="s">
        <v>490</v>
      </c>
      <c r="D1013" s="861"/>
      <c r="E1013" s="852">
        <v>139700</v>
      </c>
      <c r="F1013" s="863">
        <v>9</v>
      </c>
      <c r="G1013" s="846">
        <v>14486960</v>
      </c>
      <c r="H1013" s="847">
        <v>14754501</v>
      </c>
      <c r="I1013" s="846"/>
      <c r="J1013" s="847"/>
      <c r="K1013" s="846"/>
      <c r="L1013" s="847"/>
      <c r="M1013" s="846">
        <v>13240770</v>
      </c>
      <c r="N1013" s="846"/>
      <c r="O1013" s="737">
        <f t="shared" si="127"/>
        <v>13240770</v>
      </c>
      <c r="P1013" s="847">
        <v>13470789</v>
      </c>
      <c r="Q1013" s="847"/>
      <c r="R1013" s="738">
        <f t="shared" si="130"/>
        <v>13470789</v>
      </c>
      <c r="S1013" s="737">
        <f t="shared" si="131"/>
        <v>27727730</v>
      </c>
      <c r="T1013" s="739">
        <f t="shared" si="132"/>
        <v>28225290</v>
      </c>
      <c r="U1013" s="846"/>
      <c r="V1013" s="847"/>
      <c r="W1013" s="846"/>
      <c r="X1013" s="846"/>
      <c r="Y1013" s="740">
        <f t="shared" si="128"/>
        <v>0</v>
      </c>
      <c r="Z1013" s="847"/>
      <c r="AA1013" s="847"/>
      <c r="AB1013" s="741">
        <f t="shared" si="129"/>
        <v>0</v>
      </c>
      <c r="AC1013" s="846"/>
      <c r="AD1013" s="847"/>
      <c r="AE1013" s="846"/>
      <c r="AF1013" s="846"/>
      <c r="AG1013" s="847"/>
      <c r="AH1013" s="847"/>
      <c r="AI1013" s="742">
        <f t="shared" si="133"/>
        <v>27727730</v>
      </c>
      <c r="AJ1013" s="743">
        <f t="shared" si="134"/>
        <v>28225290</v>
      </c>
    </row>
    <row r="1014" spans="1:36">
      <c r="A1014" s="840" t="s">
        <v>144</v>
      </c>
      <c r="B1014" s="841" t="s">
        <v>264</v>
      </c>
      <c r="C1014" s="842" t="s">
        <v>491</v>
      </c>
      <c r="D1014" s="861" t="s">
        <v>531</v>
      </c>
      <c r="E1014" s="858">
        <v>482699</v>
      </c>
      <c r="F1014" s="863">
        <v>9</v>
      </c>
      <c r="G1014" s="846">
        <v>11013133</v>
      </c>
      <c r="H1014" s="847">
        <v>10991841</v>
      </c>
      <c r="I1014" s="846"/>
      <c r="J1014" s="847"/>
      <c r="K1014" s="846"/>
      <c r="L1014" s="847"/>
      <c r="M1014" s="846">
        <v>6910724</v>
      </c>
      <c r="N1014" s="846"/>
      <c r="O1014" s="737">
        <f t="shared" si="127"/>
        <v>6910724</v>
      </c>
      <c r="P1014" s="859">
        <v>6778281</v>
      </c>
      <c r="Q1014" s="847"/>
      <c r="R1014" s="738">
        <f t="shared" si="130"/>
        <v>6778281</v>
      </c>
      <c r="S1014" s="737">
        <f t="shared" si="131"/>
        <v>17923857</v>
      </c>
      <c r="T1014" s="739">
        <f t="shared" si="132"/>
        <v>17770122</v>
      </c>
      <c r="U1014" s="846"/>
      <c r="V1014" s="847"/>
      <c r="W1014" s="846"/>
      <c r="X1014" s="846"/>
      <c r="Y1014" s="740">
        <f t="shared" si="128"/>
        <v>0</v>
      </c>
      <c r="Z1014" s="859"/>
      <c r="AA1014" s="847"/>
      <c r="AB1014" s="741">
        <f t="shared" si="129"/>
        <v>0</v>
      </c>
      <c r="AC1014" s="846"/>
      <c r="AD1014" s="847"/>
      <c r="AE1014" s="846"/>
      <c r="AF1014" s="846"/>
      <c r="AG1014" s="859"/>
      <c r="AH1014" s="847"/>
      <c r="AI1014" s="742">
        <f t="shared" si="133"/>
        <v>17923857</v>
      </c>
      <c r="AJ1014" s="743">
        <f t="shared" si="134"/>
        <v>17770122</v>
      </c>
    </row>
    <row r="1015" spans="1:36">
      <c r="A1015" s="840" t="s">
        <v>144</v>
      </c>
      <c r="B1015" s="841" t="s">
        <v>302</v>
      </c>
      <c r="C1015" s="842" t="s">
        <v>492</v>
      </c>
      <c r="D1015" s="843"/>
      <c r="E1015" s="844">
        <v>141097</v>
      </c>
      <c r="F1015" s="845">
        <v>15</v>
      </c>
      <c r="G1015" s="846"/>
      <c r="H1015" s="847"/>
      <c r="I1015" s="846"/>
      <c r="J1015" s="847"/>
      <c r="K1015" s="846"/>
      <c r="L1015" s="847"/>
      <c r="M1015" s="846"/>
      <c r="N1015" s="846"/>
      <c r="O1015" s="737">
        <f t="shared" si="127"/>
        <v>0</v>
      </c>
      <c r="P1015" s="864"/>
      <c r="Q1015" s="847"/>
      <c r="R1015" s="738">
        <f t="shared" si="130"/>
        <v>0</v>
      </c>
      <c r="S1015" s="737">
        <f t="shared" si="131"/>
        <v>0</v>
      </c>
      <c r="T1015" s="739">
        <f t="shared" si="132"/>
        <v>0</v>
      </c>
      <c r="U1015" s="846">
        <v>21375236</v>
      </c>
      <c r="V1015" s="847">
        <v>23520748</v>
      </c>
      <c r="W1015" s="846">
        <v>36426718</v>
      </c>
      <c r="X1015" s="846"/>
      <c r="Y1015" s="740">
        <f t="shared" si="128"/>
        <v>36426718</v>
      </c>
      <c r="Z1015" s="864">
        <v>39108709</v>
      </c>
      <c r="AA1015" s="847"/>
      <c r="AB1015" s="741">
        <f t="shared" si="129"/>
        <v>39108709</v>
      </c>
      <c r="AC1015" s="846"/>
      <c r="AD1015" s="847"/>
      <c r="AE1015" s="846"/>
      <c r="AF1015" s="846"/>
      <c r="AG1015" s="864"/>
      <c r="AH1015" s="847"/>
      <c r="AI1015" s="742">
        <f t="shared" si="133"/>
        <v>57801954</v>
      </c>
      <c r="AJ1015" s="743">
        <f t="shared" si="134"/>
        <v>62629457</v>
      </c>
    </row>
    <row r="1016" spans="1:36">
      <c r="A1016" s="840" t="s">
        <v>144</v>
      </c>
      <c r="B1016" s="841" t="s">
        <v>273</v>
      </c>
      <c r="C1016" s="865" t="s">
        <v>493</v>
      </c>
      <c r="D1016" s="843"/>
      <c r="E1016" s="844"/>
      <c r="F1016" s="845"/>
      <c r="G1016" s="846"/>
      <c r="H1016" s="847"/>
      <c r="I1016" s="846"/>
      <c r="J1016" s="847"/>
      <c r="K1016" s="846"/>
      <c r="L1016" s="847"/>
      <c r="M1016" s="846"/>
      <c r="N1016" s="846"/>
      <c r="O1016" s="737">
        <f t="shared" si="127"/>
        <v>0</v>
      </c>
      <c r="P1016" s="847"/>
      <c r="Q1016" s="847"/>
      <c r="R1016" s="738">
        <f t="shared" si="130"/>
        <v>0</v>
      </c>
      <c r="S1016" s="737">
        <f t="shared" si="131"/>
        <v>0</v>
      </c>
      <c r="T1016" s="739">
        <f t="shared" si="132"/>
        <v>0</v>
      </c>
      <c r="U1016" s="846"/>
      <c r="V1016" s="847"/>
      <c r="W1016" s="846"/>
      <c r="X1016" s="846"/>
      <c r="Y1016" s="740">
        <f t="shared" si="128"/>
        <v>0</v>
      </c>
      <c r="Z1016" s="847"/>
      <c r="AA1016" s="847"/>
      <c r="AB1016" s="741">
        <f t="shared" si="129"/>
        <v>0</v>
      </c>
      <c r="AC1016" s="846"/>
      <c r="AD1016" s="847"/>
      <c r="AE1016" s="846"/>
      <c r="AF1016" s="846"/>
      <c r="AG1016" s="847"/>
      <c r="AH1016" s="847"/>
      <c r="AI1016" s="742">
        <f t="shared" si="133"/>
        <v>0</v>
      </c>
      <c r="AJ1016" s="743">
        <f t="shared" si="134"/>
        <v>0</v>
      </c>
    </row>
    <row r="1017" spans="1:36">
      <c r="A1017" s="840" t="s">
        <v>144</v>
      </c>
      <c r="B1017" s="841" t="s">
        <v>278</v>
      </c>
      <c r="C1017" s="848" t="s">
        <v>309</v>
      </c>
      <c r="D1017" s="849"/>
      <c r="E1017" s="844"/>
      <c r="F1017" s="845"/>
      <c r="G1017" s="846"/>
      <c r="H1017" s="847"/>
      <c r="I1017" s="846"/>
      <c r="J1017" s="847"/>
      <c r="K1017" s="846"/>
      <c r="L1017" s="847"/>
      <c r="M1017" s="846"/>
      <c r="N1017" s="846"/>
      <c r="O1017" s="737">
        <f t="shared" si="127"/>
        <v>0</v>
      </c>
      <c r="P1017" s="847"/>
      <c r="Q1017" s="847"/>
      <c r="R1017" s="738">
        <f t="shared" si="130"/>
        <v>0</v>
      </c>
      <c r="S1017" s="737">
        <f t="shared" si="131"/>
        <v>0</v>
      </c>
      <c r="T1017" s="739">
        <f t="shared" si="132"/>
        <v>0</v>
      </c>
      <c r="U1017" s="846"/>
      <c r="V1017" s="847"/>
      <c r="W1017" s="846"/>
      <c r="X1017" s="846"/>
      <c r="Y1017" s="740">
        <f t="shared" si="128"/>
        <v>0</v>
      </c>
      <c r="Z1017" s="847"/>
      <c r="AA1017" s="847"/>
      <c r="AB1017" s="741">
        <f t="shared" si="129"/>
        <v>0</v>
      </c>
      <c r="AC1017" s="846"/>
      <c r="AD1017" s="847"/>
      <c r="AE1017" s="846"/>
      <c r="AF1017" s="846"/>
      <c r="AG1017" s="847"/>
      <c r="AH1017" s="847"/>
      <c r="AI1017" s="742">
        <f t="shared" si="133"/>
        <v>0</v>
      </c>
      <c r="AJ1017" s="743">
        <f t="shared" si="134"/>
        <v>0</v>
      </c>
    </row>
    <row r="1018" spans="1:36">
      <c r="A1018" s="840" t="s">
        <v>144</v>
      </c>
      <c r="B1018" s="841" t="s">
        <v>278</v>
      </c>
      <c r="C1018" s="850" t="s">
        <v>494</v>
      </c>
      <c r="D1018" s="849"/>
      <c r="E1018" s="844"/>
      <c r="F1018" s="845"/>
      <c r="G1018" s="846"/>
      <c r="H1018" s="847"/>
      <c r="I1018" s="846">
        <v>4151428</v>
      </c>
      <c r="J1018" s="847">
        <v>4627469</v>
      </c>
      <c r="K1018" s="846"/>
      <c r="L1018" s="847"/>
      <c r="M1018" s="846"/>
      <c r="N1018" s="846"/>
      <c r="O1018" s="737">
        <f t="shared" si="127"/>
        <v>0</v>
      </c>
      <c r="P1018" s="847"/>
      <c r="Q1018" s="847"/>
      <c r="R1018" s="738">
        <f t="shared" si="130"/>
        <v>0</v>
      </c>
      <c r="S1018" s="737">
        <f t="shared" si="131"/>
        <v>4151428</v>
      </c>
      <c r="T1018" s="739">
        <f t="shared" si="132"/>
        <v>4627469</v>
      </c>
      <c r="U1018" s="846"/>
      <c r="V1018" s="847"/>
      <c r="W1018" s="846"/>
      <c r="X1018" s="846"/>
      <c r="Y1018" s="740">
        <f t="shared" si="128"/>
        <v>0</v>
      </c>
      <c r="Z1018" s="847"/>
      <c r="AA1018" s="847"/>
      <c r="AB1018" s="741">
        <f t="shared" si="129"/>
        <v>0</v>
      </c>
      <c r="AC1018" s="846"/>
      <c r="AD1018" s="847"/>
      <c r="AE1018" s="846"/>
      <c r="AF1018" s="846"/>
      <c r="AG1018" s="847"/>
      <c r="AH1018" s="847"/>
      <c r="AI1018" s="742">
        <f t="shared" si="133"/>
        <v>4151428</v>
      </c>
      <c r="AJ1018" s="743">
        <f t="shared" si="134"/>
        <v>4627469</v>
      </c>
    </row>
    <row r="1019" spans="1:36">
      <c r="A1019" s="840" t="s">
        <v>144</v>
      </c>
      <c r="B1019" s="841" t="s">
        <v>278</v>
      </c>
      <c r="C1019" s="850" t="s">
        <v>495</v>
      </c>
      <c r="D1019" s="849"/>
      <c r="E1019" s="844"/>
      <c r="F1019" s="845"/>
      <c r="G1019" s="846"/>
      <c r="H1019" s="847"/>
      <c r="I1019" s="846">
        <v>31497624</v>
      </c>
      <c r="J1019" s="847">
        <v>32310084</v>
      </c>
      <c r="K1019" s="846"/>
      <c r="L1019" s="847"/>
      <c r="M1019" s="846"/>
      <c r="N1019" s="846"/>
      <c r="O1019" s="737">
        <f t="shared" si="127"/>
        <v>0</v>
      </c>
      <c r="P1019" s="847"/>
      <c r="Q1019" s="847"/>
      <c r="R1019" s="738">
        <f t="shared" si="130"/>
        <v>0</v>
      </c>
      <c r="S1019" s="737">
        <f t="shared" si="131"/>
        <v>31497624</v>
      </c>
      <c r="T1019" s="739">
        <f t="shared" si="132"/>
        <v>32310084</v>
      </c>
      <c r="U1019" s="846"/>
      <c r="V1019" s="847"/>
      <c r="W1019" s="846"/>
      <c r="X1019" s="846"/>
      <c r="Y1019" s="740">
        <f t="shared" si="128"/>
        <v>0</v>
      </c>
      <c r="Z1019" s="847"/>
      <c r="AA1019" s="847"/>
      <c r="AB1019" s="741">
        <f t="shared" si="129"/>
        <v>0</v>
      </c>
      <c r="AC1019" s="846"/>
      <c r="AD1019" s="847"/>
      <c r="AE1019" s="846"/>
      <c r="AF1019" s="846"/>
      <c r="AG1019" s="847"/>
      <c r="AH1019" s="847"/>
      <c r="AI1019" s="742">
        <f t="shared" si="133"/>
        <v>31497624</v>
      </c>
      <c r="AJ1019" s="743">
        <f t="shared" si="134"/>
        <v>32310084</v>
      </c>
    </row>
    <row r="1020" spans="1:36">
      <c r="A1020" s="840" t="s">
        <v>144</v>
      </c>
      <c r="B1020" s="841" t="s">
        <v>303</v>
      </c>
      <c r="C1020" s="865" t="s">
        <v>496</v>
      </c>
      <c r="D1020" s="843"/>
      <c r="E1020" s="866"/>
      <c r="F1020" s="867"/>
      <c r="G1020" s="846"/>
      <c r="H1020" s="847"/>
      <c r="I1020" s="846"/>
      <c r="J1020" s="847"/>
      <c r="K1020" s="846"/>
      <c r="L1020" s="847"/>
      <c r="M1020" s="846"/>
      <c r="N1020" s="846"/>
      <c r="O1020" s="737">
        <f t="shared" si="127"/>
        <v>0</v>
      </c>
      <c r="P1020" s="847"/>
      <c r="Q1020" s="847"/>
      <c r="R1020" s="738">
        <f t="shared" si="130"/>
        <v>0</v>
      </c>
      <c r="S1020" s="737">
        <f t="shared" si="131"/>
        <v>0</v>
      </c>
      <c r="T1020" s="739">
        <f t="shared" si="132"/>
        <v>0</v>
      </c>
      <c r="U1020" s="846"/>
      <c r="V1020" s="847"/>
      <c r="W1020" s="846"/>
      <c r="X1020" s="846"/>
      <c r="Y1020" s="740">
        <f t="shared" si="128"/>
        <v>0</v>
      </c>
      <c r="Z1020" s="847"/>
      <c r="AA1020" s="847"/>
      <c r="AB1020" s="741">
        <f t="shared" si="129"/>
        <v>0</v>
      </c>
      <c r="AC1020" s="846"/>
      <c r="AD1020" s="847"/>
      <c r="AE1020" s="846"/>
      <c r="AF1020" s="846"/>
      <c r="AG1020" s="847"/>
      <c r="AH1020" s="847"/>
      <c r="AI1020" s="742">
        <f t="shared" si="133"/>
        <v>0</v>
      </c>
      <c r="AJ1020" s="743">
        <f t="shared" si="134"/>
        <v>0</v>
      </c>
    </row>
    <row r="1021" spans="1:36">
      <c r="A1021" s="840" t="s">
        <v>144</v>
      </c>
      <c r="B1021" s="841" t="s">
        <v>303</v>
      </c>
      <c r="C1021" s="850" t="s">
        <v>497</v>
      </c>
      <c r="D1021" s="849"/>
      <c r="E1021" s="866"/>
      <c r="F1021" s="867"/>
      <c r="G1021" s="846"/>
      <c r="H1021" s="847"/>
      <c r="I1021" s="846">
        <v>0</v>
      </c>
      <c r="J1021" s="847">
        <v>0</v>
      </c>
      <c r="K1021" s="846"/>
      <c r="L1021" s="847"/>
      <c r="M1021" s="846"/>
      <c r="N1021" s="846"/>
      <c r="O1021" s="737">
        <f t="shared" si="127"/>
        <v>0</v>
      </c>
      <c r="P1021" s="847"/>
      <c r="Q1021" s="847"/>
      <c r="R1021" s="738">
        <f t="shared" si="130"/>
        <v>0</v>
      </c>
      <c r="S1021" s="737">
        <f t="shared" si="131"/>
        <v>0</v>
      </c>
      <c r="T1021" s="739">
        <f t="shared" si="132"/>
        <v>0</v>
      </c>
      <c r="U1021" s="846"/>
      <c r="V1021" s="847"/>
      <c r="W1021" s="846"/>
      <c r="X1021" s="846"/>
      <c r="Y1021" s="740">
        <f t="shared" si="128"/>
        <v>0</v>
      </c>
      <c r="Z1021" s="847"/>
      <c r="AA1021" s="847"/>
      <c r="AB1021" s="741">
        <f t="shared" si="129"/>
        <v>0</v>
      </c>
      <c r="AC1021" s="846"/>
      <c r="AD1021" s="847"/>
      <c r="AE1021" s="846"/>
      <c r="AF1021" s="846"/>
      <c r="AG1021" s="847"/>
      <c r="AH1021" s="847"/>
      <c r="AI1021" s="742">
        <f t="shared" si="133"/>
        <v>0</v>
      </c>
      <c r="AJ1021" s="743">
        <f t="shared" si="134"/>
        <v>0</v>
      </c>
    </row>
    <row r="1022" spans="1:36">
      <c r="A1022" s="840" t="s">
        <v>144</v>
      </c>
      <c r="B1022" s="841" t="s">
        <v>303</v>
      </c>
      <c r="C1022" s="850" t="s">
        <v>498</v>
      </c>
      <c r="D1022" s="849"/>
      <c r="E1022" s="866"/>
      <c r="F1022" s="867"/>
      <c r="G1022" s="846"/>
      <c r="H1022" s="847"/>
      <c r="I1022" s="846">
        <v>27116683</v>
      </c>
      <c r="J1022" s="847">
        <v>27436645</v>
      </c>
      <c r="K1022" s="846"/>
      <c r="L1022" s="847"/>
      <c r="M1022" s="846"/>
      <c r="N1022" s="846"/>
      <c r="O1022" s="737">
        <f t="shared" si="127"/>
        <v>0</v>
      </c>
      <c r="P1022" s="847"/>
      <c r="Q1022" s="847"/>
      <c r="R1022" s="738">
        <f t="shared" si="130"/>
        <v>0</v>
      </c>
      <c r="S1022" s="737">
        <f t="shared" si="131"/>
        <v>27116683</v>
      </c>
      <c r="T1022" s="739">
        <f t="shared" si="132"/>
        <v>27436645</v>
      </c>
      <c r="U1022" s="846"/>
      <c r="V1022" s="847"/>
      <c r="W1022" s="846"/>
      <c r="X1022" s="846"/>
      <c r="Y1022" s="740">
        <f t="shared" si="128"/>
        <v>0</v>
      </c>
      <c r="Z1022" s="847"/>
      <c r="AA1022" s="847"/>
      <c r="AB1022" s="741">
        <f t="shared" si="129"/>
        <v>0</v>
      </c>
      <c r="AC1022" s="846"/>
      <c r="AD1022" s="847"/>
      <c r="AE1022" s="846"/>
      <c r="AF1022" s="846"/>
      <c r="AG1022" s="847"/>
      <c r="AH1022" s="847"/>
      <c r="AI1022" s="742">
        <f t="shared" si="133"/>
        <v>27116683</v>
      </c>
      <c r="AJ1022" s="743">
        <f t="shared" si="134"/>
        <v>27436645</v>
      </c>
    </row>
    <row r="1023" spans="1:36">
      <c r="A1023" s="840" t="s">
        <v>144</v>
      </c>
      <c r="B1023" s="841" t="s">
        <v>303</v>
      </c>
      <c r="C1023" s="850" t="s">
        <v>499</v>
      </c>
      <c r="D1023" s="849"/>
      <c r="E1023" s="866"/>
      <c r="F1023" s="867"/>
      <c r="G1023" s="846"/>
      <c r="H1023" s="847"/>
      <c r="I1023" s="846">
        <v>8718211</v>
      </c>
      <c r="J1023" s="847">
        <v>8933883</v>
      </c>
      <c r="K1023" s="846"/>
      <c r="L1023" s="847"/>
      <c r="M1023" s="846"/>
      <c r="N1023" s="846"/>
      <c r="O1023" s="737">
        <f t="shared" si="127"/>
        <v>0</v>
      </c>
      <c r="P1023" s="847"/>
      <c r="Q1023" s="847"/>
      <c r="R1023" s="738">
        <f t="shared" si="130"/>
        <v>0</v>
      </c>
      <c r="S1023" s="737">
        <f t="shared" si="131"/>
        <v>8718211</v>
      </c>
      <c r="T1023" s="739">
        <f t="shared" si="132"/>
        <v>8933883</v>
      </c>
      <c r="U1023" s="846"/>
      <c r="V1023" s="847"/>
      <c r="W1023" s="846"/>
      <c r="X1023" s="846"/>
      <c r="Y1023" s="740">
        <f t="shared" si="128"/>
        <v>0</v>
      </c>
      <c r="Z1023" s="847"/>
      <c r="AA1023" s="847"/>
      <c r="AB1023" s="741">
        <f t="shared" si="129"/>
        <v>0</v>
      </c>
      <c r="AC1023" s="846"/>
      <c r="AD1023" s="847"/>
      <c r="AE1023" s="846"/>
      <c r="AF1023" s="846"/>
      <c r="AG1023" s="847"/>
      <c r="AH1023" s="847"/>
      <c r="AI1023" s="742">
        <f t="shared" si="133"/>
        <v>8718211</v>
      </c>
      <c r="AJ1023" s="743">
        <f t="shared" si="134"/>
        <v>8933883</v>
      </c>
    </row>
    <row r="1024" spans="1:36">
      <c r="A1024" s="840" t="s">
        <v>144</v>
      </c>
      <c r="B1024" s="841" t="s">
        <v>303</v>
      </c>
      <c r="C1024" s="850" t="s">
        <v>500</v>
      </c>
      <c r="D1024" s="849"/>
      <c r="E1024" s="866"/>
      <c r="F1024" s="867"/>
      <c r="G1024" s="846"/>
      <c r="H1024" s="847"/>
      <c r="I1024" s="846">
        <v>25551107</v>
      </c>
      <c r="J1024" s="847">
        <v>27181607</v>
      </c>
      <c r="K1024" s="846"/>
      <c r="L1024" s="847"/>
      <c r="M1024" s="846"/>
      <c r="N1024" s="846"/>
      <c r="O1024" s="737">
        <f t="shared" si="127"/>
        <v>0</v>
      </c>
      <c r="P1024" s="847"/>
      <c r="Q1024" s="847"/>
      <c r="R1024" s="738">
        <f t="shared" si="130"/>
        <v>0</v>
      </c>
      <c r="S1024" s="737">
        <f t="shared" si="131"/>
        <v>25551107</v>
      </c>
      <c r="T1024" s="739">
        <f t="shared" si="132"/>
        <v>27181607</v>
      </c>
      <c r="U1024" s="846"/>
      <c r="V1024" s="847"/>
      <c r="W1024" s="846"/>
      <c r="X1024" s="846"/>
      <c r="Y1024" s="740">
        <f t="shared" si="128"/>
        <v>0</v>
      </c>
      <c r="Z1024" s="847"/>
      <c r="AA1024" s="847"/>
      <c r="AB1024" s="741">
        <f t="shared" si="129"/>
        <v>0</v>
      </c>
      <c r="AC1024" s="846"/>
      <c r="AD1024" s="847"/>
      <c r="AE1024" s="846"/>
      <c r="AF1024" s="846"/>
      <c r="AG1024" s="847"/>
      <c r="AH1024" s="847"/>
      <c r="AI1024" s="742">
        <f t="shared" si="133"/>
        <v>25551107</v>
      </c>
      <c r="AJ1024" s="743">
        <f t="shared" si="134"/>
        <v>27181607</v>
      </c>
    </row>
    <row r="1025" spans="1:36">
      <c r="A1025" s="840" t="s">
        <v>144</v>
      </c>
      <c r="B1025" s="841" t="s">
        <v>281</v>
      </c>
      <c r="C1025" s="865" t="s">
        <v>109</v>
      </c>
      <c r="D1025" s="843"/>
      <c r="E1025" s="844"/>
      <c r="F1025" s="845"/>
      <c r="G1025" s="846"/>
      <c r="H1025" s="847"/>
      <c r="I1025" s="846"/>
      <c r="J1025" s="847"/>
      <c r="K1025" s="846"/>
      <c r="L1025" s="847"/>
      <c r="M1025" s="846"/>
      <c r="N1025" s="846"/>
      <c r="O1025" s="737">
        <f t="shared" si="127"/>
        <v>0</v>
      </c>
      <c r="P1025" s="847"/>
      <c r="Q1025" s="847"/>
      <c r="R1025" s="738">
        <f t="shared" si="130"/>
        <v>0</v>
      </c>
      <c r="S1025" s="737">
        <f t="shared" si="131"/>
        <v>0</v>
      </c>
      <c r="T1025" s="739">
        <f t="shared" si="132"/>
        <v>0</v>
      </c>
      <c r="U1025" s="846"/>
      <c r="V1025" s="847"/>
      <c r="W1025" s="846"/>
      <c r="X1025" s="846"/>
      <c r="Y1025" s="740">
        <f t="shared" si="128"/>
        <v>0</v>
      </c>
      <c r="Z1025" s="847"/>
      <c r="AA1025" s="847"/>
      <c r="AB1025" s="741">
        <f t="shared" si="129"/>
        <v>0</v>
      </c>
      <c r="AC1025" s="846"/>
      <c r="AD1025" s="847"/>
      <c r="AE1025" s="846"/>
      <c r="AF1025" s="846"/>
      <c r="AG1025" s="847"/>
      <c r="AH1025" s="847"/>
      <c r="AI1025" s="742">
        <f t="shared" si="133"/>
        <v>0</v>
      </c>
      <c r="AJ1025" s="743">
        <f t="shared" si="134"/>
        <v>0</v>
      </c>
    </row>
    <row r="1026" spans="1:36">
      <c r="A1026" s="840" t="s">
        <v>144</v>
      </c>
      <c r="B1026" s="841" t="s">
        <v>282</v>
      </c>
      <c r="C1026" s="848" t="s">
        <v>140</v>
      </c>
      <c r="D1026" s="849"/>
      <c r="E1026" s="844"/>
      <c r="F1026" s="845"/>
      <c r="G1026" s="846"/>
      <c r="H1026" s="847"/>
      <c r="I1026" s="846"/>
      <c r="J1026" s="847"/>
      <c r="K1026" s="846"/>
      <c r="L1026" s="847"/>
      <c r="M1026" s="846"/>
      <c r="N1026" s="846"/>
      <c r="O1026" s="737">
        <f t="shared" si="127"/>
        <v>0</v>
      </c>
      <c r="P1026" s="847"/>
      <c r="Q1026" s="847"/>
      <c r="R1026" s="738">
        <f t="shared" si="130"/>
        <v>0</v>
      </c>
      <c r="S1026" s="737">
        <f t="shared" si="131"/>
        <v>0</v>
      </c>
      <c r="T1026" s="739">
        <f t="shared" si="132"/>
        <v>0</v>
      </c>
      <c r="U1026" s="846"/>
      <c r="V1026" s="847"/>
      <c r="W1026" s="846"/>
      <c r="X1026" s="846"/>
      <c r="Y1026" s="740">
        <f t="shared" si="128"/>
        <v>0</v>
      </c>
      <c r="Z1026" s="847"/>
      <c r="AA1026" s="847"/>
      <c r="AB1026" s="741">
        <f t="shared" si="129"/>
        <v>0</v>
      </c>
      <c r="AC1026" s="846"/>
      <c r="AD1026" s="847"/>
      <c r="AE1026" s="846"/>
      <c r="AF1026" s="846"/>
      <c r="AG1026" s="847"/>
      <c r="AH1026" s="847"/>
      <c r="AI1026" s="742">
        <f t="shared" si="133"/>
        <v>0</v>
      </c>
      <c r="AJ1026" s="743">
        <f t="shared" si="134"/>
        <v>0</v>
      </c>
    </row>
    <row r="1027" spans="1:36">
      <c r="A1027" s="840" t="s">
        <v>144</v>
      </c>
      <c r="B1027" s="841" t="s">
        <v>282</v>
      </c>
      <c r="C1027" s="850" t="s">
        <v>501</v>
      </c>
      <c r="D1027" s="849"/>
      <c r="E1027" s="866"/>
      <c r="F1027" s="867"/>
      <c r="G1027" s="846"/>
      <c r="H1027" s="847"/>
      <c r="I1027" s="846"/>
      <c r="J1027" s="847"/>
      <c r="K1027" s="846"/>
      <c r="L1027" s="847"/>
      <c r="M1027" s="846"/>
      <c r="N1027" s="846"/>
      <c r="O1027" s="737">
        <f t="shared" si="127"/>
        <v>0</v>
      </c>
      <c r="P1027" s="847"/>
      <c r="Q1027" s="847"/>
      <c r="R1027" s="738">
        <f t="shared" si="130"/>
        <v>0</v>
      </c>
      <c r="S1027" s="737">
        <f t="shared" si="131"/>
        <v>0</v>
      </c>
      <c r="T1027" s="739">
        <f t="shared" si="132"/>
        <v>0</v>
      </c>
      <c r="U1027" s="846">
        <v>7190038</v>
      </c>
      <c r="V1027" s="847">
        <v>10309308</v>
      </c>
      <c r="W1027" s="846"/>
      <c r="X1027" s="846"/>
      <c r="Y1027" s="740">
        <f t="shared" si="128"/>
        <v>0</v>
      </c>
      <c r="Z1027" s="847"/>
      <c r="AA1027" s="847"/>
      <c r="AB1027" s="741">
        <f t="shared" si="129"/>
        <v>0</v>
      </c>
      <c r="AC1027" s="846"/>
      <c r="AD1027" s="847"/>
      <c r="AE1027" s="846"/>
      <c r="AF1027" s="846"/>
      <c r="AG1027" s="847"/>
      <c r="AH1027" s="847"/>
      <c r="AI1027" s="742">
        <f t="shared" si="133"/>
        <v>7190038</v>
      </c>
      <c r="AJ1027" s="743">
        <f t="shared" si="134"/>
        <v>10309308</v>
      </c>
    </row>
    <row r="1028" spans="1:36">
      <c r="A1028" s="840" t="s">
        <v>144</v>
      </c>
      <c r="B1028" s="841" t="s">
        <v>284</v>
      </c>
      <c r="C1028" s="848" t="s">
        <v>138</v>
      </c>
      <c r="D1028" s="849"/>
      <c r="E1028" s="866"/>
      <c r="F1028" s="845"/>
      <c r="G1028" s="846"/>
      <c r="H1028" s="847"/>
      <c r="I1028" s="846"/>
      <c r="J1028" s="847"/>
      <c r="K1028" s="846"/>
      <c r="L1028" s="847"/>
      <c r="M1028" s="846"/>
      <c r="N1028" s="846"/>
      <c r="O1028" s="737">
        <f t="shared" si="127"/>
        <v>0</v>
      </c>
      <c r="P1028" s="847"/>
      <c r="Q1028" s="847"/>
      <c r="R1028" s="738">
        <f t="shared" si="130"/>
        <v>0</v>
      </c>
      <c r="S1028" s="737">
        <f t="shared" si="131"/>
        <v>0</v>
      </c>
      <c r="T1028" s="739">
        <f t="shared" si="132"/>
        <v>0</v>
      </c>
      <c r="U1028" s="846"/>
      <c r="V1028" s="847"/>
      <c r="W1028" s="846"/>
      <c r="X1028" s="846"/>
      <c r="Y1028" s="740">
        <f t="shared" si="128"/>
        <v>0</v>
      </c>
      <c r="Z1028" s="847"/>
      <c r="AA1028" s="847"/>
      <c r="AB1028" s="741">
        <f t="shared" si="129"/>
        <v>0</v>
      </c>
      <c r="AC1028" s="846"/>
      <c r="AD1028" s="847"/>
      <c r="AE1028" s="846"/>
      <c r="AF1028" s="846"/>
      <c r="AG1028" s="847"/>
      <c r="AH1028" s="847"/>
      <c r="AI1028" s="742">
        <f t="shared" si="133"/>
        <v>0</v>
      </c>
      <c r="AJ1028" s="743">
        <f t="shared" si="134"/>
        <v>0</v>
      </c>
    </row>
    <row r="1029" spans="1:36">
      <c r="A1029" s="840" t="s">
        <v>144</v>
      </c>
      <c r="B1029" s="841" t="s">
        <v>284</v>
      </c>
      <c r="C1029" s="868" t="s">
        <v>502</v>
      </c>
      <c r="D1029" s="869"/>
      <c r="E1029" s="866"/>
      <c r="F1029" s="845"/>
      <c r="G1029" s="846"/>
      <c r="H1029" s="847"/>
      <c r="I1029" s="846"/>
      <c r="J1029" s="847"/>
      <c r="K1029" s="846"/>
      <c r="L1029" s="847"/>
      <c r="M1029" s="846"/>
      <c r="N1029" s="846"/>
      <c r="O1029" s="737">
        <f t="shared" si="127"/>
        <v>0</v>
      </c>
      <c r="P1029" s="847"/>
      <c r="Q1029" s="847"/>
      <c r="R1029" s="738">
        <f t="shared" si="130"/>
        <v>0</v>
      </c>
      <c r="S1029" s="737">
        <f t="shared" si="131"/>
        <v>0</v>
      </c>
      <c r="T1029" s="739">
        <f t="shared" si="132"/>
        <v>0</v>
      </c>
      <c r="U1029" s="846">
        <v>193550</v>
      </c>
      <c r="V1029" s="847">
        <v>199360</v>
      </c>
      <c r="W1029" s="846"/>
      <c r="X1029" s="846"/>
      <c r="Y1029" s="740">
        <f t="shared" si="128"/>
        <v>0</v>
      </c>
      <c r="Z1029" s="847"/>
      <c r="AA1029" s="847"/>
      <c r="AB1029" s="741">
        <f t="shared" si="129"/>
        <v>0</v>
      </c>
      <c r="AC1029" s="846"/>
      <c r="AD1029" s="847"/>
      <c r="AE1029" s="846"/>
      <c r="AF1029" s="846"/>
      <c r="AG1029" s="847"/>
      <c r="AH1029" s="847"/>
      <c r="AI1029" s="742">
        <f t="shared" si="133"/>
        <v>193550</v>
      </c>
      <c r="AJ1029" s="743">
        <f t="shared" si="134"/>
        <v>199360</v>
      </c>
    </row>
    <row r="1030" spans="1:36">
      <c r="A1030" s="840" t="s">
        <v>144</v>
      </c>
      <c r="B1030" s="841" t="s">
        <v>284</v>
      </c>
      <c r="C1030" s="868" t="s">
        <v>503</v>
      </c>
      <c r="D1030" s="869"/>
      <c r="E1030" s="866"/>
      <c r="F1030" s="845"/>
      <c r="G1030" s="846"/>
      <c r="H1030" s="847"/>
      <c r="I1030" s="846"/>
      <c r="J1030" s="847"/>
      <c r="K1030" s="846"/>
      <c r="L1030" s="847"/>
      <c r="M1030" s="846"/>
      <c r="N1030" s="846"/>
      <c r="O1030" s="737">
        <f t="shared" si="127"/>
        <v>0</v>
      </c>
      <c r="P1030" s="847"/>
      <c r="Q1030" s="847"/>
      <c r="R1030" s="738">
        <f t="shared" si="130"/>
        <v>0</v>
      </c>
      <c r="S1030" s="737">
        <f t="shared" si="131"/>
        <v>0</v>
      </c>
      <c r="T1030" s="739">
        <f t="shared" si="132"/>
        <v>0</v>
      </c>
      <c r="U1030" s="846">
        <v>498000</v>
      </c>
      <c r="V1030" s="847">
        <v>500000</v>
      </c>
      <c r="W1030" s="846"/>
      <c r="X1030" s="846"/>
      <c r="Y1030" s="740">
        <f t="shared" si="128"/>
        <v>0</v>
      </c>
      <c r="Z1030" s="847"/>
      <c r="AA1030" s="847"/>
      <c r="AB1030" s="741">
        <f t="shared" si="129"/>
        <v>0</v>
      </c>
      <c r="AC1030" s="846"/>
      <c r="AD1030" s="847"/>
      <c r="AE1030" s="846"/>
      <c r="AF1030" s="846"/>
      <c r="AG1030" s="847"/>
      <c r="AH1030" s="847"/>
      <c r="AI1030" s="742">
        <f t="shared" si="133"/>
        <v>498000</v>
      </c>
      <c r="AJ1030" s="743">
        <f t="shared" si="134"/>
        <v>500000</v>
      </c>
    </row>
    <row r="1031" spans="1:36">
      <c r="A1031" s="840" t="s">
        <v>144</v>
      </c>
      <c r="B1031" s="841" t="s">
        <v>285</v>
      </c>
      <c r="C1031" s="848" t="s">
        <v>504</v>
      </c>
      <c r="D1031" s="849"/>
      <c r="E1031" s="870"/>
      <c r="F1031" s="845"/>
      <c r="G1031" s="846"/>
      <c r="H1031" s="847"/>
      <c r="I1031" s="846"/>
      <c r="J1031" s="847"/>
      <c r="K1031" s="846"/>
      <c r="L1031" s="847"/>
      <c r="M1031" s="846"/>
      <c r="N1031" s="846"/>
      <c r="O1031" s="737">
        <f t="shared" si="127"/>
        <v>0</v>
      </c>
      <c r="P1031" s="847"/>
      <c r="Q1031" s="847"/>
      <c r="R1031" s="738">
        <f t="shared" si="130"/>
        <v>0</v>
      </c>
      <c r="S1031" s="737">
        <f t="shared" si="131"/>
        <v>0</v>
      </c>
      <c r="T1031" s="739">
        <f t="shared" si="132"/>
        <v>0</v>
      </c>
      <c r="U1031" s="846"/>
      <c r="V1031" s="847"/>
      <c r="W1031" s="846"/>
      <c r="X1031" s="846"/>
      <c r="Y1031" s="740">
        <f t="shared" si="128"/>
        <v>0</v>
      </c>
      <c r="Z1031" s="847"/>
      <c r="AA1031" s="847"/>
      <c r="AB1031" s="741">
        <f t="shared" si="129"/>
        <v>0</v>
      </c>
      <c r="AC1031" s="846"/>
      <c r="AD1031" s="847"/>
      <c r="AE1031" s="846"/>
      <c r="AF1031" s="846"/>
      <c r="AG1031" s="847"/>
      <c r="AH1031" s="847"/>
      <c r="AI1031" s="742">
        <f t="shared" si="133"/>
        <v>0</v>
      </c>
      <c r="AJ1031" s="743">
        <f t="shared" si="134"/>
        <v>0</v>
      </c>
    </row>
    <row r="1032" spans="1:36">
      <c r="A1032" s="840" t="s">
        <v>144</v>
      </c>
      <c r="B1032" s="841" t="s">
        <v>285</v>
      </c>
      <c r="C1032" s="850" t="s">
        <v>505</v>
      </c>
      <c r="D1032" s="849"/>
      <c r="E1032" s="870"/>
      <c r="F1032" s="867"/>
      <c r="G1032" s="846"/>
      <c r="H1032" s="847"/>
      <c r="I1032" s="846"/>
      <c r="J1032" s="847"/>
      <c r="K1032" s="846"/>
      <c r="L1032" s="847"/>
      <c r="M1032" s="846"/>
      <c r="N1032" s="846"/>
      <c r="O1032" s="737">
        <f t="shared" si="127"/>
        <v>0</v>
      </c>
      <c r="P1032" s="847"/>
      <c r="Q1032" s="847"/>
      <c r="R1032" s="738">
        <f t="shared" si="130"/>
        <v>0</v>
      </c>
      <c r="S1032" s="737">
        <f t="shared" si="131"/>
        <v>0</v>
      </c>
      <c r="T1032" s="739">
        <f t="shared" si="132"/>
        <v>0</v>
      </c>
      <c r="U1032" s="846"/>
      <c r="V1032" s="847"/>
      <c r="W1032" s="846"/>
      <c r="X1032" s="846"/>
      <c r="Y1032" s="740">
        <f t="shared" si="128"/>
        <v>0</v>
      </c>
      <c r="Z1032" s="847"/>
      <c r="AA1032" s="847"/>
      <c r="AB1032" s="741">
        <f t="shared" si="129"/>
        <v>0</v>
      </c>
      <c r="AC1032" s="846"/>
      <c r="AD1032" s="847"/>
      <c r="AE1032" s="846"/>
      <c r="AF1032" s="846"/>
      <c r="AG1032" s="847"/>
      <c r="AH1032" s="847"/>
      <c r="AI1032" s="742">
        <f t="shared" si="133"/>
        <v>0</v>
      </c>
      <c r="AJ1032" s="743">
        <f t="shared" si="134"/>
        <v>0</v>
      </c>
    </row>
    <row r="1033" spans="1:36">
      <c r="A1033" s="840" t="s">
        <v>144</v>
      </c>
      <c r="B1033" s="841" t="s">
        <v>286</v>
      </c>
      <c r="C1033" s="865" t="s">
        <v>506</v>
      </c>
      <c r="D1033" s="843"/>
      <c r="E1033" s="866"/>
      <c r="F1033" s="867"/>
      <c r="G1033" s="846"/>
      <c r="H1033" s="847"/>
      <c r="I1033" s="846"/>
      <c r="J1033" s="847"/>
      <c r="K1033" s="846"/>
      <c r="L1033" s="847"/>
      <c r="M1033" s="846"/>
      <c r="N1033" s="846"/>
      <c r="O1033" s="737">
        <f t="shared" si="127"/>
        <v>0</v>
      </c>
      <c r="P1033" s="847"/>
      <c r="Q1033" s="847"/>
      <c r="R1033" s="738">
        <f t="shared" si="130"/>
        <v>0</v>
      </c>
      <c r="S1033" s="737">
        <f t="shared" si="131"/>
        <v>0</v>
      </c>
      <c r="T1033" s="739">
        <f t="shared" si="132"/>
        <v>0</v>
      </c>
      <c r="U1033" s="846"/>
      <c r="V1033" s="847"/>
      <c r="W1033" s="846"/>
      <c r="X1033" s="846"/>
      <c r="Y1033" s="740">
        <f t="shared" si="128"/>
        <v>0</v>
      </c>
      <c r="Z1033" s="847"/>
      <c r="AA1033" s="847"/>
      <c r="AB1033" s="741">
        <f t="shared" si="129"/>
        <v>0</v>
      </c>
      <c r="AC1033" s="846"/>
      <c r="AD1033" s="847"/>
      <c r="AE1033" s="846"/>
      <c r="AF1033" s="846"/>
      <c r="AG1033" s="847"/>
      <c r="AH1033" s="847"/>
      <c r="AI1033" s="742">
        <f t="shared" si="133"/>
        <v>0</v>
      </c>
      <c r="AJ1033" s="743">
        <f t="shared" si="134"/>
        <v>0</v>
      </c>
    </row>
    <row r="1034" spans="1:36">
      <c r="A1034" s="840" t="s">
        <v>144</v>
      </c>
      <c r="B1034" s="841" t="s">
        <v>286</v>
      </c>
      <c r="C1034" s="850" t="s">
        <v>507</v>
      </c>
      <c r="D1034" s="849"/>
      <c r="E1034" s="866"/>
      <c r="F1034" s="867"/>
      <c r="G1034" s="846"/>
      <c r="H1034" s="847"/>
      <c r="I1034" s="846"/>
      <c r="J1034" s="847"/>
      <c r="K1034" s="846"/>
      <c r="L1034" s="847"/>
      <c r="M1034" s="846"/>
      <c r="N1034" s="846"/>
      <c r="O1034" s="737">
        <f t="shared" ref="O1034:O1097" si="135">SUM(M1034:N1034)</f>
        <v>0</v>
      </c>
      <c r="P1034" s="847"/>
      <c r="Q1034" s="847"/>
      <c r="R1034" s="738">
        <f t="shared" si="130"/>
        <v>0</v>
      </c>
      <c r="S1034" s="737">
        <f t="shared" si="131"/>
        <v>0</v>
      </c>
      <c r="T1034" s="739">
        <f t="shared" si="132"/>
        <v>0</v>
      </c>
      <c r="U1034" s="846">
        <v>2288309</v>
      </c>
      <c r="V1034" s="847">
        <v>2329780</v>
      </c>
      <c r="W1034" s="846"/>
      <c r="X1034" s="846"/>
      <c r="Y1034" s="740">
        <f t="shared" ref="Y1034:Y1097" si="136">SUM(W1034:X1034)</f>
        <v>0</v>
      </c>
      <c r="Z1034" s="847"/>
      <c r="AA1034" s="847"/>
      <c r="AB1034" s="741">
        <f t="shared" ref="AB1034:AB1097" si="137">SUM(Z1034:AA1034)</f>
        <v>0</v>
      </c>
      <c r="AC1034" s="846"/>
      <c r="AD1034" s="847"/>
      <c r="AE1034" s="846"/>
      <c r="AF1034" s="846"/>
      <c r="AG1034" s="847"/>
      <c r="AH1034" s="847"/>
      <c r="AI1034" s="742">
        <f t="shared" si="133"/>
        <v>2288309</v>
      </c>
      <c r="AJ1034" s="743">
        <f t="shared" si="134"/>
        <v>2329780</v>
      </c>
    </row>
    <row r="1035" spans="1:36">
      <c r="A1035" s="840" t="s">
        <v>144</v>
      </c>
      <c r="B1035" s="841" t="s">
        <v>286</v>
      </c>
      <c r="C1035" s="850" t="s">
        <v>508</v>
      </c>
      <c r="D1035" s="849"/>
      <c r="E1035" s="866"/>
      <c r="F1035" s="867"/>
      <c r="G1035" s="846"/>
      <c r="H1035" s="847"/>
      <c r="I1035" s="846"/>
      <c r="J1035" s="847"/>
      <c r="K1035" s="846"/>
      <c r="L1035" s="847"/>
      <c r="M1035" s="846"/>
      <c r="N1035" s="846"/>
      <c r="O1035" s="737">
        <f t="shared" si="135"/>
        <v>0</v>
      </c>
      <c r="P1035" s="847"/>
      <c r="Q1035" s="847"/>
      <c r="R1035" s="738">
        <f t="shared" ref="R1035:R1098" si="138">SUM(P1035:Q1035)</f>
        <v>0</v>
      </c>
      <c r="S1035" s="737">
        <f t="shared" ref="S1035:S1098" si="139">SUM(G1035,I1035,K1035,M1035)</f>
        <v>0</v>
      </c>
      <c r="T1035" s="739">
        <f t="shared" ref="T1035:T1098" si="140">SUM(H1035,J1035,L1035,P1035)</f>
        <v>0</v>
      </c>
      <c r="U1035" s="846">
        <v>20969911</v>
      </c>
      <c r="V1035" s="847">
        <v>22769911</v>
      </c>
      <c r="W1035" s="846"/>
      <c r="X1035" s="846"/>
      <c r="Y1035" s="740">
        <f t="shared" si="136"/>
        <v>0</v>
      </c>
      <c r="Z1035" s="847"/>
      <c r="AA1035" s="847"/>
      <c r="AB1035" s="741">
        <f t="shared" si="137"/>
        <v>0</v>
      </c>
      <c r="AC1035" s="846"/>
      <c r="AD1035" s="847"/>
      <c r="AE1035" s="846"/>
      <c r="AF1035" s="846"/>
      <c r="AG1035" s="847"/>
      <c r="AH1035" s="847"/>
      <c r="AI1035" s="742">
        <f t="shared" ref="AI1035:AI1098" si="141">SUM(S1035,U1035,W1035,AC1035,AE1035)</f>
        <v>20969911</v>
      </c>
      <c r="AJ1035" s="743">
        <f t="shared" ref="AJ1035:AJ1098" si="142">SUM(T1035,V1035,Z1035,AD1035,AG1035)</f>
        <v>22769911</v>
      </c>
    </row>
    <row r="1036" spans="1:36">
      <c r="A1036" s="840" t="s">
        <v>144</v>
      </c>
      <c r="B1036" s="841" t="s">
        <v>286</v>
      </c>
      <c r="C1036" s="850" t="s">
        <v>509</v>
      </c>
      <c r="D1036" s="849"/>
      <c r="E1036" s="866"/>
      <c r="F1036" s="867"/>
      <c r="G1036" s="846"/>
      <c r="H1036" s="847"/>
      <c r="I1036" s="846"/>
      <c r="J1036" s="847"/>
      <c r="K1036" s="846"/>
      <c r="L1036" s="847"/>
      <c r="M1036" s="846"/>
      <c r="N1036" s="846"/>
      <c r="O1036" s="737">
        <f t="shared" si="135"/>
        <v>0</v>
      </c>
      <c r="P1036" s="847"/>
      <c r="Q1036" s="847"/>
      <c r="R1036" s="738">
        <f t="shared" si="138"/>
        <v>0</v>
      </c>
      <c r="S1036" s="737">
        <f t="shared" si="139"/>
        <v>0</v>
      </c>
      <c r="T1036" s="739">
        <f t="shared" si="140"/>
        <v>0</v>
      </c>
      <c r="U1036" s="846">
        <v>10933643</v>
      </c>
      <c r="V1036" s="847">
        <v>15933643</v>
      </c>
      <c r="W1036" s="846"/>
      <c r="X1036" s="846"/>
      <c r="Y1036" s="740">
        <f t="shared" si="136"/>
        <v>0</v>
      </c>
      <c r="Z1036" s="847"/>
      <c r="AA1036" s="847"/>
      <c r="AB1036" s="741">
        <f t="shared" si="137"/>
        <v>0</v>
      </c>
      <c r="AC1036" s="846"/>
      <c r="AD1036" s="847"/>
      <c r="AE1036" s="846"/>
      <c r="AF1036" s="846"/>
      <c r="AG1036" s="847"/>
      <c r="AH1036" s="847"/>
      <c r="AI1036" s="742">
        <f t="shared" si="141"/>
        <v>10933643</v>
      </c>
      <c r="AJ1036" s="743">
        <f t="shared" si="142"/>
        <v>15933643</v>
      </c>
    </row>
    <row r="1037" spans="1:36">
      <c r="A1037" s="840" t="s">
        <v>144</v>
      </c>
      <c r="B1037" s="841" t="s">
        <v>287</v>
      </c>
      <c r="C1037" s="865" t="s">
        <v>510</v>
      </c>
      <c r="D1037" s="843"/>
      <c r="E1037" s="866"/>
      <c r="F1037" s="867"/>
      <c r="G1037" s="846"/>
      <c r="H1037" s="847"/>
      <c r="I1037" s="846"/>
      <c r="J1037" s="847"/>
      <c r="K1037" s="846"/>
      <c r="L1037" s="847"/>
      <c r="M1037" s="846"/>
      <c r="N1037" s="846"/>
      <c r="O1037" s="737">
        <f t="shared" si="135"/>
        <v>0</v>
      </c>
      <c r="P1037" s="847"/>
      <c r="Q1037" s="847"/>
      <c r="R1037" s="738">
        <f t="shared" si="138"/>
        <v>0</v>
      </c>
      <c r="S1037" s="737">
        <f t="shared" si="139"/>
        <v>0</v>
      </c>
      <c r="T1037" s="739">
        <f t="shared" si="140"/>
        <v>0</v>
      </c>
      <c r="U1037" s="846"/>
      <c r="V1037" s="847"/>
      <c r="W1037" s="846"/>
      <c r="X1037" s="846"/>
      <c r="Y1037" s="740">
        <f t="shared" si="136"/>
        <v>0</v>
      </c>
      <c r="Z1037" s="847"/>
      <c r="AA1037" s="847"/>
      <c r="AB1037" s="741">
        <f t="shared" si="137"/>
        <v>0</v>
      </c>
      <c r="AC1037" s="846"/>
      <c r="AD1037" s="847"/>
      <c r="AE1037" s="846"/>
      <c r="AF1037" s="846"/>
      <c r="AG1037" s="847"/>
      <c r="AH1037" s="847"/>
      <c r="AI1037" s="742">
        <f t="shared" si="141"/>
        <v>0</v>
      </c>
      <c r="AJ1037" s="743">
        <f t="shared" si="142"/>
        <v>0</v>
      </c>
    </row>
    <row r="1038" spans="1:36">
      <c r="A1038" s="840" t="s">
        <v>144</v>
      </c>
      <c r="B1038" s="841" t="s">
        <v>288</v>
      </c>
      <c r="C1038" s="848" t="s">
        <v>511</v>
      </c>
      <c r="D1038" s="849"/>
      <c r="E1038" s="866"/>
      <c r="F1038" s="867"/>
      <c r="G1038" s="846"/>
      <c r="H1038" s="847"/>
      <c r="I1038" s="846"/>
      <c r="J1038" s="847"/>
      <c r="K1038" s="846"/>
      <c r="L1038" s="847"/>
      <c r="M1038" s="846"/>
      <c r="N1038" s="846"/>
      <c r="O1038" s="737">
        <f t="shared" si="135"/>
        <v>0</v>
      </c>
      <c r="P1038" s="847"/>
      <c r="Q1038" s="847"/>
      <c r="R1038" s="738">
        <f t="shared" si="138"/>
        <v>0</v>
      </c>
      <c r="S1038" s="737">
        <f t="shared" si="139"/>
        <v>0</v>
      </c>
      <c r="T1038" s="739">
        <f t="shared" si="140"/>
        <v>0</v>
      </c>
      <c r="U1038" s="846"/>
      <c r="V1038" s="847"/>
      <c r="W1038" s="846"/>
      <c r="X1038" s="846"/>
      <c r="Y1038" s="740">
        <f t="shared" si="136"/>
        <v>0</v>
      </c>
      <c r="Z1038" s="847"/>
      <c r="AA1038" s="847"/>
      <c r="AB1038" s="741">
        <f t="shared" si="137"/>
        <v>0</v>
      </c>
      <c r="AC1038" s="846"/>
      <c r="AD1038" s="847"/>
      <c r="AE1038" s="846"/>
      <c r="AF1038" s="846"/>
      <c r="AG1038" s="847"/>
      <c r="AH1038" s="847"/>
      <c r="AI1038" s="742">
        <f t="shared" si="141"/>
        <v>0</v>
      </c>
      <c r="AJ1038" s="743">
        <f t="shared" si="142"/>
        <v>0</v>
      </c>
    </row>
    <row r="1039" spans="1:36">
      <c r="A1039" s="840" t="s">
        <v>144</v>
      </c>
      <c r="B1039" s="841" t="s">
        <v>288</v>
      </c>
      <c r="C1039" s="850" t="s">
        <v>512</v>
      </c>
      <c r="D1039" s="849"/>
      <c r="E1039" s="866"/>
      <c r="F1039" s="867"/>
      <c r="G1039" s="846"/>
      <c r="H1039" s="847"/>
      <c r="I1039" s="846"/>
      <c r="J1039" s="847"/>
      <c r="K1039" s="846"/>
      <c r="L1039" s="847"/>
      <c r="M1039" s="846"/>
      <c r="N1039" s="846"/>
      <c r="O1039" s="737">
        <f t="shared" si="135"/>
        <v>0</v>
      </c>
      <c r="P1039" s="847"/>
      <c r="Q1039" s="847"/>
      <c r="R1039" s="738">
        <f t="shared" si="138"/>
        <v>0</v>
      </c>
      <c r="S1039" s="737">
        <f t="shared" si="139"/>
        <v>0</v>
      </c>
      <c r="T1039" s="739">
        <f t="shared" si="140"/>
        <v>0</v>
      </c>
      <c r="U1039" s="846"/>
      <c r="V1039" s="847"/>
      <c r="W1039" s="846"/>
      <c r="X1039" s="846"/>
      <c r="Y1039" s="740">
        <f t="shared" si="136"/>
        <v>0</v>
      </c>
      <c r="Z1039" s="847"/>
      <c r="AA1039" s="847"/>
      <c r="AB1039" s="741">
        <f t="shared" si="137"/>
        <v>0</v>
      </c>
      <c r="AC1039" s="846"/>
      <c r="AD1039" s="847"/>
      <c r="AE1039" s="846"/>
      <c r="AF1039" s="846"/>
      <c r="AG1039" s="847"/>
      <c r="AH1039" s="847"/>
      <c r="AI1039" s="742">
        <f t="shared" si="141"/>
        <v>0</v>
      </c>
      <c r="AJ1039" s="743">
        <f t="shared" si="142"/>
        <v>0</v>
      </c>
    </row>
    <row r="1040" spans="1:36">
      <c r="A1040" s="840" t="s">
        <v>144</v>
      </c>
      <c r="B1040" s="841" t="s">
        <v>288</v>
      </c>
      <c r="C1040" s="850" t="s">
        <v>513</v>
      </c>
      <c r="D1040" s="849"/>
      <c r="E1040" s="866"/>
      <c r="F1040" s="867"/>
      <c r="G1040" s="846"/>
      <c r="H1040" s="847"/>
      <c r="I1040" s="846"/>
      <c r="J1040" s="847"/>
      <c r="K1040" s="846"/>
      <c r="L1040" s="847"/>
      <c r="M1040" s="846"/>
      <c r="N1040" s="846"/>
      <c r="O1040" s="737">
        <f t="shared" si="135"/>
        <v>0</v>
      </c>
      <c r="P1040" s="847"/>
      <c r="Q1040" s="847"/>
      <c r="R1040" s="738">
        <f t="shared" si="138"/>
        <v>0</v>
      </c>
      <c r="S1040" s="737">
        <f t="shared" si="139"/>
        <v>0</v>
      </c>
      <c r="T1040" s="739">
        <f t="shared" si="140"/>
        <v>0</v>
      </c>
      <c r="U1040" s="846">
        <v>367200</v>
      </c>
      <c r="V1040" s="847">
        <v>381600</v>
      </c>
      <c r="W1040" s="846"/>
      <c r="X1040" s="846"/>
      <c r="Y1040" s="740">
        <f t="shared" si="136"/>
        <v>0</v>
      </c>
      <c r="Z1040" s="847"/>
      <c r="AA1040" s="847"/>
      <c r="AB1040" s="741">
        <f t="shared" si="137"/>
        <v>0</v>
      </c>
      <c r="AC1040" s="846"/>
      <c r="AD1040" s="847"/>
      <c r="AE1040" s="846"/>
      <c r="AF1040" s="846"/>
      <c r="AG1040" s="847"/>
      <c r="AH1040" s="847"/>
      <c r="AI1040" s="742">
        <f t="shared" si="141"/>
        <v>367200</v>
      </c>
      <c r="AJ1040" s="743">
        <f t="shared" si="142"/>
        <v>381600</v>
      </c>
    </row>
    <row r="1041" spans="1:36">
      <c r="A1041" s="840" t="s">
        <v>144</v>
      </c>
      <c r="B1041" s="841" t="s">
        <v>288</v>
      </c>
      <c r="C1041" s="850" t="s">
        <v>514</v>
      </c>
      <c r="D1041" s="849"/>
      <c r="E1041" s="866"/>
      <c r="F1041" s="867"/>
      <c r="G1041" s="846"/>
      <c r="H1041" s="847"/>
      <c r="I1041" s="846"/>
      <c r="J1041" s="847"/>
      <c r="K1041" s="846"/>
      <c r="L1041" s="847"/>
      <c r="M1041" s="846"/>
      <c r="N1041" s="846"/>
      <c r="O1041" s="737">
        <f t="shared" si="135"/>
        <v>0</v>
      </c>
      <c r="P1041" s="847"/>
      <c r="Q1041" s="847"/>
      <c r="R1041" s="738">
        <f t="shared" si="138"/>
        <v>0</v>
      </c>
      <c r="S1041" s="737">
        <f t="shared" si="139"/>
        <v>0</v>
      </c>
      <c r="T1041" s="739">
        <f t="shared" si="140"/>
        <v>0</v>
      </c>
      <c r="U1041" s="846">
        <v>0</v>
      </c>
      <c r="V1041" s="847"/>
      <c r="W1041" s="846"/>
      <c r="X1041" s="846"/>
      <c r="Y1041" s="740">
        <f t="shared" si="136"/>
        <v>0</v>
      </c>
      <c r="Z1041" s="847"/>
      <c r="AA1041" s="847"/>
      <c r="AB1041" s="741">
        <f t="shared" si="137"/>
        <v>0</v>
      </c>
      <c r="AC1041" s="846"/>
      <c r="AD1041" s="847"/>
      <c r="AE1041" s="846"/>
      <c r="AF1041" s="846"/>
      <c r="AG1041" s="847"/>
      <c r="AH1041" s="847"/>
      <c r="AI1041" s="742">
        <f t="shared" si="141"/>
        <v>0</v>
      </c>
      <c r="AJ1041" s="743">
        <f t="shared" si="142"/>
        <v>0</v>
      </c>
    </row>
    <row r="1042" spans="1:36">
      <c r="A1042" s="840" t="s">
        <v>144</v>
      </c>
      <c r="B1042" s="841" t="s">
        <v>289</v>
      </c>
      <c r="C1042" s="848" t="s">
        <v>515</v>
      </c>
      <c r="D1042" s="849"/>
      <c r="E1042" s="866"/>
      <c r="F1042" s="867"/>
      <c r="G1042" s="846"/>
      <c r="H1042" s="847"/>
      <c r="I1042" s="846"/>
      <c r="J1042" s="847"/>
      <c r="K1042" s="846"/>
      <c r="L1042" s="847"/>
      <c r="M1042" s="846"/>
      <c r="N1042" s="846"/>
      <c r="O1042" s="737">
        <f t="shared" si="135"/>
        <v>0</v>
      </c>
      <c r="P1042" s="847"/>
      <c r="Q1042" s="847"/>
      <c r="R1042" s="738">
        <f t="shared" si="138"/>
        <v>0</v>
      </c>
      <c r="S1042" s="737">
        <f t="shared" si="139"/>
        <v>0</v>
      </c>
      <c r="T1042" s="739">
        <f t="shared" si="140"/>
        <v>0</v>
      </c>
      <c r="U1042" s="846"/>
      <c r="V1042" s="847"/>
      <c r="W1042" s="846"/>
      <c r="X1042" s="846"/>
      <c r="Y1042" s="740">
        <f t="shared" si="136"/>
        <v>0</v>
      </c>
      <c r="Z1042" s="847"/>
      <c r="AA1042" s="847"/>
      <c r="AB1042" s="741">
        <f t="shared" si="137"/>
        <v>0</v>
      </c>
      <c r="AC1042" s="846"/>
      <c r="AD1042" s="847"/>
      <c r="AE1042" s="846"/>
      <c r="AF1042" s="846"/>
      <c r="AG1042" s="847"/>
      <c r="AH1042" s="847"/>
      <c r="AI1042" s="742">
        <f t="shared" si="141"/>
        <v>0</v>
      </c>
      <c r="AJ1042" s="743">
        <f t="shared" si="142"/>
        <v>0</v>
      </c>
    </row>
    <row r="1043" spans="1:36">
      <c r="A1043" s="840" t="s">
        <v>144</v>
      </c>
      <c r="B1043" s="841" t="s">
        <v>289</v>
      </c>
      <c r="C1043" s="850" t="s">
        <v>516</v>
      </c>
      <c r="D1043" s="849"/>
      <c r="E1043" s="866"/>
      <c r="F1043" s="867"/>
      <c r="G1043" s="846"/>
      <c r="H1043" s="847"/>
      <c r="I1043" s="846"/>
      <c r="J1043" s="847"/>
      <c r="K1043" s="846"/>
      <c r="L1043" s="847"/>
      <c r="M1043" s="846"/>
      <c r="N1043" s="846"/>
      <c r="O1043" s="737">
        <f t="shared" si="135"/>
        <v>0</v>
      </c>
      <c r="P1043" s="847"/>
      <c r="Q1043" s="847"/>
      <c r="R1043" s="738">
        <f t="shared" si="138"/>
        <v>0</v>
      </c>
      <c r="S1043" s="737">
        <f t="shared" si="139"/>
        <v>0</v>
      </c>
      <c r="T1043" s="739">
        <f t="shared" si="140"/>
        <v>0</v>
      </c>
      <c r="U1043" s="846">
        <v>153000</v>
      </c>
      <c r="V1043" s="847">
        <v>159000</v>
      </c>
      <c r="W1043" s="846"/>
      <c r="X1043" s="846"/>
      <c r="Y1043" s="740">
        <f t="shared" si="136"/>
        <v>0</v>
      </c>
      <c r="Z1043" s="847"/>
      <c r="AA1043" s="847"/>
      <c r="AB1043" s="741">
        <f t="shared" si="137"/>
        <v>0</v>
      </c>
      <c r="AC1043" s="846"/>
      <c r="AD1043" s="847"/>
      <c r="AE1043" s="846"/>
      <c r="AF1043" s="846"/>
      <c r="AG1043" s="847"/>
      <c r="AH1043" s="847"/>
      <c r="AI1043" s="742">
        <f t="shared" si="141"/>
        <v>153000</v>
      </c>
      <c r="AJ1043" s="743">
        <f t="shared" si="142"/>
        <v>159000</v>
      </c>
    </row>
    <row r="1044" spans="1:36">
      <c r="A1044" s="840" t="s">
        <v>144</v>
      </c>
      <c r="B1044" s="841" t="s">
        <v>290</v>
      </c>
      <c r="C1044" s="848" t="s">
        <v>517</v>
      </c>
      <c r="D1044" s="849"/>
      <c r="E1044" s="866"/>
      <c r="F1044" s="867"/>
      <c r="G1044" s="846"/>
      <c r="H1044" s="847"/>
      <c r="I1044" s="846"/>
      <c r="J1044" s="847"/>
      <c r="K1044" s="846"/>
      <c r="L1044" s="847"/>
      <c r="M1044" s="846"/>
      <c r="N1044" s="846"/>
      <c r="O1044" s="737">
        <f t="shared" si="135"/>
        <v>0</v>
      </c>
      <c r="P1044" s="847"/>
      <c r="Q1044" s="847"/>
      <c r="R1044" s="738">
        <f t="shared" si="138"/>
        <v>0</v>
      </c>
      <c r="S1044" s="737">
        <f t="shared" si="139"/>
        <v>0</v>
      </c>
      <c r="T1044" s="739">
        <f t="shared" si="140"/>
        <v>0</v>
      </c>
      <c r="U1044" s="846"/>
      <c r="V1044" s="847"/>
      <c r="W1044" s="846"/>
      <c r="X1044" s="846"/>
      <c r="Y1044" s="740">
        <f t="shared" si="136"/>
        <v>0</v>
      </c>
      <c r="Z1044" s="847"/>
      <c r="AA1044" s="847"/>
      <c r="AB1044" s="741">
        <f t="shared" si="137"/>
        <v>0</v>
      </c>
      <c r="AC1044" s="846"/>
      <c r="AD1044" s="847"/>
      <c r="AE1044" s="846"/>
      <c r="AF1044" s="846"/>
      <c r="AG1044" s="847"/>
      <c r="AH1044" s="847"/>
      <c r="AI1044" s="742">
        <f t="shared" si="141"/>
        <v>0</v>
      </c>
      <c r="AJ1044" s="743">
        <f t="shared" si="142"/>
        <v>0</v>
      </c>
    </row>
    <row r="1045" spans="1:36">
      <c r="A1045" s="840" t="s">
        <v>144</v>
      </c>
      <c r="B1045" s="841" t="s">
        <v>290</v>
      </c>
      <c r="C1045" s="850" t="s">
        <v>508</v>
      </c>
      <c r="D1045" s="849"/>
      <c r="E1045" s="866"/>
      <c r="F1045" s="867"/>
      <c r="G1045" s="846"/>
      <c r="H1045" s="847"/>
      <c r="I1045" s="846"/>
      <c r="J1045" s="847"/>
      <c r="K1045" s="846"/>
      <c r="L1045" s="847"/>
      <c r="M1045" s="846"/>
      <c r="N1045" s="846"/>
      <c r="O1045" s="737">
        <f t="shared" si="135"/>
        <v>0</v>
      </c>
      <c r="P1045" s="847"/>
      <c r="Q1045" s="847"/>
      <c r="R1045" s="738">
        <f t="shared" si="138"/>
        <v>0</v>
      </c>
      <c r="S1045" s="737">
        <f t="shared" si="139"/>
        <v>0</v>
      </c>
      <c r="T1045" s="739">
        <f t="shared" si="140"/>
        <v>0</v>
      </c>
      <c r="U1045" s="846">
        <v>1336343</v>
      </c>
      <c r="V1045" s="847">
        <v>1336343</v>
      </c>
      <c r="W1045" s="846"/>
      <c r="X1045" s="846"/>
      <c r="Y1045" s="740">
        <f t="shared" si="136"/>
        <v>0</v>
      </c>
      <c r="Z1045" s="847"/>
      <c r="AA1045" s="847"/>
      <c r="AB1045" s="741">
        <f t="shared" si="137"/>
        <v>0</v>
      </c>
      <c r="AC1045" s="846"/>
      <c r="AD1045" s="847"/>
      <c r="AE1045" s="846"/>
      <c r="AF1045" s="846"/>
      <c r="AG1045" s="847"/>
      <c r="AH1045" s="847"/>
      <c r="AI1045" s="742">
        <f t="shared" si="141"/>
        <v>1336343</v>
      </c>
      <c r="AJ1045" s="743">
        <f t="shared" si="142"/>
        <v>1336343</v>
      </c>
    </row>
    <row r="1046" spans="1:36">
      <c r="A1046" s="840" t="s">
        <v>144</v>
      </c>
      <c r="B1046" s="841" t="s">
        <v>290</v>
      </c>
      <c r="C1046" s="850" t="s">
        <v>509</v>
      </c>
      <c r="D1046" s="849"/>
      <c r="E1046" s="866"/>
      <c r="F1046" s="867"/>
      <c r="G1046" s="846"/>
      <c r="H1046" s="847"/>
      <c r="I1046" s="846"/>
      <c r="J1046" s="847"/>
      <c r="K1046" s="846"/>
      <c r="L1046" s="847"/>
      <c r="M1046" s="846"/>
      <c r="N1046" s="846"/>
      <c r="O1046" s="737">
        <f t="shared" si="135"/>
        <v>0</v>
      </c>
      <c r="P1046" s="847"/>
      <c r="Q1046" s="847"/>
      <c r="R1046" s="738">
        <f t="shared" si="138"/>
        <v>0</v>
      </c>
      <c r="S1046" s="737">
        <f t="shared" si="139"/>
        <v>0</v>
      </c>
      <c r="T1046" s="739">
        <f t="shared" si="140"/>
        <v>0</v>
      </c>
      <c r="U1046" s="846">
        <v>0</v>
      </c>
      <c r="V1046" s="847"/>
      <c r="W1046" s="846"/>
      <c r="X1046" s="846"/>
      <c r="Y1046" s="740">
        <f t="shared" si="136"/>
        <v>0</v>
      </c>
      <c r="Z1046" s="847"/>
      <c r="AA1046" s="847"/>
      <c r="AB1046" s="741">
        <f t="shared" si="137"/>
        <v>0</v>
      </c>
      <c r="AC1046" s="846"/>
      <c r="AD1046" s="847"/>
      <c r="AE1046" s="846"/>
      <c r="AF1046" s="846"/>
      <c r="AG1046" s="847"/>
      <c r="AH1046" s="847"/>
      <c r="AI1046" s="742">
        <f t="shared" si="141"/>
        <v>0</v>
      </c>
      <c r="AJ1046" s="743">
        <f t="shared" si="142"/>
        <v>0</v>
      </c>
    </row>
    <row r="1047" spans="1:36">
      <c r="A1047" s="840" t="s">
        <v>144</v>
      </c>
      <c r="B1047" s="841" t="s">
        <v>290</v>
      </c>
      <c r="C1047" s="850" t="s">
        <v>518</v>
      </c>
      <c r="D1047" s="849"/>
      <c r="E1047" s="866"/>
      <c r="F1047" s="867"/>
      <c r="G1047" s="846"/>
      <c r="H1047" s="847"/>
      <c r="I1047" s="846"/>
      <c r="J1047" s="847"/>
      <c r="K1047" s="846"/>
      <c r="L1047" s="847"/>
      <c r="M1047" s="846"/>
      <c r="N1047" s="846"/>
      <c r="O1047" s="737">
        <f t="shared" si="135"/>
        <v>0</v>
      </c>
      <c r="P1047" s="847"/>
      <c r="Q1047" s="847"/>
      <c r="R1047" s="738">
        <f t="shared" si="138"/>
        <v>0</v>
      </c>
      <c r="S1047" s="737">
        <f t="shared" si="139"/>
        <v>0</v>
      </c>
      <c r="T1047" s="739">
        <f t="shared" si="140"/>
        <v>0</v>
      </c>
      <c r="U1047" s="846">
        <v>719089</v>
      </c>
      <c r="V1047" s="847">
        <v>719089</v>
      </c>
      <c r="W1047" s="846"/>
      <c r="X1047" s="846"/>
      <c r="Y1047" s="740">
        <f t="shared" si="136"/>
        <v>0</v>
      </c>
      <c r="Z1047" s="847"/>
      <c r="AA1047" s="847"/>
      <c r="AB1047" s="741">
        <f t="shared" si="137"/>
        <v>0</v>
      </c>
      <c r="AC1047" s="846"/>
      <c r="AD1047" s="847"/>
      <c r="AE1047" s="846"/>
      <c r="AF1047" s="846"/>
      <c r="AG1047" s="847"/>
      <c r="AH1047" s="847"/>
      <c r="AI1047" s="742">
        <f t="shared" si="141"/>
        <v>719089</v>
      </c>
      <c r="AJ1047" s="743">
        <f t="shared" si="142"/>
        <v>719089</v>
      </c>
    </row>
    <row r="1048" spans="1:36">
      <c r="A1048" s="840" t="s">
        <v>144</v>
      </c>
      <c r="B1048" s="841" t="s">
        <v>290</v>
      </c>
      <c r="C1048" s="850" t="s">
        <v>519</v>
      </c>
      <c r="D1048" s="849"/>
      <c r="E1048" s="866"/>
      <c r="F1048" s="867"/>
      <c r="G1048" s="846"/>
      <c r="H1048" s="847"/>
      <c r="I1048" s="846"/>
      <c r="J1048" s="847"/>
      <c r="K1048" s="846"/>
      <c r="L1048" s="847"/>
      <c r="M1048" s="846"/>
      <c r="N1048" s="846"/>
      <c r="O1048" s="737">
        <f t="shared" si="135"/>
        <v>0</v>
      </c>
      <c r="P1048" s="847"/>
      <c r="Q1048" s="847"/>
      <c r="R1048" s="738">
        <f t="shared" si="138"/>
        <v>0</v>
      </c>
      <c r="S1048" s="737">
        <f t="shared" si="139"/>
        <v>0</v>
      </c>
      <c r="T1048" s="739">
        <f t="shared" si="140"/>
        <v>0</v>
      </c>
      <c r="U1048" s="846"/>
      <c r="V1048" s="847">
        <v>31818</v>
      </c>
      <c r="W1048" s="846"/>
      <c r="X1048" s="846"/>
      <c r="Y1048" s="740">
        <f t="shared" si="136"/>
        <v>0</v>
      </c>
      <c r="Z1048" s="847"/>
      <c r="AA1048" s="847"/>
      <c r="AB1048" s="741">
        <f t="shared" si="137"/>
        <v>0</v>
      </c>
      <c r="AC1048" s="846"/>
      <c r="AD1048" s="847"/>
      <c r="AE1048" s="846"/>
      <c r="AF1048" s="846"/>
      <c r="AG1048" s="847"/>
      <c r="AH1048" s="847"/>
      <c r="AI1048" s="742">
        <f t="shared" si="141"/>
        <v>0</v>
      </c>
      <c r="AJ1048" s="743">
        <f t="shared" si="142"/>
        <v>31818</v>
      </c>
    </row>
    <row r="1049" spans="1:36">
      <c r="A1049" s="840" t="s">
        <v>144</v>
      </c>
      <c r="B1049" s="841" t="s">
        <v>291</v>
      </c>
      <c r="C1049" s="871" t="s">
        <v>520</v>
      </c>
      <c r="D1049" s="872"/>
      <c r="E1049" s="866"/>
      <c r="F1049" s="867"/>
      <c r="G1049" s="846"/>
      <c r="H1049" s="847"/>
      <c r="I1049" s="846"/>
      <c r="J1049" s="847"/>
      <c r="K1049" s="846"/>
      <c r="L1049" s="847"/>
      <c r="M1049" s="846"/>
      <c r="N1049" s="846"/>
      <c r="O1049" s="737">
        <f t="shared" si="135"/>
        <v>0</v>
      </c>
      <c r="P1049" s="847"/>
      <c r="Q1049" s="847"/>
      <c r="R1049" s="738">
        <f t="shared" si="138"/>
        <v>0</v>
      </c>
      <c r="S1049" s="737">
        <f t="shared" si="139"/>
        <v>0</v>
      </c>
      <c r="T1049" s="739">
        <f t="shared" si="140"/>
        <v>0</v>
      </c>
      <c r="U1049" s="846"/>
      <c r="V1049" s="847"/>
      <c r="W1049" s="846"/>
      <c r="X1049" s="846"/>
      <c r="Y1049" s="740">
        <f t="shared" si="136"/>
        <v>0</v>
      </c>
      <c r="Z1049" s="847"/>
      <c r="AA1049" s="847"/>
      <c r="AB1049" s="741">
        <f t="shared" si="137"/>
        <v>0</v>
      </c>
      <c r="AC1049" s="846"/>
      <c r="AD1049" s="847"/>
      <c r="AE1049" s="846"/>
      <c r="AF1049" s="846"/>
      <c r="AG1049" s="847"/>
      <c r="AH1049" s="847"/>
      <c r="AI1049" s="742">
        <f t="shared" si="141"/>
        <v>0</v>
      </c>
      <c r="AJ1049" s="743">
        <f t="shared" si="142"/>
        <v>0</v>
      </c>
    </row>
    <row r="1050" spans="1:36">
      <c r="A1050" s="840" t="s">
        <v>144</v>
      </c>
      <c r="B1050" s="841" t="s">
        <v>292</v>
      </c>
      <c r="C1050" s="873" t="s">
        <v>34</v>
      </c>
      <c r="D1050" s="872"/>
      <c r="E1050" s="844"/>
      <c r="F1050" s="845"/>
      <c r="G1050" s="846"/>
      <c r="H1050" s="847"/>
      <c r="I1050" s="846"/>
      <c r="J1050" s="847"/>
      <c r="K1050" s="846"/>
      <c r="L1050" s="847"/>
      <c r="M1050" s="846"/>
      <c r="N1050" s="846"/>
      <c r="O1050" s="737">
        <f t="shared" si="135"/>
        <v>0</v>
      </c>
      <c r="P1050" s="847"/>
      <c r="Q1050" s="847"/>
      <c r="R1050" s="738">
        <f t="shared" si="138"/>
        <v>0</v>
      </c>
      <c r="S1050" s="737">
        <f t="shared" si="139"/>
        <v>0</v>
      </c>
      <c r="T1050" s="739">
        <f t="shared" si="140"/>
        <v>0</v>
      </c>
      <c r="U1050" s="846"/>
      <c r="V1050" s="847"/>
      <c r="W1050" s="846"/>
      <c r="X1050" s="846"/>
      <c r="Y1050" s="740">
        <f t="shared" si="136"/>
        <v>0</v>
      </c>
      <c r="Z1050" s="847"/>
      <c r="AA1050" s="847"/>
      <c r="AB1050" s="741">
        <f t="shared" si="137"/>
        <v>0</v>
      </c>
      <c r="AC1050" s="846"/>
      <c r="AD1050" s="847"/>
      <c r="AE1050" s="846"/>
      <c r="AF1050" s="846"/>
      <c r="AG1050" s="847"/>
      <c r="AH1050" s="847"/>
      <c r="AI1050" s="742">
        <f t="shared" si="141"/>
        <v>0</v>
      </c>
      <c r="AJ1050" s="743">
        <f t="shared" si="142"/>
        <v>0</v>
      </c>
    </row>
    <row r="1051" spans="1:36">
      <c r="A1051" s="840" t="s">
        <v>144</v>
      </c>
      <c r="B1051" s="841" t="s">
        <v>292</v>
      </c>
      <c r="C1051" s="874" t="s">
        <v>521</v>
      </c>
      <c r="D1051" s="849"/>
      <c r="E1051" s="866"/>
      <c r="F1051" s="867"/>
      <c r="G1051" s="846"/>
      <c r="H1051" s="847"/>
      <c r="I1051" s="846"/>
      <c r="J1051" s="847"/>
      <c r="K1051" s="846"/>
      <c r="L1051" s="847"/>
      <c r="M1051" s="846"/>
      <c r="N1051" s="846"/>
      <c r="O1051" s="737">
        <f t="shared" si="135"/>
        <v>0</v>
      </c>
      <c r="P1051" s="847"/>
      <c r="Q1051" s="847"/>
      <c r="R1051" s="738">
        <f t="shared" si="138"/>
        <v>0</v>
      </c>
      <c r="S1051" s="737">
        <f t="shared" si="139"/>
        <v>0</v>
      </c>
      <c r="T1051" s="739">
        <f t="shared" si="140"/>
        <v>0</v>
      </c>
      <c r="U1051" s="846"/>
      <c r="V1051" s="847"/>
      <c r="W1051" s="846"/>
      <c r="X1051" s="846"/>
      <c r="Y1051" s="740">
        <f t="shared" si="136"/>
        <v>0</v>
      </c>
      <c r="Z1051" s="847"/>
      <c r="AA1051" s="847"/>
      <c r="AB1051" s="741">
        <f t="shared" si="137"/>
        <v>0</v>
      </c>
      <c r="AC1051" s="846"/>
      <c r="AD1051" s="847"/>
      <c r="AE1051" s="846"/>
      <c r="AF1051" s="846"/>
      <c r="AG1051" s="847"/>
      <c r="AH1051" s="847"/>
      <c r="AI1051" s="742">
        <f t="shared" si="141"/>
        <v>0</v>
      </c>
      <c r="AJ1051" s="743">
        <f t="shared" si="142"/>
        <v>0</v>
      </c>
    </row>
    <row r="1052" spans="1:36">
      <c r="A1052" s="840" t="s">
        <v>144</v>
      </c>
      <c r="B1052" s="875" t="s">
        <v>209</v>
      </c>
      <c r="C1052" s="876" t="s">
        <v>522</v>
      </c>
      <c r="D1052" s="877"/>
      <c r="E1052" s="866"/>
      <c r="F1052" s="867"/>
      <c r="G1052" s="846"/>
      <c r="H1052" s="847"/>
      <c r="I1052" s="846"/>
      <c r="J1052" s="847"/>
      <c r="K1052" s="846"/>
      <c r="L1052" s="847"/>
      <c r="M1052" s="846"/>
      <c r="N1052" s="846"/>
      <c r="O1052" s="737">
        <f t="shared" si="135"/>
        <v>0</v>
      </c>
      <c r="P1052" s="847"/>
      <c r="Q1052" s="847"/>
      <c r="R1052" s="738">
        <f t="shared" si="138"/>
        <v>0</v>
      </c>
      <c r="S1052" s="737">
        <f t="shared" si="139"/>
        <v>0</v>
      </c>
      <c r="T1052" s="739">
        <f t="shared" si="140"/>
        <v>0</v>
      </c>
      <c r="U1052" s="846"/>
      <c r="V1052" s="847"/>
      <c r="W1052" s="846"/>
      <c r="X1052" s="846"/>
      <c r="Y1052" s="740">
        <f t="shared" si="136"/>
        <v>0</v>
      </c>
      <c r="Z1052" s="847"/>
      <c r="AA1052" s="847"/>
      <c r="AB1052" s="741">
        <f t="shared" si="137"/>
        <v>0</v>
      </c>
      <c r="AC1052" s="846"/>
      <c r="AD1052" s="847"/>
      <c r="AE1052" s="846"/>
      <c r="AF1052" s="846"/>
      <c r="AG1052" s="847"/>
      <c r="AH1052" s="847"/>
      <c r="AI1052" s="742">
        <f t="shared" si="141"/>
        <v>0</v>
      </c>
      <c r="AJ1052" s="743">
        <f t="shared" si="142"/>
        <v>0</v>
      </c>
    </row>
    <row r="1053" spans="1:36">
      <c r="A1053" s="840" t="s">
        <v>144</v>
      </c>
      <c r="B1053" s="875" t="s">
        <v>210</v>
      </c>
      <c r="C1053" s="876" t="s">
        <v>311</v>
      </c>
      <c r="D1053" s="877"/>
      <c r="E1053" s="866"/>
      <c r="F1053" s="867"/>
      <c r="G1053" s="846"/>
      <c r="H1053" s="847"/>
      <c r="I1053" s="846"/>
      <c r="J1053" s="847"/>
      <c r="K1053" s="846"/>
      <c r="L1053" s="847"/>
      <c r="M1053" s="846"/>
      <c r="N1053" s="846"/>
      <c r="O1053" s="737">
        <f t="shared" si="135"/>
        <v>0</v>
      </c>
      <c r="P1053" s="847"/>
      <c r="Q1053" s="847"/>
      <c r="R1053" s="738">
        <f t="shared" si="138"/>
        <v>0</v>
      </c>
      <c r="S1053" s="737">
        <f t="shared" si="139"/>
        <v>0</v>
      </c>
      <c r="T1053" s="739">
        <f t="shared" si="140"/>
        <v>0</v>
      </c>
      <c r="U1053" s="846"/>
      <c r="V1053" s="847"/>
      <c r="W1053" s="846"/>
      <c r="X1053" s="846"/>
      <c r="Y1053" s="740">
        <f t="shared" si="136"/>
        <v>0</v>
      </c>
      <c r="Z1053" s="847"/>
      <c r="AA1053" s="847"/>
      <c r="AB1053" s="741">
        <f t="shared" si="137"/>
        <v>0</v>
      </c>
      <c r="AC1053" s="846"/>
      <c r="AD1053" s="847"/>
      <c r="AE1053" s="846"/>
      <c r="AF1053" s="846"/>
      <c r="AG1053" s="847"/>
      <c r="AH1053" s="847"/>
      <c r="AI1053" s="742">
        <f t="shared" si="141"/>
        <v>0</v>
      </c>
      <c r="AJ1053" s="743">
        <f t="shared" si="142"/>
        <v>0</v>
      </c>
    </row>
    <row r="1054" spans="1:36">
      <c r="A1054" s="840" t="s">
        <v>144</v>
      </c>
      <c r="B1054" s="875" t="s">
        <v>204</v>
      </c>
      <c r="C1054" s="876" t="s">
        <v>249</v>
      </c>
      <c r="D1054" s="877"/>
      <c r="E1054" s="866"/>
      <c r="F1054" s="867"/>
      <c r="G1054" s="846"/>
      <c r="H1054" s="847"/>
      <c r="I1054" s="846"/>
      <c r="J1054" s="847"/>
      <c r="K1054" s="846"/>
      <c r="L1054" s="847"/>
      <c r="M1054" s="846"/>
      <c r="N1054" s="846"/>
      <c r="O1054" s="737">
        <f t="shared" si="135"/>
        <v>0</v>
      </c>
      <c r="P1054" s="847"/>
      <c r="Q1054" s="847"/>
      <c r="R1054" s="738">
        <f t="shared" si="138"/>
        <v>0</v>
      </c>
      <c r="S1054" s="737">
        <f t="shared" si="139"/>
        <v>0</v>
      </c>
      <c r="T1054" s="739">
        <f t="shared" si="140"/>
        <v>0</v>
      </c>
      <c r="U1054" s="846">
        <v>376761</v>
      </c>
      <c r="V1054" s="847">
        <v>376761</v>
      </c>
      <c r="W1054" s="846"/>
      <c r="X1054" s="846"/>
      <c r="Y1054" s="740">
        <f t="shared" si="136"/>
        <v>0</v>
      </c>
      <c r="Z1054" s="847"/>
      <c r="AA1054" s="847"/>
      <c r="AB1054" s="741">
        <f t="shared" si="137"/>
        <v>0</v>
      </c>
      <c r="AC1054" s="846"/>
      <c r="AD1054" s="847"/>
      <c r="AE1054" s="846"/>
      <c r="AF1054" s="846"/>
      <c r="AG1054" s="847"/>
      <c r="AH1054" s="847"/>
      <c r="AI1054" s="742">
        <f t="shared" si="141"/>
        <v>376761</v>
      </c>
      <c r="AJ1054" s="743">
        <f t="shared" si="142"/>
        <v>376761</v>
      </c>
    </row>
    <row r="1055" spans="1:36">
      <c r="A1055" s="840" t="s">
        <v>144</v>
      </c>
      <c r="B1055" s="875" t="s">
        <v>205</v>
      </c>
      <c r="C1055" s="876" t="s">
        <v>523</v>
      </c>
      <c r="D1055" s="877"/>
      <c r="E1055" s="866"/>
      <c r="F1055" s="867"/>
      <c r="G1055" s="846"/>
      <c r="H1055" s="847"/>
      <c r="I1055" s="846"/>
      <c r="J1055" s="847"/>
      <c r="K1055" s="846"/>
      <c r="L1055" s="847"/>
      <c r="M1055" s="846"/>
      <c r="N1055" s="846"/>
      <c r="O1055" s="737">
        <f t="shared" si="135"/>
        <v>0</v>
      </c>
      <c r="P1055" s="847"/>
      <c r="Q1055" s="847"/>
      <c r="R1055" s="738">
        <f t="shared" si="138"/>
        <v>0</v>
      </c>
      <c r="S1055" s="737">
        <f t="shared" si="139"/>
        <v>0</v>
      </c>
      <c r="T1055" s="739">
        <f t="shared" si="140"/>
        <v>0</v>
      </c>
      <c r="U1055" s="846"/>
      <c r="V1055" s="847"/>
      <c r="W1055" s="846"/>
      <c r="X1055" s="846"/>
      <c r="Y1055" s="740">
        <f t="shared" si="136"/>
        <v>0</v>
      </c>
      <c r="Z1055" s="847"/>
      <c r="AA1055" s="847"/>
      <c r="AB1055" s="741">
        <f t="shared" si="137"/>
        <v>0</v>
      </c>
      <c r="AC1055" s="846"/>
      <c r="AD1055" s="847"/>
      <c r="AE1055" s="846"/>
      <c r="AF1055" s="846"/>
      <c r="AG1055" s="847"/>
      <c r="AH1055" s="847"/>
      <c r="AI1055" s="742">
        <f t="shared" si="141"/>
        <v>0</v>
      </c>
      <c r="AJ1055" s="743">
        <f t="shared" si="142"/>
        <v>0</v>
      </c>
    </row>
    <row r="1056" spans="1:36">
      <c r="A1056" s="840" t="s">
        <v>144</v>
      </c>
      <c r="B1056" s="875" t="s">
        <v>218</v>
      </c>
      <c r="C1056" s="876" t="s">
        <v>311</v>
      </c>
      <c r="D1056" s="877"/>
      <c r="E1056" s="866"/>
      <c r="F1056" s="867"/>
      <c r="G1056" s="846"/>
      <c r="H1056" s="847"/>
      <c r="I1056" s="846"/>
      <c r="J1056" s="847"/>
      <c r="K1056" s="846"/>
      <c r="L1056" s="847"/>
      <c r="M1056" s="846"/>
      <c r="N1056" s="846"/>
      <c r="O1056" s="737">
        <f t="shared" si="135"/>
        <v>0</v>
      </c>
      <c r="P1056" s="847"/>
      <c r="Q1056" s="847"/>
      <c r="R1056" s="738">
        <f t="shared" si="138"/>
        <v>0</v>
      </c>
      <c r="S1056" s="737">
        <f t="shared" si="139"/>
        <v>0</v>
      </c>
      <c r="T1056" s="739">
        <f t="shared" si="140"/>
        <v>0</v>
      </c>
      <c r="U1056" s="846"/>
      <c r="V1056" s="847"/>
      <c r="W1056" s="846"/>
      <c r="X1056" s="846"/>
      <c r="Y1056" s="740">
        <f t="shared" si="136"/>
        <v>0</v>
      </c>
      <c r="Z1056" s="847"/>
      <c r="AA1056" s="847"/>
      <c r="AB1056" s="741">
        <f t="shared" si="137"/>
        <v>0</v>
      </c>
      <c r="AC1056" s="846"/>
      <c r="AD1056" s="847"/>
      <c r="AE1056" s="846"/>
      <c r="AF1056" s="846"/>
      <c r="AG1056" s="847"/>
      <c r="AH1056" s="847"/>
      <c r="AI1056" s="742">
        <f t="shared" si="141"/>
        <v>0</v>
      </c>
      <c r="AJ1056" s="743">
        <f t="shared" si="142"/>
        <v>0</v>
      </c>
    </row>
    <row r="1057" spans="1:36">
      <c r="A1057" s="840" t="s">
        <v>144</v>
      </c>
      <c r="B1057" s="875" t="s">
        <v>219</v>
      </c>
      <c r="C1057" s="876" t="s">
        <v>249</v>
      </c>
      <c r="D1057" s="877"/>
      <c r="E1057" s="866"/>
      <c r="F1057" s="867"/>
      <c r="G1057" s="846"/>
      <c r="H1057" s="847"/>
      <c r="I1057" s="846"/>
      <c r="J1057" s="847"/>
      <c r="K1057" s="846"/>
      <c r="L1057" s="847"/>
      <c r="M1057" s="846"/>
      <c r="N1057" s="846"/>
      <c r="O1057" s="737">
        <f t="shared" si="135"/>
        <v>0</v>
      </c>
      <c r="P1057" s="847"/>
      <c r="Q1057" s="847"/>
      <c r="R1057" s="738">
        <f t="shared" si="138"/>
        <v>0</v>
      </c>
      <c r="S1057" s="737">
        <f t="shared" si="139"/>
        <v>0</v>
      </c>
      <c r="T1057" s="739">
        <f t="shared" si="140"/>
        <v>0</v>
      </c>
      <c r="U1057" s="846"/>
      <c r="V1057" s="847"/>
      <c r="W1057" s="846"/>
      <c r="X1057" s="846"/>
      <c r="Y1057" s="740">
        <f t="shared" si="136"/>
        <v>0</v>
      </c>
      <c r="Z1057" s="847"/>
      <c r="AA1057" s="847"/>
      <c r="AB1057" s="741">
        <f t="shared" si="137"/>
        <v>0</v>
      </c>
      <c r="AC1057" s="846"/>
      <c r="AD1057" s="847"/>
      <c r="AE1057" s="846"/>
      <c r="AF1057" s="846"/>
      <c r="AG1057" s="847"/>
      <c r="AH1057" s="847"/>
      <c r="AI1057" s="742">
        <f t="shared" si="141"/>
        <v>0</v>
      </c>
      <c r="AJ1057" s="743">
        <f t="shared" si="142"/>
        <v>0</v>
      </c>
    </row>
    <row r="1058" spans="1:36">
      <c r="A1058" s="840" t="s">
        <v>144</v>
      </c>
      <c r="B1058" s="841" t="s">
        <v>292</v>
      </c>
      <c r="C1058" s="874" t="s">
        <v>524</v>
      </c>
      <c r="D1058" s="849"/>
      <c r="E1058" s="866"/>
      <c r="F1058" s="867"/>
      <c r="G1058" s="846"/>
      <c r="H1058" s="847"/>
      <c r="I1058" s="846"/>
      <c r="J1058" s="847"/>
      <c r="K1058" s="846"/>
      <c r="L1058" s="847"/>
      <c r="M1058" s="846"/>
      <c r="N1058" s="846"/>
      <c r="O1058" s="737">
        <f t="shared" si="135"/>
        <v>0</v>
      </c>
      <c r="P1058" s="847"/>
      <c r="Q1058" s="847"/>
      <c r="R1058" s="738">
        <f t="shared" si="138"/>
        <v>0</v>
      </c>
      <c r="S1058" s="737">
        <f t="shared" si="139"/>
        <v>0</v>
      </c>
      <c r="T1058" s="739">
        <f t="shared" si="140"/>
        <v>0</v>
      </c>
      <c r="U1058" s="846"/>
      <c r="V1058" s="847"/>
      <c r="W1058" s="846"/>
      <c r="X1058" s="846"/>
      <c r="Y1058" s="740">
        <f t="shared" si="136"/>
        <v>0</v>
      </c>
      <c r="Z1058" s="847"/>
      <c r="AA1058" s="847"/>
      <c r="AB1058" s="741">
        <f t="shared" si="137"/>
        <v>0</v>
      </c>
      <c r="AC1058" s="846"/>
      <c r="AD1058" s="847"/>
      <c r="AE1058" s="846"/>
      <c r="AF1058" s="846"/>
      <c r="AG1058" s="847"/>
      <c r="AH1058" s="847"/>
      <c r="AI1058" s="742">
        <f t="shared" si="141"/>
        <v>0</v>
      </c>
      <c r="AJ1058" s="743">
        <f t="shared" si="142"/>
        <v>0</v>
      </c>
    </row>
    <row r="1059" spans="1:36">
      <c r="A1059" s="840" t="s">
        <v>144</v>
      </c>
      <c r="B1059" s="875" t="s">
        <v>209</v>
      </c>
      <c r="C1059" s="876" t="s">
        <v>522</v>
      </c>
      <c r="D1059" s="877"/>
      <c r="E1059" s="866"/>
      <c r="F1059" s="867"/>
      <c r="G1059" s="846"/>
      <c r="H1059" s="847"/>
      <c r="I1059" s="846"/>
      <c r="J1059" s="847"/>
      <c r="K1059" s="846"/>
      <c r="L1059" s="847"/>
      <c r="M1059" s="846"/>
      <c r="N1059" s="846"/>
      <c r="O1059" s="737">
        <f t="shared" si="135"/>
        <v>0</v>
      </c>
      <c r="P1059" s="847"/>
      <c r="Q1059" s="847"/>
      <c r="R1059" s="738">
        <f t="shared" si="138"/>
        <v>0</v>
      </c>
      <c r="S1059" s="737">
        <f t="shared" si="139"/>
        <v>0</v>
      </c>
      <c r="T1059" s="739">
        <f t="shared" si="140"/>
        <v>0</v>
      </c>
      <c r="U1059" s="846"/>
      <c r="V1059" s="847"/>
      <c r="W1059" s="846"/>
      <c r="X1059" s="846"/>
      <c r="Y1059" s="740">
        <f t="shared" si="136"/>
        <v>0</v>
      </c>
      <c r="Z1059" s="847"/>
      <c r="AA1059" s="847"/>
      <c r="AB1059" s="741">
        <f t="shared" si="137"/>
        <v>0</v>
      </c>
      <c r="AC1059" s="846"/>
      <c r="AD1059" s="847"/>
      <c r="AE1059" s="846"/>
      <c r="AF1059" s="846"/>
      <c r="AG1059" s="847"/>
      <c r="AH1059" s="847"/>
      <c r="AI1059" s="742">
        <f t="shared" si="141"/>
        <v>0</v>
      </c>
      <c r="AJ1059" s="743">
        <f t="shared" si="142"/>
        <v>0</v>
      </c>
    </row>
    <row r="1060" spans="1:36">
      <c r="A1060" s="840" t="s">
        <v>144</v>
      </c>
      <c r="B1060" s="875" t="s">
        <v>210</v>
      </c>
      <c r="C1060" s="876" t="s">
        <v>311</v>
      </c>
      <c r="D1060" s="877"/>
      <c r="E1060" s="866"/>
      <c r="F1060" s="867"/>
      <c r="G1060" s="846"/>
      <c r="H1060" s="847"/>
      <c r="I1060" s="846"/>
      <c r="J1060" s="847"/>
      <c r="K1060" s="846"/>
      <c r="L1060" s="847"/>
      <c r="M1060" s="846"/>
      <c r="N1060" s="846"/>
      <c r="O1060" s="737">
        <f t="shared" si="135"/>
        <v>0</v>
      </c>
      <c r="P1060" s="847"/>
      <c r="Q1060" s="847"/>
      <c r="R1060" s="738">
        <f t="shared" si="138"/>
        <v>0</v>
      </c>
      <c r="S1060" s="737">
        <f t="shared" si="139"/>
        <v>0</v>
      </c>
      <c r="T1060" s="739">
        <f t="shared" si="140"/>
        <v>0</v>
      </c>
      <c r="U1060" s="846"/>
      <c r="V1060" s="847"/>
      <c r="W1060" s="846"/>
      <c r="X1060" s="846"/>
      <c r="Y1060" s="740">
        <f t="shared" si="136"/>
        <v>0</v>
      </c>
      <c r="Z1060" s="847"/>
      <c r="AA1060" s="847"/>
      <c r="AB1060" s="741">
        <f t="shared" si="137"/>
        <v>0</v>
      </c>
      <c r="AC1060" s="846"/>
      <c r="AD1060" s="847"/>
      <c r="AE1060" s="846"/>
      <c r="AF1060" s="846"/>
      <c r="AG1060" s="847"/>
      <c r="AH1060" s="847"/>
      <c r="AI1060" s="742">
        <f t="shared" si="141"/>
        <v>0</v>
      </c>
      <c r="AJ1060" s="743">
        <f t="shared" si="142"/>
        <v>0</v>
      </c>
    </row>
    <row r="1061" spans="1:36">
      <c r="A1061" s="840" t="s">
        <v>144</v>
      </c>
      <c r="B1061" s="875" t="s">
        <v>204</v>
      </c>
      <c r="C1061" s="876" t="s">
        <v>249</v>
      </c>
      <c r="D1061" s="877"/>
      <c r="E1061" s="866"/>
      <c r="F1061" s="867"/>
      <c r="G1061" s="846"/>
      <c r="H1061" s="847"/>
      <c r="I1061" s="846"/>
      <c r="J1061" s="847"/>
      <c r="K1061" s="846"/>
      <c r="L1061" s="847"/>
      <c r="M1061" s="846"/>
      <c r="N1061" s="846"/>
      <c r="O1061" s="737">
        <f t="shared" si="135"/>
        <v>0</v>
      </c>
      <c r="P1061" s="847"/>
      <c r="Q1061" s="847"/>
      <c r="R1061" s="738">
        <f t="shared" si="138"/>
        <v>0</v>
      </c>
      <c r="S1061" s="737">
        <f t="shared" si="139"/>
        <v>0</v>
      </c>
      <c r="T1061" s="739">
        <f t="shared" si="140"/>
        <v>0</v>
      </c>
      <c r="U1061" s="846"/>
      <c r="V1061" s="847"/>
      <c r="W1061" s="846"/>
      <c r="X1061" s="846"/>
      <c r="Y1061" s="740">
        <f t="shared" si="136"/>
        <v>0</v>
      </c>
      <c r="Z1061" s="847"/>
      <c r="AA1061" s="847"/>
      <c r="AB1061" s="741">
        <f t="shared" si="137"/>
        <v>0</v>
      </c>
      <c r="AC1061" s="846"/>
      <c r="AD1061" s="847"/>
      <c r="AE1061" s="846"/>
      <c r="AF1061" s="846"/>
      <c r="AG1061" s="847"/>
      <c r="AH1061" s="847"/>
      <c r="AI1061" s="742">
        <f t="shared" si="141"/>
        <v>0</v>
      </c>
      <c r="AJ1061" s="743">
        <f t="shared" si="142"/>
        <v>0</v>
      </c>
    </row>
    <row r="1062" spans="1:36">
      <c r="A1062" s="840" t="s">
        <v>144</v>
      </c>
      <c r="B1062" s="875" t="s">
        <v>205</v>
      </c>
      <c r="C1062" s="876" t="s">
        <v>523</v>
      </c>
      <c r="D1062" s="877"/>
      <c r="E1062" s="866"/>
      <c r="F1062" s="867"/>
      <c r="G1062" s="846"/>
      <c r="H1062" s="847"/>
      <c r="I1062" s="846"/>
      <c r="J1062" s="847"/>
      <c r="K1062" s="846"/>
      <c r="L1062" s="847"/>
      <c r="M1062" s="846"/>
      <c r="N1062" s="846"/>
      <c r="O1062" s="737">
        <f t="shared" si="135"/>
        <v>0</v>
      </c>
      <c r="P1062" s="847"/>
      <c r="Q1062" s="847"/>
      <c r="R1062" s="738">
        <f t="shared" si="138"/>
        <v>0</v>
      </c>
      <c r="S1062" s="737">
        <f t="shared" si="139"/>
        <v>0</v>
      </c>
      <c r="T1062" s="739">
        <f t="shared" si="140"/>
        <v>0</v>
      </c>
      <c r="U1062" s="846"/>
      <c r="V1062" s="847"/>
      <c r="W1062" s="846"/>
      <c r="X1062" s="846"/>
      <c r="Y1062" s="740">
        <f t="shared" si="136"/>
        <v>0</v>
      </c>
      <c r="Z1062" s="847"/>
      <c r="AA1062" s="847"/>
      <c r="AB1062" s="741">
        <f t="shared" si="137"/>
        <v>0</v>
      </c>
      <c r="AC1062" s="846"/>
      <c r="AD1062" s="847"/>
      <c r="AE1062" s="846"/>
      <c r="AF1062" s="846"/>
      <c r="AG1062" s="847"/>
      <c r="AH1062" s="847"/>
      <c r="AI1062" s="742">
        <f t="shared" si="141"/>
        <v>0</v>
      </c>
      <c r="AJ1062" s="743">
        <f t="shared" si="142"/>
        <v>0</v>
      </c>
    </row>
    <row r="1063" spans="1:36">
      <c r="A1063" s="840" t="s">
        <v>144</v>
      </c>
      <c r="B1063" s="875" t="s">
        <v>218</v>
      </c>
      <c r="C1063" s="876" t="s">
        <v>311</v>
      </c>
      <c r="D1063" s="877"/>
      <c r="E1063" s="866"/>
      <c r="F1063" s="867"/>
      <c r="G1063" s="846"/>
      <c r="H1063" s="847"/>
      <c r="I1063" s="846"/>
      <c r="J1063" s="847"/>
      <c r="K1063" s="846"/>
      <c r="L1063" s="847"/>
      <c r="M1063" s="846"/>
      <c r="N1063" s="846"/>
      <c r="O1063" s="737">
        <f t="shared" si="135"/>
        <v>0</v>
      </c>
      <c r="P1063" s="847"/>
      <c r="Q1063" s="847"/>
      <c r="R1063" s="738">
        <f t="shared" si="138"/>
        <v>0</v>
      </c>
      <c r="S1063" s="737">
        <f t="shared" si="139"/>
        <v>0</v>
      </c>
      <c r="T1063" s="739">
        <f t="shared" si="140"/>
        <v>0</v>
      </c>
      <c r="U1063" s="846"/>
      <c r="V1063" s="847"/>
      <c r="W1063" s="846"/>
      <c r="X1063" s="846"/>
      <c r="Y1063" s="740">
        <f t="shared" si="136"/>
        <v>0</v>
      </c>
      <c r="Z1063" s="847"/>
      <c r="AA1063" s="847"/>
      <c r="AB1063" s="741">
        <f t="shared" si="137"/>
        <v>0</v>
      </c>
      <c r="AC1063" s="846"/>
      <c r="AD1063" s="847"/>
      <c r="AE1063" s="846"/>
      <c r="AF1063" s="846"/>
      <c r="AG1063" s="847"/>
      <c r="AH1063" s="847"/>
      <c r="AI1063" s="742">
        <f t="shared" si="141"/>
        <v>0</v>
      </c>
      <c r="AJ1063" s="743">
        <f t="shared" si="142"/>
        <v>0</v>
      </c>
    </row>
    <row r="1064" spans="1:36">
      <c r="A1064" s="840" t="s">
        <v>144</v>
      </c>
      <c r="B1064" s="875" t="s">
        <v>219</v>
      </c>
      <c r="C1064" s="876" t="s">
        <v>249</v>
      </c>
      <c r="D1064" s="877"/>
      <c r="E1064" s="866"/>
      <c r="F1064" s="867"/>
      <c r="G1064" s="846"/>
      <c r="H1064" s="847"/>
      <c r="I1064" s="846"/>
      <c r="J1064" s="847"/>
      <c r="K1064" s="846"/>
      <c r="L1064" s="847"/>
      <c r="M1064" s="846"/>
      <c r="N1064" s="846"/>
      <c r="O1064" s="737">
        <f t="shared" si="135"/>
        <v>0</v>
      </c>
      <c r="P1064" s="847"/>
      <c r="Q1064" s="847"/>
      <c r="R1064" s="738">
        <f t="shared" si="138"/>
        <v>0</v>
      </c>
      <c r="S1064" s="737">
        <f t="shared" si="139"/>
        <v>0</v>
      </c>
      <c r="T1064" s="739">
        <f t="shared" si="140"/>
        <v>0</v>
      </c>
      <c r="U1064" s="846">
        <v>785250</v>
      </c>
      <c r="V1064" s="847">
        <v>924000</v>
      </c>
      <c r="W1064" s="846"/>
      <c r="X1064" s="846"/>
      <c r="Y1064" s="740">
        <f t="shared" si="136"/>
        <v>0</v>
      </c>
      <c r="Z1064" s="847"/>
      <c r="AA1064" s="847"/>
      <c r="AB1064" s="741">
        <f t="shared" si="137"/>
        <v>0</v>
      </c>
      <c r="AC1064" s="846"/>
      <c r="AD1064" s="847"/>
      <c r="AE1064" s="846"/>
      <c r="AF1064" s="846"/>
      <c r="AG1064" s="847"/>
      <c r="AH1064" s="847"/>
      <c r="AI1064" s="742">
        <f t="shared" si="141"/>
        <v>785250</v>
      </c>
      <c r="AJ1064" s="743">
        <f t="shared" si="142"/>
        <v>924000</v>
      </c>
    </row>
    <row r="1065" spans="1:36">
      <c r="A1065" s="840" t="s">
        <v>144</v>
      </c>
      <c r="B1065" s="875" t="s">
        <v>293</v>
      </c>
      <c r="C1065" s="878" t="s">
        <v>525</v>
      </c>
      <c r="D1065" s="879"/>
      <c r="E1065" s="866"/>
      <c r="F1065" s="867"/>
      <c r="G1065" s="846"/>
      <c r="H1065" s="847"/>
      <c r="I1065" s="846"/>
      <c r="J1065" s="847"/>
      <c r="K1065" s="846"/>
      <c r="L1065" s="847"/>
      <c r="M1065" s="846"/>
      <c r="N1065" s="846"/>
      <c r="O1065" s="737">
        <f t="shared" si="135"/>
        <v>0</v>
      </c>
      <c r="P1065" s="847"/>
      <c r="Q1065" s="847"/>
      <c r="R1065" s="738">
        <f t="shared" si="138"/>
        <v>0</v>
      </c>
      <c r="S1065" s="737">
        <f t="shared" si="139"/>
        <v>0</v>
      </c>
      <c r="T1065" s="739">
        <f t="shared" si="140"/>
        <v>0</v>
      </c>
      <c r="U1065" s="846"/>
      <c r="V1065" s="847"/>
      <c r="W1065" s="846"/>
      <c r="X1065" s="846"/>
      <c r="Y1065" s="740">
        <f t="shared" si="136"/>
        <v>0</v>
      </c>
      <c r="Z1065" s="847"/>
      <c r="AA1065" s="847"/>
      <c r="AB1065" s="741">
        <f t="shared" si="137"/>
        <v>0</v>
      </c>
      <c r="AC1065" s="846"/>
      <c r="AD1065" s="847"/>
      <c r="AE1065" s="846"/>
      <c r="AF1065" s="846"/>
      <c r="AG1065" s="847"/>
      <c r="AH1065" s="847"/>
      <c r="AI1065" s="742">
        <f t="shared" si="141"/>
        <v>0</v>
      </c>
      <c r="AJ1065" s="743">
        <f t="shared" si="142"/>
        <v>0</v>
      </c>
    </row>
    <row r="1066" spans="1:36">
      <c r="A1066" s="840" t="s">
        <v>144</v>
      </c>
      <c r="B1066" s="841" t="s">
        <v>293</v>
      </c>
      <c r="C1066" s="874" t="s">
        <v>526</v>
      </c>
      <c r="D1066" s="849"/>
      <c r="E1066" s="866"/>
      <c r="F1066" s="867"/>
      <c r="G1066" s="846"/>
      <c r="H1066" s="847"/>
      <c r="I1066" s="846"/>
      <c r="J1066" s="847"/>
      <c r="K1066" s="846"/>
      <c r="L1066" s="847"/>
      <c r="M1066" s="846"/>
      <c r="N1066" s="846"/>
      <c r="O1066" s="737">
        <f t="shared" si="135"/>
        <v>0</v>
      </c>
      <c r="P1066" s="847"/>
      <c r="Q1066" s="847"/>
      <c r="R1066" s="738">
        <f t="shared" si="138"/>
        <v>0</v>
      </c>
      <c r="S1066" s="737">
        <f t="shared" si="139"/>
        <v>0</v>
      </c>
      <c r="T1066" s="739">
        <f t="shared" si="140"/>
        <v>0</v>
      </c>
      <c r="U1066" s="846"/>
      <c r="V1066" s="847"/>
      <c r="W1066" s="846"/>
      <c r="X1066" s="846"/>
      <c r="Y1066" s="740">
        <f t="shared" si="136"/>
        <v>0</v>
      </c>
      <c r="Z1066" s="847"/>
      <c r="AA1066" s="847"/>
      <c r="AB1066" s="741">
        <f t="shared" si="137"/>
        <v>0</v>
      </c>
      <c r="AC1066" s="846"/>
      <c r="AD1066" s="847"/>
      <c r="AE1066" s="846"/>
      <c r="AF1066" s="846"/>
      <c r="AG1066" s="847"/>
      <c r="AH1066" s="847"/>
      <c r="AI1066" s="742">
        <f t="shared" si="141"/>
        <v>0</v>
      </c>
      <c r="AJ1066" s="743">
        <f t="shared" si="142"/>
        <v>0</v>
      </c>
    </row>
    <row r="1067" spans="1:36">
      <c r="A1067" s="840" t="s">
        <v>144</v>
      </c>
      <c r="B1067" s="875" t="s">
        <v>252</v>
      </c>
      <c r="C1067" s="876" t="s">
        <v>311</v>
      </c>
      <c r="D1067" s="877"/>
      <c r="E1067" s="866"/>
      <c r="F1067" s="867"/>
      <c r="G1067" s="846"/>
      <c r="H1067" s="847"/>
      <c r="I1067" s="846"/>
      <c r="J1067" s="847"/>
      <c r="K1067" s="846"/>
      <c r="L1067" s="847"/>
      <c r="M1067" s="846"/>
      <c r="N1067" s="846"/>
      <c r="O1067" s="737">
        <f t="shared" si="135"/>
        <v>0</v>
      </c>
      <c r="P1067" s="847"/>
      <c r="Q1067" s="847"/>
      <c r="R1067" s="738">
        <f t="shared" si="138"/>
        <v>0</v>
      </c>
      <c r="S1067" s="737">
        <f t="shared" si="139"/>
        <v>0</v>
      </c>
      <c r="T1067" s="739">
        <f t="shared" si="140"/>
        <v>0</v>
      </c>
      <c r="U1067" s="846"/>
      <c r="V1067" s="847"/>
      <c r="W1067" s="846"/>
      <c r="X1067" s="846"/>
      <c r="Y1067" s="740">
        <f t="shared" si="136"/>
        <v>0</v>
      </c>
      <c r="Z1067" s="847"/>
      <c r="AA1067" s="847"/>
      <c r="AB1067" s="741">
        <f t="shared" si="137"/>
        <v>0</v>
      </c>
      <c r="AC1067" s="846"/>
      <c r="AD1067" s="847"/>
      <c r="AE1067" s="846"/>
      <c r="AF1067" s="846"/>
      <c r="AG1067" s="847"/>
      <c r="AH1067" s="847"/>
      <c r="AI1067" s="742">
        <f t="shared" si="141"/>
        <v>0</v>
      </c>
      <c r="AJ1067" s="743">
        <f t="shared" si="142"/>
        <v>0</v>
      </c>
    </row>
    <row r="1068" spans="1:36">
      <c r="A1068" s="840" t="s">
        <v>144</v>
      </c>
      <c r="B1068" s="875" t="s">
        <v>253</v>
      </c>
      <c r="C1068" s="876" t="s">
        <v>249</v>
      </c>
      <c r="D1068" s="877"/>
      <c r="E1068" s="866"/>
      <c r="F1068" s="867"/>
      <c r="G1068" s="846"/>
      <c r="H1068" s="847"/>
      <c r="I1068" s="846"/>
      <c r="J1068" s="847"/>
      <c r="K1068" s="846"/>
      <c r="L1068" s="847"/>
      <c r="M1068" s="846"/>
      <c r="N1068" s="846"/>
      <c r="O1068" s="737">
        <f t="shared" si="135"/>
        <v>0</v>
      </c>
      <c r="P1068" s="847"/>
      <c r="Q1068" s="847"/>
      <c r="R1068" s="738">
        <f t="shared" si="138"/>
        <v>0</v>
      </c>
      <c r="S1068" s="737">
        <f t="shared" si="139"/>
        <v>0</v>
      </c>
      <c r="T1068" s="739">
        <f t="shared" si="140"/>
        <v>0</v>
      </c>
      <c r="U1068" s="846">
        <v>424345076</v>
      </c>
      <c r="V1068" s="847">
        <v>446598286</v>
      </c>
      <c r="W1068" s="846"/>
      <c r="X1068" s="846"/>
      <c r="Y1068" s="740">
        <f t="shared" si="136"/>
        <v>0</v>
      </c>
      <c r="Z1068" s="847"/>
      <c r="AA1068" s="847"/>
      <c r="AB1068" s="741">
        <f t="shared" si="137"/>
        <v>0</v>
      </c>
      <c r="AC1068" s="846"/>
      <c r="AD1068" s="847"/>
      <c r="AE1068" s="846"/>
      <c r="AF1068" s="846"/>
      <c r="AG1068" s="847"/>
      <c r="AH1068" s="847"/>
      <c r="AI1068" s="742">
        <f t="shared" si="141"/>
        <v>424345076</v>
      </c>
      <c r="AJ1068" s="743">
        <f t="shared" si="142"/>
        <v>446598286</v>
      </c>
    </row>
    <row r="1069" spans="1:36">
      <c r="A1069" s="840" t="s">
        <v>144</v>
      </c>
      <c r="B1069" s="841" t="s">
        <v>294</v>
      </c>
      <c r="C1069" s="873" t="s">
        <v>307</v>
      </c>
      <c r="D1069" s="872"/>
      <c r="E1069" s="866"/>
      <c r="F1069" s="867"/>
      <c r="G1069" s="846"/>
      <c r="H1069" s="847"/>
      <c r="I1069" s="846"/>
      <c r="J1069" s="847"/>
      <c r="K1069" s="846"/>
      <c r="L1069" s="847"/>
      <c r="M1069" s="846"/>
      <c r="N1069" s="846"/>
      <c r="O1069" s="737">
        <f t="shared" si="135"/>
        <v>0</v>
      </c>
      <c r="P1069" s="847"/>
      <c r="Q1069" s="847"/>
      <c r="R1069" s="738">
        <f t="shared" si="138"/>
        <v>0</v>
      </c>
      <c r="S1069" s="737">
        <f t="shared" si="139"/>
        <v>0</v>
      </c>
      <c r="T1069" s="739">
        <f t="shared" si="140"/>
        <v>0</v>
      </c>
      <c r="U1069" s="846"/>
      <c r="V1069" s="847"/>
      <c r="W1069" s="846"/>
      <c r="X1069" s="846"/>
      <c r="Y1069" s="740">
        <f t="shared" si="136"/>
        <v>0</v>
      </c>
      <c r="Z1069" s="847"/>
      <c r="AA1069" s="847"/>
      <c r="AB1069" s="741">
        <f t="shared" si="137"/>
        <v>0</v>
      </c>
      <c r="AC1069" s="846"/>
      <c r="AD1069" s="847"/>
      <c r="AE1069" s="846"/>
      <c r="AF1069" s="846"/>
      <c r="AG1069" s="847"/>
      <c r="AH1069" s="847"/>
      <c r="AI1069" s="742">
        <f t="shared" si="141"/>
        <v>0</v>
      </c>
      <c r="AJ1069" s="743">
        <f t="shared" si="142"/>
        <v>0</v>
      </c>
    </row>
    <row r="1070" spans="1:36">
      <c r="A1070" s="840" t="s">
        <v>144</v>
      </c>
      <c r="B1070" s="841" t="s">
        <v>294</v>
      </c>
      <c r="C1070" s="874" t="s">
        <v>527</v>
      </c>
      <c r="D1070" s="849"/>
      <c r="E1070" s="880"/>
      <c r="F1070" s="881"/>
      <c r="G1070" s="846"/>
      <c r="H1070" s="847"/>
      <c r="I1070" s="846"/>
      <c r="J1070" s="847"/>
      <c r="K1070" s="846"/>
      <c r="L1070" s="847"/>
      <c r="M1070" s="846"/>
      <c r="N1070" s="846"/>
      <c r="O1070" s="737">
        <f t="shared" si="135"/>
        <v>0</v>
      </c>
      <c r="P1070" s="847"/>
      <c r="Q1070" s="847"/>
      <c r="R1070" s="738">
        <f t="shared" si="138"/>
        <v>0</v>
      </c>
      <c r="S1070" s="737">
        <f t="shared" si="139"/>
        <v>0</v>
      </c>
      <c r="T1070" s="739">
        <f t="shared" si="140"/>
        <v>0</v>
      </c>
      <c r="U1070" s="846"/>
      <c r="V1070" s="847"/>
      <c r="W1070" s="846"/>
      <c r="X1070" s="846"/>
      <c r="Y1070" s="740">
        <f t="shared" si="136"/>
        <v>0</v>
      </c>
      <c r="Z1070" s="847"/>
      <c r="AA1070" s="847"/>
      <c r="AB1070" s="741">
        <f t="shared" si="137"/>
        <v>0</v>
      </c>
      <c r="AC1070" s="846"/>
      <c r="AD1070" s="847"/>
      <c r="AE1070" s="846"/>
      <c r="AF1070" s="846"/>
      <c r="AG1070" s="847"/>
      <c r="AH1070" s="847"/>
      <c r="AI1070" s="742">
        <f t="shared" si="141"/>
        <v>0</v>
      </c>
      <c r="AJ1070" s="743">
        <f t="shared" si="142"/>
        <v>0</v>
      </c>
    </row>
    <row r="1071" spans="1:36">
      <c r="A1071" s="840" t="s">
        <v>144</v>
      </c>
      <c r="B1071" s="875" t="s">
        <v>254</v>
      </c>
      <c r="C1071" s="876" t="s">
        <v>311</v>
      </c>
      <c r="D1071" s="877"/>
      <c r="E1071" s="880"/>
      <c r="F1071" s="881"/>
      <c r="G1071" s="846"/>
      <c r="H1071" s="847"/>
      <c r="I1071" s="846"/>
      <c r="J1071" s="847"/>
      <c r="K1071" s="846"/>
      <c r="L1071" s="847"/>
      <c r="M1071" s="846"/>
      <c r="N1071" s="846"/>
      <c r="O1071" s="737">
        <f t="shared" si="135"/>
        <v>0</v>
      </c>
      <c r="P1071" s="847"/>
      <c r="Q1071" s="847"/>
      <c r="R1071" s="738">
        <f t="shared" si="138"/>
        <v>0</v>
      </c>
      <c r="S1071" s="737">
        <f t="shared" si="139"/>
        <v>0</v>
      </c>
      <c r="T1071" s="739">
        <f t="shared" si="140"/>
        <v>0</v>
      </c>
      <c r="U1071" s="846"/>
      <c r="V1071" s="847"/>
      <c r="W1071" s="846"/>
      <c r="X1071" s="846"/>
      <c r="Y1071" s="740">
        <f t="shared" si="136"/>
        <v>0</v>
      </c>
      <c r="Z1071" s="847"/>
      <c r="AA1071" s="847"/>
      <c r="AB1071" s="741">
        <f t="shared" si="137"/>
        <v>0</v>
      </c>
      <c r="AC1071" s="846"/>
      <c r="AD1071" s="847"/>
      <c r="AE1071" s="846"/>
      <c r="AF1071" s="846"/>
      <c r="AG1071" s="847"/>
      <c r="AH1071" s="847"/>
      <c r="AI1071" s="742">
        <f t="shared" si="141"/>
        <v>0</v>
      </c>
      <c r="AJ1071" s="743">
        <f t="shared" si="142"/>
        <v>0</v>
      </c>
    </row>
    <row r="1072" spans="1:36">
      <c r="A1072" s="840" t="s">
        <v>144</v>
      </c>
      <c r="B1072" s="875" t="s">
        <v>255</v>
      </c>
      <c r="C1072" s="876" t="s">
        <v>249</v>
      </c>
      <c r="D1072" s="877"/>
      <c r="E1072" s="880"/>
      <c r="F1072" s="881"/>
      <c r="G1072" s="846"/>
      <c r="H1072" s="847"/>
      <c r="I1072" s="846"/>
      <c r="J1072" s="847"/>
      <c r="K1072" s="846"/>
      <c r="L1072" s="847"/>
      <c r="M1072" s="846"/>
      <c r="N1072" s="846"/>
      <c r="O1072" s="737">
        <f t="shared" si="135"/>
        <v>0</v>
      </c>
      <c r="P1072" s="847"/>
      <c r="Q1072" s="847"/>
      <c r="R1072" s="738">
        <f t="shared" si="138"/>
        <v>0</v>
      </c>
      <c r="S1072" s="737">
        <f t="shared" si="139"/>
        <v>0</v>
      </c>
      <c r="T1072" s="739">
        <f t="shared" si="140"/>
        <v>0</v>
      </c>
      <c r="U1072" s="846">
        <v>1094862</v>
      </c>
      <c r="V1072" s="847">
        <v>1162611</v>
      </c>
      <c r="W1072" s="846"/>
      <c r="X1072" s="846"/>
      <c r="Y1072" s="740">
        <f t="shared" si="136"/>
        <v>0</v>
      </c>
      <c r="Z1072" s="847"/>
      <c r="AA1072" s="847"/>
      <c r="AB1072" s="741">
        <f t="shared" si="137"/>
        <v>0</v>
      </c>
      <c r="AC1072" s="846"/>
      <c r="AD1072" s="847"/>
      <c r="AE1072" s="846"/>
      <c r="AF1072" s="846"/>
      <c r="AG1072" s="847"/>
      <c r="AH1072" s="847"/>
      <c r="AI1072" s="742">
        <f t="shared" si="141"/>
        <v>1094862</v>
      </c>
      <c r="AJ1072" s="743">
        <f t="shared" si="142"/>
        <v>1162611</v>
      </c>
    </row>
    <row r="1073" spans="1:36">
      <c r="A1073" s="840" t="s">
        <v>144</v>
      </c>
      <c r="B1073" s="841" t="s">
        <v>294</v>
      </c>
      <c r="C1073" s="874" t="s">
        <v>526</v>
      </c>
      <c r="D1073" s="849"/>
      <c r="E1073" s="880"/>
      <c r="F1073" s="881"/>
      <c r="G1073" s="846"/>
      <c r="H1073" s="847"/>
      <c r="I1073" s="846"/>
      <c r="J1073" s="847"/>
      <c r="K1073" s="846"/>
      <c r="L1073" s="847"/>
      <c r="M1073" s="846"/>
      <c r="N1073" s="846"/>
      <c r="O1073" s="737">
        <f t="shared" si="135"/>
        <v>0</v>
      </c>
      <c r="P1073" s="847"/>
      <c r="Q1073" s="847"/>
      <c r="R1073" s="738">
        <f t="shared" si="138"/>
        <v>0</v>
      </c>
      <c r="S1073" s="737">
        <f t="shared" si="139"/>
        <v>0</v>
      </c>
      <c r="T1073" s="739">
        <f t="shared" si="140"/>
        <v>0</v>
      </c>
      <c r="U1073" s="846"/>
      <c r="V1073" s="847"/>
      <c r="W1073" s="846"/>
      <c r="X1073" s="846"/>
      <c r="Y1073" s="740">
        <f t="shared" si="136"/>
        <v>0</v>
      </c>
      <c r="Z1073" s="847"/>
      <c r="AA1073" s="847"/>
      <c r="AB1073" s="741">
        <f t="shared" si="137"/>
        <v>0</v>
      </c>
      <c r="AC1073" s="846"/>
      <c r="AD1073" s="847"/>
      <c r="AE1073" s="846"/>
      <c r="AF1073" s="846"/>
      <c r="AG1073" s="847"/>
      <c r="AH1073" s="847"/>
      <c r="AI1073" s="742">
        <f t="shared" si="141"/>
        <v>0</v>
      </c>
      <c r="AJ1073" s="743">
        <f t="shared" si="142"/>
        <v>0</v>
      </c>
    </row>
    <row r="1074" spans="1:36">
      <c r="A1074" s="840" t="s">
        <v>144</v>
      </c>
      <c r="B1074" s="875" t="s">
        <v>254</v>
      </c>
      <c r="C1074" s="876" t="s">
        <v>311</v>
      </c>
      <c r="D1074" s="877"/>
      <c r="E1074" s="880"/>
      <c r="F1074" s="881"/>
      <c r="G1074" s="846"/>
      <c r="H1074" s="847"/>
      <c r="I1074" s="846"/>
      <c r="J1074" s="847"/>
      <c r="K1074" s="846"/>
      <c r="L1074" s="847"/>
      <c r="M1074" s="846"/>
      <c r="N1074" s="846"/>
      <c r="O1074" s="737">
        <f t="shared" si="135"/>
        <v>0</v>
      </c>
      <c r="P1074" s="847"/>
      <c r="Q1074" s="847"/>
      <c r="R1074" s="738">
        <f t="shared" si="138"/>
        <v>0</v>
      </c>
      <c r="S1074" s="737">
        <f t="shared" si="139"/>
        <v>0</v>
      </c>
      <c r="T1074" s="739">
        <f t="shared" si="140"/>
        <v>0</v>
      </c>
      <c r="U1074" s="846"/>
      <c r="V1074" s="847"/>
      <c r="W1074" s="846"/>
      <c r="X1074" s="846"/>
      <c r="Y1074" s="740">
        <f t="shared" si="136"/>
        <v>0</v>
      </c>
      <c r="Z1074" s="847"/>
      <c r="AA1074" s="847"/>
      <c r="AB1074" s="741">
        <f t="shared" si="137"/>
        <v>0</v>
      </c>
      <c r="AC1074" s="846"/>
      <c r="AD1074" s="847"/>
      <c r="AE1074" s="846"/>
      <c r="AF1074" s="846"/>
      <c r="AG1074" s="847"/>
      <c r="AH1074" s="847"/>
      <c r="AI1074" s="742">
        <f t="shared" si="141"/>
        <v>0</v>
      </c>
      <c r="AJ1074" s="743">
        <f t="shared" si="142"/>
        <v>0</v>
      </c>
    </row>
    <row r="1075" spans="1:36">
      <c r="A1075" s="840" t="s">
        <v>144</v>
      </c>
      <c r="B1075" s="875" t="s">
        <v>255</v>
      </c>
      <c r="C1075" s="876" t="s">
        <v>249</v>
      </c>
      <c r="D1075" s="877"/>
      <c r="E1075" s="880"/>
      <c r="F1075" s="881"/>
      <c r="G1075" s="846"/>
      <c r="H1075" s="847"/>
      <c r="I1075" s="846"/>
      <c r="J1075" s="847"/>
      <c r="K1075" s="846"/>
      <c r="L1075" s="847"/>
      <c r="M1075" s="846"/>
      <c r="N1075" s="846"/>
      <c r="O1075" s="737">
        <f t="shared" si="135"/>
        <v>0</v>
      </c>
      <c r="P1075" s="847"/>
      <c r="Q1075" s="847"/>
      <c r="R1075" s="738">
        <f t="shared" si="138"/>
        <v>0</v>
      </c>
      <c r="S1075" s="737">
        <f t="shared" si="139"/>
        <v>0</v>
      </c>
      <c r="T1075" s="739">
        <f t="shared" si="140"/>
        <v>0</v>
      </c>
      <c r="U1075" s="846"/>
      <c r="V1075" s="847"/>
      <c r="W1075" s="846"/>
      <c r="X1075" s="846"/>
      <c r="Y1075" s="740">
        <f t="shared" si="136"/>
        <v>0</v>
      </c>
      <c r="Z1075" s="847"/>
      <c r="AA1075" s="847"/>
      <c r="AB1075" s="741">
        <f t="shared" si="137"/>
        <v>0</v>
      </c>
      <c r="AC1075" s="846"/>
      <c r="AD1075" s="847"/>
      <c r="AE1075" s="846"/>
      <c r="AF1075" s="846"/>
      <c r="AG1075" s="847"/>
      <c r="AH1075" s="847"/>
      <c r="AI1075" s="742">
        <f t="shared" si="141"/>
        <v>0</v>
      </c>
      <c r="AJ1075" s="743">
        <f t="shared" si="142"/>
        <v>0</v>
      </c>
    </row>
    <row r="1076" spans="1:36">
      <c r="A1076" s="915" t="s">
        <v>144</v>
      </c>
      <c r="B1076" s="916" t="s">
        <v>264</v>
      </c>
      <c r="C1076" s="1044" t="s">
        <v>901</v>
      </c>
      <c r="D1076" s="1045"/>
      <c r="E1076" s="1046">
        <v>138682</v>
      </c>
      <c r="F1076" s="1047">
        <v>12</v>
      </c>
      <c r="G1076" s="1048">
        <v>9043023</v>
      </c>
      <c r="H1076" s="847">
        <v>9892721.6799999997</v>
      </c>
      <c r="I1076" s="1048"/>
      <c r="J1076" s="847"/>
      <c r="K1076" s="1048"/>
      <c r="L1076" s="847"/>
      <c r="M1076" s="1049">
        <v>10768822.463</v>
      </c>
      <c r="N1076" s="846"/>
      <c r="O1076" s="737">
        <f t="shared" si="135"/>
        <v>10768822.463</v>
      </c>
      <c r="P1076" s="847">
        <v>11521984.0496</v>
      </c>
      <c r="Q1076" s="847"/>
      <c r="R1076" s="738">
        <f t="shared" si="138"/>
        <v>11521984.0496</v>
      </c>
      <c r="S1076" s="737">
        <f t="shared" si="139"/>
        <v>19811845.463</v>
      </c>
      <c r="T1076" s="739">
        <f t="shared" si="140"/>
        <v>21414705.729599997</v>
      </c>
      <c r="U1076" s="1048"/>
      <c r="V1076" s="847"/>
      <c r="W1076" s="1049"/>
      <c r="X1076" s="846"/>
      <c r="Y1076" s="740">
        <f t="shared" si="136"/>
        <v>0</v>
      </c>
      <c r="Z1076" s="847"/>
      <c r="AA1076" s="847"/>
      <c r="AB1076" s="741">
        <f t="shared" si="137"/>
        <v>0</v>
      </c>
      <c r="AC1076" s="1048"/>
      <c r="AD1076" s="847"/>
      <c r="AE1076" s="1049"/>
      <c r="AF1076" s="846"/>
      <c r="AG1076" s="847"/>
      <c r="AH1076" s="847"/>
      <c r="AI1076" s="742">
        <f t="shared" si="141"/>
        <v>19811845.463</v>
      </c>
      <c r="AJ1076" s="743">
        <f t="shared" si="142"/>
        <v>21414705.729599997</v>
      </c>
    </row>
    <row r="1077" spans="1:36">
      <c r="A1077" s="915" t="s">
        <v>144</v>
      </c>
      <c r="B1077" s="916" t="s">
        <v>264</v>
      </c>
      <c r="C1077" s="1044" t="s">
        <v>902</v>
      </c>
      <c r="D1077" s="1045"/>
      <c r="E1077" s="1046">
        <v>246813</v>
      </c>
      <c r="F1077" s="1047">
        <v>12</v>
      </c>
      <c r="G1077" s="1048">
        <v>10434374</v>
      </c>
      <c r="H1077" s="847">
        <v>10996529</v>
      </c>
      <c r="I1077" s="1048"/>
      <c r="J1077" s="847"/>
      <c r="K1077" s="1048"/>
      <c r="L1077" s="847"/>
      <c r="M1077" s="1049">
        <v>11792701.08296</v>
      </c>
      <c r="N1077" s="846"/>
      <c r="O1077" s="737">
        <f t="shared" si="135"/>
        <v>11792701.08296</v>
      </c>
      <c r="P1077" s="847">
        <v>12182135.0704</v>
      </c>
      <c r="Q1077" s="847"/>
      <c r="R1077" s="738">
        <f t="shared" si="138"/>
        <v>12182135.0704</v>
      </c>
      <c r="S1077" s="737">
        <f t="shared" si="139"/>
        <v>22227075.082960002</v>
      </c>
      <c r="T1077" s="739">
        <f t="shared" si="140"/>
        <v>23178664.0704</v>
      </c>
      <c r="U1077" s="1048"/>
      <c r="V1077" s="847"/>
      <c r="W1077" s="1049"/>
      <c r="X1077" s="846"/>
      <c r="Y1077" s="740">
        <f t="shared" si="136"/>
        <v>0</v>
      </c>
      <c r="Z1077" s="847"/>
      <c r="AA1077" s="847"/>
      <c r="AB1077" s="741">
        <f t="shared" si="137"/>
        <v>0</v>
      </c>
      <c r="AC1077" s="1048"/>
      <c r="AD1077" s="847"/>
      <c r="AE1077" s="1049"/>
      <c r="AF1077" s="846"/>
      <c r="AG1077" s="847"/>
      <c r="AH1077" s="847"/>
      <c r="AI1077" s="742">
        <f t="shared" si="141"/>
        <v>22227075.082960002</v>
      </c>
      <c r="AJ1077" s="743">
        <f t="shared" si="142"/>
        <v>23178664.0704</v>
      </c>
    </row>
    <row r="1078" spans="1:36">
      <c r="A1078" s="915" t="s">
        <v>144</v>
      </c>
      <c r="B1078" s="916" t="s">
        <v>264</v>
      </c>
      <c r="C1078" s="1044" t="s">
        <v>903</v>
      </c>
      <c r="D1078" s="1045"/>
      <c r="E1078" s="1046">
        <v>138840</v>
      </c>
      <c r="F1078" s="1047">
        <v>12</v>
      </c>
      <c r="G1078" s="1048">
        <v>11137351</v>
      </c>
      <c r="H1078" s="847">
        <v>11655596</v>
      </c>
      <c r="I1078" s="1048"/>
      <c r="J1078" s="847"/>
      <c r="K1078" s="1048"/>
      <c r="L1078" s="847"/>
      <c r="M1078" s="1049">
        <v>13496342.618752001</v>
      </c>
      <c r="N1078" s="846"/>
      <c r="O1078" s="737">
        <f t="shared" si="135"/>
        <v>13496342.618752001</v>
      </c>
      <c r="P1078" s="847">
        <v>17776308.650999997</v>
      </c>
      <c r="Q1078" s="847"/>
      <c r="R1078" s="738">
        <f t="shared" si="138"/>
        <v>17776308.650999997</v>
      </c>
      <c r="S1078" s="737">
        <f t="shared" si="139"/>
        <v>24633693.618752003</v>
      </c>
      <c r="T1078" s="739">
        <f t="shared" si="140"/>
        <v>29431904.650999997</v>
      </c>
      <c r="U1078" s="1048"/>
      <c r="V1078" s="847"/>
      <c r="W1078" s="1049"/>
      <c r="X1078" s="846"/>
      <c r="Y1078" s="740">
        <f t="shared" si="136"/>
        <v>0</v>
      </c>
      <c r="Z1078" s="847"/>
      <c r="AA1078" s="847"/>
      <c r="AB1078" s="741">
        <f t="shared" si="137"/>
        <v>0</v>
      </c>
      <c r="AC1078" s="1048"/>
      <c r="AD1078" s="847"/>
      <c r="AE1078" s="1049"/>
      <c r="AF1078" s="846"/>
      <c r="AG1078" s="847"/>
      <c r="AH1078" s="847"/>
      <c r="AI1078" s="742">
        <f t="shared" si="141"/>
        <v>24633693.618752003</v>
      </c>
      <c r="AJ1078" s="743">
        <f t="shared" si="142"/>
        <v>29431904.650999997</v>
      </c>
    </row>
    <row r="1079" spans="1:36">
      <c r="A1079" s="915" t="s">
        <v>144</v>
      </c>
      <c r="B1079" s="916" t="s">
        <v>264</v>
      </c>
      <c r="C1079" s="1044" t="s">
        <v>904</v>
      </c>
      <c r="D1079" s="1045"/>
      <c r="E1079" s="1046">
        <v>138956</v>
      </c>
      <c r="F1079" s="1047">
        <v>12</v>
      </c>
      <c r="G1079" s="1048">
        <v>12843834</v>
      </c>
      <c r="H1079" s="847">
        <v>13407352</v>
      </c>
      <c r="I1079" s="1048"/>
      <c r="J1079" s="847"/>
      <c r="K1079" s="1048"/>
      <c r="L1079" s="847"/>
      <c r="M1079" s="1049">
        <v>10002861.195600001</v>
      </c>
      <c r="N1079" s="846"/>
      <c r="O1079" s="737">
        <f t="shared" si="135"/>
        <v>10002861.195600001</v>
      </c>
      <c r="P1079" s="847">
        <v>10742875.210999999</v>
      </c>
      <c r="Q1079" s="847"/>
      <c r="R1079" s="738">
        <f t="shared" si="138"/>
        <v>10742875.210999999</v>
      </c>
      <c r="S1079" s="737">
        <f t="shared" si="139"/>
        <v>22846695.195600003</v>
      </c>
      <c r="T1079" s="739">
        <f t="shared" si="140"/>
        <v>24150227.210999999</v>
      </c>
      <c r="U1079" s="1048"/>
      <c r="V1079" s="847"/>
      <c r="W1079" s="1049"/>
      <c r="X1079" s="846"/>
      <c r="Y1079" s="740">
        <f t="shared" si="136"/>
        <v>0</v>
      </c>
      <c r="Z1079" s="847"/>
      <c r="AA1079" s="847"/>
      <c r="AB1079" s="741">
        <f t="shared" si="137"/>
        <v>0</v>
      </c>
      <c r="AC1079" s="1048"/>
      <c r="AD1079" s="847"/>
      <c r="AE1079" s="1049"/>
      <c r="AF1079" s="846"/>
      <c r="AG1079" s="847"/>
      <c r="AH1079" s="847"/>
      <c r="AI1079" s="742">
        <f t="shared" si="141"/>
        <v>22846695.195600003</v>
      </c>
      <c r="AJ1079" s="743">
        <f t="shared" si="142"/>
        <v>24150227.210999999</v>
      </c>
    </row>
    <row r="1080" spans="1:36">
      <c r="A1080" s="915" t="s">
        <v>144</v>
      </c>
      <c r="B1080" s="916" t="s">
        <v>264</v>
      </c>
      <c r="C1080" s="1044" t="s">
        <v>905</v>
      </c>
      <c r="D1080" s="1045"/>
      <c r="E1080" s="1046">
        <v>140304</v>
      </c>
      <c r="F1080" s="1047">
        <v>12</v>
      </c>
      <c r="G1080" s="1048">
        <v>20193913</v>
      </c>
      <c r="H1080" s="847">
        <v>20282665</v>
      </c>
      <c r="I1080" s="1048"/>
      <c r="J1080" s="847"/>
      <c r="K1080" s="1048"/>
      <c r="L1080" s="847"/>
      <c r="M1080" s="1049">
        <v>17355650</v>
      </c>
      <c r="N1080" s="846"/>
      <c r="O1080" s="737">
        <f t="shared" si="135"/>
        <v>17355650</v>
      </c>
      <c r="P1080" s="847">
        <v>17654092.962400001</v>
      </c>
      <c r="Q1080" s="847"/>
      <c r="R1080" s="738">
        <f t="shared" si="138"/>
        <v>17654092.962400001</v>
      </c>
      <c r="S1080" s="737">
        <f t="shared" si="139"/>
        <v>37549563</v>
      </c>
      <c r="T1080" s="739">
        <f t="shared" si="140"/>
        <v>37936757.962400004</v>
      </c>
      <c r="U1080" s="1048"/>
      <c r="V1080" s="847"/>
      <c r="W1080" s="1049"/>
      <c r="X1080" s="846"/>
      <c r="Y1080" s="740">
        <f t="shared" si="136"/>
        <v>0</v>
      </c>
      <c r="Z1080" s="847"/>
      <c r="AA1080" s="847"/>
      <c r="AB1080" s="741">
        <f t="shared" si="137"/>
        <v>0</v>
      </c>
      <c r="AC1080" s="1048"/>
      <c r="AD1080" s="847"/>
      <c r="AE1080" s="1049"/>
      <c r="AF1080" s="846"/>
      <c r="AG1080" s="847"/>
      <c r="AH1080" s="847"/>
      <c r="AI1080" s="742">
        <f t="shared" si="141"/>
        <v>37549563</v>
      </c>
      <c r="AJ1080" s="743">
        <f t="shared" si="142"/>
        <v>37936757.962400004</v>
      </c>
    </row>
    <row r="1081" spans="1:36">
      <c r="A1081" s="915" t="s">
        <v>144</v>
      </c>
      <c r="B1081" s="916" t="s">
        <v>264</v>
      </c>
      <c r="C1081" s="1050" t="s">
        <v>906</v>
      </c>
      <c r="D1081" s="1051"/>
      <c r="E1081" s="1046">
        <v>140331</v>
      </c>
      <c r="F1081" s="1047">
        <v>12</v>
      </c>
      <c r="G1081" s="1048">
        <v>19242616</v>
      </c>
      <c r="H1081" s="847">
        <v>20096053</v>
      </c>
      <c r="I1081" s="1048"/>
      <c r="J1081" s="847"/>
      <c r="K1081" s="1048"/>
      <c r="L1081" s="847"/>
      <c r="M1081" s="1049">
        <v>25104328.779599998</v>
      </c>
      <c r="N1081" s="846"/>
      <c r="O1081" s="737">
        <f t="shared" si="135"/>
        <v>25104328.779599998</v>
      </c>
      <c r="P1081" s="847">
        <v>25819647.183799997</v>
      </c>
      <c r="Q1081" s="847"/>
      <c r="R1081" s="738">
        <f t="shared" si="138"/>
        <v>25819647.183799997</v>
      </c>
      <c r="S1081" s="737">
        <f t="shared" si="139"/>
        <v>44346944.779599994</v>
      </c>
      <c r="T1081" s="739">
        <f t="shared" si="140"/>
        <v>45915700.183799997</v>
      </c>
      <c r="U1081" s="1048"/>
      <c r="V1081" s="847"/>
      <c r="W1081" s="1049"/>
      <c r="X1081" s="846"/>
      <c r="Y1081" s="740">
        <f t="shared" si="136"/>
        <v>0</v>
      </c>
      <c r="Z1081" s="847"/>
      <c r="AA1081" s="847"/>
      <c r="AB1081" s="741">
        <f t="shared" si="137"/>
        <v>0</v>
      </c>
      <c r="AC1081" s="1048"/>
      <c r="AD1081" s="847"/>
      <c r="AE1081" s="1049"/>
      <c r="AF1081" s="846"/>
      <c r="AG1081" s="847"/>
      <c r="AH1081" s="847"/>
      <c r="AI1081" s="742">
        <f t="shared" si="141"/>
        <v>44346944.779599994</v>
      </c>
      <c r="AJ1081" s="743">
        <f t="shared" si="142"/>
        <v>45915700.183799997</v>
      </c>
    </row>
    <row r="1082" spans="1:36">
      <c r="A1082" s="915" t="s">
        <v>144</v>
      </c>
      <c r="B1082" s="916" t="s">
        <v>264</v>
      </c>
      <c r="C1082" s="1050" t="s">
        <v>907</v>
      </c>
      <c r="D1082" s="1051"/>
      <c r="E1082" s="1046">
        <v>485458</v>
      </c>
      <c r="F1082" s="1047">
        <v>12</v>
      </c>
      <c r="G1082" s="1052">
        <v>12547716</v>
      </c>
      <c r="H1082" s="847">
        <v>13148982</v>
      </c>
      <c r="I1082" s="1048"/>
      <c r="J1082" s="847"/>
      <c r="K1082" s="1048"/>
      <c r="L1082" s="847"/>
      <c r="M1082" s="1052">
        <v>6967697.3058000002</v>
      </c>
      <c r="N1082" s="846"/>
      <c r="O1082" s="737">
        <f t="shared" si="135"/>
        <v>6967697.3058000002</v>
      </c>
      <c r="P1082" s="847">
        <v>6509815.2289999994</v>
      </c>
      <c r="Q1082" s="847"/>
      <c r="R1082" s="738">
        <f t="shared" si="138"/>
        <v>6509815.2289999994</v>
      </c>
      <c r="S1082" s="737">
        <f t="shared" si="139"/>
        <v>19515413.305799998</v>
      </c>
      <c r="T1082" s="739">
        <f t="shared" si="140"/>
        <v>19658797.228999998</v>
      </c>
      <c r="U1082" s="1048"/>
      <c r="V1082" s="847"/>
      <c r="W1082" s="1049"/>
      <c r="X1082" s="846"/>
      <c r="Y1082" s="740">
        <f t="shared" si="136"/>
        <v>0</v>
      </c>
      <c r="Z1082" s="847"/>
      <c r="AA1082" s="847"/>
      <c r="AB1082" s="741">
        <f t="shared" si="137"/>
        <v>0</v>
      </c>
      <c r="AC1082" s="1048"/>
      <c r="AD1082" s="847"/>
      <c r="AE1082" s="1049"/>
      <c r="AF1082" s="846"/>
      <c r="AG1082" s="847"/>
      <c r="AH1082" s="847"/>
      <c r="AI1082" s="742">
        <f t="shared" si="141"/>
        <v>19515413.305799998</v>
      </c>
      <c r="AJ1082" s="743">
        <f t="shared" si="142"/>
        <v>19658797.228999998</v>
      </c>
    </row>
    <row r="1083" spans="1:36">
      <c r="A1083" s="915" t="s">
        <v>144</v>
      </c>
      <c r="B1083" s="916" t="s">
        <v>264</v>
      </c>
      <c r="C1083" s="1053" t="s">
        <v>908</v>
      </c>
      <c r="D1083" s="1045"/>
      <c r="E1083" s="1046">
        <v>139357</v>
      </c>
      <c r="F1083" s="1047">
        <v>12</v>
      </c>
      <c r="G1083" s="1048">
        <v>10224993</v>
      </c>
      <c r="H1083" s="847">
        <v>10778666</v>
      </c>
      <c r="I1083" s="1048"/>
      <c r="J1083" s="847"/>
      <c r="K1083" s="1048"/>
      <c r="L1083" s="847"/>
      <c r="M1083" s="1049">
        <v>12312042.672999999</v>
      </c>
      <c r="N1083" s="846"/>
      <c r="O1083" s="737">
        <f t="shared" si="135"/>
        <v>12312042.672999999</v>
      </c>
      <c r="P1083" s="847">
        <v>10443117.9812</v>
      </c>
      <c r="Q1083" s="847"/>
      <c r="R1083" s="738">
        <f t="shared" si="138"/>
        <v>10443117.9812</v>
      </c>
      <c r="S1083" s="737">
        <f t="shared" si="139"/>
        <v>22537035.673</v>
      </c>
      <c r="T1083" s="739">
        <f t="shared" si="140"/>
        <v>21221783.981200002</v>
      </c>
      <c r="U1083" s="1048"/>
      <c r="V1083" s="847"/>
      <c r="W1083" s="1049"/>
      <c r="X1083" s="846"/>
      <c r="Y1083" s="740">
        <f t="shared" si="136"/>
        <v>0</v>
      </c>
      <c r="Z1083" s="847"/>
      <c r="AA1083" s="847"/>
      <c r="AB1083" s="741">
        <f t="shared" si="137"/>
        <v>0</v>
      </c>
      <c r="AC1083" s="1048"/>
      <c r="AD1083" s="847"/>
      <c r="AE1083" s="1049"/>
      <c r="AF1083" s="846"/>
      <c r="AG1083" s="847"/>
      <c r="AH1083" s="847"/>
      <c r="AI1083" s="742">
        <f t="shared" si="141"/>
        <v>22537035.673</v>
      </c>
      <c r="AJ1083" s="743">
        <f t="shared" si="142"/>
        <v>21221783.981200002</v>
      </c>
    </row>
    <row r="1084" spans="1:36">
      <c r="A1084" s="915" t="s">
        <v>144</v>
      </c>
      <c r="B1084" s="916" t="s">
        <v>264</v>
      </c>
      <c r="C1084" s="1050" t="s">
        <v>909</v>
      </c>
      <c r="D1084" s="1051"/>
      <c r="E1084" s="1046">
        <v>139384</v>
      </c>
      <c r="F1084" s="1047">
        <v>12</v>
      </c>
      <c r="G1084" s="1048">
        <v>15963610</v>
      </c>
      <c r="H1084" s="847">
        <v>16785214</v>
      </c>
      <c r="I1084" s="1048"/>
      <c r="J1084" s="847"/>
      <c r="K1084" s="1048"/>
      <c r="L1084" s="847"/>
      <c r="M1084" s="1049">
        <v>13579829.424000001</v>
      </c>
      <c r="N1084" s="846"/>
      <c r="O1084" s="737">
        <f t="shared" si="135"/>
        <v>13579829.424000001</v>
      </c>
      <c r="P1084" s="847">
        <v>13924652.3718</v>
      </c>
      <c r="Q1084" s="847"/>
      <c r="R1084" s="738">
        <f t="shared" si="138"/>
        <v>13924652.3718</v>
      </c>
      <c r="S1084" s="737">
        <f t="shared" si="139"/>
        <v>29543439.424000002</v>
      </c>
      <c r="T1084" s="739">
        <f t="shared" si="140"/>
        <v>30709866.371799998</v>
      </c>
      <c r="U1084" s="1048"/>
      <c r="V1084" s="847"/>
      <c r="W1084" s="1049"/>
      <c r="X1084" s="846"/>
      <c r="Y1084" s="740">
        <f t="shared" si="136"/>
        <v>0</v>
      </c>
      <c r="Z1084" s="847"/>
      <c r="AA1084" s="847"/>
      <c r="AB1084" s="741">
        <f t="shared" si="137"/>
        <v>0</v>
      </c>
      <c r="AC1084" s="1048"/>
      <c r="AD1084" s="847"/>
      <c r="AE1084" s="1049"/>
      <c r="AF1084" s="846"/>
      <c r="AG1084" s="847"/>
      <c r="AH1084" s="847"/>
      <c r="AI1084" s="742">
        <f t="shared" si="141"/>
        <v>29543439.424000002</v>
      </c>
      <c r="AJ1084" s="743">
        <f t="shared" si="142"/>
        <v>30709866.371799998</v>
      </c>
    </row>
    <row r="1085" spans="1:36">
      <c r="A1085" s="915" t="s">
        <v>144</v>
      </c>
      <c r="B1085" s="916" t="s">
        <v>264</v>
      </c>
      <c r="C1085" s="1054" t="s">
        <v>910</v>
      </c>
      <c r="D1085" s="930"/>
      <c r="E1085" s="1046">
        <v>244446</v>
      </c>
      <c r="F1085" s="1047">
        <v>12</v>
      </c>
      <c r="G1085" s="1048">
        <v>13460035</v>
      </c>
      <c r="H1085" s="847">
        <v>14092010</v>
      </c>
      <c r="I1085" s="1048"/>
      <c r="J1085" s="847"/>
      <c r="K1085" s="1048"/>
      <c r="L1085" s="847"/>
      <c r="M1085" s="1049">
        <v>13573918.847999999</v>
      </c>
      <c r="N1085" s="846"/>
      <c r="O1085" s="737">
        <f t="shared" si="135"/>
        <v>13573918.847999999</v>
      </c>
      <c r="P1085" s="847">
        <v>14167752.972200001</v>
      </c>
      <c r="Q1085" s="847"/>
      <c r="R1085" s="738">
        <f t="shared" si="138"/>
        <v>14167752.972200001</v>
      </c>
      <c r="S1085" s="737">
        <f t="shared" si="139"/>
        <v>27033953.847999997</v>
      </c>
      <c r="T1085" s="739">
        <f t="shared" si="140"/>
        <v>28259762.972199999</v>
      </c>
      <c r="U1085" s="1048"/>
      <c r="V1085" s="847"/>
      <c r="W1085" s="1049"/>
      <c r="X1085" s="846"/>
      <c r="Y1085" s="740">
        <f t="shared" si="136"/>
        <v>0</v>
      </c>
      <c r="Z1085" s="847"/>
      <c r="AA1085" s="847"/>
      <c r="AB1085" s="741">
        <f t="shared" si="137"/>
        <v>0</v>
      </c>
      <c r="AC1085" s="1048"/>
      <c r="AD1085" s="847"/>
      <c r="AE1085" s="1049"/>
      <c r="AF1085" s="846"/>
      <c r="AG1085" s="847"/>
      <c r="AH1085" s="847"/>
      <c r="AI1085" s="742">
        <f t="shared" si="141"/>
        <v>27033953.847999997</v>
      </c>
      <c r="AJ1085" s="743">
        <f t="shared" si="142"/>
        <v>28259762.972199999</v>
      </c>
    </row>
    <row r="1086" spans="1:36">
      <c r="A1086" s="915" t="s">
        <v>144</v>
      </c>
      <c r="B1086" s="916" t="s">
        <v>264</v>
      </c>
      <c r="C1086" s="1044" t="s">
        <v>911</v>
      </c>
      <c r="D1086" s="1045"/>
      <c r="E1086" s="1046">
        <v>140012</v>
      </c>
      <c r="F1086" s="1047">
        <v>12</v>
      </c>
      <c r="G1086" s="1048">
        <v>13470295</v>
      </c>
      <c r="H1086" s="847">
        <v>14001420</v>
      </c>
      <c r="I1086" s="1048"/>
      <c r="J1086" s="847"/>
      <c r="K1086" s="1048"/>
      <c r="L1086" s="847"/>
      <c r="M1086" s="1049">
        <v>19087038.743668001</v>
      </c>
      <c r="N1086" s="846"/>
      <c r="O1086" s="737">
        <f t="shared" si="135"/>
        <v>19087038.743668001</v>
      </c>
      <c r="P1086" s="847">
        <v>22670699.287999999</v>
      </c>
      <c r="Q1086" s="847"/>
      <c r="R1086" s="738">
        <f t="shared" si="138"/>
        <v>22670699.287999999</v>
      </c>
      <c r="S1086" s="737">
        <f t="shared" si="139"/>
        <v>32557333.743668001</v>
      </c>
      <c r="T1086" s="739">
        <f t="shared" si="140"/>
        <v>36672119.288000003</v>
      </c>
      <c r="U1086" s="1048"/>
      <c r="V1086" s="847"/>
      <c r="W1086" s="1049"/>
      <c r="X1086" s="846"/>
      <c r="Y1086" s="740">
        <f t="shared" si="136"/>
        <v>0</v>
      </c>
      <c r="Z1086" s="847"/>
      <c r="AA1086" s="847"/>
      <c r="AB1086" s="741">
        <f t="shared" si="137"/>
        <v>0</v>
      </c>
      <c r="AC1086" s="1048"/>
      <c r="AD1086" s="847"/>
      <c r="AE1086" s="1049"/>
      <c r="AF1086" s="846"/>
      <c r="AG1086" s="847"/>
      <c r="AH1086" s="847"/>
      <c r="AI1086" s="742">
        <f t="shared" si="141"/>
        <v>32557333.743668001</v>
      </c>
      <c r="AJ1086" s="743">
        <f t="shared" si="142"/>
        <v>36672119.288000003</v>
      </c>
    </row>
    <row r="1087" spans="1:36">
      <c r="A1087" s="915" t="s">
        <v>144</v>
      </c>
      <c r="B1087" s="916" t="s">
        <v>264</v>
      </c>
      <c r="C1087" s="1044" t="s">
        <v>912</v>
      </c>
      <c r="D1087" s="1045"/>
      <c r="E1087" s="1046">
        <v>140243</v>
      </c>
      <c r="F1087" s="1047">
        <v>12</v>
      </c>
      <c r="G1087" s="1048">
        <v>8962781</v>
      </c>
      <c r="H1087" s="847">
        <v>9256618</v>
      </c>
      <c r="I1087" s="1048"/>
      <c r="J1087" s="847"/>
      <c r="K1087" s="1048"/>
      <c r="L1087" s="847"/>
      <c r="M1087" s="1049">
        <v>7636523.7563999994</v>
      </c>
      <c r="N1087" s="846"/>
      <c r="O1087" s="737">
        <f t="shared" si="135"/>
        <v>7636523.7563999994</v>
      </c>
      <c r="P1087" s="847">
        <v>8606012.5029999986</v>
      </c>
      <c r="Q1087" s="847"/>
      <c r="R1087" s="738">
        <f t="shared" si="138"/>
        <v>8606012.5029999986</v>
      </c>
      <c r="S1087" s="737">
        <f t="shared" si="139"/>
        <v>16599304.7564</v>
      </c>
      <c r="T1087" s="739">
        <f t="shared" si="140"/>
        <v>17862630.502999999</v>
      </c>
      <c r="U1087" s="1048"/>
      <c r="V1087" s="847"/>
      <c r="W1087" s="1049"/>
      <c r="X1087" s="846"/>
      <c r="Y1087" s="740">
        <f t="shared" si="136"/>
        <v>0</v>
      </c>
      <c r="Z1087" s="847"/>
      <c r="AA1087" s="847"/>
      <c r="AB1087" s="741">
        <f t="shared" si="137"/>
        <v>0</v>
      </c>
      <c r="AC1087" s="1048"/>
      <c r="AD1087" s="847"/>
      <c r="AE1087" s="1049"/>
      <c r="AF1087" s="846"/>
      <c r="AG1087" s="847"/>
      <c r="AH1087" s="847"/>
      <c r="AI1087" s="742">
        <f t="shared" si="141"/>
        <v>16599304.7564</v>
      </c>
      <c r="AJ1087" s="743">
        <f t="shared" si="142"/>
        <v>17862630.502999999</v>
      </c>
    </row>
    <row r="1088" spans="1:36">
      <c r="A1088" s="915" t="s">
        <v>144</v>
      </c>
      <c r="B1088" s="916" t="s">
        <v>264</v>
      </c>
      <c r="C1088" s="1044" t="s">
        <v>913</v>
      </c>
      <c r="D1088" s="1045"/>
      <c r="E1088" s="1046">
        <v>140599</v>
      </c>
      <c r="F1088" s="1047">
        <v>12</v>
      </c>
      <c r="G1088" s="1048">
        <v>7302403</v>
      </c>
      <c r="H1088" s="847">
        <v>7795507</v>
      </c>
      <c r="I1088" s="1048"/>
      <c r="J1088" s="847"/>
      <c r="K1088" s="1048"/>
      <c r="L1088" s="847"/>
      <c r="M1088" s="1049">
        <v>5537912.5367999999</v>
      </c>
      <c r="N1088" s="846"/>
      <c r="O1088" s="737">
        <f t="shared" si="135"/>
        <v>5537912.5367999999</v>
      </c>
      <c r="P1088" s="847">
        <v>5586976.9029999999</v>
      </c>
      <c r="Q1088" s="847"/>
      <c r="R1088" s="738">
        <f t="shared" si="138"/>
        <v>5586976.9029999999</v>
      </c>
      <c r="S1088" s="737">
        <f t="shared" si="139"/>
        <v>12840315.536800001</v>
      </c>
      <c r="T1088" s="739">
        <f t="shared" si="140"/>
        <v>13382483.903000001</v>
      </c>
      <c r="U1088" s="1048"/>
      <c r="V1088" s="847"/>
      <c r="W1088" s="1049"/>
      <c r="X1088" s="846"/>
      <c r="Y1088" s="740">
        <f t="shared" si="136"/>
        <v>0</v>
      </c>
      <c r="Z1088" s="847"/>
      <c r="AA1088" s="847"/>
      <c r="AB1088" s="741">
        <f t="shared" si="137"/>
        <v>0</v>
      </c>
      <c r="AC1088" s="1048"/>
      <c r="AD1088" s="847"/>
      <c r="AE1088" s="1049"/>
      <c r="AF1088" s="846"/>
      <c r="AG1088" s="847"/>
      <c r="AH1088" s="847"/>
      <c r="AI1088" s="742">
        <f t="shared" si="141"/>
        <v>12840315.536800001</v>
      </c>
      <c r="AJ1088" s="743">
        <f t="shared" si="142"/>
        <v>13382483.903000001</v>
      </c>
    </row>
    <row r="1089" spans="1:36">
      <c r="A1089" s="915" t="s">
        <v>144</v>
      </c>
      <c r="B1089" s="916" t="s">
        <v>264</v>
      </c>
      <c r="C1089" s="1044" t="s">
        <v>914</v>
      </c>
      <c r="D1089" s="1045"/>
      <c r="E1089" s="1046">
        <v>140678</v>
      </c>
      <c r="F1089" s="1047">
        <v>12</v>
      </c>
      <c r="G1089" s="1048">
        <v>8247548</v>
      </c>
      <c r="H1089" s="847">
        <v>8672336</v>
      </c>
      <c r="I1089" s="1048"/>
      <c r="J1089" s="847"/>
      <c r="K1089" s="1048"/>
      <c r="L1089" s="847"/>
      <c r="M1089" s="1049">
        <v>8245203.4616</v>
      </c>
      <c r="N1089" s="846"/>
      <c r="O1089" s="737">
        <f t="shared" si="135"/>
        <v>8245203.4616</v>
      </c>
      <c r="P1089" s="847">
        <v>8754634.5118000004</v>
      </c>
      <c r="Q1089" s="847"/>
      <c r="R1089" s="738">
        <f t="shared" si="138"/>
        <v>8754634.5118000004</v>
      </c>
      <c r="S1089" s="737">
        <f t="shared" si="139"/>
        <v>16492751.4616</v>
      </c>
      <c r="T1089" s="739">
        <f t="shared" si="140"/>
        <v>17426970.511799999</v>
      </c>
      <c r="U1089" s="1048"/>
      <c r="V1089" s="847"/>
      <c r="W1089" s="1049"/>
      <c r="X1089" s="846"/>
      <c r="Y1089" s="740">
        <f t="shared" si="136"/>
        <v>0</v>
      </c>
      <c r="Z1089" s="847"/>
      <c r="AA1089" s="847"/>
      <c r="AB1089" s="741">
        <f t="shared" si="137"/>
        <v>0</v>
      </c>
      <c r="AC1089" s="1048"/>
      <c r="AD1089" s="847"/>
      <c r="AE1089" s="1049"/>
      <c r="AF1089" s="846"/>
      <c r="AG1089" s="847"/>
      <c r="AH1089" s="847"/>
      <c r="AI1089" s="742">
        <f t="shared" si="141"/>
        <v>16492751.4616</v>
      </c>
      <c r="AJ1089" s="743">
        <f t="shared" si="142"/>
        <v>17426970.511799999</v>
      </c>
    </row>
    <row r="1090" spans="1:36">
      <c r="A1090" s="915" t="s">
        <v>144</v>
      </c>
      <c r="B1090" s="916" t="s">
        <v>264</v>
      </c>
      <c r="C1090" s="1054" t="s">
        <v>915</v>
      </c>
      <c r="D1090" s="930"/>
      <c r="E1090" s="1055">
        <v>420431</v>
      </c>
      <c r="F1090" s="929">
        <v>12</v>
      </c>
      <c r="G1090" s="1048">
        <v>8596523</v>
      </c>
      <c r="H1090" s="847">
        <v>8617149</v>
      </c>
      <c r="I1090" s="1048"/>
      <c r="J1090" s="847"/>
      <c r="K1090" s="1048"/>
      <c r="L1090" s="847"/>
      <c r="M1090" s="1049">
        <v>5257248.9452</v>
      </c>
      <c r="N1090" s="846"/>
      <c r="O1090" s="737">
        <f t="shared" si="135"/>
        <v>5257248.9452</v>
      </c>
      <c r="P1090" s="847">
        <v>5147449.0145999994</v>
      </c>
      <c r="Q1090" s="847"/>
      <c r="R1090" s="738">
        <f t="shared" si="138"/>
        <v>5147449.0145999994</v>
      </c>
      <c r="S1090" s="737">
        <f t="shared" si="139"/>
        <v>13853771.9452</v>
      </c>
      <c r="T1090" s="739">
        <f t="shared" si="140"/>
        <v>13764598.014599999</v>
      </c>
      <c r="U1090" s="1048"/>
      <c r="V1090" s="847"/>
      <c r="W1090" s="1049"/>
      <c r="X1090" s="846"/>
      <c r="Y1090" s="740">
        <f t="shared" si="136"/>
        <v>0</v>
      </c>
      <c r="Z1090" s="847"/>
      <c r="AA1090" s="847"/>
      <c r="AB1090" s="741">
        <f t="shared" si="137"/>
        <v>0</v>
      </c>
      <c r="AC1090" s="1048"/>
      <c r="AD1090" s="847"/>
      <c r="AE1090" s="1049"/>
      <c r="AF1090" s="846"/>
      <c r="AG1090" s="847"/>
      <c r="AH1090" s="847"/>
      <c r="AI1090" s="742">
        <f t="shared" si="141"/>
        <v>13853771.9452</v>
      </c>
      <c r="AJ1090" s="743">
        <f t="shared" si="142"/>
        <v>13764598.014599999</v>
      </c>
    </row>
    <row r="1091" spans="1:36">
      <c r="A1091" s="915" t="s">
        <v>144</v>
      </c>
      <c r="B1091" s="916" t="s">
        <v>264</v>
      </c>
      <c r="C1091" s="1044" t="s">
        <v>916</v>
      </c>
      <c r="D1091" s="1045"/>
      <c r="E1091" s="1046">
        <v>366465</v>
      </c>
      <c r="F1091" s="1047">
        <v>12</v>
      </c>
      <c r="G1091" s="1048">
        <v>6853174</v>
      </c>
      <c r="H1091" s="847">
        <v>7117116.0499999998</v>
      </c>
      <c r="I1091" s="1048"/>
      <c r="J1091" s="847"/>
      <c r="K1091" s="1048"/>
      <c r="L1091" s="847"/>
      <c r="M1091" s="1049">
        <v>7398324.4566000002</v>
      </c>
      <c r="N1091" s="846"/>
      <c r="O1091" s="737">
        <f t="shared" si="135"/>
        <v>7398324.4566000002</v>
      </c>
      <c r="P1091" s="847">
        <v>7787934.093799999</v>
      </c>
      <c r="Q1091" s="847"/>
      <c r="R1091" s="738">
        <f t="shared" si="138"/>
        <v>7787934.093799999</v>
      </c>
      <c r="S1091" s="737">
        <f t="shared" si="139"/>
        <v>14251498.456599999</v>
      </c>
      <c r="T1091" s="739">
        <f t="shared" si="140"/>
        <v>14905050.143799998</v>
      </c>
      <c r="U1091" s="1048"/>
      <c r="V1091" s="847"/>
      <c r="W1091" s="1049"/>
      <c r="X1091" s="846"/>
      <c r="Y1091" s="740">
        <f t="shared" si="136"/>
        <v>0</v>
      </c>
      <c r="Z1091" s="847"/>
      <c r="AA1091" s="847"/>
      <c r="AB1091" s="741">
        <f t="shared" si="137"/>
        <v>0</v>
      </c>
      <c r="AC1091" s="1048"/>
      <c r="AD1091" s="847"/>
      <c r="AE1091" s="1049"/>
      <c r="AF1091" s="846"/>
      <c r="AG1091" s="847"/>
      <c r="AH1091" s="847"/>
      <c r="AI1091" s="742">
        <f t="shared" si="141"/>
        <v>14251498.456599999</v>
      </c>
      <c r="AJ1091" s="743">
        <f t="shared" si="142"/>
        <v>14905050.143799998</v>
      </c>
    </row>
    <row r="1092" spans="1:36">
      <c r="A1092" s="915" t="s">
        <v>144</v>
      </c>
      <c r="B1092" s="916" t="s">
        <v>264</v>
      </c>
      <c r="C1092" s="1044" t="s">
        <v>917</v>
      </c>
      <c r="D1092" s="1045"/>
      <c r="E1092" s="1046">
        <v>140942</v>
      </c>
      <c r="F1092" s="1047">
        <v>12</v>
      </c>
      <c r="G1092" s="1048">
        <v>10788342</v>
      </c>
      <c r="H1092" s="847">
        <v>11872357.32</v>
      </c>
      <c r="I1092" s="1048"/>
      <c r="J1092" s="847"/>
      <c r="K1092" s="1048"/>
      <c r="L1092" s="847"/>
      <c r="M1092" s="1049">
        <v>14640326.692599999</v>
      </c>
      <c r="N1092" s="846"/>
      <c r="O1092" s="737">
        <f t="shared" si="135"/>
        <v>14640326.692599999</v>
      </c>
      <c r="P1092" s="847">
        <v>16304241.259400001</v>
      </c>
      <c r="Q1092" s="847"/>
      <c r="R1092" s="738">
        <f t="shared" si="138"/>
        <v>16304241.259400001</v>
      </c>
      <c r="S1092" s="737">
        <f t="shared" si="139"/>
        <v>25428668.692599997</v>
      </c>
      <c r="T1092" s="739">
        <f t="shared" si="140"/>
        <v>28176598.579400003</v>
      </c>
      <c r="U1092" s="1048"/>
      <c r="V1092" s="847"/>
      <c r="W1092" s="1049"/>
      <c r="X1092" s="846"/>
      <c r="Y1092" s="740">
        <f t="shared" si="136"/>
        <v>0</v>
      </c>
      <c r="Z1092" s="847"/>
      <c r="AA1092" s="847"/>
      <c r="AB1092" s="741">
        <f t="shared" si="137"/>
        <v>0</v>
      </c>
      <c r="AC1092" s="1048"/>
      <c r="AD1092" s="847"/>
      <c r="AE1092" s="1049"/>
      <c r="AF1092" s="846"/>
      <c r="AG1092" s="847"/>
      <c r="AH1092" s="847"/>
      <c r="AI1092" s="742">
        <f t="shared" si="141"/>
        <v>25428668.692599997</v>
      </c>
      <c r="AJ1092" s="743">
        <f t="shared" si="142"/>
        <v>28176598.579400003</v>
      </c>
    </row>
    <row r="1093" spans="1:36">
      <c r="A1093" s="915" t="s">
        <v>144</v>
      </c>
      <c r="B1093" s="916" t="s">
        <v>264</v>
      </c>
      <c r="C1093" s="1044" t="s">
        <v>918</v>
      </c>
      <c r="D1093" s="1045"/>
      <c r="E1093" s="1046">
        <v>141006</v>
      </c>
      <c r="F1093" s="1047">
        <v>12</v>
      </c>
      <c r="G1093" s="1048">
        <v>7876309</v>
      </c>
      <c r="H1093" s="847">
        <v>8284343</v>
      </c>
      <c r="I1093" s="1048"/>
      <c r="J1093" s="847"/>
      <c r="K1093" s="1048"/>
      <c r="L1093" s="847"/>
      <c r="M1093" s="1049">
        <v>5423413.0313999997</v>
      </c>
      <c r="N1093" s="846"/>
      <c r="O1093" s="737">
        <f t="shared" si="135"/>
        <v>5423413.0313999997</v>
      </c>
      <c r="P1093" s="847">
        <v>5654109.6255999999</v>
      </c>
      <c r="Q1093" s="847"/>
      <c r="R1093" s="738">
        <f t="shared" si="138"/>
        <v>5654109.6255999999</v>
      </c>
      <c r="S1093" s="737">
        <f t="shared" si="139"/>
        <v>13299722.031399999</v>
      </c>
      <c r="T1093" s="739">
        <f t="shared" si="140"/>
        <v>13938452.625599999</v>
      </c>
      <c r="U1093" s="1048"/>
      <c r="V1093" s="847"/>
      <c r="W1093" s="1049"/>
      <c r="X1093" s="846"/>
      <c r="Y1093" s="740">
        <f t="shared" si="136"/>
        <v>0</v>
      </c>
      <c r="Z1093" s="847"/>
      <c r="AA1093" s="847"/>
      <c r="AB1093" s="741">
        <f t="shared" si="137"/>
        <v>0</v>
      </c>
      <c r="AC1093" s="1048"/>
      <c r="AD1093" s="847"/>
      <c r="AE1093" s="1049"/>
      <c r="AF1093" s="846"/>
      <c r="AG1093" s="847"/>
      <c r="AH1093" s="847"/>
      <c r="AI1093" s="742">
        <f t="shared" si="141"/>
        <v>13299722.031399999</v>
      </c>
      <c r="AJ1093" s="743">
        <f t="shared" si="142"/>
        <v>13938452.625599999</v>
      </c>
    </row>
    <row r="1094" spans="1:36">
      <c r="A1094" s="915" t="s">
        <v>144</v>
      </c>
      <c r="B1094" s="916" t="s">
        <v>264</v>
      </c>
      <c r="C1094" s="1050" t="s">
        <v>919</v>
      </c>
      <c r="D1094" s="1051"/>
      <c r="E1094" s="1046">
        <v>368911</v>
      </c>
      <c r="F1094" s="1047">
        <v>12</v>
      </c>
      <c r="G1094" s="1048">
        <v>7641180</v>
      </c>
      <c r="H1094" s="847">
        <v>7920626</v>
      </c>
      <c r="I1094" s="1048"/>
      <c r="J1094" s="847"/>
      <c r="K1094" s="1048"/>
      <c r="L1094" s="847"/>
      <c r="M1094" s="1049">
        <v>4270294.1694</v>
      </c>
      <c r="N1094" s="846"/>
      <c r="O1094" s="737">
        <f t="shared" si="135"/>
        <v>4270294.1694</v>
      </c>
      <c r="P1094" s="847">
        <v>3984792.8407999999</v>
      </c>
      <c r="Q1094" s="847"/>
      <c r="R1094" s="738">
        <f t="shared" si="138"/>
        <v>3984792.8407999999</v>
      </c>
      <c r="S1094" s="737">
        <f t="shared" si="139"/>
        <v>11911474.169399999</v>
      </c>
      <c r="T1094" s="739">
        <f t="shared" si="140"/>
        <v>11905418.8408</v>
      </c>
      <c r="U1094" s="1048"/>
      <c r="V1094" s="847"/>
      <c r="W1094" s="1049"/>
      <c r="X1094" s="846"/>
      <c r="Y1094" s="740">
        <f t="shared" si="136"/>
        <v>0</v>
      </c>
      <c r="Z1094" s="847"/>
      <c r="AA1094" s="847"/>
      <c r="AB1094" s="741">
        <f t="shared" si="137"/>
        <v>0</v>
      </c>
      <c r="AC1094" s="1048"/>
      <c r="AD1094" s="847"/>
      <c r="AE1094" s="1049"/>
      <c r="AF1094" s="846"/>
      <c r="AG1094" s="847"/>
      <c r="AH1094" s="847"/>
      <c r="AI1094" s="742">
        <f t="shared" si="141"/>
        <v>11911474.169399999</v>
      </c>
      <c r="AJ1094" s="743">
        <f t="shared" si="142"/>
        <v>11905418.8408</v>
      </c>
    </row>
    <row r="1095" spans="1:36">
      <c r="A1095" s="915" t="s">
        <v>144</v>
      </c>
      <c r="B1095" s="916" t="s">
        <v>264</v>
      </c>
      <c r="C1095" s="1050" t="s">
        <v>920</v>
      </c>
      <c r="D1095" s="1051"/>
      <c r="E1095" s="1046">
        <v>139986</v>
      </c>
      <c r="F1095" s="1047">
        <v>12</v>
      </c>
      <c r="G1095" s="1048">
        <v>11744413</v>
      </c>
      <c r="H1095" s="847">
        <v>12872977</v>
      </c>
      <c r="I1095" s="1048"/>
      <c r="J1095" s="847"/>
      <c r="K1095" s="1048"/>
      <c r="L1095" s="847"/>
      <c r="M1095" s="1049">
        <v>13330727.242000001</v>
      </c>
      <c r="N1095" s="846"/>
      <c r="O1095" s="737">
        <f t="shared" si="135"/>
        <v>13330727.242000001</v>
      </c>
      <c r="P1095" s="847">
        <v>12849021.059599999</v>
      </c>
      <c r="Q1095" s="847"/>
      <c r="R1095" s="738">
        <f t="shared" si="138"/>
        <v>12849021.059599999</v>
      </c>
      <c r="S1095" s="737">
        <f t="shared" si="139"/>
        <v>25075140.241999999</v>
      </c>
      <c r="T1095" s="739">
        <f t="shared" si="140"/>
        <v>25721998.059599999</v>
      </c>
      <c r="U1095" s="1048"/>
      <c r="V1095" s="847"/>
      <c r="W1095" s="1049"/>
      <c r="X1095" s="846"/>
      <c r="Y1095" s="740">
        <f t="shared" si="136"/>
        <v>0</v>
      </c>
      <c r="Z1095" s="847"/>
      <c r="AA1095" s="847"/>
      <c r="AB1095" s="741">
        <f t="shared" si="137"/>
        <v>0</v>
      </c>
      <c r="AC1095" s="1048"/>
      <c r="AD1095" s="847"/>
      <c r="AE1095" s="1049"/>
      <c r="AF1095" s="846"/>
      <c r="AG1095" s="847"/>
      <c r="AH1095" s="847"/>
      <c r="AI1095" s="742">
        <f t="shared" si="141"/>
        <v>25075140.241999999</v>
      </c>
      <c r="AJ1095" s="743">
        <f t="shared" si="142"/>
        <v>25721998.059599999</v>
      </c>
    </row>
    <row r="1096" spans="1:36">
      <c r="A1096" s="915" t="s">
        <v>144</v>
      </c>
      <c r="B1096" s="916" t="s">
        <v>264</v>
      </c>
      <c r="C1096" s="1050" t="s">
        <v>921</v>
      </c>
      <c r="D1096" s="1051"/>
      <c r="E1096" s="1046">
        <v>141158</v>
      </c>
      <c r="F1096" s="1047">
        <v>12</v>
      </c>
      <c r="G1096" s="1048">
        <v>6636559</v>
      </c>
      <c r="H1096" s="847">
        <v>6786199</v>
      </c>
      <c r="I1096" s="1048"/>
      <c r="J1096" s="847"/>
      <c r="K1096" s="1048"/>
      <c r="L1096" s="847"/>
      <c r="M1096" s="1049">
        <v>3917462.5447999998</v>
      </c>
      <c r="N1096" s="846"/>
      <c r="O1096" s="737">
        <f t="shared" si="135"/>
        <v>3917462.5447999998</v>
      </c>
      <c r="P1096" s="847">
        <v>3946047.0277999998</v>
      </c>
      <c r="Q1096" s="847"/>
      <c r="R1096" s="738">
        <f t="shared" si="138"/>
        <v>3946047.0277999998</v>
      </c>
      <c r="S1096" s="737">
        <f t="shared" si="139"/>
        <v>10554021.5448</v>
      </c>
      <c r="T1096" s="739">
        <f t="shared" si="140"/>
        <v>10732246.027799999</v>
      </c>
      <c r="U1096" s="1048"/>
      <c r="V1096" s="847"/>
      <c r="W1096" s="1049"/>
      <c r="X1096" s="846"/>
      <c r="Y1096" s="740">
        <f t="shared" si="136"/>
        <v>0</v>
      </c>
      <c r="Z1096" s="847"/>
      <c r="AA1096" s="847"/>
      <c r="AB1096" s="741">
        <f t="shared" si="137"/>
        <v>0</v>
      </c>
      <c r="AC1096" s="1048"/>
      <c r="AD1096" s="847"/>
      <c r="AE1096" s="1049"/>
      <c r="AF1096" s="846"/>
      <c r="AG1096" s="847"/>
      <c r="AH1096" s="847"/>
      <c r="AI1096" s="742">
        <f t="shared" si="141"/>
        <v>10554021.5448</v>
      </c>
      <c r="AJ1096" s="743">
        <f t="shared" si="142"/>
        <v>10732246.027799999</v>
      </c>
    </row>
    <row r="1097" spans="1:36">
      <c r="A1097" s="915" t="s">
        <v>144</v>
      </c>
      <c r="B1097" s="916" t="s">
        <v>264</v>
      </c>
      <c r="C1097" s="1050" t="s">
        <v>922</v>
      </c>
      <c r="D1097" s="1051"/>
      <c r="E1097" s="1046">
        <v>139278</v>
      </c>
      <c r="F1097" s="1047">
        <v>12</v>
      </c>
      <c r="G1097" s="1048">
        <v>15680863</v>
      </c>
      <c r="H1097" s="847">
        <v>16651122</v>
      </c>
      <c r="I1097" s="1048">
        <v>16651122</v>
      </c>
      <c r="J1097" s="847"/>
      <c r="K1097" s="1048"/>
      <c r="L1097" s="847"/>
      <c r="M1097" s="1049">
        <v>17897757.777199998</v>
      </c>
      <c r="N1097" s="846"/>
      <c r="O1097" s="737">
        <f t="shared" si="135"/>
        <v>17897757.777199998</v>
      </c>
      <c r="P1097" s="847">
        <v>20183178.303199999</v>
      </c>
      <c r="Q1097" s="847"/>
      <c r="R1097" s="738">
        <f t="shared" si="138"/>
        <v>20183178.303199999</v>
      </c>
      <c r="S1097" s="737">
        <f t="shared" si="139"/>
        <v>50229742.777199998</v>
      </c>
      <c r="T1097" s="739">
        <f t="shared" si="140"/>
        <v>36834300.303199999</v>
      </c>
      <c r="U1097" s="1048"/>
      <c r="V1097" s="847"/>
      <c r="W1097" s="1049"/>
      <c r="X1097" s="846"/>
      <c r="Y1097" s="740">
        <f t="shared" si="136"/>
        <v>0</v>
      </c>
      <c r="Z1097" s="847"/>
      <c r="AA1097" s="847"/>
      <c r="AB1097" s="741">
        <f t="shared" si="137"/>
        <v>0</v>
      </c>
      <c r="AC1097" s="1048"/>
      <c r="AD1097" s="847"/>
      <c r="AE1097" s="1049"/>
      <c r="AF1097" s="846"/>
      <c r="AG1097" s="847"/>
      <c r="AH1097" s="847"/>
      <c r="AI1097" s="742">
        <f t="shared" si="141"/>
        <v>50229742.777199998</v>
      </c>
      <c r="AJ1097" s="743">
        <f t="shared" si="142"/>
        <v>36834300.303199999</v>
      </c>
    </row>
    <row r="1098" spans="1:36">
      <c r="A1098" s="915" t="s">
        <v>144</v>
      </c>
      <c r="B1098" s="916" t="s">
        <v>264</v>
      </c>
      <c r="C1098" s="1050" t="s">
        <v>923</v>
      </c>
      <c r="D1098" s="1051"/>
      <c r="E1098" s="1046">
        <v>141255</v>
      </c>
      <c r="F1098" s="1047">
        <v>12</v>
      </c>
      <c r="G1098" s="1048">
        <v>11923344</v>
      </c>
      <c r="H1098" s="847">
        <v>12792623</v>
      </c>
      <c r="I1098" s="1048"/>
      <c r="J1098" s="847"/>
      <c r="K1098" s="1048"/>
      <c r="L1098" s="847"/>
      <c r="M1098" s="1049">
        <v>10162453.9212</v>
      </c>
      <c r="N1098" s="846"/>
      <c r="O1098" s="737">
        <f t="shared" ref="O1098:O1161" si="143">SUM(M1098:N1098)</f>
        <v>10162453.9212</v>
      </c>
      <c r="P1098" s="847">
        <v>9910033.5095999986</v>
      </c>
      <c r="Q1098" s="847"/>
      <c r="R1098" s="738">
        <f t="shared" si="138"/>
        <v>9910033.5095999986</v>
      </c>
      <c r="S1098" s="737">
        <f t="shared" si="139"/>
        <v>22085797.9212</v>
      </c>
      <c r="T1098" s="739">
        <f t="shared" si="140"/>
        <v>22702656.509599999</v>
      </c>
      <c r="U1098" s="1048"/>
      <c r="V1098" s="847"/>
      <c r="W1098" s="1049"/>
      <c r="X1098" s="846"/>
      <c r="Y1098" s="740">
        <f t="shared" ref="Y1098:Y1161" si="144">SUM(W1098:X1098)</f>
        <v>0</v>
      </c>
      <c r="Z1098" s="847"/>
      <c r="AA1098" s="847"/>
      <c r="AB1098" s="741">
        <f t="shared" ref="AB1098:AB1161" si="145">SUM(Z1098:AA1098)</f>
        <v>0</v>
      </c>
      <c r="AC1098" s="1048"/>
      <c r="AD1098" s="847"/>
      <c r="AE1098" s="1049"/>
      <c r="AF1098" s="846"/>
      <c r="AG1098" s="847"/>
      <c r="AH1098" s="847"/>
      <c r="AI1098" s="742">
        <f t="shared" si="141"/>
        <v>22085797.9212</v>
      </c>
      <c r="AJ1098" s="743">
        <f t="shared" si="142"/>
        <v>22702656.509599999</v>
      </c>
    </row>
    <row r="1099" spans="1:36">
      <c r="A1099" s="915" t="s">
        <v>144</v>
      </c>
      <c r="B1099" s="916" t="s">
        <v>273</v>
      </c>
      <c r="C1099" s="935" t="s">
        <v>924</v>
      </c>
      <c r="D1099" s="924"/>
      <c r="E1099" s="918"/>
      <c r="F1099" s="919"/>
      <c r="G1099" s="846"/>
      <c r="H1099" s="847"/>
      <c r="I1099" s="846"/>
      <c r="J1099" s="847"/>
      <c r="K1099" s="846"/>
      <c r="L1099" s="847"/>
      <c r="M1099" s="846"/>
      <c r="N1099" s="846"/>
      <c r="O1099" s="737">
        <f t="shared" si="143"/>
        <v>0</v>
      </c>
      <c r="P1099" s="847"/>
      <c r="Q1099" s="847"/>
      <c r="R1099" s="738">
        <f t="shared" ref="R1099:R1162" si="146">SUM(P1099:Q1099)</f>
        <v>0</v>
      </c>
      <c r="S1099" s="737">
        <f t="shared" ref="S1099:S1162" si="147">SUM(G1099,I1099,K1099,M1099)</f>
        <v>0</v>
      </c>
      <c r="T1099" s="739">
        <f t="shared" ref="T1099:T1162" si="148">SUM(H1099,J1099,L1099,P1099)</f>
        <v>0</v>
      </c>
      <c r="U1099" s="846"/>
      <c r="V1099" s="847"/>
      <c r="W1099" s="846"/>
      <c r="X1099" s="846"/>
      <c r="Y1099" s="740">
        <f t="shared" si="144"/>
        <v>0</v>
      </c>
      <c r="Z1099" s="847"/>
      <c r="AA1099" s="847"/>
      <c r="AB1099" s="741">
        <f t="shared" si="145"/>
        <v>0</v>
      </c>
      <c r="AC1099" s="846"/>
      <c r="AD1099" s="847"/>
      <c r="AE1099" s="846"/>
      <c r="AF1099" s="846"/>
      <c r="AG1099" s="847"/>
      <c r="AH1099" s="847"/>
      <c r="AI1099" s="742">
        <f t="shared" ref="AI1099:AI1162" si="149">SUM(S1099,U1099,W1099,AC1099,AE1099)</f>
        <v>0</v>
      </c>
      <c r="AJ1099" s="743">
        <f t="shared" ref="AJ1099:AJ1162" si="150">SUM(T1099,V1099,Z1099,AD1099,AG1099)</f>
        <v>0</v>
      </c>
    </row>
    <row r="1100" spans="1:36">
      <c r="A1100" s="915" t="s">
        <v>144</v>
      </c>
      <c r="B1100" s="916" t="s">
        <v>274</v>
      </c>
      <c r="C1100" s="921" t="s">
        <v>319</v>
      </c>
      <c r="D1100" s="917"/>
      <c r="E1100" s="918"/>
      <c r="F1100" s="919"/>
      <c r="G1100" s="846"/>
      <c r="H1100" s="847"/>
      <c r="I1100" s="846"/>
      <c r="J1100" s="847"/>
      <c r="K1100" s="846"/>
      <c r="L1100" s="847"/>
      <c r="M1100" s="846"/>
      <c r="N1100" s="846"/>
      <c r="O1100" s="737">
        <f t="shared" si="143"/>
        <v>0</v>
      </c>
      <c r="P1100" s="847"/>
      <c r="Q1100" s="847"/>
      <c r="R1100" s="738">
        <f t="shared" si="146"/>
        <v>0</v>
      </c>
      <c r="S1100" s="737">
        <f t="shared" si="147"/>
        <v>0</v>
      </c>
      <c r="T1100" s="739">
        <f t="shared" si="148"/>
        <v>0</v>
      </c>
      <c r="U1100" s="846"/>
      <c r="V1100" s="847"/>
      <c r="W1100" s="846"/>
      <c r="X1100" s="846"/>
      <c r="Y1100" s="740">
        <f t="shared" si="144"/>
        <v>0</v>
      </c>
      <c r="Z1100" s="847"/>
      <c r="AA1100" s="847"/>
      <c r="AB1100" s="741">
        <f t="shared" si="145"/>
        <v>0</v>
      </c>
      <c r="AC1100" s="846"/>
      <c r="AD1100" s="847"/>
      <c r="AE1100" s="846"/>
      <c r="AF1100" s="846"/>
      <c r="AG1100" s="847"/>
      <c r="AH1100" s="847"/>
      <c r="AI1100" s="742">
        <f t="shared" si="149"/>
        <v>0</v>
      </c>
      <c r="AJ1100" s="743">
        <f t="shared" si="150"/>
        <v>0</v>
      </c>
    </row>
    <row r="1101" spans="1:36">
      <c r="A1101" s="915" t="s">
        <v>144</v>
      </c>
      <c r="B1101" s="916" t="s">
        <v>303</v>
      </c>
      <c r="C1101" s="935" t="s">
        <v>496</v>
      </c>
      <c r="D1101" s="924"/>
      <c r="E1101" s="936" t="s">
        <v>91</v>
      </c>
      <c r="F1101" s="937"/>
      <c r="G1101" s="846"/>
      <c r="H1101" s="847"/>
      <c r="I1101" s="846"/>
      <c r="J1101" s="847"/>
      <c r="K1101" s="846"/>
      <c r="L1101" s="847"/>
      <c r="M1101" s="846"/>
      <c r="N1101" s="846"/>
      <c r="O1101" s="737">
        <f t="shared" si="143"/>
        <v>0</v>
      </c>
      <c r="P1101" s="847"/>
      <c r="Q1101" s="847"/>
      <c r="R1101" s="738">
        <f t="shared" si="146"/>
        <v>0</v>
      </c>
      <c r="S1101" s="737">
        <f t="shared" si="147"/>
        <v>0</v>
      </c>
      <c r="T1101" s="739">
        <f t="shared" si="148"/>
        <v>0</v>
      </c>
      <c r="U1101" s="846"/>
      <c r="V1101" s="847"/>
      <c r="W1101" s="846"/>
      <c r="X1101" s="846"/>
      <c r="Y1101" s="740">
        <f t="shared" si="144"/>
        <v>0</v>
      </c>
      <c r="Z1101" s="847"/>
      <c r="AA1101" s="847"/>
      <c r="AB1101" s="741">
        <f t="shared" si="145"/>
        <v>0</v>
      </c>
      <c r="AC1101" s="846"/>
      <c r="AD1101" s="847"/>
      <c r="AE1101" s="846"/>
      <c r="AF1101" s="846"/>
      <c r="AG1101" s="847"/>
      <c r="AH1101" s="847"/>
      <c r="AI1101" s="742">
        <f t="shared" si="149"/>
        <v>0</v>
      </c>
      <c r="AJ1101" s="743">
        <f t="shared" si="150"/>
        <v>0</v>
      </c>
    </row>
    <row r="1102" spans="1:36">
      <c r="A1102" s="915" t="s">
        <v>144</v>
      </c>
      <c r="B1102" s="916" t="s">
        <v>303</v>
      </c>
      <c r="C1102" s="922" t="s">
        <v>925</v>
      </c>
      <c r="D1102" s="917"/>
      <c r="E1102" s="936"/>
      <c r="F1102" s="937"/>
      <c r="G1102" s="846"/>
      <c r="H1102" s="847"/>
      <c r="I1102" s="846">
        <v>1044405</v>
      </c>
      <c r="J1102" s="847">
        <v>1070515</v>
      </c>
      <c r="K1102" s="846"/>
      <c r="L1102" s="847"/>
      <c r="M1102" s="846"/>
      <c r="N1102" s="846"/>
      <c r="O1102" s="737">
        <f t="shared" si="143"/>
        <v>0</v>
      </c>
      <c r="P1102" s="847"/>
      <c r="Q1102" s="847"/>
      <c r="R1102" s="738">
        <f t="shared" si="146"/>
        <v>0</v>
      </c>
      <c r="S1102" s="737">
        <f t="shared" si="147"/>
        <v>1044405</v>
      </c>
      <c r="T1102" s="739">
        <f t="shared" si="148"/>
        <v>1070515</v>
      </c>
      <c r="U1102" s="846"/>
      <c r="V1102" s="847"/>
      <c r="W1102" s="846"/>
      <c r="X1102" s="846"/>
      <c r="Y1102" s="740">
        <f t="shared" si="144"/>
        <v>0</v>
      </c>
      <c r="Z1102" s="847"/>
      <c r="AA1102" s="847"/>
      <c r="AB1102" s="741">
        <f t="shared" si="145"/>
        <v>0</v>
      </c>
      <c r="AC1102" s="846"/>
      <c r="AD1102" s="847"/>
      <c r="AE1102" s="846"/>
      <c r="AF1102" s="846"/>
      <c r="AG1102" s="847"/>
      <c r="AH1102" s="847"/>
      <c r="AI1102" s="742">
        <f t="shared" si="149"/>
        <v>1044405</v>
      </c>
      <c r="AJ1102" s="743">
        <f t="shared" si="150"/>
        <v>1070515</v>
      </c>
    </row>
    <row r="1103" spans="1:36">
      <c r="A1103" s="915" t="s">
        <v>144</v>
      </c>
      <c r="B1103" s="916" t="s">
        <v>281</v>
      </c>
      <c r="C1103" s="935" t="s">
        <v>109</v>
      </c>
      <c r="D1103" s="924"/>
      <c r="E1103" s="918"/>
      <c r="F1103" s="919"/>
      <c r="G1103" s="846"/>
      <c r="H1103" s="847"/>
      <c r="I1103" s="846"/>
      <c r="J1103" s="847"/>
      <c r="K1103" s="846"/>
      <c r="L1103" s="847"/>
      <c r="M1103" s="846"/>
      <c r="N1103" s="846"/>
      <c r="O1103" s="737">
        <f t="shared" si="143"/>
        <v>0</v>
      </c>
      <c r="P1103" s="847"/>
      <c r="Q1103" s="847"/>
      <c r="R1103" s="738">
        <f t="shared" si="146"/>
        <v>0</v>
      </c>
      <c r="S1103" s="737">
        <f t="shared" si="147"/>
        <v>0</v>
      </c>
      <c r="T1103" s="739">
        <f t="shared" si="148"/>
        <v>0</v>
      </c>
      <c r="U1103" s="846"/>
      <c r="V1103" s="847"/>
      <c r="W1103" s="846"/>
      <c r="X1103" s="846"/>
      <c r="Y1103" s="740">
        <f t="shared" si="144"/>
        <v>0</v>
      </c>
      <c r="Z1103" s="847"/>
      <c r="AA1103" s="847"/>
      <c r="AB1103" s="741">
        <f t="shared" si="145"/>
        <v>0</v>
      </c>
      <c r="AC1103" s="846"/>
      <c r="AD1103" s="847"/>
      <c r="AE1103" s="846"/>
      <c r="AF1103" s="846"/>
      <c r="AG1103" s="847"/>
      <c r="AH1103" s="847"/>
      <c r="AI1103" s="742">
        <f t="shared" si="149"/>
        <v>0</v>
      </c>
      <c r="AJ1103" s="743">
        <f t="shared" si="150"/>
        <v>0</v>
      </c>
    </row>
    <row r="1104" spans="1:36">
      <c r="A1104" s="915" t="s">
        <v>144</v>
      </c>
      <c r="B1104" s="916" t="s">
        <v>283</v>
      </c>
      <c r="C1104" s="921" t="s">
        <v>139</v>
      </c>
      <c r="D1104" s="917"/>
      <c r="E1104" s="918"/>
      <c r="F1104" s="919"/>
      <c r="G1104" s="846"/>
      <c r="H1104" s="847"/>
      <c r="I1104" s="846"/>
      <c r="J1104" s="847"/>
      <c r="K1104" s="846"/>
      <c r="L1104" s="847"/>
      <c r="M1104" s="846"/>
      <c r="N1104" s="846"/>
      <c r="O1104" s="737">
        <f t="shared" si="143"/>
        <v>0</v>
      </c>
      <c r="P1104" s="847"/>
      <c r="Q1104" s="847"/>
      <c r="R1104" s="738">
        <f t="shared" si="146"/>
        <v>0</v>
      </c>
      <c r="S1104" s="737">
        <f t="shared" si="147"/>
        <v>0</v>
      </c>
      <c r="T1104" s="739">
        <f t="shared" si="148"/>
        <v>0</v>
      </c>
      <c r="U1104" s="846"/>
      <c r="V1104" s="847"/>
      <c r="W1104" s="846"/>
      <c r="X1104" s="846"/>
      <c r="Y1104" s="740">
        <f t="shared" si="144"/>
        <v>0</v>
      </c>
      <c r="Z1104" s="847"/>
      <c r="AA1104" s="847"/>
      <c r="AB1104" s="741">
        <f t="shared" si="145"/>
        <v>0</v>
      </c>
      <c r="AC1104" s="846"/>
      <c r="AD1104" s="847"/>
      <c r="AE1104" s="846"/>
      <c r="AF1104" s="846"/>
      <c r="AG1104" s="847"/>
      <c r="AH1104" s="847"/>
      <c r="AI1104" s="742">
        <f t="shared" si="149"/>
        <v>0</v>
      </c>
      <c r="AJ1104" s="743">
        <f t="shared" si="150"/>
        <v>0</v>
      </c>
    </row>
    <row r="1105" spans="1:36">
      <c r="A1105" s="915" t="s">
        <v>144</v>
      </c>
      <c r="B1105" s="916" t="s">
        <v>283</v>
      </c>
      <c r="C1105" s="922" t="s">
        <v>926</v>
      </c>
      <c r="D1105" s="917"/>
      <c r="E1105" s="918"/>
      <c r="F1105" s="919"/>
      <c r="G1105" s="846"/>
      <c r="H1105" s="847"/>
      <c r="I1105" s="846"/>
      <c r="J1105" s="847"/>
      <c r="K1105" s="846"/>
      <c r="L1105" s="847"/>
      <c r="M1105" s="846"/>
      <c r="N1105" s="846"/>
      <c r="O1105" s="737">
        <f t="shared" si="143"/>
        <v>0</v>
      </c>
      <c r="P1105" s="847"/>
      <c r="Q1105" s="847"/>
      <c r="R1105" s="738">
        <f t="shared" si="146"/>
        <v>0</v>
      </c>
      <c r="S1105" s="737">
        <f t="shared" si="147"/>
        <v>0</v>
      </c>
      <c r="T1105" s="739">
        <f t="shared" si="148"/>
        <v>0</v>
      </c>
      <c r="U1105" s="846">
        <v>18309337</v>
      </c>
      <c r="V1105" s="847">
        <v>21375183</v>
      </c>
      <c r="W1105" s="846"/>
      <c r="X1105" s="846"/>
      <c r="Y1105" s="740">
        <f t="shared" si="144"/>
        <v>0</v>
      </c>
      <c r="Z1105" s="847"/>
      <c r="AA1105" s="847"/>
      <c r="AB1105" s="741">
        <f t="shared" si="145"/>
        <v>0</v>
      </c>
      <c r="AC1105" s="846"/>
      <c r="AD1105" s="847"/>
      <c r="AE1105" s="846"/>
      <c r="AF1105" s="846"/>
      <c r="AG1105" s="847"/>
      <c r="AH1105" s="847"/>
      <c r="AI1105" s="742">
        <f t="shared" si="149"/>
        <v>18309337</v>
      </c>
      <c r="AJ1105" s="743">
        <f t="shared" si="150"/>
        <v>21375183</v>
      </c>
    </row>
    <row r="1106" spans="1:36">
      <c r="A1106" s="1197" t="s">
        <v>150</v>
      </c>
      <c r="B1106" s="1271" t="s">
        <v>264</v>
      </c>
      <c r="C1106" s="1272" t="s">
        <v>1484</v>
      </c>
      <c r="D1106" s="1273"/>
      <c r="E1106" s="1201">
        <v>157085</v>
      </c>
      <c r="F1106" s="1202">
        <v>1</v>
      </c>
      <c r="G1106" s="846">
        <v>159483973.78</v>
      </c>
      <c r="H1106" s="847">
        <v>149965340.87</v>
      </c>
      <c r="I1106" s="846"/>
      <c r="J1106" s="847"/>
      <c r="K1106" s="846"/>
      <c r="L1106" s="847"/>
      <c r="M1106" s="1274">
        <v>358584658.3788836</v>
      </c>
      <c r="N1106" s="846"/>
      <c r="O1106" s="737">
        <f t="shared" si="143"/>
        <v>358584658.3788836</v>
      </c>
      <c r="P1106" s="847">
        <v>381761191.3433097</v>
      </c>
      <c r="Q1106" s="847"/>
      <c r="R1106" s="738">
        <f t="shared" si="146"/>
        <v>381761191.3433097</v>
      </c>
      <c r="S1106" s="737">
        <f t="shared" si="147"/>
        <v>518068632.15888357</v>
      </c>
      <c r="T1106" s="739">
        <f t="shared" si="148"/>
        <v>531726532.21330971</v>
      </c>
      <c r="U1106" s="846"/>
      <c r="V1106" s="847"/>
      <c r="W1106" s="846"/>
      <c r="X1106" s="846"/>
      <c r="Y1106" s="740">
        <f t="shared" si="144"/>
        <v>0</v>
      </c>
      <c r="Z1106" s="847"/>
      <c r="AA1106" s="847"/>
      <c r="AB1106" s="741">
        <f t="shared" si="145"/>
        <v>0</v>
      </c>
      <c r="AC1106" s="846"/>
      <c r="AD1106" s="847"/>
      <c r="AE1106" s="846"/>
      <c r="AF1106" s="846"/>
      <c r="AG1106" s="847"/>
      <c r="AH1106" s="847"/>
      <c r="AI1106" s="742">
        <f t="shared" si="149"/>
        <v>518068632.15888357</v>
      </c>
      <c r="AJ1106" s="743">
        <f t="shared" si="150"/>
        <v>531726532.21330971</v>
      </c>
    </row>
    <row r="1107" spans="1:36">
      <c r="A1107" s="1197" t="s">
        <v>150</v>
      </c>
      <c r="B1107" s="1271" t="s">
        <v>280</v>
      </c>
      <c r="C1107" s="1275" t="s">
        <v>717</v>
      </c>
      <c r="D1107" s="1217"/>
      <c r="E1107" s="1201">
        <v>157085</v>
      </c>
      <c r="F1107" s="1202">
        <v>1</v>
      </c>
      <c r="G1107" s="846"/>
      <c r="H1107" s="847"/>
      <c r="I1107" s="846"/>
      <c r="J1107" s="847"/>
      <c r="K1107" s="846"/>
      <c r="L1107" s="847"/>
      <c r="M1107" s="846"/>
      <c r="N1107" s="846"/>
      <c r="O1107" s="737">
        <f t="shared" si="143"/>
        <v>0</v>
      </c>
      <c r="P1107" s="847"/>
      <c r="Q1107" s="847"/>
      <c r="R1107" s="738">
        <f t="shared" si="146"/>
        <v>0</v>
      </c>
      <c r="S1107" s="737">
        <f t="shared" si="147"/>
        <v>0</v>
      </c>
      <c r="T1107" s="739">
        <f t="shared" si="148"/>
        <v>0</v>
      </c>
      <c r="U1107" s="846"/>
      <c r="V1107" s="847"/>
      <c r="W1107" s="846"/>
      <c r="X1107" s="846"/>
      <c r="Y1107" s="740">
        <f t="shared" si="144"/>
        <v>0</v>
      </c>
      <c r="Z1107" s="847"/>
      <c r="AA1107" s="847"/>
      <c r="AB1107" s="741">
        <f t="shared" si="145"/>
        <v>0</v>
      </c>
      <c r="AC1107" s="846">
        <v>46080300</v>
      </c>
      <c r="AD1107" s="847">
        <v>48389500</v>
      </c>
      <c r="AE1107" s="846">
        <v>27404441.621116377</v>
      </c>
      <c r="AF1107" s="846"/>
      <c r="AG1107" s="847">
        <v>29996108.656690292</v>
      </c>
      <c r="AH1107" s="847"/>
      <c r="AI1107" s="742">
        <f t="shared" si="149"/>
        <v>73484741.62111637</v>
      </c>
      <c r="AJ1107" s="743">
        <f t="shared" si="150"/>
        <v>78385608.6566903</v>
      </c>
    </row>
    <row r="1108" spans="1:36">
      <c r="A1108" s="1197" t="s">
        <v>150</v>
      </c>
      <c r="B1108" s="1271" t="s">
        <v>266</v>
      </c>
      <c r="C1108" s="1216" t="s">
        <v>453</v>
      </c>
      <c r="D1108" s="1217"/>
      <c r="E1108" s="1201">
        <v>157085</v>
      </c>
      <c r="F1108" s="1202">
        <v>1</v>
      </c>
      <c r="G1108" s="846"/>
      <c r="H1108" s="847"/>
      <c r="I1108" s="846"/>
      <c r="J1108" s="847"/>
      <c r="K1108" s="846"/>
      <c r="L1108" s="847"/>
      <c r="M1108" s="846"/>
      <c r="N1108" s="846"/>
      <c r="O1108" s="737">
        <f t="shared" si="143"/>
        <v>0</v>
      </c>
      <c r="P1108" s="847"/>
      <c r="Q1108" s="847"/>
      <c r="R1108" s="738">
        <f t="shared" si="146"/>
        <v>0</v>
      </c>
      <c r="S1108" s="737">
        <f t="shared" si="147"/>
        <v>0</v>
      </c>
      <c r="T1108" s="739">
        <f t="shared" si="148"/>
        <v>0</v>
      </c>
      <c r="U1108" s="846"/>
      <c r="V1108" s="847"/>
      <c r="W1108" s="846"/>
      <c r="X1108" s="846"/>
      <c r="Y1108" s="740">
        <f t="shared" si="144"/>
        <v>0</v>
      </c>
      <c r="Z1108" s="847"/>
      <c r="AA1108" s="847"/>
      <c r="AB1108" s="741">
        <f t="shared" si="145"/>
        <v>0</v>
      </c>
      <c r="AC1108" s="846"/>
      <c r="AD1108" s="847"/>
      <c r="AE1108" s="846"/>
      <c r="AF1108" s="846"/>
      <c r="AG1108" s="847"/>
      <c r="AH1108" s="847"/>
      <c r="AI1108" s="742">
        <f t="shared" si="149"/>
        <v>0</v>
      </c>
      <c r="AJ1108" s="743">
        <f t="shared" si="150"/>
        <v>0</v>
      </c>
    </row>
    <row r="1109" spans="1:36">
      <c r="A1109" s="1197" t="s">
        <v>150</v>
      </c>
      <c r="B1109" s="1271" t="s">
        <v>266</v>
      </c>
      <c r="C1109" s="1275" t="s">
        <v>1485</v>
      </c>
      <c r="D1109" s="1217"/>
      <c r="E1109" s="1201">
        <v>157085</v>
      </c>
      <c r="F1109" s="1202">
        <v>1</v>
      </c>
      <c r="G1109" s="846"/>
      <c r="H1109" s="847"/>
      <c r="I1109" s="846">
        <v>3938800</v>
      </c>
      <c r="J1109" s="847">
        <v>3962100</v>
      </c>
      <c r="K1109" s="846"/>
      <c r="L1109" s="847"/>
      <c r="M1109" s="846"/>
      <c r="N1109" s="846"/>
      <c r="O1109" s="737">
        <f t="shared" si="143"/>
        <v>0</v>
      </c>
      <c r="P1109" s="847"/>
      <c r="Q1109" s="847"/>
      <c r="R1109" s="738">
        <f t="shared" si="146"/>
        <v>0</v>
      </c>
      <c r="S1109" s="737">
        <f t="shared" si="147"/>
        <v>3938800</v>
      </c>
      <c r="T1109" s="739">
        <f t="shared" si="148"/>
        <v>3962100</v>
      </c>
      <c r="U1109" s="846"/>
      <c r="V1109" s="847"/>
      <c r="W1109" s="846"/>
      <c r="X1109" s="846"/>
      <c r="Y1109" s="740">
        <f t="shared" si="144"/>
        <v>0</v>
      </c>
      <c r="Z1109" s="847"/>
      <c r="AA1109" s="847"/>
      <c r="AB1109" s="741">
        <f t="shared" si="145"/>
        <v>0</v>
      </c>
      <c r="AC1109" s="846"/>
      <c r="AD1109" s="847"/>
      <c r="AE1109" s="846"/>
      <c r="AF1109" s="846"/>
      <c r="AG1109" s="847"/>
      <c r="AH1109" s="847"/>
      <c r="AI1109" s="742">
        <f t="shared" si="149"/>
        <v>3938800</v>
      </c>
      <c r="AJ1109" s="743">
        <f t="shared" si="150"/>
        <v>3962100</v>
      </c>
    </row>
    <row r="1110" spans="1:36">
      <c r="A1110" s="1197" t="s">
        <v>150</v>
      </c>
      <c r="B1110" s="1271" t="s">
        <v>266</v>
      </c>
      <c r="C1110" s="1275" t="s">
        <v>1486</v>
      </c>
      <c r="D1110" s="1217"/>
      <c r="E1110" s="1201">
        <v>157085</v>
      </c>
      <c r="F1110" s="1202">
        <v>1</v>
      </c>
      <c r="G1110" s="846"/>
      <c r="H1110" s="847"/>
      <c r="I1110" s="846">
        <v>1740300</v>
      </c>
      <c r="J1110" s="847">
        <v>1710000</v>
      </c>
      <c r="K1110" s="846"/>
      <c r="L1110" s="847"/>
      <c r="M1110" s="846"/>
      <c r="N1110" s="846"/>
      <c r="O1110" s="737">
        <f t="shared" si="143"/>
        <v>0</v>
      </c>
      <c r="P1110" s="847"/>
      <c r="Q1110" s="847"/>
      <c r="R1110" s="738">
        <f t="shared" si="146"/>
        <v>0</v>
      </c>
      <c r="S1110" s="737">
        <f t="shared" si="147"/>
        <v>1740300</v>
      </c>
      <c r="T1110" s="739">
        <f t="shared" si="148"/>
        <v>1710000</v>
      </c>
      <c r="U1110" s="846"/>
      <c r="V1110" s="847"/>
      <c r="W1110" s="846"/>
      <c r="X1110" s="846"/>
      <c r="Y1110" s="740">
        <f t="shared" si="144"/>
        <v>0</v>
      </c>
      <c r="Z1110" s="847"/>
      <c r="AA1110" s="847"/>
      <c r="AB1110" s="741">
        <f t="shared" si="145"/>
        <v>0</v>
      </c>
      <c r="AC1110" s="846"/>
      <c r="AD1110" s="847"/>
      <c r="AE1110" s="846"/>
      <c r="AF1110" s="846"/>
      <c r="AG1110" s="847"/>
      <c r="AH1110" s="847"/>
      <c r="AI1110" s="742">
        <f t="shared" si="149"/>
        <v>1740300</v>
      </c>
      <c r="AJ1110" s="743">
        <f t="shared" si="150"/>
        <v>1710000</v>
      </c>
    </row>
    <row r="1111" spans="1:36">
      <c r="A1111" s="1197" t="s">
        <v>150</v>
      </c>
      <c r="B1111" s="1271" t="s">
        <v>266</v>
      </c>
      <c r="C1111" s="1275" t="s">
        <v>1487</v>
      </c>
      <c r="D1111" s="1217"/>
      <c r="E1111" s="1201">
        <v>157085</v>
      </c>
      <c r="F1111" s="1202">
        <v>1</v>
      </c>
      <c r="G1111" s="846"/>
      <c r="H1111" s="847"/>
      <c r="I1111" s="846">
        <v>4028700</v>
      </c>
      <c r="J1111" s="847">
        <v>4118900</v>
      </c>
      <c r="K1111" s="846"/>
      <c r="L1111" s="847"/>
      <c r="M1111" s="846"/>
      <c r="N1111" s="846"/>
      <c r="O1111" s="737">
        <f t="shared" si="143"/>
        <v>0</v>
      </c>
      <c r="P1111" s="847"/>
      <c r="Q1111" s="847"/>
      <c r="R1111" s="738">
        <f t="shared" si="146"/>
        <v>0</v>
      </c>
      <c r="S1111" s="737">
        <f t="shared" si="147"/>
        <v>4028700</v>
      </c>
      <c r="T1111" s="739">
        <f t="shared" si="148"/>
        <v>4118900</v>
      </c>
      <c r="U1111" s="846"/>
      <c r="V1111" s="847"/>
      <c r="W1111" s="846"/>
      <c r="X1111" s="846"/>
      <c r="Y1111" s="740">
        <f t="shared" si="144"/>
        <v>0</v>
      </c>
      <c r="Z1111" s="847"/>
      <c r="AA1111" s="847"/>
      <c r="AB1111" s="741">
        <f t="shared" si="145"/>
        <v>0</v>
      </c>
      <c r="AC1111" s="846"/>
      <c r="AD1111" s="847"/>
      <c r="AE1111" s="846"/>
      <c r="AF1111" s="846"/>
      <c r="AG1111" s="847"/>
      <c r="AH1111" s="847"/>
      <c r="AI1111" s="742">
        <f t="shared" si="149"/>
        <v>4028700</v>
      </c>
      <c r="AJ1111" s="743">
        <f t="shared" si="150"/>
        <v>4118900</v>
      </c>
    </row>
    <row r="1112" spans="1:36">
      <c r="A1112" s="1197" t="s">
        <v>150</v>
      </c>
      <c r="B1112" s="1271" t="s">
        <v>266</v>
      </c>
      <c r="C1112" s="1275" t="s">
        <v>1488</v>
      </c>
      <c r="D1112" s="1217"/>
      <c r="E1112" s="1201">
        <v>157085</v>
      </c>
      <c r="F1112" s="1202">
        <v>1</v>
      </c>
      <c r="G1112" s="846"/>
      <c r="H1112" s="847"/>
      <c r="I1112" s="846">
        <v>624900</v>
      </c>
      <c r="J1112" s="847">
        <v>638300</v>
      </c>
      <c r="K1112" s="846"/>
      <c r="L1112" s="847"/>
      <c r="M1112" s="846"/>
      <c r="N1112" s="846"/>
      <c r="O1112" s="737">
        <f t="shared" si="143"/>
        <v>0</v>
      </c>
      <c r="P1112" s="847"/>
      <c r="Q1112" s="847"/>
      <c r="R1112" s="738">
        <f t="shared" si="146"/>
        <v>0</v>
      </c>
      <c r="S1112" s="737">
        <f t="shared" si="147"/>
        <v>624900</v>
      </c>
      <c r="T1112" s="739">
        <f t="shared" si="148"/>
        <v>638300</v>
      </c>
      <c r="U1112" s="846"/>
      <c r="V1112" s="847"/>
      <c r="W1112" s="846"/>
      <c r="X1112" s="846"/>
      <c r="Y1112" s="740">
        <f t="shared" si="144"/>
        <v>0</v>
      </c>
      <c r="Z1112" s="847"/>
      <c r="AA1112" s="847"/>
      <c r="AB1112" s="741">
        <f t="shared" si="145"/>
        <v>0</v>
      </c>
      <c r="AC1112" s="846"/>
      <c r="AD1112" s="847"/>
      <c r="AE1112" s="846"/>
      <c r="AF1112" s="846"/>
      <c r="AG1112" s="847"/>
      <c r="AH1112" s="847"/>
      <c r="AI1112" s="742">
        <f t="shared" si="149"/>
        <v>624900</v>
      </c>
      <c r="AJ1112" s="743">
        <f t="shared" si="150"/>
        <v>638300</v>
      </c>
    </row>
    <row r="1113" spans="1:36">
      <c r="A1113" s="1197" t="s">
        <v>150</v>
      </c>
      <c r="B1113" s="1271" t="s">
        <v>266</v>
      </c>
      <c r="C1113" s="1275" t="s">
        <v>1489</v>
      </c>
      <c r="D1113" s="1217"/>
      <c r="E1113" s="1201">
        <v>157085</v>
      </c>
      <c r="F1113" s="1202">
        <v>1</v>
      </c>
      <c r="G1113" s="846"/>
      <c r="H1113" s="847"/>
      <c r="I1113" s="846">
        <v>255600</v>
      </c>
      <c r="J1113" s="847">
        <v>258800</v>
      </c>
      <c r="K1113" s="846"/>
      <c r="L1113" s="847"/>
      <c r="M1113" s="846"/>
      <c r="N1113" s="846"/>
      <c r="O1113" s="737">
        <f t="shared" si="143"/>
        <v>0</v>
      </c>
      <c r="P1113" s="847"/>
      <c r="Q1113" s="847"/>
      <c r="R1113" s="738">
        <f t="shared" si="146"/>
        <v>0</v>
      </c>
      <c r="S1113" s="737">
        <f t="shared" si="147"/>
        <v>255600</v>
      </c>
      <c r="T1113" s="739">
        <f t="shared" si="148"/>
        <v>258800</v>
      </c>
      <c r="U1113" s="846"/>
      <c r="V1113" s="847"/>
      <c r="W1113" s="846"/>
      <c r="X1113" s="846"/>
      <c r="Y1113" s="740">
        <f t="shared" si="144"/>
        <v>0</v>
      </c>
      <c r="Z1113" s="847"/>
      <c r="AA1113" s="847"/>
      <c r="AB1113" s="741">
        <f t="shared" si="145"/>
        <v>0</v>
      </c>
      <c r="AC1113" s="846"/>
      <c r="AD1113" s="847"/>
      <c r="AE1113" s="846"/>
      <c r="AF1113" s="846"/>
      <c r="AG1113" s="847"/>
      <c r="AH1113" s="847"/>
      <c r="AI1113" s="742">
        <f t="shared" si="149"/>
        <v>255600</v>
      </c>
      <c r="AJ1113" s="743">
        <f t="shared" si="150"/>
        <v>258800</v>
      </c>
    </row>
    <row r="1114" spans="1:36">
      <c r="A1114" s="1197" t="s">
        <v>150</v>
      </c>
      <c r="B1114" s="1271" t="s">
        <v>266</v>
      </c>
      <c r="C1114" s="1275" t="s">
        <v>1490</v>
      </c>
      <c r="D1114" s="1217"/>
      <c r="E1114" s="1201">
        <v>157085</v>
      </c>
      <c r="F1114" s="1202">
        <v>1</v>
      </c>
      <c r="G1114" s="846"/>
      <c r="H1114" s="847"/>
      <c r="I1114" s="846">
        <v>0</v>
      </c>
      <c r="J1114" s="847">
        <v>0</v>
      </c>
      <c r="K1114" s="846"/>
      <c r="L1114" s="847"/>
      <c r="M1114" s="846"/>
      <c r="N1114" s="846"/>
      <c r="O1114" s="737">
        <f t="shared" si="143"/>
        <v>0</v>
      </c>
      <c r="P1114" s="847"/>
      <c r="Q1114" s="847"/>
      <c r="R1114" s="738">
        <f t="shared" si="146"/>
        <v>0</v>
      </c>
      <c r="S1114" s="737">
        <f t="shared" si="147"/>
        <v>0</v>
      </c>
      <c r="T1114" s="739">
        <f t="shared" si="148"/>
        <v>0</v>
      </c>
      <c r="U1114" s="846"/>
      <c r="V1114" s="847"/>
      <c r="W1114" s="846"/>
      <c r="X1114" s="846"/>
      <c r="Y1114" s="740">
        <f t="shared" si="144"/>
        <v>0</v>
      </c>
      <c r="Z1114" s="847"/>
      <c r="AA1114" s="847"/>
      <c r="AB1114" s="741">
        <f t="shared" si="145"/>
        <v>0</v>
      </c>
      <c r="AC1114" s="846"/>
      <c r="AD1114" s="847"/>
      <c r="AE1114" s="846"/>
      <c r="AF1114" s="846"/>
      <c r="AG1114" s="847"/>
      <c r="AH1114" s="847"/>
      <c r="AI1114" s="742">
        <f t="shared" si="149"/>
        <v>0</v>
      </c>
      <c r="AJ1114" s="743">
        <f t="shared" si="150"/>
        <v>0</v>
      </c>
    </row>
    <row r="1115" spans="1:36">
      <c r="A1115" s="1197" t="s">
        <v>150</v>
      </c>
      <c r="B1115" s="1271" t="s">
        <v>268</v>
      </c>
      <c r="C1115" s="1216" t="s">
        <v>257</v>
      </c>
      <c r="D1115" s="1217"/>
      <c r="E1115" s="1201">
        <v>157085</v>
      </c>
      <c r="F1115" s="1202">
        <v>1</v>
      </c>
      <c r="G1115" s="846"/>
      <c r="H1115" s="847"/>
      <c r="I1115" s="846">
        <v>32762900</v>
      </c>
      <c r="J1115" s="847">
        <v>34319500</v>
      </c>
      <c r="K1115" s="846"/>
      <c r="L1115" s="847"/>
      <c r="M1115" s="846"/>
      <c r="N1115" s="846"/>
      <c r="O1115" s="737">
        <f t="shared" si="143"/>
        <v>0</v>
      </c>
      <c r="P1115" s="847"/>
      <c r="Q1115" s="847"/>
      <c r="R1115" s="738">
        <f t="shared" si="146"/>
        <v>0</v>
      </c>
      <c r="S1115" s="737">
        <f t="shared" si="147"/>
        <v>32762900</v>
      </c>
      <c r="T1115" s="739">
        <f t="shared" si="148"/>
        <v>34319500</v>
      </c>
      <c r="U1115" s="846"/>
      <c r="V1115" s="847"/>
      <c r="W1115" s="846"/>
      <c r="X1115" s="846"/>
      <c r="Y1115" s="740">
        <f t="shared" si="144"/>
        <v>0</v>
      </c>
      <c r="Z1115" s="847"/>
      <c r="AA1115" s="847"/>
      <c r="AB1115" s="741">
        <f t="shared" si="145"/>
        <v>0</v>
      </c>
      <c r="AC1115" s="846"/>
      <c r="AD1115" s="847"/>
      <c r="AE1115" s="846"/>
      <c r="AF1115" s="846"/>
      <c r="AG1115" s="847"/>
      <c r="AH1115" s="847"/>
      <c r="AI1115" s="742">
        <f t="shared" si="149"/>
        <v>32762900</v>
      </c>
      <c r="AJ1115" s="743">
        <f t="shared" si="150"/>
        <v>34319500</v>
      </c>
    </row>
    <row r="1116" spans="1:36">
      <c r="A1116" s="1197" t="s">
        <v>150</v>
      </c>
      <c r="B1116" s="1271" t="s">
        <v>268</v>
      </c>
      <c r="C1116" s="1216" t="s">
        <v>256</v>
      </c>
      <c r="D1116" s="1217"/>
      <c r="E1116" s="1201">
        <v>157085</v>
      </c>
      <c r="F1116" s="1202">
        <v>1</v>
      </c>
      <c r="G1116" s="846"/>
      <c r="H1116" s="847"/>
      <c r="I1116" s="846">
        <v>29127500</v>
      </c>
      <c r="J1116" s="847">
        <v>29784000</v>
      </c>
      <c r="K1116" s="846"/>
      <c r="L1116" s="847"/>
      <c r="M1116" s="846"/>
      <c r="N1116" s="846"/>
      <c r="O1116" s="737">
        <f t="shared" si="143"/>
        <v>0</v>
      </c>
      <c r="P1116" s="847"/>
      <c r="Q1116" s="847"/>
      <c r="R1116" s="738">
        <f t="shared" si="146"/>
        <v>0</v>
      </c>
      <c r="S1116" s="737">
        <f t="shared" si="147"/>
        <v>29127500</v>
      </c>
      <c r="T1116" s="739">
        <f t="shared" si="148"/>
        <v>29784000</v>
      </c>
      <c r="U1116" s="846"/>
      <c r="V1116" s="847"/>
      <c r="W1116" s="846"/>
      <c r="X1116" s="846"/>
      <c r="Y1116" s="740">
        <f t="shared" si="144"/>
        <v>0</v>
      </c>
      <c r="Z1116" s="847"/>
      <c r="AA1116" s="847"/>
      <c r="AB1116" s="741">
        <f t="shared" si="145"/>
        <v>0</v>
      </c>
      <c r="AC1116" s="846"/>
      <c r="AD1116" s="847"/>
      <c r="AE1116" s="846"/>
      <c r="AF1116" s="846"/>
      <c r="AG1116" s="847"/>
      <c r="AH1116" s="847"/>
      <c r="AI1116" s="742">
        <f t="shared" si="149"/>
        <v>29127500</v>
      </c>
      <c r="AJ1116" s="743">
        <f t="shared" si="150"/>
        <v>29784000</v>
      </c>
    </row>
    <row r="1117" spans="1:36">
      <c r="A1117" s="1197" t="s">
        <v>150</v>
      </c>
      <c r="B1117" s="1271" t="s">
        <v>271</v>
      </c>
      <c r="C1117" s="1216" t="s">
        <v>309</v>
      </c>
      <c r="D1117" s="1217"/>
      <c r="E1117" s="1201">
        <v>157085</v>
      </c>
      <c r="F1117" s="1202">
        <v>1</v>
      </c>
      <c r="G1117" s="846"/>
      <c r="H1117" s="847"/>
      <c r="I1117" s="846"/>
      <c r="J1117" s="847"/>
      <c r="K1117" s="846"/>
      <c r="L1117" s="847"/>
      <c r="M1117" s="846"/>
      <c r="N1117" s="846"/>
      <c r="O1117" s="737">
        <f t="shared" si="143"/>
        <v>0</v>
      </c>
      <c r="P1117" s="847"/>
      <c r="Q1117" s="847"/>
      <c r="R1117" s="738">
        <f t="shared" si="146"/>
        <v>0</v>
      </c>
      <c r="S1117" s="737">
        <f t="shared" si="147"/>
        <v>0</v>
      </c>
      <c r="T1117" s="739">
        <f t="shared" si="148"/>
        <v>0</v>
      </c>
      <c r="U1117" s="846"/>
      <c r="V1117" s="847"/>
      <c r="W1117" s="846"/>
      <c r="X1117" s="846"/>
      <c r="Y1117" s="740">
        <f t="shared" si="144"/>
        <v>0</v>
      </c>
      <c r="Z1117" s="847"/>
      <c r="AA1117" s="847"/>
      <c r="AB1117" s="741">
        <f t="shared" si="145"/>
        <v>0</v>
      </c>
      <c r="AC1117" s="846"/>
      <c r="AD1117" s="847"/>
      <c r="AE1117" s="846"/>
      <c r="AF1117" s="846"/>
      <c r="AG1117" s="847"/>
      <c r="AH1117" s="847"/>
      <c r="AI1117" s="742">
        <f t="shared" si="149"/>
        <v>0</v>
      </c>
      <c r="AJ1117" s="743">
        <f t="shared" si="150"/>
        <v>0</v>
      </c>
    </row>
    <row r="1118" spans="1:36">
      <c r="A1118" s="1197" t="s">
        <v>150</v>
      </c>
      <c r="B1118" s="1271" t="s">
        <v>271</v>
      </c>
      <c r="C1118" s="1275" t="s">
        <v>1491</v>
      </c>
      <c r="D1118" s="1217"/>
      <c r="E1118" s="1276">
        <v>157085</v>
      </c>
      <c r="F1118" s="1202">
        <v>1</v>
      </c>
      <c r="G1118" s="846"/>
      <c r="H1118" s="847"/>
      <c r="I1118" s="846">
        <v>4524500</v>
      </c>
      <c r="J1118" s="847">
        <v>5171800</v>
      </c>
      <c r="K1118" s="846"/>
      <c r="L1118" s="847"/>
      <c r="M1118" s="846"/>
      <c r="N1118" s="846"/>
      <c r="O1118" s="737">
        <f t="shared" si="143"/>
        <v>0</v>
      </c>
      <c r="P1118" s="847"/>
      <c r="Q1118" s="847"/>
      <c r="R1118" s="738">
        <f t="shared" si="146"/>
        <v>0</v>
      </c>
      <c r="S1118" s="737">
        <f t="shared" si="147"/>
        <v>4524500</v>
      </c>
      <c r="T1118" s="739">
        <f t="shared" si="148"/>
        <v>5171800</v>
      </c>
      <c r="U1118" s="846"/>
      <c r="V1118" s="847"/>
      <c r="W1118" s="846"/>
      <c r="X1118" s="846"/>
      <c r="Y1118" s="740">
        <f t="shared" si="144"/>
        <v>0</v>
      </c>
      <c r="Z1118" s="847"/>
      <c r="AA1118" s="847"/>
      <c r="AB1118" s="741">
        <f t="shared" si="145"/>
        <v>0</v>
      </c>
      <c r="AC1118" s="846"/>
      <c r="AD1118" s="847"/>
      <c r="AE1118" s="846"/>
      <c r="AF1118" s="846"/>
      <c r="AG1118" s="847"/>
      <c r="AH1118" s="847"/>
      <c r="AI1118" s="742">
        <f t="shared" si="149"/>
        <v>4524500</v>
      </c>
      <c r="AJ1118" s="743">
        <f t="shared" si="150"/>
        <v>5171800</v>
      </c>
    </row>
    <row r="1119" spans="1:36">
      <c r="A1119" s="1197" t="s">
        <v>150</v>
      </c>
      <c r="B1119" s="1271" t="s">
        <v>271</v>
      </c>
      <c r="C1119" s="1275" t="s">
        <v>1492</v>
      </c>
      <c r="D1119" s="1217"/>
      <c r="E1119" s="1201">
        <v>157085</v>
      </c>
      <c r="F1119" s="1202">
        <v>1</v>
      </c>
      <c r="G1119" s="846"/>
      <c r="H1119" s="847"/>
      <c r="I1119" s="846">
        <v>710526.22</v>
      </c>
      <c r="J1119" s="847">
        <v>705759.13</v>
      </c>
      <c r="K1119" s="846"/>
      <c r="L1119" s="847"/>
      <c r="M1119" s="846"/>
      <c r="N1119" s="846"/>
      <c r="O1119" s="737">
        <f t="shared" si="143"/>
        <v>0</v>
      </c>
      <c r="P1119" s="847"/>
      <c r="Q1119" s="847"/>
      <c r="R1119" s="738">
        <f t="shared" si="146"/>
        <v>0</v>
      </c>
      <c r="S1119" s="737">
        <f t="shared" si="147"/>
        <v>710526.22</v>
      </c>
      <c r="T1119" s="739">
        <f t="shared" si="148"/>
        <v>705759.13</v>
      </c>
      <c r="U1119" s="846"/>
      <c r="V1119" s="847"/>
      <c r="W1119" s="846"/>
      <c r="X1119" s="846"/>
      <c r="Y1119" s="740">
        <f t="shared" si="144"/>
        <v>0</v>
      </c>
      <c r="Z1119" s="847"/>
      <c r="AA1119" s="847"/>
      <c r="AB1119" s="741">
        <f t="shared" si="145"/>
        <v>0</v>
      </c>
      <c r="AC1119" s="846"/>
      <c r="AD1119" s="847"/>
      <c r="AE1119" s="846"/>
      <c r="AF1119" s="846"/>
      <c r="AG1119" s="847"/>
      <c r="AH1119" s="847"/>
      <c r="AI1119" s="742">
        <f t="shared" si="149"/>
        <v>710526.22</v>
      </c>
      <c r="AJ1119" s="743">
        <f t="shared" si="150"/>
        <v>705759.13</v>
      </c>
    </row>
    <row r="1120" spans="1:36">
      <c r="A1120" s="1197" t="s">
        <v>150</v>
      </c>
      <c r="B1120" s="1271" t="s">
        <v>271</v>
      </c>
      <c r="C1120" s="1275" t="s">
        <v>1490</v>
      </c>
      <c r="D1120" s="1217"/>
      <c r="E1120" s="1201">
        <v>157085</v>
      </c>
      <c r="F1120" s="1202">
        <v>1</v>
      </c>
      <c r="G1120" s="846"/>
      <c r="H1120" s="847"/>
      <c r="I1120" s="846">
        <v>591300</v>
      </c>
      <c r="J1120" s="847">
        <v>587300</v>
      </c>
      <c r="K1120" s="846"/>
      <c r="L1120" s="847"/>
      <c r="M1120" s="846"/>
      <c r="N1120" s="846"/>
      <c r="O1120" s="737">
        <f t="shared" si="143"/>
        <v>0</v>
      </c>
      <c r="P1120" s="847"/>
      <c r="Q1120" s="847"/>
      <c r="R1120" s="738">
        <f t="shared" si="146"/>
        <v>0</v>
      </c>
      <c r="S1120" s="737">
        <f t="shared" si="147"/>
        <v>591300</v>
      </c>
      <c r="T1120" s="739">
        <f t="shared" si="148"/>
        <v>587300</v>
      </c>
      <c r="U1120" s="846"/>
      <c r="V1120" s="847"/>
      <c r="W1120" s="846"/>
      <c r="X1120" s="846"/>
      <c r="Y1120" s="740">
        <f t="shared" si="144"/>
        <v>0</v>
      </c>
      <c r="Z1120" s="847"/>
      <c r="AA1120" s="847"/>
      <c r="AB1120" s="741">
        <f t="shared" si="145"/>
        <v>0</v>
      </c>
      <c r="AC1120" s="846"/>
      <c r="AD1120" s="847"/>
      <c r="AE1120" s="846"/>
      <c r="AF1120" s="846"/>
      <c r="AG1120" s="847"/>
      <c r="AH1120" s="847"/>
      <c r="AI1120" s="742">
        <f t="shared" si="149"/>
        <v>591300</v>
      </c>
      <c r="AJ1120" s="743">
        <f t="shared" si="150"/>
        <v>587300</v>
      </c>
    </row>
    <row r="1121" spans="1:36">
      <c r="A1121" s="1197" t="s">
        <v>150</v>
      </c>
      <c r="B1121" s="1271" t="s">
        <v>264</v>
      </c>
      <c r="C1121" s="1271" t="s">
        <v>1493</v>
      </c>
      <c r="D1121" s="1277"/>
      <c r="E1121" s="1201">
        <v>157289</v>
      </c>
      <c r="F1121" s="1202">
        <v>1</v>
      </c>
      <c r="G1121" s="846">
        <v>128746600</v>
      </c>
      <c r="H1121" s="847">
        <v>129520800</v>
      </c>
      <c r="I1121" s="846"/>
      <c r="J1121" s="847"/>
      <c r="K1121" s="846"/>
      <c r="L1121" s="847"/>
      <c r="M1121" s="1274">
        <v>231805352.66651899</v>
      </c>
      <c r="N1121" s="1274">
        <v>2891575</v>
      </c>
      <c r="O1121" s="737">
        <f t="shared" si="143"/>
        <v>234696927.66651899</v>
      </c>
      <c r="P1121" s="1023">
        <v>235882563.04905629</v>
      </c>
      <c r="Q1121" s="1023">
        <v>3312283</v>
      </c>
      <c r="R1121" s="738">
        <f t="shared" si="146"/>
        <v>239194846.04905629</v>
      </c>
      <c r="S1121" s="737">
        <f t="shared" si="147"/>
        <v>360551952.66651899</v>
      </c>
      <c r="T1121" s="739">
        <f t="shared" si="148"/>
        <v>365403363.04905629</v>
      </c>
      <c r="U1121" s="846"/>
      <c r="V1121" s="847"/>
      <c r="W1121" s="846"/>
      <c r="X1121" s="846"/>
      <c r="Y1121" s="740">
        <f t="shared" si="144"/>
        <v>0</v>
      </c>
      <c r="Z1121" s="847"/>
      <c r="AA1121" s="847"/>
      <c r="AB1121" s="741">
        <f t="shared" si="145"/>
        <v>0</v>
      </c>
      <c r="AC1121" s="846"/>
      <c r="AD1121" s="847"/>
      <c r="AE1121" s="846"/>
      <c r="AF1121" s="846"/>
      <c r="AG1121" s="847"/>
      <c r="AH1121" s="847"/>
      <c r="AI1121" s="742">
        <f t="shared" si="149"/>
        <v>360551952.66651899</v>
      </c>
      <c r="AJ1121" s="743">
        <f t="shared" si="150"/>
        <v>365403363.04905629</v>
      </c>
    </row>
    <row r="1122" spans="1:36">
      <c r="A1122" s="1197" t="s">
        <v>150</v>
      </c>
      <c r="B1122" s="1271" t="s">
        <v>280</v>
      </c>
      <c r="C1122" s="1275" t="s">
        <v>717</v>
      </c>
      <c r="D1122" s="1217"/>
      <c r="E1122" s="1201">
        <v>157289</v>
      </c>
      <c r="F1122" s="1202">
        <v>1</v>
      </c>
      <c r="G1122" s="846"/>
      <c r="H1122" s="847"/>
      <c r="I1122" s="846"/>
      <c r="J1122" s="847"/>
      <c r="K1122" s="846"/>
      <c r="L1122" s="847"/>
      <c r="M1122" s="846"/>
      <c r="N1122" s="846"/>
      <c r="O1122" s="737">
        <f t="shared" si="143"/>
        <v>0</v>
      </c>
      <c r="P1122" s="847"/>
      <c r="Q1122" s="847"/>
      <c r="R1122" s="738">
        <f t="shared" si="146"/>
        <v>0</v>
      </c>
      <c r="S1122" s="737">
        <f t="shared" si="147"/>
        <v>0</v>
      </c>
      <c r="T1122" s="739">
        <f t="shared" si="148"/>
        <v>0</v>
      </c>
      <c r="U1122" s="846"/>
      <c r="V1122" s="847"/>
      <c r="W1122" s="846"/>
      <c r="X1122" s="846"/>
      <c r="Y1122" s="740">
        <f t="shared" si="144"/>
        <v>0</v>
      </c>
      <c r="Z1122" s="847"/>
      <c r="AA1122" s="847"/>
      <c r="AB1122" s="741">
        <f t="shared" si="145"/>
        <v>0</v>
      </c>
      <c r="AC1122" s="846">
        <v>32437100</v>
      </c>
      <c r="AD1122" s="847">
        <v>8843700</v>
      </c>
      <c r="AE1122" s="846">
        <v>47158322.333480999</v>
      </c>
      <c r="AF1122" s="846"/>
      <c r="AG1122" s="847">
        <v>48988453.950943708</v>
      </c>
      <c r="AH1122" s="847"/>
      <c r="AI1122" s="742">
        <f t="shared" si="149"/>
        <v>79595422.333480999</v>
      </c>
      <c r="AJ1122" s="743">
        <f t="shared" si="150"/>
        <v>57832153.950943708</v>
      </c>
    </row>
    <row r="1123" spans="1:36">
      <c r="A1123" s="1197" t="s">
        <v>150</v>
      </c>
      <c r="B1123" s="1271" t="s">
        <v>266</v>
      </c>
      <c r="C1123" s="1216" t="s">
        <v>453</v>
      </c>
      <c r="D1123" s="1217"/>
      <c r="E1123" s="1201">
        <v>157289</v>
      </c>
      <c r="F1123" s="1202">
        <v>1</v>
      </c>
      <c r="G1123" s="846"/>
      <c r="H1123" s="847"/>
      <c r="I1123" s="846"/>
      <c r="J1123" s="847"/>
      <c r="K1123" s="846"/>
      <c r="L1123" s="847"/>
      <c r="M1123" s="846"/>
      <c r="N1123" s="846"/>
      <c r="O1123" s="737">
        <f t="shared" si="143"/>
        <v>0</v>
      </c>
      <c r="P1123" s="847"/>
      <c r="Q1123" s="847"/>
      <c r="R1123" s="738">
        <f t="shared" si="146"/>
        <v>0</v>
      </c>
      <c r="S1123" s="737">
        <f t="shared" si="147"/>
        <v>0</v>
      </c>
      <c r="T1123" s="739">
        <f t="shared" si="148"/>
        <v>0</v>
      </c>
      <c r="U1123" s="846"/>
      <c r="V1123" s="847"/>
      <c r="W1123" s="846"/>
      <c r="X1123" s="846"/>
      <c r="Y1123" s="740">
        <f t="shared" si="144"/>
        <v>0</v>
      </c>
      <c r="Z1123" s="847"/>
      <c r="AA1123" s="847"/>
      <c r="AB1123" s="741">
        <f t="shared" si="145"/>
        <v>0</v>
      </c>
      <c r="AC1123" s="846"/>
      <c r="AD1123" s="847"/>
      <c r="AE1123" s="846"/>
      <c r="AF1123" s="846"/>
      <c r="AG1123" s="847"/>
      <c r="AH1123" s="847"/>
      <c r="AI1123" s="742">
        <f t="shared" si="149"/>
        <v>0</v>
      </c>
      <c r="AJ1123" s="743">
        <f t="shared" si="150"/>
        <v>0</v>
      </c>
    </row>
    <row r="1124" spans="1:36">
      <c r="A1124" s="1197" t="s">
        <v>150</v>
      </c>
      <c r="B1124" s="1271" t="s">
        <v>266</v>
      </c>
      <c r="C1124" s="1216" t="s">
        <v>1494</v>
      </c>
      <c r="D1124" s="1217"/>
      <c r="E1124" s="1201">
        <v>157289</v>
      </c>
      <c r="F1124" s="1202">
        <v>1</v>
      </c>
      <c r="G1124" s="846"/>
      <c r="H1124" s="847"/>
      <c r="I1124" s="846">
        <v>843400</v>
      </c>
      <c r="J1124" s="847">
        <v>712400</v>
      </c>
      <c r="K1124" s="846"/>
      <c r="L1124" s="847"/>
      <c r="M1124" s="846"/>
      <c r="N1124" s="846"/>
      <c r="O1124" s="737">
        <f t="shared" si="143"/>
        <v>0</v>
      </c>
      <c r="P1124" s="847"/>
      <c r="Q1124" s="847"/>
      <c r="R1124" s="738">
        <f t="shared" si="146"/>
        <v>0</v>
      </c>
      <c r="S1124" s="737">
        <f t="shared" si="147"/>
        <v>843400</v>
      </c>
      <c r="T1124" s="739">
        <f t="shared" si="148"/>
        <v>712400</v>
      </c>
      <c r="U1124" s="846"/>
      <c r="V1124" s="847"/>
      <c r="W1124" s="846"/>
      <c r="X1124" s="846"/>
      <c r="Y1124" s="740">
        <f t="shared" si="144"/>
        <v>0</v>
      </c>
      <c r="Z1124" s="847"/>
      <c r="AA1124" s="847"/>
      <c r="AB1124" s="741">
        <f t="shared" si="145"/>
        <v>0</v>
      </c>
      <c r="AC1124" s="846"/>
      <c r="AD1124" s="847"/>
      <c r="AE1124" s="846"/>
      <c r="AF1124" s="846"/>
      <c r="AG1124" s="847"/>
      <c r="AH1124" s="847"/>
      <c r="AI1124" s="742">
        <f t="shared" si="149"/>
        <v>843400</v>
      </c>
      <c r="AJ1124" s="743">
        <f t="shared" si="150"/>
        <v>712400</v>
      </c>
    </row>
    <row r="1125" spans="1:36">
      <c r="A1125" s="1197" t="s">
        <v>150</v>
      </c>
      <c r="B1125" s="1271" t="s">
        <v>266</v>
      </c>
      <c r="C1125" s="1275" t="s">
        <v>1495</v>
      </c>
      <c r="D1125" s="1217"/>
      <c r="E1125" s="1201">
        <v>157289</v>
      </c>
      <c r="F1125" s="1202">
        <v>1</v>
      </c>
      <c r="G1125" s="846"/>
      <c r="H1125" s="847"/>
      <c r="I1125" s="846">
        <v>257300</v>
      </c>
      <c r="J1125" s="847">
        <v>0</v>
      </c>
      <c r="K1125" s="846"/>
      <c r="L1125" s="847"/>
      <c r="M1125" s="846"/>
      <c r="N1125" s="846"/>
      <c r="O1125" s="737">
        <f t="shared" si="143"/>
        <v>0</v>
      </c>
      <c r="P1125" s="847"/>
      <c r="Q1125" s="847"/>
      <c r="R1125" s="738">
        <f t="shared" si="146"/>
        <v>0</v>
      </c>
      <c r="S1125" s="737">
        <f t="shared" si="147"/>
        <v>257300</v>
      </c>
      <c r="T1125" s="739">
        <f t="shared" si="148"/>
        <v>0</v>
      </c>
      <c r="U1125" s="846"/>
      <c r="V1125" s="847"/>
      <c r="W1125" s="846"/>
      <c r="X1125" s="846"/>
      <c r="Y1125" s="740">
        <f t="shared" si="144"/>
        <v>0</v>
      </c>
      <c r="Z1125" s="847"/>
      <c r="AA1125" s="847"/>
      <c r="AB1125" s="741">
        <f t="shared" si="145"/>
        <v>0</v>
      </c>
      <c r="AC1125" s="846"/>
      <c r="AD1125" s="847"/>
      <c r="AE1125" s="846"/>
      <c r="AF1125" s="846"/>
      <c r="AG1125" s="847"/>
      <c r="AH1125" s="847"/>
      <c r="AI1125" s="742">
        <f t="shared" si="149"/>
        <v>257300</v>
      </c>
      <c r="AJ1125" s="743">
        <f t="shared" si="150"/>
        <v>0</v>
      </c>
    </row>
    <row r="1126" spans="1:36">
      <c r="A1126" s="1197" t="s">
        <v>150</v>
      </c>
      <c r="B1126" s="1271" t="s">
        <v>271</v>
      </c>
      <c r="C1126" s="1216" t="s">
        <v>309</v>
      </c>
      <c r="D1126" s="1217"/>
      <c r="E1126" s="1201">
        <v>157289</v>
      </c>
      <c r="F1126" s="1202">
        <v>1</v>
      </c>
      <c r="G1126" s="846"/>
      <c r="H1126" s="847"/>
      <c r="I1126" s="846"/>
      <c r="J1126" s="847"/>
      <c r="K1126" s="846"/>
      <c r="L1126" s="847"/>
      <c r="M1126" s="846"/>
      <c r="N1126" s="846"/>
      <c r="O1126" s="737">
        <f t="shared" si="143"/>
        <v>0</v>
      </c>
      <c r="P1126" s="847"/>
      <c r="Q1126" s="847"/>
      <c r="R1126" s="738">
        <f t="shared" si="146"/>
        <v>0</v>
      </c>
      <c r="S1126" s="737">
        <f t="shared" si="147"/>
        <v>0</v>
      </c>
      <c r="T1126" s="739">
        <f t="shared" si="148"/>
        <v>0</v>
      </c>
      <c r="U1126" s="846"/>
      <c r="V1126" s="847"/>
      <c r="W1126" s="846"/>
      <c r="X1126" s="846"/>
      <c r="Y1126" s="740">
        <f t="shared" si="144"/>
        <v>0</v>
      </c>
      <c r="Z1126" s="847"/>
      <c r="AA1126" s="847"/>
      <c r="AB1126" s="741">
        <f t="shared" si="145"/>
        <v>0</v>
      </c>
      <c r="AC1126" s="846"/>
      <c r="AD1126" s="847"/>
      <c r="AE1126" s="846"/>
      <c r="AF1126" s="846"/>
      <c r="AG1126" s="847"/>
      <c r="AH1126" s="847"/>
      <c r="AI1126" s="742">
        <f t="shared" si="149"/>
        <v>0</v>
      </c>
      <c r="AJ1126" s="743">
        <f t="shared" si="150"/>
        <v>0</v>
      </c>
    </row>
    <row r="1127" spans="1:36">
      <c r="A1127" s="1197" t="s">
        <v>150</v>
      </c>
      <c r="B1127" s="1271" t="s">
        <v>264</v>
      </c>
      <c r="C1127" s="1271" t="s">
        <v>1496</v>
      </c>
      <c r="D1127" s="1277"/>
      <c r="E1127" s="1201">
        <v>156620</v>
      </c>
      <c r="F1127" s="1202">
        <v>3</v>
      </c>
      <c r="G1127" s="1274">
        <v>67473700</v>
      </c>
      <c r="H1127" s="847">
        <v>67833800</v>
      </c>
      <c r="I1127" s="846"/>
      <c r="J1127" s="847"/>
      <c r="K1127" s="846"/>
      <c r="L1127" s="847"/>
      <c r="M1127" s="1274">
        <v>139555900</v>
      </c>
      <c r="N1127" s="846"/>
      <c r="O1127" s="737">
        <f t="shared" si="143"/>
        <v>139555900</v>
      </c>
      <c r="P1127" s="847">
        <v>148352900</v>
      </c>
      <c r="Q1127" s="847"/>
      <c r="R1127" s="738">
        <f t="shared" si="146"/>
        <v>148352900</v>
      </c>
      <c r="S1127" s="737">
        <f t="shared" si="147"/>
        <v>207029600</v>
      </c>
      <c r="T1127" s="739">
        <f t="shared" si="148"/>
        <v>216186700</v>
      </c>
      <c r="U1127" s="846"/>
      <c r="V1127" s="847"/>
      <c r="W1127" s="846"/>
      <c r="X1127" s="846"/>
      <c r="Y1127" s="740">
        <f t="shared" si="144"/>
        <v>0</v>
      </c>
      <c r="Z1127" s="847"/>
      <c r="AA1127" s="847"/>
      <c r="AB1127" s="741">
        <f t="shared" si="145"/>
        <v>0</v>
      </c>
      <c r="AC1127" s="846"/>
      <c r="AD1127" s="847"/>
      <c r="AE1127" s="846"/>
      <c r="AF1127" s="846"/>
      <c r="AG1127" s="847"/>
      <c r="AH1127" s="847"/>
      <c r="AI1127" s="742">
        <f t="shared" si="149"/>
        <v>207029600</v>
      </c>
      <c r="AJ1127" s="743">
        <f t="shared" si="150"/>
        <v>216186700</v>
      </c>
    </row>
    <row r="1128" spans="1:36">
      <c r="A1128" s="1197" t="s">
        <v>150</v>
      </c>
      <c r="B1128" s="1271" t="s">
        <v>266</v>
      </c>
      <c r="C1128" s="1278" t="s">
        <v>1497</v>
      </c>
      <c r="D1128" s="1277"/>
      <c r="E1128" s="1201">
        <v>156620</v>
      </c>
      <c r="F1128" s="1202">
        <v>3</v>
      </c>
      <c r="G1128" s="846"/>
      <c r="H1128" s="847"/>
      <c r="I1128" s="1274">
        <v>200000</v>
      </c>
      <c r="J1128" s="847">
        <v>200000</v>
      </c>
      <c r="K1128" s="846"/>
      <c r="L1128" s="847"/>
      <c r="M1128" s="1274"/>
      <c r="N1128" s="846"/>
      <c r="O1128" s="737">
        <f t="shared" si="143"/>
        <v>0</v>
      </c>
      <c r="P1128" s="847"/>
      <c r="Q1128" s="847"/>
      <c r="R1128" s="738">
        <f t="shared" si="146"/>
        <v>0</v>
      </c>
      <c r="S1128" s="737">
        <f t="shared" si="147"/>
        <v>200000</v>
      </c>
      <c r="T1128" s="739">
        <f t="shared" si="148"/>
        <v>200000</v>
      </c>
      <c r="U1128" s="846"/>
      <c r="V1128" s="847"/>
      <c r="W1128" s="846"/>
      <c r="X1128" s="846"/>
      <c r="Y1128" s="740">
        <f t="shared" si="144"/>
        <v>0</v>
      </c>
      <c r="Z1128" s="847"/>
      <c r="AA1128" s="847"/>
      <c r="AB1128" s="741">
        <f t="shared" si="145"/>
        <v>0</v>
      </c>
      <c r="AC1128" s="846"/>
      <c r="AD1128" s="847"/>
      <c r="AE1128" s="846"/>
      <c r="AF1128" s="846"/>
      <c r="AG1128" s="847"/>
      <c r="AH1128" s="847"/>
      <c r="AI1128" s="742">
        <f t="shared" si="149"/>
        <v>200000</v>
      </c>
      <c r="AJ1128" s="743">
        <f t="shared" si="150"/>
        <v>200000</v>
      </c>
    </row>
    <row r="1129" spans="1:36">
      <c r="A1129" s="1197" t="s">
        <v>150</v>
      </c>
      <c r="B1129" s="1271" t="s">
        <v>264</v>
      </c>
      <c r="C1129" s="1279" t="s">
        <v>1498</v>
      </c>
      <c r="D1129" s="1280"/>
      <c r="E1129" s="1201">
        <v>157386</v>
      </c>
      <c r="F1129" s="1209">
        <v>3</v>
      </c>
      <c r="G1129" s="1274">
        <v>40816400</v>
      </c>
      <c r="H1129" s="847">
        <v>40839500</v>
      </c>
      <c r="I1129" s="846"/>
      <c r="J1129" s="847"/>
      <c r="K1129" s="846"/>
      <c r="L1129" s="847"/>
      <c r="M1129" s="1274">
        <v>69825949</v>
      </c>
      <c r="N1129" s="1274">
        <v>652851</v>
      </c>
      <c r="O1129" s="737">
        <f t="shared" si="143"/>
        <v>70478800</v>
      </c>
      <c r="P1129" s="847">
        <v>74096668</v>
      </c>
      <c r="Q1129" s="847">
        <v>661832</v>
      </c>
      <c r="R1129" s="738">
        <f t="shared" si="146"/>
        <v>74758500</v>
      </c>
      <c r="S1129" s="737">
        <f t="shared" si="147"/>
        <v>110642349</v>
      </c>
      <c r="T1129" s="739">
        <f t="shared" si="148"/>
        <v>114936168</v>
      </c>
      <c r="U1129" s="846"/>
      <c r="V1129" s="847"/>
      <c r="W1129" s="846"/>
      <c r="X1129" s="846"/>
      <c r="Y1129" s="740">
        <f t="shared" si="144"/>
        <v>0</v>
      </c>
      <c r="Z1129" s="847"/>
      <c r="AA1129" s="847"/>
      <c r="AB1129" s="741">
        <f t="shared" si="145"/>
        <v>0</v>
      </c>
      <c r="AC1129" s="846"/>
      <c r="AD1129" s="847"/>
      <c r="AE1129" s="846"/>
      <c r="AF1129" s="846"/>
      <c r="AG1129" s="847"/>
      <c r="AH1129" s="847"/>
      <c r="AI1129" s="742">
        <f t="shared" si="149"/>
        <v>110642349</v>
      </c>
      <c r="AJ1129" s="743">
        <f t="shared" si="150"/>
        <v>114936168</v>
      </c>
    </row>
    <row r="1130" spans="1:36">
      <c r="A1130" s="1197" t="s">
        <v>150</v>
      </c>
      <c r="B1130" s="1271" t="s">
        <v>266</v>
      </c>
      <c r="C1130" s="1216" t="s">
        <v>453</v>
      </c>
      <c r="D1130" s="1217"/>
      <c r="E1130" s="1201">
        <v>157386</v>
      </c>
      <c r="F1130" s="1209">
        <v>3</v>
      </c>
      <c r="G1130" s="846"/>
      <c r="H1130" s="847"/>
      <c r="I1130" s="846"/>
      <c r="J1130" s="847"/>
      <c r="K1130" s="846"/>
      <c r="L1130" s="847"/>
      <c r="M1130" s="846"/>
      <c r="N1130" s="846"/>
      <c r="O1130" s="737">
        <f t="shared" si="143"/>
        <v>0</v>
      </c>
      <c r="P1130" s="847"/>
      <c r="Q1130" s="847"/>
      <c r="R1130" s="738">
        <f t="shared" si="146"/>
        <v>0</v>
      </c>
      <c r="S1130" s="737">
        <f t="shared" si="147"/>
        <v>0</v>
      </c>
      <c r="T1130" s="739">
        <f t="shared" si="148"/>
        <v>0</v>
      </c>
      <c r="U1130" s="846"/>
      <c r="V1130" s="847"/>
      <c r="W1130" s="846"/>
      <c r="X1130" s="846"/>
      <c r="Y1130" s="740">
        <f t="shared" si="144"/>
        <v>0</v>
      </c>
      <c r="Z1130" s="847"/>
      <c r="AA1130" s="847"/>
      <c r="AB1130" s="741">
        <f t="shared" si="145"/>
        <v>0</v>
      </c>
      <c r="AC1130" s="846"/>
      <c r="AD1130" s="847"/>
      <c r="AE1130" s="846"/>
      <c r="AF1130" s="846"/>
      <c r="AG1130" s="847"/>
      <c r="AH1130" s="847"/>
      <c r="AI1130" s="742">
        <f t="shared" si="149"/>
        <v>0</v>
      </c>
      <c r="AJ1130" s="743">
        <f t="shared" si="150"/>
        <v>0</v>
      </c>
    </row>
    <row r="1131" spans="1:36">
      <c r="A1131" s="1197" t="s">
        <v>150</v>
      </c>
      <c r="B1131" s="1271" t="s">
        <v>266</v>
      </c>
      <c r="C1131" s="1278" t="s">
        <v>1499</v>
      </c>
      <c r="D1131" s="1217"/>
      <c r="E1131" s="1201">
        <v>157386</v>
      </c>
      <c r="F1131" s="1209">
        <v>3</v>
      </c>
      <c r="G1131" s="846"/>
      <c r="H1131" s="847"/>
      <c r="I1131" s="1274">
        <v>200000</v>
      </c>
      <c r="J1131" s="847">
        <v>200000</v>
      </c>
      <c r="K1131" s="846"/>
      <c r="L1131" s="847"/>
      <c r="M1131" s="846"/>
      <c r="N1131" s="846"/>
      <c r="O1131" s="737">
        <f t="shared" si="143"/>
        <v>0</v>
      </c>
      <c r="P1131" s="847"/>
      <c r="Q1131" s="847"/>
      <c r="R1131" s="738">
        <f t="shared" si="146"/>
        <v>0</v>
      </c>
      <c r="S1131" s="737">
        <f t="shared" si="147"/>
        <v>200000</v>
      </c>
      <c r="T1131" s="739">
        <f t="shared" si="148"/>
        <v>200000</v>
      </c>
      <c r="U1131" s="846"/>
      <c r="V1131" s="847"/>
      <c r="W1131" s="846"/>
      <c r="X1131" s="846"/>
      <c r="Y1131" s="740">
        <f t="shared" si="144"/>
        <v>0</v>
      </c>
      <c r="Z1131" s="847"/>
      <c r="AA1131" s="847"/>
      <c r="AB1131" s="741">
        <f t="shared" si="145"/>
        <v>0</v>
      </c>
      <c r="AC1131" s="846"/>
      <c r="AD1131" s="847"/>
      <c r="AE1131" s="846"/>
      <c r="AF1131" s="846"/>
      <c r="AG1131" s="847"/>
      <c r="AH1131" s="847"/>
      <c r="AI1131" s="742">
        <f t="shared" si="149"/>
        <v>200000</v>
      </c>
      <c r="AJ1131" s="743">
        <f t="shared" si="150"/>
        <v>200000</v>
      </c>
    </row>
    <row r="1132" spans="1:36">
      <c r="A1132" s="1197" t="s">
        <v>150</v>
      </c>
      <c r="B1132" s="1271" t="s">
        <v>271</v>
      </c>
      <c r="C1132" s="1216" t="s">
        <v>309</v>
      </c>
      <c r="D1132" s="1217"/>
      <c r="E1132" s="1201">
        <v>157386</v>
      </c>
      <c r="F1132" s="1209">
        <v>3</v>
      </c>
      <c r="G1132" s="846"/>
      <c r="H1132" s="847"/>
      <c r="I1132" s="846"/>
      <c r="J1132" s="847"/>
      <c r="K1132" s="846"/>
      <c r="L1132" s="847"/>
      <c r="M1132" s="846"/>
      <c r="N1132" s="846"/>
      <c r="O1132" s="737">
        <f t="shared" si="143"/>
        <v>0</v>
      </c>
      <c r="P1132" s="847"/>
      <c r="Q1132" s="847"/>
      <c r="R1132" s="738">
        <f t="shared" si="146"/>
        <v>0</v>
      </c>
      <c r="S1132" s="737">
        <f t="shared" si="147"/>
        <v>0</v>
      </c>
      <c r="T1132" s="739">
        <f t="shared" si="148"/>
        <v>0</v>
      </c>
      <c r="U1132" s="846"/>
      <c r="V1132" s="847"/>
      <c r="W1132" s="846"/>
      <c r="X1132" s="846"/>
      <c r="Y1132" s="740">
        <f t="shared" si="144"/>
        <v>0</v>
      </c>
      <c r="Z1132" s="847"/>
      <c r="AA1132" s="847"/>
      <c r="AB1132" s="741">
        <f t="shared" si="145"/>
        <v>0</v>
      </c>
      <c r="AC1132" s="846"/>
      <c r="AD1132" s="847"/>
      <c r="AE1132" s="846"/>
      <c r="AF1132" s="846"/>
      <c r="AG1132" s="847"/>
      <c r="AH1132" s="847"/>
      <c r="AI1132" s="742">
        <f t="shared" si="149"/>
        <v>0</v>
      </c>
      <c r="AJ1132" s="743">
        <f t="shared" si="150"/>
        <v>0</v>
      </c>
    </row>
    <row r="1133" spans="1:36">
      <c r="A1133" s="1197" t="s">
        <v>150</v>
      </c>
      <c r="B1133" s="1271" t="s">
        <v>271</v>
      </c>
      <c r="C1133" s="1275" t="s">
        <v>1500</v>
      </c>
      <c r="D1133" s="1217"/>
      <c r="E1133" s="1201">
        <v>157386</v>
      </c>
      <c r="F1133" s="1209">
        <v>3</v>
      </c>
      <c r="G1133" s="846"/>
      <c r="H1133" s="847"/>
      <c r="I1133" s="846">
        <v>141000</v>
      </c>
      <c r="J1133" s="847">
        <v>141000</v>
      </c>
      <c r="K1133" s="846"/>
      <c r="L1133" s="847"/>
      <c r="M1133" s="846"/>
      <c r="N1133" s="846"/>
      <c r="O1133" s="737">
        <f t="shared" si="143"/>
        <v>0</v>
      </c>
      <c r="P1133" s="847"/>
      <c r="Q1133" s="847"/>
      <c r="R1133" s="738">
        <f t="shared" si="146"/>
        <v>0</v>
      </c>
      <c r="S1133" s="737">
        <f t="shared" si="147"/>
        <v>141000</v>
      </c>
      <c r="T1133" s="739">
        <f t="shared" si="148"/>
        <v>141000</v>
      </c>
      <c r="U1133" s="846"/>
      <c r="V1133" s="847"/>
      <c r="W1133" s="846"/>
      <c r="X1133" s="846"/>
      <c r="Y1133" s="740">
        <f t="shared" si="144"/>
        <v>0</v>
      </c>
      <c r="Z1133" s="847"/>
      <c r="AA1133" s="847"/>
      <c r="AB1133" s="741">
        <f t="shared" si="145"/>
        <v>0</v>
      </c>
      <c r="AC1133" s="846"/>
      <c r="AD1133" s="847"/>
      <c r="AE1133" s="846"/>
      <c r="AF1133" s="846"/>
      <c r="AG1133" s="847"/>
      <c r="AH1133" s="847"/>
      <c r="AI1133" s="742">
        <f t="shared" si="149"/>
        <v>141000</v>
      </c>
      <c r="AJ1133" s="743">
        <f t="shared" si="150"/>
        <v>141000</v>
      </c>
    </row>
    <row r="1134" spans="1:36">
      <c r="A1134" s="1197" t="s">
        <v>150</v>
      </c>
      <c r="B1134" s="1271" t="s">
        <v>264</v>
      </c>
      <c r="C1134" s="1271" t="s">
        <v>1501</v>
      </c>
      <c r="D1134" s="1277"/>
      <c r="E1134" s="1201">
        <v>157401</v>
      </c>
      <c r="F1134" s="1202">
        <v>3</v>
      </c>
      <c r="G1134" s="846">
        <v>45361100</v>
      </c>
      <c r="H1134" s="847">
        <v>44948900</v>
      </c>
      <c r="I1134" s="846"/>
      <c r="J1134" s="847"/>
      <c r="K1134" s="846"/>
      <c r="L1134" s="847"/>
      <c r="M1134" s="1274">
        <v>106385200</v>
      </c>
      <c r="N1134" s="846"/>
      <c r="O1134" s="737">
        <f t="shared" si="143"/>
        <v>106385200</v>
      </c>
      <c r="P1134" s="847">
        <v>113937300</v>
      </c>
      <c r="Q1134" s="847"/>
      <c r="R1134" s="738">
        <f t="shared" si="146"/>
        <v>113937300</v>
      </c>
      <c r="S1134" s="737">
        <f t="shared" si="147"/>
        <v>151746300</v>
      </c>
      <c r="T1134" s="739">
        <f t="shared" si="148"/>
        <v>158886200</v>
      </c>
      <c r="U1134" s="846"/>
      <c r="V1134" s="847"/>
      <c r="W1134" s="846"/>
      <c r="X1134" s="846"/>
      <c r="Y1134" s="740">
        <f t="shared" si="144"/>
        <v>0</v>
      </c>
      <c r="Z1134" s="847"/>
      <c r="AA1134" s="847"/>
      <c r="AB1134" s="741">
        <f t="shared" si="145"/>
        <v>0</v>
      </c>
      <c r="AC1134" s="846"/>
      <c r="AD1134" s="847"/>
      <c r="AE1134" s="846"/>
      <c r="AF1134" s="846"/>
      <c r="AG1134" s="847"/>
      <c r="AH1134" s="847"/>
      <c r="AI1134" s="742">
        <f t="shared" si="149"/>
        <v>151746300</v>
      </c>
      <c r="AJ1134" s="743">
        <f t="shared" si="150"/>
        <v>158886200</v>
      </c>
    </row>
    <row r="1135" spans="1:36">
      <c r="A1135" s="1197" t="s">
        <v>150</v>
      </c>
      <c r="B1135" s="1271" t="s">
        <v>266</v>
      </c>
      <c r="C1135" s="1216" t="s">
        <v>319</v>
      </c>
      <c r="D1135" s="1217"/>
      <c r="E1135" s="1201">
        <v>157401</v>
      </c>
      <c r="F1135" s="1202">
        <v>3</v>
      </c>
      <c r="G1135" s="846"/>
      <c r="H1135" s="847"/>
      <c r="I1135" s="846"/>
      <c r="J1135" s="847"/>
      <c r="K1135" s="846"/>
      <c r="L1135" s="847"/>
      <c r="M1135" s="846"/>
      <c r="N1135" s="846"/>
      <c r="O1135" s="737">
        <f t="shared" si="143"/>
        <v>0</v>
      </c>
      <c r="P1135" s="847"/>
      <c r="Q1135" s="847"/>
      <c r="R1135" s="738">
        <f t="shared" si="146"/>
        <v>0</v>
      </c>
      <c r="S1135" s="737">
        <f t="shared" si="147"/>
        <v>0</v>
      </c>
      <c r="T1135" s="739">
        <f t="shared" si="148"/>
        <v>0</v>
      </c>
      <c r="U1135" s="846"/>
      <c r="V1135" s="847"/>
      <c r="W1135" s="846"/>
      <c r="X1135" s="846"/>
      <c r="Y1135" s="740">
        <f t="shared" si="144"/>
        <v>0</v>
      </c>
      <c r="Z1135" s="847"/>
      <c r="AA1135" s="847"/>
      <c r="AB1135" s="741">
        <f t="shared" si="145"/>
        <v>0</v>
      </c>
      <c r="AC1135" s="846"/>
      <c r="AD1135" s="847"/>
      <c r="AE1135" s="846"/>
      <c r="AF1135" s="846"/>
      <c r="AG1135" s="847"/>
      <c r="AH1135" s="847"/>
      <c r="AI1135" s="742">
        <f t="shared" si="149"/>
        <v>0</v>
      </c>
      <c r="AJ1135" s="743">
        <f t="shared" si="150"/>
        <v>0</v>
      </c>
    </row>
    <row r="1136" spans="1:36">
      <c r="A1136" s="1197" t="s">
        <v>150</v>
      </c>
      <c r="B1136" s="1271" t="s">
        <v>266</v>
      </c>
      <c r="C1136" s="1275" t="s">
        <v>1502</v>
      </c>
      <c r="D1136" s="1217"/>
      <c r="E1136" s="1201">
        <v>157401</v>
      </c>
      <c r="F1136" s="1202">
        <v>3</v>
      </c>
      <c r="G1136" s="846"/>
      <c r="H1136" s="847"/>
      <c r="I1136" s="846">
        <v>2644700</v>
      </c>
      <c r="J1136" s="847">
        <v>3076200</v>
      </c>
      <c r="K1136" s="846"/>
      <c r="L1136" s="847"/>
      <c r="M1136" s="846"/>
      <c r="N1136" s="846"/>
      <c r="O1136" s="737">
        <f t="shared" si="143"/>
        <v>0</v>
      </c>
      <c r="P1136" s="847"/>
      <c r="Q1136" s="847"/>
      <c r="R1136" s="738">
        <f t="shared" si="146"/>
        <v>0</v>
      </c>
      <c r="S1136" s="737">
        <f t="shared" si="147"/>
        <v>2644700</v>
      </c>
      <c r="T1136" s="739">
        <f t="shared" si="148"/>
        <v>3076200</v>
      </c>
      <c r="U1136" s="846"/>
      <c r="V1136" s="847"/>
      <c r="W1136" s="846"/>
      <c r="X1136" s="846"/>
      <c r="Y1136" s="740">
        <f t="shared" si="144"/>
        <v>0</v>
      </c>
      <c r="Z1136" s="847"/>
      <c r="AA1136" s="847"/>
      <c r="AB1136" s="741">
        <f t="shared" si="145"/>
        <v>0</v>
      </c>
      <c r="AC1136" s="846"/>
      <c r="AD1136" s="847"/>
      <c r="AE1136" s="846"/>
      <c r="AF1136" s="846"/>
      <c r="AG1136" s="847"/>
      <c r="AH1136" s="847"/>
      <c r="AI1136" s="742">
        <f t="shared" si="149"/>
        <v>2644700</v>
      </c>
      <c r="AJ1136" s="743">
        <f t="shared" si="150"/>
        <v>3076200</v>
      </c>
    </row>
    <row r="1137" spans="1:36">
      <c r="A1137" s="1197" t="s">
        <v>150</v>
      </c>
      <c r="B1137" s="1271" t="s">
        <v>264</v>
      </c>
      <c r="C1137" s="1271" t="s">
        <v>1503</v>
      </c>
      <c r="D1137" s="1277"/>
      <c r="E1137" s="1201">
        <v>157951</v>
      </c>
      <c r="F1137" s="1202">
        <v>3</v>
      </c>
      <c r="G1137" s="846">
        <v>69580600</v>
      </c>
      <c r="H1137" s="847">
        <v>69729991</v>
      </c>
      <c r="I1137" s="846"/>
      <c r="J1137" s="847"/>
      <c r="K1137" s="846"/>
      <c r="L1137" s="847"/>
      <c r="M1137" s="1274">
        <v>181329512</v>
      </c>
      <c r="N1137" s="1274">
        <v>2023588</v>
      </c>
      <c r="O1137" s="737">
        <f t="shared" si="143"/>
        <v>183353100</v>
      </c>
      <c r="P1137" s="847">
        <v>189170000</v>
      </c>
      <c r="Q1137" s="847">
        <v>2076000</v>
      </c>
      <c r="R1137" s="738">
        <f t="shared" si="146"/>
        <v>191246000</v>
      </c>
      <c r="S1137" s="737">
        <f t="shared" si="147"/>
        <v>250910112</v>
      </c>
      <c r="T1137" s="739">
        <f t="shared" si="148"/>
        <v>258899991</v>
      </c>
      <c r="U1137" s="846"/>
      <c r="V1137" s="847"/>
      <c r="W1137" s="846"/>
      <c r="X1137" s="846"/>
      <c r="Y1137" s="740">
        <f t="shared" si="144"/>
        <v>0</v>
      </c>
      <c r="Z1137" s="847"/>
      <c r="AA1137" s="847"/>
      <c r="AB1137" s="741">
        <f t="shared" si="145"/>
        <v>0</v>
      </c>
      <c r="AC1137" s="846"/>
      <c r="AD1137" s="847"/>
      <c r="AE1137" s="846"/>
      <c r="AF1137" s="846"/>
      <c r="AG1137" s="847"/>
      <c r="AH1137" s="847"/>
      <c r="AI1137" s="742">
        <f t="shared" si="149"/>
        <v>250910112</v>
      </c>
      <c r="AJ1137" s="743">
        <f t="shared" si="150"/>
        <v>258899991</v>
      </c>
    </row>
    <row r="1138" spans="1:36">
      <c r="A1138" s="1197" t="s">
        <v>150</v>
      </c>
      <c r="B1138" s="1271" t="s">
        <v>266</v>
      </c>
      <c r="C1138" s="1216" t="s">
        <v>319</v>
      </c>
      <c r="D1138" s="1217"/>
      <c r="E1138" s="1201">
        <v>157951</v>
      </c>
      <c r="F1138" s="1202">
        <v>3</v>
      </c>
      <c r="G1138" s="846"/>
      <c r="H1138" s="847"/>
      <c r="I1138" s="846"/>
      <c r="J1138" s="847"/>
      <c r="K1138" s="846"/>
      <c r="L1138" s="847"/>
      <c r="M1138" s="846"/>
      <c r="N1138" s="846"/>
      <c r="O1138" s="737">
        <f t="shared" si="143"/>
        <v>0</v>
      </c>
      <c r="P1138" s="847"/>
      <c r="Q1138" s="847"/>
      <c r="R1138" s="738">
        <f t="shared" si="146"/>
        <v>0</v>
      </c>
      <c r="S1138" s="737">
        <f t="shared" si="147"/>
        <v>0</v>
      </c>
      <c r="T1138" s="739">
        <f t="shared" si="148"/>
        <v>0</v>
      </c>
      <c r="U1138" s="846"/>
      <c r="V1138" s="847"/>
      <c r="W1138" s="846"/>
      <c r="X1138" s="846"/>
      <c r="Y1138" s="740">
        <f t="shared" si="144"/>
        <v>0</v>
      </c>
      <c r="Z1138" s="847"/>
      <c r="AA1138" s="847"/>
      <c r="AB1138" s="741">
        <f t="shared" si="145"/>
        <v>0</v>
      </c>
      <c r="AC1138" s="846"/>
      <c r="AD1138" s="847"/>
      <c r="AE1138" s="846"/>
      <c r="AF1138" s="846"/>
      <c r="AG1138" s="847"/>
      <c r="AH1138" s="847"/>
      <c r="AI1138" s="742">
        <f t="shared" si="149"/>
        <v>0</v>
      </c>
      <c r="AJ1138" s="743">
        <f t="shared" si="150"/>
        <v>0</v>
      </c>
    </row>
    <row r="1139" spans="1:36">
      <c r="A1139" s="1197" t="s">
        <v>150</v>
      </c>
      <c r="B1139" s="1271" t="s">
        <v>266</v>
      </c>
      <c r="C1139" s="1275" t="s">
        <v>1504</v>
      </c>
      <c r="D1139" s="1217"/>
      <c r="E1139" s="1201">
        <v>157951</v>
      </c>
      <c r="F1139" s="1202">
        <v>3</v>
      </c>
      <c r="G1139" s="846"/>
      <c r="H1139" s="847"/>
      <c r="I1139" s="846">
        <v>2844600</v>
      </c>
      <c r="J1139" s="847">
        <v>2919409</v>
      </c>
      <c r="K1139" s="846"/>
      <c r="L1139" s="847"/>
      <c r="M1139" s="846"/>
      <c r="N1139" s="846"/>
      <c r="O1139" s="737">
        <f t="shared" si="143"/>
        <v>0</v>
      </c>
      <c r="P1139" s="847"/>
      <c r="Q1139" s="847"/>
      <c r="R1139" s="738">
        <f t="shared" si="146"/>
        <v>0</v>
      </c>
      <c r="S1139" s="737">
        <f t="shared" si="147"/>
        <v>2844600</v>
      </c>
      <c r="T1139" s="739">
        <f t="shared" si="148"/>
        <v>2919409</v>
      </c>
      <c r="U1139" s="846"/>
      <c r="V1139" s="847"/>
      <c r="W1139" s="846"/>
      <c r="X1139" s="846"/>
      <c r="Y1139" s="740">
        <f t="shared" si="144"/>
        <v>0</v>
      </c>
      <c r="Z1139" s="847"/>
      <c r="AA1139" s="847"/>
      <c r="AB1139" s="741">
        <f t="shared" si="145"/>
        <v>0</v>
      </c>
      <c r="AC1139" s="846"/>
      <c r="AD1139" s="847"/>
      <c r="AE1139" s="846"/>
      <c r="AF1139" s="846"/>
      <c r="AG1139" s="847"/>
      <c r="AH1139" s="847"/>
      <c r="AI1139" s="742">
        <f t="shared" si="149"/>
        <v>2844600</v>
      </c>
      <c r="AJ1139" s="743">
        <f t="shared" si="150"/>
        <v>2919409</v>
      </c>
    </row>
    <row r="1140" spans="1:36">
      <c r="A1140" s="1197" t="s">
        <v>150</v>
      </c>
      <c r="B1140" s="1271" t="s">
        <v>264</v>
      </c>
      <c r="C1140" s="1279" t="s">
        <v>1505</v>
      </c>
      <c r="D1140" s="1280"/>
      <c r="E1140" s="1201">
        <v>157058</v>
      </c>
      <c r="F1140" s="1209">
        <v>4</v>
      </c>
      <c r="G1140" s="1274">
        <v>19961902</v>
      </c>
      <c r="H1140" s="847">
        <v>19854100</v>
      </c>
      <c r="I1140" s="846"/>
      <c r="J1140" s="847"/>
      <c r="K1140" s="846"/>
      <c r="L1140" s="847"/>
      <c r="M1140" s="1274">
        <v>21386201</v>
      </c>
      <c r="N1140" s="846"/>
      <c r="O1140" s="737">
        <f t="shared" si="143"/>
        <v>21386201</v>
      </c>
      <c r="P1140" s="847">
        <v>21386201</v>
      </c>
      <c r="Q1140" s="847"/>
      <c r="R1140" s="738">
        <f t="shared" si="146"/>
        <v>21386201</v>
      </c>
      <c r="S1140" s="737">
        <f t="shared" si="147"/>
        <v>41348103</v>
      </c>
      <c r="T1140" s="739">
        <f t="shared" si="148"/>
        <v>41240301</v>
      </c>
      <c r="U1140" s="846"/>
      <c r="V1140" s="847"/>
      <c r="W1140" s="846"/>
      <c r="X1140" s="846"/>
      <c r="Y1140" s="740">
        <f t="shared" si="144"/>
        <v>0</v>
      </c>
      <c r="Z1140" s="847"/>
      <c r="AA1140" s="847"/>
      <c r="AB1140" s="741">
        <f t="shared" si="145"/>
        <v>0</v>
      </c>
      <c r="AC1140" s="846"/>
      <c r="AD1140" s="847"/>
      <c r="AE1140" s="846"/>
      <c r="AF1140" s="846"/>
      <c r="AG1140" s="847"/>
      <c r="AH1140" s="847"/>
      <c r="AI1140" s="742">
        <f t="shared" si="149"/>
        <v>41348103</v>
      </c>
      <c r="AJ1140" s="743">
        <f t="shared" si="150"/>
        <v>41240301</v>
      </c>
    </row>
    <row r="1141" spans="1:36">
      <c r="A1141" s="1197" t="s">
        <v>150</v>
      </c>
      <c r="B1141" s="1271" t="s">
        <v>266</v>
      </c>
      <c r="C1141" s="1216" t="s">
        <v>453</v>
      </c>
      <c r="D1141" s="1217"/>
      <c r="E1141" s="1201">
        <v>157058</v>
      </c>
      <c r="F1141" s="1209">
        <v>4</v>
      </c>
      <c r="G1141" s="846"/>
      <c r="H1141" s="847"/>
      <c r="I1141" s="846">
        <v>2125897</v>
      </c>
      <c r="J1141" s="847">
        <v>2125884</v>
      </c>
      <c r="K1141" s="846"/>
      <c r="L1141" s="847"/>
      <c r="M1141" s="846"/>
      <c r="N1141" s="846"/>
      <c r="O1141" s="737">
        <f t="shared" si="143"/>
        <v>0</v>
      </c>
      <c r="P1141" s="847"/>
      <c r="Q1141" s="847"/>
      <c r="R1141" s="738">
        <f t="shared" si="146"/>
        <v>0</v>
      </c>
      <c r="S1141" s="737">
        <f t="shared" si="147"/>
        <v>2125897</v>
      </c>
      <c r="T1141" s="739">
        <f t="shared" si="148"/>
        <v>2125884</v>
      </c>
      <c r="U1141" s="846"/>
      <c r="V1141" s="847"/>
      <c r="W1141" s="846"/>
      <c r="X1141" s="846"/>
      <c r="Y1141" s="740">
        <f t="shared" si="144"/>
        <v>0</v>
      </c>
      <c r="Z1141" s="847"/>
      <c r="AA1141" s="847"/>
      <c r="AB1141" s="741">
        <f t="shared" si="145"/>
        <v>0</v>
      </c>
      <c r="AC1141" s="846"/>
      <c r="AD1141" s="847"/>
      <c r="AE1141" s="846"/>
      <c r="AF1141" s="846"/>
      <c r="AG1141" s="847"/>
      <c r="AH1141" s="847"/>
      <c r="AI1141" s="742">
        <f t="shared" si="149"/>
        <v>2125897</v>
      </c>
      <c r="AJ1141" s="743">
        <f t="shared" si="150"/>
        <v>2125884</v>
      </c>
    </row>
    <row r="1142" spans="1:36">
      <c r="A1142" s="1197" t="s">
        <v>150</v>
      </c>
      <c r="B1142" s="1271" t="s">
        <v>268</v>
      </c>
      <c r="C1142" s="1216" t="s">
        <v>257</v>
      </c>
      <c r="D1142" s="1217"/>
      <c r="E1142" s="1201">
        <v>157058</v>
      </c>
      <c r="F1142" s="1209">
        <v>4</v>
      </c>
      <c r="G1142" s="846"/>
      <c r="H1142" s="847"/>
      <c r="I1142" s="846">
        <v>1449601</v>
      </c>
      <c r="J1142" s="847">
        <v>1449616</v>
      </c>
      <c r="K1142" s="846"/>
      <c r="L1142" s="847"/>
      <c r="M1142" s="846"/>
      <c r="N1142" s="846"/>
      <c r="O1142" s="737">
        <f t="shared" si="143"/>
        <v>0</v>
      </c>
      <c r="P1142" s="847"/>
      <c r="Q1142" s="847"/>
      <c r="R1142" s="738">
        <f t="shared" si="146"/>
        <v>0</v>
      </c>
      <c r="S1142" s="737">
        <f t="shared" si="147"/>
        <v>1449601</v>
      </c>
      <c r="T1142" s="739">
        <f t="shared" si="148"/>
        <v>1449616</v>
      </c>
      <c r="U1142" s="846"/>
      <c r="V1142" s="847"/>
      <c r="W1142" s="846"/>
      <c r="X1142" s="846"/>
      <c r="Y1142" s="740">
        <f t="shared" si="144"/>
        <v>0</v>
      </c>
      <c r="Z1142" s="847"/>
      <c r="AA1142" s="847"/>
      <c r="AB1142" s="741">
        <f t="shared" si="145"/>
        <v>0</v>
      </c>
      <c r="AC1142" s="846"/>
      <c r="AD1142" s="847"/>
      <c r="AE1142" s="846"/>
      <c r="AF1142" s="846"/>
      <c r="AG1142" s="847"/>
      <c r="AH1142" s="847"/>
      <c r="AI1142" s="742">
        <f t="shared" si="149"/>
        <v>1449601</v>
      </c>
      <c r="AJ1142" s="743">
        <f t="shared" si="150"/>
        <v>1449616</v>
      </c>
    </row>
    <row r="1143" spans="1:36">
      <c r="A1143" s="1197" t="s">
        <v>150</v>
      </c>
      <c r="B1143" s="1271" t="s">
        <v>264</v>
      </c>
      <c r="C1143" s="1271" t="s">
        <v>1506</v>
      </c>
      <c r="D1143" s="1285" t="s">
        <v>1549</v>
      </c>
      <c r="E1143" s="1303">
        <v>157447</v>
      </c>
      <c r="F1143" s="1229">
        <v>3</v>
      </c>
      <c r="G1143" s="846">
        <v>45335100</v>
      </c>
      <c r="H1143" s="847">
        <v>46932800</v>
      </c>
      <c r="I1143" s="846"/>
      <c r="J1143" s="847"/>
      <c r="K1143" s="846"/>
      <c r="L1143" s="847"/>
      <c r="M1143" s="1274">
        <v>139802671</v>
      </c>
      <c r="N1143" s="1274">
        <v>272329</v>
      </c>
      <c r="O1143" s="737">
        <f t="shared" si="143"/>
        <v>140075000</v>
      </c>
      <c r="P1143" s="847">
        <v>143607501</v>
      </c>
      <c r="Q1143" s="847">
        <v>3016999</v>
      </c>
      <c r="R1143" s="738">
        <f t="shared" si="146"/>
        <v>146624500</v>
      </c>
      <c r="S1143" s="737">
        <f t="shared" si="147"/>
        <v>185137771</v>
      </c>
      <c r="T1143" s="739">
        <f t="shared" si="148"/>
        <v>190540301</v>
      </c>
      <c r="U1143" s="846"/>
      <c r="V1143" s="847"/>
      <c r="W1143" s="846"/>
      <c r="X1143" s="846"/>
      <c r="Y1143" s="740">
        <f t="shared" si="144"/>
        <v>0</v>
      </c>
      <c r="Z1143" s="847"/>
      <c r="AA1143" s="847"/>
      <c r="AB1143" s="741">
        <f t="shared" si="145"/>
        <v>0</v>
      </c>
      <c r="AC1143" s="846"/>
      <c r="AD1143" s="847"/>
      <c r="AE1143" s="846"/>
      <c r="AF1143" s="846"/>
      <c r="AG1143" s="847"/>
      <c r="AH1143" s="847"/>
      <c r="AI1143" s="742">
        <f t="shared" si="149"/>
        <v>185137771</v>
      </c>
      <c r="AJ1143" s="743">
        <f t="shared" si="150"/>
        <v>190540301</v>
      </c>
    </row>
    <row r="1144" spans="1:36">
      <c r="A1144" s="1197" t="s">
        <v>150</v>
      </c>
      <c r="B1144" s="1271" t="s">
        <v>266</v>
      </c>
      <c r="C1144" s="1216" t="s">
        <v>319</v>
      </c>
      <c r="D1144" s="1217"/>
      <c r="E1144" s="1303">
        <v>157447</v>
      </c>
      <c r="F1144" s="1229">
        <v>3</v>
      </c>
      <c r="G1144" s="846"/>
      <c r="H1144" s="847"/>
      <c r="I1144" s="846"/>
      <c r="J1144" s="847"/>
      <c r="K1144" s="846"/>
      <c r="L1144" s="847"/>
      <c r="M1144" s="846"/>
      <c r="N1144" s="846"/>
      <c r="O1144" s="737">
        <f t="shared" si="143"/>
        <v>0</v>
      </c>
      <c r="P1144" s="847"/>
      <c r="Q1144" s="847"/>
      <c r="R1144" s="738">
        <f t="shared" si="146"/>
        <v>0</v>
      </c>
      <c r="S1144" s="737">
        <f t="shared" si="147"/>
        <v>0</v>
      </c>
      <c r="T1144" s="739">
        <f t="shared" si="148"/>
        <v>0</v>
      </c>
      <c r="U1144" s="846"/>
      <c r="V1144" s="847"/>
      <c r="W1144" s="846"/>
      <c r="X1144" s="846"/>
      <c r="Y1144" s="740">
        <f t="shared" si="144"/>
        <v>0</v>
      </c>
      <c r="Z1144" s="847"/>
      <c r="AA1144" s="847"/>
      <c r="AB1144" s="741">
        <f t="shared" si="145"/>
        <v>0</v>
      </c>
      <c r="AC1144" s="846"/>
      <c r="AD1144" s="847"/>
      <c r="AE1144" s="846"/>
      <c r="AF1144" s="846"/>
      <c r="AG1144" s="847"/>
      <c r="AH1144" s="847"/>
      <c r="AI1144" s="742">
        <f t="shared" si="149"/>
        <v>0</v>
      </c>
      <c r="AJ1144" s="743">
        <f t="shared" si="150"/>
        <v>0</v>
      </c>
    </row>
    <row r="1145" spans="1:36">
      <c r="A1145" s="1197" t="s">
        <v>150</v>
      </c>
      <c r="B1145" s="1271" t="s">
        <v>266</v>
      </c>
      <c r="C1145" s="1275" t="s">
        <v>1507</v>
      </c>
      <c r="D1145" s="1217"/>
      <c r="E1145" s="1303">
        <v>157447</v>
      </c>
      <c r="F1145" s="1229">
        <v>3</v>
      </c>
      <c r="G1145" s="846"/>
      <c r="H1145" s="847"/>
      <c r="I1145" s="846">
        <v>1500000</v>
      </c>
      <c r="J1145" s="847">
        <v>1604800</v>
      </c>
      <c r="K1145" s="846"/>
      <c r="L1145" s="847"/>
      <c r="M1145" s="846"/>
      <c r="N1145" s="846"/>
      <c r="O1145" s="737">
        <f t="shared" si="143"/>
        <v>0</v>
      </c>
      <c r="P1145" s="847"/>
      <c r="Q1145" s="847"/>
      <c r="R1145" s="738">
        <f t="shared" si="146"/>
        <v>0</v>
      </c>
      <c r="S1145" s="737">
        <f t="shared" si="147"/>
        <v>1500000</v>
      </c>
      <c r="T1145" s="739">
        <f t="shared" si="148"/>
        <v>1604800</v>
      </c>
      <c r="U1145" s="846"/>
      <c r="V1145" s="847"/>
      <c r="W1145" s="846"/>
      <c r="X1145" s="846"/>
      <c r="Y1145" s="740">
        <f t="shared" si="144"/>
        <v>0</v>
      </c>
      <c r="Z1145" s="847"/>
      <c r="AA1145" s="847"/>
      <c r="AB1145" s="741">
        <f t="shared" si="145"/>
        <v>0</v>
      </c>
      <c r="AC1145" s="846"/>
      <c r="AD1145" s="847"/>
      <c r="AE1145" s="846"/>
      <c r="AF1145" s="846"/>
      <c r="AG1145" s="847"/>
      <c r="AH1145" s="847"/>
      <c r="AI1145" s="742">
        <f t="shared" si="149"/>
        <v>1500000</v>
      </c>
      <c r="AJ1145" s="743">
        <f t="shared" si="150"/>
        <v>1604800</v>
      </c>
    </row>
    <row r="1146" spans="1:36">
      <c r="A1146" s="1197" t="s">
        <v>150</v>
      </c>
      <c r="B1146" s="1271" t="s">
        <v>264</v>
      </c>
      <c r="C1146" s="1281" t="s">
        <v>1508</v>
      </c>
      <c r="D1146" s="1282"/>
      <c r="E1146" s="1283">
        <v>157173</v>
      </c>
      <c r="F1146" s="1209">
        <v>8</v>
      </c>
      <c r="G1146" s="846">
        <v>10160722.34668738</v>
      </c>
      <c r="H1146" s="847">
        <v>11596500.794144571</v>
      </c>
      <c r="I1146" s="846"/>
      <c r="J1146" s="847"/>
      <c r="K1146" s="846"/>
      <c r="L1146" s="847"/>
      <c r="M1146" s="846">
        <v>35556900</v>
      </c>
      <c r="N1146" s="846">
        <v>0</v>
      </c>
      <c r="O1146" s="737">
        <f t="shared" si="143"/>
        <v>35556900</v>
      </c>
      <c r="P1146" s="847">
        <v>32177700</v>
      </c>
      <c r="Q1146" s="847">
        <v>808164</v>
      </c>
      <c r="R1146" s="738">
        <f t="shared" si="146"/>
        <v>32985864</v>
      </c>
      <c r="S1146" s="737">
        <f t="shared" si="147"/>
        <v>45717622.346687376</v>
      </c>
      <c r="T1146" s="739">
        <f t="shared" si="148"/>
        <v>43774200.794144571</v>
      </c>
      <c r="U1146" s="846"/>
      <c r="V1146" s="847"/>
      <c r="W1146" s="846"/>
      <c r="X1146" s="846"/>
      <c r="Y1146" s="740">
        <f t="shared" si="144"/>
        <v>0</v>
      </c>
      <c r="Z1146" s="847"/>
      <c r="AA1146" s="847"/>
      <c r="AB1146" s="741">
        <f t="shared" si="145"/>
        <v>0</v>
      </c>
      <c r="AC1146" s="846"/>
      <c r="AD1146" s="847"/>
      <c r="AE1146" s="846"/>
      <c r="AF1146" s="846"/>
      <c r="AG1146" s="847"/>
      <c r="AH1146" s="847"/>
      <c r="AI1146" s="742">
        <f t="shared" si="149"/>
        <v>45717622.346687376</v>
      </c>
      <c r="AJ1146" s="743">
        <f t="shared" si="150"/>
        <v>43774200.794144571</v>
      </c>
    </row>
    <row r="1147" spans="1:36">
      <c r="A1147" s="1197" t="s">
        <v>150</v>
      </c>
      <c r="B1147" s="1271" t="s">
        <v>264</v>
      </c>
      <c r="C1147" s="1281" t="s">
        <v>1509</v>
      </c>
      <c r="D1147" s="1282"/>
      <c r="E1147" s="1283">
        <v>156921</v>
      </c>
      <c r="F1147" s="1209">
        <v>8</v>
      </c>
      <c r="G1147" s="846">
        <v>17299245.327378422</v>
      </c>
      <c r="H1147" s="847">
        <v>16397121.152777724</v>
      </c>
      <c r="I1147" s="846"/>
      <c r="J1147" s="847"/>
      <c r="K1147" s="846"/>
      <c r="L1147" s="847"/>
      <c r="M1147" s="846">
        <v>32895200</v>
      </c>
      <c r="N1147" s="846">
        <v>0</v>
      </c>
      <c r="O1147" s="737">
        <f t="shared" si="143"/>
        <v>32895200</v>
      </c>
      <c r="P1147" s="847">
        <v>33098300</v>
      </c>
      <c r="Q1147" s="847">
        <v>865916.60000000009</v>
      </c>
      <c r="R1147" s="738">
        <f t="shared" si="146"/>
        <v>33964216.600000001</v>
      </c>
      <c r="S1147" s="737">
        <f t="shared" si="147"/>
        <v>50194445.327378422</v>
      </c>
      <c r="T1147" s="739">
        <f t="shared" si="148"/>
        <v>49495421.152777724</v>
      </c>
      <c r="U1147" s="846"/>
      <c r="V1147" s="847"/>
      <c r="W1147" s="846"/>
      <c r="X1147" s="846"/>
      <c r="Y1147" s="740">
        <f t="shared" si="144"/>
        <v>0</v>
      </c>
      <c r="Z1147" s="847"/>
      <c r="AA1147" s="847"/>
      <c r="AB1147" s="741">
        <f t="shared" si="145"/>
        <v>0</v>
      </c>
      <c r="AC1147" s="846"/>
      <c r="AD1147" s="847"/>
      <c r="AE1147" s="846"/>
      <c r="AF1147" s="846"/>
      <c r="AG1147" s="847"/>
      <c r="AH1147" s="847"/>
      <c r="AI1147" s="742">
        <f t="shared" si="149"/>
        <v>50194445.327378422</v>
      </c>
      <c r="AJ1147" s="743">
        <f t="shared" si="150"/>
        <v>49495421.152777724</v>
      </c>
    </row>
    <row r="1148" spans="1:36">
      <c r="A1148" s="1197" t="s">
        <v>150</v>
      </c>
      <c r="B1148" s="1271" t="s">
        <v>264</v>
      </c>
      <c r="C1148" s="1281" t="s">
        <v>1510</v>
      </c>
      <c r="D1148" s="1282"/>
      <c r="E1148" s="1283">
        <v>156231</v>
      </c>
      <c r="F1148" s="1209">
        <v>9</v>
      </c>
      <c r="G1148" s="846">
        <v>9730484.4156947471</v>
      </c>
      <c r="H1148" s="847">
        <v>9184003.2666130364</v>
      </c>
      <c r="I1148" s="846"/>
      <c r="J1148" s="847"/>
      <c r="K1148" s="846"/>
      <c r="L1148" s="847"/>
      <c r="M1148" s="846">
        <v>9763100</v>
      </c>
      <c r="N1148" s="846">
        <v>0</v>
      </c>
      <c r="O1148" s="737">
        <f t="shared" si="143"/>
        <v>9763100</v>
      </c>
      <c r="P1148" s="847">
        <v>9710200</v>
      </c>
      <c r="Q1148" s="847">
        <v>273339.60000000003</v>
      </c>
      <c r="R1148" s="738">
        <f t="shared" si="146"/>
        <v>9983539.5999999996</v>
      </c>
      <c r="S1148" s="737">
        <f t="shared" si="147"/>
        <v>19493584.415694747</v>
      </c>
      <c r="T1148" s="739">
        <f t="shared" si="148"/>
        <v>18894203.266613036</v>
      </c>
      <c r="U1148" s="846"/>
      <c r="V1148" s="847"/>
      <c r="W1148" s="846"/>
      <c r="X1148" s="846"/>
      <c r="Y1148" s="740">
        <f t="shared" si="144"/>
        <v>0</v>
      </c>
      <c r="Z1148" s="847"/>
      <c r="AA1148" s="847"/>
      <c r="AB1148" s="741">
        <f t="shared" si="145"/>
        <v>0</v>
      </c>
      <c r="AC1148" s="846"/>
      <c r="AD1148" s="847"/>
      <c r="AE1148" s="846"/>
      <c r="AF1148" s="846"/>
      <c r="AG1148" s="847"/>
      <c r="AH1148" s="847"/>
      <c r="AI1148" s="742">
        <f t="shared" si="149"/>
        <v>19493584.415694747</v>
      </c>
      <c r="AJ1148" s="743">
        <f t="shared" si="150"/>
        <v>18894203.266613036</v>
      </c>
    </row>
    <row r="1149" spans="1:36">
      <c r="A1149" s="1197" t="s">
        <v>150</v>
      </c>
      <c r="B1149" s="1271" t="s">
        <v>264</v>
      </c>
      <c r="C1149" s="1281" t="s">
        <v>1511</v>
      </c>
      <c r="D1149" s="1282"/>
      <c r="E1149" s="1284">
        <v>157553</v>
      </c>
      <c r="F1149" s="1209">
        <v>9</v>
      </c>
      <c r="G1149" s="846">
        <v>10822324.215202009</v>
      </c>
      <c r="H1149" s="847">
        <v>10715068.75706864</v>
      </c>
      <c r="I1149" s="846"/>
      <c r="J1149" s="847"/>
      <c r="K1149" s="846"/>
      <c r="L1149" s="847"/>
      <c r="M1149" s="846">
        <v>10835800</v>
      </c>
      <c r="N1149" s="846">
        <v>0</v>
      </c>
      <c r="O1149" s="737">
        <f t="shared" si="143"/>
        <v>10835800</v>
      </c>
      <c r="P1149" s="847">
        <v>10999600</v>
      </c>
      <c r="Q1149" s="847">
        <v>295077.80000000005</v>
      </c>
      <c r="R1149" s="738">
        <f t="shared" si="146"/>
        <v>11294677.800000001</v>
      </c>
      <c r="S1149" s="737">
        <f t="shared" si="147"/>
        <v>21658124.215202011</v>
      </c>
      <c r="T1149" s="739">
        <f t="shared" si="148"/>
        <v>21714668.757068641</v>
      </c>
      <c r="U1149" s="846"/>
      <c r="V1149" s="847"/>
      <c r="W1149" s="846"/>
      <c r="X1149" s="846"/>
      <c r="Y1149" s="740">
        <f t="shared" si="144"/>
        <v>0</v>
      </c>
      <c r="Z1149" s="847"/>
      <c r="AA1149" s="847"/>
      <c r="AB1149" s="741">
        <f t="shared" si="145"/>
        <v>0</v>
      </c>
      <c r="AC1149" s="846"/>
      <c r="AD1149" s="847"/>
      <c r="AE1149" s="846"/>
      <c r="AF1149" s="846"/>
      <c r="AG1149" s="847"/>
      <c r="AH1149" s="847"/>
      <c r="AI1149" s="742">
        <f t="shared" si="149"/>
        <v>21658124.215202011</v>
      </c>
      <c r="AJ1149" s="743">
        <f t="shared" si="150"/>
        <v>21714668.757068641</v>
      </c>
    </row>
    <row r="1150" spans="1:36">
      <c r="A1150" s="1197" t="s">
        <v>150</v>
      </c>
      <c r="B1150" s="1271" t="s">
        <v>264</v>
      </c>
      <c r="C1150" s="1281" t="s">
        <v>1512</v>
      </c>
      <c r="D1150" s="1282"/>
      <c r="E1150" s="1283">
        <v>156648</v>
      </c>
      <c r="F1150" s="1209">
        <v>9</v>
      </c>
      <c r="G1150" s="846">
        <v>9291743.2571574207</v>
      </c>
      <c r="H1150" s="847">
        <v>8899990.259682104</v>
      </c>
      <c r="I1150" s="846"/>
      <c r="J1150" s="847"/>
      <c r="K1150" s="846"/>
      <c r="L1150" s="847"/>
      <c r="M1150" s="846">
        <v>15751300</v>
      </c>
      <c r="N1150" s="846">
        <v>0</v>
      </c>
      <c r="O1150" s="737">
        <f t="shared" si="143"/>
        <v>15751300</v>
      </c>
      <c r="P1150" s="847">
        <v>15732400</v>
      </c>
      <c r="Q1150" s="847">
        <v>423880.79999999993</v>
      </c>
      <c r="R1150" s="738">
        <f t="shared" si="146"/>
        <v>16156280.800000001</v>
      </c>
      <c r="S1150" s="737">
        <f t="shared" si="147"/>
        <v>25043043.257157423</v>
      </c>
      <c r="T1150" s="739">
        <f t="shared" si="148"/>
        <v>24632390.259682104</v>
      </c>
      <c r="U1150" s="846"/>
      <c r="V1150" s="847"/>
      <c r="W1150" s="846"/>
      <c r="X1150" s="846"/>
      <c r="Y1150" s="740">
        <f t="shared" si="144"/>
        <v>0</v>
      </c>
      <c r="Z1150" s="847"/>
      <c r="AA1150" s="847"/>
      <c r="AB1150" s="741">
        <f t="shared" si="145"/>
        <v>0</v>
      </c>
      <c r="AC1150" s="846"/>
      <c r="AD1150" s="847"/>
      <c r="AE1150" s="846"/>
      <c r="AF1150" s="846"/>
      <c r="AG1150" s="847"/>
      <c r="AH1150" s="847"/>
      <c r="AI1150" s="742">
        <f t="shared" si="149"/>
        <v>25043043.257157423</v>
      </c>
      <c r="AJ1150" s="743">
        <f t="shared" si="150"/>
        <v>24632390.259682104</v>
      </c>
    </row>
    <row r="1151" spans="1:36">
      <c r="A1151" s="1197" t="s">
        <v>150</v>
      </c>
      <c r="B1151" s="1271" t="s">
        <v>264</v>
      </c>
      <c r="C1151" s="1279" t="s">
        <v>1513</v>
      </c>
      <c r="D1151" s="1280" t="s">
        <v>532</v>
      </c>
      <c r="E1151" s="1286">
        <v>156790</v>
      </c>
      <c r="F1151" s="1209">
        <v>9</v>
      </c>
      <c r="G1151" s="846">
        <v>13823075.141570687</v>
      </c>
      <c r="H1151" s="847">
        <v>13219927.26666059</v>
      </c>
      <c r="I1151" s="846"/>
      <c r="J1151" s="847"/>
      <c r="K1151" s="846"/>
      <c r="L1151" s="847"/>
      <c r="M1151" s="846">
        <v>8146100</v>
      </c>
      <c r="N1151" s="846">
        <v>0</v>
      </c>
      <c r="O1151" s="737">
        <f t="shared" si="143"/>
        <v>8146100</v>
      </c>
      <c r="P1151" s="847">
        <v>8523400</v>
      </c>
      <c r="Q1151" s="847">
        <v>229294.3</v>
      </c>
      <c r="R1151" s="738">
        <f t="shared" si="146"/>
        <v>8752694.3000000007</v>
      </c>
      <c r="S1151" s="737">
        <f t="shared" si="147"/>
        <v>21969175.141570687</v>
      </c>
      <c r="T1151" s="739">
        <f t="shared" si="148"/>
        <v>21743327.26666059</v>
      </c>
      <c r="U1151" s="846"/>
      <c r="V1151" s="847"/>
      <c r="W1151" s="846"/>
      <c r="X1151" s="846"/>
      <c r="Y1151" s="740">
        <f t="shared" si="144"/>
        <v>0</v>
      </c>
      <c r="Z1151" s="847"/>
      <c r="AA1151" s="847"/>
      <c r="AB1151" s="741">
        <f t="shared" si="145"/>
        <v>0</v>
      </c>
      <c r="AC1151" s="846"/>
      <c r="AD1151" s="847"/>
      <c r="AE1151" s="846"/>
      <c r="AF1151" s="846"/>
      <c r="AG1151" s="847"/>
      <c r="AH1151" s="847"/>
      <c r="AI1151" s="742">
        <f t="shared" si="149"/>
        <v>21969175.141570687</v>
      </c>
      <c r="AJ1151" s="743">
        <f t="shared" si="150"/>
        <v>21743327.26666059</v>
      </c>
    </row>
    <row r="1152" spans="1:36">
      <c r="A1152" s="1197" t="s">
        <v>150</v>
      </c>
      <c r="B1152" s="1271" t="s">
        <v>264</v>
      </c>
      <c r="C1152" s="1279" t="s">
        <v>1514</v>
      </c>
      <c r="D1152" s="1280"/>
      <c r="E1152" s="1201">
        <v>156860</v>
      </c>
      <c r="F1152" s="1209">
        <v>9</v>
      </c>
      <c r="G1152" s="846">
        <v>4884786.9398157699</v>
      </c>
      <c r="H1152" s="847">
        <v>4836226.5328297941</v>
      </c>
      <c r="I1152" s="846"/>
      <c r="J1152" s="847"/>
      <c r="K1152" s="846"/>
      <c r="L1152" s="847"/>
      <c r="M1152" s="846">
        <v>9971600</v>
      </c>
      <c r="N1152" s="846">
        <v>0</v>
      </c>
      <c r="O1152" s="737">
        <f t="shared" si="143"/>
        <v>9971600</v>
      </c>
      <c r="P1152" s="847">
        <v>9091200</v>
      </c>
      <c r="Q1152" s="847">
        <v>237907</v>
      </c>
      <c r="R1152" s="738">
        <f t="shared" si="146"/>
        <v>9329107</v>
      </c>
      <c r="S1152" s="737">
        <f t="shared" si="147"/>
        <v>14856386.939815771</v>
      </c>
      <c r="T1152" s="739">
        <f t="shared" si="148"/>
        <v>13927426.532829795</v>
      </c>
      <c r="U1152" s="846"/>
      <c r="V1152" s="847"/>
      <c r="W1152" s="846"/>
      <c r="X1152" s="846"/>
      <c r="Y1152" s="740">
        <f t="shared" si="144"/>
        <v>0</v>
      </c>
      <c r="Z1152" s="847"/>
      <c r="AA1152" s="847"/>
      <c r="AB1152" s="741">
        <f t="shared" si="145"/>
        <v>0</v>
      </c>
      <c r="AC1152" s="846"/>
      <c r="AD1152" s="847"/>
      <c r="AE1152" s="846"/>
      <c r="AF1152" s="846"/>
      <c r="AG1152" s="847"/>
      <c r="AH1152" s="847"/>
      <c r="AI1152" s="742">
        <f t="shared" si="149"/>
        <v>14856386.939815771</v>
      </c>
      <c r="AJ1152" s="743">
        <f t="shared" si="150"/>
        <v>13927426.532829795</v>
      </c>
    </row>
    <row r="1153" spans="1:36">
      <c r="A1153" s="1197" t="s">
        <v>150</v>
      </c>
      <c r="B1153" s="1271" t="s">
        <v>264</v>
      </c>
      <c r="C1153" s="1287" t="s">
        <v>1515</v>
      </c>
      <c r="D1153" s="1288"/>
      <c r="E1153" s="1201">
        <v>157304</v>
      </c>
      <c r="F1153" s="1202">
        <v>9</v>
      </c>
      <c r="G1153" s="846">
        <v>9123328.5862349365</v>
      </c>
      <c r="H1153" s="847">
        <v>9256888.3882907256</v>
      </c>
      <c r="I1153" s="846"/>
      <c r="J1153" s="847"/>
      <c r="K1153" s="846"/>
      <c r="L1153" s="847"/>
      <c r="M1153" s="846">
        <v>8080000</v>
      </c>
      <c r="N1153" s="846">
        <v>0</v>
      </c>
      <c r="O1153" s="737">
        <f t="shared" si="143"/>
        <v>8080000</v>
      </c>
      <c r="P1153" s="847">
        <v>8273300</v>
      </c>
      <c r="Q1153" s="847">
        <v>222610</v>
      </c>
      <c r="R1153" s="738">
        <f t="shared" si="146"/>
        <v>8495910</v>
      </c>
      <c r="S1153" s="737">
        <f t="shared" si="147"/>
        <v>17203328.586234935</v>
      </c>
      <c r="T1153" s="739">
        <f t="shared" si="148"/>
        <v>17530188.388290726</v>
      </c>
      <c r="U1153" s="846"/>
      <c r="V1153" s="847"/>
      <c r="W1153" s="846"/>
      <c r="X1153" s="846"/>
      <c r="Y1153" s="740">
        <f t="shared" si="144"/>
        <v>0</v>
      </c>
      <c r="Z1153" s="847"/>
      <c r="AA1153" s="847"/>
      <c r="AB1153" s="741">
        <f t="shared" si="145"/>
        <v>0</v>
      </c>
      <c r="AC1153" s="846"/>
      <c r="AD1153" s="847"/>
      <c r="AE1153" s="846"/>
      <c r="AF1153" s="846"/>
      <c r="AG1153" s="847"/>
      <c r="AH1153" s="847"/>
      <c r="AI1153" s="742">
        <f t="shared" si="149"/>
        <v>17203328.586234935</v>
      </c>
      <c r="AJ1153" s="743">
        <f t="shared" si="150"/>
        <v>17530188.388290726</v>
      </c>
    </row>
    <row r="1154" spans="1:36">
      <c r="A1154" s="1197" t="s">
        <v>150</v>
      </c>
      <c r="B1154" s="1271" t="s">
        <v>264</v>
      </c>
      <c r="C1154" s="1281" t="s">
        <v>1516</v>
      </c>
      <c r="D1154" s="1282"/>
      <c r="E1154" s="1201">
        <v>157331</v>
      </c>
      <c r="F1154" s="1202">
        <v>9</v>
      </c>
      <c r="G1154" s="846">
        <v>7496039.2790999673</v>
      </c>
      <c r="H1154" s="847">
        <v>7144653.665310069</v>
      </c>
      <c r="I1154" s="846"/>
      <c r="J1154" s="847"/>
      <c r="K1154" s="846"/>
      <c r="L1154" s="847"/>
      <c r="M1154" s="846">
        <v>12185000</v>
      </c>
      <c r="N1154" s="846">
        <v>0</v>
      </c>
      <c r="O1154" s="737">
        <f t="shared" si="143"/>
        <v>12185000</v>
      </c>
      <c r="P1154" s="847">
        <v>10471600</v>
      </c>
      <c r="Q1154" s="847">
        <v>278390.40000000002</v>
      </c>
      <c r="R1154" s="738">
        <f t="shared" si="146"/>
        <v>10749990.4</v>
      </c>
      <c r="S1154" s="737">
        <f t="shared" si="147"/>
        <v>19681039.279099967</v>
      </c>
      <c r="T1154" s="739">
        <f t="shared" si="148"/>
        <v>17616253.66531007</v>
      </c>
      <c r="U1154" s="846"/>
      <c r="V1154" s="847"/>
      <c r="W1154" s="846"/>
      <c r="X1154" s="846"/>
      <c r="Y1154" s="740">
        <f t="shared" si="144"/>
        <v>0</v>
      </c>
      <c r="Z1154" s="847"/>
      <c r="AA1154" s="847"/>
      <c r="AB1154" s="741">
        <f t="shared" si="145"/>
        <v>0</v>
      </c>
      <c r="AC1154" s="846"/>
      <c r="AD1154" s="847"/>
      <c r="AE1154" s="846"/>
      <c r="AF1154" s="846"/>
      <c r="AG1154" s="847"/>
      <c r="AH1154" s="847"/>
      <c r="AI1154" s="742">
        <f t="shared" si="149"/>
        <v>19681039.279099967</v>
      </c>
      <c r="AJ1154" s="743">
        <f t="shared" si="150"/>
        <v>17616253.66531007</v>
      </c>
    </row>
    <row r="1155" spans="1:36">
      <c r="A1155" s="1197" t="s">
        <v>150</v>
      </c>
      <c r="B1155" s="1271" t="s">
        <v>264</v>
      </c>
      <c r="C1155" s="1287" t="s">
        <v>1517</v>
      </c>
      <c r="D1155" s="1288"/>
      <c r="E1155" s="1289">
        <v>247940</v>
      </c>
      <c r="F1155" s="1290">
        <v>9</v>
      </c>
      <c r="G1155" s="846">
        <v>7127354.5624233894</v>
      </c>
      <c r="H1155" s="847">
        <v>6761947.0345991831</v>
      </c>
      <c r="I1155" s="846"/>
      <c r="J1155" s="847"/>
      <c r="K1155" s="846"/>
      <c r="L1155" s="847"/>
      <c r="M1155" s="846">
        <v>11084700</v>
      </c>
      <c r="N1155" s="846">
        <v>0</v>
      </c>
      <c r="O1155" s="737">
        <f t="shared" si="143"/>
        <v>11084700</v>
      </c>
      <c r="P1155" s="847">
        <v>9907900</v>
      </c>
      <c r="Q1155" s="847">
        <v>263657.8</v>
      </c>
      <c r="R1155" s="738">
        <f t="shared" si="146"/>
        <v>10171557.800000001</v>
      </c>
      <c r="S1155" s="737">
        <f t="shared" si="147"/>
        <v>18212054.562423389</v>
      </c>
      <c r="T1155" s="739">
        <f t="shared" si="148"/>
        <v>16669847.034599183</v>
      </c>
      <c r="U1155" s="846"/>
      <c r="V1155" s="847"/>
      <c r="W1155" s="846"/>
      <c r="X1155" s="846"/>
      <c r="Y1155" s="740">
        <f t="shared" si="144"/>
        <v>0</v>
      </c>
      <c r="Z1155" s="847"/>
      <c r="AA1155" s="847"/>
      <c r="AB1155" s="741">
        <f t="shared" si="145"/>
        <v>0</v>
      </c>
      <c r="AC1155" s="846"/>
      <c r="AD1155" s="847"/>
      <c r="AE1155" s="846"/>
      <c r="AF1155" s="846"/>
      <c r="AG1155" s="847"/>
      <c r="AH1155" s="847"/>
      <c r="AI1155" s="742">
        <f t="shared" si="149"/>
        <v>18212054.562423389</v>
      </c>
      <c r="AJ1155" s="743">
        <f t="shared" si="150"/>
        <v>16669847.034599183</v>
      </c>
    </row>
    <row r="1156" spans="1:36">
      <c r="A1156" s="1197" t="s">
        <v>150</v>
      </c>
      <c r="B1156" s="1271" t="s">
        <v>264</v>
      </c>
      <c r="C1156" s="1291" t="s">
        <v>1518</v>
      </c>
      <c r="D1156" s="1280"/>
      <c r="E1156" s="1289">
        <v>157711</v>
      </c>
      <c r="F1156" s="1290">
        <v>9</v>
      </c>
      <c r="G1156" s="846">
        <v>11760598.263529012</v>
      </c>
      <c r="H1156" s="847">
        <v>11055358.636639232</v>
      </c>
      <c r="I1156" s="846"/>
      <c r="J1156" s="847"/>
      <c r="K1156" s="846"/>
      <c r="L1156" s="847"/>
      <c r="M1156" s="846">
        <v>19188700</v>
      </c>
      <c r="N1156" s="846">
        <v>0</v>
      </c>
      <c r="O1156" s="737">
        <f t="shared" si="143"/>
        <v>19188700</v>
      </c>
      <c r="P1156" s="847">
        <v>19164000</v>
      </c>
      <c r="Q1156" s="847">
        <v>514730.4</v>
      </c>
      <c r="R1156" s="738">
        <f t="shared" si="146"/>
        <v>19678730.399999999</v>
      </c>
      <c r="S1156" s="737">
        <f t="shared" si="147"/>
        <v>30949298.26352901</v>
      </c>
      <c r="T1156" s="739">
        <f t="shared" si="148"/>
        <v>30219358.63663923</v>
      </c>
      <c r="U1156" s="846"/>
      <c r="V1156" s="847"/>
      <c r="W1156" s="846"/>
      <c r="X1156" s="846"/>
      <c r="Y1156" s="740">
        <f t="shared" si="144"/>
        <v>0</v>
      </c>
      <c r="Z1156" s="847"/>
      <c r="AA1156" s="847"/>
      <c r="AB1156" s="741">
        <f t="shared" si="145"/>
        <v>0</v>
      </c>
      <c r="AC1156" s="846"/>
      <c r="AD1156" s="847"/>
      <c r="AE1156" s="846"/>
      <c r="AF1156" s="846"/>
      <c r="AG1156" s="847"/>
      <c r="AH1156" s="847"/>
      <c r="AI1156" s="742">
        <f t="shared" si="149"/>
        <v>30949298.26352901</v>
      </c>
      <c r="AJ1156" s="743">
        <f t="shared" si="150"/>
        <v>30219358.63663923</v>
      </c>
    </row>
    <row r="1157" spans="1:36">
      <c r="A1157" s="1197" t="s">
        <v>150</v>
      </c>
      <c r="B1157" s="1271" t="s">
        <v>264</v>
      </c>
      <c r="C1157" s="1279" t="s">
        <v>1519</v>
      </c>
      <c r="D1157" s="1280"/>
      <c r="E1157" s="1201">
        <v>157739</v>
      </c>
      <c r="F1157" s="1202">
        <v>9</v>
      </c>
      <c r="G1157" s="846">
        <v>14464624.62274112</v>
      </c>
      <c r="H1157" s="847">
        <v>12065116.281390307</v>
      </c>
      <c r="I1157" s="846"/>
      <c r="J1157" s="847"/>
      <c r="K1157" s="846"/>
      <c r="L1157" s="847"/>
      <c r="M1157" s="846">
        <v>8594900</v>
      </c>
      <c r="N1157" s="846">
        <v>0</v>
      </c>
      <c r="O1157" s="737">
        <f t="shared" si="143"/>
        <v>8594900</v>
      </c>
      <c r="P1157" s="847">
        <v>8625400</v>
      </c>
      <c r="Q1157" s="847">
        <v>230049.59999999998</v>
      </c>
      <c r="R1157" s="738">
        <f t="shared" si="146"/>
        <v>8855449.5999999996</v>
      </c>
      <c r="S1157" s="737">
        <f t="shared" si="147"/>
        <v>23059524.622741118</v>
      </c>
      <c r="T1157" s="739">
        <f t="shared" si="148"/>
        <v>20690516.281390309</v>
      </c>
      <c r="U1157" s="846"/>
      <c r="V1157" s="847"/>
      <c r="W1157" s="846"/>
      <c r="X1157" s="846"/>
      <c r="Y1157" s="740">
        <f t="shared" si="144"/>
        <v>0</v>
      </c>
      <c r="Z1157" s="847"/>
      <c r="AA1157" s="847"/>
      <c r="AB1157" s="741">
        <f t="shared" si="145"/>
        <v>0</v>
      </c>
      <c r="AC1157" s="846"/>
      <c r="AD1157" s="847"/>
      <c r="AE1157" s="846"/>
      <c r="AF1157" s="846"/>
      <c r="AG1157" s="847"/>
      <c r="AH1157" s="847"/>
      <c r="AI1157" s="742">
        <f t="shared" si="149"/>
        <v>23059524.622741118</v>
      </c>
      <c r="AJ1157" s="743">
        <f t="shared" si="150"/>
        <v>20690516.281390309</v>
      </c>
    </row>
    <row r="1158" spans="1:36">
      <c r="A1158" s="1197" t="s">
        <v>150</v>
      </c>
      <c r="B1158" s="1271" t="s">
        <v>264</v>
      </c>
      <c r="C1158" s="1281" t="s">
        <v>1520</v>
      </c>
      <c r="D1158" s="1282"/>
      <c r="E1158" s="1283">
        <v>157483</v>
      </c>
      <c r="F1158" s="1209">
        <v>9</v>
      </c>
      <c r="G1158" s="846">
        <v>10652386.578152116</v>
      </c>
      <c r="H1158" s="847">
        <v>10224109.79809548</v>
      </c>
      <c r="I1158" s="846"/>
      <c r="J1158" s="847"/>
      <c r="K1158" s="846"/>
      <c r="L1158" s="847"/>
      <c r="M1158" s="846">
        <v>15820200</v>
      </c>
      <c r="N1158" s="846">
        <v>0</v>
      </c>
      <c r="O1158" s="737">
        <f t="shared" si="143"/>
        <v>15820200</v>
      </c>
      <c r="P1158" s="847">
        <v>16257900</v>
      </c>
      <c r="Q1158" s="847">
        <v>428190.68</v>
      </c>
      <c r="R1158" s="738">
        <f t="shared" si="146"/>
        <v>16686090.68</v>
      </c>
      <c r="S1158" s="737">
        <f t="shared" si="147"/>
        <v>26472586.578152116</v>
      </c>
      <c r="T1158" s="739">
        <f t="shared" si="148"/>
        <v>26482009.79809548</v>
      </c>
      <c r="U1158" s="846"/>
      <c r="V1158" s="847"/>
      <c r="W1158" s="846"/>
      <c r="X1158" s="846"/>
      <c r="Y1158" s="740">
        <f t="shared" si="144"/>
        <v>0</v>
      </c>
      <c r="Z1158" s="847"/>
      <c r="AA1158" s="847"/>
      <c r="AB1158" s="741">
        <f t="shared" si="145"/>
        <v>0</v>
      </c>
      <c r="AC1158" s="846"/>
      <c r="AD1158" s="847"/>
      <c r="AE1158" s="846"/>
      <c r="AF1158" s="846"/>
      <c r="AG1158" s="847"/>
      <c r="AH1158" s="847"/>
      <c r="AI1158" s="742">
        <f t="shared" si="149"/>
        <v>26472586.578152116</v>
      </c>
      <c r="AJ1158" s="743">
        <f t="shared" si="150"/>
        <v>26482009.79809548</v>
      </c>
    </row>
    <row r="1159" spans="1:36">
      <c r="A1159" s="1197" t="s">
        <v>150</v>
      </c>
      <c r="B1159" s="1271" t="s">
        <v>264</v>
      </c>
      <c r="C1159" s="1271" t="s">
        <v>1521</v>
      </c>
      <c r="D1159" s="1277"/>
      <c r="E1159" s="1201">
        <v>156851</v>
      </c>
      <c r="F1159" s="1202">
        <v>10</v>
      </c>
      <c r="G1159" s="846">
        <v>4982764.4273456559</v>
      </c>
      <c r="H1159" s="847">
        <v>4921657.454140529</v>
      </c>
      <c r="I1159" s="846"/>
      <c r="J1159" s="847"/>
      <c r="K1159" s="846"/>
      <c r="L1159" s="847"/>
      <c r="M1159" s="846">
        <v>5074000</v>
      </c>
      <c r="N1159" s="846">
        <v>0</v>
      </c>
      <c r="O1159" s="737">
        <f t="shared" si="143"/>
        <v>5074000</v>
      </c>
      <c r="P1159" s="847">
        <v>4561000</v>
      </c>
      <c r="Q1159" s="847">
        <v>121266.8</v>
      </c>
      <c r="R1159" s="738">
        <f t="shared" si="146"/>
        <v>4682266.8</v>
      </c>
      <c r="S1159" s="737">
        <f t="shared" si="147"/>
        <v>10056764.427345656</v>
      </c>
      <c r="T1159" s="739">
        <f t="shared" si="148"/>
        <v>9482657.454140529</v>
      </c>
      <c r="U1159" s="846"/>
      <c r="V1159" s="847"/>
      <c r="W1159" s="846"/>
      <c r="X1159" s="846"/>
      <c r="Y1159" s="740">
        <f t="shared" si="144"/>
        <v>0</v>
      </c>
      <c r="Z1159" s="847"/>
      <c r="AA1159" s="847"/>
      <c r="AB1159" s="741">
        <f t="shared" si="145"/>
        <v>0</v>
      </c>
      <c r="AC1159" s="846"/>
      <c r="AD1159" s="847"/>
      <c r="AE1159" s="846"/>
      <c r="AF1159" s="846"/>
      <c r="AG1159" s="847"/>
      <c r="AH1159" s="847"/>
      <c r="AI1159" s="742">
        <f t="shared" si="149"/>
        <v>10056764.427345656</v>
      </c>
      <c r="AJ1159" s="743">
        <f t="shared" si="150"/>
        <v>9482657.454140529</v>
      </c>
    </row>
    <row r="1160" spans="1:36">
      <c r="A1160" s="1197" t="s">
        <v>150</v>
      </c>
      <c r="B1160" s="1271" t="s">
        <v>264</v>
      </c>
      <c r="C1160" s="1292" t="s">
        <v>1522</v>
      </c>
      <c r="D1160" s="1293"/>
      <c r="E1160" s="1283">
        <v>157438</v>
      </c>
      <c r="F1160" s="1202">
        <v>12</v>
      </c>
      <c r="G1160" s="846">
        <v>7830457.2579098754</v>
      </c>
      <c r="H1160" s="847">
        <v>7460807.8160628024</v>
      </c>
      <c r="I1160" s="846"/>
      <c r="J1160" s="847"/>
      <c r="K1160" s="846"/>
      <c r="L1160" s="847"/>
      <c r="M1160" s="846">
        <v>9902900</v>
      </c>
      <c r="N1160" s="846">
        <v>0</v>
      </c>
      <c r="O1160" s="737">
        <f t="shared" si="143"/>
        <v>9902900</v>
      </c>
      <c r="P1160" s="847">
        <v>10282700</v>
      </c>
      <c r="Q1160" s="847">
        <v>276186</v>
      </c>
      <c r="R1160" s="738">
        <f t="shared" si="146"/>
        <v>10558886</v>
      </c>
      <c r="S1160" s="737">
        <f t="shared" si="147"/>
        <v>17733357.257909875</v>
      </c>
      <c r="T1160" s="739">
        <f t="shared" si="148"/>
        <v>17743507.816062801</v>
      </c>
      <c r="U1160" s="846"/>
      <c r="V1160" s="847"/>
      <c r="W1160" s="846"/>
      <c r="X1160" s="846"/>
      <c r="Y1160" s="740">
        <f t="shared" si="144"/>
        <v>0</v>
      </c>
      <c r="Z1160" s="847"/>
      <c r="AA1160" s="847"/>
      <c r="AB1160" s="741">
        <f t="shared" si="145"/>
        <v>0</v>
      </c>
      <c r="AC1160" s="846"/>
      <c r="AD1160" s="847"/>
      <c r="AE1160" s="846"/>
      <c r="AF1160" s="846"/>
      <c r="AG1160" s="847"/>
      <c r="AH1160" s="847"/>
      <c r="AI1160" s="742">
        <f t="shared" si="149"/>
        <v>17733357.257909875</v>
      </c>
      <c r="AJ1160" s="743">
        <f t="shared" si="150"/>
        <v>17743507.816062801</v>
      </c>
    </row>
    <row r="1161" spans="1:36">
      <c r="A1161" s="1197" t="s">
        <v>150</v>
      </c>
      <c r="B1161" s="1271" t="s">
        <v>264</v>
      </c>
      <c r="C1161" s="1279" t="s">
        <v>1523</v>
      </c>
      <c r="D1161" s="1277"/>
      <c r="E1161" s="1201">
        <v>156338</v>
      </c>
      <c r="F1161" s="1202">
        <v>12</v>
      </c>
      <c r="G1161" s="846">
        <v>7409864.7790574897</v>
      </c>
      <c r="H1161" s="847">
        <v>7017522.8956952132</v>
      </c>
      <c r="I1161" s="846"/>
      <c r="J1161" s="847"/>
      <c r="K1161" s="846"/>
      <c r="L1161" s="847"/>
      <c r="M1161" s="846">
        <v>9953100</v>
      </c>
      <c r="N1161" s="846">
        <v>0</v>
      </c>
      <c r="O1161" s="737">
        <f t="shared" si="143"/>
        <v>9953100</v>
      </c>
      <c r="P1161" s="847">
        <v>11322500</v>
      </c>
      <c r="Q1161" s="847">
        <v>298462</v>
      </c>
      <c r="R1161" s="738">
        <f t="shared" si="146"/>
        <v>11620962</v>
      </c>
      <c r="S1161" s="737">
        <f t="shared" si="147"/>
        <v>17362964.779057488</v>
      </c>
      <c r="T1161" s="739">
        <f t="shared" si="148"/>
        <v>18340022.895695213</v>
      </c>
      <c r="U1161" s="846"/>
      <c r="V1161" s="847"/>
      <c r="W1161" s="846"/>
      <c r="X1161" s="846"/>
      <c r="Y1161" s="740">
        <f t="shared" si="144"/>
        <v>0</v>
      </c>
      <c r="Z1161" s="847"/>
      <c r="AA1161" s="847"/>
      <c r="AB1161" s="741">
        <f t="shared" si="145"/>
        <v>0</v>
      </c>
      <c r="AC1161" s="846"/>
      <c r="AD1161" s="847"/>
      <c r="AE1161" s="846"/>
      <c r="AF1161" s="846"/>
      <c r="AG1161" s="847"/>
      <c r="AH1161" s="847"/>
      <c r="AI1161" s="742">
        <f t="shared" si="149"/>
        <v>17362964.779057488</v>
      </c>
      <c r="AJ1161" s="743">
        <f t="shared" si="150"/>
        <v>18340022.895695213</v>
      </c>
    </row>
    <row r="1162" spans="1:36">
      <c r="A1162" s="1197" t="s">
        <v>150</v>
      </c>
      <c r="B1162" s="1271" t="s">
        <v>274</v>
      </c>
      <c r="C1162" s="1294" t="s">
        <v>924</v>
      </c>
      <c r="D1162" s="1277"/>
      <c r="E1162" s="1201"/>
      <c r="F1162" s="1202"/>
      <c r="G1162" s="846"/>
      <c r="H1162" s="847"/>
      <c r="I1162" s="846"/>
      <c r="J1162" s="847"/>
      <c r="K1162" s="846"/>
      <c r="L1162" s="847"/>
      <c r="M1162" s="846"/>
      <c r="N1162" s="846"/>
      <c r="O1162" s="737">
        <f t="shared" ref="O1162:O1225" si="151">SUM(M1162:N1162)</f>
        <v>0</v>
      </c>
      <c r="P1162" s="847"/>
      <c r="Q1162" s="847"/>
      <c r="R1162" s="738">
        <f t="shared" si="146"/>
        <v>0</v>
      </c>
      <c r="S1162" s="737">
        <f t="shared" si="147"/>
        <v>0</v>
      </c>
      <c r="T1162" s="739">
        <f t="shared" si="148"/>
        <v>0</v>
      </c>
      <c r="U1162" s="846"/>
      <c r="V1162" s="847"/>
      <c r="W1162" s="846"/>
      <c r="X1162" s="846"/>
      <c r="Y1162" s="740">
        <f t="shared" ref="Y1162:Y1225" si="152">SUM(W1162:X1162)</f>
        <v>0</v>
      </c>
      <c r="Z1162" s="847"/>
      <c r="AA1162" s="847"/>
      <c r="AB1162" s="741">
        <f t="shared" ref="AB1162:AB1225" si="153">SUM(Z1162:AA1162)</f>
        <v>0</v>
      </c>
      <c r="AC1162" s="846"/>
      <c r="AD1162" s="847"/>
      <c r="AE1162" s="846"/>
      <c r="AF1162" s="846"/>
      <c r="AG1162" s="847"/>
      <c r="AH1162" s="847"/>
      <c r="AI1162" s="742">
        <f t="shared" si="149"/>
        <v>0</v>
      </c>
      <c r="AJ1162" s="743">
        <f t="shared" si="150"/>
        <v>0</v>
      </c>
    </row>
    <row r="1163" spans="1:36">
      <c r="A1163" s="1197" t="s">
        <v>150</v>
      </c>
      <c r="B1163" s="1271" t="s">
        <v>274</v>
      </c>
      <c r="C1163" s="1216" t="s">
        <v>453</v>
      </c>
      <c r="D1163" s="1217"/>
      <c r="E1163" s="1201"/>
      <c r="F1163" s="1202"/>
      <c r="G1163" s="846"/>
      <c r="H1163" s="847"/>
      <c r="I1163" s="846"/>
      <c r="J1163" s="847"/>
      <c r="K1163" s="846"/>
      <c r="L1163" s="847"/>
      <c r="M1163" s="846"/>
      <c r="N1163" s="846"/>
      <c r="O1163" s="737">
        <f t="shared" si="151"/>
        <v>0</v>
      </c>
      <c r="P1163" s="847"/>
      <c r="Q1163" s="847"/>
      <c r="R1163" s="738">
        <f t="shared" ref="R1163:R1226" si="154">SUM(P1163:Q1163)</f>
        <v>0</v>
      </c>
      <c r="S1163" s="737">
        <f t="shared" ref="S1163:S1226" si="155">SUM(G1163,I1163,K1163,M1163)</f>
        <v>0</v>
      </c>
      <c r="T1163" s="739">
        <f t="shared" ref="T1163:T1226" si="156">SUM(H1163,J1163,L1163,P1163)</f>
        <v>0</v>
      </c>
      <c r="U1163" s="846"/>
      <c r="V1163" s="847"/>
      <c r="W1163" s="846"/>
      <c r="X1163" s="846"/>
      <c r="Y1163" s="740">
        <f t="shared" si="152"/>
        <v>0</v>
      </c>
      <c r="Z1163" s="847"/>
      <c r="AA1163" s="847"/>
      <c r="AB1163" s="741">
        <f t="shared" si="153"/>
        <v>0</v>
      </c>
      <c r="AC1163" s="846"/>
      <c r="AD1163" s="847"/>
      <c r="AE1163" s="846"/>
      <c r="AF1163" s="846"/>
      <c r="AG1163" s="847"/>
      <c r="AH1163" s="847"/>
      <c r="AI1163" s="742">
        <f t="shared" ref="AI1163:AI1226" si="157">SUM(S1163,U1163,W1163,AC1163,AE1163)</f>
        <v>0</v>
      </c>
      <c r="AJ1163" s="743">
        <f t="shared" ref="AJ1163:AJ1226" si="158">SUM(T1163,V1163,Z1163,AD1163,AG1163)</f>
        <v>0</v>
      </c>
    </row>
    <row r="1164" spans="1:36">
      <c r="A1164" s="1197" t="s">
        <v>150</v>
      </c>
      <c r="B1164" s="1271" t="s">
        <v>274</v>
      </c>
      <c r="C1164" s="1275" t="s">
        <v>1524</v>
      </c>
      <c r="D1164" s="1217"/>
      <c r="E1164" s="1201"/>
      <c r="F1164" s="1202"/>
      <c r="G1164" s="846"/>
      <c r="H1164" s="847"/>
      <c r="I1164" s="846">
        <v>5054800</v>
      </c>
      <c r="J1164" s="847">
        <v>4979000</v>
      </c>
      <c r="K1164" s="846"/>
      <c r="L1164" s="847"/>
      <c r="M1164" s="846"/>
      <c r="N1164" s="846"/>
      <c r="O1164" s="737">
        <f t="shared" si="151"/>
        <v>0</v>
      </c>
      <c r="P1164" s="847"/>
      <c r="Q1164" s="847"/>
      <c r="R1164" s="738">
        <f t="shared" si="154"/>
        <v>0</v>
      </c>
      <c r="S1164" s="737">
        <f t="shared" si="155"/>
        <v>5054800</v>
      </c>
      <c r="T1164" s="739">
        <f t="shared" si="156"/>
        <v>4979000</v>
      </c>
      <c r="U1164" s="846"/>
      <c r="V1164" s="847"/>
      <c r="W1164" s="846"/>
      <c r="X1164" s="846"/>
      <c r="Y1164" s="740">
        <f t="shared" si="152"/>
        <v>0</v>
      </c>
      <c r="Z1164" s="847"/>
      <c r="AA1164" s="847"/>
      <c r="AB1164" s="741">
        <f t="shared" si="153"/>
        <v>0</v>
      </c>
      <c r="AC1164" s="846"/>
      <c r="AD1164" s="847"/>
      <c r="AE1164" s="846"/>
      <c r="AF1164" s="846"/>
      <c r="AG1164" s="847"/>
      <c r="AH1164" s="847"/>
      <c r="AI1164" s="742">
        <f t="shared" si="157"/>
        <v>5054800</v>
      </c>
      <c r="AJ1164" s="743">
        <f t="shared" si="158"/>
        <v>4979000</v>
      </c>
    </row>
    <row r="1165" spans="1:36">
      <c r="A1165" s="1197" t="s">
        <v>150</v>
      </c>
      <c r="B1165" s="1271" t="s">
        <v>274</v>
      </c>
      <c r="C1165" s="1275" t="s">
        <v>1525</v>
      </c>
      <c r="D1165" s="1217"/>
      <c r="E1165" s="1201"/>
      <c r="F1165" s="1202"/>
      <c r="G1165" s="846"/>
      <c r="H1165" s="847"/>
      <c r="I1165" s="846">
        <v>2506200</v>
      </c>
      <c r="J1165" s="847">
        <v>2468600</v>
      </c>
      <c r="K1165" s="846"/>
      <c r="L1165" s="847"/>
      <c r="M1165" s="846"/>
      <c r="N1165" s="846"/>
      <c r="O1165" s="737">
        <f t="shared" si="151"/>
        <v>0</v>
      </c>
      <c r="P1165" s="847"/>
      <c r="Q1165" s="847"/>
      <c r="R1165" s="738">
        <f t="shared" si="154"/>
        <v>0</v>
      </c>
      <c r="S1165" s="737">
        <f t="shared" si="155"/>
        <v>2506200</v>
      </c>
      <c r="T1165" s="739">
        <f t="shared" si="156"/>
        <v>2468600</v>
      </c>
      <c r="U1165" s="846"/>
      <c r="V1165" s="847"/>
      <c r="W1165" s="846"/>
      <c r="X1165" s="846"/>
      <c r="Y1165" s="740">
        <f t="shared" si="152"/>
        <v>0</v>
      </c>
      <c r="Z1165" s="847"/>
      <c r="AA1165" s="847"/>
      <c r="AB1165" s="741">
        <f t="shared" si="153"/>
        <v>0</v>
      </c>
      <c r="AC1165" s="846"/>
      <c r="AD1165" s="847"/>
      <c r="AE1165" s="846"/>
      <c r="AF1165" s="846"/>
      <c r="AG1165" s="847"/>
      <c r="AH1165" s="847"/>
      <c r="AI1165" s="742">
        <f t="shared" si="157"/>
        <v>2506200</v>
      </c>
      <c r="AJ1165" s="743">
        <f t="shared" si="158"/>
        <v>2468600</v>
      </c>
    </row>
    <row r="1166" spans="1:36">
      <c r="A1166" s="1197" t="s">
        <v>150</v>
      </c>
      <c r="B1166" s="1271" t="s">
        <v>274</v>
      </c>
      <c r="C1166" s="1275" t="s">
        <v>1526</v>
      </c>
      <c r="D1166" s="1217"/>
      <c r="E1166" s="1201"/>
      <c r="F1166" s="1202"/>
      <c r="G1166" s="846"/>
      <c r="H1166" s="847"/>
      <c r="I1166" s="846">
        <v>842600</v>
      </c>
      <c r="J1166" s="847">
        <v>830000</v>
      </c>
      <c r="K1166" s="846"/>
      <c r="L1166" s="847"/>
      <c r="M1166" s="846"/>
      <c r="N1166" s="846"/>
      <c r="O1166" s="737">
        <f t="shared" si="151"/>
        <v>0</v>
      </c>
      <c r="P1166" s="847"/>
      <c r="Q1166" s="847"/>
      <c r="R1166" s="738">
        <f t="shared" si="154"/>
        <v>0</v>
      </c>
      <c r="S1166" s="737">
        <f t="shared" si="155"/>
        <v>842600</v>
      </c>
      <c r="T1166" s="739">
        <f t="shared" si="156"/>
        <v>830000</v>
      </c>
      <c r="U1166" s="846"/>
      <c r="V1166" s="847"/>
      <c r="W1166" s="846"/>
      <c r="X1166" s="846"/>
      <c r="Y1166" s="740">
        <f t="shared" si="152"/>
        <v>0</v>
      </c>
      <c r="Z1166" s="847"/>
      <c r="AA1166" s="847"/>
      <c r="AB1166" s="741">
        <f t="shared" si="153"/>
        <v>0</v>
      </c>
      <c r="AC1166" s="846"/>
      <c r="AD1166" s="847"/>
      <c r="AE1166" s="846"/>
      <c r="AF1166" s="846"/>
      <c r="AG1166" s="847"/>
      <c r="AH1166" s="847"/>
      <c r="AI1166" s="742">
        <f t="shared" si="157"/>
        <v>842600</v>
      </c>
      <c r="AJ1166" s="743">
        <f t="shared" si="158"/>
        <v>830000</v>
      </c>
    </row>
    <row r="1167" spans="1:36">
      <c r="A1167" s="1197" t="s">
        <v>150</v>
      </c>
      <c r="B1167" s="1271" t="s">
        <v>274</v>
      </c>
      <c r="C1167" s="1275" t="s">
        <v>1527</v>
      </c>
      <c r="D1167" s="1217"/>
      <c r="E1167" s="1201"/>
      <c r="F1167" s="1202"/>
      <c r="G1167" s="846"/>
      <c r="H1167" s="847"/>
      <c r="I1167" s="846">
        <v>2025800</v>
      </c>
      <c r="J1167" s="847">
        <v>2088600</v>
      </c>
      <c r="K1167" s="846"/>
      <c r="L1167" s="847"/>
      <c r="M1167" s="846"/>
      <c r="N1167" s="846"/>
      <c r="O1167" s="737">
        <f t="shared" si="151"/>
        <v>0</v>
      </c>
      <c r="P1167" s="847"/>
      <c r="Q1167" s="847"/>
      <c r="R1167" s="738">
        <f t="shared" si="154"/>
        <v>0</v>
      </c>
      <c r="S1167" s="737">
        <f t="shared" si="155"/>
        <v>2025800</v>
      </c>
      <c r="T1167" s="739">
        <f t="shared" si="156"/>
        <v>2088600</v>
      </c>
      <c r="U1167" s="846"/>
      <c r="V1167" s="847"/>
      <c r="W1167" s="846"/>
      <c r="X1167" s="846"/>
      <c r="Y1167" s="740">
        <f t="shared" si="152"/>
        <v>0</v>
      </c>
      <c r="Z1167" s="847"/>
      <c r="AA1167" s="847"/>
      <c r="AB1167" s="741">
        <f t="shared" si="153"/>
        <v>0</v>
      </c>
      <c r="AC1167" s="846"/>
      <c r="AD1167" s="847"/>
      <c r="AE1167" s="846"/>
      <c r="AF1167" s="846"/>
      <c r="AG1167" s="847"/>
      <c r="AH1167" s="847"/>
      <c r="AI1167" s="742">
        <f t="shared" si="157"/>
        <v>2025800</v>
      </c>
      <c r="AJ1167" s="743">
        <f t="shared" si="158"/>
        <v>2088600</v>
      </c>
    </row>
    <row r="1168" spans="1:36">
      <c r="A1168" s="1197" t="s">
        <v>150</v>
      </c>
      <c r="B1168" s="1271" t="s">
        <v>274</v>
      </c>
      <c r="C1168" s="1275" t="s">
        <v>1528</v>
      </c>
      <c r="D1168" s="1217"/>
      <c r="E1168" s="1201"/>
      <c r="F1168" s="1202"/>
      <c r="G1168" s="846"/>
      <c r="H1168" s="847"/>
      <c r="I1168" s="846">
        <v>2105400</v>
      </c>
      <c r="J1168" s="847">
        <v>2010200</v>
      </c>
      <c r="K1168" s="846"/>
      <c r="L1168" s="847"/>
      <c r="M1168" s="846"/>
      <c r="N1168" s="846"/>
      <c r="O1168" s="737">
        <f t="shared" si="151"/>
        <v>0</v>
      </c>
      <c r="P1168" s="847"/>
      <c r="Q1168" s="847"/>
      <c r="R1168" s="738">
        <f t="shared" si="154"/>
        <v>0</v>
      </c>
      <c r="S1168" s="737">
        <f t="shared" si="155"/>
        <v>2105400</v>
      </c>
      <c r="T1168" s="739">
        <f t="shared" si="156"/>
        <v>2010200</v>
      </c>
      <c r="U1168" s="846"/>
      <c r="V1168" s="847"/>
      <c r="W1168" s="846"/>
      <c r="X1168" s="846"/>
      <c r="Y1168" s="740">
        <f t="shared" si="152"/>
        <v>0</v>
      </c>
      <c r="Z1168" s="847"/>
      <c r="AA1168" s="847"/>
      <c r="AB1168" s="741">
        <f t="shared" si="153"/>
        <v>0</v>
      </c>
      <c r="AC1168" s="846"/>
      <c r="AD1168" s="847"/>
      <c r="AE1168" s="846"/>
      <c r="AF1168" s="846"/>
      <c r="AG1168" s="847"/>
      <c r="AH1168" s="847"/>
      <c r="AI1168" s="742">
        <f t="shared" si="157"/>
        <v>2105400</v>
      </c>
      <c r="AJ1168" s="743">
        <f t="shared" si="158"/>
        <v>2010200</v>
      </c>
    </row>
    <row r="1169" spans="1:36">
      <c r="A1169" s="1197" t="s">
        <v>150</v>
      </c>
      <c r="B1169" s="1271" t="s">
        <v>303</v>
      </c>
      <c r="C1169" s="1294" t="s">
        <v>563</v>
      </c>
      <c r="D1169" s="1277"/>
      <c r="E1169" s="1201"/>
      <c r="F1169" s="1202"/>
      <c r="G1169" s="846"/>
      <c r="H1169" s="847"/>
      <c r="I1169" s="846"/>
      <c r="J1169" s="847"/>
      <c r="K1169" s="846"/>
      <c r="L1169" s="847"/>
      <c r="M1169" s="846"/>
      <c r="N1169" s="846"/>
      <c r="O1169" s="737">
        <f t="shared" si="151"/>
        <v>0</v>
      </c>
      <c r="P1169" s="847"/>
      <c r="Q1169" s="847"/>
      <c r="R1169" s="738">
        <f t="shared" si="154"/>
        <v>0</v>
      </c>
      <c r="S1169" s="737">
        <f t="shared" si="155"/>
        <v>0</v>
      </c>
      <c r="T1169" s="739">
        <f t="shared" si="156"/>
        <v>0</v>
      </c>
      <c r="U1169" s="846"/>
      <c r="V1169" s="847"/>
      <c r="W1169" s="846"/>
      <c r="X1169" s="846"/>
      <c r="Y1169" s="740">
        <f t="shared" si="152"/>
        <v>0</v>
      </c>
      <c r="Z1169" s="847"/>
      <c r="AA1169" s="847"/>
      <c r="AB1169" s="741">
        <f t="shared" si="153"/>
        <v>0</v>
      </c>
      <c r="AC1169" s="846"/>
      <c r="AD1169" s="847"/>
      <c r="AE1169" s="846"/>
      <c r="AF1169" s="846"/>
      <c r="AG1169" s="847"/>
      <c r="AH1169" s="847"/>
      <c r="AI1169" s="742">
        <f t="shared" si="157"/>
        <v>0</v>
      </c>
      <c r="AJ1169" s="743">
        <f t="shared" si="158"/>
        <v>0</v>
      </c>
    </row>
    <row r="1170" spans="1:36">
      <c r="A1170" s="1197" t="s">
        <v>150</v>
      </c>
      <c r="B1170" s="1271" t="s">
        <v>303</v>
      </c>
      <c r="C1170" s="1275" t="s">
        <v>1529</v>
      </c>
      <c r="D1170" s="1217"/>
      <c r="E1170" s="1201"/>
      <c r="F1170" s="1202"/>
      <c r="G1170" s="846"/>
      <c r="H1170" s="847"/>
      <c r="I1170" s="846">
        <v>265100</v>
      </c>
      <c r="J1170" s="847">
        <v>251900</v>
      </c>
      <c r="K1170" s="846"/>
      <c r="L1170" s="847"/>
      <c r="M1170" s="846"/>
      <c r="N1170" s="846"/>
      <c r="O1170" s="737">
        <f t="shared" si="151"/>
        <v>0</v>
      </c>
      <c r="P1170" s="847"/>
      <c r="Q1170" s="847"/>
      <c r="R1170" s="738">
        <f t="shared" si="154"/>
        <v>0</v>
      </c>
      <c r="S1170" s="737">
        <f t="shared" si="155"/>
        <v>265100</v>
      </c>
      <c r="T1170" s="739">
        <f t="shared" si="156"/>
        <v>251900</v>
      </c>
      <c r="U1170" s="846"/>
      <c r="V1170" s="847"/>
      <c r="W1170" s="846"/>
      <c r="X1170" s="846"/>
      <c r="Y1170" s="740">
        <f t="shared" si="152"/>
        <v>0</v>
      </c>
      <c r="Z1170" s="847"/>
      <c r="AA1170" s="847"/>
      <c r="AB1170" s="741">
        <f t="shared" si="153"/>
        <v>0</v>
      </c>
      <c r="AC1170" s="846"/>
      <c r="AD1170" s="847"/>
      <c r="AE1170" s="846"/>
      <c r="AF1170" s="846"/>
      <c r="AG1170" s="847"/>
      <c r="AH1170" s="847"/>
      <c r="AI1170" s="742">
        <f t="shared" si="157"/>
        <v>265100</v>
      </c>
      <c r="AJ1170" s="743">
        <f t="shared" si="158"/>
        <v>251900</v>
      </c>
    </row>
    <row r="1171" spans="1:36">
      <c r="A1171" s="1197" t="s">
        <v>150</v>
      </c>
      <c r="B1171" s="1271" t="s">
        <v>303</v>
      </c>
      <c r="C1171" s="1275" t="s">
        <v>1530</v>
      </c>
      <c r="D1171" s="1217"/>
      <c r="E1171" s="1201"/>
      <c r="F1171" s="1202"/>
      <c r="G1171" s="846"/>
      <c r="H1171" s="847"/>
      <c r="I1171" s="846">
        <v>185200</v>
      </c>
      <c r="J1171" s="847">
        <v>176000</v>
      </c>
      <c r="K1171" s="846"/>
      <c r="L1171" s="847"/>
      <c r="M1171" s="846"/>
      <c r="N1171" s="846"/>
      <c r="O1171" s="737">
        <f t="shared" si="151"/>
        <v>0</v>
      </c>
      <c r="P1171" s="847"/>
      <c r="Q1171" s="847"/>
      <c r="R1171" s="738">
        <f t="shared" si="154"/>
        <v>0</v>
      </c>
      <c r="S1171" s="737">
        <f t="shared" si="155"/>
        <v>185200</v>
      </c>
      <c r="T1171" s="739">
        <f t="shared" si="156"/>
        <v>176000</v>
      </c>
      <c r="U1171" s="846"/>
      <c r="V1171" s="847"/>
      <c r="W1171" s="846"/>
      <c r="X1171" s="846"/>
      <c r="Y1171" s="740">
        <f t="shared" si="152"/>
        <v>0</v>
      </c>
      <c r="Z1171" s="847"/>
      <c r="AA1171" s="847"/>
      <c r="AB1171" s="741">
        <f t="shared" si="153"/>
        <v>0</v>
      </c>
      <c r="AC1171" s="846"/>
      <c r="AD1171" s="847"/>
      <c r="AE1171" s="846"/>
      <c r="AF1171" s="846"/>
      <c r="AG1171" s="847"/>
      <c r="AH1171" s="847"/>
      <c r="AI1171" s="742">
        <f t="shared" si="157"/>
        <v>185200</v>
      </c>
      <c r="AJ1171" s="743">
        <f t="shared" si="158"/>
        <v>176000</v>
      </c>
    </row>
    <row r="1172" spans="1:36">
      <c r="A1172" s="1197" t="s">
        <v>150</v>
      </c>
      <c r="B1172" s="1271" t="s">
        <v>303</v>
      </c>
      <c r="C1172" s="1275" t="s">
        <v>1531</v>
      </c>
      <c r="D1172" s="1217"/>
      <c r="E1172" s="1201"/>
      <c r="F1172" s="1202"/>
      <c r="G1172" s="846"/>
      <c r="H1172" s="847"/>
      <c r="I1172" s="846">
        <v>4629806</v>
      </c>
      <c r="J1172" s="847">
        <v>4972500</v>
      </c>
      <c r="K1172" s="846"/>
      <c r="L1172" s="847"/>
      <c r="M1172" s="846"/>
      <c r="N1172" s="846"/>
      <c r="O1172" s="737">
        <f t="shared" si="151"/>
        <v>0</v>
      </c>
      <c r="P1172" s="847"/>
      <c r="Q1172" s="847"/>
      <c r="R1172" s="738">
        <f t="shared" si="154"/>
        <v>0</v>
      </c>
      <c r="S1172" s="737">
        <f t="shared" si="155"/>
        <v>4629806</v>
      </c>
      <c r="T1172" s="739">
        <f t="shared" si="156"/>
        <v>4972500</v>
      </c>
      <c r="U1172" s="846"/>
      <c r="V1172" s="847"/>
      <c r="W1172" s="846"/>
      <c r="X1172" s="846"/>
      <c r="Y1172" s="740">
        <f t="shared" si="152"/>
        <v>0</v>
      </c>
      <c r="Z1172" s="847"/>
      <c r="AA1172" s="847"/>
      <c r="AB1172" s="741">
        <f t="shared" si="153"/>
        <v>0</v>
      </c>
      <c r="AC1172" s="846"/>
      <c r="AD1172" s="847"/>
      <c r="AE1172" s="846"/>
      <c r="AF1172" s="846"/>
      <c r="AG1172" s="847"/>
      <c r="AH1172" s="847"/>
      <c r="AI1172" s="742">
        <f t="shared" si="157"/>
        <v>4629806</v>
      </c>
      <c r="AJ1172" s="743">
        <f t="shared" si="158"/>
        <v>4972500</v>
      </c>
    </row>
    <row r="1173" spans="1:36">
      <c r="A1173" s="1197" t="s">
        <v>150</v>
      </c>
      <c r="B1173" s="1271" t="s">
        <v>303</v>
      </c>
      <c r="C1173" s="1275" t="s">
        <v>1532</v>
      </c>
      <c r="D1173" s="1217"/>
      <c r="E1173" s="1201"/>
      <c r="F1173" s="1202"/>
      <c r="G1173" s="846"/>
      <c r="H1173" s="847"/>
      <c r="I1173" s="846">
        <v>2408600</v>
      </c>
      <c r="J1173" s="847">
        <v>2644100</v>
      </c>
      <c r="K1173" s="846"/>
      <c r="L1173" s="847"/>
      <c r="M1173" s="846"/>
      <c r="N1173" s="846"/>
      <c r="O1173" s="737">
        <f t="shared" si="151"/>
        <v>0</v>
      </c>
      <c r="P1173" s="847"/>
      <c r="Q1173" s="847"/>
      <c r="R1173" s="738">
        <f t="shared" si="154"/>
        <v>0</v>
      </c>
      <c r="S1173" s="737">
        <f t="shared" si="155"/>
        <v>2408600</v>
      </c>
      <c r="T1173" s="739">
        <f t="shared" si="156"/>
        <v>2644100</v>
      </c>
      <c r="U1173" s="846"/>
      <c r="V1173" s="847"/>
      <c r="W1173" s="846"/>
      <c r="X1173" s="846"/>
      <c r="Y1173" s="740">
        <f t="shared" si="152"/>
        <v>0</v>
      </c>
      <c r="Z1173" s="847"/>
      <c r="AA1173" s="847"/>
      <c r="AB1173" s="741">
        <f t="shared" si="153"/>
        <v>0</v>
      </c>
      <c r="AC1173" s="846"/>
      <c r="AD1173" s="847"/>
      <c r="AE1173" s="846"/>
      <c r="AF1173" s="846"/>
      <c r="AG1173" s="847"/>
      <c r="AH1173" s="847"/>
      <c r="AI1173" s="742">
        <f t="shared" si="157"/>
        <v>2408600</v>
      </c>
      <c r="AJ1173" s="743">
        <f t="shared" si="158"/>
        <v>2644100</v>
      </c>
    </row>
    <row r="1174" spans="1:36">
      <c r="A1174" s="1197" t="s">
        <v>150</v>
      </c>
      <c r="B1174" s="1271" t="s">
        <v>303</v>
      </c>
      <c r="C1174" s="1275" t="s">
        <v>1533</v>
      </c>
      <c r="D1174" s="1217"/>
      <c r="E1174" s="1201"/>
      <c r="F1174" s="1202"/>
      <c r="G1174" s="846"/>
      <c r="H1174" s="847"/>
      <c r="I1174" s="846">
        <v>1880200</v>
      </c>
      <c r="J1174" s="847">
        <v>1431200</v>
      </c>
      <c r="K1174" s="846"/>
      <c r="L1174" s="847"/>
      <c r="M1174" s="846"/>
      <c r="N1174" s="846"/>
      <c r="O1174" s="737">
        <f t="shared" si="151"/>
        <v>0</v>
      </c>
      <c r="P1174" s="847"/>
      <c r="Q1174" s="847"/>
      <c r="R1174" s="738">
        <f t="shared" si="154"/>
        <v>0</v>
      </c>
      <c r="S1174" s="737">
        <f t="shared" si="155"/>
        <v>1880200</v>
      </c>
      <c r="T1174" s="739">
        <f t="shared" si="156"/>
        <v>1431200</v>
      </c>
      <c r="U1174" s="846"/>
      <c r="V1174" s="847"/>
      <c r="W1174" s="846"/>
      <c r="X1174" s="846"/>
      <c r="Y1174" s="740">
        <f t="shared" si="152"/>
        <v>0</v>
      </c>
      <c r="Z1174" s="847"/>
      <c r="AA1174" s="847"/>
      <c r="AB1174" s="741">
        <f t="shared" si="153"/>
        <v>0</v>
      </c>
      <c r="AC1174" s="846"/>
      <c r="AD1174" s="847"/>
      <c r="AE1174" s="846"/>
      <c r="AF1174" s="846"/>
      <c r="AG1174" s="847"/>
      <c r="AH1174" s="847"/>
      <c r="AI1174" s="742">
        <f t="shared" si="157"/>
        <v>1880200</v>
      </c>
      <c r="AJ1174" s="743">
        <f t="shared" si="158"/>
        <v>1431200</v>
      </c>
    </row>
    <row r="1175" spans="1:36">
      <c r="A1175" s="1197" t="s">
        <v>150</v>
      </c>
      <c r="B1175" s="1271" t="s">
        <v>303</v>
      </c>
      <c r="C1175" s="1275" t="s">
        <v>1534</v>
      </c>
      <c r="D1175" s="1217"/>
      <c r="E1175" s="1201"/>
      <c r="F1175" s="1202"/>
      <c r="G1175" s="846"/>
      <c r="H1175" s="847"/>
      <c r="I1175" s="846">
        <v>940000</v>
      </c>
      <c r="J1175" s="847">
        <v>940000</v>
      </c>
      <c r="K1175" s="846"/>
      <c r="L1175" s="847"/>
      <c r="M1175" s="846"/>
      <c r="N1175" s="846"/>
      <c r="O1175" s="737">
        <f t="shared" si="151"/>
        <v>0</v>
      </c>
      <c r="P1175" s="847"/>
      <c r="Q1175" s="847"/>
      <c r="R1175" s="738">
        <f t="shared" si="154"/>
        <v>0</v>
      </c>
      <c r="S1175" s="737">
        <f t="shared" si="155"/>
        <v>940000</v>
      </c>
      <c r="T1175" s="739">
        <f t="shared" si="156"/>
        <v>940000</v>
      </c>
      <c r="U1175" s="846"/>
      <c r="V1175" s="847"/>
      <c r="W1175" s="846"/>
      <c r="X1175" s="846"/>
      <c r="Y1175" s="740">
        <f t="shared" si="152"/>
        <v>0</v>
      </c>
      <c r="Z1175" s="847"/>
      <c r="AA1175" s="847"/>
      <c r="AB1175" s="741">
        <f t="shared" si="153"/>
        <v>0</v>
      </c>
      <c r="AC1175" s="846"/>
      <c r="AD1175" s="847"/>
      <c r="AE1175" s="846"/>
      <c r="AF1175" s="846"/>
      <c r="AG1175" s="847"/>
      <c r="AH1175" s="847"/>
      <c r="AI1175" s="742">
        <f t="shared" si="157"/>
        <v>940000</v>
      </c>
      <c r="AJ1175" s="743">
        <f t="shared" si="158"/>
        <v>940000</v>
      </c>
    </row>
    <row r="1176" spans="1:36">
      <c r="A1176" s="1197" t="s">
        <v>150</v>
      </c>
      <c r="B1176" s="1271" t="s">
        <v>303</v>
      </c>
      <c r="C1176" s="1275" t="s">
        <v>1535</v>
      </c>
      <c r="D1176" s="1217"/>
      <c r="E1176" s="1201"/>
      <c r="F1176" s="1202"/>
      <c r="G1176" s="846"/>
      <c r="H1176" s="847"/>
      <c r="I1176" s="846">
        <v>19548600</v>
      </c>
      <c r="J1176" s="847">
        <v>18575500</v>
      </c>
      <c r="K1176" s="846"/>
      <c r="L1176" s="847"/>
      <c r="M1176" s="846"/>
      <c r="N1176" s="846"/>
      <c r="O1176" s="737">
        <f t="shared" si="151"/>
        <v>0</v>
      </c>
      <c r="P1176" s="847"/>
      <c r="Q1176" s="847"/>
      <c r="R1176" s="738">
        <f t="shared" si="154"/>
        <v>0</v>
      </c>
      <c r="S1176" s="737">
        <f t="shared" si="155"/>
        <v>19548600</v>
      </c>
      <c r="T1176" s="739">
        <f t="shared" si="156"/>
        <v>18575500</v>
      </c>
      <c r="U1176" s="846"/>
      <c r="V1176" s="847"/>
      <c r="W1176" s="846"/>
      <c r="X1176" s="846"/>
      <c r="Y1176" s="740">
        <f t="shared" si="152"/>
        <v>0</v>
      </c>
      <c r="Z1176" s="847"/>
      <c r="AA1176" s="847"/>
      <c r="AB1176" s="741">
        <f t="shared" si="153"/>
        <v>0</v>
      </c>
      <c r="AC1176" s="846"/>
      <c r="AD1176" s="847"/>
      <c r="AE1176" s="846"/>
      <c r="AF1176" s="846"/>
      <c r="AG1176" s="847"/>
      <c r="AH1176" s="847"/>
      <c r="AI1176" s="742">
        <f t="shared" si="157"/>
        <v>19548600</v>
      </c>
      <c r="AJ1176" s="743">
        <f t="shared" si="158"/>
        <v>18575500</v>
      </c>
    </row>
    <row r="1177" spans="1:36">
      <c r="A1177" s="1197" t="s">
        <v>150</v>
      </c>
      <c r="B1177" s="1271" t="s">
        <v>303</v>
      </c>
      <c r="C1177" s="1275" t="s">
        <v>1536</v>
      </c>
      <c r="D1177" s="1217"/>
      <c r="E1177" s="1201"/>
      <c r="F1177" s="1202"/>
      <c r="G1177" s="846"/>
      <c r="H1177" s="847"/>
      <c r="I1177" s="846"/>
      <c r="J1177" s="847"/>
      <c r="K1177" s="846"/>
      <c r="L1177" s="847"/>
      <c r="M1177" s="846"/>
      <c r="N1177" s="846"/>
      <c r="O1177" s="737">
        <f t="shared" si="151"/>
        <v>0</v>
      </c>
      <c r="P1177" s="847"/>
      <c r="Q1177" s="847"/>
      <c r="R1177" s="738">
        <f t="shared" si="154"/>
        <v>0</v>
      </c>
      <c r="S1177" s="737">
        <f t="shared" si="155"/>
        <v>0</v>
      </c>
      <c r="T1177" s="739">
        <f t="shared" si="156"/>
        <v>0</v>
      </c>
      <c r="U1177" s="846"/>
      <c r="V1177" s="847"/>
      <c r="W1177" s="846"/>
      <c r="X1177" s="846"/>
      <c r="Y1177" s="740">
        <f t="shared" si="152"/>
        <v>0</v>
      </c>
      <c r="Z1177" s="847"/>
      <c r="AA1177" s="847"/>
      <c r="AB1177" s="741">
        <f t="shared" si="153"/>
        <v>0</v>
      </c>
      <c r="AC1177" s="846"/>
      <c r="AD1177" s="847"/>
      <c r="AE1177" s="846"/>
      <c r="AF1177" s="846"/>
      <c r="AG1177" s="847"/>
      <c r="AH1177" s="847"/>
      <c r="AI1177" s="742">
        <f t="shared" si="157"/>
        <v>0</v>
      </c>
      <c r="AJ1177" s="743">
        <f t="shared" si="158"/>
        <v>0</v>
      </c>
    </row>
    <row r="1178" spans="1:36">
      <c r="A1178" s="1197" t="s">
        <v>150</v>
      </c>
      <c r="B1178" s="1271" t="s">
        <v>303</v>
      </c>
      <c r="C1178" s="1275" t="s">
        <v>1537</v>
      </c>
      <c r="D1178" s="1217"/>
      <c r="E1178" s="1201"/>
      <c r="F1178" s="1202"/>
      <c r="G1178" s="846"/>
      <c r="H1178" s="847"/>
      <c r="I1178" s="846">
        <v>5717900</v>
      </c>
      <c r="J1178" s="847">
        <v>5433300</v>
      </c>
      <c r="K1178" s="846"/>
      <c r="L1178" s="847"/>
      <c r="M1178" s="846"/>
      <c r="N1178" s="846"/>
      <c r="O1178" s="737">
        <f t="shared" si="151"/>
        <v>0</v>
      </c>
      <c r="P1178" s="847"/>
      <c r="Q1178" s="847"/>
      <c r="R1178" s="738">
        <f t="shared" si="154"/>
        <v>0</v>
      </c>
      <c r="S1178" s="737">
        <f t="shared" si="155"/>
        <v>5717900</v>
      </c>
      <c r="T1178" s="739">
        <f t="shared" si="156"/>
        <v>5433300</v>
      </c>
      <c r="U1178" s="846"/>
      <c r="V1178" s="847"/>
      <c r="W1178" s="846"/>
      <c r="X1178" s="846"/>
      <c r="Y1178" s="740">
        <f t="shared" si="152"/>
        <v>0</v>
      </c>
      <c r="Z1178" s="847"/>
      <c r="AA1178" s="847"/>
      <c r="AB1178" s="741">
        <f t="shared" si="153"/>
        <v>0</v>
      </c>
      <c r="AC1178" s="846"/>
      <c r="AD1178" s="847"/>
      <c r="AE1178" s="846"/>
      <c r="AF1178" s="846"/>
      <c r="AG1178" s="847"/>
      <c r="AH1178" s="847"/>
      <c r="AI1178" s="742">
        <f t="shared" si="157"/>
        <v>5717900</v>
      </c>
      <c r="AJ1178" s="743">
        <f t="shared" si="158"/>
        <v>5433300</v>
      </c>
    </row>
    <row r="1179" spans="1:36">
      <c r="A1179" s="1197" t="s">
        <v>150</v>
      </c>
      <c r="B1179" s="1271" t="s">
        <v>303</v>
      </c>
      <c r="C1179" s="1275" t="s">
        <v>1536</v>
      </c>
      <c r="D1179" s="1217"/>
      <c r="E1179" s="1201"/>
      <c r="F1179" s="1202"/>
      <c r="G1179" s="846"/>
      <c r="H1179" s="847"/>
      <c r="I1179" s="846">
        <v>132400</v>
      </c>
      <c r="J1179" s="847">
        <v>125800</v>
      </c>
      <c r="K1179" s="846"/>
      <c r="L1179" s="847"/>
      <c r="M1179" s="846"/>
      <c r="N1179" s="846"/>
      <c r="O1179" s="737">
        <f t="shared" si="151"/>
        <v>0</v>
      </c>
      <c r="P1179" s="847"/>
      <c r="Q1179" s="847"/>
      <c r="R1179" s="738">
        <f t="shared" si="154"/>
        <v>0</v>
      </c>
      <c r="S1179" s="737">
        <f t="shared" si="155"/>
        <v>132400</v>
      </c>
      <c r="T1179" s="739">
        <f t="shared" si="156"/>
        <v>125800</v>
      </c>
      <c r="U1179" s="846"/>
      <c r="V1179" s="847"/>
      <c r="W1179" s="846"/>
      <c r="X1179" s="846"/>
      <c r="Y1179" s="740">
        <f t="shared" si="152"/>
        <v>0</v>
      </c>
      <c r="Z1179" s="847"/>
      <c r="AA1179" s="847"/>
      <c r="AB1179" s="741">
        <f t="shared" si="153"/>
        <v>0</v>
      </c>
      <c r="AC1179" s="846"/>
      <c r="AD1179" s="847"/>
      <c r="AE1179" s="846"/>
      <c r="AF1179" s="846"/>
      <c r="AG1179" s="847"/>
      <c r="AH1179" s="847"/>
      <c r="AI1179" s="742">
        <f t="shared" si="157"/>
        <v>132400</v>
      </c>
      <c r="AJ1179" s="743">
        <f t="shared" si="158"/>
        <v>125800</v>
      </c>
    </row>
    <row r="1180" spans="1:36">
      <c r="A1180" s="1197" t="s">
        <v>150</v>
      </c>
      <c r="B1180" s="1271" t="s">
        <v>281</v>
      </c>
      <c r="C1180" s="1294" t="s">
        <v>109</v>
      </c>
      <c r="D1180" s="1277"/>
      <c r="E1180" s="1201"/>
      <c r="F1180" s="1202"/>
      <c r="G1180" s="846"/>
      <c r="H1180" s="847"/>
      <c r="I1180" s="846"/>
      <c r="J1180" s="847"/>
      <c r="K1180" s="846"/>
      <c r="L1180" s="847"/>
      <c r="M1180" s="846"/>
      <c r="N1180" s="846"/>
      <c r="O1180" s="737">
        <f t="shared" si="151"/>
        <v>0</v>
      </c>
      <c r="P1180" s="847"/>
      <c r="Q1180" s="847"/>
      <c r="R1180" s="738">
        <f t="shared" si="154"/>
        <v>0</v>
      </c>
      <c r="S1180" s="737">
        <f t="shared" si="155"/>
        <v>0</v>
      </c>
      <c r="T1180" s="739">
        <f t="shared" si="156"/>
        <v>0</v>
      </c>
      <c r="U1180" s="846"/>
      <c r="V1180" s="847"/>
      <c r="W1180" s="846"/>
      <c r="X1180" s="846"/>
      <c r="Y1180" s="740">
        <f t="shared" si="152"/>
        <v>0</v>
      </c>
      <c r="Z1180" s="847"/>
      <c r="AA1180" s="847"/>
      <c r="AB1180" s="741">
        <f t="shared" si="153"/>
        <v>0</v>
      </c>
      <c r="AC1180" s="846"/>
      <c r="AD1180" s="847"/>
      <c r="AE1180" s="846"/>
      <c r="AF1180" s="846"/>
      <c r="AG1180" s="847"/>
      <c r="AH1180" s="847"/>
      <c r="AI1180" s="742">
        <f t="shared" si="157"/>
        <v>0</v>
      </c>
      <c r="AJ1180" s="743">
        <f t="shared" si="158"/>
        <v>0</v>
      </c>
    </row>
    <row r="1181" spans="1:36">
      <c r="A1181" s="1197" t="s">
        <v>150</v>
      </c>
      <c r="B1181" s="1271" t="s">
        <v>282</v>
      </c>
      <c r="C1181" s="1216" t="s">
        <v>140</v>
      </c>
      <c r="D1181" s="1217"/>
      <c r="E1181" s="1201"/>
      <c r="F1181" s="1202"/>
      <c r="G1181" s="846"/>
      <c r="H1181" s="847"/>
      <c r="I1181" s="846"/>
      <c r="J1181" s="847"/>
      <c r="K1181" s="846"/>
      <c r="L1181" s="847"/>
      <c r="M1181" s="846"/>
      <c r="N1181" s="846"/>
      <c r="O1181" s="737">
        <f t="shared" si="151"/>
        <v>0</v>
      </c>
      <c r="P1181" s="847"/>
      <c r="Q1181" s="847"/>
      <c r="R1181" s="738">
        <f t="shared" si="154"/>
        <v>0</v>
      </c>
      <c r="S1181" s="737">
        <f t="shared" si="155"/>
        <v>0</v>
      </c>
      <c r="T1181" s="739">
        <f t="shared" si="156"/>
        <v>0</v>
      </c>
      <c r="U1181" s="846"/>
      <c r="V1181" s="847"/>
      <c r="W1181" s="846"/>
      <c r="X1181" s="846"/>
      <c r="Y1181" s="740">
        <f t="shared" si="152"/>
        <v>0</v>
      </c>
      <c r="Z1181" s="847"/>
      <c r="AA1181" s="847"/>
      <c r="AB1181" s="741">
        <f t="shared" si="153"/>
        <v>0</v>
      </c>
      <c r="AC1181" s="846"/>
      <c r="AD1181" s="847"/>
      <c r="AE1181" s="846"/>
      <c r="AF1181" s="846"/>
      <c r="AG1181" s="847"/>
      <c r="AH1181" s="847"/>
      <c r="AI1181" s="742">
        <f t="shared" si="157"/>
        <v>0</v>
      </c>
      <c r="AJ1181" s="743">
        <f t="shared" si="158"/>
        <v>0</v>
      </c>
    </row>
    <row r="1182" spans="1:36">
      <c r="A1182" s="1197" t="s">
        <v>150</v>
      </c>
      <c r="B1182" s="1271" t="s">
        <v>282</v>
      </c>
      <c r="C1182" s="1275" t="s">
        <v>1538</v>
      </c>
      <c r="D1182" s="1217"/>
      <c r="E1182" s="1201"/>
      <c r="F1182" s="1202"/>
      <c r="G1182" s="846"/>
      <c r="H1182" s="847"/>
      <c r="I1182" s="846"/>
      <c r="J1182" s="847"/>
      <c r="K1182" s="846"/>
      <c r="L1182" s="847"/>
      <c r="M1182" s="846"/>
      <c r="N1182" s="846"/>
      <c r="O1182" s="737">
        <f t="shared" si="151"/>
        <v>0</v>
      </c>
      <c r="P1182" s="847"/>
      <c r="Q1182" s="847"/>
      <c r="R1182" s="738">
        <f t="shared" si="154"/>
        <v>0</v>
      </c>
      <c r="S1182" s="737">
        <f t="shared" si="155"/>
        <v>0</v>
      </c>
      <c r="T1182" s="739">
        <f t="shared" si="156"/>
        <v>0</v>
      </c>
      <c r="U1182" s="846">
        <v>6618300</v>
      </c>
      <c r="V1182" s="847">
        <v>6638400</v>
      </c>
      <c r="W1182" s="846"/>
      <c r="X1182" s="846"/>
      <c r="Y1182" s="740">
        <f t="shared" si="152"/>
        <v>0</v>
      </c>
      <c r="Z1182" s="847"/>
      <c r="AA1182" s="847"/>
      <c r="AB1182" s="741">
        <f t="shared" si="153"/>
        <v>0</v>
      </c>
      <c r="AC1182" s="846"/>
      <c r="AD1182" s="847"/>
      <c r="AE1182" s="846"/>
      <c r="AF1182" s="846"/>
      <c r="AG1182" s="847"/>
      <c r="AH1182" s="847"/>
      <c r="AI1182" s="742">
        <f t="shared" si="157"/>
        <v>6618300</v>
      </c>
      <c r="AJ1182" s="743">
        <f t="shared" si="158"/>
        <v>6638400</v>
      </c>
    </row>
    <row r="1183" spans="1:36">
      <c r="A1183" s="1197" t="s">
        <v>150</v>
      </c>
      <c r="B1183" s="1271" t="s">
        <v>283</v>
      </c>
      <c r="C1183" s="1216" t="s">
        <v>139</v>
      </c>
      <c r="D1183" s="1217"/>
      <c r="E1183" s="1201"/>
      <c r="F1183" s="1202"/>
      <c r="G1183" s="846"/>
      <c r="H1183" s="847"/>
      <c r="I1183" s="846"/>
      <c r="J1183" s="847"/>
      <c r="K1183" s="846"/>
      <c r="L1183" s="847"/>
      <c r="M1183" s="846"/>
      <c r="N1183" s="846"/>
      <c r="O1183" s="737">
        <f t="shared" si="151"/>
        <v>0</v>
      </c>
      <c r="P1183" s="847"/>
      <c r="Q1183" s="847"/>
      <c r="R1183" s="738">
        <f t="shared" si="154"/>
        <v>0</v>
      </c>
      <c r="S1183" s="737">
        <f t="shared" si="155"/>
        <v>0</v>
      </c>
      <c r="T1183" s="739">
        <f t="shared" si="156"/>
        <v>0</v>
      </c>
      <c r="U1183" s="846"/>
      <c r="V1183" s="847"/>
      <c r="W1183" s="846"/>
      <c r="X1183" s="846"/>
      <c r="Y1183" s="740">
        <f t="shared" si="152"/>
        <v>0</v>
      </c>
      <c r="Z1183" s="847"/>
      <c r="AA1183" s="847"/>
      <c r="AB1183" s="741">
        <f t="shared" si="153"/>
        <v>0</v>
      </c>
      <c r="AC1183" s="846"/>
      <c r="AD1183" s="847"/>
      <c r="AE1183" s="846"/>
      <c r="AF1183" s="846"/>
      <c r="AG1183" s="847"/>
      <c r="AH1183" s="847"/>
      <c r="AI1183" s="742">
        <f t="shared" si="157"/>
        <v>0</v>
      </c>
      <c r="AJ1183" s="743">
        <f t="shared" si="158"/>
        <v>0</v>
      </c>
    </row>
    <row r="1184" spans="1:36">
      <c r="A1184" s="1197" t="s">
        <v>150</v>
      </c>
      <c r="B1184" s="1271" t="s">
        <v>283</v>
      </c>
      <c r="C1184" s="1275" t="s">
        <v>1539</v>
      </c>
      <c r="D1184" s="1217"/>
      <c r="E1184" s="1201"/>
      <c r="F1184" s="1202"/>
      <c r="G1184" s="846"/>
      <c r="H1184" s="847"/>
      <c r="I1184" s="846"/>
      <c r="J1184" s="847"/>
      <c r="K1184" s="846"/>
      <c r="L1184" s="847"/>
      <c r="M1184" s="846"/>
      <c r="N1184" s="846"/>
      <c r="O1184" s="737">
        <f t="shared" si="151"/>
        <v>0</v>
      </c>
      <c r="P1184" s="847"/>
      <c r="Q1184" s="847"/>
      <c r="R1184" s="738">
        <f t="shared" si="154"/>
        <v>0</v>
      </c>
      <c r="S1184" s="737">
        <f t="shared" si="155"/>
        <v>0</v>
      </c>
      <c r="T1184" s="739">
        <f t="shared" si="156"/>
        <v>0</v>
      </c>
      <c r="U1184" s="846">
        <v>24567300</v>
      </c>
      <c r="V1184" s="847">
        <v>29497600</v>
      </c>
      <c r="W1184" s="846"/>
      <c r="X1184" s="846"/>
      <c r="Y1184" s="740">
        <f t="shared" si="152"/>
        <v>0</v>
      </c>
      <c r="Z1184" s="847"/>
      <c r="AA1184" s="847"/>
      <c r="AB1184" s="741">
        <f t="shared" si="153"/>
        <v>0</v>
      </c>
      <c r="AC1184" s="846"/>
      <c r="AD1184" s="847"/>
      <c r="AE1184" s="846"/>
      <c r="AF1184" s="846"/>
      <c r="AG1184" s="847"/>
      <c r="AH1184" s="847"/>
      <c r="AI1184" s="742">
        <f t="shared" si="157"/>
        <v>24567300</v>
      </c>
      <c r="AJ1184" s="743">
        <f t="shared" si="158"/>
        <v>29497600</v>
      </c>
    </row>
    <row r="1185" spans="1:36">
      <c r="A1185" s="1197" t="s">
        <v>150</v>
      </c>
      <c r="B1185" s="1271" t="s">
        <v>284</v>
      </c>
      <c r="C1185" s="1216" t="s">
        <v>138</v>
      </c>
      <c r="D1185" s="1217"/>
      <c r="E1185" s="1201"/>
      <c r="F1185" s="1202"/>
      <c r="G1185" s="846"/>
      <c r="H1185" s="847"/>
      <c r="I1185" s="846"/>
      <c r="J1185" s="847"/>
      <c r="K1185" s="846"/>
      <c r="L1185" s="847"/>
      <c r="M1185" s="846"/>
      <c r="N1185" s="846"/>
      <c r="O1185" s="737">
        <f t="shared" si="151"/>
        <v>0</v>
      </c>
      <c r="P1185" s="847"/>
      <c r="Q1185" s="847"/>
      <c r="R1185" s="738">
        <f t="shared" si="154"/>
        <v>0</v>
      </c>
      <c r="S1185" s="737">
        <f t="shared" si="155"/>
        <v>0</v>
      </c>
      <c r="T1185" s="739">
        <f t="shared" si="156"/>
        <v>0</v>
      </c>
      <c r="U1185" s="846"/>
      <c r="V1185" s="847"/>
      <c r="W1185" s="846"/>
      <c r="X1185" s="846"/>
      <c r="Y1185" s="740">
        <f t="shared" si="152"/>
        <v>0</v>
      </c>
      <c r="Z1185" s="847"/>
      <c r="AA1185" s="847"/>
      <c r="AB1185" s="741">
        <f t="shared" si="153"/>
        <v>0</v>
      </c>
      <c r="AC1185" s="846"/>
      <c r="AD1185" s="847"/>
      <c r="AE1185" s="846"/>
      <c r="AF1185" s="846"/>
      <c r="AG1185" s="847"/>
      <c r="AH1185" s="847"/>
      <c r="AI1185" s="742">
        <f t="shared" si="157"/>
        <v>0</v>
      </c>
      <c r="AJ1185" s="743">
        <f t="shared" si="158"/>
        <v>0</v>
      </c>
    </row>
    <row r="1186" spans="1:36">
      <c r="A1186" s="1197" t="s">
        <v>150</v>
      </c>
      <c r="B1186" s="1271" t="s">
        <v>284</v>
      </c>
      <c r="C1186" s="1275" t="s">
        <v>1540</v>
      </c>
      <c r="D1186" s="1217"/>
      <c r="E1186" s="1201"/>
      <c r="F1186" s="1202"/>
      <c r="G1186" s="846"/>
      <c r="H1186" s="847"/>
      <c r="I1186" s="846"/>
      <c r="J1186" s="847"/>
      <c r="K1186" s="846"/>
      <c r="L1186" s="847"/>
      <c r="M1186" s="846"/>
      <c r="N1186" s="846"/>
      <c r="O1186" s="737">
        <f t="shared" si="151"/>
        <v>0</v>
      </c>
      <c r="P1186" s="847"/>
      <c r="Q1186" s="847"/>
      <c r="R1186" s="738">
        <f t="shared" si="154"/>
        <v>0</v>
      </c>
      <c r="S1186" s="737">
        <f t="shared" si="155"/>
        <v>0</v>
      </c>
      <c r="T1186" s="739">
        <f t="shared" si="156"/>
        <v>0</v>
      </c>
      <c r="U1186" s="846">
        <v>193600</v>
      </c>
      <c r="V1186" s="847">
        <v>199400</v>
      </c>
      <c r="W1186" s="846"/>
      <c r="X1186" s="846"/>
      <c r="Y1186" s="740">
        <f t="shared" si="152"/>
        <v>0</v>
      </c>
      <c r="Z1186" s="847"/>
      <c r="AA1186" s="847"/>
      <c r="AB1186" s="741">
        <f t="shared" si="153"/>
        <v>0</v>
      </c>
      <c r="AC1186" s="846"/>
      <c r="AD1186" s="847"/>
      <c r="AE1186" s="846"/>
      <c r="AF1186" s="846"/>
      <c r="AG1186" s="847"/>
      <c r="AH1186" s="847"/>
      <c r="AI1186" s="742">
        <f t="shared" si="157"/>
        <v>193600</v>
      </c>
      <c r="AJ1186" s="743">
        <f t="shared" si="158"/>
        <v>199400</v>
      </c>
    </row>
    <row r="1187" spans="1:36">
      <c r="A1187" s="1197" t="s">
        <v>150</v>
      </c>
      <c r="B1187" s="1271" t="s">
        <v>303</v>
      </c>
      <c r="C1187" s="1275" t="s">
        <v>1541</v>
      </c>
      <c r="D1187" s="1217"/>
      <c r="E1187" s="1201"/>
      <c r="F1187" s="1202"/>
      <c r="G1187" s="846"/>
      <c r="H1187" s="847"/>
      <c r="I1187" s="846">
        <v>71500</v>
      </c>
      <c r="J1187" s="847">
        <v>67900</v>
      </c>
      <c r="K1187" s="846"/>
      <c r="L1187" s="847"/>
      <c r="M1187" s="846"/>
      <c r="N1187" s="846"/>
      <c r="O1187" s="737">
        <f t="shared" si="151"/>
        <v>0</v>
      </c>
      <c r="P1187" s="847"/>
      <c r="Q1187" s="847"/>
      <c r="R1187" s="738">
        <f t="shared" si="154"/>
        <v>0</v>
      </c>
      <c r="S1187" s="737">
        <f t="shared" si="155"/>
        <v>71500</v>
      </c>
      <c r="T1187" s="739">
        <f t="shared" si="156"/>
        <v>67900</v>
      </c>
      <c r="U1187" s="846"/>
      <c r="V1187" s="847"/>
      <c r="W1187" s="846"/>
      <c r="X1187" s="846"/>
      <c r="Y1187" s="740">
        <f t="shared" si="152"/>
        <v>0</v>
      </c>
      <c r="Z1187" s="847"/>
      <c r="AA1187" s="847"/>
      <c r="AB1187" s="741">
        <f t="shared" si="153"/>
        <v>0</v>
      </c>
      <c r="AC1187" s="846"/>
      <c r="AD1187" s="847"/>
      <c r="AE1187" s="846"/>
      <c r="AF1187" s="846"/>
      <c r="AG1187" s="847"/>
      <c r="AH1187" s="847"/>
      <c r="AI1187" s="742">
        <f t="shared" si="157"/>
        <v>71500</v>
      </c>
      <c r="AJ1187" s="743">
        <f t="shared" si="158"/>
        <v>67900</v>
      </c>
    </row>
    <row r="1188" spans="1:36">
      <c r="A1188" s="1197" t="s">
        <v>150</v>
      </c>
      <c r="B1188" s="1271" t="s">
        <v>285</v>
      </c>
      <c r="C1188" s="1216" t="s">
        <v>689</v>
      </c>
      <c r="D1188" s="1217"/>
      <c r="E1188" s="1201"/>
      <c r="F1188" s="1202"/>
      <c r="G1188" s="846"/>
      <c r="H1188" s="847"/>
      <c r="I1188" s="846"/>
      <c r="J1188" s="847"/>
      <c r="K1188" s="846"/>
      <c r="L1188" s="847"/>
      <c r="M1188" s="846"/>
      <c r="N1188" s="846"/>
      <c r="O1188" s="737">
        <f t="shared" si="151"/>
        <v>0</v>
      </c>
      <c r="P1188" s="847"/>
      <c r="Q1188" s="847"/>
      <c r="R1188" s="738">
        <f t="shared" si="154"/>
        <v>0</v>
      </c>
      <c r="S1188" s="737">
        <f t="shared" si="155"/>
        <v>0</v>
      </c>
      <c r="T1188" s="739">
        <f t="shared" si="156"/>
        <v>0</v>
      </c>
      <c r="U1188" s="846"/>
      <c r="V1188" s="847"/>
      <c r="W1188" s="846"/>
      <c r="X1188" s="846"/>
      <c r="Y1188" s="740">
        <f t="shared" si="152"/>
        <v>0</v>
      </c>
      <c r="Z1188" s="847"/>
      <c r="AA1188" s="847"/>
      <c r="AB1188" s="741">
        <f t="shared" si="153"/>
        <v>0</v>
      </c>
      <c r="AC1188" s="846"/>
      <c r="AD1188" s="847"/>
      <c r="AE1188" s="846"/>
      <c r="AF1188" s="846"/>
      <c r="AG1188" s="847"/>
      <c r="AH1188" s="847"/>
      <c r="AI1188" s="742">
        <f t="shared" si="157"/>
        <v>0</v>
      </c>
      <c r="AJ1188" s="743">
        <f t="shared" si="158"/>
        <v>0</v>
      </c>
    </row>
    <row r="1189" spans="1:36">
      <c r="A1189" s="1197" t="s">
        <v>150</v>
      </c>
      <c r="B1189" s="1271" t="s">
        <v>285</v>
      </c>
      <c r="C1189" s="1275" t="s">
        <v>1542</v>
      </c>
      <c r="D1189" s="1217"/>
      <c r="E1189" s="1295"/>
      <c r="F1189" s="1202"/>
      <c r="G1189" s="846"/>
      <c r="H1189" s="847"/>
      <c r="I1189" s="846"/>
      <c r="J1189" s="847"/>
      <c r="K1189" s="846"/>
      <c r="L1189" s="847"/>
      <c r="M1189" s="846"/>
      <c r="N1189" s="846"/>
      <c r="O1189" s="737">
        <f t="shared" si="151"/>
        <v>0</v>
      </c>
      <c r="P1189" s="847"/>
      <c r="Q1189" s="847"/>
      <c r="R1189" s="738">
        <f t="shared" si="154"/>
        <v>0</v>
      </c>
      <c r="S1189" s="737">
        <f t="shared" si="155"/>
        <v>0</v>
      </c>
      <c r="T1189" s="739">
        <f t="shared" si="156"/>
        <v>0</v>
      </c>
      <c r="U1189" s="846"/>
      <c r="V1189" s="847"/>
      <c r="W1189" s="846"/>
      <c r="X1189" s="846"/>
      <c r="Y1189" s="740">
        <f t="shared" si="152"/>
        <v>0</v>
      </c>
      <c r="Z1189" s="847"/>
      <c r="AA1189" s="847"/>
      <c r="AB1189" s="741">
        <f t="shared" si="153"/>
        <v>0</v>
      </c>
      <c r="AC1189" s="846"/>
      <c r="AD1189" s="847"/>
      <c r="AE1189" s="846"/>
      <c r="AF1189" s="846"/>
      <c r="AG1189" s="847"/>
      <c r="AH1189" s="847"/>
      <c r="AI1189" s="742">
        <f t="shared" si="157"/>
        <v>0</v>
      </c>
      <c r="AJ1189" s="743">
        <f t="shared" si="158"/>
        <v>0</v>
      </c>
    </row>
    <row r="1190" spans="1:36">
      <c r="A1190" s="1197" t="s">
        <v>150</v>
      </c>
      <c r="B1190" s="1271" t="s">
        <v>286</v>
      </c>
      <c r="C1190" s="1294" t="s">
        <v>506</v>
      </c>
      <c r="D1190" s="1277"/>
      <c r="E1190" s="1201"/>
      <c r="F1190" s="1202"/>
      <c r="G1190" s="846"/>
      <c r="H1190" s="847"/>
      <c r="I1190" s="846"/>
      <c r="J1190" s="847"/>
      <c r="K1190" s="846"/>
      <c r="L1190" s="847"/>
      <c r="M1190" s="846"/>
      <c r="N1190" s="846"/>
      <c r="O1190" s="737">
        <f t="shared" si="151"/>
        <v>0</v>
      </c>
      <c r="P1190" s="847"/>
      <c r="Q1190" s="847"/>
      <c r="R1190" s="738">
        <f t="shared" si="154"/>
        <v>0</v>
      </c>
      <c r="S1190" s="737">
        <f t="shared" si="155"/>
        <v>0</v>
      </c>
      <c r="T1190" s="739">
        <f t="shared" si="156"/>
        <v>0</v>
      </c>
      <c r="U1190" s="846"/>
      <c r="V1190" s="847"/>
      <c r="W1190" s="846"/>
      <c r="X1190" s="846"/>
      <c r="Y1190" s="740">
        <f t="shared" si="152"/>
        <v>0</v>
      </c>
      <c r="Z1190" s="847"/>
      <c r="AA1190" s="847"/>
      <c r="AB1190" s="741">
        <f t="shared" si="153"/>
        <v>0</v>
      </c>
      <c r="AC1190" s="846"/>
      <c r="AD1190" s="847"/>
      <c r="AE1190" s="846"/>
      <c r="AF1190" s="846"/>
      <c r="AG1190" s="847"/>
      <c r="AH1190" s="847"/>
      <c r="AI1190" s="742">
        <f t="shared" si="157"/>
        <v>0</v>
      </c>
      <c r="AJ1190" s="743">
        <f t="shared" si="158"/>
        <v>0</v>
      </c>
    </row>
    <row r="1191" spans="1:36">
      <c r="A1191" s="1197" t="s">
        <v>150</v>
      </c>
      <c r="B1191" s="1271" t="s">
        <v>287</v>
      </c>
      <c r="C1191" s="1294" t="s">
        <v>510</v>
      </c>
      <c r="D1191" s="1277"/>
      <c r="E1191" s="1201"/>
      <c r="F1191" s="1202"/>
      <c r="G1191" s="846"/>
      <c r="H1191" s="847"/>
      <c r="I1191" s="846"/>
      <c r="J1191" s="847"/>
      <c r="K1191" s="846"/>
      <c r="L1191" s="847"/>
      <c r="M1191" s="846"/>
      <c r="N1191" s="846"/>
      <c r="O1191" s="737">
        <f t="shared" si="151"/>
        <v>0</v>
      </c>
      <c r="P1191" s="847"/>
      <c r="Q1191" s="847"/>
      <c r="R1191" s="738">
        <f t="shared" si="154"/>
        <v>0</v>
      </c>
      <c r="S1191" s="737">
        <f t="shared" si="155"/>
        <v>0</v>
      </c>
      <c r="T1191" s="739">
        <f t="shared" si="156"/>
        <v>0</v>
      </c>
      <c r="U1191" s="846"/>
      <c r="V1191" s="847"/>
      <c r="W1191" s="846"/>
      <c r="X1191" s="846"/>
      <c r="Y1191" s="740">
        <f t="shared" si="152"/>
        <v>0</v>
      </c>
      <c r="Z1191" s="847"/>
      <c r="AA1191" s="847"/>
      <c r="AB1191" s="741">
        <f t="shared" si="153"/>
        <v>0</v>
      </c>
      <c r="AC1191" s="846"/>
      <c r="AD1191" s="847"/>
      <c r="AE1191" s="846"/>
      <c r="AF1191" s="846"/>
      <c r="AG1191" s="847"/>
      <c r="AH1191" s="847"/>
      <c r="AI1191" s="742">
        <f t="shared" si="157"/>
        <v>0</v>
      </c>
      <c r="AJ1191" s="743">
        <f t="shared" si="158"/>
        <v>0</v>
      </c>
    </row>
    <row r="1192" spans="1:36">
      <c r="A1192" s="1197" t="s">
        <v>150</v>
      </c>
      <c r="B1192" s="1271" t="s">
        <v>288</v>
      </c>
      <c r="C1192" s="1216" t="s">
        <v>511</v>
      </c>
      <c r="D1192" s="1217"/>
      <c r="E1192" s="1201"/>
      <c r="F1192" s="1202"/>
      <c r="G1192" s="846"/>
      <c r="H1192" s="847"/>
      <c r="I1192" s="846"/>
      <c r="J1192" s="847"/>
      <c r="K1192" s="846"/>
      <c r="L1192" s="847"/>
      <c r="M1192" s="846"/>
      <c r="N1192" s="846"/>
      <c r="O1192" s="737">
        <f t="shared" si="151"/>
        <v>0</v>
      </c>
      <c r="P1192" s="847"/>
      <c r="Q1192" s="847"/>
      <c r="R1192" s="738">
        <f t="shared" si="154"/>
        <v>0</v>
      </c>
      <c r="S1192" s="737">
        <f t="shared" si="155"/>
        <v>0</v>
      </c>
      <c r="T1192" s="739">
        <f t="shared" si="156"/>
        <v>0</v>
      </c>
      <c r="U1192" s="846"/>
      <c r="V1192" s="847"/>
      <c r="W1192" s="846"/>
      <c r="X1192" s="846"/>
      <c r="Y1192" s="740">
        <f t="shared" si="152"/>
        <v>0</v>
      </c>
      <c r="Z1192" s="847"/>
      <c r="AA1192" s="847"/>
      <c r="AB1192" s="741">
        <f t="shared" si="153"/>
        <v>0</v>
      </c>
      <c r="AC1192" s="846"/>
      <c r="AD1192" s="847"/>
      <c r="AE1192" s="846"/>
      <c r="AF1192" s="846"/>
      <c r="AG1192" s="847"/>
      <c r="AH1192" s="847"/>
      <c r="AI1192" s="742">
        <f t="shared" si="157"/>
        <v>0</v>
      </c>
      <c r="AJ1192" s="743">
        <f t="shared" si="158"/>
        <v>0</v>
      </c>
    </row>
    <row r="1193" spans="1:36">
      <c r="A1193" s="1197" t="s">
        <v>150</v>
      </c>
      <c r="B1193" s="1271" t="s">
        <v>288</v>
      </c>
      <c r="C1193" s="1275" t="s">
        <v>884</v>
      </c>
      <c r="D1193" s="1217"/>
      <c r="E1193" s="1201"/>
      <c r="F1193" s="1202"/>
      <c r="G1193" s="846"/>
      <c r="H1193" s="847"/>
      <c r="I1193" s="846"/>
      <c r="J1193" s="847"/>
      <c r="K1193" s="846"/>
      <c r="L1193" s="847"/>
      <c r="M1193" s="846"/>
      <c r="N1193" s="846"/>
      <c r="O1193" s="737">
        <f t="shared" si="151"/>
        <v>0</v>
      </c>
      <c r="P1193" s="847"/>
      <c r="Q1193" s="847"/>
      <c r="R1193" s="738">
        <f t="shared" si="154"/>
        <v>0</v>
      </c>
      <c r="S1193" s="737">
        <f t="shared" si="155"/>
        <v>0</v>
      </c>
      <c r="T1193" s="739">
        <f t="shared" si="156"/>
        <v>0</v>
      </c>
      <c r="U1193" s="846">
        <v>319200</v>
      </c>
      <c r="V1193" s="847">
        <v>332400</v>
      </c>
      <c r="W1193" s="846"/>
      <c r="X1193" s="846"/>
      <c r="Y1193" s="740">
        <f t="shared" si="152"/>
        <v>0</v>
      </c>
      <c r="Z1193" s="847"/>
      <c r="AA1193" s="847"/>
      <c r="AB1193" s="741">
        <f t="shared" si="153"/>
        <v>0</v>
      </c>
      <c r="AC1193" s="846"/>
      <c r="AD1193" s="847"/>
      <c r="AE1193" s="846"/>
      <c r="AF1193" s="846"/>
      <c r="AG1193" s="847"/>
      <c r="AH1193" s="847"/>
      <c r="AI1193" s="742">
        <f t="shared" si="157"/>
        <v>319200</v>
      </c>
      <c r="AJ1193" s="743">
        <f t="shared" si="158"/>
        <v>332400</v>
      </c>
    </row>
    <row r="1194" spans="1:36">
      <c r="A1194" s="1197" t="s">
        <v>150</v>
      </c>
      <c r="B1194" s="1271" t="s">
        <v>288</v>
      </c>
      <c r="C1194" s="1275" t="s">
        <v>568</v>
      </c>
      <c r="D1194" s="1217"/>
      <c r="E1194" s="1201"/>
      <c r="F1194" s="1202"/>
      <c r="G1194" s="846"/>
      <c r="H1194" s="847"/>
      <c r="I1194" s="846"/>
      <c r="J1194" s="847"/>
      <c r="K1194" s="846"/>
      <c r="L1194" s="847"/>
      <c r="M1194" s="846"/>
      <c r="N1194" s="846"/>
      <c r="O1194" s="737">
        <f t="shared" si="151"/>
        <v>0</v>
      </c>
      <c r="P1194" s="847"/>
      <c r="Q1194" s="847"/>
      <c r="R1194" s="738">
        <f t="shared" si="154"/>
        <v>0</v>
      </c>
      <c r="S1194" s="737">
        <f t="shared" si="155"/>
        <v>0</v>
      </c>
      <c r="T1194" s="739">
        <f t="shared" si="156"/>
        <v>0</v>
      </c>
      <c r="U1194" s="846">
        <v>183600</v>
      </c>
      <c r="V1194" s="847">
        <v>190800</v>
      </c>
      <c r="W1194" s="846"/>
      <c r="X1194" s="846"/>
      <c r="Y1194" s="740">
        <f t="shared" si="152"/>
        <v>0</v>
      </c>
      <c r="Z1194" s="847"/>
      <c r="AA1194" s="847"/>
      <c r="AB1194" s="741">
        <f t="shared" si="153"/>
        <v>0</v>
      </c>
      <c r="AC1194" s="846"/>
      <c r="AD1194" s="847"/>
      <c r="AE1194" s="846"/>
      <c r="AF1194" s="846"/>
      <c r="AG1194" s="847"/>
      <c r="AH1194" s="847"/>
      <c r="AI1194" s="742">
        <f t="shared" si="157"/>
        <v>183600</v>
      </c>
      <c r="AJ1194" s="743">
        <f t="shared" si="158"/>
        <v>190800</v>
      </c>
    </row>
    <row r="1195" spans="1:36">
      <c r="A1195" s="1197" t="s">
        <v>150</v>
      </c>
      <c r="B1195" s="1271" t="s">
        <v>289</v>
      </c>
      <c r="C1195" s="1216" t="s">
        <v>515</v>
      </c>
      <c r="D1195" s="1217"/>
      <c r="E1195" s="1201"/>
      <c r="F1195" s="1202"/>
      <c r="G1195" s="846"/>
      <c r="H1195" s="847"/>
      <c r="I1195" s="846"/>
      <c r="J1195" s="847"/>
      <c r="K1195" s="846"/>
      <c r="L1195" s="847"/>
      <c r="M1195" s="846"/>
      <c r="N1195" s="846"/>
      <c r="O1195" s="737">
        <f t="shared" si="151"/>
        <v>0</v>
      </c>
      <c r="P1195" s="847"/>
      <c r="Q1195" s="847"/>
      <c r="R1195" s="738">
        <f t="shared" si="154"/>
        <v>0</v>
      </c>
      <c r="S1195" s="737">
        <f t="shared" si="155"/>
        <v>0</v>
      </c>
      <c r="T1195" s="739">
        <f t="shared" si="156"/>
        <v>0</v>
      </c>
      <c r="U1195" s="846"/>
      <c r="V1195" s="847"/>
      <c r="W1195" s="846"/>
      <c r="X1195" s="846"/>
      <c r="Y1195" s="740">
        <f t="shared" si="152"/>
        <v>0</v>
      </c>
      <c r="Z1195" s="847"/>
      <c r="AA1195" s="847"/>
      <c r="AB1195" s="741">
        <f t="shared" si="153"/>
        <v>0</v>
      </c>
      <c r="AC1195" s="846"/>
      <c r="AD1195" s="847"/>
      <c r="AE1195" s="846"/>
      <c r="AF1195" s="846"/>
      <c r="AG1195" s="847"/>
      <c r="AH1195" s="847"/>
      <c r="AI1195" s="742">
        <f t="shared" si="157"/>
        <v>0</v>
      </c>
      <c r="AJ1195" s="743">
        <f t="shared" si="158"/>
        <v>0</v>
      </c>
    </row>
    <row r="1196" spans="1:36">
      <c r="A1196" s="1197" t="s">
        <v>150</v>
      </c>
      <c r="B1196" s="1271" t="s">
        <v>289</v>
      </c>
      <c r="C1196" s="1275" t="s">
        <v>1543</v>
      </c>
      <c r="D1196" s="1217"/>
      <c r="E1196" s="1201"/>
      <c r="F1196" s="1202"/>
      <c r="G1196" s="846"/>
      <c r="H1196" s="847"/>
      <c r="I1196" s="846"/>
      <c r="J1196" s="847"/>
      <c r="K1196" s="846"/>
      <c r="L1196" s="847"/>
      <c r="M1196" s="846"/>
      <c r="N1196" s="846"/>
      <c r="O1196" s="737">
        <f t="shared" si="151"/>
        <v>0</v>
      </c>
      <c r="P1196" s="847"/>
      <c r="Q1196" s="847"/>
      <c r="R1196" s="738">
        <f t="shared" si="154"/>
        <v>0</v>
      </c>
      <c r="S1196" s="737">
        <f t="shared" si="155"/>
        <v>0</v>
      </c>
      <c r="T1196" s="739">
        <f t="shared" si="156"/>
        <v>0</v>
      </c>
      <c r="U1196" s="846">
        <v>4043200</v>
      </c>
      <c r="V1196" s="847">
        <v>4210400</v>
      </c>
      <c r="W1196" s="846"/>
      <c r="X1196" s="846"/>
      <c r="Y1196" s="740">
        <f t="shared" si="152"/>
        <v>0</v>
      </c>
      <c r="Z1196" s="847"/>
      <c r="AA1196" s="847"/>
      <c r="AB1196" s="741">
        <f t="shared" si="153"/>
        <v>0</v>
      </c>
      <c r="AC1196" s="846"/>
      <c r="AD1196" s="847"/>
      <c r="AE1196" s="846"/>
      <c r="AF1196" s="846"/>
      <c r="AG1196" s="847"/>
      <c r="AH1196" s="847"/>
      <c r="AI1196" s="742">
        <f t="shared" si="157"/>
        <v>4043200</v>
      </c>
      <c r="AJ1196" s="743">
        <f t="shared" si="158"/>
        <v>4210400</v>
      </c>
    </row>
    <row r="1197" spans="1:36">
      <c r="A1197" s="1197" t="s">
        <v>150</v>
      </c>
      <c r="B1197" s="1271" t="s">
        <v>289</v>
      </c>
      <c r="C1197" s="1275" t="s">
        <v>571</v>
      </c>
      <c r="D1197" s="1217"/>
      <c r="E1197" s="1201"/>
      <c r="F1197" s="1202"/>
      <c r="G1197" s="846"/>
      <c r="H1197" s="847"/>
      <c r="I1197" s="846"/>
      <c r="J1197" s="847"/>
      <c r="K1197" s="846"/>
      <c r="L1197" s="847"/>
      <c r="M1197" s="846"/>
      <c r="N1197" s="846"/>
      <c r="O1197" s="737">
        <f t="shared" si="151"/>
        <v>0</v>
      </c>
      <c r="P1197" s="847"/>
      <c r="Q1197" s="847"/>
      <c r="R1197" s="738">
        <f t="shared" si="154"/>
        <v>0</v>
      </c>
      <c r="S1197" s="737">
        <f t="shared" si="155"/>
        <v>0</v>
      </c>
      <c r="T1197" s="739">
        <f t="shared" si="156"/>
        <v>0</v>
      </c>
      <c r="U1197" s="846">
        <v>306000</v>
      </c>
      <c r="V1197" s="847">
        <v>318000</v>
      </c>
      <c r="W1197" s="846"/>
      <c r="X1197" s="846"/>
      <c r="Y1197" s="740">
        <f t="shared" si="152"/>
        <v>0</v>
      </c>
      <c r="Z1197" s="847"/>
      <c r="AA1197" s="847"/>
      <c r="AB1197" s="741">
        <f t="shared" si="153"/>
        <v>0</v>
      </c>
      <c r="AC1197" s="846"/>
      <c r="AD1197" s="847"/>
      <c r="AE1197" s="846"/>
      <c r="AF1197" s="846"/>
      <c r="AG1197" s="847"/>
      <c r="AH1197" s="847"/>
      <c r="AI1197" s="742">
        <f t="shared" si="157"/>
        <v>306000</v>
      </c>
      <c r="AJ1197" s="743">
        <f t="shared" si="158"/>
        <v>318000</v>
      </c>
    </row>
    <row r="1198" spans="1:36">
      <c r="A1198" s="1197" t="s">
        <v>150</v>
      </c>
      <c r="B1198" s="1271" t="s">
        <v>290</v>
      </c>
      <c r="C1198" s="1216" t="s">
        <v>1544</v>
      </c>
      <c r="D1198" s="1217"/>
      <c r="E1198" s="1201"/>
      <c r="F1198" s="1202"/>
      <c r="G1198" s="846"/>
      <c r="H1198" s="847"/>
      <c r="I1198" s="846"/>
      <c r="J1198" s="847"/>
      <c r="K1198" s="846"/>
      <c r="L1198" s="847"/>
      <c r="M1198" s="846"/>
      <c r="N1198" s="846"/>
      <c r="O1198" s="737">
        <f t="shared" si="151"/>
        <v>0</v>
      </c>
      <c r="P1198" s="847"/>
      <c r="Q1198" s="847"/>
      <c r="R1198" s="738">
        <f t="shared" si="154"/>
        <v>0</v>
      </c>
      <c r="S1198" s="737">
        <f t="shared" si="155"/>
        <v>0</v>
      </c>
      <c r="T1198" s="739">
        <f t="shared" si="156"/>
        <v>0</v>
      </c>
      <c r="U1198" s="846">
        <v>156000</v>
      </c>
      <c r="V1198" s="847">
        <v>168000</v>
      </c>
      <c r="W1198" s="846"/>
      <c r="X1198" s="846"/>
      <c r="Y1198" s="740">
        <f t="shared" si="152"/>
        <v>0</v>
      </c>
      <c r="Z1198" s="847"/>
      <c r="AA1198" s="847"/>
      <c r="AB1198" s="741">
        <f t="shared" si="153"/>
        <v>0</v>
      </c>
      <c r="AC1198" s="846"/>
      <c r="AD1198" s="847"/>
      <c r="AE1198" s="846"/>
      <c r="AF1198" s="846"/>
      <c r="AG1198" s="847"/>
      <c r="AH1198" s="847"/>
      <c r="AI1198" s="742">
        <f t="shared" si="157"/>
        <v>156000</v>
      </c>
      <c r="AJ1198" s="743">
        <f t="shared" si="158"/>
        <v>168000</v>
      </c>
    </row>
    <row r="1199" spans="1:36">
      <c r="A1199" s="1197" t="s">
        <v>150</v>
      </c>
      <c r="B1199" s="1271" t="s">
        <v>291</v>
      </c>
      <c r="C1199" s="1294" t="s">
        <v>520</v>
      </c>
      <c r="D1199" s="1277"/>
      <c r="E1199" s="1201"/>
      <c r="F1199" s="1202"/>
      <c r="G1199" s="846"/>
      <c r="H1199" s="847"/>
      <c r="I1199" s="846"/>
      <c r="J1199" s="847"/>
      <c r="K1199" s="846"/>
      <c r="L1199" s="847"/>
      <c r="M1199" s="846"/>
      <c r="N1199" s="846"/>
      <c r="O1199" s="737">
        <f t="shared" si="151"/>
        <v>0</v>
      </c>
      <c r="P1199" s="847"/>
      <c r="Q1199" s="847"/>
      <c r="R1199" s="738">
        <f t="shared" si="154"/>
        <v>0</v>
      </c>
      <c r="S1199" s="737">
        <f t="shared" si="155"/>
        <v>0</v>
      </c>
      <c r="T1199" s="739">
        <f t="shared" si="156"/>
        <v>0</v>
      </c>
      <c r="U1199" s="846"/>
      <c r="V1199" s="847"/>
      <c r="W1199" s="846"/>
      <c r="X1199" s="846"/>
      <c r="Y1199" s="740">
        <f t="shared" si="152"/>
        <v>0</v>
      </c>
      <c r="Z1199" s="847"/>
      <c r="AA1199" s="847"/>
      <c r="AB1199" s="741">
        <f t="shared" si="153"/>
        <v>0</v>
      </c>
      <c r="AC1199" s="846"/>
      <c r="AD1199" s="847"/>
      <c r="AE1199" s="846"/>
      <c r="AF1199" s="846"/>
      <c r="AG1199" s="847"/>
      <c r="AH1199" s="847"/>
      <c r="AI1199" s="742">
        <f t="shared" si="157"/>
        <v>0</v>
      </c>
      <c r="AJ1199" s="743">
        <f t="shared" si="158"/>
        <v>0</v>
      </c>
    </row>
    <row r="1200" spans="1:36">
      <c r="A1200" s="1197" t="s">
        <v>150</v>
      </c>
      <c r="B1200" s="1271" t="s">
        <v>292</v>
      </c>
      <c r="C1200" s="1296" t="s">
        <v>34</v>
      </c>
      <c r="D1200" s="1277"/>
      <c r="E1200" s="1201"/>
      <c r="F1200" s="1202"/>
      <c r="G1200" s="846"/>
      <c r="H1200" s="847"/>
      <c r="I1200" s="846"/>
      <c r="J1200" s="847"/>
      <c r="K1200" s="846"/>
      <c r="L1200" s="847"/>
      <c r="M1200" s="846"/>
      <c r="N1200" s="846"/>
      <c r="O1200" s="737">
        <f t="shared" si="151"/>
        <v>0</v>
      </c>
      <c r="P1200" s="847"/>
      <c r="Q1200" s="847"/>
      <c r="R1200" s="738">
        <f t="shared" si="154"/>
        <v>0</v>
      </c>
      <c r="S1200" s="737">
        <f t="shared" si="155"/>
        <v>0</v>
      </c>
      <c r="T1200" s="739">
        <f t="shared" si="156"/>
        <v>0</v>
      </c>
      <c r="U1200" s="846"/>
      <c r="V1200" s="847"/>
      <c r="W1200" s="846"/>
      <c r="X1200" s="846"/>
      <c r="Y1200" s="740">
        <f t="shared" si="152"/>
        <v>0</v>
      </c>
      <c r="Z1200" s="847"/>
      <c r="AA1200" s="847"/>
      <c r="AB1200" s="741">
        <f t="shared" si="153"/>
        <v>0</v>
      </c>
      <c r="AC1200" s="846"/>
      <c r="AD1200" s="847"/>
      <c r="AE1200" s="846"/>
      <c r="AF1200" s="846"/>
      <c r="AG1200" s="847"/>
      <c r="AH1200" s="847"/>
      <c r="AI1200" s="742">
        <f t="shared" si="157"/>
        <v>0</v>
      </c>
      <c r="AJ1200" s="743">
        <f t="shared" si="158"/>
        <v>0</v>
      </c>
    </row>
    <row r="1201" spans="1:36">
      <c r="A1201" s="1197" t="s">
        <v>150</v>
      </c>
      <c r="B1201" s="1297" t="s">
        <v>209</v>
      </c>
      <c r="C1201" s="1298" t="s">
        <v>1545</v>
      </c>
      <c r="D1201" s="1222"/>
      <c r="E1201" s="1299"/>
      <c r="F1201" s="1300"/>
      <c r="G1201" s="846"/>
      <c r="H1201" s="847"/>
      <c r="I1201" s="846"/>
      <c r="J1201" s="847"/>
      <c r="K1201" s="846"/>
      <c r="L1201" s="847"/>
      <c r="M1201" s="846"/>
      <c r="N1201" s="846"/>
      <c r="O1201" s="737">
        <f t="shared" si="151"/>
        <v>0</v>
      </c>
      <c r="P1201" s="847"/>
      <c r="Q1201" s="847"/>
      <c r="R1201" s="738">
        <f t="shared" si="154"/>
        <v>0</v>
      </c>
      <c r="S1201" s="737">
        <f t="shared" si="155"/>
        <v>0</v>
      </c>
      <c r="T1201" s="739">
        <f t="shared" si="156"/>
        <v>0</v>
      </c>
      <c r="U1201" s="846"/>
      <c r="V1201" s="847"/>
      <c r="W1201" s="846"/>
      <c r="X1201" s="846"/>
      <c r="Y1201" s="740">
        <f t="shared" si="152"/>
        <v>0</v>
      </c>
      <c r="Z1201" s="847"/>
      <c r="AA1201" s="847"/>
      <c r="AB1201" s="741">
        <f t="shared" si="153"/>
        <v>0</v>
      </c>
      <c r="AC1201" s="846"/>
      <c r="AD1201" s="847"/>
      <c r="AE1201" s="846"/>
      <c r="AF1201" s="846"/>
      <c r="AG1201" s="847"/>
      <c r="AH1201" s="847"/>
      <c r="AI1201" s="742">
        <f t="shared" si="157"/>
        <v>0</v>
      </c>
      <c r="AJ1201" s="743">
        <f t="shared" si="158"/>
        <v>0</v>
      </c>
    </row>
    <row r="1202" spans="1:36">
      <c r="A1202" s="1197" t="s">
        <v>150</v>
      </c>
      <c r="B1202" s="1297" t="s">
        <v>209</v>
      </c>
      <c r="C1202" s="1221" t="s">
        <v>522</v>
      </c>
      <c r="D1202" s="1222"/>
      <c r="E1202" s="1299"/>
      <c r="F1202" s="1300"/>
      <c r="G1202" s="846"/>
      <c r="H1202" s="847"/>
      <c r="I1202" s="846"/>
      <c r="J1202" s="847"/>
      <c r="K1202" s="846"/>
      <c r="L1202" s="847"/>
      <c r="M1202" s="846"/>
      <c r="N1202" s="846"/>
      <c r="O1202" s="737">
        <f t="shared" si="151"/>
        <v>0</v>
      </c>
      <c r="P1202" s="847"/>
      <c r="Q1202" s="847"/>
      <c r="R1202" s="738">
        <f t="shared" si="154"/>
        <v>0</v>
      </c>
      <c r="S1202" s="737">
        <f t="shared" si="155"/>
        <v>0</v>
      </c>
      <c r="T1202" s="739">
        <f t="shared" si="156"/>
        <v>0</v>
      </c>
      <c r="U1202" s="846"/>
      <c r="V1202" s="847"/>
      <c r="W1202" s="846"/>
      <c r="X1202" s="846"/>
      <c r="Y1202" s="740">
        <f t="shared" si="152"/>
        <v>0</v>
      </c>
      <c r="Z1202" s="847"/>
      <c r="AA1202" s="847"/>
      <c r="AB1202" s="741">
        <f t="shared" si="153"/>
        <v>0</v>
      </c>
      <c r="AC1202" s="846"/>
      <c r="AD1202" s="847"/>
      <c r="AE1202" s="846"/>
      <c r="AF1202" s="846"/>
      <c r="AG1202" s="847"/>
      <c r="AH1202" s="847"/>
      <c r="AI1202" s="742">
        <f t="shared" si="157"/>
        <v>0</v>
      </c>
      <c r="AJ1202" s="743">
        <f t="shared" si="158"/>
        <v>0</v>
      </c>
    </row>
    <row r="1203" spans="1:36">
      <c r="A1203" s="1197" t="s">
        <v>150</v>
      </c>
      <c r="B1203" s="1297" t="s">
        <v>210</v>
      </c>
      <c r="C1203" s="1221" t="s">
        <v>311</v>
      </c>
      <c r="D1203" s="1222"/>
      <c r="E1203" s="1299"/>
      <c r="F1203" s="1300"/>
      <c r="G1203" s="846"/>
      <c r="H1203" s="847"/>
      <c r="I1203" s="846"/>
      <c r="J1203" s="847"/>
      <c r="K1203" s="846"/>
      <c r="L1203" s="847"/>
      <c r="M1203" s="846"/>
      <c r="N1203" s="846"/>
      <c r="O1203" s="737">
        <f t="shared" si="151"/>
        <v>0</v>
      </c>
      <c r="P1203" s="847"/>
      <c r="Q1203" s="847"/>
      <c r="R1203" s="738">
        <f t="shared" si="154"/>
        <v>0</v>
      </c>
      <c r="S1203" s="737">
        <f t="shared" si="155"/>
        <v>0</v>
      </c>
      <c r="T1203" s="739">
        <f t="shared" si="156"/>
        <v>0</v>
      </c>
      <c r="U1203" s="846"/>
      <c r="V1203" s="847"/>
      <c r="W1203" s="846"/>
      <c r="X1203" s="846"/>
      <c r="Y1203" s="740">
        <f t="shared" si="152"/>
        <v>0</v>
      </c>
      <c r="Z1203" s="847"/>
      <c r="AA1203" s="847"/>
      <c r="AB1203" s="741">
        <f t="shared" si="153"/>
        <v>0</v>
      </c>
      <c r="AC1203" s="846"/>
      <c r="AD1203" s="847"/>
      <c r="AE1203" s="846"/>
      <c r="AF1203" s="846"/>
      <c r="AG1203" s="847"/>
      <c r="AH1203" s="847"/>
      <c r="AI1203" s="742">
        <f t="shared" si="157"/>
        <v>0</v>
      </c>
      <c r="AJ1203" s="743">
        <f t="shared" si="158"/>
        <v>0</v>
      </c>
    </row>
    <row r="1204" spans="1:36">
      <c r="A1204" s="1197" t="s">
        <v>150</v>
      </c>
      <c r="B1204" s="1297" t="s">
        <v>204</v>
      </c>
      <c r="C1204" s="1221" t="s">
        <v>249</v>
      </c>
      <c r="D1204" s="1222"/>
      <c r="E1204" s="1299"/>
      <c r="F1204" s="1300"/>
      <c r="G1204" s="846"/>
      <c r="H1204" s="847"/>
      <c r="I1204" s="846"/>
      <c r="J1204" s="847"/>
      <c r="K1204" s="846"/>
      <c r="L1204" s="847"/>
      <c r="M1204" s="846"/>
      <c r="N1204" s="846"/>
      <c r="O1204" s="737">
        <f t="shared" si="151"/>
        <v>0</v>
      </c>
      <c r="P1204" s="847"/>
      <c r="Q1204" s="847"/>
      <c r="R1204" s="738">
        <f t="shared" si="154"/>
        <v>0</v>
      </c>
      <c r="S1204" s="737">
        <f t="shared" si="155"/>
        <v>0</v>
      </c>
      <c r="T1204" s="739">
        <f t="shared" si="156"/>
        <v>0</v>
      </c>
      <c r="U1204" s="846">
        <v>85956246</v>
      </c>
      <c r="V1204" s="1301">
        <v>88697051</v>
      </c>
      <c r="W1204" s="846"/>
      <c r="X1204" s="846"/>
      <c r="Y1204" s="740">
        <f t="shared" si="152"/>
        <v>0</v>
      </c>
      <c r="Z1204" s="847"/>
      <c r="AA1204" s="847"/>
      <c r="AB1204" s="741">
        <f t="shared" si="153"/>
        <v>0</v>
      </c>
      <c r="AC1204" s="846"/>
      <c r="AD1204" s="847"/>
      <c r="AE1204" s="846"/>
      <c r="AF1204" s="846"/>
      <c r="AG1204" s="847"/>
      <c r="AH1204" s="847"/>
      <c r="AI1204" s="742">
        <f t="shared" si="157"/>
        <v>85956246</v>
      </c>
      <c r="AJ1204" s="743">
        <f t="shared" si="158"/>
        <v>88697051</v>
      </c>
    </row>
    <row r="1205" spans="1:36">
      <c r="A1205" s="1197" t="s">
        <v>150</v>
      </c>
      <c r="B1205" s="1297" t="s">
        <v>205</v>
      </c>
      <c r="C1205" s="1221" t="s">
        <v>523</v>
      </c>
      <c r="D1205" s="1222"/>
      <c r="E1205" s="1299"/>
      <c r="F1205" s="1300"/>
      <c r="G1205" s="846"/>
      <c r="H1205" s="847"/>
      <c r="I1205" s="846"/>
      <c r="J1205" s="847"/>
      <c r="K1205" s="846"/>
      <c r="L1205" s="847"/>
      <c r="M1205" s="846"/>
      <c r="N1205" s="846"/>
      <c r="O1205" s="737">
        <f t="shared" si="151"/>
        <v>0</v>
      </c>
      <c r="P1205" s="847"/>
      <c r="Q1205" s="847"/>
      <c r="R1205" s="738">
        <f t="shared" si="154"/>
        <v>0</v>
      </c>
      <c r="S1205" s="737">
        <f t="shared" si="155"/>
        <v>0</v>
      </c>
      <c r="T1205" s="739">
        <f t="shared" si="156"/>
        <v>0</v>
      </c>
      <c r="U1205" s="846"/>
      <c r="V1205" s="847"/>
      <c r="W1205" s="846"/>
      <c r="X1205" s="846"/>
      <c r="Y1205" s="740">
        <f t="shared" si="152"/>
        <v>0</v>
      </c>
      <c r="Z1205" s="847"/>
      <c r="AA1205" s="847"/>
      <c r="AB1205" s="741">
        <f t="shared" si="153"/>
        <v>0</v>
      </c>
      <c r="AC1205" s="846"/>
      <c r="AD1205" s="847"/>
      <c r="AE1205" s="846"/>
      <c r="AF1205" s="846"/>
      <c r="AG1205" s="847"/>
      <c r="AH1205" s="847"/>
      <c r="AI1205" s="742">
        <f t="shared" si="157"/>
        <v>0</v>
      </c>
      <c r="AJ1205" s="743">
        <f t="shared" si="158"/>
        <v>0</v>
      </c>
    </row>
    <row r="1206" spans="1:36">
      <c r="A1206" s="1197" t="s">
        <v>150</v>
      </c>
      <c r="B1206" s="1297" t="s">
        <v>218</v>
      </c>
      <c r="C1206" s="1221" t="s">
        <v>311</v>
      </c>
      <c r="D1206" s="1222"/>
      <c r="E1206" s="1299"/>
      <c r="F1206" s="1300"/>
      <c r="G1206" s="846"/>
      <c r="H1206" s="847"/>
      <c r="I1206" s="846"/>
      <c r="J1206" s="847"/>
      <c r="K1206" s="846"/>
      <c r="L1206" s="847"/>
      <c r="M1206" s="846"/>
      <c r="N1206" s="846"/>
      <c r="O1206" s="737">
        <f t="shared" si="151"/>
        <v>0</v>
      </c>
      <c r="P1206" s="847"/>
      <c r="Q1206" s="847"/>
      <c r="R1206" s="738">
        <f t="shared" si="154"/>
        <v>0</v>
      </c>
      <c r="S1206" s="737">
        <f t="shared" si="155"/>
        <v>0</v>
      </c>
      <c r="T1206" s="739">
        <f t="shared" si="156"/>
        <v>0</v>
      </c>
      <c r="U1206" s="846"/>
      <c r="V1206" s="847"/>
      <c r="W1206" s="846"/>
      <c r="X1206" s="846"/>
      <c r="Y1206" s="740">
        <f t="shared" si="152"/>
        <v>0</v>
      </c>
      <c r="Z1206" s="847"/>
      <c r="AA1206" s="847"/>
      <c r="AB1206" s="741">
        <f t="shared" si="153"/>
        <v>0</v>
      </c>
      <c r="AC1206" s="846"/>
      <c r="AD1206" s="847"/>
      <c r="AE1206" s="846"/>
      <c r="AF1206" s="846"/>
      <c r="AG1206" s="847"/>
      <c r="AH1206" s="847"/>
      <c r="AI1206" s="742">
        <f t="shared" si="157"/>
        <v>0</v>
      </c>
      <c r="AJ1206" s="743">
        <f t="shared" si="158"/>
        <v>0</v>
      </c>
    </row>
    <row r="1207" spans="1:36">
      <c r="A1207" s="1197" t="s">
        <v>150</v>
      </c>
      <c r="B1207" s="1297" t="s">
        <v>219</v>
      </c>
      <c r="C1207" s="1221" t="s">
        <v>249</v>
      </c>
      <c r="D1207" s="1222"/>
      <c r="E1207" s="1299"/>
      <c r="F1207" s="1300"/>
      <c r="G1207" s="846"/>
      <c r="H1207" s="847"/>
      <c r="I1207" s="846"/>
      <c r="J1207" s="847"/>
      <c r="K1207" s="846"/>
      <c r="L1207" s="847"/>
      <c r="M1207" s="846"/>
      <c r="N1207" s="846"/>
      <c r="O1207" s="737">
        <f t="shared" si="151"/>
        <v>0</v>
      </c>
      <c r="P1207" s="847"/>
      <c r="Q1207" s="847"/>
      <c r="R1207" s="738">
        <f t="shared" si="154"/>
        <v>0</v>
      </c>
      <c r="S1207" s="737">
        <f t="shared" si="155"/>
        <v>0</v>
      </c>
      <c r="T1207" s="739">
        <f t="shared" si="156"/>
        <v>0</v>
      </c>
      <c r="U1207" s="846">
        <v>18420585</v>
      </c>
      <c r="V1207" s="1301">
        <v>18398878</v>
      </c>
      <c r="W1207" s="846"/>
      <c r="X1207" s="846"/>
      <c r="Y1207" s="740">
        <f t="shared" si="152"/>
        <v>0</v>
      </c>
      <c r="Z1207" s="847"/>
      <c r="AA1207" s="847"/>
      <c r="AB1207" s="741">
        <f t="shared" si="153"/>
        <v>0</v>
      </c>
      <c r="AC1207" s="846"/>
      <c r="AD1207" s="847"/>
      <c r="AE1207" s="846"/>
      <c r="AF1207" s="846"/>
      <c r="AG1207" s="847"/>
      <c r="AH1207" s="847"/>
      <c r="AI1207" s="742">
        <f t="shared" si="157"/>
        <v>18420585</v>
      </c>
      <c r="AJ1207" s="743">
        <f t="shared" si="158"/>
        <v>18398878</v>
      </c>
    </row>
    <row r="1208" spans="1:36">
      <c r="A1208" s="1197" t="s">
        <v>150</v>
      </c>
      <c r="B1208" s="1271" t="s">
        <v>292</v>
      </c>
      <c r="C1208" s="1298" t="s">
        <v>1546</v>
      </c>
      <c r="D1208" s="1222"/>
      <c r="E1208" s="1201"/>
      <c r="F1208" s="1202"/>
      <c r="G1208" s="846"/>
      <c r="H1208" s="847"/>
      <c r="I1208" s="846"/>
      <c r="J1208" s="847"/>
      <c r="K1208" s="846"/>
      <c r="L1208" s="847"/>
      <c r="M1208" s="846"/>
      <c r="N1208" s="846"/>
      <c r="O1208" s="737">
        <f t="shared" si="151"/>
        <v>0</v>
      </c>
      <c r="P1208" s="847"/>
      <c r="Q1208" s="847"/>
      <c r="R1208" s="738">
        <f t="shared" si="154"/>
        <v>0</v>
      </c>
      <c r="S1208" s="737">
        <f t="shared" si="155"/>
        <v>0</v>
      </c>
      <c r="T1208" s="739">
        <f t="shared" si="156"/>
        <v>0</v>
      </c>
      <c r="U1208" s="846"/>
      <c r="V1208" s="847"/>
      <c r="W1208" s="846"/>
      <c r="X1208" s="846"/>
      <c r="Y1208" s="740">
        <f t="shared" si="152"/>
        <v>0</v>
      </c>
      <c r="Z1208" s="847"/>
      <c r="AA1208" s="847"/>
      <c r="AB1208" s="741">
        <f t="shared" si="153"/>
        <v>0</v>
      </c>
      <c r="AC1208" s="846"/>
      <c r="AD1208" s="847"/>
      <c r="AE1208" s="846"/>
      <c r="AF1208" s="846"/>
      <c r="AG1208" s="847"/>
      <c r="AH1208" s="847"/>
      <c r="AI1208" s="742">
        <f t="shared" si="157"/>
        <v>0</v>
      </c>
      <c r="AJ1208" s="743">
        <f t="shared" si="158"/>
        <v>0</v>
      </c>
    </row>
    <row r="1209" spans="1:36">
      <c r="A1209" s="1197" t="s">
        <v>150</v>
      </c>
      <c r="B1209" s="1297" t="s">
        <v>209</v>
      </c>
      <c r="C1209" s="1221" t="s">
        <v>522</v>
      </c>
      <c r="D1209" s="1222"/>
      <c r="E1209" s="1299"/>
      <c r="F1209" s="1300"/>
      <c r="G1209" s="846"/>
      <c r="H1209" s="847"/>
      <c r="I1209" s="846"/>
      <c r="J1209" s="847"/>
      <c r="K1209" s="846"/>
      <c r="L1209" s="847"/>
      <c r="M1209" s="846"/>
      <c r="N1209" s="846"/>
      <c r="O1209" s="737">
        <f t="shared" si="151"/>
        <v>0</v>
      </c>
      <c r="P1209" s="847"/>
      <c r="Q1209" s="847"/>
      <c r="R1209" s="738">
        <f t="shared" si="154"/>
        <v>0</v>
      </c>
      <c r="S1209" s="737">
        <f t="shared" si="155"/>
        <v>0</v>
      </c>
      <c r="T1209" s="739">
        <f t="shared" si="156"/>
        <v>0</v>
      </c>
      <c r="U1209" s="846"/>
      <c r="V1209" s="847"/>
      <c r="W1209" s="846"/>
      <c r="X1209" s="846"/>
      <c r="Y1209" s="740">
        <f t="shared" si="152"/>
        <v>0</v>
      </c>
      <c r="Z1209" s="847"/>
      <c r="AA1209" s="847"/>
      <c r="AB1209" s="741">
        <f t="shared" si="153"/>
        <v>0</v>
      </c>
      <c r="AC1209" s="846"/>
      <c r="AD1209" s="847"/>
      <c r="AE1209" s="846"/>
      <c r="AF1209" s="846"/>
      <c r="AG1209" s="847"/>
      <c r="AH1209" s="847"/>
      <c r="AI1209" s="742">
        <f t="shared" si="157"/>
        <v>0</v>
      </c>
      <c r="AJ1209" s="743">
        <f t="shared" si="158"/>
        <v>0</v>
      </c>
    </row>
    <row r="1210" spans="1:36">
      <c r="A1210" s="1197" t="s">
        <v>150</v>
      </c>
      <c r="B1210" s="1297" t="s">
        <v>210</v>
      </c>
      <c r="C1210" s="1221" t="s">
        <v>311</v>
      </c>
      <c r="D1210" s="1222"/>
      <c r="E1210" s="1299"/>
      <c r="F1210" s="1300"/>
      <c r="G1210" s="846"/>
      <c r="H1210" s="847"/>
      <c r="I1210" s="846"/>
      <c r="J1210" s="847"/>
      <c r="K1210" s="846"/>
      <c r="L1210" s="847"/>
      <c r="M1210" s="846"/>
      <c r="N1210" s="846"/>
      <c r="O1210" s="737">
        <f t="shared" si="151"/>
        <v>0</v>
      </c>
      <c r="P1210" s="847"/>
      <c r="Q1210" s="847"/>
      <c r="R1210" s="738">
        <f t="shared" si="154"/>
        <v>0</v>
      </c>
      <c r="S1210" s="737">
        <f t="shared" si="155"/>
        <v>0</v>
      </c>
      <c r="T1210" s="739">
        <f t="shared" si="156"/>
        <v>0</v>
      </c>
      <c r="U1210" s="846">
        <v>46607653</v>
      </c>
      <c r="V1210" s="1301">
        <v>47284845</v>
      </c>
      <c r="W1210" s="846"/>
      <c r="X1210" s="846"/>
      <c r="Y1210" s="740">
        <f t="shared" si="152"/>
        <v>0</v>
      </c>
      <c r="Z1210" s="847"/>
      <c r="AA1210" s="847"/>
      <c r="AB1210" s="741">
        <f t="shared" si="153"/>
        <v>0</v>
      </c>
      <c r="AC1210" s="846"/>
      <c r="AD1210" s="847"/>
      <c r="AE1210" s="846"/>
      <c r="AF1210" s="846"/>
      <c r="AG1210" s="847"/>
      <c r="AH1210" s="847"/>
      <c r="AI1210" s="742">
        <f t="shared" si="157"/>
        <v>46607653</v>
      </c>
      <c r="AJ1210" s="743">
        <f t="shared" si="158"/>
        <v>47284845</v>
      </c>
    </row>
    <row r="1211" spans="1:36">
      <c r="A1211" s="1197" t="s">
        <v>150</v>
      </c>
      <c r="B1211" s="1297" t="s">
        <v>204</v>
      </c>
      <c r="C1211" s="1221" t="s">
        <v>249</v>
      </c>
      <c r="D1211" s="1222"/>
      <c r="E1211" s="1299"/>
      <c r="F1211" s="1300"/>
      <c r="G1211" s="846"/>
      <c r="H1211" s="847"/>
      <c r="I1211" s="846"/>
      <c r="J1211" s="847"/>
      <c r="K1211" s="846"/>
      <c r="L1211" s="847"/>
      <c r="M1211" s="846"/>
      <c r="N1211" s="846"/>
      <c r="O1211" s="737">
        <f t="shared" si="151"/>
        <v>0</v>
      </c>
      <c r="P1211" s="847"/>
      <c r="Q1211" s="847"/>
      <c r="R1211" s="738">
        <f t="shared" si="154"/>
        <v>0</v>
      </c>
      <c r="S1211" s="737">
        <f t="shared" si="155"/>
        <v>0</v>
      </c>
      <c r="T1211" s="739">
        <f t="shared" si="156"/>
        <v>0</v>
      </c>
      <c r="U1211" s="846"/>
      <c r="V1211" s="847"/>
      <c r="W1211" s="846"/>
      <c r="X1211" s="846"/>
      <c r="Y1211" s="740">
        <f t="shared" si="152"/>
        <v>0</v>
      </c>
      <c r="Z1211" s="847"/>
      <c r="AA1211" s="847"/>
      <c r="AB1211" s="741">
        <f t="shared" si="153"/>
        <v>0</v>
      </c>
      <c r="AC1211" s="846"/>
      <c r="AD1211" s="847"/>
      <c r="AE1211" s="846"/>
      <c r="AF1211" s="846"/>
      <c r="AG1211" s="847"/>
      <c r="AH1211" s="847"/>
      <c r="AI1211" s="742">
        <f t="shared" si="157"/>
        <v>0</v>
      </c>
      <c r="AJ1211" s="743">
        <f t="shared" si="158"/>
        <v>0</v>
      </c>
    </row>
    <row r="1212" spans="1:36">
      <c r="A1212" s="1197" t="s">
        <v>150</v>
      </c>
      <c r="B1212" s="1297" t="s">
        <v>205</v>
      </c>
      <c r="C1212" s="1221" t="s">
        <v>523</v>
      </c>
      <c r="D1212" s="1222"/>
      <c r="E1212" s="1299"/>
      <c r="F1212" s="1300"/>
      <c r="G1212" s="846"/>
      <c r="H1212" s="847"/>
      <c r="I1212" s="846"/>
      <c r="J1212" s="847"/>
      <c r="K1212" s="846"/>
      <c r="L1212" s="847"/>
      <c r="M1212" s="846"/>
      <c r="N1212" s="846"/>
      <c r="O1212" s="737">
        <f t="shared" si="151"/>
        <v>0</v>
      </c>
      <c r="P1212" s="847"/>
      <c r="Q1212" s="847"/>
      <c r="R1212" s="738">
        <f t="shared" si="154"/>
        <v>0</v>
      </c>
      <c r="S1212" s="737">
        <f t="shared" si="155"/>
        <v>0</v>
      </c>
      <c r="T1212" s="739">
        <f t="shared" si="156"/>
        <v>0</v>
      </c>
      <c r="U1212" s="846"/>
      <c r="V1212" s="847"/>
      <c r="W1212" s="846"/>
      <c r="X1212" s="846"/>
      <c r="Y1212" s="740">
        <f t="shared" si="152"/>
        <v>0</v>
      </c>
      <c r="Z1212" s="847"/>
      <c r="AA1212" s="847"/>
      <c r="AB1212" s="741">
        <f t="shared" si="153"/>
        <v>0</v>
      </c>
      <c r="AC1212" s="846"/>
      <c r="AD1212" s="847"/>
      <c r="AE1212" s="846"/>
      <c r="AF1212" s="846"/>
      <c r="AG1212" s="847"/>
      <c r="AH1212" s="847"/>
      <c r="AI1212" s="742">
        <f t="shared" si="157"/>
        <v>0</v>
      </c>
      <c r="AJ1212" s="743">
        <f t="shared" si="158"/>
        <v>0</v>
      </c>
    </row>
    <row r="1213" spans="1:36">
      <c r="A1213" s="1197" t="s">
        <v>150</v>
      </c>
      <c r="B1213" s="1297" t="s">
        <v>218</v>
      </c>
      <c r="C1213" s="1221" t="s">
        <v>311</v>
      </c>
      <c r="D1213" s="1222"/>
      <c r="E1213" s="1299"/>
      <c r="F1213" s="1300"/>
      <c r="G1213" s="846"/>
      <c r="H1213" s="847"/>
      <c r="I1213" s="846"/>
      <c r="J1213" s="847"/>
      <c r="K1213" s="846"/>
      <c r="L1213" s="847"/>
      <c r="M1213" s="846"/>
      <c r="N1213" s="846"/>
      <c r="O1213" s="737">
        <f t="shared" si="151"/>
        <v>0</v>
      </c>
      <c r="P1213" s="847"/>
      <c r="Q1213" s="847"/>
      <c r="R1213" s="738">
        <f t="shared" si="154"/>
        <v>0</v>
      </c>
      <c r="S1213" s="737">
        <f t="shared" si="155"/>
        <v>0</v>
      </c>
      <c r="T1213" s="739">
        <f t="shared" si="156"/>
        <v>0</v>
      </c>
      <c r="U1213" s="846">
        <v>15684986</v>
      </c>
      <c r="V1213" s="1301">
        <v>13536733</v>
      </c>
      <c r="W1213" s="846"/>
      <c r="X1213" s="846"/>
      <c r="Y1213" s="740">
        <f t="shared" si="152"/>
        <v>0</v>
      </c>
      <c r="Z1213" s="847"/>
      <c r="AA1213" s="847"/>
      <c r="AB1213" s="741">
        <f t="shared" si="153"/>
        <v>0</v>
      </c>
      <c r="AC1213" s="846"/>
      <c r="AD1213" s="847"/>
      <c r="AE1213" s="846"/>
      <c r="AF1213" s="846"/>
      <c r="AG1213" s="847"/>
      <c r="AH1213" s="847"/>
      <c r="AI1213" s="742">
        <f t="shared" si="157"/>
        <v>15684986</v>
      </c>
      <c r="AJ1213" s="743">
        <f t="shared" si="158"/>
        <v>13536733</v>
      </c>
    </row>
    <row r="1214" spans="1:36">
      <c r="A1214" s="1197" t="s">
        <v>150</v>
      </c>
      <c r="B1214" s="1297" t="s">
        <v>219</v>
      </c>
      <c r="C1214" s="1221" t="s">
        <v>249</v>
      </c>
      <c r="D1214" s="1222"/>
      <c r="E1214" s="1299"/>
      <c r="F1214" s="1300"/>
      <c r="G1214" s="846"/>
      <c r="H1214" s="847"/>
      <c r="I1214" s="846"/>
      <c r="J1214" s="847"/>
      <c r="K1214" s="846"/>
      <c r="L1214" s="847"/>
      <c r="M1214" s="846"/>
      <c r="N1214" s="846"/>
      <c r="O1214" s="737">
        <f t="shared" si="151"/>
        <v>0</v>
      </c>
      <c r="P1214" s="847"/>
      <c r="Q1214" s="847"/>
      <c r="R1214" s="738">
        <f t="shared" si="154"/>
        <v>0</v>
      </c>
      <c r="S1214" s="737">
        <f t="shared" si="155"/>
        <v>0</v>
      </c>
      <c r="T1214" s="739">
        <f t="shared" si="156"/>
        <v>0</v>
      </c>
      <c r="U1214" s="846"/>
      <c r="V1214" s="847"/>
      <c r="W1214" s="846"/>
      <c r="X1214" s="846"/>
      <c r="Y1214" s="740">
        <f t="shared" si="152"/>
        <v>0</v>
      </c>
      <c r="Z1214" s="847"/>
      <c r="AA1214" s="847"/>
      <c r="AB1214" s="741">
        <f t="shared" si="153"/>
        <v>0</v>
      </c>
      <c r="AC1214" s="846"/>
      <c r="AD1214" s="847"/>
      <c r="AE1214" s="846"/>
      <c r="AF1214" s="846"/>
      <c r="AG1214" s="847"/>
      <c r="AH1214" s="847"/>
      <c r="AI1214" s="742">
        <f t="shared" si="157"/>
        <v>0</v>
      </c>
      <c r="AJ1214" s="743">
        <f t="shared" si="158"/>
        <v>0</v>
      </c>
    </row>
    <row r="1215" spans="1:36">
      <c r="A1215" s="1197" t="s">
        <v>150</v>
      </c>
      <c r="B1215" s="1297" t="s">
        <v>293</v>
      </c>
      <c r="C1215" s="1227" t="s">
        <v>525</v>
      </c>
      <c r="D1215" s="1228"/>
      <c r="E1215" s="1299"/>
      <c r="F1215" s="1300"/>
      <c r="G1215" s="846"/>
      <c r="H1215" s="847"/>
      <c r="I1215" s="846"/>
      <c r="J1215" s="847"/>
      <c r="K1215" s="846"/>
      <c r="L1215" s="847"/>
      <c r="M1215" s="846"/>
      <c r="N1215" s="846"/>
      <c r="O1215" s="737">
        <f t="shared" si="151"/>
        <v>0</v>
      </c>
      <c r="P1215" s="847"/>
      <c r="Q1215" s="847"/>
      <c r="R1215" s="738">
        <f t="shared" si="154"/>
        <v>0</v>
      </c>
      <c r="S1215" s="737">
        <f t="shared" si="155"/>
        <v>0</v>
      </c>
      <c r="T1215" s="739">
        <f t="shared" si="156"/>
        <v>0</v>
      </c>
      <c r="U1215" s="846"/>
      <c r="V1215" s="847"/>
      <c r="W1215" s="846"/>
      <c r="X1215" s="846"/>
      <c r="Y1215" s="740">
        <f t="shared" si="152"/>
        <v>0</v>
      </c>
      <c r="Z1215" s="847"/>
      <c r="AA1215" s="847"/>
      <c r="AB1215" s="741">
        <f t="shared" si="153"/>
        <v>0</v>
      </c>
      <c r="AC1215" s="846"/>
      <c r="AD1215" s="847"/>
      <c r="AE1215" s="846"/>
      <c r="AF1215" s="846"/>
      <c r="AG1215" s="847"/>
      <c r="AH1215" s="847"/>
      <c r="AI1215" s="742">
        <f t="shared" si="157"/>
        <v>0</v>
      </c>
      <c r="AJ1215" s="743">
        <f t="shared" si="158"/>
        <v>0</v>
      </c>
    </row>
    <row r="1216" spans="1:36">
      <c r="A1216" s="1197" t="s">
        <v>150</v>
      </c>
      <c r="B1216" s="1271" t="s">
        <v>294</v>
      </c>
      <c r="C1216" s="1296" t="s">
        <v>307</v>
      </c>
      <c r="D1216" s="1277"/>
      <c r="E1216" s="1201"/>
      <c r="F1216" s="1202"/>
      <c r="G1216" s="846"/>
      <c r="H1216" s="847"/>
      <c r="I1216" s="846"/>
      <c r="J1216" s="847"/>
      <c r="K1216" s="846"/>
      <c r="L1216" s="847"/>
      <c r="M1216" s="846"/>
      <c r="N1216" s="846"/>
      <c r="O1216" s="737">
        <f t="shared" si="151"/>
        <v>0</v>
      </c>
      <c r="P1216" s="847"/>
      <c r="Q1216" s="847"/>
      <c r="R1216" s="738">
        <f t="shared" si="154"/>
        <v>0</v>
      </c>
      <c r="S1216" s="737">
        <f t="shared" si="155"/>
        <v>0</v>
      </c>
      <c r="T1216" s="739">
        <f t="shared" si="156"/>
        <v>0</v>
      </c>
      <c r="U1216" s="846"/>
      <c r="V1216" s="847"/>
      <c r="W1216" s="846"/>
      <c r="X1216" s="846"/>
      <c r="Y1216" s="740">
        <f t="shared" si="152"/>
        <v>0</v>
      </c>
      <c r="Z1216" s="847"/>
      <c r="AA1216" s="847"/>
      <c r="AB1216" s="741">
        <f t="shared" si="153"/>
        <v>0</v>
      </c>
      <c r="AC1216" s="846"/>
      <c r="AD1216" s="847"/>
      <c r="AE1216" s="846"/>
      <c r="AF1216" s="846"/>
      <c r="AG1216" s="847"/>
      <c r="AH1216" s="847"/>
      <c r="AI1216" s="742">
        <f t="shared" si="157"/>
        <v>0</v>
      </c>
      <c r="AJ1216" s="743">
        <f t="shared" si="158"/>
        <v>0</v>
      </c>
    </row>
    <row r="1217" spans="1:36">
      <c r="A1217" s="1197" t="s">
        <v>150</v>
      </c>
      <c r="B1217" s="1271" t="s">
        <v>294</v>
      </c>
      <c r="C1217" s="1298" t="s">
        <v>1547</v>
      </c>
      <c r="D1217" s="1222"/>
      <c r="E1217" s="1299"/>
      <c r="F1217" s="1300"/>
      <c r="G1217" s="846"/>
      <c r="H1217" s="847"/>
      <c r="I1217" s="846"/>
      <c r="J1217" s="847"/>
      <c r="K1217" s="846"/>
      <c r="L1217" s="847"/>
      <c r="M1217" s="846"/>
      <c r="N1217" s="846"/>
      <c r="O1217" s="737">
        <f t="shared" si="151"/>
        <v>0</v>
      </c>
      <c r="P1217" s="847"/>
      <c r="Q1217" s="847"/>
      <c r="R1217" s="738">
        <f t="shared" si="154"/>
        <v>0</v>
      </c>
      <c r="S1217" s="737">
        <f t="shared" si="155"/>
        <v>0</v>
      </c>
      <c r="T1217" s="739">
        <f t="shared" si="156"/>
        <v>0</v>
      </c>
      <c r="U1217" s="846"/>
      <c r="V1217" s="847"/>
      <c r="W1217" s="846"/>
      <c r="X1217" s="846"/>
      <c r="Y1217" s="740">
        <f t="shared" si="152"/>
        <v>0</v>
      </c>
      <c r="Z1217" s="847"/>
      <c r="AA1217" s="847"/>
      <c r="AB1217" s="741">
        <f t="shared" si="153"/>
        <v>0</v>
      </c>
      <c r="AC1217" s="846"/>
      <c r="AD1217" s="847"/>
      <c r="AE1217" s="846"/>
      <c r="AF1217" s="846"/>
      <c r="AG1217" s="847"/>
      <c r="AH1217" s="847"/>
      <c r="AI1217" s="742">
        <f t="shared" si="157"/>
        <v>0</v>
      </c>
      <c r="AJ1217" s="743">
        <f t="shared" si="158"/>
        <v>0</v>
      </c>
    </row>
    <row r="1218" spans="1:36">
      <c r="A1218" s="1197" t="s">
        <v>150</v>
      </c>
      <c r="B1218" s="1271" t="s">
        <v>254</v>
      </c>
      <c r="C1218" s="1221" t="s">
        <v>311</v>
      </c>
      <c r="D1218" s="1222"/>
      <c r="E1218" s="1299"/>
      <c r="F1218" s="1300"/>
      <c r="G1218" s="846"/>
      <c r="H1218" s="847"/>
      <c r="I1218" s="846"/>
      <c r="J1218" s="847"/>
      <c r="K1218" s="846"/>
      <c r="L1218" s="847"/>
      <c r="M1218" s="846"/>
      <c r="N1218" s="846"/>
      <c r="O1218" s="737">
        <f t="shared" si="151"/>
        <v>0</v>
      </c>
      <c r="P1218" s="847"/>
      <c r="Q1218" s="847"/>
      <c r="R1218" s="738">
        <f t="shared" si="154"/>
        <v>0</v>
      </c>
      <c r="S1218" s="737">
        <f t="shared" si="155"/>
        <v>0</v>
      </c>
      <c r="T1218" s="739">
        <f t="shared" si="156"/>
        <v>0</v>
      </c>
      <c r="U1218" s="846">
        <v>29982741</v>
      </c>
      <c r="V1218" s="1301">
        <v>28404440</v>
      </c>
      <c r="W1218" s="846"/>
      <c r="X1218" s="846"/>
      <c r="Y1218" s="740">
        <f t="shared" si="152"/>
        <v>0</v>
      </c>
      <c r="Z1218" s="847"/>
      <c r="AA1218" s="847"/>
      <c r="AB1218" s="741">
        <f t="shared" si="153"/>
        <v>0</v>
      </c>
      <c r="AC1218" s="846"/>
      <c r="AD1218" s="847"/>
      <c r="AE1218" s="846"/>
      <c r="AF1218" s="846"/>
      <c r="AG1218" s="847"/>
      <c r="AH1218" s="847"/>
      <c r="AI1218" s="742">
        <f t="shared" si="157"/>
        <v>29982741</v>
      </c>
      <c r="AJ1218" s="743">
        <f t="shared" si="158"/>
        <v>28404440</v>
      </c>
    </row>
    <row r="1219" spans="1:36">
      <c r="A1219" s="1197" t="s">
        <v>150</v>
      </c>
      <c r="B1219" s="1271" t="s">
        <v>255</v>
      </c>
      <c r="C1219" s="1221" t="s">
        <v>249</v>
      </c>
      <c r="D1219" s="1222"/>
      <c r="E1219" s="1299"/>
      <c r="F1219" s="1300"/>
      <c r="G1219" s="846"/>
      <c r="H1219" s="847"/>
      <c r="I1219" s="846"/>
      <c r="J1219" s="847"/>
      <c r="K1219" s="846"/>
      <c r="L1219" s="847"/>
      <c r="M1219" s="846"/>
      <c r="N1219" s="846"/>
      <c r="O1219" s="737">
        <f t="shared" si="151"/>
        <v>0</v>
      </c>
      <c r="P1219" s="847"/>
      <c r="Q1219" s="847"/>
      <c r="R1219" s="738">
        <f t="shared" si="154"/>
        <v>0</v>
      </c>
      <c r="S1219" s="737">
        <f t="shared" si="155"/>
        <v>0</v>
      </c>
      <c r="T1219" s="739">
        <f t="shared" si="156"/>
        <v>0</v>
      </c>
      <c r="U1219" s="846"/>
      <c r="V1219" s="847"/>
      <c r="W1219" s="846"/>
      <c r="X1219" s="846"/>
      <c r="Y1219" s="740">
        <f t="shared" si="152"/>
        <v>0</v>
      </c>
      <c r="Z1219" s="847"/>
      <c r="AA1219" s="847"/>
      <c r="AB1219" s="741">
        <f t="shared" si="153"/>
        <v>0</v>
      </c>
      <c r="AC1219" s="846"/>
      <c r="AD1219" s="847"/>
      <c r="AE1219" s="846"/>
      <c r="AF1219" s="846"/>
      <c r="AG1219" s="847"/>
      <c r="AH1219" s="847"/>
      <c r="AI1219" s="742">
        <f t="shared" si="157"/>
        <v>0</v>
      </c>
      <c r="AJ1219" s="743">
        <f t="shared" si="158"/>
        <v>0</v>
      </c>
    </row>
    <row r="1220" spans="1:36">
      <c r="A1220" s="1197" t="s">
        <v>150</v>
      </c>
      <c r="B1220" s="1271" t="s">
        <v>294</v>
      </c>
      <c r="C1220" s="1302" t="s">
        <v>1548</v>
      </c>
      <c r="D1220" s="1217"/>
      <c r="E1220" s="1299"/>
      <c r="F1220" s="1300"/>
      <c r="G1220" s="846"/>
      <c r="H1220" s="847"/>
      <c r="I1220" s="846"/>
      <c r="J1220" s="847"/>
      <c r="K1220" s="846"/>
      <c r="L1220" s="847"/>
      <c r="M1220" s="846"/>
      <c r="N1220" s="846"/>
      <c r="O1220" s="737">
        <f t="shared" si="151"/>
        <v>0</v>
      </c>
      <c r="P1220" s="847"/>
      <c r="Q1220" s="847"/>
      <c r="R1220" s="738">
        <f t="shared" si="154"/>
        <v>0</v>
      </c>
      <c r="S1220" s="737">
        <f t="shared" si="155"/>
        <v>0</v>
      </c>
      <c r="T1220" s="739">
        <f t="shared" si="156"/>
        <v>0</v>
      </c>
      <c r="U1220" s="846"/>
      <c r="V1220" s="847"/>
      <c r="W1220" s="846"/>
      <c r="X1220" s="846"/>
      <c r="Y1220" s="740">
        <f t="shared" si="152"/>
        <v>0</v>
      </c>
      <c r="Z1220" s="847"/>
      <c r="AA1220" s="847"/>
      <c r="AB1220" s="741">
        <f t="shared" si="153"/>
        <v>0</v>
      </c>
      <c r="AC1220" s="846"/>
      <c r="AD1220" s="847"/>
      <c r="AE1220" s="846"/>
      <c r="AF1220" s="846"/>
      <c r="AG1220" s="847"/>
      <c r="AH1220" s="847"/>
      <c r="AI1220" s="742">
        <f t="shared" si="157"/>
        <v>0</v>
      </c>
      <c r="AJ1220" s="743">
        <f t="shared" si="158"/>
        <v>0</v>
      </c>
    </row>
    <row r="1221" spans="1:36">
      <c r="A1221" s="1197" t="s">
        <v>150</v>
      </c>
      <c r="B1221" s="1271" t="s">
        <v>254</v>
      </c>
      <c r="C1221" s="1221" t="s">
        <v>311</v>
      </c>
      <c r="D1221" s="1222"/>
      <c r="E1221" s="1299"/>
      <c r="F1221" s="1300"/>
      <c r="G1221" s="846"/>
      <c r="H1221" s="847"/>
      <c r="I1221" s="846"/>
      <c r="J1221" s="847"/>
      <c r="K1221" s="846"/>
      <c r="L1221" s="847"/>
      <c r="M1221" s="846"/>
      <c r="N1221" s="846"/>
      <c r="O1221" s="737">
        <f t="shared" si="151"/>
        <v>0</v>
      </c>
      <c r="P1221" s="847"/>
      <c r="Q1221" s="847"/>
      <c r="R1221" s="738">
        <f t="shared" si="154"/>
        <v>0</v>
      </c>
      <c r="S1221" s="737">
        <f t="shared" si="155"/>
        <v>0</v>
      </c>
      <c r="T1221" s="739">
        <f t="shared" si="156"/>
        <v>0</v>
      </c>
      <c r="U1221" s="846"/>
      <c r="V1221" s="847"/>
      <c r="W1221" s="846"/>
      <c r="X1221" s="846"/>
      <c r="Y1221" s="740">
        <f t="shared" si="152"/>
        <v>0</v>
      </c>
      <c r="Z1221" s="847"/>
      <c r="AA1221" s="847"/>
      <c r="AB1221" s="741">
        <f t="shared" si="153"/>
        <v>0</v>
      </c>
      <c r="AC1221" s="846"/>
      <c r="AD1221" s="847"/>
      <c r="AE1221" s="846"/>
      <c r="AF1221" s="846"/>
      <c r="AG1221" s="847"/>
      <c r="AH1221" s="847"/>
      <c r="AI1221" s="742">
        <f t="shared" si="157"/>
        <v>0</v>
      </c>
      <c r="AJ1221" s="743">
        <f t="shared" si="158"/>
        <v>0</v>
      </c>
    </row>
    <row r="1222" spans="1:36">
      <c r="A1222" s="1197" t="s">
        <v>150</v>
      </c>
      <c r="B1222" s="1271" t="s">
        <v>255</v>
      </c>
      <c r="C1222" s="1221" t="s">
        <v>249</v>
      </c>
      <c r="D1222" s="1222"/>
      <c r="E1222" s="1299"/>
      <c r="F1222" s="1300"/>
      <c r="G1222" s="846"/>
      <c r="H1222" s="847"/>
      <c r="I1222" s="846"/>
      <c r="J1222" s="847"/>
      <c r="K1222" s="846"/>
      <c r="L1222" s="847"/>
      <c r="M1222" s="846"/>
      <c r="N1222" s="846"/>
      <c r="O1222" s="737">
        <f t="shared" si="151"/>
        <v>0</v>
      </c>
      <c r="P1222" s="847"/>
      <c r="Q1222" s="847"/>
      <c r="R1222" s="738">
        <f t="shared" si="154"/>
        <v>0</v>
      </c>
      <c r="S1222" s="737">
        <f t="shared" si="155"/>
        <v>0</v>
      </c>
      <c r="T1222" s="739">
        <f t="shared" si="156"/>
        <v>0</v>
      </c>
      <c r="U1222" s="846">
        <v>704295</v>
      </c>
      <c r="V1222" s="1301">
        <v>632616</v>
      </c>
      <c r="W1222" s="846"/>
      <c r="X1222" s="846"/>
      <c r="Y1222" s="740">
        <f t="shared" si="152"/>
        <v>0</v>
      </c>
      <c r="Z1222" s="847"/>
      <c r="AA1222" s="847"/>
      <c r="AB1222" s="741">
        <f t="shared" si="153"/>
        <v>0</v>
      </c>
      <c r="AC1222" s="846"/>
      <c r="AD1222" s="847"/>
      <c r="AE1222" s="846"/>
      <c r="AF1222" s="846"/>
      <c r="AG1222" s="847"/>
      <c r="AH1222" s="847"/>
      <c r="AI1222" s="742">
        <f t="shared" si="157"/>
        <v>704295</v>
      </c>
      <c r="AJ1222" s="743">
        <f t="shared" si="158"/>
        <v>632616</v>
      </c>
    </row>
    <row r="1223" spans="1:36">
      <c r="A1223" s="1105" t="s">
        <v>145</v>
      </c>
      <c r="B1223" s="1106" t="s">
        <v>264</v>
      </c>
      <c r="C1223" s="1107" t="s">
        <v>1039</v>
      </c>
      <c r="D1223" s="1108"/>
      <c r="E1223" s="1109">
        <v>159391</v>
      </c>
      <c r="F1223" s="1110">
        <v>1</v>
      </c>
      <c r="G1223" s="846">
        <v>96893044</v>
      </c>
      <c r="H1223" s="847">
        <v>98140058</v>
      </c>
      <c r="I1223" s="846"/>
      <c r="J1223" s="847"/>
      <c r="K1223" s="846"/>
      <c r="L1223" s="847"/>
      <c r="M1223" s="846">
        <v>289520153</v>
      </c>
      <c r="N1223" s="846"/>
      <c r="O1223" s="737">
        <f t="shared" si="151"/>
        <v>289520153</v>
      </c>
      <c r="P1223" s="847">
        <v>311840249</v>
      </c>
      <c r="Q1223" s="847"/>
      <c r="R1223" s="738">
        <f t="shared" si="154"/>
        <v>311840249</v>
      </c>
      <c r="S1223" s="737">
        <f t="shared" si="155"/>
        <v>386413197</v>
      </c>
      <c r="T1223" s="739">
        <f t="shared" si="156"/>
        <v>409980307</v>
      </c>
      <c r="U1223" s="846"/>
      <c r="V1223" s="847"/>
      <c r="W1223" s="846"/>
      <c r="X1223" s="846"/>
      <c r="Y1223" s="740">
        <f t="shared" si="152"/>
        <v>0</v>
      </c>
      <c r="Z1223" s="847"/>
      <c r="AA1223" s="847"/>
      <c r="AB1223" s="741">
        <f t="shared" si="153"/>
        <v>0</v>
      </c>
      <c r="AC1223" s="846"/>
      <c r="AD1223" s="847"/>
      <c r="AE1223" s="846"/>
      <c r="AF1223" s="846"/>
      <c r="AG1223" s="847"/>
      <c r="AH1223" s="847"/>
      <c r="AI1223" s="742">
        <f t="shared" si="157"/>
        <v>386413197</v>
      </c>
      <c r="AJ1223" s="743">
        <f t="shared" si="158"/>
        <v>409980307</v>
      </c>
    </row>
    <row r="1224" spans="1:36">
      <c r="A1224" s="1105" t="s">
        <v>145</v>
      </c>
      <c r="B1224" s="1106" t="s">
        <v>279</v>
      </c>
      <c r="C1224" s="1111" t="s">
        <v>636</v>
      </c>
      <c r="D1224" s="1112"/>
      <c r="E1224" s="1109">
        <v>159391</v>
      </c>
      <c r="F1224" s="1110">
        <v>1</v>
      </c>
      <c r="G1224" s="846"/>
      <c r="H1224" s="847"/>
      <c r="I1224" s="846"/>
      <c r="J1224" s="847"/>
      <c r="K1224" s="846"/>
      <c r="L1224" s="847"/>
      <c r="M1224" s="846"/>
      <c r="N1224" s="846"/>
      <c r="O1224" s="737">
        <f t="shared" si="151"/>
        <v>0</v>
      </c>
      <c r="P1224" s="847"/>
      <c r="Q1224" s="847"/>
      <c r="R1224" s="738">
        <f t="shared" si="154"/>
        <v>0</v>
      </c>
      <c r="S1224" s="737">
        <f t="shared" si="155"/>
        <v>0</v>
      </c>
      <c r="T1224" s="739">
        <f t="shared" si="156"/>
        <v>0</v>
      </c>
      <c r="U1224" s="846"/>
      <c r="V1224" s="847"/>
      <c r="W1224" s="846"/>
      <c r="X1224" s="846"/>
      <c r="Y1224" s="740">
        <f t="shared" si="152"/>
        <v>0</v>
      </c>
      <c r="Z1224" s="847"/>
      <c r="AA1224" s="847"/>
      <c r="AB1224" s="741">
        <f t="shared" si="153"/>
        <v>0</v>
      </c>
      <c r="AC1224" s="846"/>
      <c r="AD1224" s="847"/>
      <c r="AE1224" s="846"/>
      <c r="AF1224" s="846"/>
      <c r="AG1224" s="847"/>
      <c r="AH1224" s="847"/>
      <c r="AI1224" s="742">
        <f t="shared" si="157"/>
        <v>0</v>
      </c>
      <c r="AJ1224" s="743">
        <f t="shared" si="158"/>
        <v>0</v>
      </c>
    </row>
    <row r="1225" spans="1:36">
      <c r="A1225" s="1105" t="s">
        <v>145</v>
      </c>
      <c r="B1225" s="1106" t="s">
        <v>279</v>
      </c>
      <c r="C1225" s="1113" t="s">
        <v>1040</v>
      </c>
      <c r="D1225" s="1112"/>
      <c r="E1225" s="1109">
        <v>159391</v>
      </c>
      <c r="F1225" s="1110">
        <v>1</v>
      </c>
      <c r="G1225" s="846">
        <v>5048924</v>
      </c>
      <c r="H1225" s="847">
        <v>5344813</v>
      </c>
      <c r="I1225" s="846"/>
      <c r="J1225" s="847"/>
      <c r="K1225" s="846"/>
      <c r="L1225" s="847"/>
      <c r="M1225" s="846">
        <v>18371936</v>
      </c>
      <c r="N1225" s="846"/>
      <c r="O1225" s="737">
        <f t="shared" si="151"/>
        <v>18371936</v>
      </c>
      <c r="P1225" s="847">
        <v>19482874</v>
      </c>
      <c r="Q1225" s="847"/>
      <c r="R1225" s="738">
        <f t="shared" si="154"/>
        <v>19482874</v>
      </c>
      <c r="S1225" s="737">
        <f t="shared" si="155"/>
        <v>23420860</v>
      </c>
      <c r="T1225" s="739">
        <f t="shared" si="156"/>
        <v>24827687</v>
      </c>
      <c r="U1225" s="846"/>
      <c r="V1225" s="847"/>
      <c r="W1225" s="846"/>
      <c r="X1225" s="846"/>
      <c r="Y1225" s="740">
        <f t="shared" si="152"/>
        <v>0</v>
      </c>
      <c r="Z1225" s="847"/>
      <c r="AA1225" s="847"/>
      <c r="AB1225" s="741">
        <f t="shared" si="153"/>
        <v>0</v>
      </c>
      <c r="AC1225" s="846"/>
      <c r="AD1225" s="847"/>
      <c r="AE1225" s="846"/>
      <c r="AF1225" s="846"/>
      <c r="AG1225" s="847"/>
      <c r="AH1225" s="847"/>
      <c r="AI1225" s="742">
        <f t="shared" si="157"/>
        <v>23420860</v>
      </c>
      <c r="AJ1225" s="743">
        <f t="shared" si="158"/>
        <v>24827687</v>
      </c>
    </row>
    <row r="1226" spans="1:36">
      <c r="A1226" s="1105" t="s">
        <v>145</v>
      </c>
      <c r="B1226" s="1106" t="s">
        <v>280</v>
      </c>
      <c r="C1226" s="1111" t="s">
        <v>716</v>
      </c>
      <c r="D1226" s="1112"/>
      <c r="E1226" s="1109">
        <v>159391</v>
      </c>
      <c r="F1226" s="1110">
        <v>1</v>
      </c>
      <c r="G1226" s="846"/>
      <c r="H1226" s="847"/>
      <c r="I1226" s="846"/>
      <c r="J1226" s="847"/>
      <c r="K1226" s="846"/>
      <c r="L1226" s="847"/>
      <c r="M1226" s="846"/>
      <c r="N1226" s="846"/>
      <c r="O1226" s="737">
        <f t="shared" ref="O1226:O1289" si="159">SUM(M1226:N1226)</f>
        <v>0</v>
      </c>
      <c r="P1226" s="847"/>
      <c r="Q1226" s="847"/>
      <c r="R1226" s="738">
        <f t="shared" si="154"/>
        <v>0</v>
      </c>
      <c r="S1226" s="737">
        <f t="shared" si="155"/>
        <v>0</v>
      </c>
      <c r="T1226" s="739">
        <f t="shared" si="156"/>
        <v>0</v>
      </c>
      <c r="U1226" s="846"/>
      <c r="V1226" s="847"/>
      <c r="W1226" s="846"/>
      <c r="X1226" s="846"/>
      <c r="Y1226" s="740">
        <f t="shared" ref="Y1226:Y1289" si="160">SUM(W1226:X1226)</f>
        <v>0</v>
      </c>
      <c r="Z1226" s="847"/>
      <c r="AA1226" s="847"/>
      <c r="AB1226" s="741">
        <f t="shared" ref="AB1226:AB1289" si="161">SUM(Z1226:AA1226)</f>
        <v>0</v>
      </c>
      <c r="AC1226" s="846"/>
      <c r="AD1226" s="847"/>
      <c r="AE1226" s="846"/>
      <c r="AF1226" s="846"/>
      <c r="AG1226" s="847"/>
      <c r="AH1226" s="847"/>
      <c r="AI1226" s="742">
        <f t="shared" si="157"/>
        <v>0</v>
      </c>
      <c r="AJ1226" s="743">
        <f t="shared" si="158"/>
        <v>0</v>
      </c>
    </row>
    <row r="1227" spans="1:36">
      <c r="A1227" s="1105" t="s">
        <v>145</v>
      </c>
      <c r="B1227" s="1106" t="s">
        <v>280</v>
      </c>
      <c r="C1227" s="1113" t="s">
        <v>1041</v>
      </c>
      <c r="D1227" s="1112"/>
      <c r="E1227" s="1109">
        <v>159391</v>
      </c>
      <c r="F1227" s="1110">
        <v>1</v>
      </c>
      <c r="G1227" s="846"/>
      <c r="H1227" s="847"/>
      <c r="I1227" s="846"/>
      <c r="J1227" s="847"/>
      <c r="K1227" s="846"/>
      <c r="L1227" s="847"/>
      <c r="M1227" s="846"/>
      <c r="N1227" s="846"/>
      <c r="O1227" s="737">
        <f t="shared" si="159"/>
        <v>0</v>
      </c>
      <c r="P1227" s="847"/>
      <c r="Q1227" s="847"/>
      <c r="R1227" s="738">
        <f t="shared" ref="R1227:R1290" si="162">SUM(P1227:Q1227)</f>
        <v>0</v>
      </c>
      <c r="S1227" s="737">
        <f t="shared" ref="S1227:S1290" si="163">SUM(G1227,I1227,K1227,M1227)</f>
        <v>0</v>
      </c>
      <c r="T1227" s="739">
        <f t="shared" ref="T1227:T1290" si="164">SUM(H1227,J1227,L1227,P1227)</f>
        <v>0</v>
      </c>
      <c r="U1227" s="846"/>
      <c r="V1227" s="847"/>
      <c r="W1227" s="846"/>
      <c r="X1227" s="846"/>
      <c r="Y1227" s="740">
        <f t="shared" si="160"/>
        <v>0</v>
      </c>
      <c r="Z1227" s="847"/>
      <c r="AA1227" s="847"/>
      <c r="AB1227" s="741">
        <f t="shared" si="161"/>
        <v>0</v>
      </c>
      <c r="AC1227" s="846">
        <v>19901821</v>
      </c>
      <c r="AD1227" s="847">
        <v>19391821</v>
      </c>
      <c r="AE1227" s="846">
        <v>12462470</v>
      </c>
      <c r="AF1227" s="846"/>
      <c r="AG1227" s="847">
        <v>13968209</v>
      </c>
      <c r="AH1227" s="847"/>
      <c r="AI1227" s="742">
        <f t="shared" ref="AI1227:AI1290" si="165">SUM(S1227,U1227,W1227,AC1227,AE1227)</f>
        <v>32364291</v>
      </c>
      <c r="AJ1227" s="743">
        <f t="shared" ref="AJ1227:AJ1290" si="166">SUM(T1227,V1227,Z1227,AD1227,AG1227)</f>
        <v>33360030</v>
      </c>
    </row>
    <row r="1228" spans="1:36">
      <c r="A1228" s="1105" t="s">
        <v>145</v>
      </c>
      <c r="B1228" s="1106" t="s">
        <v>268</v>
      </c>
      <c r="C1228" s="1111" t="s">
        <v>1042</v>
      </c>
      <c r="D1228" s="1112"/>
      <c r="E1228" s="1109">
        <v>159391</v>
      </c>
      <c r="F1228" s="1110">
        <v>1</v>
      </c>
      <c r="G1228" s="846"/>
      <c r="H1228" s="847"/>
      <c r="I1228" s="846"/>
      <c r="J1228" s="847"/>
      <c r="K1228" s="846"/>
      <c r="L1228" s="847"/>
      <c r="M1228" s="846"/>
      <c r="N1228" s="846"/>
      <c r="O1228" s="737">
        <f t="shared" si="159"/>
        <v>0</v>
      </c>
      <c r="P1228" s="847"/>
      <c r="Q1228" s="847"/>
      <c r="R1228" s="738">
        <f t="shared" si="162"/>
        <v>0</v>
      </c>
      <c r="S1228" s="737">
        <f t="shared" si="163"/>
        <v>0</v>
      </c>
      <c r="T1228" s="739">
        <f t="shared" si="164"/>
        <v>0</v>
      </c>
      <c r="U1228" s="846"/>
      <c r="V1228" s="847"/>
      <c r="W1228" s="846"/>
      <c r="X1228" s="846"/>
      <c r="Y1228" s="740">
        <f t="shared" si="160"/>
        <v>0</v>
      </c>
      <c r="Z1228" s="847"/>
      <c r="AA1228" s="847"/>
      <c r="AB1228" s="741">
        <f t="shared" si="161"/>
        <v>0</v>
      </c>
      <c r="AC1228" s="846"/>
      <c r="AD1228" s="847"/>
      <c r="AE1228" s="846"/>
      <c r="AF1228" s="846"/>
      <c r="AG1228" s="847"/>
      <c r="AH1228" s="847"/>
      <c r="AI1228" s="742">
        <f t="shared" si="165"/>
        <v>0</v>
      </c>
      <c r="AJ1228" s="743">
        <f t="shared" si="166"/>
        <v>0</v>
      </c>
    </row>
    <row r="1229" spans="1:36">
      <c r="A1229" s="1105" t="s">
        <v>145</v>
      </c>
      <c r="B1229" s="1106" t="s">
        <v>268</v>
      </c>
      <c r="C1229" s="1113" t="s">
        <v>257</v>
      </c>
      <c r="D1229" s="1112"/>
      <c r="E1229" s="1109">
        <v>159391</v>
      </c>
      <c r="F1229" s="1110">
        <v>1</v>
      </c>
      <c r="G1229" s="846"/>
      <c r="H1229" s="847"/>
      <c r="I1229" s="846">
        <v>23938017</v>
      </c>
      <c r="J1229" s="847">
        <v>27676813</v>
      </c>
      <c r="K1229" s="846"/>
      <c r="L1229" s="847"/>
      <c r="M1229" s="846"/>
      <c r="N1229" s="846"/>
      <c r="O1229" s="737">
        <f t="shared" si="159"/>
        <v>0</v>
      </c>
      <c r="P1229" s="847"/>
      <c r="Q1229" s="847"/>
      <c r="R1229" s="738">
        <f t="shared" si="162"/>
        <v>0</v>
      </c>
      <c r="S1229" s="737">
        <f t="shared" si="163"/>
        <v>23938017</v>
      </c>
      <c r="T1229" s="739">
        <f t="shared" si="164"/>
        <v>27676813</v>
      </c>
      <c r="U1229" s="846"/>
      <c r="V1229" s="847"/>
      <c r="W1229" s="846"/>
      <c r="X1229" s="846"/>
      <c r="Y1229" s="740">
        <f t="shared" si="160"/>
        <v>0</v>
      </c>
      <c r="Z1229" s="847"/>
      <c r="AA1229" s="847"/>
      <c r="AB1229" s="741">
        <f t="shared" si="161"/>
        <v>0</v>
      </c>
      <c r="AC1229" s="846"/>
      <c r="AD1229" s="847"/>
      <c r="AE1229" s="846"/>
      <c r="AF1229" s="846"/>
      <c r="AG1229" s="847"/>
      <c r="AH1229" s="847"/>
      <c r="AI1229" s="742">
        <f t="shared" si="165"/>
        <v>23938017</v>
      </c>
      <c r="AJ1229" s="743">
        <f t="shared" si="166"/>
        <v>27676813</v>
      </c>
    </row>
    <row r="1230" spans="1:36">
      <c r="A1230" s="1105" t="s">
        <v>145</v>
      </c>
      <c r="B1230" s="1106" t="s">
        <v>269</v>
      </c>
      <c r="C1230" s="1113" t="s">
        <v>256</v>
      </c>
      <c r="D1230" s="1112"/>
      <c r="E1230" s="1109">
        <v>159391</v>
      </c>
      <c r="F1230" s="1110">
        <v>1</v>
      </c>
      <c r="G1230" s="846"/>
      <c r="H1230" s="847"/>
      <c r="I1230" s="846">
        <v>30809105</v>
      </c>
      <c r="J1230" s="847">
        <v>33011314</v>
      </c>
      <c r="K1230" s="846"/>
      <c r="L1230" s="847"/>
      <c r="M1230" s="846"/>
      <c r="N1230" s="846"/>
      <c r="O1230" s="737">
        <f t="shared" si="159"/>
        <v>0</v>
      </c>
      <c r="P1230" s="847"/>
      <c r="Q1230" s="847"/>
      <c r="R1230" s="738">
        <f t="shared" si="162"/>
        <v>0</v>
      </c>
      <c r="S1230" s="737">
        <f t="shared" si="163"/>
        <v>30809105</v>
      </c>
      <c r="T1230" s="739">
        <f t="shared" si="164"/>
        <v>33011314</v>
      </c>
      <c r="U1230" s="846"/>
      <c r="V1230" s="847"/>
      <c r="W1230" s="846"/>
      <c r="X1230" s="846"/>
      <c r="Y1230" s="740">
        <f t="shared" si="160"/>
        <v>0</v>
      </c>
      <c r="Z1230" s="847"/>
      <c r="AA1230" s="847"/>
      <c r="AB1230" s="741">
        <f t="shared" si="161"/>
        <v>0</v>
      </c>
      <c r="AC1230" s="846"/>
      <c r="AD1230" s="847"/>
      <c r="AE1230" s="846"/>
      <c r="AF1230" s="846"/>
      <c r="AG1230" s="847"/>
      <c r="AH1230" s="847"/>
      <c r="AI1230" s="742">
        <f t="shared" si="165"/>
        <v>30809105</v>
      </c>
      <c r="AJ1230" s="743">
        <f t="shared" si="166"/>
        <v>33011314</v>
      </c>
    </row>
    <row r="1231" spans="1:36">
      <c r="A1231" s="1105" t="s">
        <v>145</v>
      </c>
      <c r="B1231" s="1106" t="s">
        <v>268</v>
      </c>
      <c r="C1231" s="1113" t="s">
        <v>1043</v>
      </c>
      <c r="D1231" s="1112"/>
      <c r="E1231" s="1109">
        <v>159391</v>
      </c>
      <c r="F1231" s="1110">
        <v>1</v>
      </c>
      <c r="G1231" s="846"/>
      <c r="H1231" s="847"/>
      <c r="I1231" s="846">
        <v>15757720</v>
      </c>
      <c r="J1231" s="847">
        <v>9556135</v>
      </c>
      <c r="K1231" s="846"/>
      <c r="L1231" s="847"/>
      <c r="M1231" s="846"/>
      <c r="N1231" s="846"/>
      <c r="O1231" s="737">
        <f t="shared" si="159"/>
        <v>0</v>
      </c>
      <c r="P1231" s="847"/>
      <c r="Q1231" s="847"/>
      <c r="R1231" s="738">
        <f t="shared" si="162"/>
        <v>0</v>
      </c>
      <c r="S1231" s="737">
        <f t="shared" si="163"/>
        <v>15757720</v>
      </c>
      <c r="T1231" s="739">
        <f t="shared" si="164"/>
        <v>9556135</v>
      </c>
      <c r="U1231" s="846"/>
      <c r="V1231" s="847"/>
      <c r="W1231" s="846"/>
      <c r="X1231" s="846"/>
      <c r="Y1231" s="740">
        <f t="shared" si="160"/>
        <v>0</v>
      </c>
      <c r="Z1231" s="847"/>
      <c r="AA1231" s="847"/>
      <c r="AB1231" s="741">
        <f t="shared" si="161"/>
        <v>0</v>
      </c>
      <c r="AC1231" s="846"/>
      <c r="AD1231" s="847"/>
      <c r="AE1231" s="846"/>
      <c r="AF1231" s="846"/>
      <c r="AG1231" s="847"/>
      <c r="AH1231" s="847"/>
      <c r="AI1231" s="742">
        <f t="shared" si="165"/>
        <v>15757720</v>
      </c>
      <c r="AJ1231" s="743">
        <f t="shared" si="166"/>
        <v>9556135</v>
      </c>
    </row>
    <row r="1232" spans="1:36">
      <c r="A1232" s="1105" t="s">
        <v>145</v>
      </c>
      <c r="B1232" s="1106" t="s">
        <v>264</v>
      </c>
      <c r="C1232" s="1114" t="s">
        <v>1044</v>
      </c>
      <c r="D1232" s="1115"/>
      <c r="E1232" s="1116">
        <v>159647</v>
      </c>
      <c r="F1232" s="1117">
        <v>2</v>
      </c>
      <c r="G1232" s="846">
        <v>29672838</v>
      </c>
      <c r="H1232" s="847">
        <v>30752440</v>
      </c>
      <c r="I1232" s="846"/>
      <c r="J1232" s="847"/>
      <c r="K1232" s="846"/>
      <c r="L1232" s="847"/>
      <c r="M1232" s="846">
        <v>60435700</v>
      </c>
      <c r="N1232" s="846"/>
      <c r="O1232" s="737">
        <f t="shared" si="159"/>
        <v>60435700</v>
      </c>
      <c r="P1232" s="847">
        <v>69842800</v>
      </c>
      <c r="Q1232" s="847"/>
      <c r="R1232" s="738">
        <f t="shared" si="162"/>
        <v>69842800</v>
      </c>
      <c r="S1232" s="737">
        <f t="shared" si="163"/>
        <v>90108538</v>
      </c>
      <c r="T1232" s="739">
        <f t="shared" si="164"/>
        <v>100595240</v>
      </c>
      <c r="U1232" s="846"/>
      <c r="V1232" s="847"/>
      <c r="W1232" s="846"/>
      <c r="X1232" s="846"/>
      <c r="Y1232" s="740">
        <f t="shared" si="160"/>
        <v>0</v>
      </c>
      <c r="Z1232" s="847"/>
      <c r="AA1232" s="847"/>
      <c r="AB1232" s="741">
        <f t="shared" si="161"/>
        <v>0</v>
      </c>
      <c r="AC1232" s="846"/>
      <c r="AD1232" s="847"/>
      <c r="AE1232" s="846"/>
      <c r="AF1232" s="846"/>
      <c r="AG1232" s="847"/>
      <c r="AH1232" s="847"/>
      <c r="AI1232" s="742">
        <f t="shared" si="165"/>
        <v>90108538</v>
      </c>
      <c r="AJ1232" s="743">
        <f t="shared" si="166"/>
        <v>100595240</v>
      </c>
    </row>
    <row r="1233" spans="1:36">
      <c r="A1233" s="1105" t="s">
        <v>145</v>
      </c>
      <c r="B1233" s="1106" t="s">
        <v>264</v>
      </c>
      <c r="C1233" s="1107" t="s">
        <v>1045</v>
      </c>
      <c r="D1233" s="1108"/>
      <c r="E1233" s="1109">
        <v>160658</v>
      </c>
      <c r="F1233" s="1110">
        <v>2</v>
      </c>
      <c r="G1233" s="846">
        <v>47597349</v>
      </c>
      <c r="H1233" s="847">
        <v>47190207</v>
      </c>
      <c r="I1233" s="846"/>
      <c r="J1233" s="847"/>
      <c r="K1233" s="846"/>
      <c r="L1233" s="847"/>
      <c r="M1233" s="846">
        <v>76591326</v>
      </c>
      <c r="N1233" s="846"/>
      <c r="O1233" s="737">
        <f t="shared" si="159"/>
        <v>76591326</v>
      </c>
      <c r="P1233" s="847">
        <v>86683572</v>
      </c>
      <c r="Q1233" s="847"/>
      <c r="R1233" s="738">
        <f t="shared" si="162"/>
        <v>86683572</v>
      </c>
      <c r="S1233" s="737">
        <f t="shared" si="163"/>
        <v>124188675</v>
      </c>
      <c r="T1233" s="739">
        <f t="shared" si="164"/>
        <v>133873779</v>
      </c>
      <c r="U1233" s="846"/>
      <c r="V1233" s="847"/>
      <c r="W1233" s="846"/>
      <c r="X1233" s="846"/>
      <c r="Y1233" s="740">
        <f t="shared" si="160"/>
        <v>0</v>
      </c>
      <c r="Z1233" s="847"/>
      <c r="AA1233" s="847"/>
      <c r="AB1233" s="741">
        <f t="shared" si="161"/>
        <v>0</v>
      </c>
      <c r="AC1233" s="846"/>
      <c r="AD1233" s="847"/>
      <c r="AE1233" s="846"/>
      <c r="AF1233" s="846"/>
      <c r="AG1233" s="847"/>
      <c r="AH1233" s="847"/>
      <c r="AI1233" s="742">
        <f t="shared" si="165"/>
        <v>124188675</v>
      </c>
      <c r="AJ1233" s="743">
        <f t="shared" si="166"/>
        <v>133873779</v>
      </c>
    </row>
    <row r="1234" spans="1:36">
      <c r="A1234" s="1105" t="s">
        <v>145</v>
      </c>
      <c r="B1234" s="1106" t="s">
        <v>264</v>
      </c>
      <c r="C1234" s="1107" t="s">
        <v>1046</v>
      </c>
      <c r="D1234" s="1108"/>
      <c r="E1234" s="1109">
        <v>159939</v>
      </c>
      <c r="F1234" s="1110">
        <v>2</v>
      </c>
      <c r="G1234" s="846">
        <v>32713516</v>
      </c>
      <c r="H1234" s="847">
        <v>32169876</v>
      </c>
      <c r="I1234" s="846"/>
      <c r="J1234" s="847"/>
      <c r="K1234" s="846"/>
      <c r="L1234" s="847"/>
      <c r="M1234" s="846">
        <v>67064964</v>
      </c>
      <c r="N1234" s="846"/>
      <c r="O1234" s="737">
        <f t="shared" si="159"/>
        <v>67064964</v>
      </c>
      <c r="P1234" s="847">
        <v>64832634</v>
      </c>
      <c r="Q1234" s="847"/>
      <c r="R1234" s="738">
        <f t="shared" si="162"/>
        <v>64832634</v>
      </c>
      <c r="S1234" s="737">
        <f t="shared" si="163"/>
        <v>99778480</v>
      </c>
      <c r="T1234" s="739">
        <f t="shared" si="164"/>
        <v>97002510</v>
      </c>
      <c r="U1234" s="846"/>
      <c r="V1234" s="847"/>
      <c r="W1234" s="846"/>
      <c r="X1234" s="846"/>
      <c r="Y1234" s="740">
        <f t="shared" si="160"/>
        <v>0</v>
      </c>
      <c r="Z1234" s="847"/>
      <c r="AA1234" s="847"/>
      <c r="AB1234" s="741">
        <f t="shared" si="161"/>
        <v>0</v>
      </c>
      <c r="AC1234" s="846"/>
      <c r="AD1234" s="847"/>
      <c r="AE1234" s="846"/>
      <c r="AF1234" s="846"/>
      <c r="AG1234" s="847"/>
      <c r="AH1234" s="847"/>
      <c r="AI1234" s="742">
        <f t="shared" si="165"/>
        <v>99778480</v>
      </c>
      <c r="AJ1234" s="743">
        <f t="shared" si="166"/>
        <v>97002510</v>
      </c>
    </row>
    <row r="1235" spans="1:36">
      <c r="A1235" s="1105" t="s">
        <v>145</v>
      </c>
      <c r="B1235" s="1106" t="s">
        <v>264</v>
      </c>
      <c r="C1235" s="1114" t="s">
        <v>1047</v>
      </c>
      <c r="D1235" s="1115"/>
      <c r="E1235" s="1109">
        <v>160612</v>
      </c>
      <c r="F1235" s="1110">
        <v>3</v>
      </c>
      <c r="G1235" s="846">
        <v>31582069</v>
      </c>
      <c r="H1235" s="847">
        <v>31265884</v>
      </c>
      <c r="I1235" s="846"/>
      <c r="J1235" s="847"/>
      <c r="K1235" s="846"/>
      <c r="L1235" s="847"/>
      <c r="M1235" s="846">
        <v>69906315</v>
      </c>
      <c r="N1235" s="846"/>
      <c r="O1235" s="737">
        <f t="shared" si="159"/>
        <v>69906315</v>
      </c>
      <c r="P1235" s="847">
        <v>75082500</v>
      </c>
      <c r="Q1235" s="847"/>
      <c r="R1235" s="738">
        <f t="shared" si="162"/>
        <v>75082500</v>
      </c>
      <c r="S1235" s="737">
        <f t="shared" si="163"/>
        <v>101488384</v>
      </c>
      <c r="T1235" s="739">
        <f t="shared" si="164"/>
        <v>106348384</v>
      </c>
      <c r="U1235" s="846"/>
      <c r="V1235" s="847"/>
      <c r="W1235" s="846"/>
      <c r="X1235" s="846"/>
      <c r="Y1235" s="740">
        <f t="shared" si="160"/>
        <v>0</v>
      </c>
      <c r="Z1235" s="847"/>
      <c r="AA1235" s="847"/>
      <c r="AB1235" s="741">
        <f t="shared" si="161"/>
        <v>0</v>
      </c>
      <c r="AC1235" s="846"/>
      <c r="AD1235" s="847"/>
      <c r="AE1235" s="846"/>
      <c r="AF1235" s="846"/>
      <c r="AG1235" s="847"/>
      <c r="AH1235" s="847"/>
      <c r="AI1235" s="742">
        <f t="shared" si="165"/>
        <v>101488384</v>
      </c>
      <c r="AJ1235" s="743">
        <f t="shared" si="166"/>
        <v>106348384</v>
      </c>
    </row>
    <row r="1236" spans="1:36">
      <c r="A1236" s="1105" t="s">
        <v>145</v>
      </c>
      <c r="B1236" s="1106" t="s">
        <v>264</v>
      </c>
      <c r="C1236" s="1107" t="s">
        <v>1048</v>
      </c>
      <c r="D1236" s="1118"/>
      <c r="E1236" s="1109">
        <v>160621</v>
      </c>
      <c r="F1236" s="1110">
        <v>3</v>
      </c>
      <c r="G1236" s="846">
        <v>24741106</v>
      </c>
      <c r="H1236" s="847">
        <v>23292945</v>
      </c>
      <c r="I1236" s="846"/>
      <c r="J1236" s="847"/>
      <c r="K1236" s="846"/>
      <c r="L1236" s="847"/>
      <c r="M1236" s="846">
        <v>37837989</v>
      </c>
      <c r="N1236" s="846"/>
      <c r="O1236" s="737">
        <f t="shared" si="159"/>
        <v>37837989</v>
      </c>
      <c r="P1236" s="847">
        <v>37901436</v>
      </c>
      <c r="Q1236" s="847"/>
      <c r="R1236" s="738">
        <f t="shared" si="162"/>
        <v>37901436</v>
      </c>
      <c r="S1236" s="737">
        <f t="shared" si="163"/>
        <v>62579095</v>
      </c>
      <c r="T1236" s="739">
        <f t="shared" si="164"/>
        <v>61194381</v>
      </c>
      <c r="U1236" s="846"/>
      <c r="V1236" s="847"/>
      <c r="W1236" s="846"/>
      <c r="X1236" s="846"/>
      <c r="Y1236" s="740">
        <f t="shared" si="160"/>
        <v>0</v>
      </c>
      <c r="Z1236" s="847"/>
      <c r="AA1236" s="847"/>
      <c r="AB1236" s="741">
        <f t="shared" si="161"/>
        <v>0</v>
      </c>
      <c r="AC1236" s="846"/>
      <c r="AD1236" s="847"/>
      <c r="AE1236" s="846"/>
      <c r="AF1236" s="846"/>
      <c r="AG1236" s="847"/>
      <c r="AH1236" s="847"/>
      <c r="AI1236" s="742">
        <f t="shared" si="165"/>
        <v>62579095</v>
      </c>
      <c r="AJ1236" s="743">
        <f t="shared" si="166"/>
        <v>61194381</v>
      </c>
    </row>
    <row r="1237" spans="1:36">
      <c r="A1237" s="1105" t="s">
        <v>145</v>
      </c>
      <c r="B1237" s="1106" t="s">
        <v>264</v>
      </c>
      <c r="C1237" s="1113" t="s">
        <v>1049</v>
      </c>
      <c r="D1237" s="1112"/>
      <c r="E1237" s="1109">
        <v>160621</v>
      </c>
      <c r="F1237" s="1110">
        <v>3</v>
      </c>
      <c r="G1237" s="846">
        <v>4163974</v>
      </c>
      <c r="H1237" s="847">
        <v>5195748</v>
      </c>
      <c r="I1237" s="846"/>
      <c r="J1237" s="847"/>
      <c r="K1237" s="846"/>
      <c r="L1237" s="847"/>
      <c r="M1237" s="846">
        <v>8492876</v>
      </c>
      <c r="N1237" s="846"/>
      <c r="O1237" s="737">
        <f t="shared" si="159"/>
        <v>8492876</v>
      </c>
      <c r="P1237" s="847">
        <v>8156939</v>
      </c>
      <c r="Q1237" s="847"/>
      <c r="R1237" s="738">
        <f t="shared" si="162"/>
        <v>8156939</v>
      </c>
      <c r="S1237" s="737">
        <f t="shared" si="163"/>
        <v>12656850</v>
      </c>
      <c r="T1237" s="739">
        <f t="shared" si="164"/>
        <v>13352687</v>
      </c>
      <c r="U1237" s="846"/>
      <c r="V1237" s="847"/>
      <c r="W1237" s="846"/>
      <c r="X1237" s="846"/>
      <c r="Y1237" s="740">
        <f t="shared" si="160"/>
        <v>0</v>
      </c>
      <c r="Z1237" s="847"/>
      <c r="AA1237" s="847"/>
      <c r="AB1237" s="741">
        <f t="shared" si="161"/>
        <v>0</v>
      </c>
      <c r="AC1237" s="846"/>
      <c r="AD1237" s="847"/>
      <c r="AE1237" s="846"/>
      <c r="AF1237" s="846"/>
      <c r="AG1237" s="847"/>
      <c r="AH1237" s="847"/>
      <c r="AI1237" s="742">
        <f t="shared" si="165"/>
        <v>12656850</v>
      </c>
      <c r="AJ1237" s="743">
        <f t="shared" si="166"/>
        <v>13352687</v>
      </c>
    </row>
    <row r="1238" spans="1:36">
      <c r="A1238" s="1105" t="s">
        <v>145</v>
      </c>
      <c r="B1238" s="1106" t="s">
        <v>268</v>
      </c>
      <c r="C1238" s="1111" t="s">
        <v>1042</v>
      </c>
      <c r="D1238" s="1112"/>
      <c r="E1238" s="1109">
        <v>160621</v>
      </c>
      <c r="F1238" s="1110">
        <v>3</v>
      </c>
      <c r="G1238" s="846"/>
      <c r="H1238" s="847"/>
      <c r="I1238" s="846"/>
      <c r="J1238" s="847"/>
      <c r="K1238" s="846"/>
      <c r="L1238" s="847"/>
      <c r="M1238" s="846"/>
      <c r="N1238" s="846"/>
      <c r="O1238" s="737">
        <f t="shared" si="159"/>
        <v>0</v>
      </c>
      <c r="P1238" s="847"/>
      <c r="Q1238" s="847"/>
      <c r="R1238" s="738">
        <f t="shared" si="162"/>
        <v>0</v>
      </c>
      <c r="S1238" s="737">
        <f t="shared" si="163"/>
        <v>0</v>
      </c>
      <c r="T1238" s="739">
        <f t="shared" si="164"/>
        <v>0</v>
      </c>
      <c r="U1238" s="846"/>
      <c r="V1238" s="847"/>
      <c r="W1238" s="846"/>
      <c r="X1238" s="846"/>
      <c r="Y1238" s="740">
        <f t="shared" si="160"/>
        <v>0</v>
      </c>
      <c r="Z1238" s="847"/>
      <c r="AA1238" s="847"/>
      <c r="AB1238" s="741">
        <f t="shared" si="161"/>
        <v>0</v>
      </c>
      <c r="AC1238" s="846"/>
      <c r="AD1238" s="847"/>
      <c r="AE1238" s="846"/>
      <c r="AF1238" s="846"/>
      <c r="AG1238" s="847"/>
      <c r="AH1238" s="847"/>
      <c r="AI1238" s="742">
        <f t="shared" si="165"/>
        <v>0</v>
      </c>
      <c r="AJ1238" s="743">
        <f t="shared" si="166"/>
        <v>0</v>
      </c>
    </row>
    <row r="1239" spans="1:36">
      <c r="A1239" s="1105" t="s">
        <v>145</v>
      </c>
      <c r="B1239" s="1106" t="s">
        <v>268</v>
      </c>
      <c r="C1239" s="1113" t="s">
        <v>1050</v>
      </c>
      <c r="D1239" s="1112"/>
      <c r="E1239" s="1109">
        <v>160621</v>
      </c>
      <c r="F1239" s="1110">
        <v>3</v>
      </c>
      <c r="G1239" s="846"/>
      <c r="H1239" s="847"/>
      <c r="I1239" s="846">
        <v>5215083</v>
      </c>
      <c r="J1239" s="847">
        <v>4218706</v>
      </c>
      <c r="K1239" s="846"/>
      <c r="L1239" s="847"/>
      <c r="M1239" s="846"/>
      <c r="N1239" s="846"/>
      <c r="O1239" s="737">
        <f t="shared" si="159"/>
        <v>0</v>
      </c>
      <c r="P1239" s="847"/>
      <c r="Q1239" s="847"/>
      <c r="R1239" s="738">
        <f t="shared" si="162"/>
        <v>0</v>
      </c>
      <c r="S1239" s="737">
        <f t="shared" si="163"/>
        <v>5215083</v>
      </c>
      <c r="T1239" s="739">
        <f t="shared" si="164"/>
        <v>4218706</v>
      </c>
      <c r="U1239" s="846"/>
      <c r="V1239" s="847"/>
      <c r="W1239" s="846"/>
      <c r="X1239" s="846"/>
      <c r="Y1239" s="740">
        <f t="shared" si="160"/>
        <v>0</v>
      </c>
      <c r="Z1239" s="847"/>
      <c r="AA1239" s="847"/>
      <c r="AB1239" s="741">
        <f t="shared" si="161"/>
        <v>0</v>
      </c>
      <c r="AC1239" s="846"/>
      <c r="AD1239" s="847"/>
      <c r="AE1239" s="846"/>
      <c r="AF1239" s="846"/>
      <c r="AG1239" s="847"/>
      <c r="AH1239" s="847"/>
      <c r="AI1239" s="742">
        <f t="shared" si="165"/>
        <v>5215083</v>
      </c>
      <c r="AJ1239" s="743">
        <f t="shared" si="166"/>
        <v>4218706</v>
      </c>
    </row>
    <row r="1240" spans="1:36">
      <c r="A1240" s="1105" t="s">
        <v>145</v>
      </c>
      <c r="B1240" s="1106" t="s">
        <v>264</v>
      </c>
      <c r="C1240" s="1107" t="s">
        <v>1051</v>
      </c>
      <c r="D1240" s="1108"/>
      <c r="E1240" s="1109">
        <v>159993</v>
      </c>
      <c r="F1240" s="1110">
        <v>3</v>
      </c>
      <c r="G1240" s="846">
        <v>26362846</v>
      </c>
      <c r="H1240" s="847">
        <v>26996458</v>
      </c>
      <c r="I1240" s="846"/>
      <c r="J1240" s="847"/>
      <c r="K1240" s="846"/>
      <c r="L1240" s="847"/>
      <c r="M1240" s="846">
        <v>43816288</v>
      </c>
      <c r="N1240" s="846"/>
      <c r="O1240" s="737">
        <f t="shared" si="159"/>
        <v>43816288</v>
      </c>
      <c r="P1240" s="847">
        <v>47172375</v>
      </c>
      <c r="Q1240" s="847"/>
      <c r="R1240" s="738">
        <f t="shared" si="162"/>
        <v>47172375</v>
      </c>
      <c r="S1240" s="737">
        <f t="shared" si="163"/>
        <v>70179134</v>
      </c>
      <c r="T1240" s="739">
        <f t="shared" si="164"/>
        <v>74168833</v>
      </c>
      <c r="U1240" s="846"/>
      <c r="V1240" s="847"/>
      <c r="W1240" s="846"/>
      <c r="X1240" s="846"/>
      <c r="Y1240" s="740">
        <f t="shared" si="160"/>
        <v>0</v>
      </c>
      <c r="Z1240" s="847"/>
      <c r="AA1240" s="847"/>
      <c r="AB1240" s="741">
        <f t="shared" si="161"/>
        <v>0</v>
      </c>
      <c r="AC1240" s="846"/>
      <c r="AD1240" s="847"/>
      <c r="AE1240" s="846"/>
      <c r="AF1240" s="846"/>
      <c r="AG1240" s="847"/>
      <c r="AH1240" s="847"/>
      <c r="AI1240" s="742">
        <f t="shared" si="165"/>
        <v>70179134</v>
      </c>
      <c r="AJ1240" s="743">
        <f t="shared" si="166"/>
        <v>74168833</v>
      </c>
    </row>
    <row r="1241" spans="1:36">
      <c r="A1241" s="1105" t="s">
        <v>145</v>
      </c>
      <c r="B1241" s="1106" t="s">
        <v>264</v>
      </c>
      <c r="C1241" s="1107" t="s">
        <v>1052</v>
      </c>
      <c r="D1241" s="1118"/>
      <c r="E1241" s="1119">
        <v>159009</v>
      </c>
      <c r="F1241" s="1117">
        <v>4</v>
      </c>
      <c r="G1241" s="846">
        <v>13891949</v>
      </c>
      <c r="H1241" s="847">
        <v>14817875</v>
      </c>
      <c r="I1241" s="846"/>
      <c r="J1241" s="847"/>
      <c r="K1241" s="846"/>
      <c r="L1241" s="847"/>
      <c r="M1241" s="846">
        <v>34420770</v>
      </c>
      <c r="N1241" s="846"/>
      <c r="O1241" s="737">
        <f t="shared" si="159"/>
        <v>34420770</v>
      </c>
      <c r="P1241" s="847">
        <v>34115479</v>
      </c>
      <c r="Q1241" s="847"/>
      <c r="R1241" s="738">
        <f t="shared" si="162"/>
        <v>34115479</v>
      </c>
      <c r="S1241" s="737">
        <f t="shared" si="163"/>
        <v>48312719</v>
      </c>
      <c r="T1241" s="739">
        <f t="shared" si="164"/>
        <v>48933354</v>
      </c>
      <c r="U1241" s="846"/>
      <c r="V1241" s="847"/>
      <c r="W1241" s="846"/>
      <c r="X1241" s="846"/>
      <c r="Y1241" s="740">
        <f t="shared" si="160"/>
        <v>0</v>
      </c>
      <c r="Z1241" s="847"/>
      <c r="AA1241" s="847"/>
      <c r="AB1241" s="741">
        <f t="shared" si="161"/>
        <v>0</v>
      </c>
      <c r="AC1241" s="846"/>
      <c r="AD1241" s="847"/>
      <c r="AE1241" s="846"/>
      <c r="AF1241" s="846"/>
      <c r="AG1241" s="847"/>
      <c r="AH1241" s="847"/>
      <c r="AI1241" s="742">
        <f t="shared" si="165"/>
        <v>48312719</v>
      </c>
      <c r="AJ1241" s="743">
        <f t="shared" si="166"/>
        <v>48933354</v>
      </c>
    </row>
    <row r="1242" spans="1:36">
      <c r="A1242" s="1105" t="s">
        <v>145</v>
      </c>
      <c r="B1242" s="1106" t="s">
        <v>264</v>
      </c>
      <c r="C1242" s="1107" t="s">
        <v>1053</v>
      </c>
      <c r="D1242" s="1118"/>
      <c r="E1242" s="1119">
        <v>159416</v>
      </c>
      <c r="F1242" s="1117">
        <v>4</v>
      </c>
      <c r="G1242" s="846">
        <v>7844685</v>
      </c>
      <c r="H1242" s="847">
        <v>8103324</v>
      </c>
      <c r="I1242" s="846"/>
      <c r="J1242" s="847"/>
      <c r="K1242" s="846"/>
      <c r="L1242" s="847"/>
      <c r="M1242" s="846">
        <v>20420029</v>
      </c>
      <c r="N1242" s="846"/>
      <c r="O1242" s="737">
        <f t="shared" si="159"/>
        <v>20420029</v>
      </c>
      <c r="P1242" s="847">
        <v>23124724</v>
      </c>
      <c r="Q1242" s="847"/>
      <c r="R1242" s="738">
        <f t="shared" si="162"/>
        <v>23124724</v>
      </c>
      <c r="S1242" s="737">
        <f t="shared" si="163"/>
        <v>28264714</v>
      </c>
      <c r="T1242" s="739">
        <f t="shared" si="164"/>
        <v>31228048</v>
      </c>
      <c r="U1242" s="846"/>
      <c r="V1242" s="847"/>
      <c r="W1242" s="846"/>
      <c r="X1242" s="846"/>
      <c r="Y1242" s="740">
        <f t="shared" si="160"/>
        <v>0</v>
      </c>
      <c r="Z1242" s="847"/>
      <c r="AA1242" s="847"/>
      <c r="AB1242" s="741">
        <f t="shared" si="161"/>
        <v>0</v>
      </c>
      <c r="AC1242" s="846"/>
      <c r="AD1242" s="847"/>
      <c r="AE1242" s="846"/>
      <c r="AF1242" s="846"/>
      <c r="AG1242" s="847"/>
      <c r="AH1242" s="847"/>
      <c r="AI1242" s="742">
        <f t="shared" si="165"/>
        <v>28264714</v>
      </c>
      <c r="AJ1242" s="743">
        <f t="shared" si="166"/>
        <v>31228048</v>
      </c>
    </row>
    <row r="1243" spans="1:36">
      <c r="A1243" s="1105" t="s">
        <v>145</v>
      </c>
      <c r="B1243" s="1106" t="s">
        <v>264</v>
      </c>
      <c r="C1243" s="1107" t="s">
        <v>1054</v>
      </c>
      <c r="D1243" s="1118"/>
      <c r="E1243" s="1119">
        <v>159717</v>
      </c>
      <c r="F1243" s="1117">
        <v>4</v>
      </c>
      <c r="G1243" s="846">
        <v>20583545</v>
      </c>
      <c r="H1243" s="847">
        <v>19093425</v>
      </c>
      <c r="I1243" s="846"/>
      <c r="J1243" s="847"/>
      <c r="K1243" s="846"/>
      <c r="L1243" s="847"/>
      <c r="M1243" s="846">
        <v>39657842</v>
      </c>
      <c r="N1243" s="846"/>
      <c r="O1243" s="737">
        <f t="shared" si="159"/>
        <v>39657842</v>
      </c>
      <c r="P1243" s="847">
        <v>43227621</v>
      </c>
      <c r="Q1243" s="847"/>
      <c r="R1243" s="738">
        <f t="shared" si="162"/>
        <v>43227621</v>
      </c>
      <c r="S1243" s="737">
        <f t="shared" si="163"/>
        <v>60241387</v>
      </c>
      <c r="T1243" s="739">
        <f t="shared" si="164"/>
        <v>62321046</v>
      </c>
      <c r="U1243" s="846"/>
      <c r="V1243" s="847"/>
      <c r="W1243" s="846"/>
      <c r="X1243" s="846"/>
      <c r="Y1243" s="740">
        <f t="shared" si="160"/>
        <v>0</v>
      </c>
      <c r="Z1243" s="847"/>
      <c r="AA1243" s="847"/>
      <c r="AB1243" s="741">
        <f t="shared" si="161"/>
        <v>0</v>
      </c>
      <c r="AC1243" s="846"/>
      <c r="AD1243" s="847"/>
      <c r="AE1243" s="846"/>
      <c r="AF1243" s="846"/>
      <c r="AG1243" s="847"/>
      <c r="AH1243" s="847"/>
      <c r="AI1243" s="742">
        <f t="shared" si="165"/>
        <v>60241387</v>
      </c>
      <c r="AJ1243" s="743">
        <f t="shared" si="166"/>
        <v>62321046</v>
      </c>
    </row>
    <row r="1244" spans="1:36">
      <c r="A1244" s="1105" t="s">
        <v>145</v>
      </c>
      <c r="B1244" s="1106" t="s">
        <v>264</v>
      </c>
      <c r="C1244" s="1114" t="s">
        <v>1055</v>
      </c>
      <c r="D1244" s="1118"/>
      <c r="E1244" s="1119">
        <v>159966</v>
      </c>
      <c r="F1244" s="1117">
        <v>4</v>
      </c>
      <c r="G1244" s="846">
        <v>16072597</v>
      </c>
      <c r="H1244" s="847">
        <v>15867374</v>
      </c>
      <c r="I1244" s="846"/>
      <c r="J1244" s="847"/>
      <c r="K1244" s="846"/>
      <c r="L1244" s="847"/>
      <c r="M1244" s="846">
        <v>32207400</v>
      </c>
      <c r="N1244" s="846"/>
      <c r="O1244" s="737">
        <f t="shared" si="159"/>
        <v>32207400</v>
      </c>
      <c r="P1244" s="847">
        <v>35917014</v>
      </c>
      <c r="Q1244" s="847"/>
      <c r="R1244" s="738">
        <f t="shared" si="162"/>
        <v>35917014</v>
      </c>
      <c r="S1244" s="737">
        <f t="shared" si="163"/>
        <v>48279997</v>
      </c>
      <c r="T1244" s="739">
        <f t="shared" si="164"/>
        <v>51784388</v>
      </c>
      <c r="U1244" s="846"/>
      <c r="V1244" s="847"/>
      <c r="W1244" s="846"/>
      <c r="X1244" s="846"/>
      <c r="Y1244" s="740">
        <f t="shared" si="160"/>
        <v>0</v>
      </c>
      <c r="Z1244" s="847"/>
      <c r="AA1244" s="847"/>
      <c r="AB1244" s="741">
        <f t="shared" si="161"/>
        <v>0</v>
      </c>
      <c r="AC1244" s="846"/>
      <c r="AD1244" s="847"/>
      <c r="AE1244" s="846"/>
      <c r="AF1244" s="846"/>
      <c r="AG1244" s="847"/>
      <c r="AH1244" s="847"/>
      <c r="AI1244" s="742">
        <f t="shared" si="165"/>
        <v>48279997</v>
      </c>
      <c r="AJ1244" s="743">
        <f t="shared" si="166"/>
        <v>51784388</v>
      </c>
    </row>
    <row r="1245" spans="1:36">
      <c r="A1245" s="1105" t="s">
        <v>145</v>
      </c>
      <c r="B1245" s="1106" t="s">
        <v>264</v>
      </c>
      <c r="C1245" s="1107" t="s">
        <v>1056</v>
      </c>
      <c r="D1245" s="1118"/>
      <c r="E1245" s="1119">
        <v>160038</v>
      </c>
      <c r="F1245" s="1117">
        <v>4</v>
      </c>
      <c r="G1245" s="846">
        <v>21699327</v>
      </c>
      <c r="H1245" s="847">
        <v>21762178</v>
      </c>
      <c r="I1245" s="846"/>
      <c r="J1245" s="847"/>
      <c r="K1245" s="846"/>
      <c r="L1245" s="847"/>
      <c r="M1245" s="846">
        <v>46321824</v>
      </c>
      <c r="N1245" s="846"/>
      <c r="O1245" s="737">
        <f t="shared" si="159"/>
        <v>46321824</v>
      </c>
      <c r="P1245" s="847">
        <v>49299528</v>
      </c>
      <c r="Q1245" s="847"/>
      <c r="R1245" s="738">
        <f t="shared" si="162"/>
        <v>49299528</v>
      </c>
      <c r="S1245" s="737">
        <f t="shared" si="163"/>
        <v>68021151</v>
      </c>
      <c r="T1245" s="739">
        <f t="shared" si="164"/>
        <v>71061706</v>
      </c>
      <c r="U1245" s="846"/>
      <c r="V1245" s="847"/>
      <c r="W1245" s="846"/>
      <c r="X1245" s="846"/>
      <c r="Y1245" s="740">
        <f t="shared" si="160"/>
        <v>0</v>
      </c>
      <c r="Z1245" s="847"/>
      <c r="AA1245" s="847"/>
      <c r="AB1245" s="741">
        <f t="shared" si="161"/>
        <v>0</v>
      </c>
      <c r="AC1245" s="846"/>
      <c r="AD1245" s="847"/>
      <c r="AE1245" s="846"/>
      <c r="AF1245" s="846"/>
      <c r="AG1245" s="847"/>
      <c r="AH1245" s="847"/>
      <c r="AI1245" s="742">
        <f t="shared" si="165"/>
        <v>68021151</v>
      </c>
      <c r="AJ1245" s="743">
        <f t="shared" si="166"/>
        <v>71061706</v>
      </c>
    </row>
    <row r="1246" spans="1:36">
      <c r="A1246" s="1105" t="s">
        <v>145</v>
      </c>
      <c r="B1246" s="1106" t="s">
        <v>264</v>
      </c>
      <c r="C1246" s="1120" t="s">
        <v>1057</v>
      </c>
      <c r="D1246" s="1121" t="s">
        <v>1317</v>
      </c>
      <c r="E1246" s="1119">
        <v>160630</v>
      </c>
      <c r="F1246" s="1127">
        <v>5</v>
      </c>
      <c r="G1246" s="846">
        <v>8038737</v>
      </c>
      <c r="H1246" s="847">
        <v>7058553</v>
      </c>
      <c r="I1246" s="846"/>
      <c r="J1246" s="847"/>
      <c r="K1246" s="846"/>
      <c r="L1246" s="847"/>
      <c r="M1246" s="846">
        <v>11665746</v>
      </c>
      <c r="N1246" s="846"/>
      <c r="O1246" s="737">
        <f t="shared" si="159"/>
        <v>11665746</v>
      </c>
      <c r="P1246" s="847">
        <v>11315135</v>
      </c>
      <c r="Q1246" s="847"/>
      <c r="R1246" s="738">
        <f t="shared" si="162"/>
        <v>11315135</v>
      </c>
      <c r="S1246" s="737">
        <f t="shared" si="163"/>
        <v>19704483</v>
      </c>
      <c r="T1246" s="739">
        <f t="shared" si="164"/>
        <v>18373688</v>
      </c>
      <c r="U1246" s="846"/>
      <c r="V1246" s="847"/>
      <c r="W1246" s="846"/>
      <c r="X1246" s="846"/>
      <c r="Y1246" s="740">
        <f t="shared" si="160"/>
        <v>0</v>
      </c>
      <c r="Z1246" s="847"/>
      <c r="AA1246" s="847"/>
      <c r="AB1246" s="741">
        <f t="shared" si="161"/>
        <v>0</v>
      </c>
      <c r="AC1246" s="846"/>
      <c r="AD1246" s="847"/>
      <c r="AE1246" s="846"/>
      <c r="AF1246" s="846"/>
      <c r="AG1246" s="847"/>
      <c r="AH1246" s="847"/>
      <c r="AI1246" s="742">
        <f t="shared" si="165"/>
        <v>19704483</v>
      </c>
      <c r="AJ1246" s="743">
        <f t="shared" si="166"/>
        <v>18373688</v>
      </c>
    </row>
    <row r="1247" spans="1:36">
      <c r="A1247" s="1105" t="s">
        <v>145</v>
      </c>
      <c r="B1247" s="1106" t="s">
        <v>264</v>
      </c>
      <c r="C1247" s="1120" t="s">
        <v>1058</v>
      </c>
      <c r="D1247" s="1121"/>
      <c r="E1247" s="1119">
        <v>159382</v>
      </c>
      <c r="F1247" s="1117">
        <v>6</v>
      </c>
      <c r="G1247" s="846">
        <v>5520027</v>
      </c>
      <c r="H1247" s="847">
        <v>5569131</v>
      </c>
      <c r="I1247" s="846"/>
      <c r="J1247" s="847"/>
      <c r="K1247" s="846"/>
      <c r="L1247" s="847"/>
      <c r="M1247" s="846">
        <v>9838448</v>
      </c>
      <c r="N1247" s="846"/>
      <c r="O1247" s="737">
        <f t="shared" si="159"/>
        <v>9838448</v>
      </c>
      <c r="P1247" s="847">
        <v>10650851</v>
      </c>
      <c r="Q1247" s="847"/>
      <c r="R1247" s="738">
        <f t="shared" si="162"/>
        <v>10650851</v>
      </c>
      <c r="S1247" s="737">
        <f t="shared" si="163"/>
        <v>15358475</v>
      </c>
      <c r="T1247" s="739">
        <f t="shared" si="164"/>
        <v>16219982</v>
      </c>
      <c r="U1247" s="846"/>
      <c r="V1247" s="847"/>
      <c r="W1247" s="846"/>
      <c r="X1247" s="846"/>
      <c r="Y1247" s="740">
        <f t="shared" si="160"/>
        <v>0</v>
      </c>
      <c r="Z1247" s="847"/>
      <c r="AA1247" s="847"/>
      <c r="AB1247" s="741">
        <f t="shared" si="161"/>
        <v>0</v>
      </c>
      <c r="AC1247" s="846"/>
      <c r="AD1247" s="847"/>
      <c r="AE1247" s="846"/>
      <c r="AF1247" s="846"/>
      <c r="AG1247" s="847"/>
      <c r="AH1247" s="847"/>
      <c r="AI1247" s="742">
        <f t="shared" si="165"/>
        <v>15358475</v>
      </c>
      <c r="AJ1247" s="743">
        <f t="shared" si="166"/>
        <v>16219982</v>
      </c>
    </row>
    <row r="1248" spans="1:36">
      <c r="A1248" s="1105" t="s">
        <v>145</v>
      </c>
      <c r="B1248" s="1106" t="s">
        <v>264</v>
      </c>
      <c r="C1248" s="1122" t="s">
        <v>1059</v>
      </c>
      <c r="D1248" s="1123"/>
      <c r="E1248" s="1119">
        <v>437103</v>
      </c>
      <c r="F1248" s="1124">
        <v>8</v>
      </c>
      <c r="G1248" s="846">
        <v>15506345</v>
      </c>
      <c r="H1248" s="847">
        <v>15266655</v>
      </c>
      <c r="I1248" s="846"/>
      <c r="J1248" s="847"/>
      <c r="K1248" s="846"/>
      <c r="L1248" s="847"/>
      <c r="M1248" s="846">
        <v>21176742</v>
      </c>
      <c r="N1248" s="846"/>
      <c r="O1248" s="737">
        <f t="shared" si="159"/>
        <v>21176742</v>
      </c>
      <c r="P1248" s="847">
        <v>25291600</v>
      </c>
      <c r="Q1248" s="847"/>
      <c r="R1248" s="738">
        <f t="shared" si="162"/>
        <v>25291600</v>
      </c>
      <c r="S1248" s="737">
        <f t="shared" si="163"/>
        <v>36683087</v>
      </c>
      <c r="T1248" s="739">
        <f t="shared" si="164"/>
        <v>40558255</v>
      </c>
      <c r="U1248" s="846"/>
      <c r="V1248" s="847"/>
      <c r="W1248" s="846"/>
      <c r="X1248" s="846"/>
      <c r="Y1248" s="740">
        <f t="shared" si="160"/>
        <v>0</v>
      </c>
      <c r="Z1248" s="847"/>
      <c r="AA1248" s="847"/>
      <c r="AB1248" s="741">
        <f t="shared" si="161"/>
        <v>0</v>
      </c>
      <c r="AC1248" s="846"/>
      <c r="AD1248" s="847"/>
      <c r="AE1248" s="846"/>
      <c r="AF1248" s="846"/>
      <c r="AG1248" s="847"/>
      <c r="AH1248" s="847"/>
      <c r="AI1248" s="742">
        <f t="shared" si="165"/>
        <v>36683087</v>
      </c>
      <c r="AJ1248" s="743">
        <f t="shared" si="166"/>
        <v>40558255</v>
      </c>
    </row>
    <row r="1249" spans="1:36">
      <c r="A1249" s="1105" t="s">
        <v>145</v>
      </c>
      <c r="B1249" s="1106" t="s">
        <v>264</v>
      </c>
      <c r="C1249" s="1120" t="s">
        <v>1060</v>
      </c>
      <c r="D1249" s="1121"/>
      <c r="E1249" s="1119">
        <v>158431</v>
      </c>
      <c r="F1249" s="1117">
        <v>8</v>
      </c>
      <c r="G1249" s="846">
        <v>7597351</v>
      </c>
      <c r="H1249" s="847">
        <v>11000908</v>
      </c>
      <c r="I1249" s="846"/>
      <c r="J1249" s="847"/>
      <c r="K1249" s="846"/>
      <c r="L1249" s="847"/>
      <c r="M1249" s="846">
        <v>22165605</v>
      </c>
      <c r="N1249" s="846"/>
      <c r="O1249" s="737">
        <f t="shared" si="159"/>
        <v>22165605</v>
      </c>
      <c r="P1249" s="847">
        <v>24619000</v>
      </c>
      <c r="Q1249" s="847"/>
      <c r="R1249" s="738">
        <f t="shared" si="162"/>
        <v>24619000</v>
      </c>
      <c r="S1249" s="737">
        <f t="shared" si="163"/>
        <v>29762956</v>
      </c>
      <c r="T1249" s="739">
        <f t="shared" si="164"/>
        <v>35619908</v>
      </c>
      <c r="U1249" s="846"/>
      <c r="V1249" s="847"/>
      <c r="W1249" s="846"/>
      <c r="X1249" s="846"/>
      <c r="Y1249" s="740">
        <f t="shared" si="160"/>
        <v>0</v>
      </c>
      <c r="Z1249" s="847"/>
      <c r="AA1249" s="847"/>
      <c r="AB1249" s="741">
        <f t="shared" si="161"/>
        <v>0</v>
      </c>
      <c r="AC1249" s="846"/>
      <c r="AD1249" s="847"/>
      <c r="AE1249" s="846"/>
      <c r="AF1249" s="846"/>
      <c r="AG1249" s="847"/>
      <c r="AH1249" s="847"/>
      <c r="AI1249" s="742">
        <f t="shared" si="165"/>
        <v>29762956</v>
      </c>
      <c r="AJ1249" s="743">
        <f t="shared" si="166"/>
        <v>35619908</v>
      </c>
    </row>
    <row r="1250" spans="1:36">
      <c r="A1250" s="1105" t="s">
        <v>145</v>
      </c>
      <c r="B1250" s="1106" t="s">
        <v>264</v>
      </c>
      <c r="C1250" s="1122" t="s">
        <v>1061</v>
      </c>
      <c r="D1250" s="1123"/>
      <c r="E1250" s="1119">
        <v>158662</v>
      </c>
      <c r="F1250" s="1126">
        <v>8</v>
      </c>
      <c r="G1250" s="846">
        <v>26855285</v>
      </c>
      <c r="H1250" s="847">
        <v>27482271</v>
      </c>
      <c r="I1250" s="846"/>
      <c r="J1250" s="847"/>
      <c r="K1250" s="846"/>
      <c r="L1250" s="847"/>
      <c r="M1250" s="846">
        <v>53678415</v>
      </c>
      <c r="N1250" s="846"/>
      <c r="O1250" s="737">
        <f t="shared" si="159"/>
        <v>53678415</v>
      </c>
      <c r="P1250" s="847">
        <v>55298000</v>
      </c>
      <c r="Q1250" s="847"/>
      <c r="R1250" s="738">
        <f t="shared" si="162"/>
        <v>55298000</v>
      </c>
      <c r="S1250" s="737">
        <f t="shared" si="163"/>
        <v>80533700</v>
      </c>
      <c r="T1250" s="739">
        <f t="shared" si="164"/>
        <v>82780271</v>
      </c>
      <c r="U1250" s="846"/>
      <c r="V1250" s="847"/>
      <c r="W1250" s="846"/>
      <c r="X1250" s="846"/>
      <c r="Y1250" s="740">
        <f t="shared" si="160"/>
        <v>0</v>
      </c>
      <c r="Z1250" s="847"/>
      <c r="AA1250" s="847"/>
      <c r="AB1250" s="741">
        <f t="shared" si="161"/>
        <v>0</v>
      </c>
      <c r="AC1250" s="846"/>
      <c r="AD1250" s="847"/>
      <c r="AE1250" s="846"/>
      <c r="AF1250" s="846"/>
      <c r="AG1250" s="847"/>
      <c r="AH1250" s="847"/>
      <c r="AI1250" s="742">
        <f t="shared" si="165"/>
        <v>80533700</v>
      </c>
      <c r="AJ1250" s="743">
        <f t="shared" si="166"/>
        <v>82780271</v>
      </c>
    </row>
    <row r="1251" spans="1:36">
      <c r="A1251" s="1105" t="s">
        <v>145</v>
      </c>
      <c r="B1251" s="1106" t="s">
        <v>264</v>
      </c>
      <c r="C1251" s="1107" t="s">
        <v>1062</v>
      </c>
      <c r="D1251" s="1121"/>
      <c r="E1251" s="1119">
        <v>440624</v>
      </c>
      <c r="F1251" s="1125">
        <v>9</v>
      </c>
      <c r="G1251" s="846">
        <v>8320402</v>
      </c>
      <c r="H1251" s="847">
        <v>8533226</v>
      </c>
      <c r="I1251" s="846"/>
      <c r="J1251" s="847"/>
      <c r="K1251" s="846"/>
      <c r="L1251" s="847"/>
      <c r="M1251" s="846">
        <v>9307432</v>
      </c>
      <c r="N1251" s="846"/>
      <c r="O1251" s="737">
        <f t="shared" si="159"/>
        <v>9307432</v>
      </c>
      <c r="P1251" s="847">
        <v>10234332</v>
      </c>
      <c r="Q1251" s="847"/>
      <c r="R1251" s="738">
        <f t="shared" si="162"/>
        <v>10234332</v>
      </c>
      <c r="S1251" s="737">
        <f t="shared" si="163"/>
        <v>17627834</v>
      </c>
      <c r="T1251" s="739">
        <f t="shared" si="164"/>
        <v>18767558</v>
      </c>
      <c r="U1251" s="846"/>
      <c r="V1251" s="847"/>
      <c r="W1251" s="846"/>
      <c r="X1251" s="846"/>
      <c r="Y1251" s="740">
        <f t="shared" si="160"/>
        <v>0</v>
      </c>
      <c r="Z1251" s="847"/>
      <c r="AA1251" s="847"/>
      <c r="AB1251" s="741">
        <f t="shared" si="161"/>
        <v>0</v>
      </c>
      <c r="AC1251" s="846"/>
      <c r="AD1251" s="847"/>
      <c r="AE1251" s="846"/>
      <c r="AF1251" s="846"/>
      <c r="AG1251" s="847"/>
      <c r="AH1251" s="847"/>
      <c r="AI1251" s="742">
        <f t="shared" si="165"/>
        <v>17627834</v>
      </c>
      <c r="AJ1251" s="743">
        <f t="shared" si="166"/>
        <v>18767558</v>
      </c>
    </row>
    <row r="1252" spans="1:36">
      <c r="A1252" s="1105" t="s">
        <v>145</v>
      </c>
      <c r="B1252" s="1106" t="s">
        <v>264</v>
      </c>
      <c r="C1252" s="1107" t="s">
        <v>1063</v>
      </c>
      <c r="D1252" s="1128" t="s">
        <v>1318</v>
      </c>
      <c r="E1252" s="1119">
        <v>159407</v>
      </c>
      <c r="F1252" s="1117">
        <v>9</v>
      </c>
      <c r="G1252" s="846">
        <v>4925736</v>
      </c>
      <c r="H1252" s="847">
        <v>5016621</v>
      </c>
      <c r="I1252" s="846"/>
      <c r="J1252" s="847"/>
      <c r="K1252" s="846"/>
      <c r="L1252" s="847"/>
      <c r="M1252" s="846">
        <v>7451837</v>
      </c>
      <c r="N1252" s="846"/>
      <c r="O1252" s="737">
        <f t="shared" si="159"/>
        <v>7451837</v>
      </c>
      <c r="P1252" s="847">
        <v>7803513</v>
      </c>
      <c r="Q1252" s="847"/>
      <c r="R1252" s="738">
        <f t="shared" si="162"/>
        <v>7803513</v>
      </c>
      <c r="S1252" s="737">
        <f t="shared" si="163"/>
        <v>12377573</v>
      </c>
      <c r="T1252" s="739">
        <f t="shared" si="164"/>
        <v>12820134</v>
      </c>
      <c r="U1252" s="846"/>
      <c r="V1252" s="847"/>
      <c r="W1252" s="846"/>
      <c r="X1252" s="846"/>
      <c r="Y1252" s="740">
        <f t="shared" si="160"/>
        <v>0</v>
      </c>
      <c r="Z1252" s="847"/>
      <c r="AA1252" s="847"/>
      <c r="AB1252" s="741">
        <f t="shared" si="161"/>
        <v>0</v>
      </c>
      <c r="AC1252" s="846"/>
      <c r="AD1252" s="847"/>
      <c r="AE1252" s="846"/>
      <c r="AF1252" s="846"/>
      <c r="AG1252" s="847"/>
      <c r="AH1252" s="847"/>
      <c r="AI1252" s="742">
        <f t="shared" si="165"/>
        <v>12377573</v>
      </c>
      <c r="AJ1252" s="743">
        <f t="shared" si="166"/>
        <v>12820134</v>
      </c>
    </row>
    <row r="1253" spans="1:36">
      <c r="A1253" s="1105" t="s">
        <v>145</v>
      </c>
      <c r="B1253" s="1106" t="s">
        <v>264</v>
      </c>
      <c r="C1253" s="1107" t="s">
        <v>1064</v>
      </c>
      <c r="D1253" s="1123"/>
      <c r="E1253" s="1119">
        <v>434061</v>
      </c>
      <c r="F1253" s="1124">
        <v>9</v>
      </c>
      <c r="G1253" s="846">
        <v>13202447</v>
      </c>
      <c r="H1253" s="847">
        <v>14052511</v>
      </c>
      <c r="I1253" s="846"/>
      <c r="J1253" s="847"/>
      <c r="K1253" s="846"/>
      <c r="L1253" s="847"/>
      <c r="M1253" s="846">
        <v>13615719</v>
      </c>
      <c r="N1253" s="846"/>
      <c r="O1253" s="737">
        <f t="shared" si="159"/>
        <v>13615719</v>
      </c>
      <c r="P1253" s="847">
        <v>15987500</v>
      </c>
      <c r="Q1253" s="847"/>
      <c r="R1253" s="738">
        <f t="shared" si="162"/>
        <v>15987500</v>
      </c>
      <c r="S1253" s="737">
        <f t="shared" si="163"/>
        <v>26818166</v>
      </c>
      <c r="T1253" s="739">
        <f t="shared" si="164"/>
        <v>30040011</v>
      </c>
      <c r="U1253" s="846"/>
      <c r="V1253" s="847"/>
      <c r="W1253" s="846"/>
      <c r="X1253" s="846"/>
      <c r="Y1253" s="740">
        <f t="shared" si="160"/>
        <v>0</v>
      </c>
      <c r="Z1253" s="847"/>
      <c r="AA1253" s="847"/>
      <c r="AB1253" s="741">
        <f t="shared" si="161"/>
        <v>0</v>
      </c>
      <c r="AC1253" s="846"/>
      <c r="AD1253" s="847"/>
      <c r="AE1253" s="846"/>
      <c r="AF1253" s="846"/>
      <c r="AG1253" s="847"/>
      <c r="AH1253" s="847"/>
      <c r="AI1253" s="742">
        <f t="shared" si="165"/>
        <v>26818166</v>
      </c>
      <c r="AJ1253" s="743">
        <f t="shared" si="166"/>
        <v>30040011</v>
      </c>
    </row>
    <row r="1254" spans="1:36">
      <c r="A1254" s="1105" t="s">
        <v>145</v>
      </c>
      <c r="B1254" s="1106" t="s">
        <v>264</v>
      </c>
      <c r="C1254" s="1129" t="s">
        <v>1065</v>
      </c>
      <c r="D1254" s="1121"/>
      <c r="E1254" s="1130">
        <v>160649</v>
      </c>
      <c r="F1254" s="1125">
        <v>9</v>
      </c>
      <c r="G1254" s="846">
        <v>7266720</v>
      </c>
      <c r="H1254" s="847">
        <v>5853493</v>
      </c>
      <c r="I1254" s="846"/>
      <c r="J1254" s="847"/>
      <c r="K1254" s="846"/>
      <c r="L1254" s="847"/>
      <c r="M1254" s="846">
        <v>6914848</v>
      </c>
      <c r="N1254" s="846"/>
      <c r="O1254" s="737">
        <f t="shared" si="159"/>
        <v>6914848</v>
      </c>
      <c r="P1254" s="847">
        <v>7219818</v>
      </c>
      <c r="Q1254" s="847"/>
      <c r="R1254" s="738">
        <f t="shared" si="162"/>
        <v>7219818</v>
      </c>
      <c r="S1254" s="737">
        <f t="shared" si="163"/>
        <v>14181568</v>
      </c>
      <c r="T1254" s="739">
        <f t="shared" si="164"/>
        <v>13073311</v>
      </c>
      <c r="U1254" s="846"/>
      <c r="V1254" s="847"/>
      <c r="W1254" s="846"/>
      <c r="X1254" s="846"/>
      <c r="Y1254" s="740">
        <f t="shared" si="160"/>
        <v>0</v>
      </c>
      <c r="Z1254" s="847"/>
      <c r="AA1254" s="847"/>
      <c r="AB1254" s="741">
        <f t="shared" si="161"/>
        <v>0</v>
      </c>
      <c r="AC1254" s="846"/>
      <c r="AD1254" s="847"/>
      <c r="AE1254" s="846"/>
      <c r="AF1254" s="846"/>
      <c r="AG1254" s="847"/>
      <c r="AH1254" s="847"/>
      <c r="AI1254" s="742">
        <f t="shared" si="165"/>
        <v>14181568</v>
      </c>
      <c r="AJ1254" s="743">
        <f t="shared" si="166"/>
        <v>13073311</v>
      </c>
    </row>
    <row r="1255" spans="1:36">
      <c r="A1255" s="1105" t="s">
        <v>145</v>
      </c>
      <c r="B1255" s="1106" t="s">
        <v>264</v>
      </c>
      <c r="C1255" s="1107" t="s">
        <v>1066</v>
      </c>
      <c r="D1255" s="1118"/>
      <c r="E1255" s="1130">
        <v>158884</v>
      </c>
      <c r="F1255" s="1117">
        <v>10</v>
      </c>
      <c r="G1255" s="846">
        <v>3195369</v>
      </c>
      <c r="H1255" s="847">
        <v>3642124</v>
      </c>
      <c r="I1255" s="846"/>
      <c r="J1255" s="847"/>
      <c r="K1255" s="846"/>
      <c r="L1255" s="847"/>
      <c r="M1255" s="846">
        <v>4203128</v>
      </c>
      <c r="N1255" s="846"/>
      <c r="O1255" s="737">
        <f t="shared" si="159"/>
        <v>4203128</v>
      </c>
      <c r="P1255" s="847">
        <v>4856000</v>
      </c>
      <c r="Q1255" s="847"/>
      <c r="R1255" s="738">
        <f t="shared" si="162"/>
        <v>4856000</v>
      </c>
      <c r="S1255" s="737">
        <f t="shared" si="163"/>
        <v>7398497</v>
      </c>
      <c r="T1255" s="739">
        <f t="shared" si="164"/>
        <v>8498124</v>
      </c>
      <c r="U1255" s="846"/>
      <c r="V1255" s="847"/>
      <c r="W1255" s="846"/>
      <c r="X1255" s="846"/>
      <c r="Y1255" s="740">
        <f t="shared" si="160"/>
        <v>0</v>
      </c>
      <c r="Z1255" s="847"/>
      <c r="AA1255" s="847"/>
      <c r="AB1255" s="741">
        <f t="shared" si="161"/>
        <v>0</v>
      </c>
      <c r="AC1255" s="846"/>
      <c r="AD1255" s="847"/>
      <c r="AE1255" s="846"/>
      <c r="AF1255" s="846"/>
      <c r="AG1255" s="847"/>
      <c r="AH1255" s="847"/>
      <c r="AI1255" s="742">
        <f t="shared" si="165"/>
        <v>7398497</v>
      </c>
      <c r="AJ1255" s="743">
        <f t="shared" si="166"/>
        <v>8498124</v>
      </c>
    </row>
    <row r="1256" spans="1:36">
      <c r="A1256" s="1105" t="s">
        <v>145</v>
      </c>
      <c r="B1256" s="1106" t="s">
        <v>264</v>
      </c>
      <c r="C1256" s="1122" t="s">
        <v>1067</v>
      </c>
      <c r="D1256" s="1123"/>
      <c r="E1256" s="1130">
        <v>436304</v>
      </c>
      <c r="F1256" s="1117">
        <v>10</v>
      </c>
      <c r="G1256" s="846">
        <v>3064565</v>
      </c>
      <c r="H1256" s="847">
        <v>3406615</v>
      </c>
      <c r="I1256" s="846"/>
      <c r="J1256" s="847"/>
      <c r="K1256" s="846"/>
      <c r="L1256" s="847"/>
      <c r="M1256" s="846">
        <v>4885686</v>
      </c>
      <c r="N1256" s="846"/>
      <c r="O1256" s="737">
        <f t="shared" si="159"/>
        <v>4885686</v>
      </c>
      <c r="P1256" s="847">
        <v>6015500</v>
      </c>
      <c r="Q1256" s="847"/>
      <c r="R1256" s="738">
        <f t="shared" si="162"/>
        <v>6015500</v>
      </c>
      <c r="S1256" s="737">
        <f t="shared" si="163"/>
        <v>7950251</v>
      </c>
      <c r="T1256" s="739">
        <f t="shared" si="164"/>
        <v>9422115</v>
      </c>
      <c r="U1256" s="846"/>
      <c r="V1256" s="847"/>
      <c r="W1256" s="846"/>
      <c r="X1256" s="846"/>
      <c r="Y1256" s="740">
        <f t="shared" si="160"/>
        <v>0</v>
      </c>
      <c r="Z1256" s="847"/>
      <c r="AA1256" s="847"/>
      <c r="AB1256" s="741">
        <f t="shared" si="161"/>
        <v>0</v>
      </c>
      <c r="AC1256" s="846"/>
      <c r="AD1256" s="847"/>
      <c r="AE1256" s="846"/>
      <c r="AF1256" s="846"/>
      <c r="AG1256" s="847"/>
      <c r="AH1256" s="847"/>
      <c r="AI1256" s="742">
        <f t="shared" si="165"/>
        <v>7950251</v>
      </c>
      <c r="AJ1256" s="743">
        <f t="shared" si="166"/>
        <v>9422115</v>
      </c>
    </row>
    <row r="1257" spans="1:36">
      <c r="A1257" s="1105" t="s">
        <v>145</v>
      </c>
      <c r="B1257" s="1106" t="s">
        <v>264</v>
      </c>
      <c r="C1257" s="1131" t="s">
        <v>1068</v>
      </c>
      <c r="D1257" s="1132"/>
      <c r="E1257" s="1130">
        <v>158088</v>
      </c>
      <c r="F1257" s="1117">
        <v>12</v>
      </c>
      <c r="G1257" s="846">
        <v>5964289</v>
      </c>
      <c r="H1257" s="847">
        <v>6148706</v>
      </c>
      <c r="I1257" s="846"/>
      <c r="J1257" s="847"/>
      <c r="K1257" s="846"/>
      <c r="L1257" s="847"/>
      <c r="M1257" s="846">
        <v>3568428</v>
      </c>
      <c r="N1257" s="846"/>
      <c r="O1257" s="737">
        <f t="shared" si="159"/>
        <v>3568428</v>
      </c>
      <c r="P1257" s="847">
        <v>4008581</v>
      </c>
      <c r="Q1257" s="847"/>
      <c r="R1257" s="738">
        <f t="shared" si="162"/>
        <v>4008581</v>
      </c>
      <c r="S1257" s="737">
        <f t="shared" si="163"/>
        <v>9532717</v>
      </c>
      <c r="T1257" s="739">
        <f t="shared" si="164"/>
        <v>10157287</v>
      </c>
      <c r="U1257" s="846"/>
      <c r="V1257" s="847"/>
      <c r="W1257" s="846"/>
      <c r="X1257" s="846"/>
      <c r="Y1257" s="740">
        <f t="shared" si="160"/>
        <v>0</v>
      </c>
      <c r="Z1257" s="847"/>
      <c r="AA1257" s="847"/>
      <c r="AB1257" s="741">
        <f t="shared" si="161"/>
        <v>0</v>
      </c>
      <c r="AC1257" s="846"/>
      <c r="AD1257" s="847"/>
      <c r="AE1257" s="846"/>
      <c r="AF1257" s="846"/>
      <c r="AG1257" s="847"/>
      <c r="AH1257" s="847"/>
      <c r="AI1257" s="742">
        <f t="shared" si="165"/>
        <v>9532717</v>
      </c>
      <c r="AJ1257" s="743">
        <f t="shared" si="166"/>
        <v>10157287</v>
      </c>
    </row>
    <row r="1258" spans="1:36">
      <c r="A1258" s="1105" t="s">
        <v>145</v>
      </c>
      <c r="B1258" s="1106" t="s">
        <v>264</v>
      </c>
      <c r="C1258" s="1120" t="s">
        <v>1069</v>
      </c>
      <c r="D1258" s="1121"/>
      <c r="E1258" s="1130">
        <v>160481</v>
      </c>
      <c r="F1258" s="1117">
        <v>12</v>
      </c>
      <c r="G1258" s="846">
        <v>2750722</v>
      </c>
      <c r="H1258" s="847">
        <v>3306866</v>
      </c>
      <c r="I1258" s="846"/>
      <c r="J1258" s="847"/>
      <c r="K1258" s="846"/>
      <c r="L1258" s="847"/>
      <c r="M1258" s="846">
        <v>5260138</v>
      </c>
      <c r="N1258" s="846"/>
      <c r="O1258" s="737">
        <f t="shared" si="159"/>
        <v>5260138</v>
      </c>
      <c r="P1258" s="847">
        <v>5640138</v>
      </c>
      <c r="Q1258" s="847"/>
      <c r="R1258" s="738">
        <f t="shared" si="162"/>
        <v>5640138</v>
      </c>
      <c r="S1258" s="737">
        <f t="shared" si="163"/>
        <v>8010860</v>
      </c>
      <c r="T1258" s="739">
        <f t="shared" si="164"/>
        <v>8947004</v>
      </c>
      <c r="U1258" s="846"/>
      <c r="V1258" s="847"/>
      <c r="W1258" s="846"/>
      <c r="X1258" s="846"/>
      <c r="Y1258" s="740">
        <f t="shared" si="160"/>
        <v>0</v>
      </c>
      <c r="Z1258" s="847"/>
      <c r="AA1258" s="847"/>
      <c r="AB1258" s="741">
        <f t="shared" si="161"/>
        <v>0</v>
      </c>
      <c r="AC1258" s="846"/>
      <c r="AD1258" s="847"/>
      <c r="AE1258" s="846"/>
      <c r="AF1258" s="846"/>
      <c r="AG1258" s="847"/>
      <c r="AH1258" s="847"/>
      <c r="AI1258" s="742">
        <f t="shared" si="165"/>
        <v>8010860</v>
      </c>
      <c r="AJ1258" s="743">
        <f t="shared" si="166"/>
        <v>8947004</v>
      </c>
    </row>
    <row r="1259" spans="1:36">
      <c r="A1259" s="1105" t="s">
        <v>145</v>
      </c>
      <c r="B1259" s="1106" t="s">
        <v>264</v>
      </c>
      <c r="C1259" s="1131" t="s">
        <v>1070</v>
      </c>
      <c r="D1259" s="1132"/>
      <c r="E1259" s="1130">
        <v>160667</v>
      </c>
      <c r="F1259" s="1117">
        <v>12</v>
      </c>
      <c r="G1259" s="846">
        <v>5139834</v>
      </c>
      <c r="H1259" s="847">
        <v>5382578</v>
      </c>
      <c r="I1259" s="846"/>
      <c r="J1259" s="847"/>
      <c r="K1259" s="846"/>
      <c r="L1259" s="847"/>
      <c r="M1259" s="846">
        <v>4602943</v>
      </c>
      <c r="N1259" s="846"/>
      <c r="O1259" s="737">
        <f t="shared" si="159"/>
        <v>4602943</v>
      </c>
      <c r="P1259" s="847">
        <v>5297825</v>
      </c>
      <c r="Q1259" s="847"/>
      <c r="R1259" s="738">
        <f t="shared" si="162"/>
        <v>5297825</v>
      </c>
      <c r="S1259" s="737">
        <f t="shared" si="163"/>
        <v>9742777</v>
      </c>
      <c r="T1259" s="739">
        <f t="shared" si="164"/>
        <v>10680403</v>
      </c>
      <c r="U1259" s="846"/>
      <c r="V1259" s="847"/>
      <c r="W1259" s="846"/>
      <c r="X1259" s="846"/>
      <c r="Y1259" s="740">
        <f t="shared" si="160"/>
        <v>0</v>
      </c>
      <c r="Z1259" s="847"/>
      <c r="AA1259" s="847"/>
      <c r="AB1259" s="741">
        <f t="shared" si="161"/>
        <v>0</v>
      </c>
      <c r="AC1259" s="846"/>
      <c r="AD1259" s="847"/>
      <c r="AE1259" s="846"/>
      <c r="AF1259" s="846"/>
      <c r="AG1259" s="847"/>
      <c r="AH1259" s="847"/>
      <c r="AI1259" s="742">
        <f t="shared" si="165"/>
        <v>9742777</v>
      </c>
      <c r="AJ1259" s="743">
        <f t="shared" si="166"/>
        <v>10680403</v>
      </c>
    </row>
    <row r="1260" spans="1:36">
      <c r="A1260" s="1105" t="s">
        <v>145</v>
      </c>
      <c r="B1260" s="1106" t="s">
        <v>264</v>
      </c>
      <c r="C1260" s="1131" t="s">
        <v>1071</v>
      </c>
      <c r="D1260" s="1132"/>
      <c r="E1260" s="1130">
        <v>160010</v>
      </c>
      <c r="F1260" s="1117">
        <v>12</v>
      </c>
      <c r="G1260" s="846">
        <v>7073086</v>
      </c>
      <c r="H1260" s="847">
        <v>7792463</v>
      </c>
      <c r="I1260" s="846"/>
      <c r="J1260" s="847"/>
      <c r="K1260" s="846"/>
      <c r="L1260" s="847"/>
      <c r="M1260" s="846">
        <v>3194576</v>
      </c>
      <c r="N1260" s="846"/>
      <c r="O1260" s="737">
        <f t="shared" si="159"/>
        <v>3194576</v>
      </c>
      <c r="P1260" s="847">
        <v>3277636</v>
      </c>
      <c r="Q1260" s="847"/>
      <c r="R1260" s="738">
        <f t="shared" si="162"/>
        <v>3277636</v>
      </c>
      <c r="S1260" s="737">
        <f t="shared" si="163"/>
        <v>10267662</v>
      </c>
      <c r="T1260" s="739">
        <f t="shared" si="164"/>
        <v>11070099</v>
      </c>
      <c r="U1260" s="846"/>
      <c r="V1260" s="847"/>
      <c r="W1260" s="846"/>
      <c r="X1260" s="846"/>
      <c r="Y1260" s="740">
        <f t="shared" si="160"/>
        <v>0</v>
      </c>
      <c r="Z1260" s="847"/>
      <c r="AA1260" s="847"/>
      <c r="AB1260" s="741">
        <f t="shared" si="161"/>
        <v>0</v>
      </c>
      <c r="AC1260" s="846"/>
      <c r="AD1260" s="847"/>
      <c r="AE1260" s="846"/>
      <c r="AF1260" s="846"/>
      <c r="AG1260" s="847"/>
      <c r="AH1260" s="847"/>
      <c r="AI1260" s="742">
        <f t="shared" si="165"/>
        <v>10267662</v>
      </c>
      <c r="AJ1260" s="743">
        <f t="shared" si="166"/>
        <v>11070099</v>
      </c>
    </row>
    <row r="1261" spans="1:36">
      <c r="A1261" s="1105" t="s">
        <v>145</v>
      </c>
      <c r="B1261" s="1106" t="s">
        <v>264</v>
      </c>
      <c r="C1261" s="1131" t="s">
        <v>1072</v>
      </c>
      <c r="D1261" s="1132"/>
      <c r="E1261" s="1130">
        <v>160913</v>
      </c>
      <c r="F1261" s="1117">
        <v>12</v>
      </c>
      <c r="G1261" s="846">
        <v>4382401</v>
      </c>
      <c r="H1261" s="847">
        <v>4637118</v>
      </c>
      <c r="I1261" s="846"/>
      <c r="J1261" s="847"/>
      <c r="K1261" s="846"/>
      <c r="L1261" s="847"/>
      <c r="M1261" s="846">
        <v>3378827</v>
      </c>
      <c r="N1261" s="846"/>
      <c r="O1261" s="737">
        <f t="shared" si="159"/>
        <v>3378827</v>
      </c>
      <c r="P1261" s="847">
        <v>5160000</v>
      </c>
      <c r="Q1261" s="847"/>
      <c r="R1261" s="738">
        <f t="shared" si="162"/>
        <v>5160000</v>
      </c>
      <c r="S1261" s="737">
        <f t="shared" si="163"/>
        <v>7761228</v>
      </c>
      <c r="T1261" s="739">
        <f t="shared" si="164"/>
        <v>9797118</v>
      </c>
      <c r="U1261" s="846"/>
      <c r="V1261" s="847"/>
      <c r="W1261" s="846"/>
      <c r="X1261" s="846"/>
      <c r="Y1261" s="740">
        <f t="shared" si="160"/>
        <v>0</v>
      </c>
      <c r="Z1261" s="847"/>
      <c r="AA1261" s="847"/>
      <c r="AB1261" s="741">
        <f t="shared" si="161"/>
        <v>0</v>
      </c>
      <c r="AC1261" s="846"/>
      <c r="AD1261" s="847"/>
      <c r="AE1261" s="846"/>
      <c r="AF1261" s="846"/>
      <c r="AG1261" s="847"/>
      <c r="AH1261" s="847"/>
      <c r="AI1261" s="742">
        <f t="shared" si="165"/>
        <v>7761228</v>
      </c>
      <c r="AJ1261" s="743">
        <f t="shared" si="166"/>
        <v>9797118</v>
      </c>
    </row>
    <row r="1262" spans="1:36">
      <c r="A1262" s="1105" t="s">
        <v>145</v>
      </c>
      <c r="B1262" s="1106" t="s">
        <v>264</v>
      </c>
      <c r="C1262" s="1114" t="s">
        <v>1073</v>
      </c>
      <c r="D1262" s="1118"/>
      <c r="E1262" s="1130">
        <v>160579</v>
      </c>
      <c r="F1262" s="1117">
        <v>12</v>
      </c>
      <c r="G1262" s="846">
        <v>5969614</v>
      </c>
      <c r="H1262" s="847">
        <v>7532787</v>
      </c>
      <c r="I1262" s="846"/>
      <c r="J1262" s="847"/>
      <c r="K1262" s="846"/>
      <c r="L1262" s="847"/>
      <c r="M1262" s="846">
        <v>6587706</v>
      </c>
      <c r="N1262" s="846"/>
      <c r="O1262" s="737">
        <f t="shared" si="159"/>
        <v>6587706</v>
      </c>
      <c r="P1262" s="847">
        <v>7538000</v>
      </c>
      <c r="Q1262" s="847"/>
      <c r="R1262" s="738">
        <f t="shared" si="162"/>
        <v>7538000</v>
      </c>
      <c r="S1262" s="737">
        <f t="shared" si="163"/>
        <v>12557320</v>
      </c>
      <c r="T1262" s="739">
        <f t="shared" si="164"/>
        <v>15070787</v>
      </c>
      <c r="U1262" s="846"/>
      <c r="V1262" s="847"/>
      <c r="W1262" s="846"/>
      <c r="X1262" s="846"/>
      <c r="Y1262" s="740">
        <f t="shared" si="160"/>
        <v>0</v>
      </c>
      <c r="Z1262" s="847"/>
      <c r="AA1262" s="847"/>
      <c r="AB1262" s="741">
        <f t="shared" si="161"/>
        <v>0</v>
      </c>
      <c r="AC1262" s="846"/>
      <c r="AD1262" s="847"/>
      <c r="AE1262" s="846"/>
      <c r="AF1262" s="846"/>
      <c r="AG1262" s="847"/>
      <c r="AH1262" s="847"/>
      <c r="AI1262" s="742">
        <f t="shared" si="165"/>
        <v>12557320</v>
      </c>
      <c r="AJ1262" s="743">
        <f t="shared" si="166"/>
        <v>15070787</v>
      </c>
    </row>
    <row r="1263" spans="1:36">
      <c r="A1263" s="1105" t="s">
        <v>145</v>
      </c>
      <c r="B1263" s="1106" t="s">
        <v>301</v>
      </c>
      <c r="C1263" s="1107" t="s">
        <v>1074</v>
      </c>
      <c r="D1263" s="1118"/>
      <c r="E1263" s="1119">
        <v>159373</v>
      </c>
      <c r="F1263" s="1117">
        <v>15</v>
      </c>
      <c r="G1263" s="846"/>
      <c r="H1263" s="847"/>
      <c r="I1263" s="846"/>
      <c r="J1263" s="847"/>
      <c r="K1263" s="846"/>
      <c r="L1263" s="847"/>
      <c r="M1263" s="846"/>
      <c r="N1263" s="846"/>
      <c r="O1263" s="737">
        <f t="shared" si="159"/>
        <v>0</v>
      </c>
      <c r="P1263" s="847"/>
      <c r="Q1263" s="847"/>
      <c r="R1263" s="738">
        <f t="shared" si="162"/>
        <v>0</v>
      </c>
      <c r="S1263" s="737">
        <f t="shared" si="163"/>
        <v>0</v>
      </c>
      <c r="T1263" s="739">
        <f t="shared" si="164"/>
        <v>0</v>
      </c>
      <c r="U1263" s="846"/>
      <c r="V1263" s="847"/>
      <c r="W1263" s="846"/>
      <c r="X1263" s="846"/>
      <c r="Y1263" s="740">
        <f t="shared" si="160"/>
        <v>0</v>
      </c>
      <c r="Z1263" s="847"/>
      <c r="AA1263" s="847"/>
      <c r="AB1263" s="741">
        <f t="shared" si="161"/>
        <v>0</v>
      </c>
      <c r="AC1263" s="846">
        <v>92191762</v>
      </c>
      <c r="AD1263" s="847">
        <v>90700917</v>
      </c>
      <c r="AE1263" s="846">
        <v>38433326</v>
      </c>
      <c r="AF1263" s="846"/>
      <c r="AG1263" s="847">
        <v>45205278</v>
      </c>
      <c r="AH1263" s="847"/>
      <c r="AI1263" s="742">
        <f t="shared" si="165"/>
        <v>130625088</v>
      </c>
      <c r="AJ1263" s="743">
        <f t="shared" si="166"/>
        <v>135906195</v>
      </c>
    </row>
    <row r="1264" spans="1:36">
      <c r="A1264" s="1105" t="s">
        <v>145</v>
      </c>
      <c r="B1264" s="1106" t="s">
        <v>301</v>
      </c>
      <c r="C1264" s="1114" t="s">
        <v>1075</v>
      </c>
      <c r="D1264" s="1118"/>
      <c r="E1264" s="1119">
        <v>435000</v>
      </c>
      <c r="F1264" s="1117">
        <v>15</v>
      </c>
      <c r="G1264" s="846"/>
      <c r="H1264" s="847"/>
      <c r="I1264" s="846"/>
      <c r="J1264" s="847"/>
      <c r="K1264" s="846"/>
      <c r="L1264" s="847"/>
      <c r="M1264" s="846"/>
      <c r="N1264" s="846"/>
      <c r="O1264" s="737">
        <f t="shared" si="159"/>
        <v>0</v>
      </c>
      <c r="P1264" s="847"/>
      <c r="Q1264" s="847"/>
      <c r="R1264" s="738">
        <f t="shared" si="162"/>
        <v>0</v>
      </c>
      <c r="S1264" s="737">
        <f t="shared" si="163"/>
        <v>0</v>
      </c>
      <c r="T1264" s="739">
        <f t="shared" si="164"/>
        <v>0</v>
      </c>
      <c r="U1264" s="846"/>
      <c r="V1264" s="847"/>
      <c r="W1264" s="846"/>
      <c r="X1264" s="846"/>
      <c r="Y1264" s="740">
        <f t="shared" si="160"/>
        <v>0</v>
      </c>
      <c r="Z1264" s="847"/>
      <c r="AA1264" s="847"/>
      <c r="AB1264" s="741">
        <f t="shared" si="161"/>
        <v>0</v>
      </c>
      <c r="AC1264" s="846">
        <v>47521783</v>
      </c>
      <c r="AD1264" s="847">
        <v>45467833</v>
      </c>
      <c r="AE1264" s="846">
        <v>13803766</v>
      </c>
      <c r="AF1264" s="846"/>
      <c r="AG1264" s="847">
        <v>15090576</v>
      </c>
      <c r="AH1264" s="847"/>
      <c r="AI1264" s="742">
        <f t="shared" si="165"/>
        <v>61325549</v>
      </c>
      <c r="AJ1264" s="743">
        <f t="shared" si="166"/>
        <v>60558409</v>
      </c>
    </row>
    <row r="1265" spans="1:36">
      <c r="A1265" s="1105" t="s">
        <v>145</v>
      </c>
      <c r="B1265" s="1106" t="s">
        <v>273</v>
      </c>
      <c r="C1265" s="1133" t="s">
        <v>493</v>
      </c>
      <c r="D1265" s="1108"/>
      <c r="E1265" s="1109"/>
      <c r="F1265" s="1110"/>
      <c r="G1265" s="846"/>
      <c r="H1265" s="847"/>
      <c r="I1265" s="846"/>
      <c r="J1265" s="847"/>
      <c r="K1265" s="846"/>
      <c r="L1265" s="847"/>
      <c r="M1265" s="846"/>
      <c r="N1265" s="846"/>
      <c r="O1265" s="737">
        <f t="shared" si="159"/>
        <v>0</v>
      </c>
      <c r="P1265" s="847"/>
      <c r="Q1265" s="847"/>
      <c r="R1265" s="738">
        <f t="shared" si="162"/>
        <v>0</v>
      </c>
      <c r="S1265" s="737">
        <f t="shared" si="163"/>
        <v>0</v>
      </c>
      <c r="T1265" s="739">
        <f t="shared" si="164"/>
        <v>0</v>
      </c>
      <c r="U1265" s="846"/>
      <c r="V1265" s="847"/>
      <c r="W1265" s="846"/>
      <c r="X1265" s="846"/>
      <c r="Y1265" s="740">
        <f t="shared" si="160"/>
        <v>0</v>
      </c>
      <c r="Z1265" s="847"/>
      <c r="AA1265" s="847"/>
      <c r="AB1265" s="741">
        <f t="shared" si="161"/>
        <v>0</v>
      </c>
      <c r="AC1265" s="846"/>
      <c r="AD1265" s="847"/>
      <c r="AE1265" s="846"/>
      <c r="AF1265" s="846"/>
      <c r="AG1265" s="847"/>
      <c r="AH1265" s="847"/>
      <c r="AI1265" s="742">
        <f t="shared" si="165"/>
        <v>0</v>
      </c>
      <c r="AJ1265" s="743">
        <f t="shared" si="166"/>
        <v>0</v>
      </c>
    </row>
    <row r="1266" spans="1:36">
      <c r="A1266" s="1105" t="s">
        <v>145</v>
      </c>
      <c r="B1266" s="1106" t="s">
        <v>274</v>
      </c>
      <c r="C1266" s="1111" t="s">
        <v>319</v>
      </c>
      <c r="D1266" s="1112"/>
      <c r="E1266" s="1109"/>
      <c r="F1266" s="1110"/>
      <c r="G1266" s="846"/>
      <c r="H1266" s="847"/>
      <c r="I1266" s="846"/>
      <c r="J1266" s="847"/>
      <c r="K1266" s="846"/>
      <c r="L1266" s="847"/>
      <c r="M1266" s="846"/>
      <c r="N1266" s="846"/>
      <c r="O1266" s="737">
        <f t="shared" si="159"/>
        <v>0</v>
      </c>
      <c r="P1266" s="847"/>
      <c r="Q1266" s="847"/>
      <c r="R1266" s="738">
        <f t="shared" si="162"/>
        <v>0</v>
      </c>
      <c r="S1266" s="737">
        <f t="shared" si="163"/>
        <v>0</v>
      </c>
      <c r="T1266" s="739">
        <f t="shared" si="164"/>
        <v>0</v>
      </c>
      <c r="U1266" s="846"/>
      <c r="V1266" s="847"/>
      <c r="W1266" s="846"/>
      <c r="X1266" s="846"/>
      <c r="Y1266" s="740">
        <f t="shared" si="160"/>
        <v>0</v>
      </c>
      <c r="Z1266" s="847"/>
      <c r="AA1266" s="847"/>
      <c r="AB1266" s="741">
        <f t="shared" si="161"/>
        <v>0</v>
      </c>
      <c r="AC1266" s="846"/>
      <c r="AD1266" s="847"/>
      <c r="AE1266" s="846"/>
      <c r="AF1266" s="846"/>
      <c r="AG1266" s="847"/>
      <c r="AH1266" s="847"/>
      <c r="AI1266" s="742">
        <f t="shared" si="165"/>
        <v>0</v>
      </c>
      <c r="AJ1266" s="743">
        <f t="shared" si="166"/>
        <v>0</v>
      </c>
    </row>
    <row r="1267" spans="1:36">
      <c r="A1267" s="1105" t="s">
        <v>145</v>
      </c>
      <c r="B1267" s="1106" t="s">
        <v>274</v>
      </c>
      <c r="C1267" s="1113" t="s">
        <v>1076</v>
      </c>
      <c r="D1267" s="1112"/>
      <c r="E1267" s="1109"/>
      <c r="F1267" s="1110"/>
      <c r="G1267" s="846"/>
      <c r="H1267" s="847"/>
      <c r="I1267" s="846">
        <v>287216</v>
      </c>
      <c r="J1267" s="847">
        <v>301773</v>
      </c>
      <c r="K1267" s="846"/>
      <c r="L1267" s="847"/>
      <c r="M1267" s="846"/>
      <c r="N1267" s="846"/>
      <c r="O1267" s="737">
        <f t="shared" si="159"/>
        <v>0</v>
      </c>
      <c r="P1267" s="847"/>
      <c r="Q1267" s="847"/>
      <c r="R1267" s="738">
        <f t="shared" si="162"/>
        <v>0</v>
      </c>
      <c r="S1267" s="737">
        <f t="shared" si="163"/>
        <v>287216</v>
      </c>
      <c r="T1267" s="739">
        <f t="shared" si="164"/>
        <v>301773</v>
      </c>
      <c r="U1267" s="846"/>
      <c r="V1267" s="847"/>
      <c r="W1267" s="846"/>
      <c r="X1267" s="846"/>
      <c r="Y1267" s="740">
        <f t="shared" si="160"/>
        <v>0</v>
      </c>
      <c r="Z1267" s="847"/>
      <c r="AA1267" s="847"/>
      <c r="AB1267" s="741">
        <f t="shared" si="161"/>
        <v>0</v>
      </c>
      <c r="AC1267" s="846"/>
      <c r="AD1267" s="847"/>
      <c r="AE1267" s="846"/>
      <c r="AF1267" s="846"/>
      <c r="AG1267" s="847"/>
      <c r="AH1267" s="847"/>
      <c r="AI1267" s="742">
        <f t="shared" si="165"/>
        <v>287216</v>
      </c>
      <c r="AJ1267" s="743">
        <f t="shared" si="166"/>
        <v>301773</v>
      </c>
    </row>
    <row r="1268" spans="1:36">
      <c r="A1268" s="1105" t="s">
        <v>145</v>
      </c>
      <c r="B1268" s="1106" t="s">
        <v>278</v>
      </c>
      <c r="C1268" s="1113" t="s">
        <v>1077</v>
      </c>
      <c r="D1268" s="1112"/>
      <c r="E1268" s="1134"/>
      <c r="F1268" s="1110"/>
      <c r="G1268" s="846"/>
      <c r="H1268" s="847"/>
      <c r="I1268" s="846">
        <v>2376091</v>
      </c>
      <c r="J1268" s="847">
        <v>2480054</v>
      </c>
      <c r="K1268" s="846"/>
      <c r="L1268" s="847"/>
      <c r="M1268" s="846"/>
      <c r="N1268" s="846"/>
      <c r="O1268" s="737">
        <f t="shared" si="159"/>
        <v>0</v>
      </c>
      <c r="P1268" s="847"/>
      <c r="Q1268" s="847"/>
      <c r="R1268" s="738">
        <f t="shared" si="162"/>
        <v>0</v>
      </c>
      <c r="S1268" s="737">
        <f t="shared" si="163"/>
        <v>2376091</v>
      </c>
      <c r="T1268" s="739">
        <f t="shared" si="164"/>
        <v>2480054</v>
      </c>
      <c r="U1268" s="846"/>
      <c r="V1268" s="847"/>
      <c r="W1268" s="846"/>
      <c r="X1268" s="846"/>
      <c r="Y1268" s="740">
        <f t="shared" si="160"/>
        <v>0</v>
      </c>
      <c r="Z1268" s="847"/>
      <c r="AA1268" s="847"/>
      <c r="AB1268" s="741">
        <f t="shared" si="161"/>
        <v>0</v>
      </c>
      <c r="AC1268" s="846"/>
      <c r="AD1268" s="847"/>
      <c r="AE1268" s="846"/>
      <c r="AF1268" s="846"/>
      <c r="AG1268" s="847"/>
      <c r="AH1268" s="847"/>
      <c r="AI1268" s="742">
        <f t="shared" si="165"/>
        <v>2376091</v>
      </c>
      <c r="AJ1268" s="743">
        <f t="shared" si="166"/>
        <v>2480054</v>
      </c>
    </row>
    <row r="1269" spans="1:36">
      <c r="A1269" s="1105" t="s">
        <v>145</v>
      </c>
      <c r="B1269" s="1106" t="s">
        <v>278</v>
      </c>
      <c r="C1269" s="1113" t="s">
        <v>1078</v>
      </c>
      <c r="D1269" s="1112"/>
      <c r="E1269" s="1134"/>
      <c r="F1269" s="1110"/>
      <c r="G1269" s="846"/>
      <c r="H1269" s="847"/>
      <c r="I1269" s="846">
        <v>13450046</v>
      </c>
      <c r="J1269" s="847">
        <v>13823952</v>
      </c>
      <c r="K1269" s="846"/>
      <c r="L1269" s="847"/>
      <c r="M1269" s="846"/>
      <c r="N1269" s="846"/>
      <c r="O1269" s="737">
        <f t="shared" si="159"/>
        <v>0</v>
      </c>
      <c r="P1269" s="847"/>
      <c r="Q1269" s="847"/>
      <c r="R1269" s="738">
        <f t="shared" si="162"/>
        <v>0</v>
      </c>
      <c r="S1269" s="737">
        <f t="shared" si="163"/>
        <v>13450046</v>
      </c>
      <c r="T1269" s="739">
        <f t="shared" si="164"/>
        <v>13823952</v>
      </c>
      <c r="U1269" s="846"/>
      <c r="V1269" s="847"/>
      <c r="W1269" s="846"/>
      <c r="X1269" s="846"/>
      <c r="Y1269" s="740">
        <f t="shared" si="160"/>
        <v>0</v>
      </c>
      <c r="Z1269" s="847"/>
      <c r="AA1269" s="847"/>
      <c r="AB1269" s="741">
        <f t="shared" si="161"/>
        <v>0</v>
      </c>
      <c r="AC1269" s="846"/>
      <c r="AD1269" s="847"/>
      <c r="AE1269" s="846"/>
      <c r="AF1269" s="846"/>
      <c r="AG1269" s="847"/>
      <c r="AH1269" s="847"/>
      <c r="AI1269" s="742">
        <f t="shared" si="165"/>
        <v>13450046</v>
      </c>
      <c r="AJ1269" s="743">
        <f t="shared" si="166"/>
        <v>13823952</v>
      </c>
    </row>
    <row r="1270" spans="1:36">
      <c r="A1270" s="1105" t="s">
        <v>145</v>
      </c>
      <c r="B1270" s="1106" t="s">
        <v>303</v>
      </c>
      <c r="C1270" s="1133" t="s">
        <v>563</v>
      </c>
      <c r="D1270" s="1108"/>
      <c r="E1270" s="1109"/>
      <c r="F1270" s="1110"/>
      <c r="G1270" s="846"/>
      <c r="H1270" s="847"/>
      <c r="I1270" s="846"/>
      <c r="J1270" s="847"/>
      <c r="K1270" s="846"/>
      <c r="L1270" s="847"/>
      <c r="M1270" s="846"/>
      <c r="N1270" s="846"/>
      <c r="O1270" s="737">
        <f t="shared" si="159"/>
        <v>0</v>
      </c>
      <c r="P1270" s="847"/>
      <c r="Q1270" s="847"/>
      <c r="R1270" s="738">
        <f t="shared" si="162"/>
        <v>0</v>
      </c>
      <c r="S1270" s="737">
        <f t="shared" si="163"/>
        <v>0</v>
      </c>
      <c r="T1270" s="739">
        <f t="shared" si="164"/>
        <v>0</v>
      </c>
      <c r="U1270" s="846"/>
      <c r="V1270" s="847"/>
      <c r="W1270" s="846"/>
      <c r="X1270" s="846"/>
      <c r="Y1270" s="740">
        <f t="shared" si="160"/>
        <v>0</v>
      </c>
      <c r="Z1270" s="847"/>
      <c r="AA1270" s="847"/>
      <c r="AB1270" s="741">
        <f t="shared" si="161"/>
        <v>0</v>
      </c>
      <c r="AC1270" s="846"/>
      <c r="AD1270" s="847"/>
      <c r="AE1270" s="846"/>
      <c r="AF1270" s="846"/>
      <c r="AG1270" s="847"/>
      <c r="AH1270" s="847"/>
      <c r="AI1270" s="742">
        <f t="shared" si="165"/>
        <v>0</v>
      </c>
      <c r="AJ1270" s="743">
        <f t="shared" si="166"/>
        <v>0</v>
      </c>
    </row>
    <row r="1271" spans="1:36">
      <c r="A1271" s="1105" t="s">
        <v>145</v>
      </c>
      <c r="B1271" s="1106" t="s">
        <v>303</v>
      </c>
      <c r="C1271" s="1113" t="s">
        <v>1079</v>
      </c>
      <c r="D1271" s="1112"/>
      <c r="E1271" s="1109"/>
      <c r="F1271" s="1110"/>
      <c r="G1271" s="846"/>
      <c r="H1271" s="847"/>
      <c r="I1271" s="846">
        <v>400000</v>
      </c>
      <c r="J1271" s="847">
        <v>404500</v>
      </c>
      <c r="K1271" s="846"/>
      <c r="L1271" s="847"/>
      <c r="M1271" s="846"/>
      <c r="N1271" s="846"/>
      <c r="O1271" s="737">
        <f t="shared" si="159"/>
        <v>0</v>
      </c>
      <c r="P1271" s="847"/>
      <c r="Q1271" s="847"/>
      <c r="R1271" s="738">
        <f t="shared" si="162"/>
        <v>0</v>
      </c>
      <c r="S1271" s="737">
        <f t="shared" si="163"/>
        <v>400000</v>
      </c>
      <c r="T1271" s="739">
        <f t="shared" si="164"/>
        <v>404500</v>
      </c>
      <c r="U1271" s="846"/>
      <c r="V1271" s="847"/>
      <c r="W1271" s="846"/>
      <c r="X1271" s="846"/>
      <c r="Y1271" s="740">
        <f t="shared" si="160"/>
        <v>0</v>
      </c>
      <c r="Z1271" s="847"/>
      <c r="AA1271" s="847"/>
      <c r="AB1271" s="741">
        <f t="shared" si="161"/>
        <v>0</v>
      </c>
      <c r="AC1271" s="846"/>
      <c r="AD1271" s="847"/>
      <c r="AE1271" s="846"/>
      <c r="AF1271" s="846"/>
      <c r="AG1271" s="847"/>
      <c r="AH1271" s="847"/>
      <c r="AI1271" s="742">
        <f t="shared" si="165"/>
        <v>400000</v>
      </c>
      <c r="AJ1271" s="743">
        <f t="shared" si="166"/>
        <v>404500</v>
      </c>
    </row>
    <row r="1272" spans="1:36">
      <c r="A1272" s="1105" t="s">
        <v>145</v>
      </c>
      <c r="B1272" s="1106" t="s">
        <v>303</v>
      </c>
      <c r="C1272" s="1113" t="s">
        <v>1080</v>
      </c>
      <c r="D1272" s="1112"/>
      <c r="E1272" s="1109"/>
      <c r="F1272" s="1110"/>
      <c r="G1272" s="846"/>
      <c r="H1272" s="847"/>
      <c r="I1272" s="846">
        <v>250000</v>
      </c>
      <c r="J1272" s="847">
        <v>250000</v>
      </c>
      <c r="K1272" s="846"/>
      <c r="L1272" s="847"/>
      <c r="M1272" s="846"/>
      <c r="N1272" s="846"/>
      <c r="O1272" s="737">
        <f t="shared" si="159"/>
        <v>0</v>
      </c>
      <c r="P1272" s="847"/>
      <c r="Q1272" s="847"/>
      <c r="R1272" s="738">
        <f t="shared" si="162"/>
        <v>0</v>
      </c>
      <c r="S1272" s="737">
        <f t="shared" si="163"/>
        <v>250000</v>
      </c>
      <c r="T1272" s="739">
        <f t="shared" si="164"/>
        <v>250000</v>
      </c>
      <c r="U1272" s="846"/>
      <c r="V1272" s="847"/>
      <c r="W1272" s="846"/>
      <c r="X1272" s="846"/>
      <c r="Y1272" s="740">
        <f t="shared" si="160"/>
        <v>0</v>
      </c>
      <c r="Z1272" s="847"/>
      <c r="AA1272" s="847"/>
      <c r="AB1272" s="741">
        <f t="shared" si="161"/>
        <v>0</v>
      </c>
      <c r="AC1272" s="846"/>
      <c r="AD1272" s="847"/>
      <c r="AE1272" s="846"/>
      <c r="AF1272" s="846"/>
      <c r="AG1272" s="847"/>
      <c r="AH1272" s="847"/>
      <c r="AI1272" s="742">
        <f t="shared" si="165"/>
        <v>250000</v>
      </c>
      <c r="AJ1272" s="743">
        <f t="shared" si="166"/>
        <v>250000</v>
      </c>
    </row>
    <row r="1273" spans="1:36">
      <c r="A1273" s="1105" t="s">
        <v>145</v>
      </c>
      <c r="B1273" s="1106" t="s">
        <v>303</v>
      </c>
      <c r="C1273" s="1113" t="s">
        <v>1081</v>
      </c>
      <c r="D1273" s="1112"/>
      <c r="E1273" s="1109"/>
      <c r="F1273" s="1110"/>
      <c r="G1273" s="846"/>
      <c r="H1273" s="847"/>
      <c r="I1273" s="846">
        <v>500000</v>
      </c>
      <c r="J1273" s="847">
        <v>750000</v>
      </c>
      <c r="K1273" s="846"/>
      <c r="L1273" s="847"/>
      <c r="M1273" s="846"/>
      <c r="N1273" s="846"/>
      <c r="O1273" s="737">
        <f t="shared" si="159"/>
        <v>0</v>
      </c>
      <c r="P1273" s="847"/>
      <c r="Q1273" s="847"/>
      <c r="R1273" s="738">
        <f t="shared" si="162"/>
        <v>0</v>
      </c>
      <c r="S1273" s="737">
        <f t="shared" si="163"/>
        <v>500000</v>
      </c>
      <c r="T1273" s="739">
        <f t="shared" si="164"/>
        <v>750000</v>
      </c>
      <c r="U1273" s="846"/>
      <c r="V1273" s="847"/>
      <c r="W1273" s="846"/>
      <c r="X1273" s="846"/>
      <c r="Y1273" s="740">
        <f t="shared" si="160"/>
        <v>0</v>
      </c>
      <c r="Z1273" s="847"/>
      <c r="AA1273" s="847"/>
      <c r="AB1273" s="741">
        <f t="shared" si="161"/>
        <v>0</v>
      </c>
      <c r="AC1273" s="846"/>
      <c r="AD1273" s="847"/>
      <c r="AE1273" s="846"/>
      <c r="AF1273" s="846"/>
      <c r="AG1273" s="847"/>
      <c r="AH1273" s="847"/>
      <c r="AI1273" s="742">
        <f t="shared" si="165"/>
        <v>500000</v>
      </c>
      <c r="AJ1273" s="743">
        <f t="shared" si="166"/>
        <v>750000</v>
      </c>
    </row>
    <row r="1274" spans="1:36">
      <c r="A1274" s="1105" t="s">
        <v>145</v>
      </c>
      <c r="B1274" s="1106" t="s">
        <v>303</v>
      </c>
      <c r="C1274" s="1113" t="s">
        <v>1082</v>
      </c>
      <c r="D1274" s="1112"/>
      <c r="E1274" s="1109"/>
      <c r="F1274" s="1110"/>
      <c r="G1274" s="846"/>
      <c r="H1274" s="847"/>
      <c r="I1274" s="846">
        <v>0</v>
      </c>
      <c r="J1274" s="847">
        <v>0</v>
      </c>
      <c r="K1274" s="846"/>
      <c r="L1274" s="847"/>
      <c r="M1274" s="846"/>
      <c r="N1274" s="846"/>
      <c r="O1274" s="737">
        <f t="shared" si="159"/>
        <v>0</v>
      </c>
      <c r="P1274" s="847"/>
      <c r="Q1274" s="847"/>
      <c r="R1274" s="738">
        <f t="shared" si="162"/>
        <v>0</v>
      </c>
      <c r="S1274" s="737">
        <f t="shared" si="163"/>
        <v>0</v>
      </c>
      <c r="T1274" s="739">
        <f t="shared" si="164"/>
        <v>0</v>
      </c>
      <c r="U1274" s="846"/>
      <c r="V1274" s="847"/>
      <c r="W1274" s="846"/>
      <c r="X1274" s="846"/>
      <c r="Y1274" s="740">
        <f t="shared" si="160"/>
        <v>0</v>
      </c>
      <c r="Z1274" s="847"/>
      <c r="AA1274" s="847"/>
      <c r="AB1274" s="741">
        <f t="shared" si="161"/>
        <v>0</v>
      </c>
      <c r="AC1274" s="846"/>
      <c r="AD1274" s="847"/>
      <c r="AE1274" s="846"/>
      <c r="AF1274" s="846"/>
      <c r="AG1274" s="847"/>
      <c r="AH1274" s="847"/>
      <c r="AI1274" s="742">
        <f t="shared" si="165"/>
        <v>0</v>
      </c>
      <c r="AJ1274" s="743">
        <f t="shared" si="166"/>
        <v>0</v>
      </c>
    </row>
    <row r="1275" spans="1:36">
      <c r="A1275" s="1105" t="s">
        <v>145</v>
      </c>
      <c r="B1275" s="1106" t="s">
        <v>303</v>
      </c>
      <c r="C1275" s="1113" t="s">
        <v>1083</v>
      </c>
      <c r="D1275" s="1112"/>
      <c r="E1275" s="1109"/>
      <c r="F1275" s="1110"/>
      <c r="G1275" s="846"/>
      <c r="H1275" s="847"/>
      <c r="I1275" s="846">
        <v>4020000</v>
      </c>
      <c r="J1275" s="847">
        <v>4800000</v>
      </c>
      <c r="K1275" s="846"/>
      <c r="L1275" s="847"/>
      <c r="M1275" s="846"/>
      <c r="N1275" s="846"/>
      <c r="O1275" s="737">
        <f t="shared" si="159"/>
        <v>0</v>
      </c>
      <c r="P1275" s="847"/>
      <c r="Q1275" s="847"/>
      <c r="R1275" s="738">
        <f t="shared" si="162"/>
        <v>0</v>
      </c>
      <c r="S1275" s="737">
        <f t="shared" si="163"/>
        <v>4020000</v>
      </c>
      <c r="T1275" s="739">
        <f t="shared" si="164"/>
        <v>4800000</v>
      </c>
      <c r="U1275" s="846"/>
      <c r="V1275" s="847"/>
      <c r="W1275" s="846"/>
      <c r="X1275" s="846"/>
      <c r="Y1275" s="740">
        <f t="shared" si="160"/>
        <v>0</v>
      </c>
      <c r="Z1275" s="847"/>
      <c r="AA1275" s="847"/>
      <c r="AB1275" s="741">
        <f t="shared" si="161"/>
        <v>0</v>
      </c>
      <c r="AC1275" s="846"/>
      <c r="AD1275" s="847"/>
      <c r="AE1275" s="846"/>
      <c r="AF1275" s="846"/>
      <c r="AG1275" s="847"/>
      <c r="AH1275" s="847"/>
      <c r="AI1275" s="742">
        <f t="shared" si="165"/>
        <v>4020000</v>
      </c>
      <c r="AJ1275" s="743">
        <f t="shared" si="166"/>
        <v>4800000</v>
      </c>
    </row>
    <row r="1276" spans="1:36">
      <c r="A1276" s="1105" t="s">
        <v>145</v>
      </c>
      <c r="B1276" s="1106" t="s">
        <v>303</v>
      </c>
      <c r="C1276" s="1113" t="s">
        <v>1084</v>
      </c>
      <c r="D1276" s="1112"/>
      <c r="E1276" s="1109"/>
      <c r="F1276" s="1110"/>
      <c r="G1276" s="846"/>
      <c r="H1276" s="847"/>
      <c r="I1276" s="846">
        <v>1000000</v>
      </c>
      <c r="J1276" s="847">
        <v>1000000</v>
      </c>
      <c r="K1276" s="846"/>
      <c r="L1276" s="847"/>
      <c r="M1276" s="846"/>
      <c r="N1276" s="846"/>
      <c r="O1276" s="737">
        <f t="shared" si="159"/>
        <v>0</v>
      </c>
      <c r="P1276" s="847"/>
      <c r="Q1276" s="847"/>
      <c r="R1276" s="738">
        <f t="shared" si="162"/>
        <v>0</v>
      </c>
      <c r="S1276" s="737">
        <f t="shared" si="163"/>
        <v>1000000</v>
      </c>
      <c r="T1276" s="739">
        <f t="shared" si="164"/>
        <v>1000000</v>
      </c>
      <c r="U1276" s="846"/>
      <c r="V1276" s="847"/>
      <c r="W1276" s="846"/>
      <c r="X1276" s="846"/>
      <c r="Y1276" s="740">
        <f t="shared" si="160"/>
        <v>0</v>
      </c>
      <c r="Z1276" s="847"/>
      <c r="AA1276" s="847"/>
      <c r="AB1276" s="741">
        <f t="shared" si="161"/>
        <v>0</v>
      </c>
      <c r="AC1276" s="846"/>
      <c r="AD1276" s="847"/>
      <c r="AE1276" s="846"/>
      <c r="AF1276" s="846"/>
      <c r="AG1276" s="847"/>
      <c r="AH1276" s="847"/>
      <c r="AI1276" s="742">
        <f t="shared" si="165"/>
        <v>1000000</v>
      </c>
      <c r="AJ1276" s="743">
        <f t="shared" si="166"/>
        <v>1000000</v>
      </c>
    </row>
    <row r="1277" spans="1:36">
      <c r="A1277" s="1105" t="s">
        <v>145</v>
      </c>
      <c r="B1277" s="1106" t="s">
        <v>303</v>
      </c>
      <c r="C1277" s="1113" t="s">
        <v>1085</v>
      </c>
      <c r="D1277" s="1112"/>
      <c r="E1277" s="1109"/>
      <c r="F1277" s="1110"/>
      <c r="G1277" s="846"/>
      <c r="H1277" s="847"/>
      <c r="I1277" s="846">
        <v>4626423</v>
      </c>
      <c r="J1277" s="847">
        <v>3674524</v>
      </c>
      <c r="K1277" s="846"/>
      <c r="L1277" s="847"/>
      <c r="M1277" s="846"/>
      <c r="N1277" s="846"/>
      <c r="O1277" s="737">
        <f t="shared" si="159"/>
        <v>0</v>
      </c>
      <c r="P1277" s="847"/>
      <c r="Q1277" s="847"/>
      <c r="R1277" s="738">
        <f t="shared" si="162"/>
        <v>0</v>
      </c>
      <c r="S1277" s="737">
        <f t="shared" si="163"/>
        <v>4626423</v>
      </c>
      <c r="T1277" s="739">
        <f t="shared" si="164"/>
        <v>3674524</v>
      </c>
      <c r="U1277" s="846"/>
      <c r="V1277" s="847"/>
      <c r="W1277" s="846"/>
      <c r="X1277" s="846"/>
      <c r="Y1277" s="740">
        <f t="shared" si="160"/>
        <v>0</v>
      </c>
      <c r="Z1277" s="847"/>
      <c r="AA1277" s="847"/>
      <c r="AB1277" s="741">
        <f t="shared" si="161"/>
        <v>0</v>
      </c>
      <c r="AC1277" s="846"/>
      <c r="AD1277" s="847"/>
      <c r="AE1277" s="846"/>
      <c r="AF1277" s="846"/>
      <c r="AG1277" s="847"/>
      <c r="AH1277" s="847"/>
      <c r="AI1277" s="742">
        <f t="shared" si="165"/>
        <v>4626423</v>
      </c>
      <c r="AJ1277" s="743">
        <f t="shared" si="166"/>
        <v>3674524</v>
      </c>
    </row>
    <row r="1278" spans="1:36">
      <c r="A1278" s="1105" t="s">
        <v>145</v>
      </c>
      <c r="B1278" s="1106" t="s">
        <v>303</v>
      </c>
      <c r="C1278" s="1113" t="s">
        <v>1086</v>
      </c>
      <c r="D1278" s="1112"/>
      <c r="E1278" s="1109"/>
      <c r="F1278" s="1110"/>
      <c r="G1278" s="846"/>
      <c r="H1278" s="847"/>
      <c r="I1278" s="846">
        <v>0</v>
      </c>
      <c r="J1278" s="847">
        <v>0</v>
      </c>
      <c r="K1278" s="846"/>
      <c r="L1278" s="847"/>
      <c r="M1278" s="846"/>
      <c r="N1278" s="846"/>
      <c r="O1278" s="737">
        <f t="shared" si="159"/>
        <v>0</v>
      </c>
      <c r="P1278" s="847"/>
      <c r="Q1278" s="847"/>
      <c r="R1278" s="738">
        <f t="shared" si="162"/>
        <v>0</v>
      </c>
      <c r="S1278" s="737">
        <f t="shared" si="163"/>
        <v>0</v>
      </c>
      <c r="T1278" s="739">
        <f t="shared" si="164"/>
        <v>0</v>
      </c>
      <c r="U1278" s="846"/>
      <c r="V1278" s="847"/>
      <c r="W1278" s="846"/>
      <c r="X1278" s="846"/>
      <c r="Y1278" s="740">
        <f t="shared" si="160"/>
        <v>0</v>
      </c>
      <c r="Z1278" s="847"/>
      <c r="AA1278" s="847"/>
      <c r="AB1278" s="741">
        <f t="shared" si="161"/>
        <v>0</v>
      </c>
      <c r="AC1278" s="846"/>
      <c r="AD1278" s="847"/>
      <c r="AE1278" s="846"/>
      <c r="AF1278" s="846"/>
      <c r="AG1278" s="847"/>
      <c r="AH1278" s="847"/>
      <c r="AI1278" s="742">
        <f t="shared" si="165"/>
        <v>0</v>
      </c>
      <c r="AJ1278" s="743">
        <f t="shared" si="166"/>
        <v>0</v>
      </c>
    </row>
    <row r="1279" spans="1:36">
      <c r="A1279" s="1105" t="s">
        <v>145</v>
      </c>
      <c r="B1279" s="1106" t="s">
        <v>303</v>
      </c>
      <c r="C1279" s="1113" t="s">
        <v>1087</v>
      </c>
      <c r="D1279" s="1112"/>
      <c r="E1279" s="1109"/>
      <c r="F1279" s="1110"/>
      <c r="G1279" s="846"/>
      <c r="H1279" s="847"/>
      <c r="I1279" s="846">
        <v>150000</v>
      </c>
      <c r="J1279" s="847">
        <v>163907</v>
      </c>
      <c r="K1279" s="846"/>
      <c r="L1279" s="847"/>
      <c r="M1279" s="846"/>
      <c r="N1279" s="846"/>
      <c r="O1279" s="737">
        <f t="shared" si="159"/>
        <v>0</v>
      </c>
      <c r="P1279" s="847"/>
      <c r="Q1279" s="847"/>
      <c r="R1279" s="738">
        <f t="shared" si="162"/>
        <v>0</v>
      </c>
      <c r="S1279" s="737">
        <f t="shared" si="163"/>
        <v>150000</v>
      </c>
      <c r="T1279" s="739">
        <f t="shared" si="164"/>
        <v>163907</v>
      </c>
      <c r="U1279" s="846"/>
      <c r="V1279" s="847"/>
      <c r="W1279" s="846"/>
      <c r="X1279" s="846"/>
      <c r="Y1279" s="740">
        <f t="shared" si="160"/>
        <v>0</v>
      </c>
      <c r="Z1279" s="847"/>
      <c r="AA1279" s="847"/>
      <c r="AB1279" s="741">
        <f t="shared" si="161"/>
        <v>0</v>
      </c>
      <c r="AC1279" s="846"/>
      <c r="AD1279" s="847"/>
      <c r="AE1279" s="846"/>
      <c r="AF1279" s="846"/>
      <c r="AG1279" s="847"/>
      <c r="AH1279" s="847"/>
      <c r="AI1279" s="742">
        <f t="shared" si="165"/>
        <v>150000</v>
      </c>
      <c r="AJ1279" s="743">
        <f t="shared" si="166"/>
        <v>163907</v>
      </c>
    </row>
    <row r="1280" spans="1:36">
      <c r="A1280" s="1105" t="s">
        <v>145</v>
      </c>
      <c r="B1280" s="1106" t="s">
        <v>281</v>
      </c>
      <c r="C1280" s="1133" t="s">
        <v>109</v>
      </c>
      <c r="D1280" s="1108"/>
      <c r="E1280" s="1109"/>
      <c r="F1280" s="1110"/>
      <c r="G1280" s="846"/>
      <c r="H1280" s="847"/>
      <c r="I1280" s="846"/>
      <c r="J1280" s="847"/>
      <c r="K1280" s="846"/>
      <c r="L1280" s="847"/>
      <c r="M1280" s="846"/>
      <c r="N1280" s="846"/>
      <c r="O1280" s="737">
        <f t="shared" si="159"/>
        <v>0</v>
      </c>
      <c r="P1280" s="847"/>
      <c r="Q1280" s="847"/>
      <c r="R1280" s="738">
        <f t="shared" si="162"/>
        <v>0</v>
      </c>
      <c r="S1280" s="737">
        <f t="shared" si="163"/>
        <v>0</v>
      </c>
      <c r="T1280" s="739">
        <f t="shared" si="164"/>
        <v>0</v>
      </c>
      <c r="U1280" s="846"/>
      <c r="V1280" s="847"/>
      <c r="W1280" s="846"/>
      <c r="X1280" s="846"/>
      <c r="Y1280" s="740">
        <f t="shared" si="160"/>
        <v>0</v>
      </c>
      <c r="Z1280" s="847"/>
      <c r="AA1280" s="847"/>
      <c r="AB1280" s="741">
        <f t="shared" si="161"/>
        <v>0</v>
      </c>
      <c r="AC1280" s="846"/>
      <c r="AD1280" s="847"/>
      <c r="AE1280" s="846"/>
      <c r="AF1280" s="846"/>
      <c r="AG1280" s="847"/>
      <c r="AH1280" s="847"/>
      <c r="AI1280" s="742">
        <f t="shared" si="165"/>
        <v>0</v>
      </c>
      <c r="AJ1280" s="743">
        <f t="shared" si="166"/>
        <v>0</v>
      </c>
    </row>
    <row r="1281" spans="1:36">
      <c r="A1281" s="1105" t="s">
        <v>145</v>
      </c>
      <c r="B1281" s="1106" t="s">
        <v>282</v>
      </c>
      <c r="C1281" s="1111" t="s">
        <v>140</v>
      </c>
      <c r="D1281" s="1112"/>
      <c r="E1281" s="1109"/>
      <c r="F1281" s="1110"/>
      <c r="G1281" s="846"/>
      <c r="H1281" s="847"/>
      <c r="I1281" s="846"/>
      <c r="J1281" s="847"/>
      <c r="K1281" s="846"/>
      <c r="L1281" s="847"/>
      <c r="M1281" s="846"/>
      <c r="N1281" s="846"/>
      <c r="O1281" s="737">
        <f t="shared" si="159"/>
        <v>0</v>
      </c>
      <c r="P1281" s="847"/>
      <c r="Q1281" s="847"/>
      <c r="R1281" s="738">
        <f t="shared" si="162"/>
        <v>0</v>
      </c>
      <c r="S1281" s="737">
        <f t="shared" si="163"/>
        <v>0</v>
      </c>
      <c r="T1281" s="739">
        <f t="shared" si="164"/>
        <v>0</v>
      </c>
      <c r="U1281" s="846"/>
      <c r="V1281" s="847"/>
      <c r="W1281" s="846"/>
      <c r="X1281" s="846"/>
      <c r="Y1281" s="740">
        <f t="shared" si="160"/>
        <v>0</v>
      </c>
      <c r="Z1281" s="847"/>
      <c r="AA1281" s="847"/>
      <c r="AB1281" s="741">
        <f t="shared" si="161"/>
        <v>0</v>
      </c>
      <c r="AC1281" s="846"/>
      <c r="AD1281" s="847"/>
      <c r="AE1281" s="846"/>
      <c r="AF1281" s="846"/>
      <c r="AG1281" s="847"/>
      <c r="AH1281" s="847"/>
      <c r="AI1281" s="742">
        <f t="shared" si="165"/>
        <v>0</v>
      </c>
      <c r="AJ1281" s="743">
        <f t="shared" si="166"/>
        <v>0</v>
      </c>
    </row>
    <row r="1282" spans="1:36">
      <c r="A1282" s="1105" t="s">
        <v>145</v>
      </c>
      <c r="B1282" s="1106" t="s">
        <v>282</v>
      </c>
      <c r="C1282" s="1113" t="s">
        <v>1088</v>
      </c>
      <c r="D1282" s="1112"/>
      <c r="E1282" s="1109"/>
      <c r="F1282" s="1110"/>
      <c r="G1282" s="846"/>
      <c r="H1282" s="847"/>
      <c r="I1282" s="846"/>
      <c r="J1282" s="847"/>
      <c r="K1282" s="846"/>
      <c r="L1282" s="847"/>
      <c r="M1282" s="846"/>
      <c r="N1282" s="846"/>
      <c r="O1282" s="737">
        <f t="shared" si="159"/>
        <v>0</v>
      </c>
      <c r="P1282" s="847"/>
      <c r="Q1282" s="847"/>
      <c r="R1282" s="738">
        <f t="shared" si="162"/>
        <v>0</v>
      </c>
      <c r="S1282" s="737">
        <f t="shared" si="163"/>
        <v>0</v>
      </c>
      <c r="T1282" s="739">
        <f t="shared" si="164"/>
        <v>0</v>
      </c>
      <c r="U1282" s="846">
        <v>6897522</v>
      </c>
      <c r="V1282" s="847">
        <v>7306159</v>
      </c>
      <c r="W1282" s="846"/>
      <c r="X1282" s="846"/>
      <c r="Y1282" s="740">
        <f t="shared" si="160"/>
        <v>0</v>
      </c>
      <c r="Z1282" s="847"/>
      <c r="AA1282" s="847"/>
      <c r="AB1282" s="741">
        <f t="shared" si="161"/>
        <v>0</v>
      </c>
      <c r="AC1282" s="846"/>
      <c r="AD1282" s="847"/>
      <c r="AE1282" s="846"/>
      <c r="AF1282" s="846"/>
      <c r="AG1282" s="847"/>
      <c r="AH1282" s="847"/>
      <c r="AI1282" s="742">
        <f t="shared" si="165"/>
        <v>6897522</v>
      </c>
      <c r="AJ1282" s="743">
        <f t="shared" si="166"/>
        <v>7306159</v>
      </c>
    </row>
    <row r="1283" spans="1:36">
      <c r="A1283" s="1105" t="s">
        <v>145</v>
      </c>
      <c r="B1283" s="1106" t="s">
        <v>282</v>
      </c>
      <c r="C1283" s="1113" t="s">
        <v>1089</v>
      </c>
      <c r="D1283" s="1112"/>
      <c r="E1283" s="1109"/>
      <c r="F1283" s="1110"/>
      <c r="G1283" s="846"/>
      <c r="H1283" s="847"/>
      <c r="I1283" s="846"/>
      <c r="J1283" s="847"/>
      <c r="K1283" s="846"/>
      <c r="L1283" s="847"/>
      <c r="M1283" s="846"/>
      <c r="N1283" s="846"/>
      <c r="O1283" s="737">
        <f t="shared" si="159"/>
        <v>0</v>
      </c>
      <c r="P1283" s="847"/>
      <c r="Q1283" s="847"/>
      <c r="R1283" s="738">
        <f t="shared" si="162"/>
        <v>0</v>
      </c>
      <c r="S1283" s="737">
        <f t="shared" si="163"/>
        <v>0</v>
      </c>
      <c r="T1283" s="739">
        <f t="shared" si="164"/>
        <v>0</v>
      </c>
      <c r="U1283" s="846">
        <v>14421547</v>
      </c>
      <c r="V1283" s="847">
        <v>5789460</v>
      </c>
      <c r="W1283" s="846"/>
      <c r="X1283" s="846"/>
      <c r="Y1283" s="740">
        <f t="shared" si="160"/>
        <v>0</v>
      </c>
      <c r="Z1283" s="847"/>
      <c r="AA1283" s="847"/>
      <c r="AB1283" s="741">
        <f t="shared" si="161"/>
        <v>0</v>
      </c>
      <c r="AC1283" s="846"/>
      <c r="AD1283" s="847"/>
      <c r="AE1283" s="846"/>
      <c r="AF1283" s="846"/>
      <c r="AG1283" s="847"/>
      <c r="AH1283" s="847"/>
      <c r="AI1283" s="742">
        <f t="shared" si="165"/>
        <v>14421547</v>
      </c>
      <c r="AJ1283" s="743">
        <f t="shared" si="166"/>
        <v>5789460</v>
      </c>
    </row>
    <row r="1284" spans="1:36">
      <c r="A1284" s="1105" t="s">
        <v>145</v>
      </c>
      <c r="B1284" s="1106" t="s">
        <v>282</v>
      </c>
      <c r="C1284" s="1113" t="s">
        <v>1090</v>
      </c>
      <c r="D1284" s="1112"/>
      <c r="E1284" s="1109"/>
      <c r="F1284" s="1110"/>
      <c r="G1284" s="846"/>
      <c r="H1284" s="847"/>
      <c r="I1284" s="846"/>
      <c r="J1284" s="847"/>
      <c r="K1284" s="846"/>
      <c r="L1284" s="847"/>
      <c r="M1284" s="846"/>
      <c r="N1284" s="846"/>
      <c r="O1284" s="737">
        <f t="shared" si="159"/>
        <v>0</v>
      </c>
      <c r="P1284" s="847"/>
      <c r="Q1284" s="847"/>
      <c r="R1284" s="738">
        <f t="shared" si="162"/>
        <v>0</v>
      </c>
      <c r="S1284" s="737">
        <f t="shared" si="163"/>
        <v>0</v>
      </c>
      <c r="T1284" s="739">
        <f t="shared" si="164"/>
        <v>0</v>
      </c>
      <c r="U1284" s="846">
        <v>12495054</v>
      </c>
      <c r="V1284" s="847">
        <v>3486750</v>
      </c>
      <c r="W1284" s="846"/>
      <c r="X1284" s="846"/>
      <c r="Y1284" s="740">
        <f t="shared" si="160"/>
        <v>0</v>
      </c>
      <c r="Z1284" s="847"/>
      <c r="AA1284" s="847"/>
      <c r="AB1284" s="741">
        <f t="shared" si="161"/>
        <v>0</v>
      </c>
      <c r="AC1284" s="846"/>
      <c r="AD1284" s="847"/>
      <c r="AE1284" s="846"/>
      <c r="AF1284" s="846"/>
      <c r="AG1284" s="847"/>
      <c r="AH1284" s="847"/>
      <c r="AI1284" s="742">
        <f t="shared" si="165"/>
        <v>12495054</v>
      </c>
      <c r="AJ1284" s="743">
        <f t="shared" si="166"/>
        <v>3486750</v>
      </c>
    </row>
    <row r="1285" spans="1:36">
      <c r="A1285" s="1105" t="s">
        <v>145</v>
      </c>
      <c r="B1285" s="1106" t="s">
        <v>282</v>
      </c>
      <c r="C1285" s="1113" t="s">
        <v>1091</v>
      </c>
      <c r="D1285" s="1112"/>
      <c r="E1285" s="1109"/>
      <c r="F1285" s="1110"/>
      <c r="G1285" s="846"/>
      <c r="H1285" s="847"/>
      <c r="I1285" s="846"/>
      <c r="J1285" s="847"/>
      <c r="K1285" s="846"/>
      <c r="L1285" s="847"/>
      <c r="M1285" s="846"/>
      <c r="N1285" s="846"/>
      <c r="O1285" s="737">
        <f t="shared" si="159"/>
        <v>0</v>
      </c>
      <c r="P1285" s="847"/>
      <c r="Q1285" s="847"/>
      <c r="R1285" s="738">
        <f t="shared" si="162"/>
        <v>0</v>
      </c>
      <c r="S1285" s="737">
        <f t="shared" si="163"/>
        <v>0</v>
      </c>
      <c r="T1285" s="739">
        <f t="shared" si="164"/>
        <v>0</v>
      </c>
      <c r="U1285" s="846">
        <v>11034112</v>
      </c>
      <c r="V1285" s="847">
        <v>1033268</v>
      </c>
      <c r="W1285" s="846"/>
      <c r="X1285" s="846"/>
      <c r="Y1285" s="740">
        <f t="shared" si="160"/>
        <v>0</v>
      </c>
      <c r="Z1285" s="847"/>
      <c r="AA1285" s="847"/>
      <c r="AB1285" s="741">
        <f t="shared" si="161"/>
        <v>0</v>
      </c>
      <c r="AC1285" s="846"/>
      <c r="AD1285" s="847"/>
      <c r="AE1285" s="846"/>
      <c r="AF1285" s="846"/>
      <c r="AG1285" s="847"/>
      <c r="AH1285" s="847"/>
      <c r="AI1285" s="742">
        <f t="shared" si="165"/>
        <v>11034112</v>
      </c>
      <c r="AJ1285" s="743">
        <f t="shared" si="166"/>
        <v>1033268</v>
      </c>
    </row>
    <row r="1286" spans="1:36">
      <c r="A1286" s="1105" t="s">
        <v>145</v>
      </c>
      <c r="B1286" s="1106" t="s">
        <v>283</v>
      </c>
      <c r="C1286" s="1111" t="s">
        <v>139</v>
      </c>
      <c r="D1286" s="1112"/>
      <c r="E1286" s="1109"/>
      <c r="F1286" s="1110"/>
      <c r="G1286" s="846"/>
      <c r="H1286" s="847"/>
      <c r="I1286" s="846"/>
      <c r="J1286" s="847"/>
      <c r="K1286" s="846"/>
      <c r="L1286" s="847"/>
      <c r="M1286" s="846"/>
      <c r="N1286" s="846"/>
      <c r="O1286" s="737">
        <f t="shared" si="159"/>
        <v>0</v>
      </c>
      <c r="P1286" s="847"/>
      <c r="Q1286" s="847"/>
      <c r="R1286" s="738">
        <f t="shared" si="162"/>
        <v>0</v>
      </c>
      <c r="S1286" s="737">
        <f t="shared" si="163"/>
        <v>0</v>
      </c>
      <c r="T1286" s="739">
        <f t="shared" si="164"/>
        <v>0</v>
      </c>
      <c r="U1286" s="846"/>
      <c r="V1286" s="847"/>
      <c r="W1286" s="846"/>
      <c r="X1286" s="846"/>
      <c r="Y1286" s="740">
        <f t="shared" si="160"/>
        <v>0</v>
      </c>
      <c r="Z1286" s="847"/>
      <c r="AA1286" s="847"/>
      <c r="AB1286" s="741">
        <f t="shared" si="161"/>
        <v>0</v>
      </c>
      <c r="AC1286" s="846"/>
      <c r="AD1286" s="847"/>
      <c r="AE1286" s="846"/>
      <c r="AF1286" s="846"/>
      <c r="AG1286" s="847"/>
      <c r="AH1286" s="847"/>
      <c r="AI1286" s="742">
        <f t="shared" si="165"/>
        <v>0</v>
      </c>
      <c r="AJ1286" s="743">
        <f t="shared" si="166"/>
        <v>0</v>
      </c>
    </row>
    <row r="1287" spans="1:36">
      <c r="A1287" s="1105" t="s">
        <v>145</v>
      </c>
      <c r="B1287" s="1106" t="s">
        <v>283</v>
      </c>
      <c r="C1287" s="1113" t="s">
        <v>1092</v>
      </c>
      <c r="D1287" s="1112"/>
      <c r="E1287" s="1109"/>
      <c r="F1287" s="1110"/>
      <c r="G1287" s="846"/>
      <c r="H1287" s="847"/>
      <c r="I1287" s="846"/>
      <c r="J1287" s="847"/>
      <c r="K1287" s="846"/>
      <c r="L1287" s="847"/>
      <c r="M1287" s="846"/>
      <c r="N1287" s="846"/>
      <c r="O1287" s="737">
        <f t="shared" si="159"/>
        <v>0</v>
      </c>
      <c r="P1287" s="847"/>
      <c r="Q1287" s="847"/>
      <c r="R1287" s="738">
        <f t="shared" si="162"/>
        <v>0</v>
      </c>
      <c r="S1287" s="737">
        <f t="shared" si="163"/>
        <v>0</v>
      </c>
      <c r="T1287" s="739">
        <f t="shared" si="164"/>
        <v>0</v>
      </c>
      <c r="U1287" s="846">
        <v>27156540</v>
      </c>
      <c r="V1287" s="847">
        <v>17153027</v>
      </c>
      <c r="W1287" s="846"/>
      <c r="X1287" s="846"/>
      <c r="Y1287" s="740">
        <f t="shared" si="160"/>
        <v>0</v>
      </c>
      <c r="Z1287" s="847"/>
      <c r="AA1287" s="847"/>
      <c r="AB1287" s="741">
        <f t="shared" si="161"/>
        <v>0</v>
      </c>
      <c r="AC1287" s="846"/>
      <c r="AD1287" s="847"/>
      <c r="AE1287" s="846"/>
      <c r="AF1287" s="846"/>
      <c r="AG1287" s="847"/>
      <c r="AH1287" s="847"/>
      <c r="AI1287" s="742">
        <f t="shared" si="165"/>
        <v>27156540</v>
      </c>
      <c r="AJ1287" s="743">
        <f t="shared" si="166"/>
        <v>17153027</v>
      </c>
    </row>
    <row r="1288" spans="1:36">
      <c r="A1288" s="1105" t="s">
        <v>145</v>
      </c>
      <c r="B1288" s="1106" t="s">
        <v>284</v>
      </c>
      <c r="C1288" s="1111" t="s">
        <v>138</v>
      </c>
      <c r="D1288" s="1112"/>
      <c r="E1288" s="1109"/>
      <c r="F1288" s="1110"/>
      <c r="G1288" s="846"/>
      <c r="H1288" s="847"/>
      <c r="I1288" s="846"/>
      <c r="J1288" s="847"/>
      <c r="K1288" s="846"/>
      <c r="L1288" s="847"/>
      <c r="M1288" s="846"/>
      <c r="N1288" s="846"/>
      <c r="O1288" s="737">
        <f t="shared" si="159"/>
        <v>0</v>
      </c>
      <c r="P1288" s="847"/>
      <c r="Q1288" s="847"/>
      <c r="R1288" s="738">
        <f t="shared" si="162"/>
        <v>0</v>
      </c>
      <c r="S1288" s="737">
        <f t="shared" si="163"/>
        <v>0</v>
      </c>
      <c r="T1288" s="739">
        <f t="shared" si="164"/>
        <v>0</v>
      </c>
      <c r="U1288" s="846"/>
      <c r="V1288" s="847"/>
      <c r="W1288" s="846"/>
      <c r="X1288" s="846"/>
      <c r="Y1288" s="740">
        <f t="shared" si="160"/>
        <v>0</v>
      </c>
      <c r="Z1288" s="847"/>
      <c r="AA1288" s="847"/>
      <c r="AB1288" s="741">
        <f t="shared" si="161"/>
        <v>0</v>
      </c>
      <c r="AC1288" s="846"/>
      <c r="AD1288" s="847"/>
      <c r="AE1288" s="846"/>
      <c r="AF1288" s="846"/>
      <c r="AG1288" s="847"/>
      <c r="AH1288" s="847"/>
      <c r="AI1288" s="742">
        <f t="shared" si="165"/>
        <v>0</v>
      </c>
      <c r="AJ1288" s="743">
        <f t="shared" si="166"/>
        <v>0</v>
      </c>
    </row>
    <row r="1289" spans="1:36">
      <c r="A1289" s="1105" t="s">
        <v>145</v>
      </c>
      <c r="B1289" s="1106" t="s">
        <v>284</v>
      </c>
      <c r="C1289" s="1113" t="s">
        <v>566</v>
      </c>
      <c r="D1289" s="1112"/>
      <c r="E1289" s="1109"/>
      <c r="F1289" s="1110"/>
      <c r="G1289" s="846"/>
      <c r="H1289" s="847"/>
      <c r="I1289" s="846"/>
      <c r="J1289" s="847"/>
      <c r="K1289" s="846"/>
      <c r="L1289" s="847"/>
      <c r="M1289" s="846"/>
      <c r="N1289" s="846"/>
      <c r="O1289" s="737">
        <f t="shared" si="159"/>
        <v>0</v>
      </c>
      <c r="P1289" s="847"/>
      <c r="Q1289" s="847"/>
      <c r="R1289" s="738">
        <f t="shared" si="162"/>
        <v>0</v>
      </c>
      <c r="S1289" s="737">
        <f t="shared" si="163"/>
        <v>0</v>
      </c>
      <c r="T1289" s="739">
        <f t="shared" si="164"/>
        <v>0</v>
      </c>
      <c r="U1289" s="846"/>
      <c r="V1289" s="847"/>
      <c r="W1289" s="846"/>
      <c r="X1289" s="846"/>
      <c r="Y1289" s="740">
        <f t="shared" si="160"/>
        <v>0</v>
      </c>
      <c r="Z1289" s="847"/>
      <c r="AA1289" s="847"/>
      <c r="AB1289" s="741">
        <f t="shared" si="161"/>
        <v>0</v>
      </c>
      <c r="AC1289" s="846"/>
      <c r="AD1289" s="847"/>
      <c r="AE1289" s="846"/>
      <c r="AF1289" s="846"/>
      <c r="AG1289" s="847"/>
      <c r="AH1289" s="847"/>
      <c r="AI1289" s="742">
        <f t="shared" si="165"/>
        <v>0</v>
      </c>
      <c r="AJ1289" s="743">
        <f t="shared" si="166"/>
        <v>0</v>
      </c>
    </row>
    <row r="1290" spans="1:36">
      <c r="A1290" s="1105" t="s">
        <v>145</v>
      </c>
      <c r="B1290" s="1106" t="s">
        <v>285</v>
      </c>
      <c r="C1290" s="1135" t="s">
        <v>504</v>
      </c>
      <c r="D1290" s="1136"/>
      <c r="E1290" s="1109"/>
      <c r="F1290" s="1110"/>
      <c r="G1290" s="846"/>
      <c r="H1290" s="847"/>
      <c r="I1290" s="846"/>
      <c r="J1290" s="847"/>
      <c r="K1290" s="846"/>
      <c r="L1290" s="847"/>
      <c r="M1290" s="846"/>
      <c r="N1290" s="846"/>
      <c r="O1290" s="737">
        <f t="shared" ref="O1290:O1353" si="167">SUM(M1290:N1290)</f>
        <v>0</v>
      </c>
      <c r="P1290" s="847"/>
      <c r="Q1290" s="847"/>
      <c r="R1290" s="738">
        <f t="shared" si="162"/>
        <v>0</v>
      </c>
      <c r="S1290" s="737">
        <f t="shared" si="163"/>
        <v>0</v>
      </c>
      <c r="T1290" s="739">
        <f t="shared" si="164"/>
        <v>0</v>
      </c>
      <c r="U1290" s="846"/>
      <c r="V1290" s="847"/>
      <c r="W1290" s="846"/>
      <c r="X1290" s="846"/>
      <c r="Y1290" s="740">
        <f t="shared" ref="Y1290:Y1353" si="168">SUM(W1290:X1290)</f>
        <v>0</v>
      </c>
      <c r="Z1290" s="847"/>
      <c r="AA1290" s="847"/>
      <c r="AB1290" s="741">
        <f t="shared" ref="AB1290:AB1353" si="169">SUM(Z1290:AA1290)</f>
        <v>0</v>
      </c>
      <c r="AC1290" s="846"/>
      <c r="AD1290" s="847"/>
      <c r="AE1290" s="846"/>
      <c r="AF1290" s="846"/>
      <c r="AG1290" s="847"/>
      <c r="AH1290" s="847"/>
      <c r="AI1290" s="742">
        <f t="shared" si="165"/>
        <v>0</v>
      </c>
      <c r="AJ1290" s="743">
        <f t="shared" si="166"/>
        <v>0</v>
      </c>
    </row>
    <row r="1291" spans="1:36">
      <c r="A1291" s="1105" t="s">
        <v>145</v>
      </c>
      <c r="B1291" s="1106" t="s">
        <v>285</v>
      </c>
      <c r="C1291" s="1137" t="s">
        <v>1093</v>
      </c>
      <c r="D1291" s="1136"/>
      <c r="E1291" s="1109"/>
      <c r="F1291" s="1110"/>
      <c r="G1291" s="846"/>
      <c r="H1291" s="847"/>
      <c r="I1291" s="846"/>
      <c r="J1291" s="847"/>
      <c r="K1291" s="846"/>
      <c r="L1291" s="847"/>
      <c r="M1291" s="846"/>
      <c r="N1291" s="846"/>
      <c r="O1291" s="737">
        <f t="shared" si="167"/>
        <v>0</v>
      </c>
      <c r="P1291" s="847"/>
      <c r="Q1291" s="847"/>
      <c r="R1291" s="738">
        <f t="shared" ref="R1291:R1354" si="170">SUM(P1291:Q1291)</f>
        <v>0</v>
      </c>
      <c r="S1291" s="737">
        <f t="shared" ref="S1291:S1354" si="171">SUM(G1291,I1291,K1291,M1291)</f>
        <v>0</v>
      </c>
      <c r="T1291" s="739">
        <f t="shared" ref="T1291:T1354" si="172">SUM(H1291,J1291,L1291,P1291)</f>
        <v>0</v>
      </c>
      <c r="U1291" s="846">
        <v>120864</v>
      </c>
      <c r="V1291" s="847">
        <v>41450</v>
      </c>
      <c r="W1291" s="846"/>
      <c r="X1291" s="846"/>
      <c r="Y1291" s="740">
        <f t="shared" si="168"/>
        <v>0</v>
      </c>
      <c r="Z1291" s="847"/>
      <c r="AA1291" s="847"/>
      <c r="AB1291" s="741">
        <f t="shared" si="169"/>
        <v>0</v>
      </c>
      <c r="AC1291" s="846"/>
      <c r="AD1291" s="847"/>
      <c r="AE1291" s="846"/>
      <c r="AF1291" s="846"/>
      <c r="AG1291" s="847"/>
      <c r="AH1291" s="847"/>
      <c r="AI1291" s="742">
        <f t="shared" ref="AI1291:AI1354" si="173">SUM(S1291,U1291,W1291,AC1291,AE1291)</f>
        <v>120864</v>
      </c>
      <c r="AJ1291" s="743">
        <f t="shared" ref="AJ1291:AJ1354" si="174">SUM(T1291,V1291,Z1291,AD1291,AG1291)</f>
        <v>41450</v>
      </c>
    </row>
    <row r="1292" spans="1:36">
      <c r="A1292" s="1105" t="s">
        <v>145</v>
      </c>
      <c r="B1292" s="1106" t="s">
        <v>286</v>
      </c>
      <c r="C1292" s="1133" t="s">
        <v>1094</v>
      </c>
      <c r="D1292" s="1108"/>
      <c r="E1292" s="1109"/>
      <c r="F1292" s="1110"/>
      <c r="G1292" s="846"/>
      <c r="H1292" s="847"/>
      <c r="I1292" s="846"/>
      <c r="J1292" s="847"/>
      <c r="K1292" s="846"/>
      <c r="L1292" s="847"/>
      <c r="M1292" s="846"/>
      <c r="N1292" s="846"/>
      <c r="O1292" s="737">
        <f t="shared" si="167"/>
        <v>0</v>
      </c>
      <c r="P1292" s="847"/>
      <c r="Q1292" s="847"/>
      <c r="R1292" s="738">
        <f t="shared" si="170"/>
        <v>0</v>
      </c>
      <c r="S1292" s="737">
        <f t="shared" si="171"/>
        <v>0</v>
      </c>
      <c r="T1292" s="739">
        <f t="shared" si="172"/>
        <v>0</v>
      </c>
      <c r="U1292" s="846"/>
      <c r="V1292" s="847"/>
      <c r="W1292" s="846"/>
      <c r="X1292" s="846"/>
      <c r="Y1292" s="740">
        <f t="shared" si="168"/>
        <v>0</v>
      </c>
      <c r="Z1292" s="847"/>
      <c r="AA1292" s="847"/>
      <c r="AB1292" s="741">
        <f t="shared" si="169"/>
        <v>0</v>
      </c>
      <c r="AC1292" s="846"/>
      <c r="AD1292" s="847"/>
      <c r="AE1292" s="846"/>
      <c r="AF1292" s="846"/>
      <c r="AG1292" s="847"/>
      <c r="AH1292" s="847"/>
      <c r="AI1292" s="742">
        <f t="shared" si="173"/>
        <v>0</v>
      </c>
      <c r="AJ1292" s="743">
        <f t="shared" si="174"/>
        <v>0</v>
      </c>
    </row>
    <row r="1293" spans="1:36">
      <c r="A1293" s="1105" t="s">
        <v>145</v>
      </c>
      <c r="B1293" s="1106" t="s">
        <v>287</v>
      </c>
      <c r="C1293" s="1133" t="s">
        <v>510</v>
      </c>
      <c r="D1293" s="1108"/>
      <c r="E1293" s="1109"/>
      <c r="F1293" s="1110"/>
      <c r="G1293" s="846"/>
      <c r="H1293" s="847"/>
      <c r="I1293" s="846"/>
      <c r="J1293" s="847"/>
      <c r="K1293" s="846"/>
      <c r="L1293" s="847"/>
      <c r="M1293" s="846"/>
      <c r="N1293" s="846"/>
      <c r="O1293" s="737">
        <f t="shared" si="167"/>
        <v>0</v>
      </c>
      <c r="P1293" s="847"/>
      <c r="Q1293" s="847"/>
      <c r="R1293" s="738">
        <f t="shared" si="170"/>
        <v>0</v>
      </c>
      <c r="S1293" s="737">
        <f t="shared" si="171"/>
        <v>0</v>
      </c>
      <c r="T1293" s="739">
        <f t="shared" si="172"/>
        <v>0</v>
      </c>
      <c r="U1293" s="846"/>
      <c r="V1293" s="847"/>
      <c r="W1293" s="846"/>
      <c r="X1293" s="846"/>
      <c r="Y1293" s="740">
        <f t="shared" si="168"/>
        <v>0</v>
      </c>
      <c r="Z1293" s="847"/>
      <c r="AA1293" s="847"/>
      <c r="AB1293" s="741">
        <f t="shared" si="169"/>
        <v>0</v>
      </c>
      <c r="AC1293" s="846"/>
      <c r="AD1293" s="847"/>
      <c r="AE1293" s="846"/>
      <c r="AF1293" s="846"/>
      <c r="AG1293" s="847"/>
      <c r="AH1293" s="847"/>
      <c r="AI1293" s="742">
        <f t="shared" si="173"/>
        <v>0</v>
      </c>
      <c r="AJ1293" s="743">
        <f t="shared" si="174"/>
        <v>0</v>
      </c>
    </row>
    <row r="1294" spans="1:36">
      <c r="A1294" s="1105" t="s">
        <v>145</v>
      </c>
      <c r="B1294" s="1106" t="s">
        <v>288</v>
      </c>
      <c r="C1294" s="1111" t="s">
        <v>511</v>
      </c>
      <c r="D1294" s="1112"/>
      <c r="E1294" s="1109"/>
      <c r="F1294" s="1110"/>
      <c r="G1294" s="846"/>
      <c r="H1294" s="847"/>
      <c r="I1294" s="846"/>
      <c r="J1294" s="847"/>
      <c r="K1294" s="846"/>
      <c r="L1294" s="847"/>
      <c r="M1294" s="846"/>
      <c r="N1294" s="846"/>
      <c r="O1294" s="737">
        <f t="shared" si="167"/>
        <v>0</v>
      </c>
      <c r="P1294" s="847"/>
      <c r="Q1294" s="847"/>
      <c r="R1294" s="738">
        <f t="shared" si="170"/>
        <v>0</v>
      </c>
      <c r="S1294" s="737">
        <f t="shared" si="171"/>
        <v>0</v>
      </c>
      <c r="T1294" s="739">
        <f t="shared" si="172"/>
        <v>0</v>
      </c>
      <c r="U1294" s="846"/>
      <c r="V1294" s="847"/>
      <c r="W1294" s="846"/>
      <c r="X1294" s="846"/>
      <c r="Y1294" s="740">
        <f t="shared" si="168"/>
        <v>0</v>
      </c>
      <c r="Z1294" s="847"/>
      <c r="AA1294" s="847"/>
      <c r="AB1294" s="741">
        <f t="shared" si="169"/>
        <v>0</v>
      </c>
      <c r="AC1294" s="846"/>
      <c r="AD1294" s="847"/>
      <c r="AE1294" s="846"/>
      <c r="AF1294" s="846"/>
      <c r="AG1294" s="847"/>
      <c r="AH1294" s="847"/>
      <c r="AI1294" s="742">
        <f t="shared" si="173"/>
        <v>0</v>
      </c>
      <c r="AJ1294" s="743">
        <f t="shared" si="174"/>
        <v>0</v>
      </c>
    </row>
    <row r="1295" spans="1:36">
      <c r="A1295" s="1105" t="s">
        <v>145</v>
      </c>
      <c r="B1295" s="1106" t="s">
        <v>289</v>
      </c>
      <c r="C1295" s="1111" t="s">
        <v>515</v>
      </c>
      <c r="D1295" s="1112"/>
      <c r="E1295" s="1109"/>
      <c r="F1295" s="1110"/>
      <c r="G1295" s="846"/>
      <c r="H1295" s="847"/>
      <c r="I1295" s="846"/>
      <c r="J1295" s="847"/>
      <c r="K1295" s="846"/>
      <c r="L1295" s="847"/>
      <c r="M1295" s="846"/>
      <c r="N1295" s="846"/>
      <c r="O1295" s="737">
        <f t="shared" si="167"/>
        <v>0</v>
      </c>
      <c r="P1295" s="847"/>
      <c r="Q1295" s="847"/>
      <c r="R1295" s="738">
        <f t="shared" si="170"/>
        <v>0</v>
      </c>
      <c r="S1295" s="737">
        <f t="shared" si="171"/>
        <v>0</v>
      </c>
      <c r="T1295" s="739">
        <f t="shared" si="172"/>
        <v>0</v>
      </c>
      <c r="U1295" s="846">
        <v>587495</v>
      </c>
      <c r="V1295" s="847">
        <v>760850</v>
      </c>
      <c r="W1295" s="846"/>
      <c r="X1295" s="846"/>
      <c r="Y1295" s="740">
        <f t="shared" si="168"/>
        <v>0</v>
      </c>
      <c r="Z1295" s="847"/>
      <c r="AA1295" s="847"/>
      <c r="AB1295" s="741">
        <f t="shared" si="169"/>
        <v>0</v>
      </c>
      <c r="AC1295" s="846"/>
      <c r="AD1295" s="847"/>
      <c r="AE1295" s="846"/>
      <c r="AF1295" s="846"/>
      <c r="AG1295" s="847"/>
      <c r="AH1295" s="847"/>
      <c r="AI1295" s="742">
        <f t="shared" si="173"/>
        <v>587495</v>
      </c>
      <c r="AJ1295" s="743">
        <f t="shared" si="174"/>
        <v>760850</v>
      </c>
    </row>
    <row r="1296" spans="1:36">
      <c r="A1296" s="1105" t="s">
        <v>145</v>
      </c>
      <c r="B1296" s="1106" t="s">
        <v>290</v>
      </c>
      <c r="C1296" s="1111" t="s">
        <v>137</v>
      </c>
      <c r="D1296" s="1112"/>
      <c r="E1296" s="1109"/>
      <c r="F1296" s="1110"/>
      <c r="G1296" s="846"/>
      <c r="H1296" s="847"/>
      <c r="I1296" s="846"/>
      <c r="J1296" s="847"/>
      <c r="K1296" s="846"/>
      <c r="L1296" s="847"/>
      <c r="M1296" s="846"/>
      <c r="N1296" s="846"/>
      <c r="O1296" s="737">
        <f t="shared" si="167"/>
        <v>0</v>
      </c>
      <c r="P1296" s="847"/>
      <c r="Q1296" s="847"/>
      <c r="R1296" s="738">
        <f t="shared" si="170"/>
        <v>0</v>
      </c>
      <c r="S1296" s="737">
        <f t="shared" si="171"/>
        <v>0</v>
      </c>
      <c r="T1296" s="739">
        <f t="shared" si="172"/>
        <v>0</v>
      </c>
      <c r="U1296" s="846"/>
      <c r="V1296" s="847"/>
      <c r="W1296" s="846"/>
      <c r="X1296" s="846"/>
      <c r="Y1296" s="740">
        <f t="shared" si="168"/>
        <v>0</v>
      </c>
      <c r="Z1296" s="847"/>
      <c r="AA1296" s="847"/>
      <c r="AB1296" s="741">
        <f t="shared" si="169"/>
        <v>0</v>
      </c>
      <c r="AC1296" s="846"/>
      <c r="AD1296" s="847"/>
      <c r="AE1296" s="846"/>
      <c r="AF1296" s="846"/>
      <c r="AG1296" s="847"/>
      <c r="AH1296" s="847"/>
      <c r="AI1296" s="742">
        <f t="shared" si="173"/>
        <v>0</v>
      </c>
      <c r="AJ1296" s="743">
        <f t="shared" si="174"/>
        <v>0</v>
      </c>
    </row>
    <row r="1297" spans="1:36">
      <c r="A1297" s="1105" t="s">
        <v>145</v>
      </c>
      <c r="B1297" s="1106" t="s">
        <v>291</v>
      </c>
      <c r="C1297" s="1133" t="s">
        <v>520</v>
      </c>
      <c r="D1297" s="1108"/>
      <c r="E1297" s="1109"/>
      <c r="F1297" s="1110"/>
      <c r="G1297" s="846"/>
      <c r="H1297" s="847"/>
      <c r="I1297" s="846"/>
      <c r="J1297" s="847"/>
      <c r="K1297" s="846"/>
      <c r="L1297" s="847"/>
      <c r="M1297" s="846"/>
      <c r="N1297" s="846"/>
      <c r="O1297" s="737">
        <f t="shared" si="167"/>
        <v>0</v>
      </c>
      <c r="P1297" s="847"/>
      <c r="Q1297" s="847"/>
      <c r="R1297" s="738">
        <f t="shared" si="170"/>
        <v>0</v>
      </c>
      <c r="S1297" s="737">
        <f t="shared" si="171"/>
        <v>0</v>
      </c>
      <c r="T1297" s="739">
        <f t="shared" si="172"/>
        <v>0</v>
      </c>
      <c r="U1297" s="846"/>
      <c r="V1297" s="847"/>
      <c r="W1297" s="846"/>
      <c r="X1297" s="846"/>
      <c r="Y1297" s="740">
        <f t="shared" si="168"/>
        <v>0</v>
      </c>
      <c r="Z1297" s="847"/>
      <c r="AA1297" s="847"/>
      <c r="AB1297" s="741">
        <f t="shared" si="169"/>
        <v>0</v>
      </c>
      <c r="AC1297" s="846"/>
      <c r="AD1297" s="847"/>
      <c r="AE1297" s="846"/>
      <c r="AF1297" s="846"/>
      <c r="AG1297" s="847"/>
      <c r="AH1297" s="847"/>
      <c r="AI1297" s="742">
        <f t="shared" si="173"/>
        <v>0</v>
      </c>
      <c r="AJ1297" s="743">
        <f t="shared" si="174"/>
        <v>0</v>
      </c>
    </row>
    <row r="1298" spans="1:36">
      <c r="A1298" s="1105" t="s">
        <v>145</v>
      </c>
      <c r="B1298" s="1106" t="s">
        <v>292</v>
      </c>
      <c r="C1298" s="1138" t="s">
        <v>34</v>
      </c>
      <c r="D1298" s="1139"/>
      <c r="E1298" s="1109"/>
      <c r="F1298" s="1110"/>
      <c r="G1298" s="846"/>
      <c r="H1298" s="847"/>
      <c r="I1298" s="846"/>
      <c r="J1298" s="847"/>
      <c r="K1298" s="846"/>
      <c r="L1298" s="847"/>
      <c r="M1298" s="846"/>
      <c r="N1298" s="846"/>
      <c r="O1298" s="737">
        <f t="shared" si="167"/>
        <v>0</v>
      </c>
      <c r="P1298" s="847"/>
      <c r="Q1298" s="847"/>
      <c r="R1298" s="738">
        <f t="shared" si="170"/>
        <v>0</v>
      </c>
      <c r="S1298" s="737">
        <f t="shared" si="171"/>
        <v>0</v>
      </c>
      <c r="T1298" s="739">
        <f t="shared" si="172"/>
        <v>0</v>
      </c>
      <c r="U1298" s="846"/>
      <c r="V1298" s="847"/>
      <c r="W1298" s="846"/>
      <c r="X1298" s="846"/>
      <c r="Y1298" s="740">
        <f t="shared" si="168"/>
        <v>0</v>
      </c>
      <c r="Z1298" s="847"/>
      <c r="AA1298" s="847"/>
      <c r="AB1298" s="741">
        <f t="shared" si="169"/>
        <v>0</v>
      </c>
      <c r="AC1298" s="846"/>
      <c r="AD1298" s="847"/>
      <c r="AE1298" s="846"/>
      <c r="AF1298" s="846"/>
      <c r="AG1298" s="847"/>
      <c r="AH1298" s="847"/>
      <c r="AI1298" s="742">
        <f t="shared" si="173"/>
        <v>0</v>
      </c>
      <c r="AJ1298" s="743">
        <f t="shared" si="174"/>
        <v>0</v>
      </c>
    </row>
    <row r="1299" spans="1:36">
      <c r="A1299" s="1105" t="s">
        <v>145</v>
      </c>
      <c r="B1299" s="1106" t="s">
        <v>292</v>
      </c>
      <c r="C1299" s="1140" t="s">
        <v>1095</v>
      </c>
      <c r="D1299" s="1112"/>
      <c r="E1299" s="1109"/>
      <c r="F1299" s="1110"/>
      <c r="G1299" s="846"/>
      <c r="H1299" s="847"/>
      <c r="I1299" s="846"/>
      <c r="J1299" s="847"/>
      <c r="K1299" s="846"/>
      <c r="L1299" s="847"/>
      <c r="M1299" s="846"/>
      <c r="N1299" s="846"/>
      <c r="O1299" s="737">
        <f t="shared" si="167"/>
        <v>0</v>
      </c>
      <c r="P1299" s="847"/>
      <c r="Q1299" s="847"/>
      <c r="R1299" s="738">
        <f t="shared" si="170"/>
        <v>0</v>
      </c>
      <c r="S1299" s="737">
        <f t="shared" si="171"/>
        <v>0</v>
      </c>
      <c r="T1299" s="739">
        <f t="shared" si="172"/>
        <v>0</v>
      </c>
      <c r="U1299" s="846"/>
      <c r="V1299" s="847"/>
      <c r="W1299" s="846"/>
      <c r="X1299" s="846"/>
      <c r="Y1299" s="740">
        <f t="shared" si="168"/>
        <v>0</v>
      </c>
      <c r="Z1299" s="847"/>
      <c r="AA1299" s="847"/>
      <c r="AB1299" s="741">
        <f t="shared" si="169"/>
        <v>0</v>
      </c>
      <c r="AC1299" s="846"/>
      <c r="AD1299" s="847"/>
      <c r="AE1299" s="846"/>
      <c r="AF1299" s="846"/>
      <c r="AG1299" s="847"/>
      <c r="AH1299" s="847"/>
      <c r="AI1299" s="742">
        <f t="shared" si="173"/>
        <v>0</v>
      </c>
      <c r="AJ1299" s="743">
        <f t="shared" si="174"/>
        <v>0</v>
      </c>
    </row>
    <row r="1300" spans="1:36">
      <c r="A1300" s="1105" t="s">
        <v>145</v>
      </c>
      <c r="B1300" s="1141" t="s">
        <v>209</v>
      </c>
      <c r="C1300" s="1142" t="s">
        <v>522</v>
      </c>
      <c r="D1300" s="1143"/>
      <c r="E1300" s="1109"/>
      <c r="F1300" s="1110"/>
      <c r="G1300" s="846"/>
      <c r="H1300" s="847"/>
      <c r="I1300" s="846"/>
      <c r="J1300" s="847"/>
      <c r="K1300" s="846"/>
      <c r="L1300" s="847"/>
      <c r="M1300" s="846"/>
      <c r="N1300" s="846"/>
      <c r="O1300" s="737">
        <f t="shared" si="167"/>
        <v>0</v>
      </c>
      <c r="P1300" s="847"/>
      <c r="Q1300" s="847"/>
      <c r="R1300" s="738">
        <f t="shared" si="170"/>
        <v>0</v>
      </c>
      <c r="S1300" s="737">
        <f t="shared" si="171"/>
        <v>0</v>
      </c>
      <c r="T1300" s="739">
        <f t="shared" si="172"/>
        <v>0</v>
      </c>
      <c r="U1300" s="846"/>
      <c r="V1300" s="847"/>
      <c r="W1300" s="846"/>
      <c r="X1300" s="846"/>
      <c r="Y1300" s="740">
        <f t="shared" si="168"/>
        <v>0</v>
      </c>
      <c r="Z1300" s="847"/>
      <c r="AA1300" s="847"/>
      <c r="AB1300" s="741">
        <f t="shared" si="169"/>
        <v>0</v>
      </c>
      <c r="AC1300" s="846"/>
      <c r="AD1300" s="847"/>
      <c r="AE1300" s="846"/>
      <c r="AF1300" s="846"/>
      <c r="AG1300" s="847"/>
      <c r="AH1300" s="847"/>
      <c r="AI1300" s="742">
        <f t="shared" si="173"/>
        <v>0</v>
      </c>
      <c r="AJ1300" s="743">
        <f t="shared" si="174"/>
        <v>0</v>
      </c>
    </row>
    <row r="1301" spans="1:36">
      <c r="A1301" s="1105" t="s">
        <v>145</v>
      </c>
      <c r="B1301" s="1141" t="s">
        <v>210</v>
      </c>
      <c r="C1301" s="1142" t="s">
        <v>311</v>
      </c>
      <c r="D1301" s="1143"/>
      <c r="E1301" s="1109"/>
      <c r="F1301" s="1110"/>
      <c r="G1301" s="846"/>
      <c r="H1301" s="847"/>
      <c r="I1301" s="846"/>
      <c r="J1301" s="847"/>
      <c r="K1301" s="846"/>
      <c r="L1301" s="847"/>
      <c r="M1301" s="846"/>
      <c r="N1301" s="846"/>
      <c r="O1301" s="737">
        <f t="shared" si="167"/>
        <v>0</v>
      </c>
      <c r="P1301" s="847"/>
      <c r="Q1301" s="847"/>
      <c r="R1301" s="738">
        <f t="shared" si="170"/>
        <v>0</v>
      </c>
      <c r="S1301" s="737">
        <f t="shared" si="171"/>
        <v>0</v>
      </c>
      <c r="T1301" s="739">
        <f t="shared" si="172"/>
        <v>0</v>
      </c>
      <c r="U1301" s="846">
        <v>23783131</v>
      </c>
      <c r="V1301" s="847">
        <v>24619025</v>
      </c>
      <c r="W1301" s="846"/>
      <c r="X1301" s="846"/>
      <c r="Y1301" s="740">
        <f t="shared" si="168"/>
        <v>0</v>
      </c>
      <c r="Z1301" s="847"/>
      <c r="AA1301" s="847"/>
      <c r="AB1301" s="741">
        <f t="shared" si="169"/>
        <v>0</v>
      </c>
      <c r="AC1301" s="846"/>
      <c r="AD1301" s="847"/>
      <c r="AE1301" s="846"/>
      <c r="AF1301" s="846"/>
      <c r="AG1301" s="847"/>
      <c r="AH1301" s="847"/>
      <c r="AI1301" s="742">
        <f t="shared" si="173"/>
        <v>23783131</v>
      </c>
      <c r="AJ1301" s="743">
        <f t="shared" si="174"/>
        <v>24619025</v>
      </c>
    </row>
    <row r="1302" spans="1:36">
      <c r="A1302" s="1105" t="s">
        <v>145</v>
      </c>
      <c r="B1302" s="1141" t="s">
        <v>204</v>
      </c>
      <c r="C1302" s="1142" t="s">
        <v>249</v>
      </c>
      <c r="D1302" s="1143"/>
      <c r="E1302" s="1109"/>
      <c r="F1302" s="1110"/>
      <c r="G1302" s="846"/>
      <c r="H1302" s="847"/>
      <c r="I1302" s="846"/>
      <c r="J1302" s="847"/>
      <c r="K1302" s="846"/>
      <c r="L1302" s="847"/>
      <c r="M1302" s="846"/>
      <c r="N1302" s="846"/>
      <c r="O1302" s="737">
        <f t="shared" si="167"/>
        <v>0</v>
      </c>
      <c r="P1302" s="847"/>
      <c r="Q1302" s="847"/>
      <c r="R1302" s="738">
        <f t="shared" si="170"/>
        <v>0</v>
      </c>
      <c r="S1302" s="737">
        <f t="shared" si="171"/>
        <v>0</v>
      </c>
      <c r="T1302" s="739">
        <f t="shared" si="172"/>
        <v>0</v>
      </c>
      <c r="U1302" s="846">
        <v>199825710</v>
      </c>
      <c r="V1302" s="847">
        <v>247795287</v>
      </c>
      <c r="W1302" s="846"/>
      <c r="X1302" s="846"/>
      <c r="Y1302" s="740">
        <f t="shared" si="168"/>
        <v>0</v>
      </c>
      <c r="Z1302" s="847"/>
      <c r="AA1302" s="847"/>
      <c r="AB1302" s="741">
        <f t="shared" si="169"/>
        <v>0</v>
      </c>
      <c r="AC1302" s="846"/>
      <c r="AD1302" s="847"/>
      <c r="AE1302" s="846"/>
      <c r="AF1302" s="846"/>
      <c r="AG1302" s="847"/>
      <c r="AH1302" s="847"/>
      <c r="AI1302" s="742">
        <f t="shared" si="173"/>
        <v>199825710</v>
      </c>
      <c r="AJ1302" s="743">
        <f t="shared" si="174"/>
        <v>247795287</v>
      </c>
    </row>
    <row r="1303" spans="1:36">
      <c r="A1303" s="1105" t="s">
        <v>145</v>
      </c>
      <c r="B1303" s="1141" t="s">
        <v>205</v>
      </c>
      <c r="C1303" s="1142" t="s">
        <v>523</v>
      </c>
      <c r="D1303" s="1143"/>
      <c r="E1303" s="1109"/>
      <c r="F1303" s="1110"/>
      <c r="G1303" s="846"/>
      <c r="H1303" s="847"/>
      <c r="I1303" s="846"/>
      <c r="J1303" s="847"/>
      <c r="K1303" s="846"/>
      <c r="L1303" s="847"/>
      <c r="M1303" s="846"/>
      <c r="N1303" s="846"/>
      <c r="O1303" s="737">
        <f t="shared" si="167"/>
        <v>0</v>
      </c>
      <c r="P1303" s="847"/>
      <c r="Q1303" s="847"/>
      <c r="R1303" s="738">
        <f t="shared" si="170"/>
        <v>0</v>
      </c>
      <c r="S1303" s="737">
        <f t="shared" si="171"/>
        <v>0</v>
      </c>
      <c r="T1303" s="739">
        <f t="shared" si="172"/>
        <v>0</v>
      </c>
      <c r="U1303" s="846"/>
      <c r="V1303" s="847"/>
      <c r="W1303" s="846"/>
      <c r="X1303" s="846"/>
      <c r="Y1303" s="740">
        <f t="shared" si="168"/>
        <v>0</v>
      </c>
      <c r="Z1303" s="847"/>
      <c r="AA1303" s="847"/>
      <c r="AB1303" s="741">
        <f t="shared" si="169"/>
        <v>0</v>
      </c>
      <c r="AC1303" s="846"/>
      <c r="AD1303" s="847"/>
      <c r="AE1303" s="846"/>
      <c r="AF1303" s="846"/>
      <c r="AG1303" s="847"/>
      <c r="AH1303" s="847"/>
      <c r="AI1303" s="742">
        <f t="shared" si="173"/>
        <v>0</v>
      </c>
      <c r="AJ1303" s="743">
        <f t="shared" si="174"/>
        <v>0</v>
      </c>
    </row>
    <row r="1304" spans="1:36">
      <c r="A1304" s="1105" t="s">
        <v>145</v>
      </c>
      <c r="B1304" s="1141" t="s">
        <v>218</v>
      </c>
      <c r="C1304" s="1142" t="s">
        <v>311</v>
      </c>
      <c r="D1304" s="1143"/>
      <c r="E1304" s="1109"/>
      <c r="F1304" s="1110"/>
      <c r="G1304" s="846"/>
      <c r="H1304" s="847"/>
      <c r="I1304" s="846"/>
      <c r="J1304" s="847"/>
      <c r="K1304" s="846"/>
      <c r="L1304" s="847"/>
      <c r="M1304" s="846"/>
      <c r="N1304" s="846"/>
      <c r="O1304" s="737">
        <f t="shared" si="167"/>
        <v>0</v>
      </c>
      <c r="P1304" s="847"/>
      <c r="Q1304" s="847"/>
      <c r="R1304" s="738">
        <f t="shared" si="170"/>
        <v>0</v>
      </c>
      <c r="S1304" s="737">
        <f t="shared" si="171"/>
        <v>0</v>
      </c>
      <c r="T1304" s="739">
        <f t="shared" si="172"/>
        <v>0</v>
      </c>
      <c r="U1304" s="846">
        <v>2335638</v>
      </c>
      <c r="V1304" s="847">
        <v>2203104</v>
      </c>
      <c r="W1304" s="846"/>
      <c r="X1304" s="846"/>
      <c r="Y1304" s="740">
        <f t="shared" si="168"/>
        <v>0</v>
      </c>
      <c r="Z1304" s="847"/>
      <c r="AA1304" s="847"/>
      <c r="AB1304" s="741">
        <f t="shared" si="169"/>
        <v>0</v>
      </c>
      <c r="AC1304" s="846"/>
      <c r="AD1304" s="847"/>
      <c r="AE1304" s="846"/>
      <c r="AF1304" s="846"/>
      <c r="AG1304" s="847"/>
      <c r="AH1304" s="847"/>
      <c r="AI1304" s="742">
        <f t="shared" si="173"/>
        <v>2335638</v>
      </c>
      <c r="AJ1304" s="743">
        <f t="shared" si="174"/>
        <v>2203104</v>
      </c>
    </row>
    <row r="1305" spans="1:36">
      <c r="A1305" s="1105" t="s">
        <v>145</v>
      </c>
      <c r="B1305" s="1141" t="s">
        <v>219</v>
      </c>
      <c r="C1305" s="1142" t="s">
        <v>249</v>
      </c>
      <c r="D1305" s="1143"/>
      <c r="E1305" s="1109"/>
      <c r="F1305" s="1110"/>
      <c r="G1305" s="846"/>
      <c r="H1305" s="847"/>
      <c r="I1305" s="846"/>
      <c r="J1305" s="847"/>
      <c r="K1305" s="846"/>
      <c r="L1305" s="847"/>
      <c r="M1305" s="846"/>
      <c r="N1305" s="846"/>
      <c r="O1305" s="737">
        <f t="shared" si="167"/>
        <v>0</v>
      </c>
      <c r="P1305" s="847"/>
      <c r="Q1305" s="847"/>
      <c r="R1305" s="738">
        <f t="shared" si="170"/>
        <v>0</v>
      </c>
      <c r="S1305" s="737">
        <f t="shared" si="171"/>
        <v>0</v>
      </c>
      <c r="T1305" s="739">
        <f t="shared" si="172"/>
        <v>0</v>
      </c>
      <c r="U1305" s="846">
        <v>14866958</v>
      </c>
      <c r="V1305" s="847">
        <v>16536273</v>
      </c>
      <c r="W1305" s="846"/>
      <c r="X1305" s="846"/>
      <c r="Y1305" s="740">
        <f t="shared" si="168"/>
        <v>0</v>
      </c>
      <c r="Z1305" s="847"/>
      <c r="AA1305" s="847"/>
      <c r="AB1305" s="741">
        <f t="shared" si="169"/>
        <v>0</v>
      </c>
      <c r="AC1305" s="846"/>
      <c r="AD1305" s="847"/>
      <c r="AE1305" s="846"/>
      <c r="AF1305" s="846"/>
      <c r="AG1305" s="847"/>
      <c r="AH1305" s="847"/>
      <c r="AI1305" s="742">
        <f t="shared" si="173"/>
        <v>14866958</v>
      </c>
      <c r="AJ1305" s="743">
        <f t="shared" si="174"/>
        <v>16536273</v>
      </c>
    </row>
    <row r="1306" spans="1:36">
      <c r="A1306" s="1105" t="s">
        <v>145</v>
      </c>
      <c r="B1306" s="1141" t="s">
        <v>293</v>
      </c>
      <c r="C1306" s="1144" t="s">
        <v>525</v>
      </c>
      <c r="D1306" s="1145"/>
      <c r="E1306" s="1109"/>
      <c r="F1306" s="1110"/>
      <c r="G1306" s="846"/>
      <c r="H1306" s="847"/>
      <c r="I1306" s="846"/>
      <c r="J1306" s="847"/>
      <c r="K1306" s="846"/>
      <c r="L1306" s="847"/>
      <c r="M1306" s="846"/>
      <c r="N1306" s="846"/>
      <c r="O1306" s="737">
        <f t="shared" si="167"/>
        <v>0</v>
      </c>
      <c r="P1306" s="847"/>
      <c r="Q1306" s="847"/>
      <c r="R1306" s="738">
        <f t="shared" si="170"/>
        <v>0</v>
      </c>
      <c r="S1306" s="737">
        <f t="shared" si="171"/>
        <v>0</v>
      </c>
      <c r="T1306" s="739">
        <f t="shared" si="172"/>
        <v>0</v>
      </c>
      <c r="U1306" s="846"/>
      <c r="V1306" s="847"/>
      <c r="W1306" s="846"/>
      <c r="X1306" s="846"/>
      <c r="Y1306" s="740">
        <f t="shared" si="168"/>
        <v>0</v>
      </c>
      <c r="Z1306" s="847"/>
      <c r="AA1306" s="847"/>
      <c r="AB1306" s="741">
        <f t="shared" si="169"/>
        <v>0</v>
      </c>
      <c r="AC1306" s="846"/>
      <c r="AD1306" s="847"/>
      <c r="AE1306" s="846"/>
      <c r="AF1306" s="846"/>
      <c r="AG1306" s="847"/>
      <c r="AH1306" s="847"/>
      <c r="AI1306" s="742">
        <f t="shared" si="173"/>
        <v>0</v>
      </c>
      <c r="AJ1306" s="743">
        <f t="shared" si="174"/>
        <v>0</v>
      </c>
    </row>
    <row r="1307" spans="1:36">
      <c r="A1307" s="1105" t="s">
        <v>145</v>
      </c>
      <c r="B1307" s="1141" t="s">
        <v>293</v>
      </c>
      <c r="C1307" s="1140" t="s">
        <v>1096</v>
      </c>
      <c r="D1307" s="1112"/>
      <c r="E1307" s="1109"/>
      <c r="F1307" s="1110"/>
      <c r="G1307" s="846"/>
      <c r="H1307" s="847"/>
      <c r="I1307" s="846"/>
      <c r="J1307" s="847"/>
      <c r="K1307" s="846"/>
      <c r="L1307" s="847"/>
      <c r="M1307" s="846"/>
      <c r="N1307" s="846"/>
      <c r="O1307" s="737">
        <f t="shared" si="167"/>
        <v>0</v>
      </c>
      <c r="P1307" s="847"/>
      <c r="Q1307" s="847"/>
      <c r="R1307" s="738">
        <f t="shared" si="170"/>
        <v>0</v>
      </c>
      <c r="S1307" s="737">
        <f t="shared" si="171"/>
        <v>0</v>
      </c>
      <c r="T1307" s="739">
        <f t="shared" si="172"/>
        <v>0</v>
      </c>
      <c r="U1307" s="846"/>
      <c r="V1307" s="847"/>
      <c r="W1307" s="846"/>
      <c r="X1307" s="846"/>
      <c r="Y1307" s="740">
        <f t="shared" si="168"/>
        <v>0</v>
      </c>
      <c r="Z1307" s="847"/>
      <c r="AA1307" s="847"/>
      <c r="AB1307" s="741">
        <f t="shared" si="169"/>
        <v>0</v>
      </c>
      <c r="AC1307" s="846"/>
      <c r="AD1307" s="847"/>
      <c r="AE1307" s="846"/>
      <c r="AF1307" s="846"/>
      <c r="AG1307" s="847"/>
      <c r="AH1307" s="847"/>
      <c r="AI1307" s="742">
        <f t="shared" si="173"/>
        <v>0</v>
      </c>
      <c r="AJ1307" s="743">
        <f t="shared" si="174"/>
        <v>0</v>
      </c>
    </row>
    <row r="1308" spans="1:36">
      <c r="A1308" s="1105" t="s">
        <v>145</v>
      </c>
      <c r="B1308" s="1141" t="s">
        <v>252</v>
      </c>
      <c r="C1308" s="1142" t="s">
        <v>311</v>
      </c>
      <c r="D1308" s="1143"/>
      <c r="E1308" s="1109"/>
      <c r="F1308" s="1110"/>
      <c r="G1308" s="846"/>
      <c r="H1308" s="847"/>
      <c r="I1308" s="846"/>
      <c r="J1308" s="847"/>
      <c r="K1308" s="846"/>
      <c r="L1308" s="847"/>
      <c r="M1308" s="846"/>
      <c r="N1308" s="846"/>
      <c r="O1308" s="737">
        <f t="shared" si="167"/>
        <v>0</v>
      </c>
      <c r="P1308" s="847"/>
      <c r="Q1308" s="847"/>
      <c r="R1308" s="738">
        <f t="shared" si="170"/>
        <v>0</v>
      </c>
      <c r="S1308" s="737">
        <f t="shared" si="171"/>
        <v>0</v>
      </c>
      <c r="T1308" s="739">
        <f t="shared" si="172"/>
        <v>0</v>
      </c>
      <c r="U1308" s="846"/>
      <c r="V1308" s="847"/>
      <c r="W1308" s="846"/>
      <c r="X1308" s="846"/>
      <c r="Y1308" s="740">
        <f t="shared" si="168"/>
        <v>0</v>
      </c>
      <c r="Z1308" s="847"/>
      <c r="AA1308" s="847"/>
      <c r="AB1308" s="741">
        <f t="shared" si="169"/>
        <v>0</v>
      </c>
      <c r="AC1308" s="846"/>
      <c r="AD1308" s="847"/>
      <c r="AE1308" s="846"/>
      <c r="AF1308" s="846"/>
      <c r="AG1308" s="847"/>
      <c r="AH1308" s="847"/>
      <c r="AI1308" s="742">
        <f t="shared" si="173"/>
        <v>0</v>
      </c>
      <c r="AJ1308" s="743">
        <f t="shared" si="174"/>
        <v>0</v>
      </c>
    </row>
    <row r="1309" spans="1:36">
      <c r="A1309" s="1105" t="s">
        <v>145</v>
      </c>
      <c r="B1309" s="1141" t="s">
        <v>253</v>
      </c>
      <c r="C1309" s="1142" t="s">
        <v>249</v>
      </c>
      <c r="D1309" s="1143"/>
      <c r="E1309" s="1109"/>
      <c r="F1309" s="1110"/>
      <c r="G1309" s="846"/>
      <c r="H1309" s="847"/>
      <c r="I1309" s="846"/>
      <c r="J1309" s="847"/>
      <c r="K1309" s="846"/>
      <c r="L1309" s="847"/>
      <c r="M1309" s="846"/>
      <c r="N1309" s="846"/>
      <c r="O1309" s="737">
        <f t="shared" si="167"/>
        <v>0</v>
      </c>
      <c r="P1309" s="847"/>
      <c r="Q1309" s="847"/>
      <c r="R1309" s="738">
        <f t="shared" si="170"/>
        <v>0</v>
      </c>
      <c r="S1309" s="737">
        <f t="shared" si="171"/>
        <v>0</v>
      </c>
      <c r="T1309" s="739">
        <f t="shared" si="172"/>
        <v>0</v>
      </c>
      <c r="U1309" s="890">
        <v>60000</v>
      </c>
      <c r="V1309" s="1023">
        <v>60000</v>
      </c>
      <c r="W1309" s="846"/>
      <c r="X1309" s="846"/>
      <c r="Y1309" s="740">
        <f t="shared" si="168"/>
        <v>0</v>
      </c>
      <c r="Z1309" s="847"/>
      <c r="AA1309" s="847"/>
      <c r="AB1309" s="741">
        <f t="shared" si="169"/>
        <v>0</v>
      </c>
      <c r="AC1309" s="846"/>
      <c r="AD1309" s="847"/>
      <c r="AE1309" s="846"/>
      <c r="AF1309" s="846"/>
      <c r="AG1309" s="847"/>
      <c r="AH1309" s="847"/>
      <c r="AI1309" s="742">
        <f t="shared" si="173"/>
        <v>60000</v>
      </c>
      <c r="AJ1309" s="743">
        <f t="shared" si="174"/>
        <v>60000</v>
      </c>
    </row>
    <row r="1310" spans="1:36">
      <c r="A1310" s="1105" t="s">
        <v>145</v>
      </c>
      <c r="B1310" s="1146" t="s">
        <v>294</v>
      </c>
      <c r="C1310" s="1147" t="s">
        <v>584</v>
      </c>
      <c r="D1310" s="1148"/>
      <c r="E1310" s="1149"/>
      <c r="F1310" s="1150"/>
      <c r="G1310" s="846"/>
      <c r="H1310" s="847"/>
      <c r="I1310" s="846"/>
      <c r="J1310" s="847"/>
      <c r="K1310" s="846"/>
      <c r="L1310" s="847"/>
      <c r="M1310" s="846"/>
      <c r="N1310" s="846"/>
      <c r="O1310" s="737">
        <f t="shared" si="167"/>
        <v>0</v>
      </c>
      <c r="P1310" s="847"/>
      <c r="Q1310" s="847"/>
      <c r="R1310" s="738">
        <f t="shared" si="170"/>
        <v>0</v>
      </c>
      <c r="S1310" s="737">
        <f t="shared" si="171"/>
        <v>0</v>
      </c>
      <c r="T1310" s="739">
        <f t="shared" si="172"/>
        <v>0</v>
      </c>
      <c r="U1310" s="846"/>
      <c r="V1310" s="847"/>
      <c r="W1310" s="846"/>
      <c r="X1310" s="846"/>
      <c r="Y1310" s="740">
        <f t="shared" si="168"/>
        <v>0</v>
      </c>
      <c r="Z1310" s="847"/>
      <c r="AA1310" s="847"/>
      <c r="AB1310" s="741">
        <f t="shared" si="169"/>
        <v>0</v>
      </c>
      <c r="AC1310" s="846"/>
      <c r="AD1310" s="847"/>
      <c r="AE1310" s="846"/>
      <c r="AF1310" s="846"/>
      <c r="AG1310" s="847"/>
      <c r="AH1310" s="847"/>
      <c r="AI1310" s="742">
        <f t="shared" si="173"/>
        <v>0</v>
      </c>
      <c r="AJ1310" s="743">
        <f t="shared" si="174"/>
        <v>0</v>
      </c>
    </row>
    <row r="1311" spans="1:36">
      <c r="A1311" s="1105" t="s">
        <v>145</v>
      </c>
      <c r="B1311" s="1141" t="s">
        <v>254</v>
      </c>
      <c r="C1311" s="1142" t="s">
        <v>311</v>
      </c>
      <c r="D1311" s="1143"/>
      <c r="E1311" s="1149"/>
      <c r="F1311" s="1150"/>
      <c r="G1311" s="846"/>
      <c r="H1311" s="847"/>
      <c r="I1311" s="846"/>
      <c r="J1311" s="847"/>
      <c r="K1311" s="846"/>
      <c r="L1311" s="847"/>
      <c r="M1311" s="846"/>
      <c r="N1311" s="846"/>
      <c r="O1311" s="737">
        <f t="shared" si="167"/>
        <v>0</v>
      </c>
      <c r="P1311" s="847"/>
      <c r="Q1311" s="847"/>
      <c r="R1311" s="738">
        <f t="shared" si="170"/>
        <v>0</v>
      </c>
      <c r="S1311" s="737">
        <f t="shared" si="171"/>
        <v>0</v>
      </c>
      <c r="T1311" s="739">
        <f t="shared" si="172"/>
        <v>0</v>
      </c>
      <c r="U1311" s="846"/>
      <c r="V1311" s="847"/>
      <c r="W1311" s="846"/>
      <c r="X1311" s="846"/>
      <c r="Y1311" s="740">
        <f t="shared" si="168"/>
        <v>0</v>
      </c>
      <c r="Z1311" s="847"/>
      <c r="AA1311" s="847"/>
      <c r="AB1311" s="741">
        <f t="shared" si="169"/>
        <v>0</v>
      </c>
      <c r="AC1311" s="846"/>
      <c r="AD1311" s="847"/>
      <c r="AE1311" s="846"/>
      <c r="AF1311" s="846"/>
      <c r="AG1311" s="847"/>
      <c r="AH1311" s="847"/>
      <c r="AI1311" s="742">
        <f t="shared" si="173"/>
        <v>0</v>
      </c>
      <c r="AJ1311" s="743">
        <f t="shared" si="174"/>
        <v>0</v>
      </c>
    </row>
    <row r="1312" spans="1:36">
      <c r="A1312" s="1105" t="s">
        <v>145</v>
      </c>
      <c r="B1312" s="1141" t="s">
        <v>255</v>
      </c>
      <c r="C1312" s="1142" t="s">
        <v>249</v>
      </c>
      <c r="D1312" s="1143"/>
      <c r="E1312" s="1149"/>
      <c r="F1312" s="1150"/>
      <c r="G1312" s="846"/>
      <c r="H1312" s="847"/>
      <c r="I1312" s="846"/>
      <c r="J1312" s="847"/>
      <c r="K1312" s="846"/>
      <c r="L1312" s="847"/>
      <c r="M1312" s="846"/>
      <c r="N1312" s="846"/>
      <c r="O1312" s="737">
        <f t="shared" si="167"/>
        <v>0</v>
      </c>
      <c r="P1312" s="847"/>
      <c r="Q1312" s="847"/>
      <c r="R1312" s="738">
        <f t="shared" si="170"/>
        <v>0</v>
      </c>
      <c r="S1312" s="737">
        <f t="shared" si="171"/>
        <v>0</v>
      </c>
      <c r="T1312" s="739">
        <f t="shared" si="172"/>
        <v>0</v>
      </c>
      <c r="U1312" s="846"/>
      <c r="V1312" s="847"/>
      <c r="W1312" s="846"/>
      <c r="X1312" s="846"/>
      <c r="Y1312" s="740">
        <f t="shared" si="168"/>
        <v>0</v>
      </c>
      <c r="Z1312" s="847"/>
      <c r="AA1312" s="847"/>
      <c r="AB1312" s="741">
        <f t="shared" si="169"/>
        <v>0</v>
      </c>
      <c r="AC1312" s="846"/>
      <c r="AD1312" s="847"/>
      <c r="AE1312" s="846"/>
      <c r="AF1312" s="846"/>
      <c r="AG1312" s="847"/>
      <c r="AH1312" s="847"/>
      <c r="AI1312" s="742">
        <f t="shared" si="173"/>
        <v>0</v>
      </c>
      <c r="AJ1312" s="743">
        <f t="shared" si="174"/>
        <v>0</v>
      </c>
    </row>
    <row r="1313" spans="1:36">
      <c r="A1313" s="1243" t="s">
        <v>151</v>
      </c>
      <c r="B1313" s="1244" t="s">
        <v>264</v>
      </c>
      <c r="C1313" s="1245" t="s">
        <v>1433</v>
      </c>
      <c r="D1313" s="1246"/>
      <c r="E1313" s="1000">
        <v>163286</v>
      </c>
      <c r="F1313" s="1001">
        <v>1</v>
      </c>
      <c r="G1313" s="846">
        <v>438112113</v>
      </c>
      <c r="H1313" s="1247">
        <v>481965257</v>
      </c>
      <c r="I1313" s="846"/>
      <c r="J1313" s="1247"/>
      <c r="K1313" s="846"/>
      <c r="L1313" s="1247"/>
      <c r="M1313" s="846">
        <v>486211696</v>
      </c>
      <c r="N1313" s="846"/>
      <c r="O1313" s="737">
        <f t="shared" si="167"/>
        <v>486211696</v>
      </c>
      <c r="P1313" s="847">
        <v>501034829</v>
      </c>
      <c r="Q1313" s="847"/>
      <c r="R1313" s="738">
        <f t="shared" si="170"/>
        <v>501034829</v>
      </c>
      <c r="S1313" s="737">
        <f t="shared" si="171"/>
        <v>924323809</v>
      </c>
      <c r="T1313" s="739">
        <f t="shared" si="172"/>
        <v>983000086</v>
      </c>
      <c r="U1313" s="846"/>
      <c r="V1313" s="1247"/>
      <c r="W1313" s="846"/>
      <c r="X1313" s="846"/>
      <c r="Y1313" s="740">
        <f t="shared" si="168"/>
        <v>0</v>
      </c>
      <c r="Z1313" s="847"/>
      <c r="AA1313" s="847"/>
      <c r="AB1313" s="741">
        <f t="shared" si="169"/>
        <v>0</v>
      </c>
      <c r="AC1313" s="846"/>
      <c r="AD1313" s="1247"/>
      <c r="AE1313" s="846"/>
      <c r="AF1313" s="846"/>
      <c r="AG1313" s="847"/>
      <c r="AH1313" s="847"/>
      <c r="AI1313" s="742">
        <f t="shared" si="173"/>
        <v>924323809</v>
      </c>
      <c r="AJ1313" s="743">
        <f t="shared" si="174"/>
        <v>983000086</v>
      </c>
    </row>
    <row r="1314" spans="1:36">
      <c r="A1314" s="1243" t="s">
        <v>151</v>
      </c>
      <c r="B1314" s="1244" t="s">
        <v>267</v>
      </c>
      <c r="C1314" s="1013" t="s">
        <v>1434</v>
      </c>
      <c r="D1314" s="1014"/>
      <c r="E1314" s="1000">
        <v>163286</v>
      </c>
      <c r="F1314" s="1001">
        <v>1</v>
      </c>
      <c r="G1314" s="846"/>
      <c r="H1314" s="847"/>
      <c r="I1314" s="846"/>
      <c r="J1314" s="847"/>
      <c r="K1314" s="846"/>
      <c r="L1314" s="847"/>
      <c r="M1314" s="846"/>
      <c r="N1314" s="846"/>
      <c r="O1314" s="737">
        <f t="shared" si="167"/>
        <v>0</v>
      </c>
      <c r="P1314" s="847"/>
      <c r="Q1314" s="847"/>
      <c r="R1314" s="738">
        <f t="shared" si="170"/>
        <v>0</v>
      </c>
      <c r="S1314" s="737">
        <f t="shared" si="171"/>
        <v>0</v>
      </c>
      <c r="T1314" s="739">
        <f t="shared" si="172"/>
        <v>0</v>
      </c>
      <c r="U1314" s="846"/>
      <c r="V1314" s="847"/>
      <c r="W1314" s="846"/>
      <c r="X1314" s="846"/>
      <c r="Y1314" s="740">
        <f t="shared" si="168"/>
        <v>0</v>
      </c>
      <c r="Z1314" s="847"/>
      <c r="AA1314" s="847"/>
      <c r="AB1314" s="741">
        <f t="shared" si="169"/>
        <v>0</v>
      </c>
      <c r="AC1314" s="846"/>
      <c r="AD1314" s="847"/>
      <c r="AE1314" s="846"/>
      <c r="AF1314" s="846"/>
      <c r="AG1314" s="847"/>
      <c r="AH1314" s="847"/>
      <c r="AI1314" s="742">
        <f t="shared" si="173"/>
        <v>0</v>
      </c>
      <c r="AJ1314" s="743">
        <f t="shared" si="174"/>
        <v>0</v>
      </c>
    </row>
    <row r="1315" spans="1:36">
      <c r="A1315" s="1243" t="s">
        <v>151</v>
      </c>
      <c r="B1315" s="1244" t="s">
        <v>268</v>
      </c>
      <c r="C1315" s="1013" t="s">
        <v>257</v>
      </c>
      <c r="D1315" s="1014"/>
      <c r="E1315" s="1000">
        <v>163286</v>
      </c>
      <c r="F1315" s="1001">
        <v>1</v>
      </c>
      <c r="G1315" s="846"/>
      <c r="H1315" s="847"/>
      <c r="I1315" s="846">
        <v>18461516</v>
      </c>
      <c r="J1315" s="847">
        <v>21171968</v>
      </c>
      <c r="K1315" s="846"/>
      <c r="L1315" s="847"/>
      <c r="M1315" s="846"/>
      <c r="N1315" s="846"/>
      <c r="O1315" s="737">
        <f t="shared" si="167"/>
        <v>0</v>
      </c>
      <c r="P1315" s="847"/>
      <c r="Q1315" s="847"/>
      <c r="R1315" s="738">
        <f t="shared" si="170"/>
        <v>0</v>
      </c>
      <c r="S1315" s="737">
        <f t="shared" si="171"/>
        <v>18461516</v>
      </c>
      <c r="T1315" s="739">
        <f t="shared" si="172"/>
        <v>21171968</v>
      </c>
      <c r="U1315" s="846"/>
      <c r="V1315" s="847"/>
      <c r="W1315" s="846"/>
      <c r="X1315" s="846"/>
      <c r="Y1315" s="740">
        <f t="shared" si="168"/>
        <v>0</v>
      </c>
      <c r="Z1315" s="847"/>
      <c r="AA1315" s="847"/>
      <c r="AB1315" s="741">
        <f t="shared" si="169"/>
        <v>0</v>
      </c>
      <c r="AC1315" s="846"/>
      <c r="AD1315" s="847"/>
      <c r="AE1315" s="846"/>
      <c r="AF1315" s="846"/>
      <c r="AG1315" s="847"/>
      <c r="AH1315" s="847"/>
      <c r="AI1315" s="742">
        <f t="shared" si="173"/>
        <v>18461516</v>
      </c>
      <c r="AJ1315" s="743">
        <f t="shared" si="174"/>
        <v>21171968</v>
      </c>
    </row>
    <row r="1316" spans="1:36">
      <c r="A1316" s="1243" t="s">
        <v>151</v>
      </c>
      <c r="B1316" s="1244" t="s">
        <v>269</v>
      </c>
      <c r="C1316" s="1013" t="s">
        <v>256</v>
      </c>
      <c r="D1316" s="1014"/>
      <c r="E1316" s="1000">
        <v>163286</v>
      </c>
      <c r="F1316" s="1001">
        <v>1</v>
      </c>
      <c r="G1316" s="846"/>
      <c r="H1316" s="847"/>
      <c r="I1316" s="846">
        <v>17960463</v>
      </c>
      <c r="J1316" s="847">
        <v>19866063</v>
      </c>
      <c r="K1316" s="846"/>
      <c r="L1316" s="847"/>
      <c r="M1316" s="846"/>
      <c r="N1316" s="846"/>
      <c r="O1316" s="737">
        <f t="shared" si="167"/>
        <v>0</v>
      </c>
      <c r="P1316" s="847"/>
      <c r="Q1316" s="847"/>
      <c r="R1316" s="738">
        <f t="shared" si="170"/>
        <v>0</v>
      </c>
      <c r="S1316" s="737">
        <f t="shared" si="171"/>
        <v>17960463</v>
      </c>
      <c r="T1316" s="739">
        <f t="shared" si="172"/>
        <v>19866063</v>
      </c>
      <c r="U1316" s="846"/>
      <c r="V1316" s="847"/>
      <c r="W1316" s="846"/>
      <c r="X1316" s="846"/>
      <c r="Y1316" s="740">
        <f t="shared" si="168"/>
        <v>0</v>
      </c>
      <c r="Z1316" s="847"/>
      <c r="AA1316" s="847"/>
      <c r="AB1316" s="741">
        <f t="shared" si="169"/>
        <v>0</v>
      </c>
      <c r="AC1316" s="846"/>
      <c r="AD1316" s="847"/>
      <c r="AE1316" s="846"/>
      <c r="AF1316" s="846"/>
      <c r="AG1316" s="847"/>
      <c r="AH1316" s="847"/>
      <c r="AI1316" s="742">
        <f t="shared" si="173"/>
        <v>17960463</v>
      </c>
      <c r="AJ1316" s="743">
        <f t="shared" si="174"/>
        <v>19866063</v>
      </c>
    </row>
    <row r="1317" spans="1:36">
      <c r="A1317" s="1243" t="s">
        <v>151</v>
      </c>
      <c r="B1317" s="1244" t="s">
        <v>271</v>
      </c>
      <c r="C1317" s="1013" t="s">
        <v>309</v>
      </c>
      <c r="D1317" s="1014"/>
      <c r="E1317" s="1000">
        <v>163286</v>
      </c>
      <c r="F1317" s="1001">
        <v>1</v>
      </c>
      <c r="G1317" s="846"/>
      <c r="H1317" s="847"/>
      <c r="I1317" s="846"/>
      <c r="J1317" s="847"/>
      <c r="K1317" s="846"/>
      <c r="L1317" s="847"/>
      <c r="M1317" s="846"/>
      <c r="N1317" s="846"/>
      <c r="O1317" s="737">
        <f t="shared" si="167"/>
        <v>0</v>
      </c>
      <c r="P1317" s="847"/>
      <c r="Q1317" s="847"/>
      <c r="R1317" s="738">
        <f t="shared" si="170"/>
        <v>0</v>
      </c>
      <c r="S1317" s="737">
        <f t="shared" si="171"/>
        <v>0</v>
      </c>
      <c r="T1317" s="739">
        <f t="shared" si="172"/>
        <v>0</v>
      </c>
      <c r="U1317" s="846"/>
      <c r="V1317" s="847"/>
      <c r="W1317" s="846"/>
      <c r="X1317" s="846"/>
      <c r="Y1317" s="740">
        <f t="shared" si="168"/>
        <v>0</v>
      </c>
      <c r="Z1317" s="847"/>
      <c r="AA1317" s="847"/>
      <c r="AB1317" s="741">
        <f t="shared" si="169"/>
        <v>0</v>
      </c>
      <c r="AC1317" s="846"/>
      <c r="AD1317" s="847"/>
      <c r="AE1317" s="846"/>
      <c r="AF1317" s="846"/>
      <c r="AG1317" s="847"/>
      <c r="AH1317" s="847"/>
      <c r="AI1317" s="742">
        <f t="shared" si="173"/>
        <v>0</v>
      </c>
      <c r="AJ1317" s="743">
        <f t="shared" si="174"/>
        <v>0</v>
      </c>
    </row>
    <row r="1318" spans="1:36">
      <c r="A1318" s="1243" t="s">
        <v>151</v>
      </c>
      <c r="B1318" s="1244" t="s">
        <v>271</v>
      </c>
      <c r="C1318" s="1248" t="s">
        <v>1435</v>
      </c>
      <c r="D1318" s="1014"/>
      <c r="E1318" s="1000">
        <v>163286</v>
      </c>
      <c r="F1318" s="1001">
        <v>1</v>
      </c>
      <c r="G1318" s="846"/>
      <c r="H1318" s="847"/>
      <c r="I1318" s="846">
        <v>20690318</v>
      </c>
      <c r="J1318" s="847">
        <v>22286266</v>
      </c>
      <c r="K1318" s="846"/>
      <c r="L1318" s="847"/>
      <c r="M1318" s="846"/>
      <c r="N1318" s="846"/>
      <c r="O1318" s="737">
        <f t="shared" si="167"/>
        <v>0</v>
      </c>
      <c r="P1318" s="847"/>
      <c r="Q1318" s="847"/>
      <c r="R1318" s="738">
        <f t="shared" si="170"/>
        <v>0</v>
      </c>
      <c r="S1318" s="737">
        <f t="shared" si="171"/>
        <v>20690318</v>
      </c>
      <c r="T1318" s="739">
        <f t="shared" si="172"/>
        <v>22286266</v>
      </c>
      <c r="U1318" s="846"/>
      <c r="V1318" s="847"/>
      <c r="W1318" s="846"/>
      <c r="X1318" s="846"/>
      <c r="Y1318" s="740">
        <f t="shared" si="168"/>
        <v>0</v>
      </c>
      <c r="Z1318" s="847"/>
      <c r="AA1318" s="847"/>
      <c r="AB1318" s="741">
        <f t="shared" si="169"/>
        <v>0</v>
      </c>
      <c r="AC1318" s="846"/>
      <c r="AD1318" s="847"/>
      <c r="AE1318" s="846"/>
      <c r="AF1318" s="846"/>
      <c r="AG1318" s="847"/>
      <c r="AH1318" s="847"/>
      <c r="AI1318" s="742">
        <f t="shared" si="173"/>
        <v>20690318</v>
      </c>
      <c r="AJ1318" s="743">
        <f t="shared" si="174"/>
        <v>22286266</v>
      </c>
    </row>
    <row r="1319" spans="1:36">
      <c r="A1319" s="1243" t="s">
        <v>151</v>
      </c>
      <c r="B1319" s="1244" t="s">
        <v>264</v>
      </c>
      <c r="C1319" s="993" t="s">
        <v>1436</v>
      </c>
      <c r="D1319" s="1249"/>
      <c r="E1319" s="1008">
        <v>163453</v>
      </c>
      <c r="F1319" s="996">
        <v>2</v>
      </c>
      <c r="G1319" s="846">
        <v>79154399</v>
      </c>
      <c r="H1319" s="847">
        <v>86461363</v>
      </c>
      <c r="I1319" s="846"/>
      <c r="J1319" s="847"/>
      <c r="K1319" s="846"/>
      <c r="L1319" s="847"/>
      <c r="M1319" s="846">
        <v>54414089</v>
      </c>
      <c r="N1319" s="846"/>
      <c r="O1319" s="737">
        <f t="shared" si="167"/>
        <v>54414089</v>
      </c>
      <c r="P1319" s="847">
        <v>53801452</v>
      </c>
      <c r="Q1319" s="847"/>
      <c r="R1319" s="738">
        <f t="shared" si="170"/>
        <v>53801452</v>
      </c>
      <c r="S1319" s="737">
        <f t="shared" si="171"/>
        <v>133568488</v>
      </c>
      <c r="T1319" s="739">
        <f t="shared" si="172"/>
        <v>140262815</v>
      </c>
      <c r="U1319" s="846"/>
      <c r="V1319" s="847"/>
      <c r="W1319" s="846"/>
      <c r="X1319" s="846"/>
      <c r="Y1319" s="740">
        <f t="shared" si="168"/>
        <v>0</v>
      </c>
      <c r="Z1319" s="847"/>
      <c r="AA1319" s="847"/>
      <c r="AB1319" s="741">
        <f t="shared" si="169"/>
        <v>0</v>
      </c>
      <c r="AC1319" s="846"/>
      <c r="AD1319" s="847"/>
      <c r="AE1319" s="846"/>
      <c r="AF1319" s="846"/>
      <c r="AG1319" s="847"/>
      <c r="AH1319" s="847"/>
      <c r="AI1319" s="742">
        <f t="shared" si="173"/>
        <v>133568488</v>
      </c>
      <c r="AJ1319" s="743">
        <f t="shared" si="174"/>
        <v>140262815</v>
      </c>
    </row>
    <row r="1320" spans="1:36">
      <c r="A1320" s="1243" t="s">
        <v>151</v>
      </c>
      <c r="B1320" s="1244" t="s">
        <v>264</v>
      </c>
      <c r="C1320" s="1245" t="s">
        <v>1437</v>
      </c>
      <c r="D1320" s="994"/>
      <c r="E1320" s="1008">
        <v>163268</v>
      </c>
      <c r="F1320" s="1009">
        <v>2</v>
      </c>
      <c r="G1320" s="846">
        <v>101693896</v>
      </c>
      <c r="H1320" s="847">
        <v>111746438</v>
      </c>
      <c r="I1320" s="846"/>
      <c r="J1320" s="847"/>
      <c r="K1320" s="846"/>
      <c r="L1320" s="847"/>
      <c r="M1320" s="846">
        <v>116793825</v>
      </c>
      <c r="N1320" s="846"/>
      <c r="O1320" s="737">
        <f t="shared" si="167"/>
        <v>116793825</v>
      </c>
      <c r="P1320" s="847">
        <v>117002045</v>
      </c>
      <c r="Q1320" s="847"/>
      <c r="R1320" s="738">
        <f t="shared" si="170"/>
        <v>117002045</v>
      </c>
      <c r="S1320" s="737">
        <f t="shared" si="171"/>
        <v>218487721</v>
      </c>
      <c r="T1320" s="739">
        <f t="shared" si="172"/>
        <v>228748483</v>
      </c>
      <c r="U1320" s="846"/>
      <c r="V1320" s="847"/>
      <c r="W1320" s="846"/>
      <c r="X1320" s="846"/>
      <c r="Y1320" s="740">
        <f t="shared" si="168"/>
        <v>0</v>
      </c>
      <c r="Z1320" s="847"/>
      <c r="AA1320" s="847"/>
      <c r="AB1320" s="741">
        <f t="shared" si="169"/>
        <v>0</v>
      </c>
      <c r="AC1320" s="846"/>
      <c r="AD1320" s="847"/>
      <c r="AE1320" s="846"/>
      <c r="AF1320" s="846"/>
      <c r="AG1320" s="847"/>
      <c r="AH1320" s="847"/>
      <c r="AI1320" s="742">
        <f t="shared" si="173"/>
        <v>218487721</v>
      </c>
      <c r="AJ1320" s="743">
        <f t="shared" si="174"/>
        <v>228748483</v>
      </c>
    </row>
    <row r="1321" spans="1:36">
      <c r="A1321" s="1243" t="s">
        <v>151</v>
      </c>
      <c r="B1321" s="1244" t="s">
        <v>264</v>
      </c>
      <c r="C1321" s="1245" t="s">
        <v>1438</v>
      </c>
      <c r="D1321" s="994"/>
      <c r="E1321" s="1008">
        <v>164076</v>
      </c>
      <c r="F1321" s="1009">
        <v>3</v>
      </c>
      <c r="G1321" s="846">
        <v>96566963</v>
      </c>
      <c r="H1321" s="847">
        <v>106438718</v>
      </c>
      <c r="I1321" s="846"/>
      <c r="J1321" s="847"/>
      <c r="K1321" s="846"/>
      <c r="L1321" s="847"/>
      <c r="M1321" s="846">
        <v>173268169</v>
      </c>
      <c r="N1321" s="846"/>
      <c r="O1321" s="737">
        <f t="shared" si="167"/>
        <v>173268169</v>
      </c>
      <c r="P1321" s="847">
        <v>177110609</v>
      </c>
      <c r="Q1321" s="847"/>
      <c r="R1321" s="738">
        <f t="shared" si="170"/>
        <v>177110609</v>
      </c>
      <c r="S1321" s="737">
        <f t="shared" si="171"/>
        <v>269835132</v>
      </c>
      <c r="T1321" s="739">
        <f t="shared" si="172"/>
        <v>283549327</v>
      </c>
      <c r="U1321" s="846"/>
      <c r="V1321" s="847"/>
      <c r="W1321" s="846"/>
      <c r="X1321" s="846"/>
      <c r="Y1321" s="740">
        <f t="shared" si="168"/>
        <v>0</v>
      </c>
      <c r="Z1321" s="847"/>
      <c r="AA1321" s="847"/>
      <c r="AB1321" s="741">
        <f t="shared" si="169"/>
        <v>0</v>
      </c>
      <c r="AC1321" s="846"/>
      <c r="AD1321" s="847"/>
      <c r="AE1321" s="846"/>
      <c r="AF1321" s="846"/>
      <c r="AG1321" s="847"/>
      <c r="AH1321" s="847"/>
      <c r="AI1321" s="742">
        <f t="shared" si="173"/>
        <v>269835132</v>
      </c>
      <c r="AJ1321" s="743">
        <f t="shared" si="174"/>
        <v>283549327</v>
      </c>
    </row>
    <row r="1322" spans="1:36">
      <c r="A1322" s="1243" t="s">
        <v>151</v>
      </c>
      <c r="B1322" s="1244" t="s">
        <v>264</v>
      </c>
      <c r="C1322" s="1245" t="s">
        <v>1439</v>
      </c>
      <c r="D1322" s="994"/>
      <c r="E1322" s="1008">
        <v>162007</v>
      </c>
      <c r="F1322" s="1009">
        <v>4</v>
      </c>
      <c r="G1322" s="846">
        <v>38526794</v>
      </c>
      <c r="H1322" s="847">
        <v>41932517</v>
      </c>
      <c r="I1322" s="846"/>
      <c r="J1322" s="847"/>
      <c r="K1322" s="846"/>
      <c r="L1322" s="847"/>
      <c r="M1322" s="846">
        <v>35012005</v>
      </c>
      <c r="N1322" s="846"/>
      <c r="O1322" s="737">
        <f t="shared" si="167"/>
        <v>35012005</v>
      </c>
      <c r="P1322" s="847">
        <v>35190959</v>
      </c>
      <c r="Q1322" s="847"/>
      <c r="R1322" s="738">
        <f t="shared" si="170"/>
        <v>35190959</v>
      </c>
      <c r="S1322" s="737">
        <f t="shared" si="171"/>
        <v>73538799</v>
      </c>
      <c r="T1322" s="739">
        <f t="shared" si="172"/>
        <v>77123476</v>
      </c>
      <c r="U1322" s="846"/>
      <c r="V1322" s="847"/>
      <c r="W1322" s="846"/>
      <c r="X1322" s="846"/>
      <c r="Y1322" s="740">
        <f t="shared" si="168"/>
        <v>0</v>
      </c>
      <c r="Z1322" s="847"/>
      <c r="AA1322" s="847"/>
      <c r="AB1322" s="741">
        <f t="shared" si="169"/>
        <v>0</v>
      </c>
      <c r="AC1322" s="846"/>
      <c r="AD1322" s="847"/>
      <c r="AE1322" s="846"/>
      <c r="AF1322" s="846"/>
      <c r="AG1322" s="847"/>
      <c r="AH1322" s="847"/>
      <c r="AI1322" s="742">
        <f t="shared" si="173"/>
        <v>73538799</v>
      </c>
      <c r="AJ1322" s="743">
        <f t="shared" si="174"/>
        <v>77123476</v>
      </c>
    </row>
    <row r="1323" spans="1:36">
      <c r="A1323" s="1243" t="s">
        <v>151</v>
      </c>
      <c r="B1323" s="1244" t="s">
        <v>264</v>
      </c>
      <c r="C1323" s="1245" t="s">
        <v>1440</v>
      </c>
      <c r="D1323" s="994"/>
      <c r="E1323" s="1008">
        <v>162584</v>
      </c>
      <c r="F1323" s="1009">
        <v>4</v>
      </c>
      <c r="G1323" s="846">
        <v>35471678</v>
      </c>
      <c r="H1323" s="847">
        <v>38633340</v>
      </c>
      <c r="I1323" s="846"/>
      <c r="J1323" s="847"/>
      <c r="K1323" s="846"/>
      <c r="L1323" s="847"/>
      <c r="M1323" s="846">
        <v>34552770</v>
      </c>
      <c r="N1323" s="846"/>
      <c r="O1323" s="737">
        <f t="shared" si="167"/>
        <v>34552770</v>
      </c>
      <c r="P1323" s="847">
        <v>35150472</v>
      </c>
      <c r="Q1323" s="847"/>
      <c r="R1323" s="738">
        <f t="shared" si="170"/>
        <v>35150472</v>
      </c>
      <c r="S1323" s="737">
        <f t="shared" si="171"/>
        <v>70024448</v>
      </c>
      <c r="T1323" s="739">
        <f t="shared" si="172"/>
        <v>73783812</v>
      </c>
      <c r="U1323" s="846"/>
      <c r="V1323" s="847"/>
      <c r="W1323" s="846"/>
      <c r="X1323" s="846"/>
      <c r="Y1323" s="740">
        <f t="shared" si="168"/>
        <v>0</v>
      </c>
      <c r="Z1323" s="847"/>
      <c r="AA1323" s="847"/>
      <c r="AB1323" s="741">
        <f t="shared" si="169"/>
        <v>0</v>
      </c>
      <c r="AC1323" s="846"/>
      <c r="AD1323" s="847"/>
      <c r="AE1323" s="846"/>
      <c r="AF1323" s="846"/>
      <c r="AG1323" s="847"/>
      <c r="AH1323" s="847"/>
      <c r="AI1323" s="742">
        <f t="shared" si="173"/>
        <v>70024448</v>
      </c>
      <c r="AJ1323" s="743">
        <f t="shared" si="174"/>
        <v>73783812</v>
      </c>
    </row>
    <row r="1324" spans="1:36">
      <c r="A1324" s="1243" t="s">
        <v>151</v>
      </c>
      <c r="B1324" s="1244" t="s">
        <v>264</v>
      </c>
      <c r="C1324" s="1245" t="s">
        <v>1441</v>
      </c>
      <c r="D1324" s="994"/>
      <c r="E1324" s="1008">
        <v>163851</v>
      </c>
      <c r="F1324" s="1009">
        <v>4</v>
      </c>
      <c r="G1324" s="846">
        <v>41820418</v>
      </c>
      <c r="H1324" s="847">
        <v>46401553</v>
      </c>
      <c r="I1324" s="846"/>
      <c r="J1324" s="847"/>
      <c r="K1324" s="846"/>
      <c r="L1324" s="847"/>
      <c r="M1324" s="846">
        <v>66800036</v>
      </c>
      <c r="N1324" s="846"/>
      <c r="O1324" s="737">
        <f t="shared" si="167"/>
        <v>66800036</v>
      </c>
      <c r="P1324" s="847">
        <v>68618776</v>
      </c>
      <c r="Q1324" s="847"/>
      <c r="R1324" s="738">
        <f t="shared" si="170"/>
        <v>68618776</v>
      </c>
      <c r="S1324" s="737">
        <f t="shared" si="171"/>
        <v>108620454</v>
      </c>
      <c r="T1324" s="739">
        <f t="shared" si="172"/>
        <v>115020329</v>
      </c>
      <c r="U1324" s="846"/>
      <c r="V1324" s="847"/>
      <c r="W1324" s="846"/>
      <c r="X1324" s="846"/>
      <c r="Y1324" s="740">
        <f t="shared" si="168"/>
        <v>0</v>
      </c>
      <c r="Z1324" s="847"/>
      <c r="AA1324" s="847"/>
      <c r="AB1324" s="741">
        <f t="shared" si="169"/>
        <v>0</v>
      </c>
      <c r="AC1324" s="846"/>
      <c r="AD1324" s="847"/>
      <c r="AE1324" s="846"/>
      <c r="AF1324" s="846"/>
      <c r="AG1324" s="847"/>
      <c r="AH1324" s="847"/>
      <c r="AI1324" s="742">
        <f t="shared" si="173"/>
        <v>108620454</v>
      </c>
      <c r="AJ1324" s="743">
        <f t="shared" si="174"/>
        <v>115020329</v>
      </c>
    </row>
    <row r="1325" spans="1:36">
      <c r="A1325" s="1243" t="s">
        <v>151</v>
      </c>
      <c r="B1325" s="1244" t="s">
        <v>264</v>
      </c>
      <c r="C1325" s="1245" t="s">
        <v>1442</v>
      </c>
      <c r="D1325" s="994" t="s">
        <v>709</v>
      </c>
      <c r="E1325" s="1008">
        <v>161873</v>
      </c>
      <c r="F1325" s="1009">
        <v>4</v>
      </c>
      <c r="G1325" s="846">
        <v>32059021</v>
      </c>
      <c r="H1325" s="847">
        <v>34554391</v>
      </c>
      <c r="I1325" s="846"/>
      <c r="J1325" s="847"/>
      <c r="K1325" s="846"/>
      <c r="L1325" s="847"/>
      <c r="M1325" s="846">
        <v>66277985</v>
      </c>
      <c r="N1325" s="846"/>
      <c r="O1325" s="737">
        <f t="shared" si="167"/>
        <v>66277985</v>
      </c>
      <c r="P1325" s="847">
        <v>69242164</v>
      </c>
      <c r="Q1325" s="847"/>
      <c r="R1325" s="738">
        <f t="shared" si="170"/>
        <v>69242164</v>
      </c>
      <c r="S1325" s="737">
        <f t="shared" si="171"/>
        <v>98337006</v>
      </c>
      <c r="T1325" s="739">
        <f t="shared" si="172"/>
        <v>103796555</v>
      </c>
      <c r="U1325" s="846"/>
      <c r="V1325" s="847"/>
      <c r="W1325" s="846"/>
      <c r="X1325" s="846"/>
      <c r="Y1325" s="740">
        <f t="shared" si="168"/>
        <v>0</v>
      </c>
      <c r="Z1325" s="847"/>
      <c r="AA1325" s="847"/>
      <c r="AB1325" s="741">
        <f t="shared" si="169"/>
        <v>0</v>
      </c>
      <c r="AC1325" s="846"/>
      <c r="AD1325" s="847"/>
      <c r="AE1325" s="846"/>
      <c r="AF1325" s="846"/>
      <c r="AG1325" s="847"/>
      <c r="AH1325" s="847"/>
      <c r="AI1325" s="742">
        <f t="shared" si="173"/>
        <v>98337006</v>
      </c>
      <c r="AJ1325" s="743">
        <f t="shared" si="174"/>
        <v>103796555</v>
      </c>
    </row>
    <row r="1326" spans="1:36">
      <c r="A1326" s="1243" t="s">
        <v>151</v>
      </c>
      <c r="B1326" s="1244" t="s">
        <v>264</v>
      </c>
      <c r="C1326" s="1245" t="s">
        <v>1443</v>
      </c>
      <c r="D1326" s="994"/>
      <c r="E1326" s="1008">
        <v>163338</v>
      </c>
      <c r="F1326" s="1009">
        <v>4</v>
      </c>
      <c r="G1326" s="846">
        <v>34933382</v>
      </c>
      <c r="H1326" s="847">
        <v>37832763</v>
      </c>
      <c r="I1326" s="846"/>
      <c r="J1326" s="847"/>
      <c r="K1326" s="846"/>
      <c r="L1326" s="847"/>
      <c r="M1326" s="846">
        <v>30511890</v>
      </c>
      <c r="N1326" s="846"/>
      <c r="O1326" s="737">
        <f t="shared" si="167"/>
        <v>30511890</v>
      </c>
      <c r="P1326" s="847">
        <v>33864925</v>
      </c>
      <c r="Q1326" s="847"/>
      <c r="R1326" s="738">
        <f t="shared" si="170"/>
        <v>33864925</v>
      </c>
      <c r="S1326" s="737">
        <f t="shared" si="171"/>
        <v>65445272</v>
      </c>
      <c r="T1326" s="739">
        <f t="shared" si="172"/>
        <v>71697688</v>
      </c>
      <c r="U1326" s="846"/>
      <c r="V1326" s="847"/>
      <c r="W1326" s="846"/>
      <c r="X1326" s="846"/>
      <c r="Y1326" s="740">
        <f t="shared" si="168"/>
        <v>0</v>
      </c>
      <c r="Z1326" s="847"/>
      <c r="AA1326" s="847"/>
      <c r="AB1326" s="741">
        <f t="shared" si="169"/>
        <v>0</v>
      </c>
      <c r="AC1326" s="846"/>
      <c r="AD1326" s="847"/>
      <c r="AE1326" s="846"/>
      <c r="AF1326" s="846"/>
      <c r="AG1326" s="847"/>
      <c r="AH1326" s="847"/>
      <c r="AI1326" s="742">
        <f t="shared" si="173"/>
        <v>65445272</v>
      </c>
      <c r="AJ1326" s="743">
        <f t="shared" si="174"/>
        <v>71697688</v>
      </c>
    </row>
    <row r="1327" spans="1:36">
      <c r="A1327" s="1243" t="s">
        <v>151</v>
      </c>
      <c r="B1327" s="1244" t="s">
        <v>264</v>
      </c>
      <c r="C1327" s="993" t="s">
        <v>1444</v>
      </c>
      <c r="D1327" s="994"/>
      <c r="E1327" s="1008">
        <v>162283</v>
      </c>
      <c r="F1327" s="1009">
        <v>5</v>
      </c>
      <c r="G1327" s="846">
        <v>40735563</v>
      </c>
      <c r="H1327" s="847">
        <v>43738571</v>
      </c>
      <c r="I1327" s="846"/>
      <c r="J1327" s="847"/>
      <c r="K1327" s="846"/>
      <c r="L1327" s="847"/>
      <c r="M1327" s="846">
        <v>16461784</v>
      </c>
      <c r="N1327" s="846"/>
      <c r="O1327" s="737">
        <f t="shared" si="167"/>
        <v>16461784</v>
      </c>
      <c r="P1327" s="847">
        <v>16664769</v>
      </c>
      <c r="Q1327" s="847"/>
      <c r="R1327" s="738">
        <f t="shared" si="170"/>
        <v>16664769</v>
      </c>
      <c r="S1327" s="737">
        <f t="shared" si="171"/>
        <v>57197347</v>
      </c>
      <c r="T1327" s="739">
        <f t="shared" si="172"/>
        <v>60403340</v>
      </c>
      <c r="U1327" s="846"/>
      <c r="V1327" s="847"/>
      <c r="W1327" s="846"/>
      <c r="X1327" s="846"/>
      <c r="Y1327" s="740">
        <f t="shared" si="168"/>
        <v>0</v>
      </c>
      <c r="Z1327" s="847"/>
      <c r="AA1327" s="847"/>
      <c r="AB1327" s="741">
        <f t="shared" si="169"/>
        <v>0</v>
      </c>
      <c r="AC1327" s="846"/>
      <c r="AD1327" s="847"/>
      <c r="AE1327" s="846"/>
      <c r="AF1327" s="846"/>
      <c r="AG1327" s="847"/>
      <c r="AH1327" s="847"/>
      <c r="AI1327" s="742">
        <f t="shared" si="173"/>
        <v>57197347</v>
      </c>
      <c r="AJ1327" s="743">
        <f t="shared" si="174"/>
        <v>60403340</v>
      </c>
    </row>
    <row r="1328" spans="1:36">
      <c r="A1328" s="1243" t="s">
        <v>151</v>
      </c>
      <c r="B1328" s="1244" t="s">
        <v>264</v>
      </c>
      <c r="C1328" s="993" t="s">
        <v>1445</v>
      </c>
      <c r="D1328" s="994"/>
      <c r="E1328" s="1008">
        <v>163912</v>
      </c>
      <c r="F1328" s="1009">
        <v>6</v>
      </c>
      <c r="G1328" s="846">
        <v>19842642</v>
      </c>
      <c r="H1328" s="847">
        <v>22748058</v>
      </c>
      <c r="I1328" s="846"/>
      <c r="J1328" s="847"/>
      <c r="K1328" s="846"/>
      <c r="L1328" s="847"/>
      <c r="M1328" s="846">
        <v>28236502</v>
      </c>
      <c r="N1328" s="846"/>
      <c r="O1328" s="737">
        <f t="shared" si="167"/>
        <v>28236502</v>
      </c>
      <c r="P1328" s="847">
        <v>25081307</v>
      </c>
      <c r="Q1328" s="847"/>
      <c r="R1328" s="738">
        <f t="shared" si="170"/>
        <v>25081307</v>
      </c>
      <c r="S1328" s="737">
        <f t="shared" si="171"/>
        <v>48079144</v>
      </c>
      <c r="T1328" s="739">
        <f t="shared" si="172"/>
        <v>47829365</v>
      </c>
      <c r="U1328" s="846"/>
      <c r="V1328" s="847"/>
      <c r="W1328" s="846"/>
      <c r="X1328" s="846"/>
      <c r="Y1328" s="740">
        <f t="shared" si="168"/>
        <v>0</v>
      </c>
      <c r="Z1328" s="847"/>
      <c r="AA1328" s="847"/>
      <c r="AB1328" s="741">
        <f t="shared" si="169"/>
        <v>0</v>
      </c>
      <c r="AC1328" s="846"/>
      <c r="AD1328" s="847"/>
      <c r="AE1328" s="846"/>
      <c r="AF1328" s="846"/>
      <c r="AG1328" s="847"/>
      <c r="AH1328" s="847"/>
      <c r="AI1328" s="742">
        <f t="shared" si="173"/>
        <v>48079144</v>
      </c>
      <c r="AJ1328" s="743">
        <f t="shared" si="174"/>
        <v>47829365</v>
      </c>
    </row>
    <row r="1329" spans="1:36">
      <c r="A1329" s="1243" t="s">
        <v>151</v>
      </c>
      <c r="B1329" s="1244" t="s">
        <v>264</v>
      </c>
      <c r="C1329" s="1245" t="s">
        <v>1446</v>
      </c>
      <c r="D1329" s="994"/>
      <c r="E1329" s="1008">
        <v>161767</v>
      </c>
      <c r="F1329" s="996">
        <v>8</v>
      </c>
      <c r="G1329" s="846">
        <v>28108493</v>
      </c>
      <c r="H1329" s="847">
        <v>28715483</v>
      </c>
      <c r="I1329" s="846"/>
      <c r="J1329" s="847"/>
      <c r="K1329" s="846">
        <v>35137700</v>
      </c>
      <c r="L1329" s="847">
        <v>37637700</v>
      </c>
      <c r="M1329" s="846">
        <v>43184164</v>
      </c>
      <c r="N1329" s="846"/>
      <c r="O1329" s="737">
        <f t="shared" si="167"/>
        <v>43184164</v>
      </c>
      <c r="P1329" s="847">
        <v>42566000</v>
      </c>
      <c r="Q1329" s="847"/>
      <c r="R1329" s="738">
        <f t="shared" si="170"/>
        <v>42566000</v>
      </c>
      <c r="S1329" s="737">
        <f t="shared" si="171"/>
        <v>106430357</v>
      </c>
      <c r="T1329" s="739">
        <f t="shared" si="172"/>
        <v>108919183</v>
      </c>
      <c r="U1329" s="846"/>
      <c r="V1329" s="847"/>
      <c r="W1329" s="846"/>
      <c r="X1329" s="846"/>
      <c r="Y1329" s="740">
        <f t="shared" si="168"/>
        <v>0</v>
      </c>
      <c r="Z1329" s="847"/>
      <c r="AA1329" s="847"/>
      <c r="AB1329" s="741">
        <f t="shared" si="169"/>
        <v>0</v>
      </c>
      <c r="AC1329" s="846"/>
      <c r="AD1329" s="847"/>
      <c r="AE1329" s="846"/>
      <c r="AF1329" s="846"/>
      <c r="AG1329" s="847"/>
      <c r="AH1329" s="847"/>
      <c r="AI1329" s="742">
        <f t="shared" si="173"/>
        <v>106430357</v>
      </c>
      <c r="AJ1329" s="743">
        <f t="shared" si="174"/>
        <v>108919183</v>
      </c>
    </row>
    <row r="1330" spans="1:36">
      <c r="A1330" s="1243" t="s">
        <v>151</v>
      </c>
      <c r="B1330" s="1244" t="s">
        <v>264</v>
      </c>
      <c r="C1330" s="993" t="s">
        <v>1447</v>
      </c>
      <c r="D1330" s="1249"/>
      <c r="E1330" s="1008">
        <v>162122</v>
      </c>
      <c r="F1330" s="996">
        <v>8</v>
      </c>
      <c r="G1330" s="846">
        <v>12088572</v>
      </c>
      <c r="H1330" s="847">
        <v>12676778</v>
      </c>
      <c r="I1330" s="846"/>
      <c r="J1330" s="847"/>
      <c r="K1330" s="846">
        <v>17549315</v>
      </c>
      <c r="L1330" s="847">
        <v>17884025</v>
      </c>
      <c r="M1330" s="846">
        <v>31103032</v>
      </c>
      <c r="N1330" s="846"/>
      <c r="O1330" s="737">
        <f t="shared" si="167"/>
        <v>31103032</v>
      </c>
      <c r="P1330" s="847">
        <v>30584293</v>
      </c>
      <c r="Q1330" s="847"/>
      <c r="R1330" s="738">
        <f t="shared" si="170"/>
        <v>30584293</v>
      </c>
      <c r="S1330" s="737">
        <f t="shared" si="171"/>
        <v>60740919</v>
      </c>
      <c r="T1330" s="739">
        <f t="shared" si="172"/>
        <v>61145096</v>
      </c>
      <c r="U1330" s="846"/>
      <c r="V1330" s="847"/>
      <c r="W1330" s="846"/>
      <c r="X1330" s="846"/>
      <c r="Y1330" s="740">
        <f t="shared" si="168"/>
        <v>0</v>
      </c>
      <c r="Z1330" s="847"/>
      <c r="AA1330" s="847"/>
      <c r="AB1330" s="741">
        <f t="shared" si="169"/>
        <v>0</v>
      </c>
      <c r="AC1330" s="846"/>
      <c r="AD1330" s="847"/>
      <c r="AE1330" s="846"/>
      <c r="AF1330" s="846"/>
      <c r="AG1330" s="847"/>
      <c r="AH1330" s="847"/>
      <c r="AI1330" s="742">
        <f t="shared" si="173"/>
        <v>60740919</v>
      </c>
      <c r="AJ1330" s="743">
        <f t="shared" si="174"/>
        <v>61145096</v>
      </c>
    </row>
    <row r="1331" spans="1:36">
      <c r="A1331" s="1243" t="s">
        <v>151</v>
      </c>
      <c r="B1331" s="1244" t="s">
        <v>264</v>
      </c>
      <c r="C1331" s="1245" t="s">
        <v>1448</v>
      </c>
      <c r="D1331" s="994"/>
      <c r="E1331" s="1008">
        <v>434672</v>
      </c>
      <c r="F1331" s="996">
        <v>8</v>
      </c>
      <c r="G1331" s="846">
        <v>37412633</v>
      </c>
      <c r="H1331" s="847">
        <v>38418817</v>
      </c>
      <c r="I1331" s="846"/>
      <c r="J1331" s="847"/>
      <c r="K1331" s="846">
        <v>38462795</v>
      </c>
      <c r="L1331" s="847">
        <v>39362513</v>
      </c>
      <c r="M1331" s="846">
        <v>81539587</v>
      </c>
      <c r="N1331" s="846"/>
      <c r="O1331" s="737">
        <f t="shared" si="167"/>
        <v>81539587</v>
      </c>
      <c r="P1331" s="847">
        <v>85101148</v>
      </c>
      <c r="Q1331" s="847"/>
      <c r="R1331" s="738">
        <f t="shared" si="170"/>
        <v>85101148</v>
      </c>
      <c r="S1331" s="737">
        <f t="shared" si="171"/>
        <v>157415015</v>
      </c>
      <c r="T1331" s="739">
        <f t="shared" si="172"/>
        <v>162882478</v>
      </c>
      <c r="U1331" s="846"/>
      <c r="V1331" s="847"/>
      <c r="W1331" s="846"/>
      <c r="X1331" s="846"/>
      <c r="Y1331" s="740">
        <f t="shared" si="168"/>
        <v>0</v>
      </c>
      <c r="Z1331" s="847"/>
      <c r="AA1331" s="847"/>
      <c r="AB1331" s="741">
        <f t="shared" si="169"/>
        <v>0</v>
      </c>
      <c r="AC1331" s="846"/>
      <c r="AD1331" s="847"/>
      <c r="AE1331" s="846"/>
      <c r="AF1331" s="846"/>
      <c r="AG1331" s="847"/>
      <c r="AH1331" s="847"/>
      <c r="AI1331" s="742">
        <f t="shared" si="173"/>
        <v>157415015</v>
      </c>
      <c r="AJ1331" s="743">
        <f t="shared" si="174"/>
        <v>162882478</v>
      </c>
    </row>
    <row r="1332" spans="1:36">
      <c r="A1332" s="1243" t="s">
        <v>151</v>
      </c>
      <c r="B1332" s="1244" t="s">
        <v>264</v>
      </c>
      <c r="C1332" s="993" t="s">
        <v>1449</v>
      </c>
      <c r="D1332" s="1249"/>
      <c r="E1332" s="1008">
        <v>162779</v>
      </c>
      <c r="F1332" s="996">
        <v>8</v>
      </c>
      <c r="G1332" s="846">
        <v>14073509</v>
      </c>
      <c r="H1332" s="847">
        <v>14772181</v>
      </c>
      <c r="I1332" s="846"/>
      <c r="J1332" s="847"/>
      <c r="K1332" s="846">
        <v>29131683</v>
      </c>
      <c r="L1332" s="847">
        <v>31000287</v>
      </c>
      <c r="M1332" s="846">
        <v>37906718</v>
      </c>
      <c r="N1332" s="846"/>
      <c r="O1332" s="737">
        <f t="shared" si="167"/>
        <v>37906718</v>
      </c>
      <c r="P1332" s="847">
        <v>42225243</v>
      </c>
      <c r="Q1332" s="847"/>
      <c r="R1332" s="738">
        <f t="shared" si="170"/>
        <v>42225243</v>
      </c>
      <c r="S1332" s="737">
        <f t="shared" si="171"/>
        <v>81111910</v>
      </c>
      <c r="T1332" s="739">
        <f t="shared" si="172"/>
        <v>87997711</v>
      </c>
      <c r="U1332" s="846"/>
      <c r="V1332" s="847"/>
      <c r="W1332" s="846"/>
      <c r="X1332" s="846"/>
      <c r="Y1332" s="740">
        <f t="shared" si="168"/>
        <v>0</v>
      </c>
      <c r="Z1332" s="847"/>
      <c r="AA1332" s="847"/>
      <c r="AB1332" s="741">
        <f t="shared" si="169"/>
        <v>0</v>
      </c>
      <c r="AC1332" s="846"/>
      <c r="AD1332" s="847"/>
      <c r="AE1332" s="846"/>
      <c r="AF1332" s="846"/>
      <c r="AG1332" s="847"/>
      <c r="AH1332" s="847"/>
      <c r="AI1332" s="742">
        <f t="shared" si="173"/>
        <v>81111910</v>
      </c>
      <c r="AJ1332" s="743">
        <f t="shared" si="174"/>
        <v>87997711</v>
      </c>
    </row>
    <row r="1333" spans="1:36">
      <c r="A1333" s="1243" t="s">
        <v>151</v>
      </c>
      <c r="B1333" s="1244" t="s">
        <v>264</v>
      </c>
      <c r="C1333" s="1245" t="s">
        <v>1450</v>
      </c>
      <c r="D1333" s="994"/>
      <c r="E1333" s="1008">
        <v>163426</v>
      </c>
      <c r="F1333" s="996">
        <v>8</v>
      </c>
      <c r="G1333" s="846">
        <v>37835547</v>
      </c>
      <c r="H1333" s="847">
        <v>39344241</v>
      </c>
      <c r="I1333" s="846"/>
      <c r="J1333" s="847"/>
      <c r="K1333" s="846">
        <v>100529527</v>
      </c>
      <c r="L1333" s="847">
        <v>118413727</v>
      </c>
      <c r="M1333" s="846">
        <v>88655706</v>
      </c>
      <c r="N1333" s="846"/>
      <c r="O1333" s="737">
        <f t="shared" si="167"/>
        <v>88655706</v>
      </c>
      <c r="P1333" s="847">
        <v>93310041</v>
      </c>
      <c r="Q1333" s="847"/>
      <c r="R1333" s="738">
        <f t="shared" si="170"/>
        <v>93310041</v>
      </c>
      <c r="S1333" s="737">
        <f t="shared" si="171"/>
        <v>227020780</v>
      </c>
      <c r="T1333" s="739">
        <f t="shared" si="172"/>
        <v>251068009</v>
      </c>
      <c r="U1333" s="846"/>
      <c r="V1333" s="847"/>
      <c r="W1333" s="846"/>
      <c r="X1333" s="846"/>
      <c r="Y1333" s="740">
        <f t="shared" si="168"/>
        <v>0</v>
      </c>
      <c r="Z1333" s="847"/>
      <c r="AA1333" s="847"/>
      <c r="AB1333" s="741">
        <f t="shared" si="169"/>
        <v>0</v>
      </c>
      <c r="AC1333" s="846"/>
      <c r="AD1333" s="847"/>
      <c r="AE1333" s="846"/>
      <c r="AF1333" s="846"/>
      <c r="AG1333" s="847"/>
      <c r="AH1333" s="847"/>
      <c r="AI1333" s="742">
        <f t="shared" si="173"/>
        <v>227020780</v>
      </c>
      <c r="AJ1333" s="743">
        <f t="shared" si="174"/>
        <v>251068009</v>
      </c>
    </row>
    <row r="1334" spans="1:36">
      <c r="A1334" s="1243" t="s">
        <v>151</v>
      </c>
      <c r="B1334" s="1244" t="s">
        <v>264</v>
      </c>
      <c r="C1334" s="1245" t="s">
        <v>1451</v>
      </c>
      <c r="D1334" s="994"/>
      <c r="E1334" s="1008">
        <v>163657</v>
      </c>
      <c r="F1334" s="996">
        <v>8</v>
      </c>
      <c r="G1334" s="846">
        <v>24412144</v>
      </c>
      <c r="H1334" s="847">
        <v>25210654</v>
      </c>
      <c r="I1334" s="846"/>
      <c r="J1334" s="847"/>
      <c r="K1334" s="846">
        <v>29131683</v>
      </c>
      <c r="L1334" s="847">
        <v>34345300</v>
      </c>
      <c r="M1334" s="846">
        <v>42586740</v>
      </c>
      <c r="N1334" s="846"/>
      <c r="O1334" s="737">
        <f t="shared" si="167"/>
        <v>42586740</v>
      </c>
      <c r="P1334" s="847">
        <v>43657436</v>
      </c>
      <c r="Q1334" s="847"/>
      <c r="R1334" s="738">
        <f t="shared" si="170"/>
        <v>43657436</v>
      </c>
      <c r="S1334" s="737">
        <f t="shared" si="171"/>
        <v>96130567</v>
      </c>
      <c r="T1334" s="739">
        <f t="shared" si="172"/>
        <v>103213390</v>
      </c>
      <c r="U1334" s="846"/>
      <c r="V1334" s="847"/>
      <c r="W1334" s="846"/>
      <c r="X1334" s="846"/>
      <c r="Y1334" s="740">
        <f t="shared" si="168"/>
        <v>0</v>
      </c>
      <c r="Z1334" s="847"/>
      <c r="AA1334" s="847"/>
      <c r="AB1334" s="741">
        <f t="shared" si="169"/>
        <v>0</v>
      </c>
      <c r="AC1334" s="846"/>
      <c r="AD1334" s="847"/>
      <c r="AE1334" s="846"/>
      <c r="AF1334" s="846"/>
      <c r="AG1334" s="847"/>
      <c r="AH1334" s="847"/>
      <c r="AI1334" s="742">
        <f t="shared" si="173"/>
        <v>96130567</v>
      </c>
      <c r="AJ1334" s="743">
        <f t="shared" si="174"/>
        <v>103213390</v>
      </c>
    </row>
    <row r="1335" spans="1:36">
      <c r="A1335" s="1243" t="s">
        <v>151</v>
      </c>
      <c r="B1335" s="1244" t="s">
        <v>264</v>
      </c>
      <c r="C1335" s="1245" t="s">
        <v>1452</v>
      </c>
      <c r="D1335" s="994"/>
      <c r="E1335" s="1250">
        <v>161688</v>
      </c>
      <c r="F1335" s="1251">
        <v>9</v>
      </c>
      <c r="G1335" s="846">
        <v>4773622</v>
      </c>
      <c r="H1335" s="847">
        <v>4850443</v>
      </c>
      <c r="I1335" s="846"/>
      <c r="J1335" s="847"/>
      <c r="K1335" s="846">
        <v>7555000</v>
      </c>
      <c r="L1335" s="847">
        <v>7555000</v>
      </c>
      <c r="M1335" s="846">
        <v>13765230</v>
      </c>
      <c r="N1335" s="846"/>
      <c r="O1335" s="737">
        <f t="shared" si="167"/>
        <v>13765230</v>
      </c>
      <c r="P1335" s="847">
        <v>14160764</v>
      </c>
      <c r="Q1335" s="847"/>
      <c r="R1335" s="738">
        <f t="shared" si="170"/>
        <v>14160764</v>
      </c>
      <c r="S1335" s="737">
        <f t="shared" si="171"/>
        <v>26093852</v>
      </c>
      <c r="T1335" s="739">
        <f t="shared" si="172"/>
        <v>26566207</v>
      </c>
      <c r="U1335" s="846"/>
      <c r="V1335" s="847"/>
      <c r="W1335" s="846"/>
      <c r="X1335" s="846"/>
      <c r="Y1335" s="740">
        <f t="shared" si="168"/>
        <v>0</v>
      </c>
      <c r="Z1335" s="847"/>
      <c r="AA1335" s="847"/>
      <c r="AB1335" s="741">
        <f t="shared" si="169"/>
        <v>0</v>
      </c>
      <c r="AC1335" s="846"/>
      <c r="AD1335" s="847"/>
      <c r="AE1335" s="846"/>
      <c r="AF1335" s="846"/>
      <c r="AG1335" s="847"/>
      <c r="AH1335" s="847"/>
      <c r="AI1335" s="742">
        <f t="shared" si="173"/>
        <v>26093852</v>
      </c>
      <c r="AJ1335" s="743">
        <f t="shared" si="174"/>
        <v>26566207</v>
      </c>
    </row>
    <row r="1336" spans="1:36">
      <c r="A1336" s="1243" t="s">
        <v>151</v>
      </c>
      <c r="B1336" s="1244" t="s">
        <v>264</v>
      </c>
      <c r="C1336" s="1245" t="s">
        <v>1453</v>
      </c>
      <c r="D1336" s="994"/>
      <c r="E1336" s="1008">
        <v>161864</v>
      </c>
      <c r="F1336" s="996">
        <v>9</v>
      </c>
      <c r="G1336" s="846">
        <v>42170243</v>
      </c>
      <c r="H1336" s="847">
        <v>41335121</v>
      </c>
      <c r="I1336" s="846"/>
      <c r="J1336" s="847"/>
      <c r="K1336" s="846">
        <v>200000</v>
      </c>
      <c r="L1336" s="847">
        <v>0</v>
      </c>
      <c r="M1336" s="846">
        <v>11990405</v>
      </c>
      <c r="N1336" s="846"/>
      <c r="O1336" s="737">
        <f t="shared" si="167"/>
        <v>11990405</v>
      </c>
      <c r="P1336" s="847">
        <v>13125313</v>
      </c>
      <c r="Q1336" s="847"/>
      <c r="R1336" s="738">
        <f t="shared" si="170"/>
        <v>13125313</v>
      </c>
      <c r="S1336" s="737">
        <f t="shared" si="171"/>
        <v>54360648</v>
      </c>
      <c r="T1336" s="739">
        <f t="shared" si="172"/>
        <v>54460434</v>
      </c>
      <c r="U1336" s="846"/>
      <c r="V1336" s="847"/>
      <c r="W1336" s="846"/>
      <c r="X1336" s="846"/>
      <c r="Y1336" s="740">
        <f t="shared" si="168"/>
        <v>0</v>
      </c>
      <c r="Z1336" s="847"/>
      <c r="AA1336" s="847"/>
      <c r="AB1336" s="741">
        <f t="shared" si="169"/>
        <v>0</v>
      </c>
      <c r="AC1336" s="846"/>
      <c r="AD1336" s="847"/>
      <c r="AE1336" s="846"/>
      <c r="AF1336" s="846"/>
      <c r="AG1336" s="847"/>
      <c r="AH1336" s="847"/>
      <c r="AI1336" s="742">
        <f t="shared" si="173"/>
        <v>54360648</v>
      </c>
      <c r="AJ1336" s="743">
        <f t="shared" si="174"/>
        <v>54460434</v>
      </c>
    </row>
    <row r="1337" spans="1:36">
      <c r="A1337" s="1243" t="s">
        <v>151</v>
      </c>
      <c r="B1337" s="1244" t="s">
        <v>264</v>
      </c>
      <c r="C1337" s="1252" t="s">
        <v>1454</v>
      </c>
      <c r="D1337" s="1253"/>
      <c r="E1337" s="1254">
        <v>405872</v>
      </c>
      <c r="F1337" s="996">
        <v>9</v>
      </c>
      <c r="G1337" s="846">
        <v>7119212</v>
      </c>
      <c r="H1337" s="847">
        <v>7345653</v>
      </c>
      <c r="I1337" s="846"/>
      <c r="J1337" s="847"/>
      <c r="K1337" s="846">
        <v>9059436</v>
      </c>
      <c r="L1337" s="847">
        <v>9315270</v>
      </c>
      <c r="M1337" s="846">
        <v>12375599</v>
      </c>
      <c r="N1337" s="846"/>
      <c r="O1337" s="737">
        <f t="shared" si="167"/>
        <v>12375599</v>
      </c>
      <c r="P1337" s="847">
        <v>12812298</v>
      </c>
      <c r="Q1337" s="847"/>
      <c r="R1337" s="738">
        <f t="shared" si="170"/>
        <v>12812298</v>
      </c>
      <c r="S1337" s="737">
        <f t="shared" si="171"/>
        <v>28554247</v>
      </c>
      <c r="T1337" s="739">
        <f t="shared" si="172"/>
        <v>29473221</v>
      </c>
      <c r="U1337" s="846"/>
      <c r="V1337" s="847"/>
      <c r="W1337" s="846"/>
      <c r="X1337" s="846"/>
      <c r="Y1337" s="740">
        <f t="shared" si="168"/>
        <v>0</v>
      </c>
      <c r="Z1337" s="847"/>
      <c r="AA1337" s="847"/>
      <c r="AB1337" s="741">
        <f t="shared" si="169"/>
        <v>0</v>
      </c>
      <c r="AC1337" s="846"/>
      <c r="AD1337" s="847"/>
      <c r="AE1337" s="846"/>
      <c r="AF1337" s="846"/>
      <c r="AG1337" s="847"/>
      <c r="AH1337" s="847"/>
      <c r="AI1337" s="742">
        <f t="shared" si="173"/>
        <v>28554247</v>
      </c>
      <c r="AJ1337" s="743">
        <f t="shared" si="174"/>
        <v>29473221</v>
      </c>
    </row>
    <row r="1338" spans="1:36">
      <c r="A1338" s="1243" t="s">
        <v>151</v>
      </c>
      <c r="B1338" s="1244" t="s">
        <v>264</v>
      </c>
      <c r="C1338" s="1245" t="s">
        <v>1455</v>
      </c>
      <c r="D1338" s="994"/>
      <c r="E1338" s="1008">
        <v>162557</v>
      </c>
      <c r="F1338" s="996">
        <v>9</v>
      </c>
      <c r="G1338" s="846">
        <v>8839216</v>
      </c>
      <c r="H1338" s="847">
        <v>8975284</v>
      </c>
      <c r="I1338" s="846"/>
      <c r="J1338" s="847"/>
      <c r="K1338" s="846">
        <v>14205683</v>
      </c>
      <c r="L1338" s="847">
        <v>14533897</v>
      </c>
      <c r="M1338" s="846">
        <v>17940603</v>
      </c>
      <c r="N1338" s="846"/>
      <c r="O1338" s="737">
        <f t="shared" si="167"/>
        <v>17940603</v>
      </c>
      <c r="P1338" s="847">
        <v>18385267</v>
      </c>
      <c r="Q1338" s="847"/>
      <c r="R1338" s="738">
        <f t="shared" si="170"/>
        <v>18385267</v>
      </c>
      <c r="S1338" s="737">
        <f t="shared" si="171"/>
        <v>40985502</v>
      </c>
      <c r="T1338" s="739">
        <f t="shared" si="172"/>
        <v>41894448</v>
      </c>
      <c r="U1338" s="846"/>
      <c r="V1338" s="847"/>
      <c r="W1338" s="846"/>
      <c r="X1338" s="846"/>
      <c r="Y1338" s="740">
        <f t="shared" si="168"/>
        <v>0</v>
      </c>
      <c r="Z1338" s="847"/>
      <c r="AA1338" s="847"/>
      <c r="AB1338" s="741">
        <f t="shared" si="169"/>
        <v>0</v>
      </c>
      <c r="AC1338" s="846"/>
      <c r="AD1338" s="847"/>
      <c r="AE1338" s="846"/>
      <c r="AF1338" s="846"/>
      <c r="AG1338" s="847"/>
      <c r="AH1338" s="847"/>
      <c r="AI1338" s="742">
        <f t="shared" si="173"/>
        <v>40985502</v>
      </c>
      <c r="AJ1338" s="743">
        <f t="shared" si="174"/>
        <v>41894448</v>
      </c>
    </row>
    <row r="1339" spans="1:36">
      <c r="A1339" s="1243" t="s">
        <v>151</v>
      </c>
      <c r="B1339" s="1244" t="s">
        <v>264</v>
      </c>
      <c r="C1339" s="1245" t="s">
        <v>1456</v>
      </c>
      <c r="D1339" s="994"/>
      <c r="E1339" s="1250">
        <v>162690</v>
      </c>
      <c r="F1339" s="996">
        <v>9</v>
      </c>
      <c r="G1339" s="846">
        <v>7365786</v>
      </c>
      <c r="H1339" s="847">
        <v>7620412</v>
      </c>
      <c r="I1339" s="846"/>
      <c r="J1339" s="847"/>
      <c r="K1339" s="846">
        <v>8965010</v>
      </c>
      <c r="L1339" s="847">
        <v>8965010</v>
      </c>
      <c r="M1339" s="846">
        <v>15695982</v>
      </c>
      <c r="N1339" s="846"/>
      <c r="O1339" s="737">
        <f t="shared" si="167"/>
        <v>15695982</v>
      </c>
      <c r="P1339" s="847">
        <v>16425638</v>
      </c>
      <c r="Q1339" s="847"/>
      <c r="R1339" s="738">
        <f t="shared" si="170"/>
        <v>16425638</v>
      </c>
      <c r="S1339" s="737">
        <f t="shared" si="171"/>
        <v>32026778</v>
      </c>
      <c r="T1339" s="739">
        <f t="shared" si="172"/>
        <v>33011060</v>
      </c>
      <c r="U1339" s="846"/>
      <c r="V1339" s="847"/>
      <c r="W1339" s="846"/>
      <c r="X1339" s="846"/>
      <c r="Y1339" s="740">
        <f t="shared" si="168"/>
        <v>0</v>
      </c>
      <c r="Z1339" s="847"/>
      <c r="AA1339" s="847"/>
      <c r="AB1339" s="741">
        <f t="shared" si="169"/>
        <v>0</v>
      </c>
      <c r="AC1339" s="846"/>
      <c r="AD1339" s="847"/>
      <c r="AE1339" s="846"/>
      <c r="AF1339" s="846"/>
      <c r="AG1339" s="847"/>
      <c r="AH1339" s="847"/>
      <c r="AI1339" s="742">
        <f t="shared" si="173"/>
        <v>32026778</v>
      </c>
      <c r="AJ1339" s="743">
        <f t="shared" si="174"/>
        <v>33011060</v>
      </c>
    </row>
    <row r="1340" spans="1:36">
      <c r="A1340" s="1243" t="s">
        <v>151</v>
      </c>
      <c r="B1340" s="1244" t="s">
        <v>264</v>
      </c>
      <c r="C1340" s="1245" t="s">
        <v>1457</v>
      </c>
      <c r="D1340" s="994"/>
      <c r="E1340" s="1008">
        <v>162706</v>
      </c>
      <c r="F1340" s="996">
        <v>9</v>
      </c>
      <c r="G1340" s="846">
        <v>10345649</v>
      </c>
      <c r="H1340" s="847">
        <v>10690697</v>
      </c>
      <c r="I1340" s="846"/>
      <c r="J1340" s="847"/>
      <c r="K1340" s="846">
        <v>14961612</v>
      </c>
      <c r="L1340" s="847">
        <v>14961612</v>
      </c>
      <c r="M1340" s="846">
        <v>18068625</v>
      </c>
      <c r="N1340" s="846"/>
      <c r="O1340" s="737">
        <f t="shared" si="167"/>
        <v>18068625</v>
      </c>
      <c r="P1340" s="847">
        <v>18983994</v>
      </c>
      <c r="Q1340" s="847"/>
      <c r="R1340" s="738">
        <f t="shared" si="170"/>
        <v>18983994</v>
      </c>
      <c r="S1340" s="737">
        <f t="shared" si="171"/>
        <v>43375886</v>
      </c>
      <c r="T1340" s="739">
        <f t="shared" si="172"/>
        <v>44636303</v>
      </c>
      <c r="U1340" s="846"/>
      <c r="V1340" s="847"/>
      <c r="W1340" s="846"/>
      <c r="X1340" s="846"/>
      <c r="Y1340" s="740">
        <f t="shared" si="168"/>
        <v>0</v>
      </c>
      <c r="Z1340" s="847"/>
      <c r="AA1340" s="847"/>
      <c r="AB1340" s="741">
        <f t="shared" si="169"/>
        <v>0</v>
      </c>
      <c r="AC1340" s="846"/>
      <c r="AD1340" s="847"/>
      <c r="AE1340" s="846"/>
      <c r="AF1340" s="846"/>
      <c r="AG1340" s="847"/>
      <c r="AH1340" s="847"/>
      <c r="AI1340" s="742">
        <f t="shared" si="173"/>
        <v>43375886</v>
      </c>
      <c r="AJ1340" s="743">
        <f t="shared" si="174"/>
        <v>44636303</v>
      </c>
    </row>
    <row r="1341" spans="1:36">
      <c r="A1341" s="1243" t="s">
        <v>151</v>
      </c>
      <c r="B1341" s="1244" t="s">
        <v>264</v>
      </c>
      <c r="C1341" s="1252" t="s">
        <v>1458</v>
      </c>
      <c r="D1341" s="1253" t="s">
        <v>1595</v>
      </c>
      <c r="E1341" s="1254">
        <v>164313</v>
      </c>
      <c r="F1341" s="996">
        <v>9</v>
      </c>
      <c r="G1341" s="846">
        <v>7020911</v>
      </c>
      <c r="H1341" s="847">
        <v>7108241</v>
      </c>
      <c r="I1341" s="846"/>
      <c r="J1341" s="847"/>
      <c r="K1341" s="846">
        <v>5273134</v>
      </c>
      <c r="L1341" s="847">
        <v>5534684</v>
      </c>
      <c r="M1341" s="846">
        <v>9388457</v>
      </c>
      <c r="N1341" s="846"/>
      <c r="O1341" s="737">
        <f t="shared" si="167"/>
        <v>9388457</v>
      </c>
      <c r="P1341" s="847">
        <v>10346788</v>
      </c>
      <c r="Q1341" s="847"/>
      <c r="R1341" s="738">
        <f t="shared" si="170"/>
        <v>10346788</v>
      </c>
      <c r="S1341" s="737">
        <f t="shared" si="171"/>
        <v>21682502</v>
      </c>
      <c r="T1341" s="739">
        <f t="shared" si="172"/>
        <v>22989713</v>
      </c>
      <c r="U1341" s="846"/>
      <c r="V1341" s="847"/>
      <c r="W1341" s="846"/>
      <c r="X1341" s="846"/>
      <c r="Y1341" s="740">
        <f t="shared" si="168"/>
        <v>0</v>
      </c>
      <c r="Z1341" s="847"/>
      <c r="AA1341" s="847"/>
      <c r="AB1341" s="741">
        <f t="shared" si="169"/>
        <v>0</v>
      </c>
      <c r="AC1341" s="846"/>
      <c r="AD1341" s="847"/>
      <c r="AE1341" s="846"/>
      <c r="AF1341" s="846"/>
      <c r="AG1341" s="847"/>
      <c r="AH1341" s="847"/>
      <c r="AI1341" s="742">
        <f t="shared" si="173"/>
        <v>21682502</v>
      </c>
      <c r="AJ1341" s="743">
        <f t="shared" si="174"/>
        <v>22989713</v>
      </c>
    </row>
    <row r="1342" spans="1:36">
      <c r="A1342" s="1243" t="s">
        <v>151</v>
      </c>
      <c r="B1342" s="1244" t="s">
        <v>264</v>
      </c>
      <c r="C1342" s="1245" t="s">
        <v>1459</v>
      </c>
      <c r="D1342" s="994"/>
      <c r="E1342" s="1008">
        <v>162104</v>
      </c>
      <c r="F1342" s="996">
        <v>10</v>
      </c>
      <c r="G1342" s="846">
        <v>4940229</v>
      </c>
      <c r="H1342" s="847">
        <v>5108064</v>
      </c>
      <c r="I1342" s="846"/>
      <c r="J1342" s="847"/>
      <c r="K1342" s="846">
        <v>8197009</v>
      </c>
      <c r="L1342" s="847">
        <v>8591940</v>
      </c>
      <c r="M1342" s="846">
        <v>7815450</v>
      </c>
      <c r="N1342" s="846"/>
      <c r="O1342" s="737">
        <f t="shared" si="167"/>
        <v>7815450</v>
      </c>
      <c r="P1342" s="847">
        <v>8466306</v>
      </c>
      <c r="Q1342" s="847"/>
      <c r="R1342" s="738">
        <f t="shared" si="170"/>
        <v>8466306</v>
      </c>
      <c r="S1342" s="737">
        <f t="shared" si="171"/>
        <v>20952688</v>
      </c>
      <c r="T1342" s="739">
        <f t="shared" si="172"/>
        <v>22166310</v>
      </c>
      <c r="U1342" s="846"/>
      <c r="V1342" s="847"/>
      <c r="W1342" s="846"/>
      <c r="X1342" s="846"/>
      <c r="Y1342" s="740">
        <f t="shared" si="168"/>
        <v>0</v>
      </c>
      <c r="Z1342" s="847"/>
      <c r="AA1342" s="847"/>
      <c r="AB1342" s="741">
        <f t="shared" si="169"/>
        <v>0</v>
      </c>
      <c r="AC1342" s="846"/>
      <c r="AD1342" s="847"/>
      <c r="AE1342" s="846"/>
      <c r="AF1342" s="846"/>
      <c r="AG1342" s="847"/>
      <c r="AH1342" s="847"/>
      <c r="AI1342" s="742">
        <f t="shared" si="173"/>
        <v>20952688</v>
      </c>
      <c r="AJ1342" s="743">
        <f t="shared" si="174"/>
        <v>22166310</v>
      </c>
    </row>
    <row r="1343" spans="1:36">
      <c r="A1343" s="1243" t="s">
        <v>151</v>
      </c>
      <c r="B1343" s="1244" t="s">
        <v>264</v>
      </c>
      <c r="C1343" s="1245" t="s">
        <v>1460</v>
      </c>
      <c r="D1343" s="994"/>
      <c r="E1343" s="1008">
        <v>162168</v>
      </c>
      <c r="F1343" s="996">
        <v>10</v>
      </c>
      <c r="G1343" s="846">
        <v>6134108</v>
      </c>
      <c r="H1343" s="847">
        <v>6140798</v>
      </c>
      <c r="I1343" s="846"/>
      <c r="J1343" s="847"/>
      <c r="K1343" s="846">
        <v>6235591</v>
      </c>
      <c r="L1343" s="847">
        <v>6032732</v>
      </c>
      <c r="M1343" s="846">
        <v>7179311</v>
      </c>
      <c r="N1343" s="846"/>
      <c r="O1343" s="737">
        <f t="shared" si="167"/>
        <v>7179311</v>
      </c>
      <c r="P1343" s="847">
        <v>7731184</v>
      </c>
      <c r="Q1343" s="847"/>
      <c r="R1343" s="738">
        <f t="shared" si="170"/>
        <v>7731184</v>
      </c>
      <c r="S1343" s="737">
        <f t="shared" si="171"/>
        <v>19549010</v>
      </c>
      <c r="T1343" s="739">
        <f t="shared" si="172"/>
        <v>19904714</v>
      </c>
      <c r="U1343" s="846"/>
      <c r="V1343" s="847"/>
      <c r="W1343" s="846"/>
      <c r="X1343" s="846"/>
      <c r="Y1343" s="740">
        <f t="shared" si="168"/>
        <v>0</v>
      </c>
      <c r="Z1343" s="847"/>
      <c r="AA1343" s="847"/>
      <c r="AB1343" s="741">
        <f t="shared" si="169"/>
        <v>0</v>
      </c>
      <c r="AC1343" s="846"/>
      <c r="AD1343" s="847"/>
      <c r="AE1343" s="846"/>
      <c r="AF1343" s="846"/>
      <c r="AG1343" s="847"/>
      <c r="AH1343" s="847"/>
      <c r="AI1343" s="742">
        <f t="shared" si="173"/>
        <v>19549010</v>
      </c>
      <c r="AJ1343" s="743">
        <f t="shared" si="174"/>
        <v>19904714</v>
      </c>
    </row>
    <row r="1344" spans="1:36">
      <c r="A1344" s="1243" t="s">
        <v>151</v>
      </c>
      <c r="B1344" s="1244" t="s">
        <v>264</v>
      </c>
      <c r="C1344" s="1245" t="s">
        <v>1461</v>
      </c>
      <c r="D1344" s="994"/>
      <c r="E1344" s="1008">
        <v>162609</v>
      </c>
      <c r="F1344" s="996">
        <v>10</v>
      </c>
      <c r="G1344" s="846">
        <v>2497547</v>
      </c>
      <c r="H1344" s="847">
        <v>2561002</v>
      </c>
      <c r="I1344" s="846"/>
      <c r="J1344" s="847"/>
      <c r="K1344" s="846">
        <v>4559045</v>
      </c>
      <c r="L1344" s="847">
        <v>4738000</v>
      </c>
      <c r="M1344" s="846">
        <v>3804082</v>
      </c>
      <c r="N1344" s="846"/>
      <c r="O1344" s="737">
        <f t="shared" si="167"/>
        <v>3804082</v>
      </c>
      <c r="P1344" s="847">
        <v>4067008</v>
      </c>
      <c r="Q1344" s="847"/>
      <c r="R1344" s="738">
        <f t="shared" si="170"/>
        <v>4067008</v>
      </c>
      <c r="S1344" s="737">
        <f t="shared" si="171"/>
        <v>10860674</v>
      </c>
      <c r="T1344" s="739">
        <f t="shared" si="172"/>
        <v>11366010</v>
      </c>
      <c r="U1344" s="846"/>
      <c r="V1344" s="847"/>
      <c r="W1344" s="846"/>
      <c r="X1344" s="846"/>
      <c r="Y1344" s="740">
        <f t="shared" si="168"/>
        <v>0</v>
      </c>
      <c r="Z1344" s="847"/>
      <c r="AA1344" s="847"/>
      <c r="AB1344" s="741">
        <f t="shared" si="169"/>
        <v>0</v>
      </c>
      <c r="AC1344" s="846"/>
      <c r="AD1344" s="847"/>
      <c r="AE1344" s="846"/>
      <c r="AF1344" s="846"/>
      <c r="AG1344" s="847"/>
      <c r="AH1344" s="847"/>
      <c r="AI1344" s="742">
        <f t="shared" si="173"/>
        <v>10860674</v>
      </c>
      <c r="AJ1344" s="743">
        <f t="shared" si="174"/>
        <v>11366010</v>
      </c>
    </row>
    <row r="1345" spans="1:36">
      <c r="A1345" s="1243" t="s">
        <v>151</v>
      </c>
      <c r="B1345" s="1244" t="s">
        <v>302</v>
      </c>
      <c r="C1345" s="1245" t="s">
        <v>1462</v>
      </c>
      <c r="D1345" s="994"/>
      <c r="E1345" s="1008">
        <v>163204</v>
      </c>
      <c r="F1345" s="1009">
        <v>15</v>
      </c>
      <c r="G1345" s="846"/>
      <c r="H1345" s="847"/>
      <c r="I1345" s="846"/>
      <c r="J1345" s="847"/>
      <c r="K1345" s="846"/>
      <c r="L1345" s="847"/>
      <c r="M1345" s="846"/>
      <c r="N1345" s="846"/>
      <c r="O1345" s="737">
        <f t="shared" si="167"/>
        <v>0</v>
      </c>
      <c r="P1345" s="847"/>
      <c r="Q1345" s="847"/>
      <c r="R1345" s="738">
        <f t="shared" si="170"/>
        <v>0</v>
      </c>
      <c r="S1345" s="737">
        <f t="shared" si="171"/>
        <v>0</v>
      </c>
      <c r="T1345" s="739">
        <f t="shared" si="172"/>
        <v>0</v>
      </c>
      <c r="U1345" s="846">
        <v>35703567</v>
      </c>
      <c r="V1345" s="847">
        <v>39990223</v>
      </c>
      <c r="W1345" s="846">
        <v>295554884</v>
      </c>
      <c r="X1345" s="846"/>
      <c r="Y1345" s="740">
        <f t="shared" si="168"/>
        <v>295554884</v>
      </c>
      <c r="Z1345" s="847">
        <v>293418178</v>
      </c>
      <c r="AA1345" s="847"/>
      <c r="AB1345" s="741">
        <f t="shared" si="169"/>
        <v>293418178</v>
      </c>
      <c r="AC1345" s="846"/>
      <c r="AD1345" s="847"/>
      <c r="AE1345" s="846"/>
      <c r="AF1345" s="846"/>
      <c r="AG1345" s="847"/>
      <c r="AH1345" s="847"/>
      <c r="AI1345" s="742">
        <f t="shared" si="173"/>
        <v>331258451</v>
      </c>
      <c r="AJ1345" s="743">
        <f t="shared" si="174"/>
        <v>333408401</v>
      </c>
    </row>
    <row r="1346" spans="1:36">
      <c r="A1346" s="1243" t="s">
        <v>151</v>
      </c>
      <c r="B1346" s="1244" t="s">
        <v>301</v>
      </c>
      <c r="C1346" s="1245" t="s">
        <v>1463</v>
      </c>
      <c r="D1346" s="994"/>
      <c r="E1346" s="1008">
        <v>163259</v>
      </c>
      <c r="F1346" s="1009">
        <v>15</v>
      </c>
      <c r="G1346" s="846"/>
      <c r="H1346" s="847"/>
      <c r="I1346" s="846"/>
      <c r="J1346" s="847"/>
      <c r="K1346" s="846"/>
      <c r="L1346" s="847"/>
      <c r="M1346" s="846"/>
      <c r="N1346" s="846"/>
      <c r="O1346" s="737">
        <f t="shared" si="167"/>
        <v>0</v>
      </c>
      <c r="P1346" s="847"/>
      <c r="Q1346" s="847"/>
      <c r="R1346" s="738">
        <f t="shared" si="170"/>
        <v>0</v>
      </c>
      <c r="S1346" s="737">
        <f t="shared" si="171"/>
        <v>0</v>
      </c>
      <c r="T1346" s="739">
        <f t="shared" si="172"/>
        <v>0</v>
      </c>
      <c r="U1346" s="846"/>
      <c r="V1346" s="847"/>
      <c r="W1346" s="846"/>
      <c r="X1346" s="846"/>
      <c r="Y1346" s="740">
        <f t="shared" si="168"/>
        <v>0</v>
      </c>
      <c r="Z1346" s="847"/>
      <c r="AA1346" s="847"/>
      <c r="AB1346" s="741">
        <f t="shared" si="169"/>
        <v>0</v>
      </c>
      <c r="AC1346" s="846">
        <v>196668425</v>
      </c>
      <c r="AD1346" s="847">
        <v>215444453</v>
      </c>
      <c r="AE1346" s="846">
        <v>116721059</v>
      </c>
      <c r="AF1346" s="846"/>
      <c r="AG1346" s="847">
        <v>119524902</v>
      </c>
      <c r="AH1346" s="847"/>
      <c r="AI1346" s="742">
        <f t="shared" si="173"/>
        <v>313389484</v>
      </c>
      <c r="AJ1346" s="743">
        <f t="shared" si="174"/>
        <v>334969355</v>
      </c>
    </row>
    <row r="1347" spans="1:36">
      <c r="A1347" s="1243" t="s">
        <v>151</v>
      </c>
      <c r="B1347" s="1244" t="s">
        <v>303</v>
      </c>
      <c r="C1347" s="1255" t="s">
        <v>563</v>
      </c>
      <c r="D1347" s="1246"/>
      <c r="E1347" s="1000"/>
      <c r="F1347" s="1001"/>
      <c r="G1347" s="846"/>
      <c r="H1347" s="847"/>
      <c r="I1347" s="846"/>
      <c r="J1347" s="847"/>
      <c r="K1347" s="846"/>
      <c r="L1347" s="847"/>
      <c r="M1347" s="846"/>
      <c r="N1347" s="846"/>
      <c r="O1347" s="737">
        <f t="shared" si="167"/>
        <v>0</v>
      </c>
      <c r="P1347" s="847"/>
      <c r="Q1347" s="847"/>
      <c r="R1347" s="738">
        <f t="shared" si="170"/>
        <v>0</v>
      </c>
      <c r="S1347" s="737">
        <f t="shared" si="171"/>
        <v>0</v>
      </c>
      <c r="T1347" s="739">
        <f t="shared" si="172"/>
        <v>0</v>
      </c>
      <c r="U1347" s="846"/>
      <c r="V1347" s="847"/>
      <c r="W1347" s="846"/>
      <c r="X1347" s="846"/>
      <c r="Y1347" s="740">
        <f t="shared" si="168"/>
        <v>0</v>
      </c>
      <c r="Z1347" s="847"/>
      <c r="AA1347" s="847"/>
      <c r="AB1347" s="741">
        <f t="shared" si="169"/>
        <v>0</v>
      </c>
      <c r="AC1347" s="846"/>
      <c r="AD1347" s="847"/>
      <c r="AE1347" s="846"/>
      <c r="AF1347" s="846"/>
      <c r="AG1347" s="847"/>
      <c r="AH1347" s="847"/>
      <c r="AI1347" s="742">
        <f t="shared" si="173"/>
        <v>0</v>
      </c>
      <c r="AJ1347" s="743">
        <f t="shared" si="174"/>
        <v>0</v>
      </c>
    </row>
    <row r="1348" spans="1:36">
      <c r="A1348" s="1243" t="s">
        <v>151</v>
      </c>
      <c r="B1348" s="1244" t="s">
        <v>303</v>
      </c>
      <c r="C1348" s="1248" t="s">
        <v>1464</v>
      </c>
      <c r="D1348" s="1014"/>
      <c r="E1348" s="1000"/>
      <c r="F1348" s="1001"/>
      <c r="G1348" s="846"/>
      <c r="H1348" s="847"/>
      <c r="I1348" s="846">
        <v>6000000</v>
      </c>
      <c r="J1348" s="847">
        <v>6000000</v>
      </c>
      <c r="K1348" s="846"/>
      <c r="L1348" s="847"/>
      <c r="M1348" s="846"/>
      <c r="N1348" s="846"/>
      <c r="O1348" s="737">
        <f t="shared" si="167"/>
        <v>0</v>
      </c>
      <c r="P1348" s="847"/>
      <c r="Q1348" s="847"/>
      <c r="R1348" s="738">
        <f t="shared" si="170"/>
        <v>0</v>
      </c>
      <c r="S1348" s="737">
        <f t="shared" si="171"/>
        <v>6000000</v>
      </c>
      <c r="T1348" s="739">
        <f t="shared" si="172"/>
        <v>6000000</v>
      </c>
      <c r="U1348" s="846"/>
      <c r="V1348" s="847"/>
      <c r="W1348" s="846"/>
      <c r="X1348" s="846"/>
      <c r="Y1348" s="740">
        <f t="shared" si="168"/>
        <v>0</v>
      </c>
      <c r="Z1348" s="847"/>
      <c r="AA1348" s="847"/>
      <c r="AB1348" s="741">
        <f t="shared" si="169"/>
        <v>0</v>
      </c>
      <c r="AC1348" s="846"/>
      <c r="AD1348" s="847"/>
      <c r="AE1348" s="846"/>
      <c r="AF1348" s="846"/>
      <c r="AG1348" s="847"/>
      <c r="AH1348" s="847"/>
      <c r="AI1348" s="742">
        <f t="shared" si="173"/>
        <v>6000000</v>
      </c>
      <c r="AJ1348" s="743">
        <f t="shared" si="174"/>
        <v>6000000</v>
      </c>
    </row>
    <row r="1349" spans="1:36">
      <c r="A1349" s="1243" t="s">
        <v>151</v>
      </c>
      <c r="B1349" s="1244" t="s">
        <v>281</v>
      </c>
      <c r="C1349" s="1255" t="s">
        <v>109</v>
      </c>
      <c r="D1349" s="1246"/>
      <c r="E1349" s="1000"/>
      <c r="F1349" s="1001"/>
      <c r="G1349" s="846"/>
      <c r="H1349" s="847"/>
      <c r="I1349" s="846"/>
      <c r="J1349" s="847"/>
      <c r="K1349" s="846"/>
      <c r="L1349" s="847"/>
      <c r="M1349" s="846"/>
      <c r="N1349" s="846"/>
      <c r="O1349" s="737">
        <f t="shared" si="167"/>
        <v>0</v>
      </c>
      <c r="P1349" s="847"/>
      <c r="Q1349" s="847"/>
      <c r="R1349" s="738">
        <f t="shared" si="170"/>
        <v>0</v>
      </c>
      <c r="S1349" s="737">
        <f t="shared" si="171"/>
        <v>0</v>
      </c>
      <c r="T1349" s="739">
        <f t="shared" si="172"/>
        <v>0</v>
      </c>
      <c r="U1349" s="846"/>
      <c r="V1349" s="847"/>
      <c r="W1349" s="846"/>
      <c r="X1349" s="846"/>
      <c r="Y1349" s="740">
        <f t="shared" si="168"/>
        <v>0</v>
      </c>
      <c r="Z1349" s="847"/>
      <c r="AA1349" s="847"/>
      <c r="AB1349" s="741">
        <f t="shared" si="169"/>
        <v>0</v>
      </c>
      <c r="AC1349" s="846"/>
      <c r="AD1349" s="847"/>
      <c r="AE1349" s="846"/>
      <c r="AF1349" s="846"/>
      <c r="AG1349" s="847"/>
      <c r="AH1349" s="847"/>
      <c r="AI1349" s="742">
        <f t="shared" si="173"/>
        <v>0</v>
      </c>
      <c r="AJ1349" s="743">
        <f t="shared" si="174"/>
        <v>0</v>
      </c>
    </row>
    <row r="1350" spans="1:36">
      <c r="A1350" s="1243" t="s">
        <v>151</v>
      </c>
      <c r="B1350" s="1244" t="s">
        <v>282</v>
      </c>
      <c r="C1350" s="1013" t="s">
        <v>140</v>
      </c>
      <c r="D1350" s="1014"/>
      <c r="E1350" s="1000"/>
      <c r="F1350" s="1001"/>
      <c r="G1350" s="846"/>
      <c r="H1350" s="847"/>
      <c r="I1350" s="846"/>
      <c r="J1350" s="847"/>
      <c r="K1350" s="846"/>
      <c r="L1350" s="847"/>
      <c r="M1350" s="846"/>
      <c r="N1350" s="846"/>
      <c r="O1350" s="737">
        <f t="shared" si="167"/>
        <v>0</v>
      </c>
      <c r="P1350" s="847"/>
      <c r="Q1350" s="847"/>
      <c r="R1350" s="738">
        <f t="shared" si="170"/>
        <v>0</v>
      </c>
      <c r="S1350" s="737">
        <f t="shared" si="171"/>
        <v>0</v>
      </c>
      <c r="T1350" s="739">
        <f t="shared" si="172"/>
        <v>0</v>
      </c>
      <c r="U1350" s="846"/>
      <c r="V1350" s="847"/>
      <c r="W1350" s="846"/>
      <c r="X1350" s="846"/>
      <c r="Y1350" s="740">
        <f t="shared" si="168"/>
        <v>0</v>
      </c>
      <c r="Z1350" s="847"/>
      <c r="AA1350" s="847"/>
      <c r="AB1350" s="741">
        <f t="shared" si="169"/>
        <v>0</v>
      </c>
      <c r="AC1350" s="846"/>
      <c r="AD1350" s="847"/>
      <c r="AE1350" s="846"/>
      <c r="AF1350" s="846"/>
      <c r="AG1350" s="847"/>
      <c r="AH1350" s="847"/>
      <c r="AI1350" s="742">
        <f t="shared" si="173"/>
        <v>0</v>
      </c>
      <c r="AJ1350" s="743">
        <f t="shared" si="174"/>
        <v>0</v>
      </c>
    </row>
    <row r="1351" spans="1:36">
      <c r="A1351" s="1243" t="s">
        <v>151</v>
      </c>
      <c r="B1351" s="1244" t="s">
        <v>282</v>
      </c>
      <c r="C1351" s="1248" t="s">
        <v>1465</v>
      </c>
      <c r="D1351" s="1014"/>
      <c r="E1351" s="1000"/>
      <c r="F1351" s="1001"/>
      <c r="G1351" s="846"/>
      <c r="H1351" s="847"/>
      <c r="I1351" s="846"/>
      <c r="J1351" s="847"/>
      <c r="K1351" s="846"/>
      <c r="L1351" s="847"/>
      <c r="M1351" s="846"/>
      <c r="N1351" s="846"/>
      <c r="O1351" s="737">
        <f t="shared" si="167"/>
        <v>0</v>
      </c>
      <c r="P1351" s="847"/>
      <c r="Q1351" s="847"/>
      <c r="R1351" s="738">
        <f t="shared" si="170"/>
        <v>0</v>
      </c>
      <c r="S1351" s="737">
        <f t="shared" si="171"/>
        <v>0</v>
      </c>
      <c r="T1351" s="739">
        <f t="shared" si="172"/>
        <v>0</v>
      </c>
      <c r="U1351" s="846">
        <v>11344933</v>
      </c>
      <c r="V1351" s="847">
        <v>12537133</v>
      </c>
      <c r="W1351" s="846"/>
      <c r="X1351" s="846"/>
      <c r="Y1351" s="740">
        <f t="shared" si="168"/>
        <v>0</v>
      </c>
      <c r="Z1351" s="847"/>
      <c r="AA1351" s="847"/>
      <c r="AB1351" s="741">
        <f t="shared" si="169"/>
        <v>0</v>
      </c>
      <c r="AC1351" s="846"/>
      <c r="AD1351" s="847"/>
      <c r="AE1351" s="846"/>
      <c r="AF1351" s="846"/>
      <c r="AG1351" s="847"/>
      <c r="AH1351" s="847"/>
      <c r="AI1351" s="742">
        <f t="shared" si="173"/>
        <v>11344933</v>
      </c>
      <c r="AJ1351" s="743">
        <f t="shared" si="174"/>
        <v>12537133</v>
      </c>
    </row>
    <row r="1352" spans="1:36">
      <c r="A1352" s="1243" t="s">
        <v>151</v>
      </c>
      <c r="B1352" s="1244" t="s">
        <v>282</v>
      </c>
      <c r="C1352" s="1248" t="s">
        <v>1466</v>
      </c>
      <c r="D1352" s="1014"/>
      <c r="E1352" s="1000"/>
      <c r="F1352" s="1001"/>
      <c r="G1352" s="846"/>
      <c r="H1352" s="847"/>
      <c r="I1352" s="846"/>
      <c r="J1352" s="847"/>
      <c r="K1352" s="846"/>
      <c r="L1352" s="847"/>
      <c r="M1352" s="846"/>
      <c r="N1352" s="846"/>
      <c r="O1352" s="737">
        <f t="shared" si="167"/>
        <v>0</v>
      </c>
      <c r="P1352" s="847"/>
      <c r="Q1352" s="847"/>
      <c r="R1352" s="738">
        <f t="shared" si="170"/>
        <v>0</v>
      </c>
      <c r="S1352" s="737">
        <f t="shared" si="171"/>
        <v>0</v>
      </c>
      <c r="T1352" s="739">
        <f t="shared" si="172"/>
        <v>0</v>
      </c>
      <c r="U1352" s="846">
        <v>5111019</v>
      </c>
      <c r="V1352" s="847">
        <v>5082567</v>
      </c>
      <c r="W1352" s="846"/>
      <c r="X1352" s="846"/>
      <c r="Y1352" s="740">
        <f t="shared" si="168"/>
        <v>0</v>
      </c>
      <c r="Z1352" s="847"/>
      <c r="AA1352" s="847"/>
      <c r="AB1352" s="741">
        <f t="shared" si="169"/>
        <v>0</v>
      </c>
      <c r="AC1352" s="846"/>
      <c r="AD1352" s="847"/>
      <c r="AE1352" s="846"/>
      <c r="AF1352" s="846"/>
      <c r="AG1352" s="847"/>
      <c r="AH1352" s="847"/>
      <c r="AI1352" s="742">
        <f t="shared" si="173"/>
        <v>5111019</v>
      </c>
      <c r="AJ1352" s="743">
        <f t="shared" si="174"/>
        <v>5082567</v>
      </c>
    </row>
    <row r="1353" spans="1:36">
      <c r="A1353" s="1243" t="s">
        <v>151</v>
      </c>
      <c r="B1353" s="1244" t="s">
        <v>284</v>
      </c>
      <c r="C1353" s="1013" t="s">
        <v>138</v>
      </c>
      <c r="D1353" s="1014"/>
      <c r="E1353" s="1000"/>
      <c r="F1353" s="1001"/>
      <c r="G1353" s="846"/>
      <c r="H1353" s="847"/>
      <c r="I1353" s="846"/>
      <c r="J1353" s="847"/>
      <c r="K1353" s="846"/>
      <c r="L1353" s="847"/>
      <c r="M1353" s="846"/>
      <c r="N1353" s="846"/>
      <c r="O1353" s="737">
        <f t="shared" si="167"/>
        <v>0</v>
      </c>
      <c r="P1353" s="847"/>
      <c r="Q1353" s="847"/>
      <c r="R1353" s="738">
        <f t="shared" si="170"/>
        <v>0</v>
      </c>
      <c r="S1353" s="737">
        <f t="shared" si="171"/>
        <v>0</v>
      </c>
      <c r="T1353" s="739">
        <f t="shared" si="172"/>
        <v>0</v>
      </c>
      <c r="U1353" s="846"/>
      <c r="V1353" s="847"/>
      <c r="W1353" s="846"/>
      <c r="X1353" s="846"/>
      <c r="Y1353" s="740">
        <f t="shared" si="168"/>
        <v>0</v>
      </c>
      <c r="Z1353" s="847"/>
      <c r="AA1353" s="847"/>
      <c r="AB1353" s="741">
        <f t="shared" si="169"/>
        <v>0</v>
      </c>
      <c r="AC1353" s="846"/>
      <c r="AD1353" s="847"/>
      <c r="AE1353" s="846"/>
      <c r="AF1353" s="846"/>
      <c r="AG1353" s="847"/>
      <c r="AH1353" s="847"/>
      <c r="AI1353" s="742">
        <f t="shared" si="173"/>
        <v>0</v>
      </c>
      <c r="AJ1353" s="743">
        <f t="shared" si="174"/>
        <v>0</v>
      </c>
    </row>
    <row r="1354" spans="1:36">
      <c r="A1354" s="1243" t="s">
        <v>151</v>
      </c>
      <c r="B1354" s="1244" t="s">
        <v>284</v>
      </c>
      <c r="C1354" s="1248" t="s">
        <v>566</v>
      </c>
      <c r="D1354" s="1014"/>
      <c r="E1354" s="1000"/>
      <c r="F1354" s="1001"/>
      <c r="G1354" s="846"/>
      <c r="H1354" s="847"/>
      <c r="I1354" s="846"/>
      <c r="J1354" s="847"/>
      <c r="K1354" s="846"/>
      <c r="L1354" s="847"/>
      <c r="M1354" s="846"/>
      <c r="N1354" s="846"/>
      <c r="O1354" s="737">
        <f t="shared" ref="O1354:O1417" si="175">SUM(M1354:N1354)</f>
        <v>0</v>
      </c>
      <c r="P1354" s="847"/>
      <c r="Q1354" s="847"/>
      <c r="R1354" s="738">
        <f t="shared" si="170"/>
        <v>0</v>
      </c>
      <c r="S1354" s="737">
        <f t="shared" si="171"/>
        <v>0</v>
      </c>
      <c r="T1354" s="739">
        <f t="shared" si="172"/>
        <v>0</v>
      </c>
      <c r="U1354" s="846"/>
      <c r="V1354" s="847"/>
      <c r="W1354" s="846"/>
      <c r="X1354" s="846"/>
      <c r="Y1354" s="740">
        <f t="shared" ref="Y1354:Y1417" si="176">SUM(W1354:X1354)</f>
        <v>0</v>
      </c>
      <c r="Z1354" s="847"/>
      <c r="AA1354" s="847"/>
      <c r="AB1354" s="741">
        <f t="shared" ref="AB1354:AB1417" si="177">SUM(Z1354:AA1354)</f>
        <v>0</v>
      </c>
      <c r="AC1354" s="846"/>
      <c r="AD1354" s="847"/>
      <c r="AE1354" s="846"/>
      <c r="AF1354" s="846"/>
      <c r="AG1354" s="847"/>
      <c r="AH1354" s="847"/>
      <c r="AI1354" s="742">
        <f t="shared" si="173"/>
        <v>0</v>
      </c>
      <c r="AJ1354" s="743">
        <f t="shared" si="174"/>
        <v>0</v>
      </c>
    </row>
    <row r="1355" spans="1:36">
      <c r="A1355" s="1243" t="s">
        <v>151</v>
      </c>
      <c r="B1355" s="1244" t="s">
        <v>285</v>
      </c>
      <c r="C1355" s="1013" t="s">
        <v>504</v>
      </c>
      <c r="D1355" s="1014"/>
      <c r="E1355" s="1000"/>
      <c r="F1355" s="1001"/>
      <c r="G1355" s="846"/>
      <c r="H1355" s="847"/>
      <c r="I1355" s="846"/>
      <c r="J1355" s="847"/>
      <c r="K1355" s="846"/>
      <c r="L1355" s="847"/>
      <c r="M1355" s="846"/>
      <c r="N1355" s="846"/>
      <c r="O1355" s="737">
        <f t="shared" si="175"/>
        <v>0</v>
      </c>
      <c r="P1355" s="847"/>
      <c r="Q1355" s="847"/>
      <c r="R1355" s="738">
        <f t="shared" ref="R1355:R1418" si="178">SUM(P1355:Q1355)</f>
        <v>0</v>
      </c>
      <c r="S1355" s="737">
        <f t="shared" ref="S1355:S1418" si="179">SUM(G1355,I1355,K1355,M1355)</f>
        <v>0</v>
      </c>
      <c r="T1355" s="739">
        <f t="shared" ref="T1355:T1418" si="180">SUM(H1355,J1355,L1355,P1355)</f>
        <v>0</v>
      </c>
      <c r="U1355" s="846"/>
      <c r="V1355" s="847"/>
      <c r="W1355" s="846"/>
      <c r="X1355" s="846"/>
      <c r="Y1355" s="740">
        <f t="shared" si="176"/>
        <v>0</v>
      </c>
      <c r="Z1355" s="847"/>
      <c r="AA1355" s="847"/>
      <c r="AB1355" s="741">
        <f t="shared" si="177"/>
        <v>0</v>
      </c>
      <c r="AC1355" s="846"/>
      <c r="AD1355" s="847"/>
      <c r="AE1355" s="846"/>
      <c r="AF1355" s="846"/>
      <c r="AG1355" s="847"/>
      <c r="AH1355" s="847"/>
      <c r="AI1355" s="742">
        <f t="shared" ref="AI1355:AI1418" si="181">SUM(S1355,U1355,W1355,AC1355,AE1355)</f>
        <v>0</v>
      </c>
      <c r="AJ1355" s="743">
        <f t="shared" ref="AJ1355:AJ1418" si="182">SUM(T1355,V1355,Z1355,AD1355,AG1355)</f>
        <v>0</v>
      </c>
    </row>
    <row r="1356" spans="1:36">
      <c r="A1356" s="1243" t="s">
        <v>151</v>
      </c>
      <c r="B1356" s="1244" t="s">
        <v>286</v>
      </c>
      <c r="C1356" s="1255" t="s">
        <v>506</v>
      </c>
      <c r="D1356" s="1246"/>
      <c r="E1356" s="1000"/>
      <c r="F1356" s="1001"/>
      <c r="G1356" s="846"/>
      <c r="H1356" s="847"/>
      <c r="I1356" s="846"/>
      <c r="J1356" s="847"/>
      <c r="K1356" s="846"/>
      <c r="L1356" s="847"/>
      <c r="M1356" s="846"/>
      <c r="N1356" s="846"/>
      <c r="O1356" s="737">
        <f t="shared" si="175"/>
        <v>0</v>
      </c>
      <c r="P1356" s="847"/>
      <c r="Q1356" s="847"/>
      <c r="R1356" s="738">
        <f t="shared" si="178"/>
        <v>0</v>
      </c>
      <c r="S1356" s="737">
        <f t="shared" si="179"/>
        <v>0</v>
      </c>
      <c r="T1356" s="739">
        <f t="shared" si="180"/>
        <v>0</v>
      </c>
      <c r="U1356" s="846">
        <v>41291975</v>
      </c>
      <c r="V1356" s="847">
        <v>41422240</v>
      </c>
      <c r="W1356" s="846"/>
      <c r="X1356" s="846"/>
      <c r="Y1356" s="740">
        <f t="shared" si="176"/>
        <v>0</v>
      </c>
      <c r="Z1356" s="847"/>
      <c r="AA1356" s="847"/>
      <c r="AB1356" s="741">
        <f t="shared" si="177"/>
        <v>0</v>
      </c>
      <c r="AC1356" s="846"/>
      <c r="AD1356" s="847"/>
      <c r="AE1356" s="846"/>
      <c r="AF1356" s="846"/>
      <c r="AG1356" s="847"/>
      <c r="AH1356" s="847"/>
      <c r="AI1356" s="742">
        <f t="shared" si="181"/>
        <v>41291975</v>
      </c>
      <c r="AJ1356" s="743">
        <f t="shared" si="182"/>
        <v>41422240</v>
      </c>
    </row>
    <row r="1357" spans="1:36">
      <c r="A1357" s="1243" t="s">
        <v>151</v>
      </c>
      <c r="B1357" s="1244" t="s">
        <v>287</v>
      </c>
      <c r="C1357" s="1255" t="s">
        <v>510</v>
      </c>
      <c r="D1357" s="1246"/>
      <c r="E1357" s="1000"/>
      <c r="F1357" s="1001"/>
      <c r="G1357" s="846"/>
      <c r="H1357" s="847"/>
      <c r="I1357" s="846"/>
      <c r="J1357" s="847"/>
      <c r="K1357" s="846"/>
      <c r="L1357" s="847"/>
      <c r="M1357" s="846"/>
      <c r="N1357" s="846"/>
      <c r="O1357" s="737">
        <f t="shared" si="175"/>
        <v>0</v>
      </c>
      <c r="P1357" s="847"/>
      <c r="Q1357" s="847"/>
      <c r="R1357" s="738">
        <f t="shared" si="178"/>
        <v>0</v>
      </c>
      <c r="S1357" s="737">
        <f t="shared" si="179"/>
        <v>0</v>
      </c>
      <c r="T1357" s="739">
        <f t="shared" si="180"/>
        <v>0</v>
      </c>
      <c r="U1357" s="846"/>
      <c r="V1357" s="847"/>
      <c r="W1357" s="846"/>
      <c r="X1357" s="846"/>
      <c r="Y1357" s="740">
        <f t="shared" si="176"/>
        <v>0</v>
      </c>
      <c r="Z1357" s="847"/>
      <c r="AA1357" s="847"/>
      <c r="AB1357" s="741">
        <f t="shared" si="177"/>
        <v>0</v>
      </c>
      <c r="AC1357" s="846"/>
      <c r="AD1357" s="847"/>
      <c r="AE1357" s="846"/>
      <c r="AF1357" s="846"/>
      <c r="AG1357" s="847"/>
      <c r="AH1357" s="847"/>
      <c r="AI1357" s="742">
        <f t="shared" si="181"/>
        <v>0</v>
      </c>
      <c r="AJ1357" s="743">
        <f t="shared" si="182"/>
        <v>0</v>
      </c>
    </row>
    <row r="1358" spans="1:36">
      <c r="A1358" s="1243" t="s">
        <v>151</v>
      </c>
      <c r="B1358" s="1244" t="s">
        <v>288</v>
      </c>
      <c r="C1358" s="1013" t="s">
        <v>511</v>
      </c>
      <c r="D1358" s="1014"/>
      <c r="E1358" s="1000"/>
      <c r="F1358" s="1001"/>
      <c r="G1358" s="846"/>
      <c r="H1358" s="847"/>
      <c r="I1358" s="846"/>
      <c r="J1358" s="847"/>
      <c r="K1358" s="846"/>
      <c r="L1358" s="847"/>
      <c r="M1358" s="846"/>
      <c r="N1358" s="846"/>
      <c r="O1358" s="737">
        <f t="shared" si="175"/>
        <v>0</v>
      </c>
      <c r="P1358" s="847"/>
      <c r="Q1358" s="847"/>
      <c r="R1358" s="738">
        <f t="shared" si="178"/>
        <v>0</v>
      </c>
      <c r="S1358" s="737">
        <f t="shared" si="179"/>
        <v>0</v>
      </c>
      <c r="T1358" s="739">
        <f t="shared" si="180"/>
        <v>0</v>
      </c>
      <c r="U1358" s="846"/>
      <c r="V1358" s="847"/>
      <c r="W1358" s="846"/>
      <c r="X1358" s="846"/>
      <c r="Y1358" s="740">
        <f t="shared" si="176"/>
        <v>0</v>
      </c>
      <c r="Z1358" s="847"/>
      <c r="AA1358" s="847"/>
      <c r="AB1358" s="741">
        <f t="shared" si="177"/>
        <v>0</v>
      </c>
      <c r="AC1358" s="846"/>
      <c r="AD1358" s="847"/>
      <c r="AE1358" s="846"/>
      <c r="AF1358" s="846"/>
      <c r="AG1358" s="847"/>
      <c r="AH1358" s="847"/>
      <c r="AI1358" s="742">
        <f t="shared" si="181"/>
        <v>0</v>
      </c>
      <c r="AJ1358" s="743">
        <f t="shared" si="182"/>
        <v>0</v>
      </c>
    </row>
    <row r="1359" spans="1:36">
      <c r="A1359" s="1243" t="s">
        <v>151</v>
      </c>
      <c r="B1359" s="1244" t="s">
        <v>289</v>
      </c>
      <c r="C1359" s="1013" t="s">
        <v>515</v>
      </c>
      <c r="D1359" s="1014"/>
      <c r="E1359" s="1000"/>
      <c r="F1359" s="1001"/>
      <c r="G1359" s="846"/>
      <c r="H1359" s="847"/>
      <c r="I1359" s="846"/>
      <c r="J1359" s="847"/>
      <c r="K1359" s="846"/>
      <c r="L1359" s="847"/>
      <c r="M1359" s="846"/>
      <c r="N1359" s="846"/>
      <c r="O1359" s="737">
        <f t="shared" si="175"/>
        <v>0</v>
      </c>
      <c r="P1359" s="847"/>
      <c r="Q1359" s="847"/>
      <c r="R1359" s="738">
        <f t="shared" si="178"/>
        <v>0</v>
      </c>
      <c r="S1359" s="737">
        <f t="shared" si="179"/>
        <v>0</v>
      </c>
      <c r="T1359" s="739">
        <f t="shared" si="180"/>
        <v>0</v>
      </c>
      <c r="U1359" s="846"/>
      <c r="V1359" s="847"/>
      <c r="W1359" s="846"/>
      <c r="X1359" s="846"/>
      <c r="Y1359" s="740">
        <f t="shared" si="176"/>
        <v>0</v>
      </c>
      <c r="Z1359" s="847"/>
      <c r="AA1359" s="847"/>
      <c r="AB1359" s="741">
        <f t="shared" si="177"/>
        <v>0</v>
      </c>
      <c r="AC1359" s="846"/>
      <c r="AD1359" s="847"/>
      <c r="AE1359" s="846"/>
      <c r="AF1359" s="846"/>
      <c r="AG1359" s="847"/>
      <c r="AH1359" s="847"/>
      <c r="AI1359" s="742">
        <f t="shared" si="181"/>
        <v>0</v>
      </c>
      <c r="AJ1359" s="743">
        <f t="shared" si="182"/>
        <v>0</v>
      </c>
    </row>
    <row r="1360" spans="1:36">
      <c r="A1360" s="1243" t="s">
        <v>151</v>
      </c>
      <c r="B1360" s="1244" t="s">
        <v>290</v>
      </c>
      <c r="C1360" s="1013" t="s">
        <v>137</v>
      </c>
      <c r="D1360" s="1014"/>
      <c r="E1360" s="1000"/>
      <c r="F1360" s="1001"/>
      <c r="G1360" s="846"/>
      <c r="H1360" s="847"/>
      <c r="I1360" s="846"/>
      <c r="J1360" s="847"/>
      <c r="K1360" s="846"/>
      <c r="L1360" s="847"/>
      <c r="M1360" s="846"/>
      <c r="N1360" s="846"/>
      <c r="O1360" s="737">
        <f t="shared" si="175"/>
        <v>0</v>
      </c>
      <c r="P1360" s="847"/>
      <c r="Q1360" s="847"/>
      <c r="R1360" s="738">
        <f t="shared" si="178"/>
        <v>0</v>
      </c>
      <c r="S1360" s="737">
        <f t="shared" si="179"/>
        <v>0</v>
      </c>
      <c r="T1360" s="739">
        <f t="shared" si="180"/>
        <v>0</v>
      </c>
      <c r="U1360" s="846"/>
      <c r="V1360" s="847"/>
      <c r="W1360" s="846"/>
      <c r="X1360" s="846"/>
      <c r="Y1360" s="740">
        <f t="shared" si="176"/>
        <v>0</v>
      </c>
      <c r="Z1360" s="847"/>
      <c r="AA1360" s="847"/>
      <c r="AB1360" s="741">
        <f t="shared" si="177"/>
        <v>0</v>
      </c>
      <c r="AC1360" s="846"/>
      <c r="AD1360" s="847"/>
      <c r="AE1360" s="846"/>
      <c r="AF1360" s="846"/>
      <c r="AG1360" s="847"/>
      <c r="AH1360" s="847"/>
      <c r="AI1360" s="742">
        <f t="shared" si="181"/>
        <v>0</v>
      </c>
      <c r="AJ1360" s="743">
        <f t="shared" si="182"/>
        <v>0</v>
      </c>
    </row>
    <row r="1361" spans="1:36">
      <c r="A1361" s="1243" t="s">
        <v>151</v>
      </c>
      <c r="B1361" s="1244" t="s">
        <v>291</v>
      </c>
      <c r="C1361" s="1255" t="s">
        <v>520</v>
      </c>
      <c r="D1361" s="1246"/>
      <c r="E1361" s="1256"/>
      <c r="F1361" s="1001"/>
      <c r="G1361" s="846"/>
      <c r="H1361" s="847"/>
      <c r="I1361" s="846"/>
      <c r="J1361" s="847"/>
      <c r="K1361" s="846"/>
      <c r="L1361" s="847"/>
      <c r="M1361" s="846"/>
      <c r="N1361" s="846"/>
      <c r="O1361" s="737">
        <f t="shared" si="175"/>
        <v>0</v>
      </c>
      <c r="P1361" s="847"/>
      <c r="Q1361" s="847"/>
      <c r="R1361" s="738">
        <f t="shared" si="178"/>
        <v>0</v>
      </c>
      <c r="S1361" s="737">
        <f t="shared" si="179"/>
        <v>0</v>
      </c>
      <c r="T1361" s="739">
        <f t="shared" si="180"/>
        <v>0</v>
      </c>
      <c r="U1361" s="846"/>
      <c r="V1361" s="847"/>
      <c r="W1361" s="846"/>
      <c r="X1361" s="846"/>
      <c r="Y1361" s="740">
        <f t="shared" si="176"/>
        <v>0</v>
      </c>
      <c r="Z1361" s="847"/>
      <c r="AA1361" s="847"/>
      <c r="AB1361" s="741">
        <f t="shared" si="177"/>
        <v>0</v>
      </c>
      <c r="AC1361" s="846"/>
      <c r="AD1361" s="847"/>
      <c r="AE1361" s="846"/>
      <c r="AF1361" s="846"/>
      <c r="AG1361" s="847"/>
      <c r="AH1361" s="847"/>
      <c r="AI1361" s="742">
        <f t="shared" si="181"/>
        <v>0</v>
      </c>
      <c r="AJ1361" s="743">
        <f t="shared" si="182"/>
        <v>0</v>
      </c>
    </row>
    <row r="1362" spans="1:36">
      <c r="A1362" s="1243" t="s">
        <v>151</v>
      </c>
      <c r="B1362" s="1244" t="s">
        <v>292</v>
      </c>
      <c r="C1362" s="1257" t="s">
        <v>34</v>
      </c>
      <c r="D1362" s="1258"/>
      <c r="E1362" s="1256"/>
      <c r="F1362" s="1001"/>
      <c r="G1362" s="846"/>
      <c r="H1362" s="847"/>
      <c r="I1362" s="846"/>
      <c r="J1362" s="847"/>
      <c r="K1362" s="846"/>
      <c r="L1362" s="847"/>
      <c r="M1362" s="846"/>
      <c r="N1362" s="846"/>
      <c r="O1362" s="737">
        <f t="shared" si="175"/>
        <v>0</v>
      </c>
      <c r="P1362" s="847"/>
      <c r="Q1362" s="847"/>
      <c r="R1362" s="738">
        <f t="shared" si="178"/>
        <v>0</v>
      </c>
      <c r="S1362" s="737">
        <f t="shared" si="179"/>
        <v>0</v>
      </c>
      <c r="T1362" s="739">
        <f t="shared" si="180"/>
        <v>0</v>
      </c>
      <c r="U1362" s="846"/>
      <c r="V1362" s="847"/>
      <c r="W1362" s="846"/>
      <c r="X1362" s="846"/>
      <c r="Y1362" s="740">
        <f t="shared" si="176"/>
        <v>0</v>
      </c>
      <c r="Z1362" s="847"/>
      <c r="AA1362" s="847"/>
      <c r="AB1362" s="741">
        <f t="shared" si="177"/>
        <v>0</v>
      </c>
      <c r="AC1362" s="846"/>
      <c r="AD1362" s="847"/>
      <c r="AE1362" s="846"/>
      <c r="AF1362" s="846"/>
      <c r="AG1362" s="847"/>
      <c r="AH1362" s="847"/>
      <c r="AI1362" s="742">
        <f t="shared" si="181"/>
        <v>0</v>
      </c>
      <c r="AJ1362" s="743">
        <f t="shared" si="182"/>
        <v>0</v>
      </c>
    </row>
    <row r="1363" spans="1:36">
      <c r="A1363" s="1243" t="s">
        <v>151</v>
      </c>
      <c r="B1363" s="1244" t="s">
        <v>292</v>
      </c>
      <c r="C1363" s="1259" t="s">
        <v>1467</v>
      </c>
      <c r="D1363" s="1014"/>
      <c r="E1363" s="1256"/>
      <c r="F1363" s="1001"/>
      <c r="G1363" s="846"/>
      <c r="H1363" s="847"/>
      <c r="I1363" s="846"/>
      <c r="J1363" s="847"/>
      <c r="K1363" s="846"/>
      <c r="L1363" s="847"/>
      <c r="M1363" s="846"/>
      <c r="N1363" s="846"/>
      <c r="O1363" s="737">
        <f t="shared" si="175"/>
        <v>0</v>
      </c>
      <c r="P1363" s="847"/>
      <c r="Q1363" s="847"/>
      <c r="R1363" s="738">
        <f t="shared" si="178"/>
        <v>0</v>
      </c>
      <c r="S1363" s="737">
        <f t="shared" si="179"/>
        <v>0</v>
      </c>
      <c r="T1363" s="739">
        <f t="shared" si="180"/>
        <v>0</v>
      </c>
      <c r="U1363" s="846"/>
      <c r="V1363" s="847"/>
      <c r="W1363" s="846"/>
      <c r="X1363" s="846"/>
      <c r="Y1363" s="740">
        <f t="shared" si="176"/>
        <v>0</v>
      </c>
      <c r="Z1363" s="847"/>
      <c r="AA1363" s="847"/>
      <c r="AB1363" s="741">
        <f t="shared" si="177"/>
        <v>0</v>
      </c>
      <c r="AC1363" s="846"/>
      <c r="AD1363" s="847"/>
      <c r="AE1363" s="846"/>
      <c r="AF1363" s="846"/>
      <c r="AG1363" s="847"/>
      <c r="AH1363" s="847"/>
      <c r="AI1363" s="742">
        <f t="shared" si="181"/>
        <v>0</v>
      </c>
      <c r="AJ1363" s="743">
        <f t="shared" si="182"/>
        <v>0</v>
      </c>
    </row>
    <row r="1364" spans="1:36">
      <c r="A1364" s="1243" t="s">
        <v>151</v>
      </c>
      <c r="B1364" s="1244" t="s">
        <v>310</v>
      </c>
      <c r="C1364" s="1019" t="s">
        <v>311</v>
      </c>
      <c r="D1364" s="1020"/>
      <c r="E1364" s="1256"/>
      <c r="F1364" s="1001"/>
      <c r="G1364" s="846"/>
      <c r="H1364" s="847"/>
      <c r="I1364" s="846"/>
      <c r="J1364" s="847"/>
      <c r="K1364" s="846"/>
      <c r="L1364" s="847"/>
      <c r="M1364" s="846"/>
      <c r="N1364" s="846"/>
      <c r="O1364" s="737">
        <f t="shared" si="175"/>
        <v>0</v>
      </c>
      <c r="P1364" s="847"/>
      <c r="Q1364" s="847"/>
      <c r="R1364" s="738">
        <f t="shared" si="178"/>
        <v>0</v>
      </c>
      <c r="S1364" s="737">
        <f t="shared" si="179"/>
        <v>0</v>
      </c>
      <c r="T1364" s="739">
        <f t="shared" si="180"/>
        <v>0</v>
      </c>
      <c r="U1364" s="846"/>
      <c r="V1364" s="847"/>
      <c r="W1364" s="846"/>
      <c r="X1364" s="846"/>
      <c r="Y1364" s="740">
        <f t="shared" si="176"/>
        <v>0</v>
      </c>
      <c r="Z1364" s="847"/>
      <c r="AA1364" s="847"/>
      <c r="AB1364" s="741">
        <f t="shared" si="177"/>
        <v>0</v>
      </c>
      <c r="AC1364" s="846"/>
      <c r="AD1364" s="847"/>
      <c r="AE1364" s="846"/>
      <c r="AF1364" s="846"/>
      <c r="AG1364" s="847"/>
      <c r="AH1364" s="847"/>
      <c r="AI1364" s="742">
        <f t="shared" si="181"/>
        <v>0</v>
      </c>
      <c r="AJ1364" s="743">
        <f t="shared" si="182"/>
        <v>0</v>
      </c>
    </row>
    <row r="1365" spans="1:36">
      <c r="A1365" s="1243" t="s">
        <v>151</v>
      </c>
      <c r="B1365" s="1244" t="s">
        <v>251</v>
      </c>
      <c r="C1365" s="1019" t="s">
        <v>249</v>
      </c>
      <c r="D1365" s="1020"/>
      <c r="E1365" s="1256"/>
      <c r="F1365" s="1001"/>
      <c r="G1365" s="846"/>
      <c r="H1365" s="847"/>
      <c r="I1365" s="846"/>
      <c r="J1365" s="847"/>
      <c r="K1365" s="846"/>
      <c r="L1365" s="847"/>
      <c r="M1365" s="846"/>
      <c r="N1365" s="846"/>
      <c r="O1365" s="737">
        <f t="shared" si="175"/>
        <v>0</v>
      </c>
      <c r="P1365" s="847"/>
      <c r="Q1365" s="847"/>
      <c r="R1365" s="738">
        <f t="shared" si="178"/>
        <v>0</v>
      </c>
      <c r="S1365" s="737">
        <f t="shared" si="179"/>
        <v>0</v>
      </c>
      <c r="T1365" s="739">
        <f t="shared" si="180"/>
        <v>0</v>
      </c>
      <c r="U1365" s="846"/>
      <c r="V1365" s="847"/>
      <c r="W1365" s="846"/>
      <c r="X1365" s="846"/>
      <c r="Y1365" s="740">
        <f t="shared" si="176"/>
        <v>0</v>
      </c>
      <c r="Z1365" s="847"/>
      <c r="AA1365" s="847"/>
      <c r="AB1365" s="741">
        <f t="shared" si="177"/>
        <v>0</v>
      </c>
      <c r="AC1365" s="846"/>
      <c r="AD1365" s="847"/>
      <c r="AE1365" s="846"/>
      <c r="AF1365" s="846"/>
      <c r="AG1365" s="847"/>
      <c r="AH1365" s="847"/>
      <c r="AI1365" s="742">
        <f t="shared" si="181"/>
        <v>0</v>
      </c>
      <c r="AJ1365" s="743">
        <f t="shared" si="182"/>
        <v>0</v>
      </c>
    </row>
    <row r="1366" spans="1:36">
      <c r="A1366" s="1243" t="s">
        <v>151</v>
      </c>
      <c r="B1366" s="1018" t="s">
        <v>209</v>
      </c>
      <c r="C1366" s="1019" t="s">
        <v>522</v>
      </c>
      <c r="D1366" s="1020"/>
      <c r="E1366" s="1256"/>
      <c r="F1366" s="1001"/>
      <c r="G1366" s="846"/>
      <c r="H1366" s="847"/>
      <c r="I1366" s="846"/>
      <c r="J1366" s="847"/>
      <c r="K1366" s="846"/>
      <c r="L1366" s="847"/>
      <c r="M1366" s="846"/>
      <c r="N1366" s="846"/>
      <c r="O1366" s="737">
        <f t="shared" si="175"/>
        <v>0</v>
      </c>
      <c r="P1366" s="847"/>
      <c r="Q1366" s="847"/>
      <c r="R1366" s="738">
        <f t="shared" si="178"/>
        <v>0</v>
      </c>
      <c r="S1366" s="737">
        <f t="shared" si="179"/>
        <v>0</v>
      </c>
      <c r="T1366" s="739">
        <f t="shared" si="180"/>
        <v>0</v>
      </c>
      <c r="U1366" s="846"/>
      <c r="V1366" s="847"/>
      <c r="W1366" s="846"/>
      <c r="X1366" s="846"/>
      <c r="Y1366" s="740">
        <f t="shared" si="176"/>
        <v>0</v>
      </c>
      <c r="Z1366" s="847"/>
      <c r="AA1366" s="847"/>
      <c r="AB1366" s="741">
        <f t="shared" si="177"/>
        <v>0</v>
      </c>
      <c r="AC1366" s="846"/>
      <c r="AD1366" s="847"/>
      <c r="AE1366" s="846"/>
      <c r="AF1366" s="846"/>
      <c r="AG1366" s="847"/>
      <c r="AH1366" s="847"/>
      <c r="AI1366" s="742">
        <f t="shared" si="181"/>
        <v>0</v>
      </c>
      <c r="AJ1366" s="743">
        <f t="shared" si="182"/>
        <v>0</v>
      </c>
    </row>
    <row r="1367" spans="1:36">
      <c r="A1367" s="1243" t="s">
        <v>151</v>
      </c>
      <c r="B1367" s="1018" t="s">
        <v>210</v>
      </c>
      <c r="C1367" s="1019" t="s">
        <v>311</v>
      </c>
      <c r="D1367" s="1020"/>
      <c r="E1367" s="1256"/>
      <c r="F1367" s="1001"/>
      <c r="G1367" s="846"/>
      <c r="H1367" s="847"/>
      <c r="I1367" s="846"/>
      <c r="J1367" s="847"/>
      <c r="K1367" s="846"/>
      <c r="L1367" s="847"/>
      <c r="M1367" s="846"/>
      <c r="N1367" s="846"/>
      <c r="O1367" s="737">
        <f t="shared" si="175"/>
        <v>0</v>
      </c>
      <c r="P1367" s="847"/>
      <c r="Q1367" s="847"/>
      <c r="R1367" s="738">
        <f t="shared" si="178"/>
        <v>0</v>
      </c>
      <c r="S1367" s="737">
        <f t="shared" si="179"/>
        <v>0</v>
      </c>
      <c r="T1367" s="739">
        <f t="shared" si="180"/>
        <v>0</v>
      </c>
      <c r="U1367" s="846">
        <v>1258575</v>
      </c>
      <c r="V1367" s="847">
        <v>1335500</v>
      </c>
      <c r="W1367" s="846"/>
      <c r="X1367" s="846"/>
      <c r="Y1367" s="740">
        <f t="shared" si="176"/>
        <v>0</v>
      </c>
      <c r="Z1367" s="847"/>
      <c r="AA1367" s="847"/>
      <c r="AB1367" s="741">
        <f t="shared" si="177"/>
        <v>0</v>
      </c>
      <c r="AC1367" s="846"/>
      <c r="AD1367" s="847"/>
      <c r="AE1367" s="846"/>
      <c r="AF1367" s="846"/>
      <c r="AG1367" s="847"/>
      <c r="AH1367" s="847"/>
      <c r="AI1367" s="742">
        <f t="shared" si="181"/>
        <v>1258575</v>
      </c>
      <c r="AJ1367" s="743">
        <f t="shared" si="182"/>
        <v>1335500</v>
      </c>
    </row>
    <row r="1368" spans="1:36">
      <c r="A1368" s="1243" t="s">
        <v>151</v>
      </c>
      <c r="B1368" s="1244" t="s">
        <v>251</v>
      </c>
      <c r="C1368" s="1019" t="s">
        <v>249</v>
      </c>
      <c r="D1368" s="1020"/>
      <c r="E1368" s="1256"/>
      <c r="F1368" s="1001"/>
      <c r="G1368" s="846"/>
      <c r="H1368" s="847"/>
      <c r="I1368" s="846"/>
      <c r="J1368" s="847"/>
      <c r="K1368" s="846"/>
      <c r="L1368" s="847"/>
      <c r="M1368" s="846"/>
      <c r="N1368" s="846"/>
      <c r="O1368" s="737">
        <f t="shared" si="175"/>
        <v>0</v>
      </c>
      <c r="P1368" s="847"/>
      <c r="Q1368" s="847"/>
      <c r="R1368" s="738">
        <f t="shared" si="178"/>
        <v>0</v>
      </c>
      <c r="S1368" s="737">
        <f t="shared" si="179"/>
        <v>0</v>
      </c>
      <c r="T1368" s="739">
        <f t="shared" si="180"/>
        <v>0</v>
      </c>
      <c r="U1368" s="846"/>
      <c r="V1368" s="847"/>
      <c r="W1368" s="846"/>
      <c r="X1368" s="846"/>
      <c r="Y1368" s="740">
        <f t="shared" si="176"/>
        <v>0</v>
      </c>
      <c r="Z1368" s="847"/>
      <c r="AA1368" s="847"/>
      <c r="AB1368" s="741">
        <f t="shared" si="177"/>
        <v>0</v>
      </c>
      <c r="AC1368" s="846"/>
      <c r="AD1368" s="847"/>
      <c r="AE1368" s="846"/>
      <c r="AF1368" s="846"/>
      <c r="AG1368" s="847"/>
      <c r="AH1368" s="847"/>
      <c r="AI1368" s="742">
        <f t="shared" si="181"/>
        <v>0</v>
      </c>
      <c r="AJ1368" s="743">
        <f t="shared" si="182"/>
        <v>0</v>
      </c>
    </row>
    <row r="1369" spans="1:36">
      <c r="A1369" s="1243" t="s">
        <v>151</v>
      </c>
      <c r="B1369" s="1018" t="s">
        <v>205</v>
      </c>
      <c r="C1369" s="1019" t="s">
        <v>523</v>
      </c>
      <c r="D1369" s="1020"/>
      <c r="E1369" s="1256"/>
      <c r="F1369" s="1001"/>
      <c r="G1369" s="846"/>
      <c r="H1369" s="847"/>
      <c r="I1369" s="846"/>
      <c r="J1369" s="847"/>
      <c r="K1369" s="846"/>
      <c r="L1369" s="847"/>
      <c r="M1369" s="846"/>
      <c r="N1369" s="846"/>
      <c r="O1369" s="737">
        <f t="shared" si="175"/>
        <v>0</v>
      </c>
      <c r="P1369" s="847"/>
      <c r="Q1369" s="847"/>
      <c r="R1369" s="738">
        <f t="shared" si="178"/>
        <v>0</v>
      </c>
      <c r="S1369" s="737">
        <f t="shared" si="179"/>
        <v>0</v>
      </c>
      <c r="T1369" s="739">
        <f t="shared" si="180"/>
        <v>0</v>
      </c>
      <c r="U1369" s="846"/>
      <c r="V1369" s="847"/>
      <c r="W1369" s="846"/>
      <c r="X1369" s="846"/>
      <c r="Y1369" s="740">
        <f t="shared" si="176"/>
        <v>0</v>
      </c>
      <c r="Z1369" s="847"/>
      <c r="AA1369" s="847"/>
      <c r="AB1369" s="741">
        <f t="shared" si="177"/>
        <v>0</v>
      </c>
      <c r="AC1369" s="846"/>
      <c r="AD1369" s="847"/>
      <c r="AE1369" s="846"/>
      <c r="AF1369" s="846"/>
      <c r="AG1369" s="847"/>
      <c r="AH1369" s="847"/>
      <c r="AI1369" s="742">
        <f t="shared" si="181"/>
        <v>0</v>
      </c>
      <c r="AJ1369" s="743">
        <f t="shared" si="182"/>
        <v>0</v>
      </c>
    </row>
    <row r="1370" spans="1:36">
      <c r="A1370" s="1243" t="s">
        <v>151</v>
      </c>
      <c r="B1370" s="1018" t="s">
        <v>218</v>
      </c>
      <c r="C1370" s="1019" t="s">
        <v>311</v>
      </c>
      <c r="D1370" s="1020"/>
      <c r="E1370" s="1256"/>
      <c r="F1370" s="1001"/>
      <c r="G1370" s="846"/>
      <c r="H1370" s="847"/>
      <c r="I1370" s="846"/>
      <c r="J1370" s="847"/>
      <c r="K1370" s="846"/>
      <c r="L1370" s="847"/>
      <c r="M1370" s="846"/>
      <c r="N1370" s="846"/>
      <c r="O1370" s="737">
        <f t="shared" si="175"/>
        <v>0</v>
      </c>
      <c r="P1370" s="847"/>
      <c r="Q1370" s="847"/>
      <c r="R1370" s="738">
        <f t="shared" si="178"/>
        <v>0</v>
      </c>
      <c r="S1370" s="737">
        <f t="shared" si="179"/>
        <v>0</v>
      </c>
      <c r="T1370" s="739">
        <f t="shared" si="180"/>
        <v>0</v>
      </c>
      <c r="U1370" s="846">
        <v>78800</v>
      </c>
      <c r="V1370" s="847">
        <v>86750</v>
      </c>
      <c r="W1370" s="846"/>
      <c r="X1370" s="846"/>
      <c r="Y1370" s="740">
        <f t="shared" si="176"/>
        <v>0</v>
      </c>
      <c r="Z1370" s="847"/>
      <c r="AA1370" s="847"/>
      <c r="AB1370" s="741">
        <f t="shared" si="177"/>
        <v>0</v>
      </c>
      <c r="AC1370" s="846"/>
      <c r="AD1370" s="847"/>
      <c r="AE1370" s="846"/>
      <c r="AF1370" s="846"/>
      <c r="AG1370" s="847"/>
      <c r="AH1370" s="847"/>
      <c r="AI1370" s="742">
        <f t="shared" si="181"/>
        <v>78800</v>
      </c>
      <c r="AJ1370" s="743">
        <f t="shared" si="182"/>
        <v>86750</v>
      </c>
    </row>
    <row r="1371" spans="1:36">
      <c r="A1371" s="1243" t="s">
        <v>151</v>
      </c>
      <c r="B1371" s="1244" t="s">
        <v>251</v>
      </c>
      <c r="C1371" s="1019" t="s">
        <v>249</v>
      </c>
      <c r="D1371" s="1020"/>
      <c r="E1371" s="1256"/>
      <c r="F1371" s="1001"/>
      <c r="G1371" s="846"/>
      <c r="H1371" s="847"/>
      <c r="I1371" s="846"/>
      <c r="J1371" s="847"/>
      <c r="K1371" s="846"/>
      <c r="L1371" s="847"/>
      <c r="M1371" s="846"/>
      <c r="N1371" s="846"/>
      <c r="O1371" s="737">
        <f t="shared" si="175"/>
        <v>0</v>
      </c>
      <c r="P1371" s="847"/>
      <c r="Q1371" s="847"/>
      <c r="R1371" s="738">
        <f t="shared" si="178"/>
        <v>0</v>
      </c>
      <c r="S1371" s="737">
        <f t="shared" si="179"/>
        <v>0</v>
      </c>
      <c r="T1371" s="739">
        <f t="shared" si="180"/>
        <v>0</v>
      </c>
      <c r="U1371" s="846"/>
      <c r="V1371" s="847"/>
      <c r="W1371" s="846"/>
      <c r="X1371" s="846"/>
      <c r="Y1371" s="740">
        <f t="shared" si="176"/>
        <v>0</v>
      </c>
      <c r="Z1371" s="847"/>
      <c r="AA1371" s="847"/>
      <c r="AB1371" s="741">
        <f t="shared" si="177"/>
        <v>0</v>
      </c>
      <c r="AC1371" s="846"/>
      <c r="AD1371" s="847"/>
      <c r="AE1371" s="846"/>
      <c r="AF1371" s="846"/>
      <c r="AG1371" s="847"/>
      <c r="AH1371" s="847"/>
      <c r="AI1371" s="742">
        <f t="shared" si="181"/>
        <v>0</v>
      </c>
      <c r="AJ1371" s="743">
        <f t="shared" si="182"/>
        <v>0</v>
      </c>
    </row>
    <row r="1372" spans="1:36">
      <c r="A1372" s="1243" t="s">
        <v>151</v>
      </c>
      <c r="B1372" s="1244" t="s">
        <v>292</v>
      </c>
      <c r="C1372" s="1259" t="s">
        <v>1468</v>
      </c>
      <c r="D1372" s="1014"/>
      <c r="E1372" s="1256"/>
      <c r="F1372" s="1001"/>
      <c r="G1372" s="846"/>
      <c r="H1372" s="847"/>
      <c r="I1372" s="846"/>
      <c r="J1372" s="847"/>
      <c r="K1372" s="846"/>
      <c r="L1372" s="847"/>
      <c r="M1372" s="846"/>
      <c r="N1372" s="846"/>
      <c r="O1372" s="737">
        <f t="shared" si="175"/>
        <v>0</v>
      </c>
      <c r="P1372" s="847"/>
      <c r="Q1372" s="847"/>
      <c r="R1372" s="738">
        <f t="shared" si="178"/>
        <v>0</v>
      </c>
      <c r="S1372" s="737">
        <f t="shared" si="179"/>
        <v>0</v>
      </c>
      <c r="T1372" s="739">
        <f t="shared" si="180"/>
        <v>0</v>
      </c>
      <c r="U1372" s="846"/>
      <c r="V1372" s="847"/>
      <c r="W1372" s="846"/>
      <c r="X1372" s="846"/>
      <c r="Y1372" s="740">
        <f t="shared" si="176"/>
        <v>0</v>
      </c>
      <c r="Z1372" s="847"/>
      <c r="AA1372" s="847"/>
      <c r="AB1372" s="741">
        <f t="shared" si="177"/>
        <v>0</v>
      </c>
      <c r="AC1372" s="846"/>
      <c r="AD1372" s="847"/>
      <c r="AE1372" s="846"/>
      <c r="AF1372" s="846"/>
      <c r="AG1372" s="847"/>
      <c r="AH1372" s="847"/>
      <c r="AI1372" s="742">
        <f t="shared" si="181"/>
        <v>0</v>
      </c>
      <c r="AJ1372" s="743">
        <f t="shared" si="182"/>
        <v>0</v>
      </c>
    </row>
    <row r="1373" spans="1:36">
      <c r="A1373" s="1243" t="s">
        <v>151</v>
      </c>
      <c r="B1373" s="1018" t="s">
        <v>209</v>
      </c>
      <c r="C1373" s="1019" t="s">
        <v>522</v>
      </c>
      <c r="D1373" s="1020"/>
      <c r="E1373" s="1256"/>
      <c r="F1373" s="1001"/>
      <c r="G1373" s="846"/>
      <c r="H1373" s="847"/>
      <c r="I1373" s="846"/>
      <c r="J1373" s="847"/>
      <c r="K1373" s="846"/>
      <c r="L1373" s="847"/>
      <c r="M1373" s="846"/>
      <c r="N1373" s="846"/>
      <c r="O1373" s="737">
        <f t="shared" si="175"/>
        <v>0</v>
      </c>
      <c r="P1373" s="847"/>
      <c r="Q1373" s="847"/>
      <c r="R1373" s="738">
        <f t="shared" si="178"/>
        <v>0</v>
      </c>
      <c r="S1373" s="737">
        <f t="shared" si="179"/>
        <v>0</v>
      </c>
      <c r="T1373" s="739">
        <f t="shared" si="180"/>
        <v>0</v>
      </c>
      <c r="U1373" s="846"/>
      <c r="V1373" s="847"/>
      <c r="W1373" s="846"/>
      <c r="X1373" s="846"/>
      <c r="Y1373" s="740">
        <f t="shared" si="176"/>
        <v>0</v>
      </c>
      <c r="Z1373" s="847"/>
      <c r="AA1373" s="847"/>
      <c r="AB1373" s="741">
        <f t="shared" si="177"/>
        <v>0</v>
      </c>
      <c r="AC1373" s="846"/>
      <c r="AD1373" s="847"/>
      <c r="AE1373" s="846"/>
      <c r="AF1373" s="846"/>
      <c r="AG1373" s="847"/>
      <c r="AH1373" s="847"/>
      <c r="AI1373" s="742">
        <f t="shared" si="181"/>
        <v>0</v>
      </c>
      <c r="AJ1373" s="743">
        <f t="shared" si="182"/>
        <v>0</v>
      </c>
    </row>
    <row r="1374" spans="1:36">
      <c r="A1374" s="1243" t="s">
        <v>151</v>
      </c>
      <c r="B1374" s="1018" t="s">
        <v>210</v>
      </c>
      <c r="C1374" s="1019" t="s">
        <v>311</v>
      </c>
      <c r="D1374" s="1020"/>
      <c r="E1374" s="1256"/>
      <c r="F1374" s="1001"/>
      <c r="G1374" s="846"/>
      <c r="H1374" s="847"/>
      <c r="I1374" s="846"/>
      <c r="J1374" s="847"/>
      <c r="K1374" s="846"/>
      <c r="L1374" s="847"/>
      <c r="M1374" s="846"/>
      <c r="N1374" s="846"/>
      <c r="O1374" s="737">
        <f t="shared" si="175"/>
        <v>0</v>
      </c>
      <c r="P1374" s="847"/>
      <c r="Q1374" s="847"/>
      <c r="R1374" s="738">
        <f t="shared" si="178"/>
        <v>0</v>
      </c>
      <c r="S1374" s="737">
        <f t="shared" si="179"/>
        <v>0</v>
      </c>
      <c r="T1374" s="739">
        <f t="shared" si="180"/>
        <v>0</v>
      </c>
      <c r="U1374" s="846">
        <v>68657528</v>
      </c>
      <c r="V1374" s="847">
        <v>54183450</v>
      </c>
      <c r="W1374" s="846"/>
      <c r="X1374" s="846"/>
      <c r="Y1374" s="740">
        <f t="shared" si="176"/>
        <v>0</v>
      </c>
      <c r="Z1374" s="847"/>
      <c r="AA1374" s="847"/>
      <c r="AB1374" s="741">
        <f t="shared" si="177"/>
        <v>0</v>
      </c>
      <c r="AC1374" s="846"/>
      <c r="AD1374" s="847"/>
      <c r="AE1374" s="846"/>
      <c r="AF1374" s="846"/>
      <c r="AG1374" s="847"/>
      <c r="AH1374" s="847"/>
      <c r="AI1374" s="742">
        <f t="shared" si="181"/>
        <v>68657528</v>
      </c>
      <c r="AJ1374" s="743">
        <f t="shared" si="182"/>
        <v>54183450</v>
      </c>
    </row>
    <row r="1375" spans="1:36">
      <c r="A1375" s="1243" t="s">
        <v>151</v>
      </c>
      <c r="B1375" s="1244" t="s">
        <v>251</v>
      </c>
      <c r="C1375" s="1019" t="s">
        <v>249</v>
      </c>
      <c r="D1375" s="1020"/>
      <c r="E1375" s="1256"/>
      <c r="F1375" s="1001"/>
      <c r="G1375" s="846"/>
      <c r="H1375" s="847"/>
      <c r="I1375" s="846"/>
      <c r="J1375" s="847"/>
      <c r="K1375" s="846"/>
      <c r="L1375" s="847"/>
      <c r="M1375" s="846"/>
      <c r="N1375" s="846"/>
      <c r="O1375" s="737">
        <f t="shared" si="175"/>
        <v>0</v>
      </c>
      <c r="P1375" s="847"/>
      <c r="Q1375" s="847"/>
      <c r="R1375" s="738">
        <f t="shared" si="178"/>
        <v>0</v>
      </c>
      <c r="S1375" s="737">
        <f t="shared" si="179"/>
        <v>0</v>
      </c>
      <c r="T1375" s="739">
        <f t="shared" si="180"/>
        <v>0</v>
      </c>
      <c r="U1375" s="846"/>
      <c r="V1375" s="847"/>
      <c r="W1375" s="846"/>
      <c r="X1375" s="846"/>
      <c r="Y1375" s="740">
        <f t="shared" si="176"/>
        <v>0</v>
      </c>
      <c r="Z1375" s="847"/>
      <c r="AA1375" s="847"/>
      <c r="AB1375" s="741">
        <f t="shared" si="177"/>
        <v>0</v>
      </c>
      <c r="AC1375" s="846"/>
      <c r="AD1375" s="847"/>
      <c r="AE1375" s="846"/>
      <c r="AF1375" s="846"/>
      <c r="AG1375" s="847"/>
      <c r="AH1375" s="847"/>
      <c r="AI1375" s="742">
        <f t="shared" si="181"/>
        <v>0</v>
      </c>
      <c r="AJ1375" s="743">
        <f t="shared" si="182"/>
        <v>0</v>
      </c>
    </row>
    <row r="1376" spans="1:36">
      <c r="A1376" s="1243" t="s">
        <v>151</v>
      </c>
      <c r="B1376" s="1018" t="s">
        <v>205</v>
      </c>
      <c r="C1376" s="1019" t="s">
        <v>523</v>
      </c>
      <c r="D1376" s="1020"/>
      <c r="E1376" s="1256"/>
      <c r="F1376" s="1001"/>
      <c r="G1376" s="846"/>
      <c r="H1376" s="847"/>
      <c r="I1376" s="846"/>
      <c r="J1376" s="847"/>
      <c r="K1376" s="846"/>
      <c r="L1376" s="847"/>
      <c r="M1376" s="846"/>
      <c r="N1376" s="846"/>
      <c r="O1376" s="737">
        <f t="shared" si="175"/>
        <v>0</v>
      </c>
      <c r="P1376" s="847"/>
      <c r="Q1376" s="847"/>
      <c r="R1376" s="738">
        <f t="shared" si="178"/>
        <v>0</v>
      </c>
      <c r="S1376" s="737">
        <f t="shared" si="179"/>
        <v>0</v>
      </c>
      <c r="T1376" s="739">
        <f t="shared" si="180"/>
        <v>0</v>
      </c>
      <c r="U1376" s="846"/>
      <c r="V1376" s="847"/>
      <c r="W1376" s="846"/>
      <c r="X1376" s="846"/>
      <c r="Y1376" s="740">
        <f t="shared" si="176"/>
        <v>0</v>
      </c>
      <c r="Z1376" s="847"/>
      <c r="AA1376" s="847"/>
      <c r="AB1376" s="741">
        <f t="shared" si="177"/>
        <v>0</v>
      </c>
      <c r="AC1376" s="846"/>
      <c r="AD1376" s="847"/>
      <c r="AE1376" s="846"/>
      <c r="AF1376" s="846"/>
      <c r="AG1376" s="847"/>
      <c r="AH1376" s="847"/>
      <c r="AI1376" s="742">
        <f t="shared" si="181"/>
        <v>0</v>
      </c>
      <c r="AJ1376" s="743">
        <f t="shared" si="182"/>
        <v>0</v>
      </c>
    </row>
    <row r="1377" spans="1:36">
      <c r="A1377" s="1243" t="s">
        <v>151</v>
      </c>
      <c r="B1377" s="1018" t="s">
        <v>218</v>
      </c>
      <c r="C1377" s="1019" t="s">
        <v>311</v>
      </c>
      <c r="D1377" s="1020"/>
      <c r="E1377" s="1260"/>
      <c r="F1377" s="1001"/>
      <c r="G1377" s="846"/>
      <c r="H1377" s="847"/>
      <c r="I1377" s="846"/>
      <c r="J1377" s="847"/>
      <c r="K1377" s="846"/>
      <c r="L1377" s="847"/>
      <c r="M1377" s="846"/>
      <c r="N1377" s="846"/>
      <c r="O1377" s="737">
        <f t="shared" si="175"/>
        <v>0</v>
      </c>
      <c r="P1377" s="847"/>
      <c r="Q1377" s="847"/>
      <c r="R1377" s="738">
        <f t="shared" si="178"/>
        <v>0</v>
      </c>
      <c r="S1377" s="737">
        <f t="shared" si="179"/>
        <v>0</v>
      </c>
      <c r="T1377" s="739">
        <f t="shared" si="180"/>
        <v>0</v>
      </c>
      <c r="U1377" s="846">
        <v>15329700</v>
      </c>
      <c r="V1377" s="847">
        <v>7199300</v>
      </c>
      <c r="W1377" s="846"/>
      <c r="X1377" s="846"/>
      <c r="Y1377" s="740">
        <f t="shared" si="176"/>
        <v>0</v>
      </c>
      <c r="Z1377" s="847"/>
      <c r="AA1377" s="847"/>
      <c r="AB1377" s="741">
        <f t="shared" si="177"/>
        <v>0</v>
      </c>
      <c r="AC1377" s="846"/>
      <c r="AD1377" s="847"/>
      <c r="AE1377" s="846"/>
      <c r="AF1377" s="846"/>
      <c r="AG1377" s="847"/>
      <c r="AH1377" s="847"/>
      <c r="AI1377" s="742">
        <f t="shared" si="181"/>
        <v>15329700</v>
      </c>
      <c r="AJ1377" s="743">
        <f t="shared" si="182"/>
        <v>7199300</v>
      </c>
    </row>
    <row r="1378" spans="1:36">
      <c r="A1378" s="1243" t="s">
        <v>151</v>
      </c>
      <c r="B1378" s="1244" t="s">
        <v>251</v>
      </c>
      <c r="C1378" s="1019" t="s">
        <v>249</v>
      </c>
      <c r="D1378" s="1020"/>
      <c r="E1378" s="1260"/>
      <c r="F1378" s="1001"/>
      <c r="G1378" s="846"/>
      <c r="H1378" s="847"/>
      <c r="I1378" s="846"/>
      <c r="J1378" s="847"/>
      <c r="K1378" s="846"/>
      <c r="L1378" s="847"/>
      <c r="M1378" s="846"/>
      <c r="N1378" s="846"/>
      <c r="O1378" s="737">
        <f t="shared" si="175"/>
        <v>0</v>
      </c>
      <c r="P1378" s="847"/>
      <c r="Q1378" s="847"/>
      <c r="R1378" s="738">
        <f t="shared" si="178"/>
        <v>0</v>
      </c>
      <c r="S1378" s="737">
        <f t="shared" si="179"/>
        <v>0</v>
      </c>
      <c r="T1378" s="739">
        <f t="shared" si="180"/>
        <v>0</v>
      </c>
      <c r="U1378" s="846"/>
      <c r="V1378" s="847"/>
      <c r="W1378" s="846"/>
      <c r="X1378" s="846"/>
      <c r="Y1378" s="740">
        <f t="shared" si="176"/>
        <v>0</v>
      </c>
      <c r="Z1378" s="847"/>
      <c r="AA1378" s="847"/>
      <c r="AB1378" s="741">
        <f t="shared" si="177"/>
        <v>0</v>
      </c>
      <c r="AC1378" s="846"/>
      <c r="AD1378" s="847"/>
      <c r="AE1378" s="846"/>
      <c r="AF1378" s="846"/>
      <c r="AG1378" s="847"/>
      <c r="AH1378" s="847"/>
      <c r="AI1378" s="742">
        <f t="shared" si="181"/>
        <v>0</v>
      </c>
      <c r="AJ1378" s="743">
        <f t="shared" si="182"/>
        <v>0</v>
      </c>
    </row>
    <row r="1379" spans="1:36">
      <c r="A1379" s="1243" t="s">
        <v>151</v>
      </c>
      <c r="B1379" s="1244" t="s">
        <v>292</v>
      </c>
      <c r="C1379" s="1261" t="s">
        <v>1469</v>
      </c>
      <c r="D1379" s="1262"/>
      <c r="E1379" s="1256"/>
      <c r="F1379" s="1001"/>
      <c r="G1379" s="846"/>
      <c r="H1379" s="847"/>
      <c r="I1379" s="846"/>
      <c r="J1379" s="847"/>
      <c r="K1379" s="846"/>
      <c r="L1379" s="847"/>
      <c r="M1379" s="846"/>
      <c r="N1379" s="846"/>
      <c r="O1379" s="737">
        <f t="shared" si="175"/>
        <v>0</v>
      </c>
      <c r="P1379" s="847"/>
      <c r="Q1379" s="847"/>
      <c r="R1379" s="738">
        <f t="shared" si="178"/>
        <v>0</v>
      </c>
      <c r="S1379" s="737">
        <f t="shared" si="179"/>
        <v>0</v>
      </c>
      <c r="T1379" s="739">
        <f t="shared" si="180"/>
        <v>0</v>
      </c>
      <c r="U1379" s="846"/>
      <c r="V1379" s="847"/>
      <c r="W1379" s="846"/>
      <c r="X1379" s="846"/>
      <c r="Y1379" s="740">
        <f t="shared" si="176"/>
        <v>0</v>
      </c>
      <c r="Z1379" s="847"/>
      <c r="AA1379" s="847"/>
      <c r="AB1379" s="741">
        <f t="shared" si="177"/>
        <v>0</v>
      </c>
      <c r="AC1379" s="846"/>
      <c r="AD1379" s="847"/>
      <c r="AE1379" s="846"/>
      <c r="AF1379" s="846"/>
      <c r="AG1379" s="847"/>
      <c r="AH1379" s="847"/>
      <c r="AI1379" s="742">
        <f t="shared" si="181"/>
        <v>0</v>
      </c>
      <c r="AJ1379" s="743">
        <f t="shared" si="182"/>
        <v>0</v>
      </c>
    </row>
    <row r="1380" spans="1:36">
      <c r="A1380" s="1243" t="s">
        <v>151</v>
      </c>
      <c r="B1380" s="1244" t="s">
        <v>310</v>
      </c>
      <c r="C1380" s="1019" t="s">
        <v>311</v>
      </c>
      <c r="D1380" s="1020"/>
      <c r="E1380" s="1256"/>
      <c r="F1380" s="1001"/>
      <c r="G1380" s="846"/>
      <c r="H1380" s="847"/>
      <c r="I1380" s="846"/>
      <c r="J1380" s="847"/>
      <c r="K1380" s="846"/>
      <c r="L1380" s="847"/>
      <c r="M1380" s="846"/>
      <c r="N1380" s="846"/>
      <c r="O1380" s="737">
        <f t="shared" si="175"/>
        <v>0</v>
      </c>
      <c r="P1380" s="847"/>
      <c r="Q1380" s="847"/>
      <c r="R1380" s="738">
        <f t="shared" si="178"/>
        <v>0</v>
      </c>
      <c r="S1380" s="737">
        <f t="shared" si="179"/>
        <v>0</v>
      </c>
      <c r="T1380" s="739">
        <f t="shared" si="180"/>
        <v>0</v>
      </c>
      <c r="U1380" s="846"/>
      <c r="V1380" s="847"/>
      <c r="W1380" s="846"/>
      <c r="X1380" s="846"/>
      <c r="Y1380" s="740">
        <f t="shared" si="176"/>
        <v>0</v>
      </c>
      <c r="Z1380" s="847"/>
      <c r="AA1380" s="847"/>
      <c r="AB1380" s="741">
        <f t="shared" si="177"/>
        <v>0</v>
      </c>
      <c r="AC1380" s="846"/>
      <c r="AD1380" s="847"/>
      <c r="AE1380" s="846"/>
      <c r="AF1380" s="846"/>
      <c r="AG1380" s="847"/>
      <c r="AH1380" s="847"/>
      <c r="AI1380" s="742">
        <f t="shared" si="181"/>
        <v>0</v>
      </c>
      <c r="AJ1380" s="743">
        <f t="shared" si="182"/>
        <v>0</v>
      </c>
    </row>
    <row r="1381" spans="1:36">
      <c r="A1381" s="1243" t="s">
        <v>151</v>
      </c>
      <c r="B1381" s="1244" t="s">
        <v>251</v>
      </c>
      <c r="C1381" s="1019" t="s">
        <v>249</v>
      </c>
      <c r="D1381" s="1020"/>
      <c r="E1381" s="1256"/>
      <c r="F1381" s="1001"/>
      <c r="G1381" s="846"/>
      <c r="H1381" s="847"/>
      <c r="I1381" s="846"/>
      <c r="J1381" s="847"/>
      <c r="K1381" s="846"/>
      <c r="L1381" s="847"/>
      <c r="M1381" s="846"/>
      <c r="N1381" s="846"/>
      <c r="O1381" s="737">
        <f t="shared" si="175"/>
        <v>0</v>
      </c>
      <c r="P1381" s="847"/>
      <c r="Q1381" s="847"/>
      <c r="R1381" s="738">
        <f t="shared" si="178"/>
        <v>0</v>
      </c>
      <c r="S1381" s="737">
        <f t="shared" si="179"/>
        <v>0</v>
      </c>
      <c r="T1381" s="739">
        <f t="shared" si="180"/>
        <v>0</v>
      </c>
      <c r="U1381" s="846"/>
      <c r="V1381" s="847"/>
      <c r="W1381" s="846"/>
      <c r="X1381" s="846"/>
      <c r="Y1381" s="740">
        <f t="shared" si="176"/>
        <v>0</v>
      </c>
      <c r="Z1381" s="847"/>
      <c r="AA1381" s="847"/>
      <c r="AB1381" s="741">
        <f t="shared" si="177"/>
        <v>0</v>
      </c>
      <c r="AC1381" s="846"/>
      <c r="AD1381" s="847"/>
      <c r="AE1381" s="846"/>
      <c r="AF1381" s="846"/>
      <c r="AG1381" s="847"/>
      <c r="AH1381" s="847"/>
      <c r="AI1381" s="742">
        <f t="shared" si="181"/>
        <v>0</v>
      </c>
      <c r="AJ1381" s="743">
        <f t="shared" si="182"/>
        <v>0</v>
      </c>
    </row>
    <row r="1382" spans="1:36">
      <c r="A1382" s="1243" t="s">
        <v>151</v>
      </c>
      <c r="B1382" s="1018" t="s">
        <v>209</v>
      </c>
      <c r="C1382" s="1019" t="s">
        <v>522</v>
      </c>
      <c r="D1382" s="1020"/>
      <c r="E1382" s="1256"/>
      <c r="F1382" s="1001"/>
      <c r="G1382" s="846"/>
      <c r="H1382" s="847"/>
      <c r="I1382" s="846"/>
      <c r="J1382" s="847"/>
      <c r="K1382" s="846"/>
      <c r="L1382" s="847"/>
      <c r="M1382" s="846"/>
      <c r="N1382" s="846"/>
      <c r="O1382" s="737">
        <f t="shared" si="175"/>
        <v>0</v>
      </c>
      <c r="P1382" s="847"/>
      <c r="Q1382" s="847"/>
      <c r="R1382" s="738">
        <f t="shared" si="178"/>
        <v>0</v>
      </c>
      <c r="S1382" s="737">
        <f t="shared" si="179"/>
        <v>0</v>
      </c>
      <c r="T1382" s="739">
        <f t="shared" si="180"/>
        <v>0</v>
      </c>
      <c r="U1382" s="846"/>
      <c r="V1382" s="847"/>
      <c r="W1382" s="846"/>
      <c r="X1382" s="846"/>
      <c r="Y1382" s="740">
        <f t="shared" si="176"/>
        <v>0</v>
      </c>
      <c r="Z1382" s="847"/>
      <c r="AA1382" s="847"/>
      <c r="AB1382" s="741">
        <f t="shared" si="177"/>
        <v>0</v>
      </c>
      <c r="AC1382" s="846"/>
      <c r="AD1382" s="847"/>
      <c r="AE1382" s="846"/>
      <c r="AF1382" s="846"/>
      <c r="AG1382" s="847"/>
      <c r="AH1382" s="847"/>
      <c r="AI1382" s="742">
        <f t="shared" si="181"/>
        <v>0</v>
      </c>
      <c r="AJ1382" s="743">
        <f t="shared" si="182"/>
        <v>0</v>
      </c>
    </row>
    <row r="1383" spans="1:36">
      <c r="A1383" s="1243" t="s">
        <v>151</v>
      </c>
      <c r="B1383" s="1018" t="s">
        <v>210</v>
      </c>
      <c r="C1383" s="1019" t="s">
        <v>311</v>
      </c>
      <c r="D1383" s="1020"/>
      <c r="E1383" s="1256"/>
      <c r="F1383" s="1001"/>
      <c r="G1383" s="846"/>
      <c r="H1383" s="847"/>
      <c r="I1383" s="846"/>
      <c r="J1383" s="847"/>
      <c r="K1383" s="846"/>
      <c r="L1383" s="847"/>
      <c r="M1383" s="846"/>
      <c r="N1383" s="846"/>
      <c r="O1383" s="737">
        <f t="shared" si="175"/>
        <v>0</v>
      </c>
      <c r="P1383" s="847"/>
      <c r="Q1383" s="847"/>
      <c r="R1383" s="738">
        <f t="shared" si="178"/>
        <v>0</v>
      </c>
      <c r="S1383" s="737">
        <f t="shared" si="179"/>
        <v>0</v>
      </c>
      <c r="T1383" s="739">
        <f t="shared" si="180"/>
        <v>0</v>
      </c>
      <c r="U1383" s="846">
        <v>5665833</v>
      </c>
      <c r="V1383" s="847">
        <v>6192571</v>
      </c>
      <c r="W1383" s="846"/>
      <c r="X1383" s="846"/>
      <c r="Y1383" s="740">
        <f t="shared" si="176"/>
        <v>0</v>
      </c>
      <c r="Z1383" s="847"/>
      <c r="AA1383" s="847"/>
      <c r="AB1383" s="741">
        <f t="shared" si="177"/>
        <v>0</v>
      </c>
      <c r="AC1383" s="846"/>
      <c r="AD1383" s="847"/>
      <c r="AE1383" s="846"/>
      <c r="AF1383" s="846"/>
      <c r="AG1383" s="847"/>
      <c r="AH1383" s="847"/>
      <c r="AI1383" s="742">
        <f t="shared" si="181"/>
        <v>5665833</v>
      </c>
      <c r="AJ1383" s="743">
        <f t="shared" si="182"/>
        <v>6192571</v>
      </c>
    </row>
    <row r="1384" spans="1:36">
      <c r="A1384" s="1243" t="s">
        <v>151</v>
      </c>
      <c r="B1384" s="1244" t="s">
        <v>251</v>
      </c>
      <c r="C1384" s="1019" t="s">
        <v>249</v>
      </c>
      <c r="D1384" s="1020"/>
      <c r="E1384" s="1256"/>
      <c r="F1384" s="1001"/>
      <c r="G1384" s="846"/>
      <c r="H1384" s="847"/>
      <c r="I1384" s="846"/>
      <c r="J1384" s="847"/>
      <c r="K1384" s="846"/>
      <c r="L1384" s="847"/>
      <c r="M1384" s="846"/>
      <c r="N1384" s="846"/>
      <c r="O1384" s="737">
        <f t="shared" si="175"/>
        <v>0</v>
      </c>
      <c r="P1384" s="847"/>
      <c r="Q1384" s="847"/>
      <c r="R1384" s="738">
        <f t="shared" si="178"/>
        <v>0</v>
      </c>
      <c r="S1384" s="737">
        <f t="shared" si="179"/>
        <v>0</v>
      </c>
      <c r="T1384" s="739">
        <f t="shared" si="180"/>
        <v>0</v>
      </c>
      <c r="U1384" s="846"/>
      <c r="V1384" s="847"/>
      <c r="W1384" s="846"/>
      <c r="X1384" s="846"/>
      <c r="Y1384" s="740">
        <f t="shared" si="176"/>
        <v>0</v>
      </c>
      <c r="Z1384" s="847"/>
      <c r="AA1384" s="847"/>
      <c r="AB1384" s="741">
        <f t="shared" si="177"/>
        <v>0</v>
      </c>
      <c r="AC1384" s="846"/>
      <c r="AD1384" s="847"/>
      <c r="AE1384" s="846"/>
      <c r="AF1384" s="846"/>
      <c r="AG1384" s="847"/>
      <c r="AH1384" s="847"/>
      <c r="AI1384" s="742">
        <f t="shared" si="181"/>
        <v>0</v>
      </c>
      <c r="AJ1384" s="743">
        <f t="shared" si="182"/>
        <v>0</v>
      </c>
    </row>
    <row r="1385" spans="1:36">
      <c r="A1385" s="1243" t="s">
        <v>151</v>
      </c>
      <c r="B1385" s="1018" t="s">
        <v>205</v>
      </c>
      <c r="C1385" s="1019" t="s">
        <v>523</v>
      </c>
      <c r="D1385" s="1020"/>
      <c r="E1385" s="1256"/>
      <c r="F1385" s="1001"/>
      <c r="G1385" s="846"/>
      <c r="H1385" s="847"/>
      <c r="I1385" s="846"/>
      <c r="J1385" s="847"/>
      <c r="K1385" s="846"/>
      <c r="L1385" s="847"/>
      <c r="M1385" s="846"/>
      <c r="N1385" s="846"/>
      <c r="O1385" s="737">
        <f t="shared" si="175"/>
        <v>0</v>
      </c>
      <c r="P1385" s="847"/>
      <c r="Q1385" s="847"/>
      <c r="R1385" s="738">
        <f t="shared" si="178"/>
        <v>0</v>
      </c>
      <c r="S1385" s="737">
        <f t="shared" si="179"/>
        <v>0</v>
      </c>
      <c r="T1385" s="739">
        <f t="shared" si="180"/>
        <v>0</v>
      </c>
      <c r="U1385" s="846"/>
      <c r="V1385" s="847"/>
      <c r="W1385" s="846"/>
      <c r="X1385" s="846"/>
      <c r="Y1385" s="740">
        <f t="shared" si="176"/>
        <v>0</v>
      </c>
      <c r="Z1385" s="847"/>
      <c r="AA1385" s="847"/>
      <c r="AB1385" s="741">
        <f t="shared" si="177"/>
        <v>0</v>
      </c>
      <c r="AC1385" s="846"/>
      <c r="AD1385" s="847"/>
      <c r="AE1385" s="846"/>
      <c r="AF1385" s="846"/>
      <c r="AG1385" s="847"/>
      <c r="AH1385" s="847"/>
      <c r="AI1385" s="742">
        <f t="shared" si="181"/>
        <v>0</v>
      </c>
      <c r="AJ1385" s="743">
        <f t="shared" si="182"/>
        <v>0</v>
      </c>
    </row>
    <row r="1386" spans="1:36">
      <c r="A1386" s="1243" t="s">
        <v>151</v>
      </c>
      <c r="B1386" s="1018" t="s">
        <v>218</v>
      </c>
      <c r="C1386" s="1019" t="s">
        <v>311</v>
      </c>
      <c r="D1386" s="1020"/>
      <c r="E1386" s="1256"/>
      <c r="F1386" s="1001"/>
      <c r="G1386" s="846"/>
      <c r="H1386" s="847"/>
      <c r="I1386" s="846"/>
      <c r="J1386" s="847"/>
      <c r="K1386" s="846"/>
      <c r="L1386" s="847"/>
      <c r="M1386" s="846"/>
      <c r="N1386" s="846"/>
      <c r="O1386" s="737">
        <f t="shared" si="175"/>
        <v>0</v>
      </c>
      <c r="P1386" s="847"/>
      <c r="Q1386" s="847"/>
      <c r="R1386" s="738">
        <f t="shared" si="178"/>
        <v>0</v>
      </c>
      <c r="S1386" s="737">
        <f t="shared" si="179"/>
        <v>0</v>
      </c>
      <c r="T1386" s="739">
        <f t="shared" si="180"/>
        <v>0</v>
      </c>
      <c r="U1386" s="846">
        <v>1115125</v>
      </c>
      <c r="V1386" s="847">
        <v>1175550</v>
      </c>
      <c r="W1386" s="846"/>
      <c r="X1386" s="846"/>
      <c r="Y1386" s="740">
        <f t="shared" si="176"/>
        <v>0</v>
      </c>
      <c r="Z1386" s="847"/>
      <c r="AA1386" s="847"/>
      <c r="AB1386" s="741">
        <f t="shared" si="177"/>
        <v>0</v>
      </c>
      <c r="AC1386" s="846"/>
      <c r="AD1386" s="847"/>
      <c r="AE1386" s="846"/>
      <c r="AF1386" s="846"/>
      <c r="AG1386" s="847"/>
      <c r="AH1386" s="847"/>
      <c r="AI1386" s="742">
        <f t="shared" si="181"/>
        <v>1115125</v>
      </c>
      <c r="AJ1386" s="743">
        <f t="shared" si="182"/>
        <v>1175550</v>
      </c>
    </row>
    <row r="1387" spans="1:36">
      <c r="A1387" s="1243" t="s">
        <v>151</v>
      </c>
      <c r="B1387" s="1244" t="s">
        <v>251</v>
      </c>
      <c r="C1387" s="1019" t="s">
        <v>249</v>
      </c>
      <c r="D1387" s="1020"/>
      <c r="E1387" s="1256"/>
      <c r="F1387" s="1001"/>
      <c r="G1387" s="846"/>
      <c r="H1387" s="847"/>
      <c r="I1387" s="846"/>
      <c r="J1387" s="847"/>
      <c r="K1387" s="846"/>
      <c r="L1387" s="847"/>
      <c r="M1387" s="846"/>
      <c r="N1387" s="846"/>
      <c r="O1387" s="737">
        <f t="shared" si="175"/>
        <v>0</v>
      </c>
      <c r="P1387" s="847"/>
      <c r="Q1387" s="847"/>
      <c r="R1387" s="738">
        <f t="shared" si="178"/>
        <v>0</v>
      </c>
      <c r="S1387" s="737">
        <f t="shared" si="179"/>
        <v>0</v>
      </c>
      <c r="T1387" s="739">
        <f t="shared" si="180"/>
        <v>0</v>
      </c>
      <c r="U1387" s="846"/>
      <c r="V1387" s="847"/>
      <c r="W1387" s="846"/>
      <c r="X1387" s="846"/>
      <c r="Y1387" s="740">
        <f t="shared" si="176"/>
        <v>0</v>
      </c>
      <c r="Z1387" s="847"/>
      <c r="AA1387" s="847"/>
      <c r="AB1387" s="741">
        <f t="shared" si="177"/>
        <v>0</v>
      </c>
      <c r="AC1387" s="846"/>
      <c r="AD1387" s="847"/>
      <c r="AE1387" s="846"/>
      <c r="AF1387" s="846"/>
      <c r="AG1387" s="847"/>
      <c r="AH1387" s="847"/>
      <c r="AI1387" s="742">
        <f t="shared" si="181"/>
        <v>0</v>
      </c>
      <c r="AJ1387" s="743">
        <f t="shared" si="182"/>
        <v>0</v>
      </c>
    </row>
    <row r="1388" spans="1:36">
      <c r="A1388" s="1243" t="s">
        <v>151</v>
      </c>
      <c r="B1388" s="1263" t="s">
        <v>292</v>
      </c>
      <c r="C1388" s="1261" t="s">
        <v>1470</v>
      </c>
      <c r="D1388" s="1262"/>
      <c r="E1388" s="1256"/>
      <c r="F1388" s="1001"/>
      <c r="G1388" s="846"/>
      <c r="H1388" s="847"/>
      <c r="I1388" s="846"/>
      <c r="J1388" s="847"/>
      <c r="K1388" s="846"/>
      <c r="L1388" s="847"/>
      <c r="M1388" s="846"/>
      <c r="N1388" s="846"/>
      <c r="O1388" s="737">
        <f t="shared" si="175"/>
        <v>0</v>
      </c>
      <c r="P1388" s="847"/>
      <c r="Q1388" s="847"/>
      <c r="R1388" s="738">
        <f t="shared" si="178"/>
        <v>0</v>
      </c>
      <c r="S1388" s="737">
        <f t="shared" si="179"/>
        <v>0</v>
      </c>
      <c r="T1388" s="739">
        <f t="shared" si="180"/>
        <v>0</v>
      </c>
      <c r="U1388" s="846"/>
      <c r="V1388" s="847"/>
      <c r="W1388" s="846"/>
      <c r="X1388" s="846"/>
      <c r="Y1388" s="740">
        <f t="shared" si="176"/>
        <v>0</v>
      </c>
      <c r="Z1388" s="847"/>
      <c r="AA1388" s="847"/>
      <c r="AB1388" s="741">
        <f t="shared" si="177"/>
        <v>0</v>
      </c>
      <c r="AC1388" s="846"/>
      <c r="AD1388" s="847"/>
      <c r="AE1388" s="846"/>
      <c r="AF1388" s="846"/>
      <c r="AG1388" s="847"/>
      <c r="AH1388" s="847"/>
      <c r="AI1388" s="742">
        <f t="shared" si="181"/>
        <v>0</v>
      </c>
      <c r="AJ1388" s="743">
        <f t="shared" si="182"/>
        <v>0</v>
      </c>
    </row>
    <row r="1389" spans="1:36">
      <c r="A1389" s="1243" t="s">
        <v>151</v>
      </c>
      <c r="B1389" s="1244" t="s">
        <v>209</v>
      </c>
      <c r="C1389" s="1248" t="s">
        <v>522</v>
      </c>
      <c r="D1389" s="1014"/>
      <c r="E1389" s="1256"/>
      <c r="F1389" s="1001"/>
      <c r="G1389" s="846"/>
      <c r="H1389" s="847"/>
      <c r="I1389" s="846"/>
      <c r="J1389" s="847"/>
      <c r="K1389" s="846"/>
      <c r="L1389" s="847"/>
      <c r="M1389" s="846"/>
      <c r="N1389" s="846"/>
      <c r="O1389" s="737">
        <f t="shared" si="175"/>
        <v>0</v>
      </c>
      <c r="P1389" s="847"/>
      <c r="Q1389" s="847"/>
      <c r="R1389" s="738">
        <f t="shared" si="178"/>
        <v>0</v>
      </c>
      <c r="S1389" s="737">
        <f t="shared" si="179"/>
        <v>0</v>
      </c>
      <c r="T1389" s="739">
        <f t="shared" si="180"/>
        <v>0</v>
      </c>
      <c r="U1389" s="846"/>
      <c r="V1389" s="847"/>
      <c r="W1389" s="846"/>
      <c r="X1389" s="846"/>
      <c r="Y1389" s="740">
        <f t="shared" si="176"/>
        <v>0</v>
      </c>
      <c r="Z1389" s="847"/>
      <c r="AA1389" s="847"/>
      <c r="AB1389" s="741">
        <f t="shared" si="177"/>
        <v>0</v>
      </c>
      <c r="AC1389" s="846"/>
      <c r="AD1389" s="847"/>
      <c r="AE1389" s="846"/>
      <c r="AF1389" s="846"/>
      <c r="AG1389" s="847"/>
      <c r="AH1389" s="847"/>
      <c r="AI1389" s="742">
        <f t="shared" si="181"/>
        <v>0</v>
      </c>
      <c r="AJ1389" s="743">
        <f t="shared" si="182"/>
        <v>0</v>
      </c>
    </row>
    <row r="1390" spans="1:36">
      <c r="A1390" s="1243" t="s">
        <v>151</v>
      </c>
      <c r="B1390" s="1244" t="s">
        <v>210</v>
      </c>
      <c r="C1390" s="1248" t="s">
        <v>311</v>
      </c>
      <c r="D1390" s="1014"/>
      <c r="E1390" s="1256"/>
      <c r="F1390" s="1001"/>
      <c r="G1390" s="846"/>
      <c r="H1390" s="847"/>
      <c r="I1390" s="846"/>
      <c r="J1390" s="847"/>
      <c r="K1390" s="846"/>
      <c r="L1390" s="847"/>
      <c r="M1390" s="846"/>
      <c r="N1390" s="846"/>
      <c r="O1390" s="737">
        <f t="shared" si="175"/>
        <v>0</v>
      </c>
      <c r="P1390" s="847"/>
      <c r="Q1390" s="847"/>
      <c r="R1390" s="738">
        <f t="shared" si="178"/>
        <v>0</v>
      </c>
      <c r="S1390" s="737">
        <f t="shared" si="179"/>
        <v>0</v>
      </c>
      <c r="T1390" s="739">
        <f t="shared" si="180"/>
        <v>0</v>
      </c>
      <c r="U1390" s="846"/>
      <c r="V1390" s="847"/>
      <c r="W1390" s="846"/>
      <c r="X1390" s="846"/>
      <c r="Y1390" s="740">
        <f t="shared" si="176"/>
        <v>0</v>
      </c>
      <c r="Z1390" s="847"/>
      <c r="AA1390" s="847"/>
      <c r="AB1390" s="741">
        <f t="shared" si="177"/>
        <v>0</v>
      </c>
      <c r="AC1390" s="846"/>
      <c r="AD1390" s="847"/>
      <c r="AE1390" s="846"/>
      <c r="AF1390" s="846"/>
      <c r="AG1390" s="847"/>
      <c r="AH1390" s="847"/>
      <c r="AI1390" s="742">
        <f t="shared" si="181"/>
        <v>0</v>
      </c>
      <c r="AJ1390" s="743">
        <f t="shared" si="182"/>
        <v>0</v>
      </c>
    </row>
    <row r="1391" spans="1:36">
      <c r="A1391" s="1243" t="s">
        <v>151</v>
      </c>
      <c r="B1391" s="1244" t="s">
        <v>204</v>
      </c>
      <c r="C1391" s="1248" t="s">
        <v>1471</v>
      </c>
      <c r="D1391" s="1014"/>
      <c r="E1391" s="1256"/>
      <c r="F1391" s="1001"/>
      <c r="G1391" s="846"/>
      <c r="H1391" s="847"/>
      <c r="I1391" s="846"/>
      <c r="J1391" s="847"/>
      <c r="K1391" s="846"/>
      <c r="L1391" s="847"/>
      <c r="M1391" s="846"/>
      <c r="N1391" s="846"/>
      <c r="O1391" s="737">
        <f t="shared" si="175"/>
        <v>0</v>
      </c>
      <c r="P1391" s="847"/>
      <c r="Q1391" s="847"/>
      <c r="R1391" s="738">
        <f t="shared" si="178"/>
        <v>0</v>
      </c>
      <c r="S1391" s="737">
        <f t="shared" si="179"/>
        <v>0</v>
      </c>
      <c r="T1391" s="739">
        <f t="shared" si="180"/>
        <v>0</v>
      </c>
      <c r="U1391" s="846">
        <v>516032</v>
      </c>
      <c r="V1391" s="847">
        <v>590845</v>
      </c>
      <c r="W1391" s="846"/>
      <c r="X1391" s="846"/>
      <c r="Y1391" s="740">
        <f t="shared" si="176"/>
        <v>0</v>
      </c>
      <c r="Z1391" s="847"/>
      <c r="AA1391" s="847"/>
      <c r="AB1391" s="741">
        <f t="shared" si="177"/>
        <v>0</v>
      </c>
      <c r="AC1391" s="846"/>
      <c r="AD1391" s="847"/>
      <c r="AE1391" s="846"/>
      <c r="AF1391" s="846"/>
      <c r="AG1391" s="847"/>
      <c r="AH1391" s="847"/>
      <c r="AI1391" s="742">
        <f t="shared" si="181"/>
        <v>516032</v>
      </c>
      <c r="AJ1391" s="743">
        <f t="shared" si="182"/>
        <v>590845</v>
      </c>
    </row>
    <row r="1392" spans="1:36">
      <c r="A1392" s="1243" t="s">
        <v>151</v>
      </c>
      <c r="B1392" s="1018" t="s">
        <v>205</v>
      </c>
      <c r="C1392" s="1019" t="s">
        <v>523</v>
      </c>
      <c r="D1392" s="1020"/>
      <c r="E1392" s="1256"/>
      <c r="F1392" s="1001"/>
      <c r="G1392" s="846"/>
      <c r="H1392" s="847"/>
      <c r="I1392" s="846"/>
      <c r="J1392" s="847"/>
      <c r="K1392" s="846"/>
      <c r="L1392" s="847"/>
      <c r="M1392" s="846"/>
      <c r="N1392" s="846"/>
      <c r="O1392" s="737">
        <f t="shared" si="175"/>
        <v>0</v>
      </c>
      <c r="P1392" s="847"/>
      <c r="Q1392" s="847"/>
      <c r="R1392" s="738">
        <f t="shared" si="178"/>
        <v>0</v>
      </c>
      <c r="S1392" s="737">
        <f t="shared" si="179"/>
        <v>0</v>
      </c>
      <c r="T1392" s="739">
        <f t="shared" si="180"/>
        <v>0</v>
      </c>
      <c r="U1392" s="846"/>
      <c r="V1392" s="847"/>
      <c r="W1392" s="846"/>
      <c r="X1392" s="846"/>
      <c r="Y1392" s="740">
        <f t="shared" si="176"/>
        <v>0</v>
      </c>
      <c r="Z1392" s="847"/>
      <c r="AA1392" s="847"/>
      <c r="AB1392" s="741">
        <f t="shared" si="177"/>
        <v>0</v>
      </c>
      <c r="AC1392" s="846"/>
      <c r="AD1392" s="847"/>
      <c r="AE1392" s="846"/>
      <c r="AF1392" s="846"/>
      <c r="AG1392" s="847"/>
      <c r="AH1392" s="847"/>
      <c r="AI1392" s="742">
        <f t="shared" si="181"/>
        <v>0</v>
      </c>
      <c r="AJ1392" s="743">
        <f t="shared" si="182"/>
        <v>0</v>
      </c>
    </row>
    <row r="1393" spans="1:36">
      <c r="A1393" s="1243" t="s">
        <v>151</v>
      </c>
      <c r="B1393" s="1018" t="s">
        <v>218</v>
      </c>
      <c r="C1393" s="1019" t="s">
        <v>311</v>
      </c>
      <c r="D1393" s="1020"/>
      <c r="E1393" s="1256"/>
      <c r="F1393" s="1001"/>
      <c r="G1393" s="846"/>
      <c r="H1393" s="847"/>
      <c r="I1393" s="846"/>
      <c r="J1393" s="847"/>
      <c r="K1393" s="846"/>
      <c r="L1393" s="847"/>
      <c r="M1393" s="846"/>
      <c r="N1393" s="846"/>
      <c r="O1393" s="737">
        <f t="shared" si="175"/>
        <v>0</v>
      </c>
      <c r="P1393" s="847"/>
      <c r="Q1393" s="847"/>
      <c r="R1393" s="738">
        <f t="shared" si="178"/>
        <v>0</v>
      </c>
      <c r="S1393" s="737">
        <f t="shared" si="179"/>
        <v>0</v>
      </c>
      <c r="T1393" s="739">
        <f t="shared" si="180"/>
        <v>0</v>
      </c>
      <c r="U1393" s="846"/>
      <c r="V1393" s="847"/>
      <c r="W1393" s="846"/>
      <c r="X1393" s="846"/>
      <c r="Y1393" s="740">
        <f t="shared" si="176"/>
        <v>0</v>
      </c>
      <c r="Z1393" s="847"/>
      <c r="AA1393" s="847"/>
      <c r="AB1393" s="741">
        <f t="shared" si="177"/>
        <v>0</v>
      </c>
      <c r="AC1393" s="846"/>
      <c r="AD1393" s="847"/>
      <c r="AE1393" s="846"/>
      <c r="AF1393" s="846"/>
      <c r="AG1393" s="847"/>
      <c r="AH1393" s="847"/>
      <c r="AI1393" s="742">
        <f t="shared" si="181"/>
        <v>0</v>
      </c>
      <c r="AJ1393" s="743">
        <f t="shared" si="182"/>
        <v>0</v>
      </c>
    </row>
    <row r="1394" spans="1:36">
      <c r="A1394" s="1243" t="s">
        <v>151</v>
      </c>
      <c r="B1394" s="1244" t="s">
        <v>219</v>
      </c>
      <c r="C1394" s="1248" t="s">
        <v>1471</v>
      </c>
      <c r="D1394" s="1014"/>
      <c r="E1394" s="1256"/>
      <c r="F1394" s="1001"/>
      <c r="G1394" s="846"/>
      <c r="H1394" s="847"/>
      <c r="I1394" s="846"/>
      <c r="J1394" s="847"/>
      <c r="K1394" s="846"/>
      <c r="L1394" s="847"/>
      <c r="M1394" s="846"/>
      <c r="N1394" s="846"/>
      <c r="O1394" s="737">
        <f t="shared" si="175"/>
        <v>0</v>
      </c>
      <c r="P1394" s="847"/>
      <c r="Q1394" s="847"/>
      <c r="R1394" s="738">
        <f t="shared" si="178"/>
        <v>0</v>
      </c>
      <c r="S1394" s="737">
        <f t="shared" si="179"/>
        <v>0</v>
      </c>
      <c r="T1394" s="739">
        <f t="shared" si="180"/>
        <v>0</v>
      </c>
      <c r="U1394" s="846">
        <v>70062</v>
      </c>
      <c r="V1394" s="847">
        <v>139889</v>
      </c>
      <c r="W1394" s="846"/>
      <c r="X1394" s="846"/>
      <c r="Y1394" s="740">
        <f t="shared" si="176"/>
        <v>0</v>
      </c>
      <c r="Z1394" s="847"/>
      <c r="AA1394" s="847"/>
      <c r="AB1394" s="741">
        <f t="shared" si="177"/>
        <v>0</v>
      </c>
      <c r="AC1394" s="846"/>
      <c r="AD1394" s="847"/>
      <c r="AE1394" s="846"/>
      <c r="AF1394" s="846"/>
      <c r="AG1394" s="847"/>
      <c r="AH1394" s="847"/>
      <c r="AI1394" s="742">
        <f t="shared" si="181"/>
        <v>70062</v>
      </c>
      <c r="AJ1394" s="743">
        <f t="shared" si="182"/>
        <v>139889</v>
      </c>
    </row>
    <row r="1395" spans="1:36">
      <c r="A1395" s="1243" t="s">
        <v>151</v>
      </c>
      <c r="B1395" s="1263" t="s">
        <v>292</v>
      </c>
      <c r="C1395" s="1261" t="s">
        <v>1472</v>
      </c>
      <c r="D1395" s="1262"/>
      <c r="E1395" s="1260"/>
      <c r="F1395" s="1001"/>
      <c r="G1395" s="846"/>
      <c r="H1395" s="847"/>
      <c r="I1395" s="846"/>
      <c r="J1395" s="847"/>
      <c r="K1395" s="846"/>
      <c r="L1395" s="847"/>
      <c r="M1395" s="846"/>
      <c r="N1395" s="846"/>
      <c r="O1395" s="737">
        <f t="shared" si="175"/>
        <v>0</v>
      </c>
      <c r="P1395" s="847"/>
      <c r="Q1395" s="847"/>
      <c r="R1395" s="738">
        <f t="shared" si="178"/>
        <v>0</v>
      </c>
      <c r="S1395" s="737">
        <f t="shared" si="179"/>
        <v>0</v>
      </c>
      <c r="T1395" s="739">
        <f t="shared" si="180"/>
        <v>0</v>
      </c>
      <c r="U1395" s="846"/>
      <c r="V1395" s="847"/>
      <c r="W1395" s="846"/>
      <c r="X1395" s="846"/>
      <c r="Y1395" s="740">
        <f t="shared" si="176"/>
        <v>0</v>
      </c>
      <c r="Z1395" s="847"/>
      <c r="AA1395" s="847"/>
      <c r="AB1395" s="741">
        <f t="shared" si="177"/>
        <v>0</v>
      </c>
      <c r="AC1395" s="846"/>
      <c r="AD1395" s="847"/>
      <c r="AE1395" s="846"/>
      <c r="AF1395" s="846"/>
      <c r="AG1395" s="847"/>
      <c r="AH1395" s="847"/>
      <c r="AI1395" s="742">
        <f t="shared" si="181"/>
        <v>0</v>
      </c>
      <c r="AJ1395" s="743">
        <f t="shared" si="182"/>
        <v>0</v>
      </c>
    </row>
    <row r="1396" spans="1:36">
      <c r="A1396" s="1243" t="s">
        <v>151</v>
      </c>
      <c r="B1396" s="1244" t="s">
        <v>310</v>
      </c>
      <c r="C1396" s="1019" t="s">
        <v>311</v>
      </c>
      <c r="D1396" s="1020"/>
      <c r="E1396" s="1260"/>
      <c r="F1396" s="1001"/>
      <c r="G1396" s="846"/>
      <c r="H1396" s="847"/>
      <c r="I1396" s="846"/>
      <c r="J1396" s="847"/>
      <c r="K1396" s="846"/>
      <c r="L1396" s="847"/>
      <c r="M1396" s="846"/>
      <c r="N1396" s="846"/>
      <c r="O1396" s="737">
        <f t="shared" si="175"/>
        <v>0</v>
      </c>
      <c r="P1396" s="847"/>
      <c r="Q1396" s="847"/>
      <c r="R1396" s="738">
        <f t="shared" si="178"/>
        <v>0</v>
      </c>
      <c r="S1396" s="737">
        <f t="shared" si="179"/>
        <v>0</v>
      </c>
      <c r="T1396" s="739">
        <f t="shared" si="180"/>
        <v>0</v>
      </c>
      <c r="U1396" s="846"/>
      <c r="V1396" s="847"/>
      <c r="W1396" s="846"/>
      <c r="X1396" s="846"/>
      <c r="Y1396" s="740">
        <f t="shared" si="176"/>
        <v>0</v>
      </c>
      <c r="Z1396" s="847"/>
      <c r="AA1396" s="847"/>
      <c r="AB1396" s="741">
        <f t="shared" si="177"/>
        <v>0</v>
      </c>
      <c r="AC1396" s="846"/>
      <c r="AD1396" s="847"/>
      <c r="AE1396" s="846"/>
      <c r="AF1396" s="846"/>
      <c r="AG1396" s="847"/>
      <c r="AH1396" s="847"/>
      <c r="AI1396" s="742">
        <f t="shared" si="181"/>
        <v>0</v>
      </c>
      <c r="AJ1396" s="743">
        <f t="shared" si="182"/>
        <v>0</v>
      </c>
    </row>
    <row r="1397" spans="1:36">
      <c r="A1397" s="1243" t="s">
        <v>151</v>
      </c>
      <c r="B1397" s="1244" t="s">
        <v>251</v>
      </c>
      <c r="C1397" s="1019" t="s">
        <v>249</v>
      </c>
      <c r="D1397" s="1020"/>
      <c r="E1397" s="1264"/>
      <c r="F1397" s="1001"/>
      <c r="G1397" s="846"/>
      <c r="H1397" s="847"/>
      <c r="I1397" s="846"/>
      <c r="J1397" s="847"/>
      <c r="K1397" s="846"/>
      <c r="L1397" s="847"/>
      <c r="M1397" s="846"/>
      <c r="N1397" s="846"/>
      <c r="O1397" s="737">
        <f t="shared" si="175"/>
        <v>0</v>
      </c>
      <c r="P1397" s="847"/>
      <c r="Q1397" s="847"/>
      <c r="R1397" s="738">
        <f t="shared" si="178"/>
        <v>0</v>
      </c>
      <c r="S1397" s="737">
        <f t="shared" si="179"/>
        <v>0</v>
      </c>
      <c r="T1397" s="739">
        <f t="shared" si="180"/>
        <v>0</v>
      </c>
      <c r="U1397" s="846"/>
      <c r="V1397" s="847"/>
      <c r="W1397" s="846"/>
      <c r="X1397" s="846"/>
      <c r="Y1397" s="740">
        <f t="shared" si="176"/>
        <v>0</v>
      </c>
      <c r="Z1397" s="847"/>
      <c r="AA1397" s="847"/>
      <c r="AB1397" s="741">
        <f t="shared" si="177"/>
        <v>0</v>
      </c>
      <c r="AC1397" s="846"/>
      <c r="AD1397" s="847"/>
      <c r="AE1397" s="846"/>
      <c r="AF1397" s="846"/>
      <c r="AG1397" s="847"/>
      <c r="AH1397" s="847"/>
      <c r="AI1397" s="742">
        <f t="shared" si="181"/>
        <v>0</v>
      </c>
      <c r="AJ1397" s="743">
        <f t="shared" si="182"/>
        <v>0</v>
      </c>
    </row>
    <row r="1398" spans="1:36">
      <c r="A1398" s="1243" t="s">
        <v>151</v>
      </c>
      <c r="B1398" s="1244" t="s">
        <v>209</v>
      </c>
      <c r="C1398" s="1248" t="s">
        <v>522</v>
      </c>
      <c r="D1398" s="1014"/>
      <c r="E1398" s="1264"/>
      <c r="F1398" s="1001"/>
      <c r="G1398" s="846"/>
      <c r="H1398" s="847"/>
      <c r="I1398" s="846"/>
      <c r="J1398" s="847"/>
      <c r="K1398" s="846"/>
      <c r="L1398" s="847"/>
      <c r="M1398" s="846"/>
      <c r="N1398" s="846"/>
      <c r="O1398" s="737">
        <f t="shared" si="175"/>
        <v>0</v>
      </c>
      <c r="P1398" s="847"/>
      <c r="Q1398" s="847"/>
      <c r="R1398" s="738">
        <f t="shared" si="178"/>
        <v>0</v>
      </c>
      <c r="S1398" s="737">
        <f t="shared" si="179"/>
        <v>0</v>
      </c>
      <c r="T1398" s="739">
        <f t="shared" si="180"/>
        <v>0</v>
      </c>
      <c r="U1398" s="846"/>
      <c r="V1398" s="847"/>
      <c r="W1398" s="846"/>
      <c r="X1398" s="846"/>
      <c r="Y1398" s="740">
        <f t="shared" si="176"/>
        <v>0</v>
      </c>
      <c r="Z1398" s="847"/>
      <c r="AA1398" s="847"/>
      <c r="AB1398" s="741">
        <f t="shared" si="177"/>
        <v>0</v>
      </c>
      <c r="AC1398" s="846"/>
      <c r="AD1398" s="847"/>
      <c r="AE1398" s="846"/>
      <c r="AF1398" s="846"/>
      <c r="AG1398" s="847"/>
      <c r="AH1398" s="847"/>
      <c r="AI1398" s="742">
        <f t="shared" si="181"/>
        <v>0</v>
      </c>
      <c r="AJ1398" s="743">
        <f t="shared" si="182"/>
        <v>0</v>
      </c>
    </row>
    <row r="1399" spans="1:36">
      <c r="A1399" s="1243" t="s">
        <v>151</v>
      </c>
      <c r="B1399" s="1244" t="s">
        <v>210</v>
      </c>
      <c r="C1399" s="1248" t="s">
        <v>311</v>
      </c>
      <c r="D1399" s="1014"/>
      <c r="E1399" s="1264"/>
      <c r="F1399" s="1001"/>
      <c r="G1399" s="846"/>
      <c r="H1399" s="847"/>
      <c r="I1399" s="846"/>
      <c r="J1399" s="847"/>
      <c r="K1399" s="846"/>
      <c r="L1399" s="847"/>
      <c r="M1399" s="846"/>
      <c r="N1399" s="846"/>
      <c r="O1399" s="737">
        <f t="shared" si="175"/>
        <v>0</v>
      </c>
      <c r="P1399" s="847"/>
      <c r="Q1399" s="847"/>
      <c r="R1399" s="738">
        <f t="shared" si="178"/>
        <v>0</v>
      </c>
      <c r="S1399" s="737">
        <f t="shared" si="179"/>
        <v>0</v>
      </c>
      <c r="T1399" s="739">
        <f t="shared" si="180"/>
        <v>0</v>
      </c>
      <c r="U1399" s="846"/>
      <c r="V1399" s="847"/>
      <c r="W1399" s="846"/>
      <c r="X1399" s="846"/>
      <c r="Y1399" s="740">
        <f t="shared" si="176"/>
        <v>0</v>
      </c>
      <c r="Z1399" s="847"/>
      <c r="AA1399" s="847"/>
      <c r="AB1399" s="741">
        <f t="shared" si="177"/>
        <v>0</v>
      </c>
      <c r="AC1399" s="846"/>
      <c r="AD1399" s="847"/>
      <c r="AE1399" s="846"/>
      <c r="AF1399" s="846"/>
      <c r="AG1399" s="847"/>
      <c r="AH1399" s="847"/>
      <c r="AI1399" s="742">
        <f t="shared" si="181"/>
        <v>0</v>
      </c>
      <c r="AJ1399" s="743">
        <f t="shared" si="182"/>
        <v>0</v>
      </c>
    </row>
    <row r="1400" spans="1:36">
      <c r="A1400" s="1243" t="s">
        <v>151</v>
      </c>
      <c r="B1400" s="1244" t="s">
        <v>204</v>
      </c>
      <c r="C1400" s="1248" t="s">
        <v>1471</v>
      </c>
      <c r="D1400" s="1014"/>
      <c r="E1400" s="1264"/>
      <c r="F1400" s="1001"/>
      <c r="G1400" s="846"/>
      <c r="H1400" s="847"/>
      <c r="I1400" s="846"/>
      <c r="J1400" s="847"/>
      <c r="K1400" s="846"/>
      <c r="L1400" s="847"/>
      <c r="M1400" s="846"/>
      <c r="N1400" s="846"/>
      <c r="O1400" s="737">
        <f t="shared" si="175"/>
        <v>0</v>
      </c>
      <c r="P1400" s="847"/>
      <c r="Q1400" s="847"/>
      <c r="R1400" s="738">
        <f t="shared" si="178"/>
        <v>0</v>
      </c>
      <c r="S1400" s="737">
        <f t="shared" si="179"/>
        <v>0</v>
      </c>
      <c r="T1400" s="739">
        <f t="shared" si="180"/>
        <v>0</v>
      </c>
      <c r="U1400" s="846">
        <v>4348007</v>
      </c>
      <c r="V1400" s="847">
        <v>4835122</v>
      </c>
      <c r="W1400" s="846"/>
      <c r="X1400" s="846"/>
      <c r="Y1400" s="740">
        <f t="shared" si="176"/>
        <v>0</v>
      </c>
      <c r="Z1400" s="847"/>
      <c r="AA1400" s="847"/>
      <c r="AB1400" s="741">
        <f t="shared" si="177"/>
        <v>0</v>
      </c>
      <c r="AC1400" s="846"/>
      <c r="AD1400" s="847"/>
      <c r="AE1400" s="846"/>
      <c r="AF1400" s="846"/>
      <c r="AG1400" s="847"/>
      <c r="AH1400" s="847"/>
      <c r="AI1400" s="742">
        <f t="shared" si="181"/>
        <v>4348007</v>
      </c>
      <c r="AJ1400" s="743">
        <f t="shared" si="182"/>
        <v>4835122</v>
      </c>
    </row>
    <row r="1401" spans="1:36">
      <c r="A1401" s="1243" t="s">
        <v>151</v>
      </c>
      <c r="B1401" s="1018" t="s">
        <v>205</v>
      </c>
      <c r="C1401" s="1019" t="s">
        <v>523</v>
      </c>
      <c r="D1401" s="1020"/>
      <c r="E1401" s="1264"/>
      <c r="F1401" s="1001"/>
      <c r="G1401" s="846"/>
      <c r="H1401" s="847"/>
      <c r="I1401" s="846"/>
      <c r="J1401" s="847"/>
      <c r="K1401" s="846"/>
      <c r="L1401" s="847"/>
      <c r="M1401" s="846"/>
      <c r="N1401" s="846"/>
      <c r="O1401" s="737">
        <f t="shared" si="175"/>
        <v>0</v>
      </c>
      <c r="P1401" s="847"/>
      <c r="Q1401" s="847"/>
      <c r="R1401" s="738">
        <f t="shared" si="178"/>
        <v>0</v>
      </c>
      <c r="S1401" s="737">
        <f t="shared" si="179"/>
        <v>0</v>
      </c>
      <c r="T1401" s="739">
        <f t="shared" si="180"/>
        <v>0</v>
      </c>
      <c r="U1401" s="846"/>
      <c r="V1401" s="847"/>
      <c r="W1401" s="846"/>
      <c r="X1401" s="846"/>
      <c r="Y1401" s="740">
        <f t="shared" si="176"/>
        <v>0</v>
      </c>
      <c r="Z1401" s="847"/>
      <c r="AA1401" s="847"/>
      <c r="AB1401" s="741">
        <f t="shared" si="177"/>
        <v>0</v>
      </c>
      <c r="AC1401" s="846"/>
      <c r="AD1401" s="847"/>
      <c r="AE1401" s="846"/>
      <c r="AF1401" s="846"/>
      <c r="AG1401" s="847"/>
      <c r="AH1401" s="847"/>
      <c r="AI1401" s="742">
        <f t="shared" si="181"/>
        <v>0</v>
      </c>
      <c r="AJ1401" s="743">
        <f t="shared" si="182"/>
        <v>0</v>
      </c>
    </row>
    <row r="1402" spans="1:36">
      <c r="A1402" s="1243" t="s">
        <v>151</v>
      </c>
      <c r="B1402" s="1018" t="s">
        <v>218</v>
      </c>
      <c r="C1402" s="1019" t="s">
        <v>311</v>
      </c>
      <c r="D1402" s="1020"/>
      <c r="E1402" s="1264"/>
      <c r="F1402" s="1001"/>
      <c r="G1402" s="846"/>
      <c r="H1402" s="847"/>
      <c r="I1402" s="846"/>
      <c r="J1402" s="847"/>
      <c r="K1402" s="846"/>
      <c r="L1402" s="847"/>
      <c r="M1402" s="846"/>
      <c r="N1402" s="846"/>
      <c r="O1402" s="737">
        <f t="shared" si="175"/>
        <v>0</v>
      </c>
      <c r="P1402" s="847"/>
      <c r="Q1402" s="847"/>
      <c r="R1402" s="738">
        <f t="shared" si="178"/>
        <v>0</v>
      </c>
      <c r="S1402" s="737">
        <f t="shared" si="179"/>
        <v>0</v>
      </c>
      <c r="T1402" s="739">
        <f t="shared" si="180"/>
        <v>0</v>
      </c>
      <c r="U1402" s="846"/>
      <c r="V1402" s="847"/>
      <c r="W1402" s="846"/>
      <c r="X1402" s="846"/>
      <c r="Y1402" s="740">
        <f t="shared" si="176"/>
        <v>0</v>
      </c>
      <c r="Z1402" s="847"/>
      <c r="AA1402" s="847"/>
      <c r="AB1402" s="741">
        <f t="shared" si="177"/>
        <v>0</v>
      </c>
      <c r="AC1402" s="846"/>
      <c r="AD1402" s="847"/>
      <c r="AE1402" s="846"/>
      <c r="AF1402" s="846"/>
      <c r="AG1402" s="847"/>
      <c r="AH1402" s="847"/>
      <c r="AI1402" s="742">
        <f t="shared" si="181"/>
        <v>0</v>
      </c>
      <c r="AJ1402" s="743">
        <f t="shared" si="182"/>
        <v>0</v>
      </c>
    </row>
    <row r="1403" spans="1:36">
      <c r="A1403" s="1243" t="s">
        <v>151</v>
      </c>
      <c r="B1403" s="1244" t="s">
        <v>219</v>
      </c>
      <c r="C1403" s="1248" t="s">
        <v>1471</v>
      </c>
      <c r="D1403" s="1014"/>
      <c r="E1403" s="1264"/>
      <c r="F1403" s="1001"/>
      <c r="G1403" s="846"/>
      <c r="H1403" s="847"/>
      <c r="I1403" s="846"/>
      <c r="J1403" s="847"/>
      <c r="K1403" s="846"/>
      <c r="L1403" s="847"/>
      <c r="M1403" s="846"/>
      <c r="N1403" s="846"/>
      <c r="O1403" s="737">
        <f t="shared" si="175"/>
        <v>0</v>
      </c>
      <c r="P1403" s="847"/>
      <c r="Q1403" s="847"/>
      <c r="R1403" s="738">
        <f t="shared" si="178"/>
        <v>0</v>
      </c>
      <c r="S1403" s="737">
        <f t="shared" si="179"/>
        <v>0</v>
      </c>
      <c r="T1403" s="739">
        <f t="shared" si="180"/>
        <v>0</v>
      </c>
      <c r="U1403" s="846">
        <v>799919</v>
      </c>
      <c r="V1403" s="847">
        <v>818626</v>
      </c>
      <c r="W1403" s="846"/>
      <c r="X1403" s="846"/>
      <c r="Y1403" s="740">
        <f t="shared" si="176"/>
        <v>0</v>
      </c>
      <c r="Z1403" s="847"/>
      <c r="AA1403" s="847"/>
      <c r="AB1403" s="741">
        <f t="shared" si="177"/>
        <v>0</v>
      </c>
      <c r="AC1403" s="846"/>
      <c r="AD1403" s="847"/>
      <c r="AE1403" s="846"/>
      <c r="AF1403" s="846"/>
      <c r="AG1403" s="847"/>
      <c r="AH1403" s="847"/>
      <c r="AI1403" s="742">
        <f t="shared" si="181"/>
        <v>799919</v>
      </c>
      <c r="AJ1403" s="743">
        <f t="shared" si="182"/>
        <v>818626</v>
      </c>
    </row>
    <row r="1404" spans="1:36">
      <c r="A1404" s="1243" t="s">
        <v>151</v>
      </c>
      <c r="B1404" s="1263" t="s">
        <v>292</v>
      </c>
      <c r="C1404" s="1261" t="s">
        <v>1473</v>
      </c>
      <c r="D1404" s="1262"/>
      <c r="E1404" s="1264"/>
      <c r="F1404" s="1001"/>
      <c r="G1404" s="846"/>
      <c r="H1404" s="847"/>
      <c r="I1404" s="846"/>
      <c r="J1404" s="847"/>
      <c r="K1404" s="846"/>
      <c r="L1404" s="847"/>
      <c r="M1404" s="846"/>
      <c r="N1404" s="846"/>
      <c r="O1404" s="737">
        <f t="shared" si="175"/>
        <v>0</v>
      </c>
      <c r="P1404" s="847"/>
      <c r="Q1404" s="847"/>
      <c r="R1404" s="738">
        <f t="shared" si="178"/>
        <v>0</v>
      </c>
      <c r="S1404" s="737">
        <f t="shared" si="179"/>
        <v>0</v>
      </c>
      <c r="T1404" s="739">
        <f t="shared" si="180"/>
        <v>0</v>
      </c>
      <c r="U1404" s="846"/>
      <c r="V1404" s="847"/>
      <c r="W1404" s="846"/>
      <c r="X1404" s="846"/>
      <c r="Y1404" s="740">
        <f t="shared" si="176"/>
        <v>0</v>
      </c>
      <c r="Z1404" s="847"/>
      <c r="AA1404" s="847"/>
      <c r="AB1404" s="741">
        <f t="shared" si="177"/>
        <v>0</v>
      </c>
      <c r="AC1404" s="846"/>
      <c r="AD1404" s="847"/>
      <c r="AE1404" s="846"/>
      <c r="AF1404" s="846"/>
      <c r="AG1404" s="847"/>
      <c r="AH1404" s="847"/>
      <c r="AI1404" s="742">
        <f t="shared" si="181"/>
        <v>0</v>
      </c>
      <c r="AJ1404" s="743">
        <f t="shared" si="182"/>
        <v>0</v>
      </c>
    </row>
    <row r="1405" spans="1:36">
      <c r="A1405" s="1243" t="s">
        <v>151</v>
      </c>
      <c r="B1405" s="1244" t="s">
        <v>209</v>
      </c>
      <c r="C1405" s="1248" t="s">
        <v>522</v>
      </c>
      <c r="D1405" s="1014"/>
      <c r="E1405" s="1264"/>
      <c r="F1405" s="1001"/>
      <c r="G1405" s="846"/>
      <c r="H1405" s="847"/>
      <c r="I1405" s="846"/>
      <c r="J1405" s="847"/>
      <c r="K1405" s="846"/>
      <c r="L1405" s="847"/>
      <c r="M1405" s="846"/>
      <c r="N1405" s="846"/>
      <c r="O1405" s="737">
        <f t="shared" si="175"/>
        <v>0</v>
      </c>
      <c r="P1405" s="847"/>
      <c r="Q1405" s="847"/>
      <c r="R1405" s="738">
        <f t="shared" si="178"/>
        <v>0</v>
      </c>
      <c r="S1405" s="737">
        <f t="shared" si="179"/>
        <v>0</v>
      </c>
      <c r="T1405" s="739">
        <f t="shared" si="180"/>
        <v>0</v>
      </c>
      <c r="U1405" s="846"/>
      <c r="V1405" s="847"/>
      <c r="W1405" s="846"/>
      <c r="X1405" s="846"/>
      <c r="Y1405" s="740">
        <f t="shared" si="176"/>
        <v>0</v>
      </c>
      <c r="Z1405" s="847"/>
      <c r="AA1405" s="847"/>
      <c r="AB1405" s="741">
        <f t="shared" si="177"/>
        <v>0</v>
      </c>
      <c r="AC1405" s="846"/>
      <c r="AD1405" s="847"/>
      <c r="AE1405" s="846"/>
      <c r="AF1405" s="846"/>
      <c r="AG1405" s="847"/>
      <c r="AH1405" s="847"/>
      <c r="AI1405" s="742">
        <f t="shared" si="181"/>
        <v>0</v>
      </c>
      <c r="AJ1405" s="743">
        <f t="shared" si="182"/>
        <v>0</v>
      </c>
    </row>
    <row r="1406" spans="1:36">
      <c r="A1406" s="1243" t="s">
        <v>151</v>
      </c>
      <c r="B1406" s="1244" t="s">
        <v>210</v>
      </c>
      <c r="C1406" s="1248" t="s">
        <v>311</v>
      </c>
      <c r="D1406" s="1014"/>
      <c r="E1406" s="1264"/>
      <c r="F1406" s="1001"/>
      <c r="G1406" s="846"/>
      <c r="H1406" s="847"/>
      <c r="I1406" s="846"/>
      <c r="J1406" s="847"/>
      <c r="K1406" s="846"/>
      <c r="L1406" s="847"/>
      <c r="M1406" s="846"/>
      <c r="N1406" s="846"/>
      <c r="O1406" s="737">
        <f t="shared" si="175"/>
        <v>0</v>
      </c>
      <c r="P1406" s="847"/>
      <c r="Q1406" s="847"/>
      <c r="R1406" s="738">
        <f t="shared" si="178"/>
        <v>0</v>
      </c>
      <c r="S1406" s="737">
        <f t="shared" si="179"/>
        <v>0</v>
      </c>
      <c r="T1406" s="739">
        <f t="shared" si="180"/>
        <v>0</v>
      </c>
      <c r="U1406" s="846"/>
      <c r="V1406" s="847"/>
      <c r="W1406" s="846"/>
      <c r="X1406" s="846"/>
      <c r="Y1406" s="740">
        <f t="shared" si="176"/>
        <v>0</v>
      </c>
      <c r="Z1406" s="847"/>
      <c r="AA1406" s="847"/>
      <c r="AB1406" s="741">
        <f t="shared" si="177"/>
        <v>0</v>
      </c>
      <c r="AC1406" s="846"/>
      <c r="AD1406" s="847"/>
      <c r="AE1406" s="846"/>
      <c r="AF1406" s="846"/>
      <c r="AG1406" s="847"/>
      <c r="AH1406" s="847"/>
      <c r="AI1406" s="742">
        <f t="shared" si="181"/>
        <v>0</v>
      </c>
      <c r="AJ1406" s="743">
        <f t="shared" si="182"/>
        <v>0</v>
      </c>
    </row>
    <row r="1407" spans="1:36">
      <c r="A1407" s="1243" t="s">
        <v>151</v>
      </c>
      <c r="B1407" s="1244" t="s">
        <v>204</v>
      </c>
      <c r="C1407" s="1248" t="s">
        <v>1471</v>
      </c>
      <c r="D1407" s="1014"/>
      <c r="E1407" s="1260"/>
      <c r="F1407" s="1001"/>
      <c r="G1407" s="846"/>
      <c r="H1407" s="847"/>
      <c r="I1407" s="846"/>
      <c r="J1407" s="847"/>
      <c r="K1407" s="846"/>
      <c r="L1407" s="847"/>
      <c r="M1407" s="846"/>
      <c r="N1407" s="846"/>
      <c r="O1407" s="737">
        <f t="shared" si="175"/>
        <v>0</v>
      </c>
      <c r="P1407" s="847"/>
      <c r="Q1407" s="847"/>
      <c r="R1407" s="738">
        <f t="shared" si="178"/>
        <v>0</v>
      </c>
      <c r="S1407" s="737">
        <f t="shared" si="179"/>
        <v>0</v>
      </c>
      <c r="T1407" s="739">
        <f t="shared" si="180"/>
        <v>0</v>
      </c>
      <c r="U1407" s="846">
        <v>330692</v>
      </c>
      <c r="V1407" s="847">
        <v>257228</v>
      </c>
      <c r="W1407" s="846"/>
      <c r="X1407" s="846"/>
      <c r="Y1407" s="740">
        <f t="shared" si="176"/>
        <v>0</v>
      </c>
      <c r="Z1407" s="847"/>
      <c r="AA1407" s="847"/>
      <c r="AB1407" s="741">
        <f t="shared" si="177"/>
        <v>0</v>
      </c>
      <c r="AC1407" s="846"/>
      <c r="AD1407" s="847"/>
      <c r="AE1407" s="846"/>
      <c r="AF1407" s="846"/>
      <c r="AG1407" s="847"/>
      <c r="AH1407" s="847"/>
      <c r="AI1407" s="742">
        <f t="shared" si="181"/>
        <v>330692</v>
      </c>
      <c r="AJ1407" s="743">
        <f t="shared" si="182"/>
        <v>257228</v>
      </c>
    </row>
    <row r="1408" spans="1:36">
      <c r="A1408" s="1243" t="s">
        <v>151</v>
      </c>
      <c r="B1408" s="1018" t="s">
        <v>205</v>
      </c>
      <c r="C1408" s="1019" t="s">
        <v>523</v>
      </c>
      <c r="D1408" s="1020"/>
      <c r="E1408" s="1260"/>
      <c r="F1408" s="1001"/>
      <c r="G1408" s="846"/>
      <c r="H1408" s="847"/>
      <c r="I1408" s="846"/>
      <c r="J1408" s="847"/>
      <c r="K1408" s="846"/>
      <c r="L1408" s="847"/>
      <c r="M1408" s="846"/>
      <c r="N1408" s="846"/>
      <c r="O1408" s="737">
        <f t="shared" si="175"/>
        <v>0</v>
      </c>
      <c r="P1408" s="847"/>
      <c r="Q1408" s="847"/>
      <c r="R1408" s="738">
        <f t="shared" si="178"/>
        <v>0</v>
      </c>
      <c r="S1408" s="737">
        <f t="shared" si="179"/>
        <v>0</v>
      </c>
      <c r="T1408" s="739">
        <f t="shared" si="180"/>
        <v>0</v>
      </c>
      <c r="U1408" s="846"/>
      <c r="V1408" s="847"/>
      <c r="W1408" s="846"/>
      <c r="X1408" s="846"/>
      <c r="Y1408" s="740">
        <f t="shared" si="176"/>
        <v>0</v>
      </c>
      <c r="Z1408" s="847"/>
      <c r="AA1408" s="847"/>
      <c r="AB1408" s="741">
        <f t="shared" si="177"/>
        <v>0</v>
      </c>
      <c r="AC1408" s="846"/>
      <c r="AD1408" s="847"/>
      <c r="AE1408" s="846"/>
      <c r="AF1408" s="846"/>
      <c r="AG1408" s="847"/>
      <c r="AH1408" s="847"/>
      <c r="AI1408" s="742">
        <f t="shared" si="181"/>
        <v>0</v>
      </c>
      <c r="AJ1408" s="743">
        <f t="shared" si="182"/>
        <v>0</v>
      </c>
    </row>
    <row r="1409" spans="1:36">
      <c r="A1409" s="1243" t="s">
        <v>151</v>
      </c>
      <c r="B1409" s="1018" t="s">
        <v>218</v>
      </c>
      <c r="C1409" s="1019" t="s">
        <v>311</v>
      </c>
      <c r="D1409" s="1020"/>
      <c r="E1409" s="1260"/>
      <c r="F1409" s="1001"/>
      <c r="G1409" s="846"/>
      <c r="H1409" s="847"/>
      <c r="I1409" s="846"/>
      <c r="J1409" s="847"/>
      <c r="K1409" s="846"/>
      <c r="L1409" s="847"/>
      <c r="M1409" s="846"/>
      <c r="N1409" s="846"/>
      <c r="O1409" s="737">
        <f t="shared" si="175"/>
        <v>0</v>
      </c>
      <c r="P1409" s="847"/>
      <c r="Q1409" s="847"/>
      <c r="R1409" s="738">
        <f t="shared" si="178"/>
        <v>0</v>
      </c>
      <c r="S1409" s="737">
        <f t="shared" si="179"/>
        <v>0</v>
      </c>
      <c r="T1409" s="739">
        <f t="shared" si="180"/>
        <v>0</v>
      </c>
      <c r="U1409" s="846"/>
      <c r="V1409" s="847"/>
      <c r="W1409" s="846"/>
      <c r="X1409" s="846"/>
      <c r="Y1409" s="740">
        <f t="shared" si="176"/>
        <v>0</v>
      </c>
      <c r="Z1409" s="847"/>
      <c r="AA1409" s="847"/>
      <c r="AB1409" s="741">
        <f t="shared" si="177"/>
        <v>0</v>
      </c>
      <c r="AC1409" s="846"/>
      <c r="AD1409" s="847"/>
      <c r="AE1409" s="846"/>
      <c r="AF1409" s="846"/>
      <c r="AG1409" s="847"/>
      <c r="AH1409" s="847"/>
      <c r="AI1409" s="742">
        <f t="shared" si="181"/>
        <v>0</v>
      </c>
      <c r="AJ1409" s="743">
        <f t="shared" si="182"/>
        <v>0</v>
      </c>
    </row>
    <row r="1410" spans="1:36">
      <c r="A1410" s="1243" t="s">
        <v>151</v>
      </c>
      <c r="B1410" s="1244" t="s">
        <v>219</v>
      </c>
      <c r="C1410" s="1248" t="s">
        <v>1471</v>
      </c>
      <c r="D1410" s="1014"/>
      <c r="E1410" s="1260"/>
      <c r="F1410" s="1001"/>
      <c r="G1410" s="846"/>
      <c r="H1410" s="847"/>
      <c r="I1410" s="846"/>
      <c r="J1410" s="847"/>
      <c r="K1410" s="846"/>
      <c r="L1410" s="847"/>
      <c r="M1410" s="846"/>
      <c r="N1410" s="846"/>
      <c r="O1410" s="737">
        <f t="shared" si="175"/>
        <v>0</v>
      </c>
      <c r="P1410" s="847"/>
      <c r="Q1410" s="847"/>
      <c r="R1410" s="738">
        <f t="shared" si="178"/>
        <v>0</v>
      </c>
      <c r="S1410" s="737">
        <f t="shared" si="179"/>
        <v>0</v>
      </c>
      <c r="T1410" s="739">
        <f t="shared" si="180"/>
        <v>0</v>
      </c>
      <c r="U1410" s="846"/>
      <c r="V1410" s="847"/>
      <c r="W1410" s="846"/>
      <c r="X1410" s="846"/>
      <c r="Y1410" s="740">
        <f t="shared" si="176"/>
        <v>0</v>
      </c>
      <c r="Z1410" s="847"/>
      <c r="AA1410" s="847"/>
      <c r="AB1410" s="741">
        <f t="shared" si="177"/>
        <v>0</v>
      </c>
      <c r="AC1410" s="846"/>
      <c r="AD1410" s="847"/>
      <c r="AE1410" s="846"/>
      <c r="AF1410" s="846"/>
      <c r="AG1410" s="847"/>
      <c r="AH1410" s="847"/>
      <c r="AI1410" s="742">
        <f t="shared" si="181"/>
        <v>0</v>
      </c>
      <c r="AJ1410" s="743">
        <f t="shared" si="182"/>
        <v>0</v>
      </c>
    </row>
    <row r="1411" spans="1:36">
      <c r="A1411" s="1243" t="s">
        <v>151</v>
      </c>
      <c r="B1411" s="1263" t="s">
        <v>292</v>
      </c>
      <c r="C1411" s="1261" t="s">
        <v>1474</v>
      </c>
      <c r="D1411" s="1262"/>
      <c r="E1411" s="1260"/>
      <c r="F1411" s="1001"/>
      <c r="G1411" s="846"/>
      <c r="H1411" s="847"/>
      <c r="I1411" s="846"/>
      <c r="J1411" s="847"/>
      <c r="K1411" s="846"/>
      <c r="L1411" s="847"/>
      <c r="M1411" s="846"/>
      <c r="N1411" s="846"/>
      <c r="O1411" s="737">
        <f t="shared" si="175"/>
        <v>0</v>
      </c>
      <c r="P1411" s="847"/>
      <c r="Q1411" s="847"/>
      <c r="R1411" s="738">
        <f t="shared" si="178"/>
        <v>0</v>
      </c>
      <c r="S1411" s="737">
        <f t="shared" si="179"/>
        <v>0</v>
      </c>
      <c r="T1411" s="739">
        <f t="shared" si="180"/>
        <v>0</v>
      </c>
      <c r="U1411" s="846"/>
      <c r="V1411" s="847"/>
      <c r="W1411" s="846"/>
      <c r="X1411" s="846"/>
      <c r="Y1411" s="740">
        <f t="shared" si="176"/>
        <v>0</v>
      </c>
      <c r="Z1411" s="847"/>
      <c r="AA1411" s="847"/>
      <c r="AB1411" s="741">
        <f t="shared" si="177"/>
        <v>0</v>
      </c>
      <c r="AC1411" s="846"/>
      <c r="AD1411" s="847"/>
      <c r="AE1411" s="846"/>
      <c r="AF1411" s="846"/>
      <c r="AG1411" s="847"/>
      <c r="AH1411" s="847"/>
      <c r="AI1411" s="742">
        <f t="shared" si="181"/>
        <v>0</v>
      </c>
      <c r="AJ1411" s="743">
        <f t="shared" si="182"/>
        <v>0</v>
      </c>
    </row>
    <row r="1412" spans="1:36">
      <c r="A1412" s="1243" t="s">
        <v>151</v>
      </c>
      <c r="B1412" s="1244" t="s">
        <v>209</v>
      </c>
      <c r="C1412" s="1248" t="s">
        <v>522</v>
      </c>
      <c r="D1412" s="1014"/>
      <c r="E1412" s="1260"/>
      <c r="F1412" s="1001"/>
      <c r="G1412" s="846"/>
      <c r="H1412" s="847"/>
      <c r="I1412" s="846"/>
      <c r="J1412" s="847"/>
      <c r="K1412" s="846"/>
      <c r="L1412" s="847"/>
      <c r="M1412" s="846"/>
      <c r="N1412" s="846"/>
      <c r="O1412" s="737">
        <f t="shared" si="175"/>
        <v>0</v>
      </c>
      <c r="P1412" s="847"/>
      <c r="Q1412" s="847"/>
      <c r="R1412" s="738">
        <f t="shared" si="178"/>
        <v>0</v>
      </c>
      <c r="S1412" s="737">
        <f t="shared" si="179"/>
        <v>0</v>
      </c>
      <c r="T1412" s="739">
        <f t="shared" si="180"/>
        <v>0</v>
      </c>
      <c r="U1412" s="846"/>
      <c r="V1412" s="847"/>
      <c r="W1412" s="846"/>
      <c r="X1412" s="846"/>
      <c r="Y1412" s="740">
        <f t="shared" si="176"/>
        <v>0</v>
      </c>
      <c r="Z1412" s="847"/>
      <c r="AA1412" s="847"/>
      <c r="AB1412" s="741">
        <f t="shared" si="177"/>
        <v>0</v>
      </c>
      <c r="AC1412" s="846"/>
      <c r="AD1412" s="847"/>
      <c r="AE1412" s="846"/>
      <c r="AF1412" s="846"/>
      <c r="AG1412" s="847"/>
      <c r="AH1412" s="847"/>
      <c r="AI1412" s="742">
        <f t="shared" si="181"/>
        <v>0</v>
      </c>
      <c r="AJ1412" s="743">
        <f t="shared" si="182"/>
        <v>0</v>
      </c>
    </row>
    <row r="1413" spans="1:36">
      <c r="A1413" s="1243" t="s">
        <v>151</v>
      </c>
      <c r="B1413" s="1244" t="s">
        <v>210</v>
      </c>
      <c r="C1413" s="1248" t="s">
        <v>311</v>
      </c>
      <c r="D1413" s="1014"/>
      <c r="E1413" s="1260"/>
      <c r="F1413" s="1001"/>
      <c r="G1413" s="846"/>
      <c r="H1413" s="847"/>
      <c r="I1413" s="846"/>
      <c r="J1413" s="847"/>
      <c r="K1413" s="846"/>
      <c r="L1413" s="847"/>
      <c r="M1413" s="846"/>
      <c r="N1413" s="846"/>
      <c r="O1413" s="737">
        <f t="shared" si="175"/>
        <v>0</v>
      </c>
      <c r="P1413" s="847"/>
      <c r="Q1413" s="847"/>
      <c r="R1413" s="738">
        <f t="shared" si="178"/>
        <v>0</v>
      </c>
      <c r="S1413" s="737">
        <f t="shared" si="179"/>
        <v>0</v>
      </c>
      <c r="T1413" s="739">
        <f t="shared" si="180"/>
        <v>0</v>
      </c>
      <c r="U1413" s="846"/>
      <c r="V1413" s="847"/>
      <c r="W1413" s="846"/>
      <c r="X1413" s="846"/>
      <c r="Y1413" s="740">
        <f t="shared" si="176"/>
        <v>0</v>
      </c>
      <c r="Z1413" s="847"/>
      <c r="AA1413" s="847"/>
      <c r="AB1413" s="741">
        <f t="shared" si="177"/>
        <v>0</v>
      </c>
      <c r="AC1413" s="846"/>
      <c r="AD1413" s="847"/>
      <c r="AE1413" s="846"/>
      <c r="AF1413" s="846"/>
      <c r="AG1413" s="847"/>
      <c r="AH1413" s="847"/>
      <c r="AI1413" s="742">
        <f t="shared" si="181"/>
        <v>0</v>
      </c>
      <c r="AJ1413" s="743">
        <f t="shared" si="182"/>
        <v>0</v>
      </c>
    </row>
    <row r="1414" spans="1:36">
      <c r="A1414" s="1243" t="s">
        <v>151</v>
      </c>
      <c r="B1414" s="1244" t="s">
        <v>204</v>
      </c>
      <c r="C1414" s="1248" t="s">
        <v>1471</v>
      </c>
      <c r="D1414" s="1014"/>
      <c r="E1414" s="1260"/>
      <c r="F1414" s="1001"/>
      <c r="G1414" s="846"/>
      <c r="H1414" s="847"/>
      <c r="I1414" s="846"/>
      <c r="J1414" s="847"/>
      <c r="K1414" s="846"/>
      <c r="L1414" s="847"/>
      <c r="M1414" s="846"/>
      <c r="N1414" s="846"/>
      <c r="O1414" s="737">
        <f t="shared" si="175"/>
        <v>0</v>
      </c>
      <c r="P1414" s="847"/>
      <c r="Q1414" s="847"/>
      <c r="R1414" s="738">
        <f t="shared" si="178"/>
        <v>0</v>
      </c>
      <c r="S1414" s="737">
        <f t="shared" si="179"/>
        <v>0</v>
      </c>
      <c r="T1414" s="739">
        <f t="shared" si="180"/>
        <v>0</v>
      </c>
      <c r="U1414" s="846">
        <v>1179000</v>
      </c>
      <c r="V1414" s="847">
        <v>619500</v>
      </c>
      <c r="W1414" s="846"/>
      <c r="X1414" s="846"/>
      <c r="Y1414" s="740">
        <f t="shared" si="176"/>
        <v>0</v>
      </c>
      <c r="Z1414" s="847"/>
      <c r="AA1414" s="847"/>
      <c r="AB1414" s="741">
        <f t="shared" si="177"/>
        <v>0</v>
      </c>
      <c r="AC1414" s="846"/>
      <c r="AD1414" s="847"/>
      <c r="AE1414" s="846"/>
      <c r="AF1414" s="846"/>
      <c r="AG1414" s="847"/>
      <c r="AH1414" s="847"/>
      <c r="AI1414" s="742">
        <f t="shared" si="181"/>
        <v>1179000</v>
      </c>
      <c r="AJ1414" s="743">
        <f t="shared" si="182"/>
        <v>619500</v>
      </c>
    </row>
    <row r="1415" spans="1:36">
      <c r="A1415" s="1243" t="s">
        <v>151</v>
      </c>
      <c r="B1415" s="1018" t="s">
        <v>205</v>
      </c>
      <c r="C1415" s="1019" t="s">
        <v>523</v>
      </c>
      <c r="D1415" s="1020"/>
      <c r="E1415" s="1260"/>
      <c r="F1415" s="1001"/>
      <c r="G1415" s="846"/>
      <c r="H1415" s="847"/>
      <c r="I1415" s="846"/>
      <c r="J1415" s="847"/>
      <c r="K1415" s="846"/>
      <c r="L1415" s="847"/>
      <c r="M1415" s="846"/>
      <c r="N1415" s="846"/>
      <c r="O1415" s="737">
        <f t="shared" si="175"/>
        <v>0</v>
      </c>
      <c r="P1415" s="847"/>
      <c r="Q1415" s="847"/>
      <c r="R1415" s="738">
        <f t="shared" si="178"/>
        <v>0</v>
      </c>
      <c r="S1415" s="737">
        <f t="shared" si="179"/>
        <v>0</v>
      </c>
      <c r="T1415" s="739">
        <f t="shared" si="180"/>
        <v>0</v>
      </c>
      <c r="U1415" s="846"/>
      <c r="V1415" s="847"/>
      <c r="W1415" s="846"/>
      <c r="X1415" s="846"/>
      <c r="Y1415" s="740">
        <f t="shared" si="176"/>
        <v>0</v>
      </c>
      <c r="Z1415" s="847"/>
      <c r="AA1415" s="847"/>
      <c r="AB1415" s="741">
        <f t="shared" si="177"/>
        <v>0</v>
      </c>
      <c r="AC1415" s="846"/>
      <c r="AD1415" s="847"/>
      <c r="AE1415" s="846"/>
      <c r="AF1415" s="846"/>
      <c r="AG1415" s="847"/>
      <c r="AH1415" s="847"/>
      <c r="AI1415" s="742">
        <f t="shared" si="181"/>
        <v>0</v>
      </c>
      <c r="AJ1415" s="743">
        <f t="shared" si="182"/>
        <v>0</v>
      </c>
    </row>
    <row r="1416" spans="1:36">
      <c r="A1416" s="1243" t="s">
        <v>151</v>
      </c>
      <c r="B1416" s="1018" t="s">
        <v>218</v>
      </c>
      <c r="C1416" s="1019" t="s">
        <v>311</v>
      </c>
      <c r="D1416" s="1020"/>
      <c r="E1416" s="1260"/>
      <c r="F1416" s="1001"/>
      <c r="G1416" s="846"/>
      <c r="H1416" s="847"/>
      <c r="I1416" s="846"/>
      <c r="J1416" s="847"/>
      <c r="K1416" s="846"/>
      <c r="L1416" s="847"/>
      <c r="M1416" s="846"/>
      <c r="N1416" s="846"/>
      <c r="O1416" s="737">
        <f t="shared" si="175"/>
        <v>0</v>
      </c>
      <c r="P1416" s="847"/>
      <c r="Q1416" s="847"/>
      <c r="R1416" s="738">
        <f t="shared" si="178"/>
        <v>0</v>
      </c>
      <c r="S1416" s="737">
        <f t="shared" si="179"/>
        <v>0</v>
      </c>
      <c r="T1416" s="739">
        <f t="shared" si="180"/>
        <v>0</v>
      </c>
      <c r="U1416" s="846"/>
      <c r="V1416" s="847"/>
      <c r="W1416" s="846"/>
      <c r="X1416" s="846"/>
      <c r="Y1416" s="740">
        <f t="shared" si="176"/>
        <v>0</v>
      </c>
      <c r="Z1416" s="847"/>
      <c r="AA1416" s="847"/>
      <c r="AB1416" s="741">
        <f t="shared" si="177"/>
        <v>0</v>
      </c>
      <c r="AC1416" s="846"/>
      <c r="AD1416" s="847"/>
      <c r="AE1416" s="846"/>
      <c r="AF1416" s="846"/>
      <c r="AG1416" s="847"/>
      <c r="AH1416" s="847"/>
      <c r="AI1416" s="742">
        <f t="shared" si="181"/>
        <v>0</v>
      </c>
      <c r="AJ1416" s="743">
        <f t="shared" si="182"/>
        <v>0</v>
      </c>
    </row>
    <row r="1417" spans="1:36">
      <c r="A1417" s="1243" t="s">
        <v>151</v>
      </c>
      <c r="B1417" s="1244" t="s">
        <v>219</v>
      </c>
      <c r="C1417" s="1248" t="s">
        <v>1471</v>
      </c>
      <c r="D1417" s="1014"/>
      <c r="E1417" s="1260"/>
      <c r="F1417" s="1001"/>
      <c r="G1417" s="846"/>
      <c r="H1417" s="847"/>
      <c r="I1417" s="846"/>
      <c r="J1417" s="847"/>
      <c r="K1417" s="846"/>
      <c r="L1417" s="847"/>
      <c r="M1417" s="846"/>
      <c r="N1417" s="846"/>
      <c r="O1417" s="737">
        <f t="shared" si="175"/>
        <v>0</v>
      </c>
      <c r="P1417" s="847"/>
      <c r="Q1417" s="847"/>
      <c r="R1417" s="738">
        <f t="shared" si="178"/>
        <v>0</v>
      </c>
      <c r="S1417" s="737">
        <f t="shared" si="179"/>
        <v>0</v>
      </c>
      <c r="T1417" s="739">
        <f t="shared" si="180"/>
        <v>0</v>
      </c>
      <c r="U1417" s="846">
        <v>262500</v>
      </c>
      <c r="V1417" s="847">
        <v>136500</v>
      </c>
      <c r="W1417" s="846"/>
      <c r="X1417" s="846"/>
      <c r="Y1417" s="740">
        <f t="shared" si="176"/>
        <v>0</v>
      </c>
      <c r="Z1417" s="847"/>
      <c r="AA1417" s="847"/>
      <c r="AB1417" s="741">
        <f t="shared" si="177"/>
        <v>0</v>
      </c>
      <c r="AC1417" s="846"/>
      <c r="AD1417" s="847"/>
      <c r="AE1417" s="846"/>
      <c r="AF1417" s="846"/>
      <c r="AG1417" s="847"/>
      <c r="AH1417" s="847"/>
      <c r="AI1417" s="742">
        <f t="shared" si="181"/>
        <v>262500</v>
      </c>
      <c r="AJ1417" s="743">
        <f t="shared" si="182"/>
        <v>136500</v>
      </c>
    </row>
    <row r="1418" spans="1:36">
      <c r="A1418" s="1243" t="s">
        <v>151</v>
      </c>
      <c r="B1418" s="1263" t="s">
        <v>292</v>
      </c>
      <c r="C1418" s="1261" t="s">
        <v>1475</v>
      </c>
      <c r="D1418" s="1262"/>
      <c r="E1418" s="1260"/>
      <c r="F1418" s="1001"/>
      <c r="G1418" s="846"/>
      <c r="H1418" s="847"/>
      <c r="I1418" s="846"/>
      <c r="J1418" s="847"/>
      <c r="K1418" s="846"/>
      <c r="L1418" s="847"/>
      <c r="M1418" s="846"/>
      <c r="N1418" s="846"/>
      <c r="O1418" s="737">
        <f t="shared" ref="O1418:O1481" si="183">SUM(M1418:N1418)</f>
        <v>0</v>
      </c>
      <c r="P1418" s="847"/>
      <c r="Q1418" s="847"/>
      <c r="R1418" s="738">
        <f t="shared" si="178"/>
        <v>0</v>
      </c>
      <c r="S1418" s="737">
        <f t="shared" si="179"/>
        <v>0</v>
      </c>
      <c r="T1418" s="739">
        <f t="shared" si="180"/>
        <v>0</v>
      </c>
      <c r="U1418" s="846"/>
      <c r="V1418" s="847"/>
      <c r="W1418" s="846"/>
      <c r="X1418" s="846"/>
      <c r="Y1418" s="740">
        <f t="shared" ref="Y1418:Y1481" si="184">SUM(W1418:X1418)</f>
        <v>0</v>
      </c>
      <c r="Z1418" s="847"/>
      <c r="AA1418" s="847"/>
      <c r="AB1418" s="741">
        <f t="shared" ref="AB1418:AB1481" si="185">SUM(Z1418:AA1418)</f>
        <v>0</v>
      </c>
      <c r="AC1418" s="846"/>
      <c r="AD1418" s="847"/>
      <c r="AE1418" s="846"/>
      <c r="AF1418" s="846"/>
      <c r="AG1418" s="847"/>
      <c r="AH1418" s="847"/>
      <c r="AI1418" s="742">
        <f t="shared" si="181"/>
        <v>0</v>
      </c>
      <c r="AJ1418" s="743">
        <f t="shared" si="182"/>
        <v>0</v>
      </c>
    </row>
    <row r="1419" spans="1:36">
      <c r="A1419" s="1243" t="s">
        <v>151</v>
      </c>
      <c r="B1419" s="1244" t="s">
        <v>209</v>
      </c>
      <c r="C1419" s="1248" t="s">
        <v>522</v>
      </c>
      <c r="D1419" s="1014"/>
      <c r="E1419" s="1260"/>
      <c r="F1419" s="1001"/>
      <c r="G1419" s="846"/>
      <c r="H1419" s="847"/>
      <c r="I1419" s="846"/>
      <c r="J1419" s="847"/>
      <c r="K1419" s="846"/>
      <c r="L1419" s="847"/>
      <c r="M1419" s="846"/>
      <c r="N1419" s="846"/>
      <c r="O1419" s="737">
        <f t="shared" si="183"/>
        <v>0</v>
      </c>
      <c r="P1419" s="847"/>
      <c r="Q1419" s="847"/>
      <c r="R1419" s="738">
        <f t="shared" ref="R1419:R1482" si="186">SUM(P1419:Q1419)</f>
        <v>0</v>
      </c>
      <c r="S1419" s="737">
        <f t="shared" ref="S1419:S1482" si="187">SUM(G1419,I1419,K1419,M1419)</f>
        <v>0</v>
      </c>
      <c r="T1419" s="739">
        <f t="shared" ref="T1419:T1482" si="188">SUM(H1419,J1419,L1419,P1419)</f>
        <v>0</v>
      </c>
      <c r="U1419" s="846"/>
      <c r="V1419" s="847"/>
      <c r="W1419" s="846"/>
      <c r="X1419" s="846"/>
      <c r="Y1419" s="740">
        <f t="shared" si="184"/>
        <v>0</v>
      </c>
      <c r="Z1419" s="847"/>
      <c r="AA1419" s="847"/>
      <c r="AB1419" s="741">
        <f t="shared" si="185"/>
        <v>0</v>
      </c>
      <c r="AC1419" s="846"/>
      <c r="AD1419" s="847"/>
      <c r="AE1419" s="846"/>
      <c r="AF1419" s="846"/>
      <c r="AG1419" s="847"/>
      <c r="AH1419" s="847"/>
      <c r="AI1419" s="742">
        <f t="shared" ref="AI1419:AI1482" si="189">SUM(S1419,U1419,W1419,AC1419,AE1419)</f>
        <v>0</v>
      </c>
      <c r="AJ1419" s="743">
        <f t="shared" ref="AJ1419:AJ1482" si="190">SUM(T1419,V1419,Z1419,AD1419,AG1419)</f>
        <v>0</v>
      </c>
    </row>
    <row r="1420" spans="1:36">
      <c r="A1420" s="1243" t="s">
        <v>151</v>
      </c>
      <c r="B1420" s="1244" t="s">
        <v>210</v>
      </c>
      <c r="C1420" s="1248" t="s">
        <v>311</v>
      </c>
      <c r="D1420" s="1014"/>
      <c r="E1420" s="1260"/>
      <c r="F1420" s="1001"/>
      <c r="G1420" s="846"/>
      <c r="H1420" s="847"/>
      <c r="I1420" s="846"/>
      <c r="J1420" s="847"/>
      <c r="K1420" s="846"/>
      <c r="L1420" s="847"/>
      <c r="M1420" s="846"/>
      <c r="N1420" s="846"/>
      <c r="O1420" s="737">
        <f t="shared" si="183"/>
        <v>0</v>
      </c>
      <c r="P1420" s="847"/>
      <c r="Q1420" s="847"/>
      <c r="R1420" s="738">
        <f t="shared" si="186"/>
        <v>0</v>
      </c>
      <c r="S1420" s="737">
        <f t="shared" si="187"/>
        <v>0</v>
      </c>
      <c r="T1420" s="739">
        <f t="shared" si="188"/>
        <v>0</v>
      </c>
      <c r="U1420" s="846"/>
      <c r="V1420" s="847"/>
      <c r="W1420" s="846"/>
      <c r="X1420" s="846"/>
      <c r="Y1420" s="740">
        <f t="shared" si="184"/>
        <v>0</v>
      </c>
      <c r="Z1420" s="847"/>
      <c r="AA1420" s="847"/>
      <c r="AB1420" s="741">
        <f t="shared" si="185"/>
        <v>0</v>
      </c>
      <c r="AC1420" s="846"/>
      <c r="AD1420" s="847"/>
      <c r="AE1420" s="846"/>
      <c r="AF1420" s="846"/>
      <c r="AG1420" s="847"/>
      <c r="AH1420" s="847"/>
      <c r="AI1420" s="742">
        <f t="shared" si="189"/>
        <v>0</v>
      </c>
      <c r="AJ1420" s="743">
        <f t="shared" si="190"/>
        <v>0</v>
      </c>
    </row>
    <row r="1421" spans="1:36">
      <c r="A1421" s="1243" t="s">
        <v>151</v>
      </c>
      <c r="B1421" s="1244" t="s">
        <v>204</v>
      </c>
      <c r="C1421" s="1248" t="s">
        <v>1471</v>
      </c>
      <c r="D1421" s="1014"/>
      <c r="E1421" s="1260"/>
      <c r="F1421" s="1001"/>
      <c r="G1421" s="846"/>
      <c r="H1421" s="847"/>
      <c r="I1421" s="846"/>
      <c r="J1421" s="847"/>
      <c r="K1421" s="846"/>
      <c r="L1421" s="847"/>
      <c r="M1421" s="846"/>
      <c r="N1421" s="846"/>
      <c r="O1421" s="737">
        <f t="shared" si="183"/>
        <v>0</v>
      </c>
      <c r="P1421" s="847"/>
      <c r="Q1421" s="847"/>
      <c r="R1421" s="738">
        <f t="shared" si="186"/>
        <v>0</v>
      </c>
      <c r="S1421" s="737">
        <f t="shared" si="187"/>
        <v>0</v>
      </c>
      <c r="T1421" s="739">
        <f t="shared" si="188"/>
        <v>0</v>
      </c>
      <c r="U1421" s="846"/>
      <c r="V1421" s="847"/>
      <c r="W1421" s="846"/>
      <c r="X1421" s="846"/>
      <c r="Y1421" s="740">
        <f t="shared" si="184"/>
        <v>0</v>
      </c>
      <c r="Z1421" s="847"/>
      <c r="AA1421" s="847"/>
      <c r="AB1421" s="741">
        <f t="shared" si="185"/>
        <v>0</v>
      </c>
      <c r="AC1421" s="846"/>
      <c r="AD1421" s="847"/>
      <c r="AE1421" s="846"/>
      <c r="AF1421" s="846"/>
      <c r="AG1421" s="847"/>
      <c r="AH1421" s="847"/>
      <c r="AI1421" s="742">
        <f t="shared" si="189"/>
        <v>0</v>
      </c>
      <c r="AJ1421" s="743">
        <f t="shared" si="190"/>
        <v>0</v>
      </c>
    </row>
    <row r="1422" spans="1:36">
      <c r="A1422" s="1243" t="s">
        <v>151</v>
      </c>
      <c r="B1422" s="1018" t="s">
        <v>205</v>
      </c>
      <c r="C1422" s="1019" t="s">
        <v>523</v>
      </c>
      <c r="D1422" s="1020"/>
      <c r="E1422" s="1260"/>
      <c r="F1422" s="1001"/>
      <c r="G1422" s="846"/>
      <c r="H1422" s="847"/>
      <c r="I1422" s="846"/>
      <c r="J1422" s="847"/>
      <c r="K1422" s="846"/>
      <c r="L1422" s="847"/>
      <c r="M1422" s="846"/>
      <c r="N1422" s="846"/>
      <c r="O1422" s="737">
        <f t="shared" si="183"/>
        <v>0</v>
      </c>
      <c r="P1422" s="847"/>
      <c r="Q1422" s="847"/>
      <c r="R1422" s="738">
        <f t="shared" si="186"/>
        <v>0</v>
      </c>
      <c r="S1422" s="737">
        <f t="shared" si="187"/>
        <v>0</v>
      </c>
      <c r="T1422" s="739">
        <f t="shared" si="188"/>
        <v>0</v>
      </c>
      <c r="U1422" s="846"/>
      <c r="V1422" s="847"/>
      <c r="W1422" s="846"/>
      <c r="X1422" s="846"/>
      <c r="Y1422" s="740">
        <f t="shared" si="184"/>
        <v>0</v>
      </c>
      <c r="Z1422" s="847"/>
      <c r="AA1422" s="847"/>
      <c r="AB1422" s="741">
        <f t="shared" si="185"/>
        <v>0</v>
      </c>
      <c r="AC1422" s="846"/>
      <c r="AD1422" s="847"/>
      <c r="AE1422" s="846"/>
      <c r="AF1422" s="846"/>
      <c r="AG1422" s="847"/>
      <c r="AH1422" s="847"/>
      <c r="AI1422" s="742">
        <f t="shared" si="189"/>
        <v>0</v>
      </c>
      <c r="AJ1422" s="743">
        <f t="shared" si="190"/>
        <v>0</v>
      </c>
    </row>
    <row r="1423" spans="1:36">
      <c r="A1423" s="1243" t="s">
        <v>151</v>
      </c>
      <c r="B1423" s="1018" t="s">
        <v>218</v>
      </c>
      <c r="C1423" s="1019" t="s">
        <v>311</v>
      </c>
      <c r="D1423" s="1020"/>
      <c r="E1423" s="1260"/>
      <c r="F1423" s="1001"/>
      <c r="G1423" s="846"/>
      <c r="H1423" s="847"/>
      <c r="I1423" s="846"/>
      <c r="J1423" s="847"/>
      <c r="K1423" s="846"/>
      <c r="L1423" s="847"/>
      <c r="M1423" s="846"/>
      <c r="N1423" s="846"/>
      <c r="O1423" s="737">
        <f t="shared" si="183"/>
        <v>0</v>
      </c>
      <c r="P1423" s="847"/>
      <c r="Q1423" s="847"/>
      <c r="R1423" s="738">
        <f t="shared" si="186"/>
        <v>0</v>
      </c>
      <c r="S1423" s="737">
        <f t="shared" si="187"/>
        <v>0</v>
      </c>
      <c r="T1423" s="739">
        <f t="shared" si="188"/>
        <v>0</v>
      </c>
      <c r="U1423" s="846">
        <v>117000</v>
      </c>
      <c r="V1423" s="847">
        <v>121000</v>
      </c>
      <c r="W1423" s="846"/>
      <c r="X1423" s="846"/>
      <c r="Y1423" s="740">
        <f t="shared" si="184"/>
        <v>0</v>
      </c>
      <c r="Z1423" s="847"/>
      <c r="AA1423" s="847"/>
      <c r="AB1423" s="741">
        <f t="shared" si="185"/>
        <v>0</v>
      </c>
      <c r="AC1423" s="846"/>
      <c r="AD1423" s="847"/>
      <c r="AE1423" s="846"/>
      <c r="AF1423" s="846"/>
      <c r="AG1423" s="847"/>
      <c r="AH1423" s="847"/>
      <c r="AI1423" s="742">
        <f t="shared" si="189"/>
        <v>117000</v>
      </c>
      <c r="AJ1423" s="743">
        <f t="shared" si="190"/>
        <v>121000</v>
      </c>
    </row>
    <row r="1424" spans="1:36">
      <c r="A1424" s="1243" t="s">
        <v>151</v>
      </c>
      <c r="B1424" s="1244" t="s">
        <v>219</v>
      </c>
      <c r="C1424" s="1248" t="s">
        <v>1471</v>
      </c>
      <c r="D1424" s="1014"/>
      <c r="E1424" s="1260"/>
      <c r="F1424" s="1001"/>
      <c r="G1424" s="846"/>
      <c r="H1424" s="847"/>
      <c r="I1424" s="846"/>
      <c r="J1424" s="847"/>
      <c r="K1424" s="846"/>
      <c r="L1424" s="847"/>
      <c r="M1424" s="846"/>
      <c r="N1424" s="846"/>
      <c r="O1424" s="737">
        <f t="shared" si="183"/>
        <v>0</v>
      </c>
      <c r="P1424" s="847"/>
      <c r="Q1424" s="847"/>
      <c r="R1424" s="738">
        <f t="shared" si="186"/>
        <v>0</v>
      </c>
      <c r="S1424" s="737">
        <f t="shared" si="187"/>
        <v>0</v>
      </c>
      <c r="T1424" s="739">
        <f t="shared" si="188"/>
        <v>0</v>
      </c>
      <c r="U1424" s="846"/>
      <c r="V1424" s="847"/>
      <c r="W1424" s="846"/>
      <c r="X1424" s="846"/>
      <c r="Y1424" s="740">
        <f t="shared" si="184"/>
        <v>0</v>
      </c>
      <c r="Z1424" s="847"/>
      <c r="AA1424" s="847"/>
      <c r="AB1424" s="741">
        <f t="shared" si="185"/>
        <v>0</v>
      </c>
      <c r="AC1424" s="846"/>
      <c r="AD1424" s="847"/>
      <c r="AE1424" s="846"/>
      <c r="AF1424" s="846"/>
      <c r="AG1424" s="847"/>
      <c r="AH1424" s="847"/>
      <c r="AI1424" s="742">
        <f t="shared" si="189"/>
        <v>0</v>
      </c>
      <c r="AJ1424" s="743">
        <f t="shared" si="190"/>
        <v>0</v>
      </c>
    </row>
    <row r="1425" spans="1:36">
      <c r="A1425" s="1243" t="s">
        <v>151</v>
      </c>
      <c r="B1425" s="1263" t="s">
        <v>292</v>
      </c>
      <c r="C1425" s="1261" t="s">
        <v>1476</v>
      </c>
      <c r="D1425" s="1262"/>
      <c r="E1425" s="1260"/>
      <c r="F1425" s="1001"/>
      <c r="G1425" s="846"/>
      <c r="H1425" s="847"/>
      <c r="I1425" s="846"/>
      <c r="J1425" s="847"/>
      <c r="K1425" s="846"/>
      <c r="L1425" s="847"/>
      <c r="M1425" s="846"/>
      <c r="N1425" s="846"/>
      <c r="O1425" s="737">
        <f t="shared" si="183"/>
        <v>0</v>
      </c>
      <c r="P1425" s="847"/>
      <c r="Q1425" s="847"/>
      <c r="R1425" s="738">
        <f t="shared" si="186"/>
        <v>0</v>
      </c>
      <c r="S1425" s="737">
        <f t="shared" si="187"/>
        <v>0</v>
      </c>
      <c r="T1425" s="739">
        <f t="shared" si="188"/>
        <v>0</v>
      </c>
      <c r="U1425" s="846"/>
      <c r="V1425" s="847"/>
      <c r="W1425" s="846"/>
      <c r="X1425" s="846"/>
      <c r="Y1425" s="740">
        <f t="shared" si="184"/>
        <v>0</v>
      </c>
      <c r="Z1425" s="847"/>
      <c r="AA1425" s="847"/>
      <c r="AB1425" s="741">
        <f t="shared" si="185"/>
        <v>0</v>
      </c>
      <c r="AC1425" s="846"/>
      <c r="AD1425" s="847"/>
      <c r="AE1425" s="846"/>
      <c r="AF1425" s="846"/>
      <c r="AG1425" s="847"/>
      <c r="AH1425" s="847"/>
      <c r="AI1425" s="742">
        <f t="shared" si="189"/>
        <v>0</v>
      </c>
      <c r="AJ1425" s="743">
        <f t="shared" si="190"/>
        <v>0</v>
      </c>
    </row>
    <row r="1426" spans="1:36">
      <c r="A1426" s="1243" t="s">
        <v>151</v>
      </c>
      <c r="B1426" s="1244" t="s">
        <v>209</v>
      </c>
      <c r="C1426" s="1248" t="s">
        <v>522</v>
      </c>
      <c r="D1426" s="1014"/>
      <c r="E1426" s="1260"/>
      <c r="F1426" s="1001"/>
      <c r="G1426" s="846"/>
      <c r="H1426" s="847"/>
      <c r="I1426" s="846"/>
      <c r="J1426" s="847"/>
      <c r="K1426" s="846"/>
      <c r="L1426" s="847"/>
      <c r="M1426" s="846"/>
      <c r="N1426" s="846"/>
      <c r="O1426" s="737">
        <f t="shared" si="183"/>
        <v>0</v>
      </c>
      <c r="P1426" s="847"/>
      <c r="Q1426" s="847"/>
      <c r="R1426" s="738">
        <f t="shared" si="186"/>
        <v>0</v>
      </c>
      <c r="S1426" s="737">
        <f t="shared" si="187"/>
        <v>0</v>
      </c>
      <c r="T1426" s="739">
        <f t="shared" si="188"/>
        <v>0</v>
      </c>
      <c r="U1426" s="846"/>
      <c r="V1426" s="847"/>
      <c r="W1426" s="846"/>
      <c r="X1426" s="846"/>
      <c r="Y1426" s="740">
        <f t="shared" si="184"/>
        <v>0</v>
      </c>
      <c r="Z1426" s="847"/>
      <c r="AA1426" s="847"/>
      <c r="AB1426" s="741">
        <f t="shared" si="185"/>
        <v>0</v>
      </c>
      <c r="AC1426" s="846"/>
      <c r="AD1426" s="847"/>
      <c r="AE1426" s="846"/>
      <c r="AF1426" s="846"/>
      <c r="AG1426" s="847"/>
      <c r="AH1426" s="847"/>
      <c r="AI1426" s="742">
        <f t="shared" si="189"/>
        <v>0</v>
      </c>
      <c r="AJ1426" s="743">
        <f t="shared" si="190"/>
        <v>0</v>
      </c>
    </row>
    <row r="1427" spans="1:36">
      <c r="A1427" s="1243" t="s">
        <v>151</v>
      </c>
      <c r="B1427" s="1244" t="s">
        <v>210</v>
      </c>
      <c r="C1427" s="1248" t="s">
        <v>311</v>
      </c>
      <c r="D1427" s="1014"/>
      <c r="E1427" s="1260"/>
      <c r="F1427" s="1001"/>
      <c r="G1427" s="846"/>
      <c r="H1427" s="847"/>
      <c r="I1427" s="846"/>
      <c r="J1427" s="847"/>
      <c r="K1427" s="846"/>
      <c r="L1427" s="847"/>
      <c r="M1427" s="846"/>
      <c r="N1427" s="846"/>
      <c r="O1427" s="737">
        <f t="shared" si="183"/>
        <v>0</v>
      </c>
      <c r="P1427" s="847"/>
      <c r="Q1427" s="847"/>
      <c r="R1427" s="738">
        <f t="shared" si="186"/>
        <v>0</v>
      </c>
      <c r="S1427" s="737">
        <f t="shared" si="187"/>
        <v>0</v>
      </c>
      <c r="T1427" s="739">
        <f t="shared" si="188"/>
        <v>0</v>
      </c>
      <c r="U1427" s="846"/>
      <c r="V1427" s="847"/>
      <c r="W1427" s="846"/>
      <c r="X1427" s="846"/>
      <c r="Y1427" s="740">
        <f t="shared" si="184"/>
        <v>0</v>
      </c>
      <c r="Z1427" s="847"/>
      <c r="AA1427" s="847"/>
      <c r="AB1427" s="741">
        <f t="shared" si="185"/>
        <v>0</v>
      </c>
      <c r="AC1427" s="846"/>
      <c r="AD1427" s="847"/>
      <c r="AE1427" s="846"/>
      <c r="AF1427" s="846"/>
      <c r="AG1427" s="847"/>
      <c r="AH1427" s="847"/>
      <c r="AI1427" s="742">
        <f t="shared" si="189"/>
        <v>0</v>
      </c>
      <c r="AJ1427" s="743">
        <f t="shared" si="190"/>
        <v>0</v>
      </c>
    </row>
    <row r="1428" spans="1:36">
      <c r="A1428" s="1243" t="s">
        <v>151</v>
      </c>
      <c r="B1428" s="1244" t="s">
        <v>204</v>
      </c>
      <c r="C1428" s="1248" t="s">
        <v>1471</v>
      </c>
      <c r="D1428" s="1014"/>
      <c r="E1428" s="1260"/>
      <c r="F1428" s="1001"/>
      <c r="G1428" s="846"/>
      <c r="H1428" s="847"/>
      <c r="I1428" s="846"/>
      <c r="J1428" s="847"/>
      <c r="K1428" s="846"/>
      <c r="L1428" s="847"/>
      <c r="M1428" s="846"/>
      <c r="N1428" s="846"/>
      <c r="O1428" s="737">
        <f t="shared" si="183"/>
        <v>0</v>
      </c>
      <c r="P1428" s="847"/>
      <c r="Q1428" s="847"/>
      <c r="R1428" s="738">
        <f t="shared" si="186"/>
        <v>0</v>
      </c>
      <c r="S1428" s="737">
        <f t="shared" si="187"/>
        <v>0</v>
      </c>
      <c r="T1428" s="739">
        <f t="shared" si="188"/>
        <v>0</v>
      </c>
      <c r="U1428" s="846"/>
      <c r="V1428" s="847"/>
      <c r="W1428" s="846"/>
      <c r="X1428" s="846"/>
      <c r="Y1428" s="740">
        <f t="shared" si="184"/>
        <v>0</v>
      </c>
      <c r="Z1428" s="847"/>
      <c r="AA1428" s="847"/>
      <c r="AB1428" s="741">
        <f t="shared" si="185"/>
        <v>0</v>
      </c>
      <c r="AC1428" s="846"/>
      <c r="AD1428" s="847"/>
      <c r="AE1428" s="846"/>
      <c r="AF1428" s="846"/>
      <c r="AG1428" s="847"/>
      <c r="AH1428" s="847"/>
      <c r="AI1428" s="742">
        <f t="shared" si="189"/>
        <v>0</v>
      </c>
      <c r="AJ1428" s="743">
        <f t="shared" si="190"/>
        <v>0</v>
      </c>
    </row>
    <row r="1429" spans="1:36">
      <c r="A1429" s="1243" t="s">
        <v>151</v>
      </c>
      <c r="B1429" s="1018" t="s">
        <v>205</v>
      </c>
      <c r="C1429" s="1019" t="s">
        <v>523</v>
      </c>
      <c r="D1429" s="1020"/>
      <c r="E1429" s="1260"/>
      <c r="F1429" s="1001"/>
      <c r="G1429" s="846"/>
      <c r="H1429" s="847"/>
      <c r="I1429" s="846"/>
      <c r="J1429" s="847"/>
      <c r="K1429" s="846"/>
      <c r="L1429" s="847"/>
      <c r="M1429" s="846"/>
      <c r="N1429" s="846"/>
      <c r="O1429" s="737">
        <f t="shared" si="183"/>
        <v>0</v>
      </c>
      <c r="P1429" s="847"/>
      <c r="Q1429" s="847"/>
      <c r="R1429" s="738">
        <f t="shared" si="186"/>
        <v>0</v>
      </c>
      <c r="S1429" s="737">
        <f t="shared" si="187"/>
        <v>0</v>
      </c>
      <c r="T1429" s="739">
        <f t="shared" si="188"/>
        <v>0</v>
      </c>
      <c r="U1429" s="846"/>
      <c r="V1429" s="847"/>
      <c r="W1429" s="846"/>
      <c r="X1429" s="846"/>
      <c r="Y1429" s="740">
        <f t="shared" si="184"/>
        <v>0</v>
      </c>
      <c r="Z1429" s="847"/>
      <c r="AA1429" s="847"/>
      <c r="AB1429" s="741">
        <f t="shared" si="185"/>
        <v>0</v>
      </c>
      <c r="AC1429" s="846"/>
      <c r="AD1429" s="847"/>
      <c r="AE1429" s="846"/>
      <c r="AF1429" s="846"/>
      <c r="AG1429" s="847"/>
      <c r="AH1429" s="847"/>
      <c r="AI1429" s="742">
        <f t="shared" si="189"/>
        <v>0</v>
      </c>
      <c r="AJ1429" s="743">
        <f t="shared" si="190"/>
        <v>0</v>
      </c>
    </row>
    <row r="1430" spans="1:36">
      <c r="A1430" s="1243" t="s">
        <v>151</v>
      </c>
      <c r="B1430" s="1018" t="s">
        <v>218</v>
      </c>
      <c r="C1430" s="1019" t="s">
        <v>311</v>
      </c>
      <c r="D1430" s="1020"/>
      <c r="E1430" s="1260"/>
      <c r="F1430" s="1001"/>
      <c r="G1430" s="846"/>
      <c r="H1430" s="847"/>
      <c r="I1430" s="846"/>
      <c r="J1430" s="847"/>
      <c r="K1430" s="846"/>
      <c r="L1430" s="847"/>
      <c r="M1430" s="846"/>
      <c r="N1430" s="846"/>
      <c r="O1430" s="737">
        <f t="shared" si="183"/>
        <v>0</v>
      </c>
      <c r="P1430" s="847"/>
      <c r="Q1430" s="847"/>
      <c r="R1430" s="738">
        <f t="shared" si="186"/>
        <v>0</v>
      </c>
      <c r="S1430" s="737">
        <f t="shared" si="187"/>
        <v>0</v>
      </c>
      <c r="T1430" s="739">
        <f t="shared" si="188"/>
        <v>0</v>
      </c>
      <c r="U1430" s="846"/>
      <c r="V1430" s="847"/>
      <c r="W1430" s="846"/>
      <c r="X1430" s="846"/>
      <c r="Y1430" s="740">
        <f t="shared" si="184"/>
        <v>0</v>
      </c>
      <c r="Z1430" s="847"/>
      <c r="AA1430" s="847"/>
      <c r="AB1430" s="741">
        <f t="shared" si="185"/>
        <v>0</v>
      </c>
      <c r="AC1430" s="846"/>
      <c r="AD1430" s="847"/>
      <c r="AE1430" s="846"/>
      <c r="AF1430" s="846"/>
      <c r="AG1430" s="847"/>
      <c r="AH1430" s="847"/>
      <c r="AI1430" s="742">
        <f t="shared" si="189"/>
        <v>0</v>
      </c>
      <c r="AJ1430" s="743">
        <f t="shared" si="190"/>
        <v>0</v>
      </c>
    </row>
    <row r="1431" spans="1:36">
      <c r="A1431" s="1243" t="s">
        <v>151</v>
      </c>
      <c r="B1431" s="1244" t="s">
        <v>219</v>
      </c>
      <c r="C1431" s="1248" t="s">
        <v>1471</v>
      </c>
      <c r="D1431" s="1014"/>
      <c r="E1431" s="1260"/>
      <c r="F1431" s="1001"/>
      <c r="G1431" s="846"/>
      <c r="H1431" s="847"/>
      <c r="I1431" s="846"/>
      <c r="J1431" s="847"/>
      <c r="K1431" s="846"/>
      <c r="L1431" s="847"/>
      <c r="M1431" s="846"/>
      <c r="N1431" s="846"/>
      <c r="O1431" s="737">
        <f t="shared" si="183"/>
        <v>0</v>
      </c>
      <c r="P1431" s="847"/>
      <c r="Q1431" s="847"/>
      <c r="R1431" s="738">
        <f t="shared" si="186"/>
        <v>0</v>
      </c>
      <c r="S1431" s="737">
        <f t="shared" si="187"/>
        <v>0</v>
      </c>
      <c r="T1431" s="739">
        <f t="shared" si="188"/>
        <v>0</v>
      </c>
      <c r="U1431" s="846"/>
      <c r="V1431" s="847"/>
      <c r="W1431" s="846"/>
      <c r="X1431" s="846"/>
      <c r="Y1431" s="740">
        <f t="shared" si="184"/>
        <v>0</v>
      </c>
      <c r="Z1431" s="847"/>
      <c r="AA1431" s="847"/>
      <c r="AB1431" s="741">
        <f t="shared" si="185"/>
        <v>0</v>
      </c>
      <c r="AC1431" s="846"/>
      <c r="AD1431" s="847"/>
      <c r="AE1431" s="846"/>
      <c r="AF1431" s="846"/>
      <c r="AG1431" s="847"/>
      <c r="AH1431" s="847"/>
      <c r="AI1431" s="742">
        <f t="shared" si="189"/>
        <v>0</v>
      </c>
      <c r="AJ1431" s="743">
        <f t="shared" si="190"/>
        <v>0</v>
      </c>
    </row>
    <row r="1432" spans="1:36" ht="38.25">
      <c r="A1432" s="1265" t="s">
        <v>151</v>
      </c>
      <c r="B1432" s="1266" t="s">
        <v>292</v>
      </c>
      <c r="C1432" s="1267" t="s">
        <v>1477</v>
      </c>
      <c r="D1432" s="1268"/>
      <c r="E1432" s="1260"/>
      <c r="F1432" s="1001"/>
      <c r="G1432" s="846"/>
      <c r="H1432" s="847"/>
      <c r="I1432" s="846"/>
      <c r="J1432" s="847"/>
      <c r="K1432" s="846"/>
      <c r="L1432" s="847"/>
      <c r="M1432" s="846"/>
      <c r="N1432" s="846"/>
      <c r="O1432" s="737">
        <f t="shared" si="183"/>
        <v>0</v>
      </c>
      <c r="P1432" s="847"/>
      <c r="Q1432" s="847"/>
      <c r="R1432" s="738">
        <f t="shared" si="186"/>
        <v>0</v>
      </c>
      <c r="S1432" s="737">
        <f t="shared" si="187"/>
        <v>0</v>
      </c>
      <c r="T1432" s="739">
        <f t="shared" si="188"/>
        <v>0</v>
      </c>
      <c r="U1432" s="846"/>
      <c r="V1432" s="847"/>
      <c r="W1432" s="846"/>
      <c r="X1432" s="846"/>
      <c r="Y1432" s="740">
        <f t="shared" si="184"/>
        <v>0</v>
      </c>
      <c r="Z1432" s="847"/>
      <c r="AA1432" s="847"/>
      <c r="AB1432" s="741">
        <f t="shared" si="185"/>
        <v>0</v>
      </c>
      <c r="AC1432" s="846"/>
      <c r="AD1432" s="847"/>
      <c r="AE1432" s="846"/>
      <c r="AF1432" s="846"/>
      <c r="AG1432" s="847"/>
      <c r="AH1432" s="847"/>
      <c r="AI1432" s="742">
        <f t="shared" si="189"/>
        <v>0</v>
      </c>
      <c r="AJ1432" s="743">
        <f t="shared" si="190"/>
        <v>0</v>
      </c>
    </row>
    <row r="1433" spans="1:36">
      <c r="A1433" s="1243" t="s">
        <v>151</v>
      </c>
      <c r="B1433" s="1244" t="s">
        <v>209</v>
      </c>
      <c r="C1433" s="1248" t="s">
        <v>522</v>
      </c>
      <c r="D1433" s="1014"/>
      <c r="E1433" s="1260"/>
      <c r="F1433" s="1001"/>
      <c r="G1433" s="846"/>
      <c r="H1433" s="847"/>
      <c r="I1433" s="846"/>
      <c r="J1433" s="847"/>
      <c r="K1433" s="846"/>
      <c r="L1433" s="847"/>
      <c r="M1433" s="846"/>
      <c r="N1433" s="846"/>
      <c r="O1433" s="737">
        <f t="shared" si="183"/>
        <v>0</v>
      </c>
      <c r="P1433" s="847"/>
      <c r="Q1433" s="847"/>
      <c r="R1433" s="738">
        <f t="shared" si="186"/>
        <v>0</v>
      </c>
      <c r="S1433" s="737">
        <f t="shared" si="187"/>
        <v>0</v>
      </c>
      <c r="T1433" s="739">
        <f t="shared" si="188"/>
        <v>0</v>
      </c>
      <c r="U1433" s="846"/>
      <c r="V1433" s="847"/>
      <c r="W1433" s="846"/>
      <c r="X1433" s="846"/>
      <c r="Y1433" s="740">
        <f t="shared" si="184"/>
        <v>0</v>
      </c>
      <c r="Z1433" s="847"/>
      <c r="AA1433" s="847"/>
      <c r="AB1433" s="741">
        <f t="shared" si="185"/>
        <v>0</v>
      </c>
      <c r="AC1433" s="846"/>
      <c r="AD1433" s="847"/>
      <c r="AE1433" s="846"/>
      <c r="AF1433" s="846"/>
      <c r="AG1433" s="847"/>
      <c r="AH1433" s="847"/>
      <c r="AI1433" s="742">
        <f t="shared" si="189"/>
        <v>0</v>
      </c>
      <c r="AJ1433" s="743">
        <f t="shared" si="190"/>
        <v>0</v>
      </c>
    </row>
    <row r="1434" spans="1:36">
      <c r="A1434" s="1243" t="s">
        <v>151</v>
      </c>
      <c r="B1434" s="1244" t="s">
        <v>210</v>
      </c>
      <c r="C1434" s="1248" t="s">
        <v>311</v>
      </c>
      <c r="D1434" s="1014"/>
      <c r="E1434" s="1260"/>
      <c r="F1434" s="1001"/>
      <c r="G1434" s="846"/>
      <c r="H1434" s="847"/>
      <c r="I1434" s="846"/>
      <c r="J1434" s="847"/>
      <c r="K1434" s="846"/>
      <c r="L1434" s="847"/>
      <c r="M1434" s="846"/>
      <c r="N1434" s="846"/>
      <c r="O1434" s="737">
        <f t="shared" si="183"/>
        <v>0</v>
      </c>
      <c r="P1434" s="847"/>
      <c r="Q1434" s="847"/>
      <c r="R1434" s="738">
        <f t="shared" si="186"/>
        <v>0</v>
      </c>
      <c r="S1434" s="737">
        <f t="shared" si="187"/>
        <v>0</v>
      </c>
      <c r="T1434" s="739">
        <f t="shared" si="188"/>
        <v>0</v>
      </c>
      <c r="U1434" s="846"/>
      <c r="V1434" s="847"/>
      <c r="W1434" s="846"/>
      <c r="X1434" s="846"/>
      <c r="Y1434" s="740">
        <f t="shared" si="184"/>
        <v>0</v>
      </c>
      <c r="Z1434" s="847"/>
      <c r="AA1434" s="847"/>
      <c r="AB1434" s="741">
        <f t="shared" si="185"/>
        <v>0</v>
      </c>
      <c r="AC1434" s="846"/>
      <c r="AD1434" s="847"/>
      <c r="AE1434" s="846"/>
      <c r="AF1434" s="846"/>
      <c r="AG1434" s="847"/>
      <c r="AH1434" s="847"/>
      <c r="AI1434" s="742">
        <f t="shared" si="189"/>
        <v>0</v>
      </c>
      <c r="AJ1434" s="743">
        <f t="shared" si="190"/>
        <v>0</v>
      </c>
    </row>
    <row r="1435" spans="1:36">
      <c r="A1435" s="1243" t="s">
        <v>151</v>
      </c>
      <c r="B1435" s="1244" t="s">
        <v>204</v>
      </c>
      <c r="C1435" s="1248" t="s">
        <v>1471</v>
      </c>
      <c r="D1435" s="1014"/>
      <c r="E1435" s="1260"/>
      <c r="F1435" s="1001"/>
      <c r="G1435" s="846"/>
      <c r="H1435" s="847"/>
      <c r="I1435" s="846"/>
      <c r="J1435" s="847"/>
      <c r="K1435" s="846"/>
      <c r="L1435" s="847"/>
      <c r="M1435" s="846"/>
      <c r="N1435" s="846"/>
      <c r="O1435" s="737">
        <f t="shared" si="183"/>
        <v>0</v>
      </c>
      <c r="P1435" s="847"/>
      <c r="Q1435" s="847"/>
      <c r="R1435" s="738">
        <f t="shared" si="186"/>
        <v>0</v>
      </c>
      <c r="S1435" s="737">
        <f t="shared" si="187"/>
        <v>0</v>
      </c>
      <c r="T1435" s="739">
        <f t="shared" si="188"/>
        <v>0</v>
      </c>
      <c r="U1435" s="846"/>
      <c r="V1435" s="847"/>
      <c r="W1435" s="846"/>
      <c r="X1435" s="846"/>
      <c r="Y1435" s="740">
        <f t="shared" si="184"/>
        <v>0</v>
      </c>
      <c r="Z1435" s="847"/>
      <c r="AA1435" s="847"/>
      <c r="AB1435" s="741">
        <f t="shared" si="185"/>
        <v>0</v>
      </c>
      <c r="AC1435" s="846"/>
      <c r="AD1435" s="847"/>
      <c r="AE1435" s="846"/>
      <c r="AF1435" s="846"/>
      <c r="AG1435" s="847"/>
      <c r="AH1435" s="847"/>
      <c r="AI1435" s="742">
        <f t="shared" si="189"/>
        <v>0</v>
      </c>
      <c r="AJ1435" s="743">
        <f t="shared" si="190"/>
        <v>0</v>
      </c>
    </row>
    <row r="1436" spans="1:36">
      <c r="A1436" s="1243" t="s">
        <v>151</v>
      </c>
      <c r="B1436" s="1018" t="s">
        <v>205</v>
      </c>
      <c r="C1436" s="1019" t="s">
        <v>523</v>
      </c>
      <c r="D1436" s="1020"/>
      <c r="E1436" s="1260"/>
      <c r="F1436" s="1001"/>
      <c r="G1436" s="846"/>
      <c r="H1436" s="847"/>
      <c r="I1436" s="846"/>
      <c r="J1436" s="847"/>
      <c r="K1436" s="846"/>
      <c r="L1436" s="847"/>
      <c r="M1436" s="846"/>
      <c r="N1436" s="846"/>
      <c r="O1436" s="737">
        <f t="shared" si="183"/>
        <v>0</v>
      </c>
      <c r="P1436" s="847"/>
      <c r="Q1436" s="847"/>
      <c r="R1436" s="738">
        <f t="shared" si="186"/>
        <v>0</v>
      </c>
      <c r="S1436" s="737">
        <f t="shared" si="187"/>
        <v>0</v>
      </c>
      <c r="T1436" s="739">
        <f t="shared" si="188"/>
        <v>0</v>
      </c>
      <c r="U1436" s="846"/>
      <c r="V1436" s="847"/>
      <c r="W1436" s="846"/>
      <c r="X1436" s="846"/>
      <c r="Y1436" s="740">
        <f t="shared" si="184"/>
        <v>0</v>
      </c>
      <c r="Z1436" s="847"/>
      <c r="AA1436" s="847"/>
      <c r="AB1436" s="741">
        <f t="shared" si="185"/>
        <v>0</v>
      </c>
      <c r="AC1436" s="846"/>
      <c r="AD1436" s="847"/>
      <c r="AE1436" s="846"/>
      <c r="AF1436" s="846"/>
      <c r="AG1436" s="847"/>
      <c r="AH1436" s="847"/>
      <c r="AI1436" s="742">
        <f t="shared" si="189"/>
        <v>0</v>
      </c>
      <c r="AJ1436" s="743">
        <f t="shared" si="190"/>
        <v>0</v>
      </c>
    </row>
    <row r="1437" spans="1:36">
      <c r="A1437" s="1243" t="s">
        <v>151</v>
      </c>
      <c r="B1437" s="1018" t="s">
        <v>218</v>
      </c>
      <c r="C1437" s="1019" t="s">
        <v>311</v>
      </c>
      <c r="D1437" s="1020"/>
      <c r="E1437" s="1260"/>
      <c r="F1437" s="1001"/>
      <c r="G1437" s="846"/>
      <c r="H1437" s="847"/>
      <c r="I1437" s="846"/>
      <c r="J1437" s="847"/>
      <c r="K1437" s="846"/>
      <c r="L1437" s="847"/>
      <c r="M1437" s="846"/>
      <c r="N1437" s="846"/>
      <c r="O1437" s="737">
        <f t="shared" si="183"/>
        <v>0</v>
      </c>
      <c r="P1437" s="847"/>
      <c r="Q1437" s="847"/>
      <c r="R1437" s="738">
        <f t="shared" si="186"/>
        <v>0</v>
      </c>
      <c r="S1437" s="737">
        <f t="shared" si="187"/>
        <v>0</v>
      </c>
      <c r="T1437" s="739">
        <f t="shared" si="188"/>
        <v>0</v>
      </c>
      <c r="U1437" s="846"/>
      <c r="V1437" s="847"/>
      <c r="W1437" s="846"/>
      <c r="X1437" s="846"/>
      <c r="Y1437" s="740">
        <f t="shared" si="184"/>
        <v>0</v>
      </c>
      <c r="Z1437" s="847"/>
      <c r="AA1437" s="847"/>
      <c r="AB1437" s="741">
        <f t="shared" si="185"/>
        <v>0</v>
      </c>
      <c r="AC1437" s="846"/>
      <c r="AD1437" s="847"/>
      <c r="AE1437" s="846"/>
      <c r="AF1437" s="846"/>
      <c r="AG1437" s="847"/>
      <c r="AH1437" s="847"/>
      <c r="AI1437" s="742">
        <f t="shared" si="189"/>
        <v>0</v>
      </c>
      <c r="AJ1437" s="743">
        <f t="shared" si="190"/>
        <v>0</v>
      </c>
    </row>
    <row r="1438" spans="1:36">
      <c r="A1438" s="1243" t="s">
        <v>151</v>
      </c>
      <c r="B1438" s="1244" t="s">
        <v>219</v>
      </c>
      <c r="C1438" s="1248" t="s">
        <v>1471</v>
      </c>
      <c r="D1438" s="1014"/>
      <c r="E1438" s="1260"/>
      <c r="F1438" s="1001"/>
      <c r="G1438" s="846"/>
      <c r="H1438" s="847"/>
      <c r="I1438" s="846"/>
      <c r="J1438" s="847"/>
      <c r="K1438" s="846"/>
      <c r="L1438" s="847"/>
      <c r="M1438" s="846"/>
      <c r="N1438" s="846"/>
      <c r="O1438" s="737">
        <f t="shared" si="183"/>
        <v>0</v>
      </c>
      <c r="P1438" s="847"/>
      <c r="Q1438" s="847"/>
      <c r="R1438" s="738">
        <f t="shared" si="186"/>
        <v>0</v>
      </c>
      <c r="S1438" s="737">
        <f t="shared" si="187"/>
        <v>0</v>
      </c>
      <c r="T1438" s="739">
        <f t="shared" si="188"/>
        <v>0</v>
      </c>
      <c r="U1438" s="846"/>
      <c r="V1438" s="847"/>
      <c r="W1438" s="846"/>
      <c r="X1438" s="846"/>
      <c r="Y1438" s="740">
        <f t="shared" si="184"/>
        <v>0</v>
      </c>
      <c r="Z1438" s="847"/>
      <c r="AA1438" s="847"/>
      <c r="AB1438" s="741">
        <f t="shared" si="185"/>
        <v>0</v>
      </c>
      <c r="AC1438" s="846"/>
      <c r="AD1438" s="847"/>
      <c r="AE1438" s="846"/>
      <c r="AF1438" s="846"/>
      <c r="AG1438" s="847"/>
      <c r="AH1438" s="847"/>
      <c r="AI1438" s="742">
        <f t="shared" si="189"/>
        <v>0</v>
      </c>
      <c r="AJ1438" s="743">
        <f t="shared" si="190"/>
        <v>0</v>
      </c>
    </row>
    <row r="1439" spans="1:36">
      <c r="A1439" s="1243" t="s">
        <v>151</v>
      </c>
      <c r="B1439" s="1263" t="s">
        <v>292</v>
      </c>
      <c r="C1439" s="1269" t="s">
        <v>1478</v>
      </c>
      <c r="D1439" s="1270"/>
      <c r="E1439" s="1260"/>
      <c r="F1439" s="1001"/>
      <c r="G1439" s="846"/>
      <c r="H1439" s="847"/>
      <c r="I1439" s="846"/>
      <c r="J1439" s="847"/>
      <c r="K1439" s="846"/>
      <c r="L1439" s="847"/>
      <c r="M1439" s="846"/>
      <c r="N1439" s="846"/>
      <c r="O1439" s="737">
        <f t="shared" si="183"/>
        <v>0</v>
      </c>
      <c r="P1439" s="847"/>
      <c r="Q1439" s="847"/>
      <c r="R1439" s="738">
        <f t="shared" si="186"/>
        <v>0</v>
      </c>
      <c r="S1439" s="737">
        <f t="shared" si="187"/>
        <v>0</v>
      </c>
      <c r="T1439" s="739">
        <f t="shared" si="188"/>
        <v>0</v>
      </c>
      <c r="U1439" s="846"/>
      <c r="V1439" s="847"/>
      <c r="W1439" s="846"/>
      <c r="X1439" s="846"/>
      <c r="Y1439" s="740">
        <f t="shared" si="184"/>
        <v>0</v>
      </c>
      <c r="Z1439" s="847"/>
      <c r="AA1439" s="847"/>
      <c r="AB1439" s="741">
        <f t="shared" si="185"/>
        <v>0</v>
      </c>
      <c r="AC1439" s="846"/>
      <c r="AD1439" s="847"/>
      <c r="AE1439" s="846"/>
      <c r="AF1439" s="846"/>
      <c r="AG1439" s="847"/>
      <c r="AH1439" s="847"/>
      <c r="AI1439" s="742">
        <f t="shared" si="189"/>
        <v>0</v>
      </c>
      <c r="AJ1439" s="743">
        <f t="shared" si="190"/>
        <v>0</v>
      </c>
    </row>
    <row r="1440" spans="1:36">
      <c r="A1440" s="1243" t="s">
        <v>151</v>
      </c>
      <c r="B1440" s="1244" t="s">
        <v>209</v>
      </c>
      <c r="C1440" s="1248" t="s">
        <v>522</v>
      </c>
      <c r="D1440" s="1014"/>
      <c r="E1440" s="1260"/>
      <c r="F1440" s="1001"/>
      <c r="G1440" s="846"/>
      <c r="H1440" s="847"/>
      <c r="I1440" s="846"/>
      <c r="J1440" s="847"/>
      <c r="K1440" s="846"/>
      <c r="L1440" s="847"/>
      <c r="M1440" s="846"/>
      <c r="N1440" s="846"/>
      <c r="O1440" s="737">
        <f t="shared" si="183"/>
        <v>0</v>
      </c>
      <c r="P1440" s="847"/>
      <c r="Q1440" s="847"/>
      <c r="R1440" s="738">
        <f t="shared" si="186"/>
        <v>0</v>
      </c>
      <c r="S1440" s="737">
        <f t="shared" si="187"/>
        <v>0</v>
      </c>
      <c r="T1440" s="739">
        <f t="shared" si="188"/>
        <v>0</v>
      </c>
      <c r="U1440" s="846"/>
      <c r="V1440" s="847"/>
      <c r="W1440" s="846"/>
      <c r="X1440" s="846"/>
      <c r="Y1440" s="740">
        <f t="shared" si="184"/>
        <v>0</v>
      </c>
      <c r="Z1440" s="847"/>
      <c r="AA1440" s="847"/>
      <c r="AB1440" s="741">
        <f t="shared" si="185"/>
        <v>0</v>
      </c>
      <c r="AC1440" s="846"/>
      <c r="AD1440" s="847"/>
      <c r="AE1440" s="846"/>
      <c r="AF1440" s="846"/>
      <c r="AG1440" s="847"/>
      <c r="AH1440" s="847"/>
      <c r="AI1440" s="742">
        <f t="shared" si="189"/>
        <v>0</v>
      </c>
      <c r="AJ1440" s="743">
        <f t="shared" si="190"/>
        <v>0</v>
      </c>
    </row>
    <row r="1441" spans="1:36">
      <c r="A1441" s="1243" t="s">
        <v>151</v>
      </c>
      <c r="B1441" s="1244" t="s">
        <v>210</v>
      </c>
      <c r="C1441" s="1248" t="s">
        <v>311</v>
      </c>
      <c r="D1441" s="1014"/>
      <c r="E1441" s="1260"/>
      <c r="F1441" s="1001"/>
      <c r="G1441" s="846"/>
      <c r="H1441" s="847"/>
      <c r="I1441" s="846"/>
      <c r="J1441" s="847"/>
      <c r="K1441" s="846"/>
      <c r="L1441" s="847"/>
      <c r="M1441" s="846"/>
      <c r="N1441" s="846"/>
      <c r="O1441" s="737">
        <f t="shared" si="183"/>
        <v>0</v>
      </c>
      <c r="P1441" s="847"/>
      <c r="Q1441" s="847"/>
      <c r="R1441" s="738">
        <f t="shared" si="186"/>
        <v>0</v>
      </c>
      <c r="S1441" s="737">
        <f t="shared" si="187"/>
        <v>0</v>
      </c>
      <c r="T1441" s="739">
        <f t="shared" si="188"/>
        <v>0</v>
      </c>
      <c r="U1441" s="846"/>
      <c r="V1441" s="847"/>
      <c r="W1441" s="846"/>
      <c r="X1441" s="846"/>
      <c r="Y1441" s="740">
        <f t="shared" si="184"/>
        <v>0</v>
      </c>
      <c r="Z1441" s="847"/>
      <c r="AA1441" s="847"/>
      <c r="AB1441" s="741">
        <f t="shared" si="185"/>
        <v>0</v>
      </c>
      <c r="AC1441" s="846"/>
      <c r="AD1441" s="847"/>
      <c r="AE1441" s="846"/>
      <c r="AF1441" s="846"/>
      <c r="AG1441" s="847"/>
      <c r="AH1441" s="847"/>
      <c r="AI1441" s="742">
        <f t="shared" si="189"/>
        <v>0</v>
      </c>
      <c r="AJ1441" s="743">
        <f t="shared" si="190"/>
        <v>0</v>
      </c>
    </row>
    <row r="1442" spans="1:36">
      <c r="A1442" s="1243" t="s">
        <v>151</v>
      </c>
      <c r="B1442" s="1244" t="s">
        <v>204</v>
      </c>
      <c r="C1442" s="1248" t="s">
        <v>1471</v>
      </c>
      <c r="D1442" s="1014"/>
      <c r="E1442" s="1260"/>
      <c r="F1442" s="1001"/>
      <c r="G1442" s="846"/>
      <c r="H1442" s="847"/>
      <c r="I1442" s="846"/>
      <c r="J1442" s="847"/>
      <c r="K1442" s="846"/>
      <c r="L1442" s="847"/>
      <c r="M1442" s="846"/>
      <c r="N1442" s="846"/>
      <c r="O1442" s="737">
        <f t="shared" si="183"/>
        <v>0</v>
      </c>
      <c r="P1442" s="847"/>
      <c r="Q1442" s="847"/>
      <c r="R1442" s="738">
        <f t="shared" si="186"/>
        <v>0</v>
      </c>
      <c r="S1442" s="737">
        <f t="shared" si="187"/>
        <v>0</v>
      </c>
      <c r="T1442" s="739">
        <f t="shared" si="188"/>
        <v>0</v>
      </c>
      <c r="U1442" s="846"/>
      <c r="V1442" s="847"/>
      <c r="W1442" s="846"/>
      <c r="X1442" s="846"/>
      <c r="Y1442" s="740">
        <f t="shared" si="184"/>
        <v>0</v>
      </c>
      <c r="Z1442" s="847"/>
      <c r="AA1442" s="847"/>
      <c r="AB1442" s="741">
        <f t="shared" si="185"/>
        <v>0</v>
      </c>
      <c r="AC1442" s="846"/>
      <c r="AD1442" s="847"/>
      <c r="AE1442" s="846"/>
      <c r="AF1442" s="846"/>
      <c r="AG1442" s="847"/>
      <c r="AH1442" s="847"/>
      <c r="AI1442" s="742">
        <f t="shared" si="189"/>
        <v>0</v>
      </c>
      <c r="AJ1442" s="743">
        <f t="shared" si="190"/>
        <v>0</v>
      </c>
    </row>
    <row r="1443" spans="1:36">
      <c r="A1443" s="1243" t="s">
        <v>151</v>
      </c>
      <c r="B1443" s="1018" t="s">
        <v>205</v>
      </c>
      <c r="C1443" s="1019" t="s">
        <v>523</v>
      </c>
      <c r="D1443" s="1020"/>
      <c r="E1443" s="1260"/>
      <c r="F1443" s="1001"/>
      <c r="G1443" s="846"/>
      <c r="H1443" s="847"/>
      <c r="I1443" s="846"/>
      <c r="J1443" s="847"/>
      <c r="K1443" s="846"/>
      <c r="L1443" s="847"/>
      <c r="M1443" s="846"/>
      <c r="N1443" s="846"/>
      <c r="O1443" s="737">
        <f t="shared" si="183"/>
        <v>0</v>
      </c>
      <c r="P1443" s="847"/>
      <c r="Q1443" s="847"/>
      <c r="R1443" s="738">
        <f t="shared" si="186"/>
        <v>0</v>
      </c>
      <c r="S1443" s="737">
        <f t="shared" si="187"/>
        <v>0</v>
      </c>
      <c r="T1443" s="739">
        <f t="shared" si="188"/>
        <v>0</v>
      </c>
      <c r="U1443" s="846"/>
      <c r="V1443" s="847"/>
      <c r="W1443" s="846"/>
      <c r="X1443" s="846"/>
      <c r="Y1443" s="740">
        <f t="shared" si="184"/>
        <v>0</v>
      </c>
      <c r="Z1443" s="847"/>
      <c r="AA1443" s="847"/>
      <c r="AB1443" s="741">
        <f t="shared" si="185"/>
        <v>0</v>
      </c>
      <c r="AC1443" s="846"/>
      <c r="AD1443" s="847"/>
      <c r="AE1443" s="846"/>
      <c r="AF1443" s="846"/>
      <c r="AG1443" s="847"/>
      <c r="AH1443" s="847"/>
      <c r="AI1443" s="742">
        <f t="shared" si="189"/>
        <v>0</v>
      </c>
      <c r="AJ1443" s="743">
        <f t="shared" si="190"/>
        <v>0</v>
      </c>
    </row>
    <row r="1444" spans="1:36">
      <c r="A1444" s="1243" t="s">
        <v>151</v>
      </c>
      <c r="B1444" s="1018" t="s">
        <v>218</v>
      </c>
      <c r="C1444" s="1019" t="s">
        <v>311</v>
      </c>
      <c r="D1444" s="1020"/>
      <c r="E1444" s="1260"/>
      <c r="F1444" s="1001"/>
      <c r="G1444" s="846"/>
      <c r="H1444" s="847"/>
      <c r="I1444" s="846"/>
      <c r="J1444" s="847"/>
      <c r="K1444" s="846"/>
      <c r="L1444" s="847"/>
      <c r="M1444" s="846"/>
      <c r="N1444" s="846"/>
      <c r="O1444" s="737">
        <f t="shared" si="183"/>
        <v>0</v>
      </c>
      <c r="P1444" s="847"/>
      <c r="Q1444" s="847"/>
      <c r="R1444" s="738">
        <f t="shared" si="186"/>
        <v>0</v>
      </c>
      <c r="S1444" s="737">
        <f t="shared" si="187"/>
        <v>0</v>
      </c>
      <c r="T1444" s="739">
        <f t="shared" si="188"/>
        <v>0</v>
      </c>
      <c r="U1444" s="846"/>
      <c r="V1444" s="847"/>
      <c r="W1444" s="846"/>
      <c r="X1444" s="846"/>
      <c r="Y1444" s="740">
        <f t="shared" si="184"/>
        <v>0</v>
      </c>
      <c r="Z1444" s="847"/>
      <c r="AA1444" s="847"/>
      <c r="AB1444" s="741">
        <f t="shared" si="185"/>
        <v>0</v>
      </c>
      <c r="AC1444" s="846"/>
      <c r="AD1444" s="847"/>
      <c r="AE1444" s="846"/>
      <c r="AF1444" s="846"/>
      <c r="AG1444" s="847"/>
      <c r="AH1444" s="847"/>
      <c r="AI1444" s="742">
        <f t="shared" si="189"/>
        <v>0</v>
      </c>
      <c r="AJ1444" s="743">
        <f t="shared" si="190"/>
        <v>0</v>
      </c>
    </row>
    <row r="1445" spans="1:36">
      <c r="A1445" s="1243" t="s">
        <v>151</v>
      </c>
      <c r="B1445" s="1244" t="s">
        <v>219</v>
      </c>
      <c r="C1445" s="1248" t="s">
        <v>1471</v>
      </c>
      <c r="D1445" s="1014"/>
      <c r="E1445" s="1260"/>
      <c r="F1445" s="1001"/>
      <c r="G1445" s="846"/>
      <c r="H1445" s="847"/>
      <c r="I1445" s="846"/>
      <c r="J1445" s="847"/>
      <c r="K1445" s="846"/>
      <c r="L1445" s="847"/>
      <c r="M1445" s="846"/>
      <c r="N1445" s="846"/>
      <c r="O1445" s="737">
        <f t="shared" si="183"/>
        <v>0</v>
      </c>
      <c r="P1445" s="847"/>
      <c r="Q1445" s="847"/>
      <c r="R1445" s="738">
        <f t="shared" si="186"/>
        <v>0</v>
      </c>
      <c r="S1445" s="737">
        <f t="shared" si="187"/>
        <v>0</v>
      </c>
      <c r="T1445" s="739">
        <f t="shared" si="188"/>
        <v>0</v>
      </c>
      <c r="U1445" s="846"/>
      <c r="V1445" s="847"/>
      <c r="W1445" s="846"/>
      <c r="X1445" s="846"/>
      <c r="Y1445" s="740">
        <f t="shared" si="184"/>
        <v>0</v>
      </c>
      <c r="Z1445" s="847"/>
      <c r="AA1445" s="847"/>
      <c r="AB1445" s="741">
        <f t="shared" si="185"/>
        <v>0</v>
      </c>
      <c r="AC1445" s="846"/>
      <c r="AD1445" s="847"/>
      <c r="AE1445" s="846"/>
      <c r="AF1445" s="846"/>
      <c r="AG1445" s="847"/>
      <c r="AH1445" s="847"/>
      <c r="AI1445" s="742">
        <f t="shared" si="189"/>
        <v>0</v>
      </c>
      <c r="AJ1445" s="743">
        <f t="shared" si="190"/>
        <v>0</v>
      </c>
    </row>
    <row r="1446" spans="1:36">
      <c r="A1446" s="1243" t="s">
        <v>151</v>
      </c>
      <c r="B1446" s="1263" t="s">
        <v>292</v>
      </c>
      <c r="C1446" s="1261" t="s">
        <v>1479</v>
      </c>
      <c r="D1446" s="1262"/>
      <c r="E1446" s="1260"/>
      <c r="F1446" s="1001"/>
      <c r="G1446" s="846"/>
      <c r="H1446" s="847"/>
      <c r="I1446" s="846"/>
      <c r="J1446" s="847"/>
      <c r="K1446" s="846"/>
      <c r="L1446" s="847"/>
      <c r="M1446" s="846"/>
      <c r="N1446" s="846"/>
      <c r="O1446" s="737">
        <f t="shared" si="183"/>
        <v>0</v>
      </c>
      <c r="P1446" s="847"/>
      <c r="Q1446" s="847"/>
      <c r="R1446" s="738">
        <f t="shared" si="186"/>
        <v>0</v>
      </c>
      <c r="S1446" s="737">
        <f t="shared" si="187"/>
        <v>0</v>
      </c>
      <c r="T1446" s="739">
        <f t="shared" si="188"/>
        <v>0</v>
      </c>
      <c r="U1446" s="846"/>
      <c r="V1446" s="847"/>
      <c r="W1446" s="846"/>
      <c r="X1446" s="846"/>
      <c r="Y1446" s="740">
        <f t="shared" si="184"/>
        <v>0</v>
      </c>
      <c r="Z1446" s="847"/>
      <c r="AA1446" s="847"/>
      <c r="AB1446" s="741">
        <f t="shared" si="185"/>
        <v>0</v>
      </c>
      <c r="AC1446" s="846"/>
      <c r="AD1446" s="847"/>
      <c r="AE1446" s="846"/>
      <c r="AF1446" s="846"/>
      <c r="AG1446" s="847"/>
      <c r="AH1446" s="847"/>
      <c r="AI1446" s="742">
        <f t="shared" si="189"/>
        <v>0</v>
      </c>
      <c r="AJ1446" s="743">
        <f t="shared" si="190"/>
        <v>0</v>
      </c>
    </row>
    <row r="1447" spans="1:36">
      <c r="A1447" s="1243" t="s">
        <v>151</v>
      </c>
      <c r="B1447" s="1244" t="s">
        <v>310</v>
      </c>
      <c r="C1447" s="1019" t="s">
        <v>311</v>
      </c>
      <c r="D1447" s="1020"/>
      <c r="E1447" s="1260"/>
      <c r="F1447" s="1001"/>
      <c r="G1447" s="846"/>
      <c r="H1447" s="847"/>
      <c r="I1447" s="846"/>
      <c r="J1447" s="847"/>
      <c r="K1447" s="846"/>
      <c r="L1447" s="847"/>
      <c r="M1447" s="846"/>
      <c r="N1447" s="846"/>
      <c r="O1447" s="737">
        <f t="shared" si="183"/>
        <v>0</v>
      </c>
      <c r="P1447" s="847"/>
      <c r="Q1447" s="847"/>
      <c r="R1447" s="738">
        <f t="shared" si="186"/>
        <v>0</v>
      </c>
      <c r="S1447" s="737">
        <f t="shared" si="187"/>
        <v>0</v>
      </c>
      <c r="T1447" s="739">
        <f t="shared" si="188"/>
        <v>0</v>
      </c>
      <c r="U1447" s="846"/>
      <c r="V1447" s="847"/>
      <c r="W1447" s="846"/>
      <c r="X1447" s="846"/>
      <c r="Y1447" s="740">
        <f t="shared" si="184"/>
        <v>0</v>
      </c>
      <c r="Z1447" s="847"/>
      <c r="AA1447" s="847"/>
      <c r="AB1447" s="741">
        <f t="shared" si="185"/>
        <v>0</v>
      </c>
      <c r="AC1447" s="846"/>
      <c r="AD1447" s="847"/>
      <c r="AE1447" s="846"/>
      <c r="AF1447" s="846"/>
      <c r="AG1447" s="847"/>
      <c r="AH1447" s="847"/>
      <c r="AI1447" s="742">
        <f t="shared" si="189"/>
        <v>0</v>
      </c>
      <c r="AJ1447" s="743">
        <f t="shared" si="190"/>
        <v>0</v>
      </c>
    </row>
    <row r="1448" spans="1:36">
      <c r="A1448" s="1243" t="s">
        <v>151</v>
      </c>
      <c r="B1448" s="1244" t="s">
        <v>209</v>
      </c>
      <c r="C1448" s="1248" t="s">
        <v>522</v>
      </c>
      <c r="D1448" s="1014"/>
      <c r="E1448" s="1260"/>
      <c r="F1448" s="1001"/>
      <c r="G1448" s="846"/>
      <c r="H1448" s="847"/>
      <c r="I1448" s="846"/>
      <c r="J1448" s="847"/>
      <c r="K1448" s="846"/>
      <c r="L1448" s="847"/>
      <c r="M1448" s="846"/>
      <c r="N1448" s="846"/>
      <c r="O1448" s="737">
        <f t="shared" si="183"/>
        <v>0</v>
      </c>
      <c r="P1448" s="847"/>
      <c r="Q1448" s="847"/>
      <c r="R1448" s="738">
        <f t="shared" si="186"/>
        <v>0</v>
      </c>
      <c r="S1448" s="737">
        <f t="shared" si="187"/>
        <v>0</v>
      </c>
      <c r="T1448" s="739">
        <f t="shared" si="188"/>
        <v>0</v>
      </c>
      <c r="U1448" s="846"/>
      <c r="V1448" s="847"/>
      <c r="W1448" s="846"/>
      <c r="X1448" s="846"/>
      <c r="Y1448" s="740">
        <f t="shared" si="184"/>
        <v>0</v>
      </c>
      <c r="Z1448" s="847"/>
      <c r="AA1448" s="847"/>
      <c r="AB1448" s="741">
        <f t="shared" si="185"/>
        <v>0</v>
      </c>
      <c r="AC1448" s="846"/>
      <c r="AD1448" s="847"/>
      <c r="AE1448" s="846"/>
      <c r="AF1448" s="846"/>
      <c r="AG1448" s="847"/>
      <c r="AH1448" s="847"/>
      <c r="AI1448" s="742">
        <f t="shared" si="189"/>
        <v>0</v>
      </c>
      <c r="AJ1448" s="743">
        <f t="shared" si="190"/>
        <v>0</v>
      </c>
    </row>
    <row r="1449" spans="1:36">
      <c r="A1449" s="1243" t="s">
        <v>151</v>
      </c>
      <c r="B1449" s="1244" t="s">
        <v>210</v>
      </c>
      <c r="C1449" s="1248" t="s">
        <v>311</v>
      </c>
      <c r="D1449" s="1014"/>
      <c r="E1449" s="1264"/>
      <c r="F1449" s="1001"/>
      <c r="G1449" s="846"/>
      <c r="H1449" s="847"/>
      <c r="I1449" s="846"/>
      <c r="J1449" s="847"/>
      <c r="K1449" s="846"/>
      <c r="L1449" s="847"/>
      <c r="M1449" s="846"/>
      <c r="N1449" s="846"/>
      <c r="O1449" s="737">
        <f t="shared" si="183"/>
        <v>0</v>
      </c>
      <c r="P1449" s="847"/>
      <c r="Q1449" s="847"/>
      <c r="R1449" s="738">
        <f t="shared" si="186"/>
        <v>0</v>
      </c>
      <c r="S1449" s="737">
        <f t="shared" si="187"/>
        <v>0</v>
      </c>
      <c r="T1449" s="739">
        <f t="shared" si="188"/>
        <v>0</v>
      </c>
      <c r="U1449" s="846"/>
      <c r="V1449" s="847"/>
      <c r="W1449" s="846"/>
      <c r="X1449" s="846"/>
      <c r="Y1449" s="740">
        <f t="shared" si="184"/>
        <v>0</v>
      </c>
      <c r="Z1449" s="847"/>
      <c r="AA1449" s="847"/>
      <c r="AB1449" s="741">
        <f t="shared" si="185"/>
        <v>0</v>
      </c>
      <c r="AC1449" s="846"/>
      <c r="AD1449" s="847"/>
      <c r="AE1449" s="846"/>
      <c r="AF1449" s="846"/>
      <c r="AG1449" s="847"/>
      <c r="AH1449" s="847"/>
      <c r="AI1449" s="742">
        <f t="shared" si="189"/>
        <v>0</v>
      </c>
      <c r="AJ1449" s="743">
        <f t="shared" si="190"/>
        <v>0</v>
      </c>
    </row>
    <row r="1450" spans="1:36">
      <c r="A1450" s="1243" t="s">
        <v>151</v>
      </c>
      <c r="B1450" s="1244" t="s">
        <v>204</v>
      </c>
      <c r="C1450" s="1248" t="s">
        <v>1471</v>
      </c>
      <c r="D1450" s="1014"/>
      <c r="E1450" s="1264"/>
      <c r="F1450" s="1001"/>
      <c r="G1450" s="846"/>
      <c r="H1450" s="847"/>
      <c r="I1450" s="846"/>
      <c r="J1450" s="847"/>
      <c r="K1450" s="846"/>
      <c r="L1450" s="847"/>
      <c r="M1450" s="846"/>
      <c r="N1450" s="846"/>
      <c r="O1450" s="737">
        <f t="shared" si="183"/>
        <v>0</v>
      </c>
      <c r="P1450" s="847"/>
      <c r="Q1450" s="847"/>
      <c r="R1450" s="738">
        <f t="shared" si="186"/>
        <v>0</v>
      </c>
      <c r="S1450" s="737">
        <f t="shared" si="187"/>
        <v>0</v>
      </c>
      <c r="T1450" s="739">
        <f t="shared" si="188"/>
        <v>0</v>
      </c>
      <c r="U1450" s="846">
        <v>10700</v>
      </c>
      <c r="V1450" s="847"/>
      <c r="W1450" s="846"/>
      <c r="X1450" s="846"/>
      <c r="Y1450" s="740">
        <f t="shared" si="184"/>
        <v>0</v>
      </c>
      <c r="Z1450" s="847"/>
      <c r="AA1450" s="847"/>
      <c r="AB1450" s="741">
        <f t="shared" si="185"/>
        <v>0</v>
      </c>
      <c r="AC1450" s="846"/>
      <c r="AD1450" s="847"/>
      <c r="AE1450" s="846"/>
      <c r="AF1450" s="846"/>
      <c r="AG1450" s="847"/>
      <c r="AH1450" s="847"/>
      <c r="AI1450" s="742">
        <f t="shared" si="189"/>
        <v>10700</v>
      </c>
      <c r="AJ1450" s="743">
        <f t="shared" si="190"/>
        <v>0</v>
      </c>
    </row>
    <row r="1451" spans="1:36">
      <c r="A1451" s="1243" t="s">
        <v>151</v>
      </c>
      <c r="B1451" s="1018" t="s">
        <v>205</v>
      </c>
      <c r="C1451" s="1019" t="s">
        <v>523</v>
      </c>
      <c r="D1451" s="1020"/>
      <c r="E1451" s="1264"/>
      <c r="F1451" s="1001"/>
      <c r="G1451" s="846"/>
      <c r="H1451" s="847"/>
      <c r="I1451" s="846"/>
      <c r="J1451" s="847"/>
      <c r="K1451" s="846"/>
      <c r="L1451" s="847"/>
      <c r="M1451" s="846"/>
      <c r="N1451" s="846"/>
      <c r="O1451" s="737">
        <f t="shared" si="183"/>
        <v>0</v>
      </c>
      <c r="P1451" s="847"/>
      <c r="Q1451" s="847"/>
      <c r="R1451" s="738">
        <f t="shared" si="186"/>
        <v>0</v>
      </c>
      <c r="S1451" s="737">
        <f t="shared" si="187"/>
        <v>0</v>
      </c>
      <c r="T1451" s="739">
        <f t="shared" si="188"/>
        <v>0</v>
      </c>
      <c r="U1451" s="846"/>
      <c r="V1451" s="847"/>
      <c r="W1451" s="846"/>
      <c r="X1451" s="846"/>
      <c r="Y1451" s="740">
        <f t="shared" si="184"/>
        <v>0</v>
      </c>
      <c r="Z1451" s="847"/>
      <c r="AA1451" s="847"/>
      <c r="AB1451" s="741">
        <f t="shared" si="185"/>
        <v>0</v>
      </c>
      <c r="AC1451" s="846"/>
      <c r="AD1451" s="847"/>
      <c r="AE1451" s="846"/>
      <c r="AF1451" s="846"/>
      <c r="AG1451" s="847"/>
      <c r="AH1451" s="847"/>
      <c r="AI1451" s="742">
        <f t="shared" si="189"/>
        <v>0</v>
      </c>
      <c r="AJ1451" s="743">
        <f t="shared" si="190"/>
        <v>0</v>
      </c>
    </row>
    <row r="1452" spans="1:36">
      <c r="A1452" s="1243" t="s">
        <v>151</v>
      </c>
      <c r="B1452" s="1018" t="s">
        <v>218</v>
      </c>
      <c r="C1452" s="1019" t="s">
        <v>311</v>
      </c>
      <c r="D1452" s="1020"/>
      <c r="E1452" s="1264"/>
      <c r="F1452" s="1001"/>
      <c r="G1452" s="846"/>
      <c r="H1452" s="847"/>
      <c r="I1452" s="846"/>
      <c r="J1452" s="847"/>
      <c r="K1452" s="846"/>
      <c r="L1452" s="847"/>
      <c r="M1452" s="846"/>
      <c r="N1452" s="846"/>
      <c r="O1452" s="737">
        <f t="shared" si="183"/>
        <v>0</v>
      </c>
      <c r="P1452" s="847"/>
      <c r="Q1452" s="847"/>
      <c r="R1452" s="738">
        <f t="shared" si="186"/>
        <v>0</v>
      </c>
      <c r="S1452" s="737">
        <f t="shared" si="187"/>
        <v>0</v>
      </c>
      <c r="T1452" s="739">
        <f t="shared" si="188"/>
        <v>0</v>
      </c>
      <c r="U1452" s="846"/>
      <c r="V1452" s="847"/>
      <c r="W1452" s="846"/>
      <c r="X1452" s="846"/>
      <c r="Y1452" s="740">
        <f t="shared" si="184"/>
        <v>0</v>
      </c>
      <c r="Z1452" s="847"/>
      <c r="AA1452" s="847"/>
      <c r="AB1452" s="741">
        <f t="shared" si="185"/>
        <v>0</v>
      </c>
      <c r="AC1452" s="846"/>
      <c r="AD1452" s="847"/>
      <c r="AE1452" s="846"/>
      <c r="AF1452" s="846"/>
      <c r="AG1452" s="847"/>
      <c r="AH1452" s="847"/>
      <c r="AI1452" s="742">
        <f t="shared" si="189"/>
        <v>0</v>
      </c>
      <c r="AJ1452" s="743">
        <f t="shared" si="190"/>
        <v>0</v>
      </c>
    </row>
    <row r="1453" spans="1:36">
      <c r="A1453" s="1243" t="s">
        <v>151</v>
      </c>
      <c r="B1453" s="1244" t="s">
        <v>219</v>
      </c>
      <c r="C1453" s="1248" t="s">
        <v>1471</v>
      </c>
      <c r="D1453" s="1014"/>
      <c r="E1453" s="1264"/>
      <c r="F1453" s="1001"/>
      <c r="G1453" s="846"/>
      <c r="H1453" s="847"/>
      <c r="I1453" s="846"/>
      <c r="J1453" s="847"/>
      <c r="K1453" s="846"/>
      <c r="L1453" s="847"/>
      <c r="M1453" s="846"/>
      <c r="N1453" s="846"/>
      <c r="O1453" s="737">
        <f t="shared" si="183"/>
        <v>0</v>
      </c>
      <c r="P1453" s="847"/>
      <c r="Q1453" s="847"/>
      <c r="R1453" s="738">
        <f t="shared" si="186"/>
        <v>0</v>
      </c>
      <c r="S1453" s="737">
        <f t="shared" si="187"/>
        <v>0</v>
      </c>
      <c r="T1453" s="739">
        <f t="shared" si="188"/>
        <v>0</v>
      </c>
      <c r="U1453" s="846">
        <v>1000</v>
      </c>
      <c r="V1453" s="847"/>
      <c r="W1453" s="846"/>
      <c r="X1453" s="846"/>
      <c r="Y1453" s="740">
        <f t="shared" si="184"/>
        <v>0</v>
      </c>
      <c r="Z1453" s="847"/>
      <c r="AA1453" s="847"/>
      <c r="AB1453" s="741">
        <f t="shared" si="185"/>
        <v>0</v>
      </c>
      <c r="AC1453" s="846"/>
      <c r="AD1453" s="847"/>
      <c r="AE1453" s="846"/>
      <c r="AF1453" s="846"/>
      <c r="AG1453" s="847"/>
      <c r="AH1453" s="847"/>
      <c r="AI1453" s="742">
        <f t="shared" si="189"/>
        <v>1000</v>
      </c>
      <c r="AJ1453" s="743">
        <f t="shared" si="190"/>
        <v>0</v>
      </c>
    </row>
    <row r="1454" spans="1:36">
      <c r="A1454" s="1243" t="s">
        <v>151</v>
      </c>
      <c r="B1454" s="1263" t="s">
        <v>292</v>
      </c>
      <c r="C1454" s="1261" t="s">
        <v>1480</v>
      </c>
      <c r="D1454" s="1262"/>
      <c r="E1454" s="1264"/>
      <c r="F1454" s="1001"/>
      <c r="G1454" s="846"/>
      <c r="H1454" s="847"/>
      <c r="I1454" s="846"/>
      <c r="J1454" s="847"/>
      <c r="K1454" s="846"/>
      <c r="L1454" s="847"/>
      <c r="M1454" s="846"/>
      <c r="N1454" s="846"/>
      <c r="O1454" s="737">
        <f t="shared" si="183"/>
        <v>0</v>
      </c>
      <c r="P1454" s="847"/>
      <c r="Q1454" s="847"/>
      <c r="R1454" s="738">
        <f t="shared" si="186"/>
        <v>0</v>
      </c>
      <c r="S1454" s="737">
        <f t="shared" si="187"/>
        <v>0</v>
      </c>
      <c r="T1454" s="739">
        <f t="shared" si="188"/>
        <v>0</v>
      </c>
      <c r="U1454" s="846"/>
      <c r="V1454" s="847"/>
      <c r="W1454" s="846"/>
      <c r="X1454" s="846"/>
      <c r="Y1454" s="740">
        <f t="shared" si="184"/>
        <v>0</v>
      </c>
      <c r="Z1454" s="847"/>
      <c r="AA1454" s="847"/>
      <c r="AB1454" s="741">
        <f t="shared" si="185"/>
        <v>0</v>
      </c>
      <c r="AC1454" s="846"/>
      <c r="AD1454" s="847"/>
      <c r="AE1454" s="846"/>
      <c r="AF1454" s="846"/>
      <c r="AG1454" s="847"/>
      <c r="AH1454" s="847"/>
      <c r="AI1454" s="742">
        <f t="shared" si="189"/>
        <v>0</v>
      </c>
      <c r="AJ1454" s="743">
        <f t="shared" si="190"/>
        <v>0</v>
      </c>
    </row>
    <row r="1455" spans="1:36">
      <c r="A1455" s="1243" t="s">
        <v>151</v>
      </c>
      <c r="B1455" s="1244" t="s">
        <v>209</v>
      </c>
      <c r="C1455" s="1248" t="s">
        <v>522</v>
      </c>
      <c r="D1455" s="1014"/>
      <c r="E1455" s="1264"/>
      <c r="F1455" s="1001"/>
      <c r="G1455" s="846"/>
      <c r="H1455" s="847"/>
      <c r="I1455" s="846"/>
      <c r="J1455" s="847"/>
      <c r="K1455" s="846"/>
      <c r="L1455" s="847"/>
      <c r="M1455" s="846"/>
      <c r="N1455" s="846"/>
      <c r="O1455" s="737">
        <f t="shared" si="183"/>
        <v>0</v>
      </c>
      <c r="P1455" s="847"/>
      <c r="Q1455" s="847"/>
      <c r="R1455" s="738">
        <f t="shared" si="186"/>
        <v>0</v>
      </c>
      <c r="S1455" s="737">
        <f t="shared" si="187"/>
        <v>0</v>
      </c>
      <c r="T1455" s="739">
        <f t="shared" si="188"/>
        <v>0</v>
      </c>
      <c r="U1455" s="846"/>
      <c r="V1455" s="847"/>
      <c r="W1455" s="846"/>
      <c r="X1455" s="846"/>
      <c r="Y1455" s="740">
        <f t="shared" si="184"/>
        <v>0</v>
      </c>
      <c r="Z1455" s="847"/>
      <c r="AA1455" s="847"/>
      <c r="AB1455" s="741">
        <f t="shared" si="185"/>
        <v>0</v>
      </c>
      <c r="AC1455" s="846"/>
      <c r="AD1455" s="847"/>
      <c r="AE1455" s="846"/>
      <c r="AF1455" s="846"/>
      <c r="AG1455" s="847"/>
      <c r="AH1455" s="847"/>
      <c r="AI1455" s="742">
        <f t="shared" si="189"/>
        <v>0</v>
      </c>
      <c r="AJ1455" s="743">
        <f t="shared" si="190"/>
        <v>0</v>
      </c>
    </row>
    <row r="1456" spans="1:36">
      <c r="A1456" s="1243" t="s">
        <v>151</v>
      </c>
      <c r="B1456" s="1244" t="s">
        <v>210</v>
      </c>
      <c r="C1456" s="1248" t="s">
        <v>311</v>
      </c>
      <c r="D1456" s="1014"/>
      <c r="E1456" s="1264"/>
      <c r="F1456" s="1001"/>
      <c r="G1456" s="846"/>
      <c r="H1456" s="847"/>
      <c r="I1456" s="846"/>
      <c r="J1456" s="847"/>
      <c r="K1456" s="846"/>
      <c r="L1456" s="847"/>
      <c r="M1456" s="846"/>
      <c r="N1456" s="846"/>
      <c r="O1456" s="737">
        <f t="shared" si="183"/>
        <v>0</v>
      </c>
      <c r="P1456" s="847"/>
      <c r="Q1456" s="847"/>
      <c r="R1456" s="738">
        <f t="shared" si="186"/>
        <v>0</v>
      </c>
      <c r="S1456" s="737">
        <f t="shared" si="187"/>
        <v>0</v>
      </c>
      <c r="T1456" s="739">
        <f t="shared" si="188"/>
        <v>0</v>
      </c>
      <c r="U1456" s="846"/>
      <c r="V1456" s="847"/>
      <c r="W1456" s="846"/>
      <c r="X1456" s="846"/>
      <c r="Y1456" s="740">
        <f t="shared" si="184"/>
        <v>0</v>
      </c>
      <c r="Z1456" s="847"/>
      <c r="AA1456" s="847"/>
      <c r="AB1456" s="741">
        <f t="shared" si="185"/>
        <v>0</v>
      </c>
      <c r="AC1456" s="846"/>
      <c r="AD1456" s="847"/>
      <c r="AE1456" s="846"/>
      <c r="AF1456" s="846"/>
      <c r="AG1456" s="847"/>
      <c r="AH1456" s="847"/>
      <c r="AI1456" s="742">
        <f t="shared" si="189"/>
        <v>0</v>
      </c>
      <c r="AJ1456" s="743">
        <f t="shared" si="190"/>
        <v>0</v>
      </c>
    </row>
    <row r="1457" spans="1:36">
      <c r="A1457" s="1243" t="s">
        <v>151</v>
      </c>
      <c r="B1457" s="1244" t="s">
        <v>204</v>
      </c>
      <c r="C1457" s="1248" t="s">
        <v>1471</v>
      </c>
      <c r="D1457" s="1014"/>
      <c r="E1457" s="1264"/>
      <c r="F1457" s="1001"/>
      <c r="G1457" s="846"/>
      <c r="H1457" s="847"/>
      <c r="I1457" s="846"/>
      <c r="J1457" s="847"/>
      <c r="K1457" s="846"/>
      <c r="L1457" s="847"/>
      <c r="M1457" s="846"/>
      <c r="N1457" s="846"/>
      <c r="O1457" s="737">
        <f t="shared" si="183"/>
        <v>0</v>
      </c>
      <c r="P1457" s="847"/>
      <c r="Q1457" s="847"/>
      <c r="R1457" s="738">
        <f t="shared" si="186"/>
        <v>0</v>
      </c>
      <c r="S1457" s="737">
        <f t="shared" si="187"/>
        <v>0</v>
      </c>
      <c r="T1457" s="739">
        <f t="shared" si="188"/>
        <v>0</v>
      </c>
      <c r="U1457" s="846">
        <v>662642</v>
      </c>
      <c r="V1457" s="847">
        <v>600763</v>
      </c>
      <c r="W1457" s="846"/>
      <c r="X1457" s="846"/>
      <c r="Y1457" s="740">
        <f t="shared" si="184"/>
        <v>0</v>
      </c>
      <c r="Z1457" s="847"/>
      <c r="AA1457" s="847"/>
      <c r="AB1457" s="741">
        <f t="shared" si="185"/>
        <v>0</v>
      </c>
      <c r="AC1457" s="846"/>
      <c r="AD1457" s="847"/>
      <c r="AE1457" s="846"/>
      <c r="AF1457" s="846"/>
      <c r="AG1457" s="847"/>
      <c r="AH1457" s="847"/>
      <c r="AI1457" s="742">
        <f t="shared" si="189"/>
        <v>662642</v>
      </c>
      <c r="AJ1457" s="743">
        <f t="shared" si="190"/>
        <v>600763</v>
      </c>
    </row>
    <row r="1458" spans="1:36">
      <c r="A1458" s="1243" t="s">
        <v>151</v>
      </c>
      <c r="B1458" s="1018" t="s">
        <v>205</v>
      </c>
      <c r="C1458" s="1019" t="s">
        <v>523</v>
      </c>
      <c r="D1458" s="1020"/>
      <c r="E1458" s="1264"/>
      <c r="F1458" s="1001"/>
      <c r="G1458" s="846"/>
      <c r="H1458" s="847"/>
      <c r="I1458" s="846"/>
      <c r="J1458" s="847"/>
      <c r="K1458" s="846"/>
      <c r="L1458" s="847"/>
      <c r="M1458" s="846"/>
      <c r="N1458" s="846"/>
      <c r="O1458" s="737">
        <f t="shared" si="183"/>
        <v>0</v>
      </c>
      <c r="P1458" s="847"/>
      <c r="Q1458" s="847"/>
      <c r="R1458" s="738">
        <f t="shared" si="186"/>
        <v>0</v>
      </c>
      <c r="S1458" s="737">
        <f t="shared" si="187"/>
        <v>0</v>
      </c>
      <c r="T1458" s="739">
        <f t="shared" si="188"/>
        <v>0</v>
      </c>
      <c r="U1458" s="846"/>
      <c r="V1458" s="847"/>
      <c r="W1458" s="846"/>
      <c r="X1458" s="846"/>
      <c r="Y1458" s="740">
        <f t="shared" si="184"/>
        <v>0</v>
      </c>
      <c r="Z1458" s="847"/>
      <c r="AA1458" s="847"/>
      <c r="AB1458" s="741">
        <f t="shared" si="185"/>
        <v>0</v>
      </c>
      <c r="AC1458" s="846"/>
      <c r="AD1458" s="847"/>
      <c r="AE1458" s="846"/>
      <c r="AF1458" s="846"/>
      <c r="AG1458" s="847"/>
      <c r="AH1458" s="847"/>
      <c r="AI1458" s="742">
        <f t="shared" si="189"/>
        <v>0</v>
      </c>
      <c r="AJ1458" s="743">
        <f t="shared" si="190"/>
        <v>0</v>
      </c>
    </row>
    <row r="1459" spans="1:36">
      <c r="A1459" s="1243" t="s">
        <v>151</v>
      </c>
      <c r="B1459" s="1018" t="s">
        <v>218</v>
      </c>
      <c r="C1459" s="1019" t="s">
        <v>311</v>
      </c>
      <c r="D1459" s="1020"/>
      <c r="E1459" s="1264"/>
      <c r="F1459" s="1001"/>
      <c r="G1459" s="846"/>
      <c r="H1459" s="847"/>
      <c r="I1459" s="846"/>
      <c r="J1459" s="847"/>
      <c r="K1459" s="846"/>
      <c r="L1459" s="847"/>
      <c r="M1459" s="846"/>
      <c r="N1459" s="846"/>
      <c r="O1459" s="737">
        <f t="shared" si="183"/>
        <v>0</v>
      </c>
      <c r="P1459" s="847"/>
      <c r="Q1459" s="847"/>
      <c r="R1459" s="738">
        <f t="shared" si="186"/>
        <v>0</v>
      </c>
      <c r="S1459" s="737">
        <f t="shared" si="187"/>
        <v>0</v>
      </c>
      <c r="T1459" s="739">
        <f t="shared" si="188"/>
        <v>0</v>
      </c>
      <c r="U1459" s="846"/>
      <c r="V1459" s="847"/>
      <c r="W1459" s="846"/>
      <c r="X1459" s="846"/>
      <c r="Y1459" s="740">
        <f t="shared" si="184"/>
        <v>0</v>
      </c>
      <c r="Z1459" s="847"/>
      <c r="AA1459" s="847"/>
      <c r="AB1459" s="741">
        <f t="shared" si="185"/>
        <v>0</v>
      </c>
      <c r="AC1459" s="846"/>
      <c r="AD1459" s="847"/>
      <c r="AE1459" s="846"/>
      <c r="AF1459" s="846"/>
      <c r="AG1459" s="847"/>
      <c r="AH1459" s="847"/>
      <c r="AI1459" s="742">
        <f t="shared" si="189"/>
        <v>0</v>
      </c>
      <c r="AJ1459" s="743">
        <f t="shared" si="190"/>
        <v>0</v>
      </c>
    </row>
    <row r="1460" spans="1:36">
      <c r="A1460" s="1243" t="s">
        <v>151</v>
      </c>
      <c r="B1460" s="1244" t="s">
        <v>219</v>
      </c>
      <c r="C1460" s="1248" t="s">
        <v>1471</v>
      </c>
      <c r="D1460" s="1014"/>
      <c r="E1460" s="1264"/>
      <c r="F1460" s="1001"/>
      <c r="G1460" s="846"/>
      <c r="H1460" s="847"/>
      <c r="I1460" s="846"/>
      <c r="J1460" s="847"/>
      <c r="K1460" s="846"/>
      <c r="L1460" s="847"/>
      <c r="M1460" s="846"/>
      <c r="N1460" s="846"/>
      <c r="O1460" s="737">
        <f t="shared" si="183"/>
        <v>0</v>
      </c>
      <c r="P1460" s="847"/>
      <c r="Q1460" s="847"/>
      <c r="R1460" s="738">
        <f t="shared" si="186"/>
        <v>0</v>
      </c>
      <c r="S1460" s="737">
        <f t="shared" si="187"/>
        <v>0</v>
      </c>
      <c r="T1460" s="739">
        <f t="shared" si="188"/>
        <v>0</v>
      </c>
      <c r="U1460" s="846">
        <v>458682</v>
      </c>
      <c r="V1460" s="847">
        <v>815347</v>
      </c>
      <c r="W1460" s="846"/>
      <c r="X1460" s="846"/>
      <c r="Y1460" s="740">
        <f t="shared" si="184"/>
        <v>0</v>
      </c>
      <c r="Z1460" s="847"/>
      <c r="AA1460" s="847"/>
      <c r="AB1460" s="741">
        <f t="shared" si="185"/>
        <v>0</v>
      </c>
      <c r="AC1460" s="846"/>
      <c r="AD1460" s="847"/>
      <c r="AE1460" s="846"/>
      <c r="AF1460" s="846"/>
      <c r="AG1460" s="847"/>
      <c r="AH1460" s="847"/>
      <c r="AI1460" s="742">
        <f t="shared" si="189"/>
        <v>458682</v>
      </c>
      <c r="AJ1460" s="743">
        <f t="shared" si="190"/>
        <v>815347</v>
      </c>
    </row>
    <row r="1461" spans="1:36">
      <c r="A1461" s="1243" t="s">
        <v>151</v>
      </c>
      <c r="B1461" s="1263" t="s">
        <v>292</v>
      </c>
      <c r="C1461" s="1261" t="s">
        <v>1481</v>
      </c>
      <c r="D1461" s="1262"/>
      <c r="E1461" s="1264"/>
      <c r="F1461" s="1001"/>
      <c r="G1461" s="846"/>
      <c r="H1461" s="847"/>
      <c r="I1461" s="846"/>
      <c r="J1461" s="847"/>
      <c r="K1461" s="846"/>
      <c r="L1461" s="847"/>
      <c r="M1461" s="846"/>
      <c r="N1461" s="846"/>
      <c r="O1461" s="737">
        <f t="shared" si="183"/>
        <v>0</v>
      </c>
      <c r="P1461" s="847"/>
      <c r="Q1461" s="847"/>
      <c r="R1461" s="738">
        <f t="shared" si="186"/>
        <v>0</v>
      </c>
      <c r="S1461" s="737">
        <f t="shared" si="187"/>
        <v>0</v>
      </c>
      <c r="T1461" s="739">
        <f t="shared" si="188"/>
        <v>0</v>
      </c>
      <c r="U1461" s="846"/>
      <c r="V1461" s="847"/>
      <c r="W1461" s="846"/>
      <c r="X1461" s="846"/>
      <c r="Y1461" s="740">
        <f t="shared" si="184"/>
        <v>0</v>
      </c>
      <c r="Z1461" s="847"/>
      <c r="AA1461" s="847"/>
      <c r="AB1461" s="741">
        <f t="shared" si="185"/>
        <v>0</v>
      </c>
      <c r="AC1461" s="846"/>
      <c r="AD1461" s="847"/>
      <c r="AE1461" s="846"/>
      <c r="AF1461" s="846"/>
      <c r="AG1461" s="847"/>
      <c r="AH1461" s="847"/>
      <c r="AI1461" s="742">
        <f t="shared" si="189"/>
        <v>0</v>
      </c>
      <c r="AJ1461" s="743">
        <f t="shared" si="190"/>
        <v>0</v>
      </c>
    </row>
    <row r="1462" spans="1:36">
      <c r="A1462" s="1243" t="s">
        <v>151</v>
      </c>
      <c r="B1462" s="1244" t="s">
        <v>209</v>
      </c>
      <c r="C1462" s="1248" t="s">
        <v>522</v>
      </c>
      <c r="D1462" s="1014"/>
      <c r="E1462" s="1264"/>
      <c r="F1462" s="1001"/>
      <c r="G1462" s="846"/>
      <c r="H1462" s="847"/>
      <c r="I1462" s="846"/>
      <c r="J1462" s="847"/>
      <c r="K1462" s="846"/>
      <c r="L1462" s="847"/>
      <c r="M1462" s="846"/>
      <c r="N1462" s="846"/>
      <c r="O1462" s="737">
        <f t="shared" si="183"/>
        <v>0</v>
      </c>
      <c r="P1462" s="847"/>
      <c r="Q1462" s="847"/>
      <c r="R1462" s="738">
        <f t="shared" si="186"/>
        <v>0</v>
      </c>
      <c r="S1462" s="737">
        <f t="shared" si="187"/>
        <v>0</v>
      </c>
      <c r="T1462" s="739">
        <f t="shared" si="188"/>
        <v>0</v>
      </c>
      <c r="U1462" s="846"/>
      <c r="V1462" s="847"/>
      <c r="W1462" s="846"/>
      <c r="X1462" s="846"/>
      <c r="Y1462" s="740">
        <f t="shared" si="184"/>
        <v>0</v>
      </c>
      <c r="Z1462" s="847"/>
      <c r="AA1462" s="847"/>
      <c r="AB1462" s="741">
        <f t="shared" si="185"/>
        <v>0</v>
      </c>
      <c r="AC1462" s="846"/>
      <c r="AD1462" s="847"/>
      <c r="AE1462" s="846"/>
      <c r="AF1462" s="846"/>
      <c r="AG1462" s="847"/>
      <c r="AH1462" s="847"/>
      <c r="AI1462" s="742">
        <f t="shared" si="189"/>
        <v>0</v>
      </c>
      <c r="AJ1462" s="743">
        <f t="shared" si="190"/>
        <v>0</v>
      </c>
    </row>
    <row r="1463" spans="1:36">
      <c r="A1463" s="1243" t="s">
        <v>151</v>
      </c>
      <c r="B1463" s="1244" t="s">
        <v>210</v>
      </c>
      <c r="C1463" s="1248" t="s">
        <v>311</v>
      </c>
      <c r="D1463" s="1014"/>
      <c r="E1463" s="1264"/>
      <c r="F1463" s="1001"/>
      <c r="G1463" s="846"/>
      <c r="H1463" s="847"/>
      <c r="I1463" s="846"/>
      <c r="J1463" s="847"/>
      <c r="K1463" s="846"/>
      <c r="L1463" s="847"/>
      <c r="M1463" s="846"/>
      <c r="N1463" s="846"/>
      <c r="O1463" s="737">
        <f t="shared" si="183"/>
        <v>0</v>
      </c>
      <c r="P1463" s="847"/>
      <c r="Q1463" s="847"/>
      <c r="R1463" s="738">
        <f t="shared" si="186"/>
        <v>0</v>
      </c>
      <c r="S1463" s="737">
        <f t="shared" si="187"/>
        <v>0</v>
      </c>
      <c r="T1463" s="739">
        <f t="shared" si="188"/>
        <v>0</v>
      </c>
      <c r="U1463" s="846"/>
      <c r="V1463" s="847"/>
      <c r="W1463" s="846"/>
      <c r="X1463" s="846"/>
      <c r="Y1463" s="740">
        <f t="shared" si="184"/>
        <v>0</v>
      </c>
      <c r="Z1463" s="847"/>
      <c r="AA1463" s="847"/>
      <c r="AB1463" s="741">
        <f t="shared" si="185"/>
        <v>0</v>
      </c>
      <c r="AC1463" s="846"/>
      <c r="AD1463" s="847"/>
      <c r="AE1463" s="846"/>
      <c r="AF1463" s="846"/>
      <c r="AG1463" s="847"/>
      <c r="AH1463" s="847"/>
      <c r="AI1463" s="742">
        <f t="shared" si="189"/>
        <v>0</v>
      </c>
      <c r="AJ1463" s="743">
        <f t="shared" si="190"/>
        <v>0</v>
      </c>
    </row>
    <row r="1464" spans="1:36">
      <c r="A1464" s="1243" t="s">
        <v>151</v>
      </c>
      <c r="B1464" s="1244" t="s">
        <v>204</v>
      </c>
      <c r="C1464" s="1248" t="s">
        <v>1471</v>
      </c>
      <c r="D1464" s="1014"/>
      <c r="E1464" s="1264"/>
      <c r="F1464" s="1001"/>
      <c r="G1464" s="846"/>
      <c r="H1464" s="847"/>
      <c r="I1464" s="846"/>
      <c r="J1464" s="847"/>
      <c r="K1464" s="846"/>
      <c r="L1464" s="847"/>
      <c r="M1464" s="846"/>
      <c r="N1464" s="846"/>
      <c r="O1464" s="737">
        <f t="shared" si="183"/>
        <v>0</v>
      </c>
      <c r="P1464" s="847"/>
      <c r="Q1464" s="847"/>
      <c r="R1464" s="738">
        <f t="shared" si="186"/>
        <v>0</v>
      </c>
      <c r="S1464" s="737">
        <f t="shared" si="187"/>
        <v>0</v>
      </c>
      <c r="T1464" s="739">
        <f t="shared" si="188"/>
        <v>0</v>
      </c>
      <c r="U1464" s="846">
        <v>409375</v>
      </c>
      <c r="V1464" s="847">
        <v>125000</v>
      </c>
      <c r="W1464" s="846"/>
      <c r="X1464" s="846"/>
      <c r="Y1464" s="740">
        <f t="shared" si="184"/>
        <v>0</v>
      </c>
      <c r="Z1464" s="847"/>
      <c r="AA1464" s="847"/>
      <c r="AB1464" s="741">
        <f t="shared" si="185"/>
        <v>0</v>
      </c>
      <c r="AC1464" s="846"/>
      <c r="AD1464" s="847"/>
      <c r="AE1464" s="846"/>
      <c r="AF1464" s="846"/>
      <c r="AG1464" s="847"/>
      <c r="AH1464" s="847"/>
      <c r="AI1464" s="742">
        <f t="shared" si="189"/>
        <v>409375</v>
      </c>
      <c r="AJ1464" s="743">
        <f t="shared" si="190"/>
        <v>125000</v>
      </c>
    </row>
    <row r="1465" spans="1:36">
      <c r="A1465" s="1243" t="s">
        <v>151</v>
      </c>
      <c r="B1465" s="1018" t="s">
        <v>205</v>
      </c>
      <c r="C1465" s="1019" t="s">
        <v>523</v>
      </c>
      <c r="D1465" s="1020"/>
      <c r="E1465" s="1264"/>
      <c r="F1465" s="1001"/>
      <c r="G1465" s="846"/>
      <c r="H1465" s="847"/>
      <c r="I1465" s="846"/>
      <c r="J1465" s="847"/>
      <c r="K1465" s="846"/>
      <c r="L1465" s="847"/>
      <c r="M1465" s="846"/>
      <c r="N1465" s="846"/>
      <c r="O1465" s="737">
        <f t="shared" si="183"/>
        <v>0</v>
      </c>
      <c r="P1465" s="847"/>
      <c r="Q1465" s="847"/>
      <c r="R1465" s="738">
        <f t="shared" si="186"/>
        <v>0</v>
      </c>
      <c r="S1465" s="737">
        <f t="shared" si="187"/>
        <v>0</v>
      </c>
      <c r="T1465" s="739">
        <f t="shared" si="188"/>
        <v>0</v>
      </c>
      <c r="U1465" s="846"/>
      <c r="V1465" s="847"/>
      <c r="W1465" s="846"/>
      <c r="X1465" s="846"/>
      <c r="Y1465" s="740">
        <f t="shared" si="184"/>
        <v>0</v>
      </c>
      <c r="Z1465" s="847"/>
      <c r="AA1465" s="847"/>
      <c r="AB1465" s="741">
        <f t="shared" si="185"/>
        <v>0</v>
      </c>
      <c r="AC1465" s="846"/>
      <c r="AD1465" s="847"/>
      <c r="AE1465" s="846"/>
      <c r="AF1465" s="846"/>
      <c r="AG1465" s="847"/>
      <c r="AH1465" s="847"/>
      <c r="AI1465" s="742">
        <f t="shared" si="189"/>
        <v>0</v>
      </c>
      <c r="AJ1465" s="743">
        <f t="shared" si="190"/>
        <v>0</v>
      </c>
    </row>
    <row r="1466" spans="1:36">
      <c r="A1466" s="1243" t="s">
        <v>151</v>
      </c>
      <c r="B1466" s="1018" t="s">
        <v>218</v>
      </c>
      <c r="C1466" s="1019" t="s">
        <v>311</v>
      </c>
      <c r="D1466" s="1020"/>
      <c r="E1466" s="1260"/>
      <c r="F1466" s="1001"/>
      <c r="G1466" s="846"/>
      <c r="H1466" s="847"/>
      <c r="I1466" s="846"/>
      <c r="J1466" s="847"/>
      <c r="K1466" s="846"/>
      <c r="L1466" s="847"/>
      <c r="M1466" s="846"/>
      <c r="N1466" s="846"/>
      <c r="O1466" s="737">
        <f t="shared" si="183"/>
        <v>0</v>
      </c>
      <c r="P1466" s="847"/>
      <c r="Q1466" s="847"/>
      <c r="R1466" s="738">
        <f t="shared" si="186"/>
        <v>0</v>
      </c>
      <c r="S1466" s="737">
        <f t="shared" si="187"/>
        <v>0</v>
      </c>
      <c r="T1466" s="739">
        <f t="shared" si="188"/>
        <v>0</v>
      </c>
      <c r="U1466" s="846"/>
      <c r="V1466" s="847"/>
      <c r="W1466" s="846"/>
      <c r="X1466" s="846"/>
      <c r="Y1466" s="740">
        <f t="shared" si="184"/>
        <v>0</v>
      </c>
      <c r="Z1466" s="847"/>
      <c r="AA1466" s="847"/>
      <c r="AB1466" s="741">
        <f t="shared" si="185"/>
        <v>0</v>
      </c>
      <c r="AC1466" s="846"/>
      <c r="AD1466" s="847"/>
      <c r="AE1466" s="846"/>
      <c r="AF1466" s="846"/>
      <c r="AG1466" s="847"/>
      <c r="AH1466" s="847"/>
      <c r="AI1466" s="742">
        <f t="shared" si="189"/>
        <v>0</v>
      </c>
      <c r="AJ1466" s="743">
        <f t="shared" si="190"/>
        <v>0</v>
      </c>
    </row>
    <row r="1467" spans="1:36">
      <c r="A1467" s="1243" t="s">
        <v>151</v>
      </c>
      <c r="B1467" s="1244" t="s">
        <v>219</v>
      </c>
      <c r="C1467" s="1248" t="s">
        <v>1471</v>
      </c>
      <c r="D1467" s="1014"/>
      <c r="E1467" s="1260"/>
      <c r="F1467" s="1001"/>
      <c r="G1467" s="846"/>
      <c r="H1467" s="847"/>
      <c r="I1467" s="846"/>
      <c r="J1467" s="847"/>
      <c r="K1467" s="846"/>
      <c r="L1467" s="847"/>
      <c r="M1467" s="846"/>
      <c r="N1467" s="846"/>
      <c r="O1467" s="737">
        <f t="shared" si="183"/>
        <v>0</v>
      </c>
      <c r="P1467" s="847"/>
      <c r="Q1467" s="847"/>
      <c r="R1467" s="738">
        <f t="shared" si="186"/>
        <v>0</v>
      </c>
      <c r="S1467" s="737">
        <f t="shared" si="187"/>
        <v>0</v>
      </c>
      <c r="T1467" s="739">
        <f t="shared" si="188"/>
        <v>0</v>
      </c>
      <c r="U1467" s="846">
        <v>156250</v>
      </c>
      <c r="V1467" s="847">
        <v>68750</v>
      </c>
      <c r="W1467" s="846"/>
      <c r="X1467" s="846"/>
      <c r="Y1467" s="740">
        <f t="shared" si="184"/>
        <v>0</v>
      </c>
      <c r="Z1467" s="847"/>
      <c r="AA1467" s="847"/>
      <c r="AB1467" s="741">
        <f t="shared" si="185"/>
        <v>0</v>
      </c>
      <c r="AC1467" s="846"/>
      <c r="AD1467" s="847"/>
      <c r="AE1467" s="846"/>
      <c r="AF1467" s="846"/>
      <c r="AG1467" s="847"/>
      <c r="AH1467" s="847"/>
      <c r="AI1467" s="742">
        <f t="shared" si="189"/>
        <v>156250</v>
      </c>
      <c r="AJ1467" s="743">
        <f t="shared" si="190"/>
        <v>68750</v>
      </c>
    </row>
    <row r="1468" spans="1:36">
      <c r="A1468" s="1243" t="s">
        <v>151</v>
      </c>
      <c r="B1468" s="1263" t="s">
        <v>292</v>
      </c>
      <c r="C1468" s="1261" t="s">
        <v>1482</v>
      </c>
      <c r="D1468" s="1262"/>
      <c r="E1468" s="1260"/>
      <c r="F1468" s="1001"/>
      <c r="G1468" s="846"/>
      <c r="H1468" s="847"/>
      <c r="I1468" s="846"/>
      <c r="J1468" s="847"/>
      <c r="K1468" s="846"/>
      <c r="L1468" s="847"/>
      <c r="M1468" s="846"/>
      <c r="N1468" s="846"/>
      <c r="O1468" s="737">
        <f t="shared" si="183"/>
        <v>0</v>
      </c>
      <c r="P1468" s="847"/>
      <c r="Q1468" s="847"/>
      <c r="R1468" s="738">
        <f t="shared" si="186"/>
        <v>0</v>
      </c>
      <c r="S1468" s="737">
        <f t="shared" si="187"/>
        <v>0</v>
      </c>
      <c r="T1468" s="739">
        <f t="shared" si="188"/>
        <v>0</v>
      </c>
      <c r="U1468" s="846"/>
      <c r="V1468" s="847"/>
      <c r="W1468" s="846"/>
      <c r="X1468" s="846"/>
      <c r="Y1468" s="740">
        <f t="shared" si="184"/>
        <v>0</v>
      </c>
      <c r="Z1468" s="847"/>
      <c r="AA1468" s="847"/>
      <c r="AB1468" s="741">
        <f t="shared" si="185"/>
        <v>0</v>
      </c>
      <c r="AC1468" s="846"/>
      <c r="AD1468" s="847"/>
      <c r="AE1468" s="846"/>
      <c r="AF1468" s="846"/>
      <c r="AG1468" s="847"/>
      <c r="AH1468" s="847"/>
      <c r="AI1468" s="742">
        <f t="shared" si="189"/>
        <v>0</v>
      </c>
      <c r="AJ1468" s="743">
        <f t="shared" si="190"/>
        <v>0</v>
      </c>
    </row>
    <row r="1469" spans="1:36">
      <c r="A1469" s="1243" t="s">
        <v>151</v>
      </c>
      <c r="B1469" s="1244" t="s">
        <v>209</v>
      </c>
      <c r="C1469" s="1248" t="s">
        <v>522</v>
      </c>
      <c r="D1469" s="1014"/>
      <c r="E1469" s="1260"/>
      <c r="F1469" s="1001"/>
      <c r="G1469" s="846"/>
      <c r="H1469" s="847"/>
      <c r="I1469" s="846"/>
      <c r="J1469" s="847"/>
      <c r="K1469" s="846"/>
      <c r="L1469" s="847"/>
      <c r="M1469" s="846"/>
      <c r="N1469" s="846"/>
      <c r="O1469" s="737">
        <f t="shared" si="183"/>
        <v>0</v>
      </c>
      <c r="P1469" s="847"/>
      <c r="Q1469" s="847"/>
      <c r="R1469" s="738">
        <f t="shared" si="186"/>
        <v>0</v>
      </c>
      <c r="S1469" s="737">
        <f t="shared" si="187"/>
        <v>0</v>
      </c>
      <c r="T1469" s="739">
        <f t="shared" si="188"/>
        <v>0</v>
      </c>
      <c r="U1469" s="846"/>
      <c r="V1469" s="847"/>
      <c r="W1469" s="846"/>
      <c r="X1469" s="846"/>
      <c r="Y1469" s="740">
        <f t="shared" si="184"/>
        <v>0</v>
      </c>
      <c r="Z1469" s="847"/>
      <c r="AA1469" s="847"/>
      <c r="AB1469" s="741">
        <f t="shared" si="185"/>
        <v>0</v>
      </c>
      <c r="AC1469" s="846"/>
      <c r="AD1469" s="847"/>
      <c r="AE1469" s="846"/>
      <c r="AF1469" s="846"/>
      <c r="AG1469" s="847"/>
      <c r="AH1469" s="847"/>
      <c r="AI1469" s="742">
        <f t="shared" si="189"/>
        <v>0</v>
      </c>
      <c r="AJ1469" s="743">
        <f t="shared" si="190"/>
        <v>0</v>
      </c>
    </row>
    <row r="1470" spans="1:36">
      <c r="A1470" s="1243" t="s">
        <v>151</v>
      </c>
      <c r="B1470" s="1244" t="s">
        <v>210</v>
      </c>
      <c r="C1470" s="1248" t="s">
        <v>311</v>
      </c>
      <c r="D1470" s="1014"/>
      <c r="E1470" s="1260"/>
      <c r="F1470" s="1001"/>
      <c r="G1470" s="846"/>
      <c r="H1470" s="847"/>
      <c r="I1470" s="846"/>
      <c r="J1470" s="847"/>
      <c r="K1470" s="846"/>
      <c r="L1470" s="847"/>
      <c r="M1470" s="846"/>
      <c r="N1470" s="846"/>
      <c r="O1470" s="737">
        <f t="shared" si="183"/>
        <v>0</v>
      </c>
      <c r="P1470" s="847"/>
      <c r="Q1470" s="847"/>
      <c r="R1470" s="738">
        <f t="shared" si="186"/>
        <v>0</v>
      </c>
      <c r="S1470" s="737">
        <f t="shared" si="187"/>
        <v>0</v>
      </c>
      <c r="T1470" s="739">
        <f t="shared" si="188"/>
        <v>0</v>
      </c>
      <c r="U1470" s="846"/>
      <c r="V1470" s="847"/>
      <c r="W1470" s="846"/>
      <c r="X1470" s="846"/>
      <c r="Y1470" s="740">
        <f t="shared" si="184"/>
        <v>0</v>
      </c>
      <c r="Z1470" s="847"/>
      <c r="AA1470" s="847"/>
      <c r="AB1470" s="741">
        <f t="shared" si="185"/>
        <v>0</v>
      </c>
      <c r="AC1470" s="846"/>
      <c r="AD1470" s="847"/>
      <c r="AE1470" s="846"/>
      <c r="AF1470" s="846"/>
      <c r="AG1470" s="847"/>
      <c r="AH1470" s="847"/>
      <c r="AI1470" s="742">
        <f t="shared" si="189"/>
        <v>0</v>
      </c>
      <c r="AJ1470" s="743">
        <f t="shared" si="190"/>
        <v>0</v>
      </c>
    </row>
    <row r="1471" spans="1:36">
      <c r="A1471" s="1243" t="s">
        <v>151</v>
      </c>
      <c r="B1471" s="1244" t="s">
        <v>204</v>
      </c>
      <c r="C1471" s="1248" t="s">
        <v>1471</v>
      </c>
      <c r="D1471" s="1014"/>
      <c r="E1471" s="1260"/>
      <c r="F1471" s="1001"/>
      <c r="G1471" s="846"/>
      <c r="H1471" s="847"/>
      <c r="I1471" s="846"/>
      <c r="J1471" s="847"/>
      <c r="K1471" s="846"/>
      <c r="L1471" s="847"/>
      <c r="M1471" s="846"/>
      <c r="N1471" s="846"/>
      <c r="O1471" s="737">
        <f t="shared" si="183"/>
        <v>0</v>
      </c>
      <c r="P1471" s="847"/>
      <c r="Q1471" s="847"/>
      <c r="R1471" s="738">
        <f t="shared" si="186"/>
        <v>0</v>
      </c>
      <c r="S1471" s="737">
        <f t="shared" si="187"/>
        <v>0</v>
      </c>
      <c r="T1471" s="739">
        <f t="shared" si="188"/>
        <v>0</v>
      </c>
      <c r="U1471" s="846">
        <v>1185913</v>
      </c>
      <c r="V1471" s="847">
        <v>1302485</v>
      </c>
      <c r="W1471" s="846"/>
      <c r="X1471" s="846"/>
      <c r="Y1471" s="740">
        <f t="shared" si="184"/>
        <v>0</v>
      </c>
      <c r="Z1471" s="847"/>
      <c r="AA1471" s="847"/>
      <c r="AB1471" s="741">
        <f t="shared" si="185"/>
        <v>0</v>
      </c>
      <c r="AC1471" s="846"/>
      <c r="AD1471" s="847"/>
      <c r="AE1471" s="846"/>
      <c r="AF1471" s="846"/>
      <c r="AG1471" s="847"/>
      <c r="AH1471" s="847"/>
      <c r="AI1471" s="742">
        <f t="shared" si="189"/>
        <v>1185913</v>
      </c>
      <c r="AJ1471" s="743">
        <f t="shared" si="190"/>
        <v>1302485</v>
      </c>
    </row>
    <row r="1472" spans="1:36">
      <c r="A1472" s="1243" t="s">
        <v>151</v>
      </c>
      <c r="B1472" s="1018" t="s">
        <v>205</v>
      </c>
      <c r="C1472" s="1019" t="s">
        <v>523</v>
      </c>
      <c r="D1472" s="1020"/>
      <c r="E1472" s="1260"/>
      <c r="F1472" s="1001"/>
      <c r="G1472" s="846"/>
      <c r="H1472" s="847"/>
      <c r="I1472" s="846"/>
      <c r="J1472" s="847"/>
      <c r="K1472" s="846"/>
      <c r="L1472" s="847"/>
      <c r="M1472" s="846"/>
      <c r="N1472" s="846"/>
      <c r="O1472" s="737">
        <f t="shared" si="183"/>
        <v>0</v>
      </c>
      <c r="P1472" s="847"/>
      <c r="Q1472" s="847"/>
      <c r="R1472" s="738">
        <f t="shared" si="186"/>
        <v>0</v>
      </c>
      <c r="S1472" s="737">
        <f t="shared" si="187"/>
        <v>0</v>
      </c>
      <c r="T1472" s="739">
        <f t="shared" si="188"/>
        <v>0</v>
      </c>
      <c r="U1472" s="846"/>
      <c r="V1472" s="847"/>
      <c r="W1472" s="846"/>
      <c r="X1472" s="846"/>
      <c r="Y1472" s="740">
        <f t="shared" si="184"/>
        <v>0</v>
      </c>
      <c r="Z1472" s="847"/>
      <c r="AA1472" s="847"/>
      <c r="AB1472" s="741">
        <f t="shared" si="185"/>
        <v>0</v>
      </c>
      <c r="AC1472" s="846"/>
      <c r="AD1472" s="847"/>
      <c r="AE1472" s="846"/>
      <c r="AF1472" s="846"/>
      <c r="AG1472" s="847"/>
      <c r="AH1472" s="847"/>
      <c r="AI1472" s="742">
        <f t="shared" si="189"/>
        <v>0</v>
      </c>
      <c r="AJ1472" s="743">
        <f t="shared" si="190"/>
        <v>0</v>
      </c>
    </row>
    <row r="1473" spans="1:36">
      <c r="A1473" s="1243" t="s">
        <v>151</v>
      </c>
      <c r="B1473" s="1018" t="s">
        <v>218</v>
      </c>
      <c r="C1473" s="1019" t="s">
        <v>311</v>
      </c>
      <c r="D1473" s="1020"/>
      <c r="E1473" s="1260"/>
      <c r="F1473" s="1001"/>
      <c r="G1473" s="846"/>
      <c r="H1473" s="847"/>
      <c r="I1473" s="846"/>
      <c r="J1473" s="847"/>
      <c r="K1473" s="846"/>
      <c r="L1473" s="847"/>
      <c r="M1473" s="846"/>
      <c r="N1473" s="846"/>
      <c r="O1473" s="737">
        <f t="shared" si="183"/>
        <v>0</v>
      </c>
      <c r="P1473" s="847"/>
      <c r="Q1473" s="847"/>
      <c r="R1473" s="738">
        <f t="shared" si="186"/>
        <v>0</v>
      </c>
      <c r="S1473" s="737">
        <f t="shared" si="187"/>
        <v>0</v>
      </c>
      <c r="T1473" s="739">
        <f t="shared" si="188"/>
        <v>0</v>
      </c>
      <c r="U1473" s="846"/>
      <c r="V1473" s="847"/>
      <c r="W1473" s="846"/>
      <c r="X1473" s="846"/>
      <c r="Y1473" s="740">
        <f t="shared" si="184"/>
        <v>0</v>
      </c>
      <c r="Z1473" s="847"/>
      <c r="AA1473" s="847"/>
      <c r="AB1473" s="741">
        <f t="shared" si="185"/>
        <v>0</v>
      </c>
      <c r="AC1473" s="846"/>
      <c r="AD1473" s="847"/>
      <c r="AE1473" s="846"/>
      <c r="AF1473" s="846"/>
      <c r="AG1473" s="847"/>
      <c r="AH1473" s="847"/>
      <c r="AI1473" s="742">
        <f t="shared" si="189"/>
        <v>0</v>
      </c>
      <c r="AJ1473" s="743">
        <f t="shared" si="190"/>
        <v>0</v>
      </c>
    </row>
    <row r="1474" spans="1:36">
      <c r="A1474" s="1243" t="s">
        <v>151</v>
      </c>
      <c r="B1474" s="1244" t="s">
        <v>219</v>
      </c>
      <c r="C1474" s="1248" t="s">
        <v>1471</v>
      </c>
      <c r="D1474" s="1014"/>
      <c r="E1474" s="1260"/>
      <c r="F1474" s="1001"/>
      <c r="G1474" s="846"/>
      <c r="H1474" s="847"/>
      <c r="I1474" s="846"/>
      <c r="J1474" s="847"/>
      <c r="K1474" s="846"/>
      <c r="L1474" s="847"/>
      <c r="M1474" s="846"/>
      <c r="N1474" s="846"/>
      <c r="O1474" s="737">
        <f t="shared" si="183"/>
        <v>0</v>
      </c>
      <c r="P1474" s="847"/>
      <c r="Q1474" s="847"/>
      <c r="R1474" s="738">
        <f t="shared" si="186"/>
        <v>0</v>
      </c>
      <c r="S1474" s="737">
        <f t="shared" si="187"/>
        <v>0</v>
      </c>
      <c r="T1474" s="739">
        <f t="shared" si="188"/>
        <v>0</v>
      </c>
      <c r="U1474" s="846">
        <v>165058</v>
      </c>
      <c r="V1474" s="847">
        <v>126292</v>
      </c>
      <c r="W1474" s="846"/>
      <c r="X1474" s="846"/>
      <c r="Y1474" s="740">
        <f t="shared" si="184"/>
        <v>0</v>
      </c>
      <c r="Z1474" s="847"/>
      <c r="AA1474" s="847"/>
      <c r="AB1474" s="741">
        <f t="shared" si="185"/>
        <v>0</v>
      </c>
      <c r="AC1474" s="846"/>
      <c r="AD1474" s="847"/>
      <c r="AE1474" s="846"/>
      <c r="AF1474" s="846"/>
      <c r="AG1474" s="847"/>
      <c r="AH1474" s="847"/>
      <c r="AI1474" s="742">
        <f t="shared" si="189"/>
        <v>165058</v>
      </c>
      <c r="AJ1474" s="743">
        <f t="shared" si="190"/>
        <v>126292</v>
      </c>
    </row>
    <row r="1475" spans="1:36">
      <c r="A1475" s="1243" t="s">
        <v>151</v>
      </c>
      <c r="B1475" s="1263" t="s">
        <v>292</v>
      </c>
      <c r="C1475" s="1261" t="s">
        <v>1483</v>
      </c>
      <c r="D1475" s="1262"/>
      <c r="E1475" s="1260"/>
      <c r="F1475" s="1001"/>
      <c r="G1475" s="846"/>
      <c r="H1475" s="847"/>
      <c r="I1475" s="846"/>
      <c r="J1475" s="847"/>
      <c r="K1475" s="846"/>
      <c r="L1475" s="847"/>
      <c r="M1475" s="846"/>
      <c r="N1475" s="846"/>
      <c r="O1475" s="737">
        <f t="shared" si="183"/>
        <v>0</v>
      </c>
      <c r="P1475" s="847"/>
      <c r="Q1475" s="847"/>
      <c r="R1475" s="738">
        <f t="shared" si="186"/>
        <v>0</v>
      </c>
      <c r="S1475" s="737">
        <f t="shared" si="187"/>
        <v>0</v>
      </c>
      <c r="T1475" s="739">
        <f t="shared" si="188"/>
        <v>0</v>
      </c>
      <c r="U1475" s="846"/>
      <c r="V1475" s="847"/>
      <c r="W1475" s="846"/>
      <c r="X1475" s="846"/>
      <c r="Y1475" s="740">
        <f t="shared" si="184"/>
        <v>0</v>
      </c>
      <c r="Z1475" s="847"/>
      <c r="AA1475" s="847"/>
      <c r="AB1475" s="741">
        <f t="shared" si="185"/>
        <v>0</v>
      </c>
      <c r="AC1475" s="846"/>
      <c r="AD1475" s="847"/>
      <c r="AE1475" s="846"/>
      <c r="AF1475" s="846"/>
      <c r="AG1475" s="847"/>
      <c r="AH1475" s="847"/>
      <c r="AI1475" s="742">
        <f t="shared" si="189"/>
        <v>0</v>
      </c>
      <c r="AJ1475" s="743">
        <f t="shared" si="190"/>
        <v>0</v>
      </c>
    </row>
    <row r="1476" spans="1:36">
      <c r="A1476" s="1243" t="s">
        <v>151</v>
      </c>
      <c r="B1476" s="1244" t="s">
        <v>209</v>
      </c>
      <c r="C1476" s="1248" t="s">
        <v>522</v>
      </c>
      <c r="D1476" s="1014"/>
      <c r="E1476" s="1260"/>
      <c r="F1476" s="1001"/>
      <c r="G1476" s="846"/>
      <c r="H1476" s="847"/>
      <c r="I1476" s="846"/>
      <c r="J1476" s="847"/>
      <c r="K1476" s="846"/>
      <c r="L1476" s="847"/>
      <c r="M1476" s="846"/>
      <c r="N1476" s="846"/>
      <c r="O1476" s="737">
        <f t="shared" si="183"/>
        <v>0</v>
      </c>
      <c r="P1476" s="847"/>
      <c r="Q1476" s="847"/>
      <c r="R1476" s="738">
        <f t="shared" si="186"/>
        <v>0</v>
      </c>
      <c r="S1476" s="737">
        <f t="shared" si="187"/>
        <v>0</v>
      </c>
      <c r="T1476" s="739">
        <f t="shared" si="188"/>
        <v>0</v>
      </c>
      <c r="U1476" s="846"/>
      <c r="V1476" s="847"/>
      <c r="W1476" s="846"/>
      <c r="X1476" s="846"/>
      <c r="Y1476" s="740">
        <f t="shared" si="184"/>
        <v>0</v>
      </c>
      <c r="Z1476" s="847"/>
      <c r="AA1476" s="847"/>
      <c r="AB1476" s="741">
        <f t="shared" si="185"/>
        <v>0</v>
      </c>
      <c r="AC1476" s="846"/>
      <c r="AD1476" s="847"/>
      <c r="AE1476" s="846"/>
      <c r="AF1476" s="846"/>
      <c r="AG1476" s="847"/>
      <c r="AH1476" s="847"/>
      <c r="AI1476" s="742">
        <f t="shared" si="189"/>
        <v>0</v>
      </c>
      <c r="AJ1476" s="743">
        <f t="shared" si="190"/>
        <v>0</v>
      </c>
    </row>
    <row r="1477" spans="1:36">
      <c r="A1477" s="1243" t="s">
        <v>151</v>
      </c>
      <c r="B1477" s="1244" t="s">
        <v>210</v>
      </c>
      <c r="C1477" s="1248" t="s">
        <v>311</v>
      </c>
      <c r="D1477" s="1014"/>
      <c r="E1477" s="1260"/>
      <c r="F1477" s="1001"/>
      <c r="G1477" s="846"/>
      <c r="H1477" s="847"/>
      <c r="I1477" s="846"/>
      <c r="J1477" s="847"/>
      <c r="K1477" s="846"/>
      <c r="L1477" s="847"/>
      <c r="M1477" s="846"/>
      <c r="N1477" s="846"/>
      <c r="O1477" s="737">
        <f t="shared" si="183"/>
        <v>0</v>
      </c>
      <c r="P1477" s="847"/>
      <c r="Q1477" s="847"/>
      <c r="R1477" s="738">
        <f t="shared" si="186"/>
        <v>0</v>
      </c>
      <c r="S1477" s="737">
        <f t="shared" si="187"/>
        <v>0</v>
      </c>
      <c r="T1477" s="739">
        <f t="shared" si="188"/>
        <v>0</v>
      </c>
      <c r="U1477" s="846">
        <v>570250</v>
      </c>
      <c r="V1477" s="847">
        <v>825500</v>
      </c>
      <c r="W1477" s="846"/>
      <c r="X1477" s="846"/>
      <c r="Y1477" s="740">
        <f t="shared" si="184"/>
        <v>0</v>
      </c>
      <c r="Z1477" s="847"/>
      <c r="AA1477" s="847"/>
      <c r="AB1477" s="741">
        <f t="shared" si="185"/>
        <v>0</v>
      </c>
      <c r="AC1477" s="846"/>
      <c r="AD1477" s="847"/>
      <c r="AE1477" s="846"/>
      <c r="AF1477" s="846"/>
      <c r="AG1477" s="847"/>
      <c r="AH1477" s="847"/>
      <c r="AI1477" s="742">
        <f t="shared" si="189"/>
        <v>570250</v>
      </c>
      <c r="AJ1477" s="743">
        <f t="shared" si="190"/>
        <v>825500</v>
      </c>
    </row>
    <row r="1478" spans="1:36">
      <c r="A1478" s="1243" t="s">
        <v>151</v>
      </c>
      <c r="B1478" s="1244" t="s">
        <v>204</v>
      </c>
      <c r="C1478" s="1248" t="s">
        <v>1471</v>
      </c>
      <c r="D1478" s="1014"/>
      <c r="E1478" s="1260"/>
      <c r="F1478" s="1001"/>
      <c r="G1478" s="846"/>
      <c r="H1478" s="847"/>
      <c r="I1478" s="846"/>
      <c r="J1478" s="847"/>
      <c r="K1478" s="846"/>
      <c r="L1478" s="847"/>
      <c r="M1478" s="846"/>
      <c r="N1478" s="846"/>
      <c r="O1478" s="737">
        <f t="shared" si="183"/>
        <v>0</v>
      </c>
      <c r="P1478" s="847"/>
      <c r="Q1478" s="847"/>
      <c r="R1478" s="738">
        <f t="shared" si="186"/>
        <v>0</v>
      </c>
      <c r="S1478" s="737">
        <f t="shared" si="187"/>
        <v>0</v>
      </c>
      <c r="T1478" s="739">
        <f t="shared" si="188"/>
        <v>0</v>
      </c>
      <c r="U1478" s="846"/>
      <c r="V1478" s="847"/>
      <c r="W1478" s="846"/>
      <c r="X1478" s="846"/>
      <c r="Y1478" s="740">
        <f t="shared" si="184"/>
        <v>0</v>
      </c>
      <c r="Z1478" s="847"/>
      <c r="AA1478" s="847"/>
      <c r="AB1478" s="741">
        <f t="shared" si="185"/>
        <v>0</v>
      </c>
      <c r="AC1478" s="846"/>
      <c r="AD1478" s="847"/>
      <c r="AE1478" s="846"/>
      <c r="AF1478" s="846"/>
      <c r="AG1478" s="847"/>
      <c r="AH1478" s="847"/>
      <c r="AI1478" s="742">
        <f t="shared" si="189"/>
        <v>0</v>
      </c>
      <c r="AJ1478" s="743">
        <f t="shared" si="190"/>
        <v>0</v>
      </c>
    </row>
    <row r="1479" spans="1:36">
      <c r="A1479" s="1243" t="s">
        <v>151</v>
      </c>
      <c r="B1479" s="1018" t="s">
        <v>205</v>
      </c>
      <c r="C1479" s="1019" t="s">
        <v>523</v>
      </c>
      <c r="D1479" s="1020"/>
      <c r="E1479" s="1260"/>
      <c r="F1479" s="1001"/>
      <c r="G1479" s="846"/>
      <c r="H1479" s="847"/>
      <c r="I1479" s="846"/>
      <c r="J1479" s="847"/>
      <c r="K1479" s="846"/>
      <c r="L1479" s="847"/>
      <c r="M1479" s="846"/>
      <c r="N1479" s="846"/>
      <c r="O1479" s="737">
        <f t="shared" si="183"/>
        <v>0</v>
      </c>
      <c r="P1479" s="847"/>
      <c r="Q1479" s="847"/>
      <c r="R1479" s="738">
        <f t="shared" si="186"/>
        <v>0</v>
      </c>
      <c r="S1479" s="737">
        <f t="shared" si="187"/>
        <v>0</v>
      </c>
      <c r="T1479" s="739">
        <f t="shared" si="188"/>
        <v>0</v>
      </c>
      <c r="U1479" s="846"/>
      <c r="V1479" s="847"/>
      <c r="W1479" s="846"/>
      <c r="X1479" s="846"/>
      <c r="Y1479" s="740">
        <f t="shared" si="184"/>
        <v>0</v>
      </c>
      <c r="Z1479" s="847"/>
      <c r="AA1479" s="847"/>
      <c r="AB1479" s="741">
        <f t="shared" si="185"/>
        <v>0</v>
      </c>
      <c r="AC1479" s="846"/>
      <c r="AD1479" s="847"/>
      <c r="AE1479" s="846"/>
      <c r="AF1479" s="846"/>
      <c r="AG1479" s="847"/>
      <c r="AH1479" s="847"/>
      <c r="AI1479" s="742">
        <f t="shared" si="189"/>
        <v>0</v>
      </c>
      <c r="AJ1479" s="743">
        <f t="shared" si="190"/>
        <v>0</v>
      </c>
    </row>
    <row r="1480" spans="1:36">
      <c r="A1480" s="1243" t="s">
        <v>151</v>
      </c>
      <c r="B1480" s="1018" t="s">
        <v>218</v>
      </c>
      <c r="C1480" s="1019" t="s">
        <v>311</v>
      </c>
      <c r="D1480" s="1020"/>
      <c r="E1480" s="1260"/>
      <c r="F1480" s="1001"/>
      <c r="G1480" s="846"/>
      <c r="H1480" s="847"/>
      <c r="I1480" s="846"/>
      <c r="J1480" s="847"/>
      <c r="K1480" s="846"/>
      <c r="L1480" s="847"/>
      <c r="M1480" s="846"/>
      <c r="N1480" s="846"/>
      <c r="O1480" s="737">
        <f t="shared" si="183"/>
        <v>0</v>
      </c>
      <c r="P1480" s="847"/>
      <c r="Q1480" s="847"/>
      <c r="R1480" s="738">
        <f t="shared" si="186"/>
        <v>0</v>
      </c>
      <c r="S1480" s="737">
        <f t="shared" si="187"/>
        <v>0</v>
      </c>
      <c r="T1480" s="739">
        <f t="shared" si="188"/>
        <v>0</v>
      </c>
      <c r="U1480" s="846">
        <v>175500</v>
      </c>
      <c r="V1480" s="847">
        <v>243000</v>
      </c>
      <c r="W1480" s="846"/>
      <c r="X1480" s="846"/>
      <c r="Y1480" s="740">
        <f t="shared" si="184"/>
        <v>0</v>
      </c>
      <c r="Z1480" s="847"/>
      <c r="AA1480" s="847"/>
      <c r="AB1480" s="741">
        <f t="shared" si="185"/>
        <v>0</v>
      </c>
      <c r="AC1480" s="846"/>
      <c r="AD1480" s="847"/>
      <c r="AE1480" s="846"/>
      <c r="AF1480" s="846"/>
      <c r="AG1480" s="847"/>
      <c r="AH1480" s="847"/>
      <c r="AI1480" s="742">
        <f t="shared" si="189"/>
        <v>175500</v>
      </c>
      <c r="AJ1480" s="743">
        <f t="shared" si="190"/>
        <v>243000</v>
      </c>
    </row>
    <row r="1481" spans="1:36">
      <c r="A1481" s="1243" t="s">
        <v>151</v>
      </c>
      <c r="B1481" s="1244" t="s">
        <v>219</v>
      </c>
      <c r="C1481" s="1248" t="s">
        <v>1471</v>
      </c>
      <c r="D1481" s="1014"/>
      <c r="E1481" s="1260"/>
      <c r="F1481" s="1001"/>
      <c r="G1481" s="846"/>
      <c r="H1481" s="847"/>
      <c r="I1481" s="846"/>
      <c r="J1481" s="847"/>
      <c r="K1481" s="846"/>
      <c r="L1481" s="847"/>
      <c r="M1481" s="846"/>
      <c r="N1481" s="846"/>
      <c r="O1481" s="737">
        <f t="shared" si="183"/>
        <v>0</v>
      </c>
      <c r="P1481" s="847"/>
      <c r="Q1481" s="847"/>
      <c r="R1481" s="738">
        <f t="shared" si="186"/>
        <v>0</v>
      </c>
      <c r="S1481" s="737">
        <f t="shared" si="187"/>
        <v>0</v>
      </c>
      <c r="T1481" s="739">
        <f t="shared" si="188"/>
        <v>0</v>
      </c>
      <c r="U1481" s="846"/>
      <c r="V1481" s="847"/>
      <c r="W1481" s="846"/>
      <c r="X1481" s="846"/>
      <c r="Y1481" s="740">
        <f t="shared" si="184"/>
        <v>0</v>
      </c>
      <c r="Z1481" s="847"/>
      <c r="AA1481" s="847"/>
      <c r="AB1481" s="741">
        <f t="shared" si="185"/>
        <v>0</v>
      </c>
      <c r="AC1481" s="846"/>
      <c r="AD1481" s="847"/>
      <c r="AE1481" s="846"/>
      <c r="AF1481" s="846"/>
      <c r="AG1481" s="847"/>
      <c r="AH1481" s="847"/>
      <c r="AI1481" s="742">
        <f t="shared" si="189"/>
        <v>0</v>
      </c>
      <c r="AJ1481" s="743">
        <f t="shared" si="190"/>
        <v>0</v>
      </c>
    </row>
    <row r="1482" spans="1:36">
      <c r="A1482" s="1243" t="s">
        <v>151</v>
      </c>
      <c r="B1482" s="1018" t="s">
        <v>293</v>
      </c>
      <c r="C1482" s="1024" t="s">
        <v>525</v>
      </c>
      <c r="D1482" s="1025"/>
      <c r="E1482" s="1260"/>
      <c r="F1482" s="1022"/>
      <c r="G1482" s="846"/>
      <c r="H1482" s="847"/>
      <c r="I1482" s="846"/>
      <c r="J1482" s="847"/>
      <c r="K1482" s="846"/>
      <c r="L1482" s="847"/>
      <c r="M1482" s="846"/>
      <c r="N1482" s="846"/>
      <c r="O1482" s="737">
        <f t="shared" ref="O1482:O1545" si="191">SUM(M1482:N1482)</f>
        <v>0</v>
      </c>
      <c r="P1482" s="847"/>
      <c r="Q1482" s="847"/>
      <c r="R1482" s="738">
        <f t="shared" si="186"/>
        <v>0</v>
      </c>
      <c r="S1482" s="737">
        <f t="shared" si="187"/>
        <v>0</v>
      </c>
      <c r="T1482" s="739">
        <f t="shared" si="188"/>
        <v>0</v>
      </c>
      <c r="U1482" s="846"/>
      <c r="V1482" s="847"/>
      <c r="W1482" s="846"/>
      <c r="X1482" s="846"/>
      <c r="Y1482" s="740">
        <f t="shared" ref="Y1482:Y1545" si="192">SUM(W1482:X1482)</f>
        <v>0</v>
      </c>
      <c r="Z1482" s="847"/>
      <c r="AA1482" s="847"/>
      <c r="AB1482" s="741">
        <f t="shared" ref="AB1482:AB1545" si="193">SUM(Z1482:AA1482)</f>
        <v>0</v>
      </c>
      <c r="AC1482" s="846"/>
      <c r="AD1482" s="847"/>
      <c r="AE1482" s="846"/>
      <c r="AF1482" s="846"/>
      <c r="AG1482" s="847"/>
      <c r="AH1482" s="847"/>
      <c r="AI1482" s="742">
        <f t="shared" si="189"/>
        <v>0</v>
      </c>
      <c r="AJ1482" s="743">
        <f t="shared" si="190"/>
        <v>0</v>
      </c>
    </row>
    <row r="1483" spans="1:36">
      <c r="A1483" s="1243" t="s">
        <v>151</v>
      </c>
      <c r="B1483" s="1018" t="s">
        <v>252</v>
      </c>
      <c r="C1483" s="1019" t="s">
        <v>311</v>
      </c>
      <c r="D1483" s="1020"/>
      <c r="E1483" s="1260"/>
      <c r="F1483" s="1022"/>
      <c r="G1483" s="846"/>
      <c r="H1483" s="847"/>
      <c r="I1483" s="846"/>
      <c r="J1483" s="847"/>
      <c r="K1483" s="846"/>
      <c r="L1483" s="847"/>
      <c r="M1483" s="846"/>
      <c r="N1483" s="846"/>
      <c r="O1483" s="737">
        <f t="shared" si="191"/>
        <v>0</v>
      </c>
      <c r="P1483" s="847"/>
      <c r="Q1483" s="847"/>
      <c r="R1483" s="738">
        <f t="shared" ref="R1483:R1546" si="194">SUM(P1483:Q1483)</f>
        <v>0</v>
      </c>
      <c r="S1483" s="737">
        <f t="shared" ref="S1483:S1546" si="195">SUM(G1483,I1483,K1483,M1483)</f>
        <v>0</v>
      </c>
      <c r="T1483" s="739">
        <f t="shared" ref="T1483:T1546" si="196">SUM(H1483,J1483,L1483,P1483)</f>
        <v>0</v>
      </c>
      <c r="U1483" s="846"/>
      <c r="V1483" s="847">
        <v>62537021</v>
      </c>
      <c r="W1483" s="846"/>
      <c r="X1483" s="846"/>
      <c r="Y1483" s="740">
        <f t="shared" si="192"/>
        <v>0</v>
      </c>
      <c r="Z1483" s="847"/>
      <c r="AA1483" s="847"/>
      <c r="AB1483" s="741">
        <f t="shared" si="193"/>
        <v>0</v>
      </c>
      <c r="AC1483" s="846"/>
      <c r="AD1483" s="847"/>
      <c r="AE1483" s="846"/>
      <c r="AF1483" s="846"/>
      <c r="AG1483" s="847"/>
      <c r="AH1483" s="847"/>
      <c r="AI1483" s="742">
        <f t="shared" ref="AI1483:AI1546" si="197">SUM(S1483,U1483,W1483,AC1483,AE1483)</f>
        <v>0</v>
      </c>
      <c r="AJ1483" s="743">
        <f t="shared" ref="AJ1483:AJ1546" si="198">SUM(T1483,V1483,Z1483,AD1483,AG1483)</f>
        <v>62537021</v>
      </c>
    </row>
    <row r="1484" spans="1:36">
      <c r="A1484" s="1243" t="s">
        <v>151</v>
      </c>
      <c r="B1484" s="1018" t="s">
        <v>253</v>
      </c>
      <c r="C1484" s="1019" t="s">
        <v>249</v>
      </c>
      <c r="D1484" s="1020"/>
      <c r="E1484" s="1260"/>
      <c r="F1484" s="1022"/>
      <c r="G1484" s="846"/>
      <c r="H1484" s="847"/>
      <c r="I1484" s="846"/>
      <c r="J1484" s="847"/>
      <c r="K1484" s="846"/>
      <c r="L1484" s="847"/>
      <c r="M1484" s="846"/>
      <c r="N1484" s="846"/>
      <c r="O1484" s="737">
        <f t="shared" si="191"/>
        <v>0</v>
      </c>
      <c r="P1484" s="847"/>
      <c r="Q1484" s="847"/>
      <c r="R1484" s="738">
        <f t="shared" si="194"/>
        <v>0</v>
      </c>
      <c r="S1484" s="737">
        <f t="shared" si="195"/>
        <v>0</v>
      </c>
      <c r="T1484" s="739">
        <f t="shared" si="196"/>
        <v>0</v>
      </c>
      <c r="U1484" s="846"/>
      <c r="V1484" s="847">
        <v>8330943</v>
      </c>
      <c r="W1484" s="846"/>
      <c r="X1484" s="846"/>
      <c r="Y1484" s="740">
        <f t="shared" si="192"/>
        <v>0</v>
      </c>
      <c r="Z1484" s="847"/>
      <c r="AA1484" s="847"/>
      <c r="AB1484" s="741">
        <f t="shared" si="193"/>
        <v>0</v>
      </c>
      <c r="AC1484" s="846"/>
      <c r="AD1484" s="847"/>
      <c r="AE1484" s="846"/>
      <c r="AF1484" s="846"/>
      <c r="AG1484" s="847"/>
      <c r="AH1484" s="847"/>
      <c r="AI1484" s="742">
        <f t="shared" si="197"/>
        <v>0</v>
      </c>
      <c r="AJ1484" s="743">
        <f t="shared" si="198"/>
        <v>8330943</v>
      </c>
    </row>
    <row r="1485" spans="1:36">
      <c r="A1485" s="1243" t="s">
        <v>151</v>
      </c>
      <c r="B1485" s="1244" t="s">
        <v>294</v>
      </c>
      <c r="C1485" s="1257" t="s">
        <v>307</v>
      </c>
      <c r="D1485" s="1258"/>
      <c r="E1485" s="1260"/>
      <c r="F1485" s="1001"/>
      <c r="G1485" s="846"/>
      <c r="H1485" s="847"/>
      <c r="I1485" s="846"/>
      <c r="J1485" s="847"/>
      <c r="K1485" s="846"/>
      <c r="L1485" s="847"/>
      <c r="M1485" s="846"/>
      <c r="N1485" s="846"/>
      <c r="O1485" s="737">
        <f t="shared" si="191"/>
        <v>0</v>
      </c>
      <c r="P1485" s="847"/>
      <c r="Q1485" s="847"/>
      <c r="R1485" s="738">
        <f t="shared" si="194"/>
        <v>0</v>
      </c>
      <c r="S1485" s="737">
        <f t="shared" si="195"/>
        <v>0</v>
      </c>
      <c r="T1485" s="739">
        <f t="shared" si="196"/>
        <v>0</v>
      </c>
      <c r="U1485" s="846"/>
      <c r="V1485" s="847"/>
      <c r="W1485" s="846"/>
      <c r="X1485" s="846"/>
      <c r="Y1485" s="740">
        <f t="shared" si="192"/>
        <v>0</v>
      </c>
      <c r="Z1485" s="847"/>
      <c r="AA1485" s="847"/>
      <c r="AB1485" s="741">
        <f t="shared" si="193"/>
        <v>0</v>
      </c>
      <c r="AC1485" s="846"/>
      <c r="AD1485" s="847"/>
      <c r="AE1485" s="846"/>
      <c r="AF1485" s="846"/>
      <c r="AG1485" s="847"/>
      <c r="AH1485" s="847"/>
      <c r="AI1485" s="742">
        <f t="shared" si="197"/>
        <v>0</v>
      </c>
      <c r="AJ1485" s="743">
        <f t="shared" si="198"/>
        <v>0</v>
      </c>
    </row>
    <row r="1486" spans="1:36">
      <c r="A1486" s="1243" t="s">
        <v>151</v>
      </c>
      <c r="B1486" s="1018" t="s">
        <v>254</v>
      </c>
      <c r="C1486" s="1019" t="s">
        <v>311</v>
      </c>
      <c r="D1486" s="1020"/>
      <c r="E1486" s="1260"/>
      <c r="F1486" s="1022"/>
      <c r="G1486" s="846"/>
      <c r="H1486" s="847"/>
      <c r="I1486" s="846"/>
      <c r="J1486" s="847"/>
      <c r="K1486" s="846"/>
      <c r="L1486" s="847"/>
      <c r="M1486" s="846"/>
      <c r="N1486" s="846"/>
      <c r="O1486" s="737">
        <f t="shared" si="191"/>
        <v>0</v>
      </c>
      <c r="P1486" s="847"/>
      <c r="Q1486" s="847"/>
      <c r="R1486" s="738">
        <f t="shared" si="194"/>
        <v>0</v>
      </c>
      <c r="S1486" s="737">
        <f t="shared" si="195"/>
        <v>0</v>
      </c>
      <c r="T1486" s="739">
        <f t="shared" si="196"/>
        <v>0</v>
      </c>
      <c r="U1486" s="846"/>
      <c r="V1486" s="847">
        <v>8825600</v>
      </c>
      <c r="W1486" s="846"/>
      <c r="X1486" s="846"/>
      <c r="Y1486" s="740">
        <f t="shared" si="192"/>
        <v>0</v>
      </c>
      <c r="Z1486" s="847"/>
      <c r="AA1486" s="847"/>
      <c r="AB1486" s="741">
        <f t="shared" si="193"/>
        <v>0</v>
      </c>
      <c r="AC1486" s="846"/>
      <c r="AD1486" s="847"/>
      <c r="AE1486" s="846"/>
      <c r="AF1486" s="846"/>
      <c r="AG1486" s="847"/>
      <c r="AH1486" s="847"/>
      <c r="AI1486" s="742">
        <f t="shared" si="197"/>
        <v>0</v>
      </c>
      <c r="AJ1486" s="743">
        <f t="shared" si="198"/>
        <v>8825600</v>
      </c>
    </row>
    <row r="1487" spans="1:36">
      <c r="A1487" s="1243" t="s">
        <v>151</v>
      </c>
      <c r="B1487" s="1018" t="s">
        <v>255</v>
      </c>
      <c r="C1487" s="1019" t="s">
        <v>249</v>
      </c>
      <c r="D1487" s="1020"/>
      <c r="E1487" s="1260"/>
      <c r="F1487" s="1022"/>
      <c r="G1487" s="846"/>
      <c r="H1487" s="847"/>
      <c r="I1487" s="846"/>
      <c r="J1487" s="847"/>
      <c r="K1487" s="846"/>
      <c r="L1487" s="847"/>
      <c r="M1487" s="846"/>
      <c r="N1487" s="846"/>
      <c r="O1487" s="737">
        <f t="shared" si="191"/>
        <v>0</v>
      </c>
      <c r="P1487" s="847"/>
      <c r="Q1487" s="847"/>
      <c r="R1487" s="738">
        <f t="shared" si="194"/>
        <v>0</v>
      </c>
      <c r="S1487" s="737">
        <f t="shared" si="195"/>
        <v>0</v>
      </c>
      <c r="T1487" s="739">
        <f t="shared" si="196"/>
        <v>0</v>
      </c>
      <c r="U1487" s="846"/>
      <c r="V1487" s="847">
        <v>2105404</v>
      </c>
      <c r="W1487" s="846"/>
      <c r="X1487" s="846"/>
      <c r="Y1487" s="740">
        <f t="shared" si="192"/>
        <v>0</v>
      </c>
      <c r="Z1487" s="847"/>
      <c r="AA1487" s="847"/>
      <c r="AB1487" s="741">
        <f t="shared" si="193"/>
        <v>0</v>
      </c>
      <c r="AC1487" s="846"/>
      <c r="AD1487" s="847"/>
      <c r="AE1487" s="846"/>
      <c r="AF1487" s="846"/>
      <c r="AG1487" s="847"/>
      <c r="AH1487" s="847"/>
      <c r="AI1487" s="742">
        <f t="shared" si="197"/>
        <v>0</v>
      </c>
      <c r="AJ1487" s="743">
        <f t="shared" si="198"/>
        <v>2105404</v>
      </c>
    </row>
    <row r="1488" spans="1:36">
      <c r="A1488" s="884" t="s">
        <v>152</v>
      </c>
      <c r="B1488" s="885" t="s">
        <v>264</v>
      </c>
      <c r="C1488" s="886" t="s">
        <v>533</v>
      </c>
      <c r="D1488" s="887"/>
      <c r="E1488" s="888">
        <v>176080</v>
      </c>
      <c r="F1488" s="889">
        <v>1</v>
      </c>
      <c r="G1488" s="846">
        <v>91296903</v>
      </c>
      <c r="H1488" s="847">
        <v>97406998</v>
      </c>
      <c r="I1488" s="846"/>
      <c r="J1488" s="847"/>
      <c r="K1488" s="846"/>
      <c r="L1488" s="847"/>
      <c r="M1488" s="890">
        <v>165169042</v>
      </c>
      <c r="N1488" s="846"/>
      <c r="O1488" s="737">
        <f t="shared" si="191"/>
        <v>165169042</v>
      </c>
      <c r="P1488" s="847">
        <v>178403760</v>
      </c>
      <c r="Q1488" s="847"/>
      <c r="R1488" s="738">
        <f t="shared" si="194"/>
        <v>178403760</v>
      </c>
      <c r="S1488" s="737">
        <f t="shared" si="195"/>
        <v>256465945</v>
      </c>
      <c r="T1488" s="739">
        <f t="shared" si="196"/>
        <v>275810758</v>
      </c>
      <c r="U1488" s="846"/>
      <c r="V1488" s="847"/>
      <c r="W1488" s="846"/>
      <c r="X1488" s="846"/>
      <c r="Y1488" s="740">
        <f t="shared" si="192"/>
        <v>0</v>
      </c>
      <c r="Z1488" s="847"/>
      <c r="AA1488" s="847"/>
      <c r="AB1488" s="741">
        <f t="shared" si="193"/>
        <v>0</v>
      </c>
      <c r="AC1488" s="846"/>
      <c r="AD1488" s="847"/>
      <c r="AE1488" s="846"/>
      <c r="AF1488" s="846"/>
      <c r="AG1488" s="847"/>
      <c r="AH1488" s="847"/>
      <c r="AI1488" s="742">
        <f t="shared" si="197"/>
        <v>256465945</v>
      </c>
      <c r="AJ1488" s="743">
        <f t="shared" si="198"/>
        <v>275810758</v>
      </c>
    </row>
    <row r="1489" spans="1:36">
      <c r="A1489" s="884" t="s">
        <v>152</v>
      </c>
      <c r="B1489" s="885" t="s">
        <v>280</v>
      </c>
      <c r="C1489" s="891" t="s">
        <v>534</v>
      </c>
      <c r="D1489" s="892"/>
      <c r="E1489" s="888">
        <v>176080</v>
      </c>
      <c r="F1489" s="889">
        <v>1</v>
      </c>
      <c r="G1489" s="846"/>
      <c r="H1489" s="847"/>
      <c r="I1489" s="846"/>
      <c r="J1489" s="847"/>
      <c r="K1489" s="846"/>
      <c r="L1489" s="847"/>
      <c r="M1489" s="846"/>
      <c r="N1489" s="846"/>
      <c r="O1489" s="737">
        <f t="shared" si="191"/>
        <v>0</v>
      </c>
      <c r="P1489" s="847"/>
      <c r="Q1489" s="847"/>
      <c r="R1489" s="738">
        <f t="shared" si="194"/>
        <v>0</v>
      </c>
      <c r="S1489" s="737">
        <f t="shared" si="195"/>
        <v>0</v>
      </c>
      <c r="T1489" s="739">
        <f t="shared" si="196"/>
        <v>0</v>
      </c>
      <c r="U1489" s="846"/>
      <c r="V1489" s="847"/>
      <c r="W1489" s="846"/>
      <c r="X1489" s="846"/>
      <c r="Y1489" s="740">
        <f t="shared" si="192"/>
        <v>0</v>
      </c>
      <c r="Z1489" s="847"/>
      <c r="AA1489" s="847"/>
      <c r="AB1489" s="741">
        <f t="shared" si="193"/>
        <v>0</v>
      </c>
      <c r="AC1489" s="846">
        <v>17291269</v>
      </c>
      <c r="AD1489" s="847">
        <v>18155832</v>
      </c>
      <c r="AE1489" s="846">
        <v>9900000</v>
      </c>
      <c r="AF1489" s="846"/>
      <c r="AG1489" s="847">
        <v>10100000</v>
      </c>
      <c r="AH1489" s="847"/>
      <c r="AI1489" s="742">
        <f t="shared" si="197"/>
        <v>27191269</v>
      </c>
      <c r="AJ1489" s="743">
        <f t="shared" si="198"/>
        <v>28255832</v>
      </c>
    </row>
    <row r="1490" spans="1:36">
      <c r="A1490" s="884" t="s">
        <v>152</v>
      </c>
      <c r="B1490" s="885" t="s">
        <v>268</v>
      </c>
      <c r="C1490" s="893" t="s">
        <v>535</v>
      </c>
      <c r="D1490" s="892"/>
      <c r="E1490" s="888">
        <v>176080</v>
      </c>
      <c r="F1490" s="889">
        <v>1</v>
      </c>
      <c r="G1490" s="846"/>
      <c r="H1490" s="847"/>
      <c r="I1490" s="846">
        <v>29139390</v>
      </c>
      <c r="J1490" s="847">
        <v>30596360</v>
      </c>
      <c r="K1490" s="846"/>
      <c r="L1490" s="847"/>
      <c r="M1490" s="846"/>
      <c r="N1490" s="846"/>
      <c r="O1490" s="737">
        <f t="shared" si="191"/>
        <v>0</v>
      </c>
      <c r="P1490" s="847"/>
      <c r="Q1490" s="847"/>
      <c r="R1490" s="738">
        <f t="shared" si="194"/>
        <v>0</v>
      </c>
      <c r="S1490" s="737">
        <f t="shared" si="195"/>
        <v>29139390</v>
      </c>
      <c r="T1490" s="739">
        <f t="shared" si="196"/>
        <v>30596360</v>
      </c>
      <c r="U1490" s="846"/>
      <c r="V1490" s="847"/>
      <c r="W1490" s="846"/>
      <c r="X1490" s="846"/>
      <c r="Y1490" s="740">
        <f t="shared" si="192"/>
        <v>0</v>
      </c>
      <c r="Z1490" s="847"/>
      <c r="AA1490" s="847"/>
      <c r="AB1490" s="741">
        <f t="shared" si="193"/>
        <v>0</v>
      </c>
      <c r="AC1490" s="846"/>
      <c r="AD1490" s="847"/>
      <c r="AE1490" s="846"/>
      <c r="AF1490" s="846"/>
      <c r="AG1490" s="847"/>
      <c r="AH1490" s="847"/>
      <c r="AI1490" s="742">
        <f t="shared" si="197"/>
        <v>29139390</v>
      </c>
      <c r="AJ1490" s="743">
        <f t="shared" si="198"/>
        <v>30596360</v>
      </c>
    </row>
    <row r="1491" spans="1:36">
      <c r="A1491" s="884" t="s">
        <v>152</v>
      </c>
      <c r="B1491" s="885" t="s">
        <v>269</v>
      </c>
      <c r="C1491" s="893" t="s">
        <v>536</v>
      </c>
      <c r="D1491" s="892"/>
      <c r="E1491" s="888">
        <v>176080</v>
      </c>
      <c r="F1491" s="889">
        <v>1</v>
      </c>
      <c r="G1491" s="846"/>
      <c r="H1491" s="847"/>
      <c r="I1491" s="846">
        <v>22650355</v>
      </c>
      <c r="J1491" s="847">
        <v>23782873</v>
      </c>
      <c r="K1491" s="846"/>
      <c r="L1491" s="847"/>
      <c r="M1491" s="846"/>
      <c r="N1491" s="846"/>
      <c r="O1491" s="737">
        <f t="shared" si="191"/>
        <v>0</v>
      </c>
      <c r="P1491" s="847"/>
      <c r="Q1491" s="847"/>
      <c r="R1491" s="738">
        <f t="shared" si="194"/>
        <v>0</v>
      </c>
      <c r="S1491" s="737">
        <f t="shared" si="195"/>
        <v>22650355</v>
      </c>
      <c r="T1491" s="739">
        <f t="shared" si="196"/>
        <v>23782873</v>
      </c>
      <c r="U1491" s="846"/>
      <c r="V1491" s="847"/>
      <c r="W1491" s="846"/>
      <c r="X1491" s="846"/>
      <c r="Y1491" s="740">
        <f t="shared" si="192"/>
        <v>0</v>
      </c>
      <c r="Z1491" s="847"/>
      <c r="AA1491" s="847"/>
      <c r="AB1491" s="741">
        <f t="shared" si="193"/>
        <v>0</v>
      </c>
      <c r="AC1491" s="846"/>
      <c r="AD1491" s="847"/>
      <c r="AE1491" s="846"/>
      <c r="AF1491" s="846"/>
      <c r="AG1491" s="847"/>
      <c r="AH1491" s="847"/>
      <c r="AI1491" s="742">
        <f t="shared" si="197"/>
        <v>22650355</v>
      </c>
      <c r="AJ1491" s="743">
        <f t="shared" si="198"/>
        <v>23782873</v>
      </c>
    </row>
    <row r="1492" spans="1:36">
      <c r="A1492" s="884" t="s">
        <v>152</v>
      </c>
      <c r="B1492" s="885" t="s">
        <v>271</v>
      </c>
      <c r="C1492" s="893" t="s">
        <v>456</v>
      </c>
      <c r="D1492" s="892"/>
      <c r="E1492" s="888">
        <v>176080</v>
      </c>
      <c r="F1492" s="889">
        <v>1</v>
      </c>
      <c r="G1492" s="846"/>
      <c r="H1492" s="847"/>
      <c r="I1492" s="846"/>
      <c r="J1492" s="847"/>
      <c r="K1492" s="846"/>
      <c r="L1492" s="847"/>
      <c r="M1492" s="846"/>
      <c r="N1492" s="846"/>
      <c r="O1492" s="737">
        <f t="shared" si="191"/>
        <v>0</v>
      </c>
      <c r="P1492" s="847"/>
      <c r="Q1492" s="847"/>
      <c r="R1492" s="738">
        <f t="shared" si="194"/>
        <v>0</v>
      </c>
      <c r="S1492" s="737">
        <f t="shared" si="195"/>
        <v>0</v>
      </c>
      <c r="T1492" s="739">
        <f t="shared" si="196"/>
        <v>0</v>
      </c>
      <c r="U1492" s="846"/>
      <c r="V1492" s="847"/>
      <c r="W1492" s="846"/>
      <c r="X1492" s="846"/>
      <c r="Y1492" s="740">
        <f t="shared" si="192"/>
        <v>0</v>
      </c>
      <c r="Z1492" s="847"/>
      <c r="AA1492" s="847"/>
      <c r="AB1492" s="741">
        <f t="shared" si="193"/>
        <v>0</v>
      </c>
      <c r="AC1492" s="846"/>
      <c r="AD1492" s="847"/>
      <c r="AE1492" s="846"/>
      <c r="AF1492" s="846"/>
      <c r="AG1492" s="847"/>
      <c r="AH1492" s="847"/>
      <c r="AI1492" s="742">
        <f t="shared" si="197"/>
        <v>0</v>
      </c>
      <c r="AJ1492" s="743">
        <f t="shared" si="198"/>
        <v>0</v>
      </c>
    </row>
    <row r="1493" spans="1:36">
      <c r="A1493" s="884" t="s">
        <v>152</v>
      </c>
      <c r="B1493" s="885" t="s">
        <v>271</v>
      </c>
      <c r="C1493" s="891" t="s">
        <v>537</v>
      </c>
      <c r="D1493" s="892"/>
      <c r="E1493" s="888">
        <v>176080</v>
      </c>
      <c r="F1493" s="889">
        <v>1</v>
      </c>
      <c r="G1493" s="846"/>
      <c r="H1493" s="847"/>
      <c r="I1493" s="846">
        <v>2062803</v>
      </c>
      <c r="J1493" s="847">
        <v>1795576</v>
      </c>
      <c r="K1493" s="846"/>
      <c r="L1493" s="847"/>
      <c r="M1493" s="846"/>
      <c r="N1493" s="846"/>
      <c r="O1493" s="737">
        <f t="shared" si="191"/>
        <v>0</v>
      </c>
      <c r="P1493" s="847"/>
      <c r="Q1493" s="847"/>
      <c r="R1493" s="738">
        <f t="shared" si="194"/>
        <v>0</v>
      </c>
      <c r="S1493" s="737">
        <f t="shared" si="195"/>
        <v>2062803</v>
      </c>
      <c r="T1493" s="739">
        <f t="shared" si="196"/>
        <v>1795576</v>
      </c>
      <c r="U1493" s="846"/>
      <c r="V1493" s="847"/>
      <c r="W1493" s="846"/>
      <c r="X1493" s="846"/>
      <c r="Y1493" s="740">
        <f t="shared" si="192"/>
        <v>0</v>
      </c>
      <c r="Z1493" s="847"/>
      <c r="AA1493" s="847"/>
      <c r="AB1493" s="741">
        <f t="shared" si="193"/>
        <v>0</v>
      </c>
      <c r="AC1493" s="846"/>
      <c r="AD1493" s="847"/>
      <c r="AE1493" s="846"/>
      <c r="AF1493" s="846"/>
      <c r="AG1493" s="847"/>
      <c r="AH1493" s="847"/>
      <c r="AI1493" s="742">
        <f t="shared" si="197"/>
        <v>2062803</v>
      </c>
      <c r="AJ1493" s="743">
        <f t="shared" si="198"/>
        <v>1795576</v>
      </c>
    </row>
    <row r="1494" spans="1:36">
      <c r="A1494" s="884" t="s">
        <v>152</v>
      </c>
      <c r="B1494" s="885" t="s">
        <v>271</v>
      </c>
      <c r="C1494" s="891" t="s">
        <v>538</v>
      </c>
      <c r="D1494" s="892"/>
      <c r="E1494" s="888">
        <v>176080</v>
      </c>
      <c r="F1494" s="889">
        <v>1</v>
      </c>
      <c r="G1494" s="846"/>
      <c r="H1494" s="847"/>
      <c r="I1494" s="846">
        <v>5972870</v>
      </c>
      <c r="J1494" s="847">
        <v>6271514</v>
      </c>
      <c r="K1494" s="846"/>
      <c r="L1494" s="847"/>
      <c r="M1494" s="846"/>
      <c r="N1494" s="846"/>
      <c r="O1494" s="737">
        <f t="shared" si="191"/>
        <v>0</v>
      </c>
      <c r="P1494" s="847"/>
      <c r="Q1494" s="847"/>
      <c r="R1494" s="738">
        <f t="shared" si="194"/>
        <v>0</v>
      </c>
      <c r="S1494" s="737">
        <f t="shared" si="195"/>
        <v>5972870</v>
      </c>
      <c r="T1494" s="739">
        <f t="shared" si="196"/>
        <v>6271514</v>
      </c>
      <c r="U1494" s="846"/>
      <c r="V1494" s="847"/>
      <c r="W1494" s="846"/>
      <c r="X1494" s="846"/>
      <c r="Y1494" s="740">
        <f t="shared" si="192"/>
        <v>0</v>
      </c>
      <c r="Z1494" s="847"/>
      <c r="AA1494" s="847"/>
      <c r="AB1494" s="741">
        <f t="shared" si="193"/>
        <v>0</v>
      </c>
      <c r="AC1494" s="846"/>
      <c r="AD1494" s="847"/>
      <c r="AE1494" s="846"/>
      <c r="AF1494" s="846"/>
      <c r="AG1494" s="847"/>
      <c r="AH1494" s="847"/>
      <c r="AI1494" s="742">
        <f t="shared" si="197"/>
        <v>5972870</v>
      </c>
      <c r="AJ1494" s="743">
        <f t="shared" si="198"/>
        <v>6271514</v>
      </c>
    </row>
    <row r="1495" spans="1:36">
      <c r="A1495" s="884" t="s">
        <v>152</v>
      </c>
      <c r="B1495" s="885" t="s">
        <v>271</v>
      </c>
      <c r="C1495" s="891" t="s">
        <v>539</v>
      </c>
      <c r="D1495" s="892"/>
      <c r="E1495" s="888">
        <v>176080</v>
      </c>
      <c r="F1495" s="889">
        <v>1</v>
      </c>
      <c r="G1495" s="846"/>
      <c r="H1495" s="847"/>
      <c r="I1495" s="846">
        <v>240531</v>
      </c>
      <c r="J1495" s="847">
        <v>240531</v>
      </c>
      <c r="K1495" s="846"/>
      <c r="L1495" s="847"/>
      <c r="M1495" s="846"/>
      <c r="N1495" s="846"/>
      <c r="O1495" s="737">
        <f t="shared" si="191"/>
        <v>0</v>
      </c>
      <c r="P1495" s="847"/>
      <c r="Q1495" s="847"/>
      <c r="R1495" s="738">
        <f t="shared" si="194"/>
        <v>0</v>
      </c>
      <c r="S1495" s="737">
        <f t="shared" si="195"/>
        <v>240531</v>
      </c>
      <c r="T1495" s="739">
        <f t="shared" si="196"/>
        <v>240531</v>
      </c>
      <c r="U1495" s="846"/>
      <c r="V1495" s="847"/>
      <c r="W1495" s="846"/>
      <c r="X1495" s="846"/>
      <c r="Y1495" s="740">
        <f t="shared" si="192"/>
        <v>0</v>
      </c>
      <c r="Z1495" s="847"/>
      <c r="AA1495" s="847"/>
      <c r="AB1495" s="741">
        <f t="shared" si="193"/>
        <v>0</v>
      </c>
      <c r="AC1495" s="846"/>
      <c r="AD1495" s="847"/>
      <c r="AE1495" s="846"/>
      <c r="AF1495" s="846"/>
      <c r="AG1495" s="847"/>
      <c r="AH1495" s="847"/>
      <c r="AI1495" s="742">
        <f t="shared" si="197"/>
        <v>240531</v>
      </c>
      <c r="AJ1495" s="743">
        <f t="shared" si="198"/>
        <v>240531</v>
      </c>
    </row>
    <row r="1496" spans="1:36">
      <c r="A1496" s="884" t="s">
        <v>152</v>
      </c>
      <c r="B1496" s="885" t="s">
        <v>271</v>
      </c>
      <c r="C1496" s="891" t="s">
        <v>540</v>
      </c>
      <c r="D1496" s="892"/>
      <c r="E1496" s="888">
        <v>176080</v>
      </c>
      <c r="F1496" s="889">
        <v>1</v>
      </c>
      <c r="G1496" s="846"/>
      <c r="H1496" s="847"/>
      <c r="I1496" s="846">
        <v>909550</v>
      </c>
      <c r="J1496" s="847">
        <v>893962</v>
      </c>
      <c r="K1496" s="846"/>
      <c r="L1496" s="847"/>
      <c r="M1496" s="846"/>
      <c r="N1496" s="846"/>
      <c r="O1496" s="737">
        <f t="shared" si="191"/>
        <v>0</v>
      </c>
      <c r="P1496" s="847"/>
      <c r="Q1496" s="847"/>
      <c r="R1496" s="738">
        <f t="shared" si="194"/>
        <v>0</v>
      </c>
      <c r="S1496" s="737">
        <f t="shared" si="195"/>
        <v>909550</v>
      </c>
      <c r="T1496" s="739">
        <f t="shared" si="196"/>
        <v>893962</v>
      </c>
      <c r="U1496" s="846"/>
      <c r="V1496" s="847"/>
      <c r="W1496" s="846"/>
      <c r="X1496" s="846"/>
      <c r="Y1496" s="740">
        <f t="shared" si="192"/>
        <v>0</v>
      </c>
      <c r="Z1496" s="847"/>
      <c r="AA1496" s="847"/>
      <c r="AB1496" s="741">
        <f t="shared" si="193"/>
        <v>0</v>
      </c>
      <c r="AC1496" s="846"/>
      <c r="AD1496" s="847"/>
      <c r="AE1496" s="846"/>
      <c r="AF1496" s="846"/>
      <c r="AG1496" s="847"/>
      <c r="AH1496" s="847"/>
      <c r="AI1496" s="742">
        <f t="shared" si="197"/>
        <v>909550</v>
      </c>
      <c r="AJ1496" s="743">
        <f t="shared" si="198"/>
        <v>893962</v>
      </c>
    </row>
    <row r="1497" spans="1:36">
      <c r="A1497" s="884" t="s">
        <v>152</v>
      </c>
      <c r="B1497" s="885" t="s">
        <v>271</v>
      </c>
      <c r="C1497" s="891" t="s">
        <v>541</v>
      </c>
      <c r="D1497" s="892"/>
      <c r="E1497" s="888">
        <v>176080</v>
      </c>
      <c r="F1497" s="889">
        <v>1</v>
      </c>
      <c r="G1497" s="846"/>
      <c r="H1497" s="847"/>
      <c r="I1497" s="846">
        <v>3328126</v>
      </c>
      <c r="J1497" s="847">
        <v>3928126</v>
      </c>
      <c r="K1497" s="846"/>
      <c r="L1497" s="847"/>
      <c r="M1497" s="846"/>
      <c r="N1497" s="846"/>
      <c r="O1497" s="737">
        <f t="shared" si="191"/>
        <v>0</v>
      </c>
      <c r="P1497" s="847"/>
      <c r="Q1497" s="847"/>
      <c r="R1497" s="738">
        <f t="shared" si="194"/>
        <v>0</v>
      </c>
      <c r="S1497" s="737">
        <f t="shared" si="195"/>
        <v>3328126</v>
      </c>
      <c r="T1497" s="739">
        <f t="shared" si="196"/>
        <v>3928126</v>
      </c>
      <c r="U1497" s="846"/>
      <c r="V1497" s="847"/>
      <c r="W1497" s="846"/>
      <c r="X1497" s="846"/>
      <c r="Y1497" s="740">
        <f t="shared" si="192"/>
        <v>0</v>
      </c>
      <c r="Z1497" s="847"/>
      <c r="AA1497" s="847"/>
      <c r="AB1497" s="741">
        <f t="shared" si="193"/>
        <v>0</v>
      </c>
      <c r="AC1497" s="846"/>
      <c r="AD1497" s="847"/>
      <c r="AE1497" s="846"/>
      <c r="AF1497" s="846"/>
      <c r="AG1497" s="847"/>
      <c r="AH1497" s="847"/>
      <c r="AI1497" s="742">
        <f t="shared" si="197"/>
        <v>3328126</v>
      </c>
      <c r="AJ1497" s="743">
        <f t="shared" si="198"/>
        <v>3928126</v>
      </c>
    </row>
    <row r="1498" spans="1:36">
      <c r="A1498" s="884" t="s">
        <v>152</v>
      </c>
      <c r="B1498" s="885" t="s">
        <v>264</v>
      </c>
      <c r="C1498" s="886" t="s">
        <v>542</v>
      </c>
      <c r="D1498" s="894"/>
      <c r="E1498" s="888">
        <v>176372</v>
      </c>
      <c r="F1498" s="889">
        <v>1</v>
      </c>
      <c r="G1498" s="846">
        <v>82147618</v>
      </c>
      <c r="H1498" s="847">
        <v>82938248</v>
      </c>
      <c r="I1498" s="846"/>
      <c r="J1498" s="847"/>
      <c r="K1498" s="846"/>
      <c r="L1498" s="847"/>
      <c r="M1498" s="846">
        <v>113527117</v>
      </c>
      <c r="N1498" s="846"/>
      <c r="O1498" s="737">
        <f t="shared" si="191"/>
        <v>113527117</v>
      </c>
      <c r="P1498" s="895">
        <v>116143798</v>
      </c>
      <c r="Q1498" s="847"/>
      <c r="R1498" s="738">
        <f t="shared" si="194"/>
        <v>116143798</v>
      </c>
      <c r="S1498" s="737">
        <f t="shared" si="195"/>
        <v>195674735</v>
      </c>
      <c r="T1498" s="739">
        <f t="shared" si="196"/>
        <v>199082046</v>
      </c>
      <c r="U1498" s="846"/>
      <c r="V1498" s="847"/>
      <c r="W1498" s="846"/>
      <c r="X1498" s="846"/>
      <c r="Y1498" s="740">
        <f t="shared" si="192"/>
        <v>0</v>
      </c>
      <c r="Z1498" s="895"/>
      <c r="AA1498" s="847"/>
      <c r="AB1498" s="741">
        <f t="shared" si="193"/>
        <v>0</v>
      </c>
      <c r="AC1498" s="846"/>
      <c r="AD1498" s="847"/>
      <c r="AE1498" s="846"/>
      <c r="AF1498" s="846"/>
      <c r="AG1498" s="895"/>
      <c r="AH1498" s="847"/>
      <c r="AI1498" s="742">
        <f t="shared" si="197"/>
        <v>195674735</v>
      </c>
      <c r="AJ1498" s="743">
        <f t="shared" si="198"/>
        <v>199082046</v>
      </c>
    </row>
    <row r="1499" spans="1:36">
      <c r="A1499" s="884" t="s">
        <v>152</v>
      </c>
      <c r="B1499" s="885" t="s">
        <v>271</v>
      </c>
      <c r="C1499" s="893" t="s">
        <v>456</v>
      </c>
      <c r="D1499" s="892"/>
      <c r="E1499" s="888">
        <v>176372</v>
      </c>
      <c r="F1499" s="889">
        <v>1</v>
      </c>
      <c r="G1499" s="846"/>
      <c r="H1499" s="847"/>
      <c r="I1499" s="846"/>
      <c r="J1499" s="847"/>
      <c r="K1499" s="846"/>
      <c r="L1499" s="847"/>
      <c r="M1499" s="846"/>
      <c r="N1499" s="846"/>
      <c r="O1499" s="737">
        <f t="shared" si="191"/>
        <v>0</v>
      </c>
      <c r="P1499" s="847"/>
      <c r="Q1499" s="847"/>
      <c r="R1499" s="738">
        <f t="shared" si="194"/>
        <v>0</v>
      </c>
      <c r="S1499" s="737">
        <f t="shared" si="195"/>
        <v>0</v>
      </c>
      <c r="T1499" s="739">
        <f t="shared" si="196"/>
        <v>0</v>
      </c>
      <c r="U1499" s="846"/>
      <c r="V1499" s="847"/>
      <c r="W1499" s="846"/>
      <c r="X1499" s="846"/>
      <c r="Y1499" s="740">
        <f t="shared" si="192"/>
        <v>0</v>
      </c>
      <c r="Z1499" s="847"/>
      <c r="AA1499" s="847"/>
      <c r="AB1499" s="741">
        <f t="shared" si="193"/>
        <v>0</v>
      </c>
      <c r="AC1499" s="846"/>
      <c r="AD1499" s="847"/>
      <c r="AE1499" s="846"/>
      <c r="AF1499" s="846"/>
      <c r="AG1499" s="847"/>
      <c r="AH1499" s="847"/>
      <c r="AI1499" s="742">
        <f t="shared" si="197"/>
        <v>0</v>
      </c>
      <c r="AJ1499" s="743">
        <f t="shared" si="198"/>
        <v>0</v>
      </c>
    </row>
    <row r="1500" spans="1:36">
      <c r="A1500" s="884" t="s">
        <v>152</v>
      </c>
      <c r="B1500" s="885" t="s">
        <v>271</v>
      </c>
      <c r="C1500" s="891" t="s">
        <v>543</v>
      </c>
      <c r="D1500" s="892"/>
      <c r="E1500" s="888">
        <v>176372</v>
      </c>
      <c r="F1500" s="889">
        <v>1</v>
      </c>
      <c r="G1500" s="846"/>
      <c r="H1500" s="847"/>
      <c r="I1500" s="846">
        <v>3517645</v>
      </c>
      <c r="J1500" s="847">
        <v>3758498</v>
      </c>
      <c r="K1500" s="846"/>
      <c r="L1500" s="847"/>
      <c r="M1500" s="846">
        <v>256000</v>
      </c>
      <c r="N1500" s="846"/>
      <c r="O1500" s="737">
        <f t="shared" si="191"/>
        <v>256000</v>
      </c>
      <c r="P1500" s="847">
        <v>305000</v>
      </c>
      <c r="Q1500" s="847"/>
      <c r="R1500" s="738">
        <f t="shared" si="194"/>
        <v>305000</v>
      </c>
      <c r="S1500" s="737">
        <f t="shared" si="195"/>
        <v>3773645</v>
      </c>
      <c r="T1500" s="739">
        <f t="shared" si="196"/>
        <v>4063498</v>
      </c>
      <c r="U1500" s="846"/>
      <c r="V1500" s="847"/>
      <c r="W1500" s="846"/>
      <c r="X1500" s="846"/>
      <c r="Y1500" s="740">
        <f t="shared" si="192"/>
        <v>0</v>
      </c>
      <c r="Z1500" s="847"/>
      <c r="AA1500" s="847"/>
      <c r="AB1500" s="741">
        <f t="shared" si="193"/>
        <v>0</v>
      </c>
      <c r="AC1500" s="846"/>
      <c r="AD1500" s="847"/>
      <c r="AE1500" s="846"/>
      <c r="AF1500" s="846"/>
      <c r="AG1500" s="847"/>
      <c r="AH1500" s="847"/>
      <c r="AI1500" s="742">
        <f t="shared" si="197"/>
        <v>3773645</v>
      </c>
      <c r="AJ1500" s="743">
        <f t="shared" si="198"/>
        <v>4063498</v>
      </c>
    </row>
    <row r="1501" spans="1:36">
      <c r="A1501" s="884" t="s">
        <v>152</v>
      </c>
      <c r="B1501" s="885" t="s">
        <v>271</v>
      </c>
      <c r="C1501" s="891" t="s">
        <v>544</v>
      </c>
      <c r="D1501" s="892"/>
      <c r="E1501" s="888">
        <v>176372</v>
      </c>
      <c r="F1501" s="889">
        <v>1</v>
      </c>
      <c r="G1501" s="846"/>
      <c r="H1501" s="847"/>
      <c r="I1501" s="846">
        <v>675869</v>
      </c>
      <c r="J1501" s="847">
        <v>675847</v>
      </c>
      <c r="K1501" s="846"/>
      <c r="L1501" s="847"/>
      <c r="M1501" s="846"/>
      <c r="N1501" s="846"/>
      <c r="O1501" s="737">
        <f t="shared" si="191"/>
        <v>0</v>
      </c>
      <c r="P1501" s="847"/>
      <c r="Q1501" s="847"/>
      <c r="R1501" s="738">
        <f t="shared" si="194"/>
        <v>0</v>
      </c>
      <c r="S1501" s="737">
        <f t="shared" si="195"/>
        <v>675869</v>
      </c>
      <c r="T1501" s="739">
        <f t="shared" si="196"/>
        <v>675847</v>
      </c>
      <c r="U1501" s="846"/>
      <c r="V1501" s="847"/>
      <c r="W1501" s="846"/>
      <c r="X1501" s="846"/>
      <c r="Y1501" s="740">
        <f t="shared" si="192"/>
        <v>0</v>
      </c>
      <c r="Z1501" s="847"/>
      <c r="AA1501" s="847"/>
      <c r="AB1501" s="741">
        <f t="shared" si="193"/>
        <v>0</v>
      </c>
      <c r="AC1501" s="846"/>
      <c r="AD1501" s="847"/>
      <c r="AE1501" s="846"/>
      <c r="AF1501" s="846"/>
      <c r="AG1501" s="847"/>
      <c r="AH1501" s="847"/>
      <c r="AI1501" s="742">
        <f t="shared" si="197"/>
        <v>675869</v>
      </c>
      <c r="AJ1501" s="743">
        <f t="shared" si="198"/>
        <v>675847</v>
      </c>
    </row>
    <row r="1502" spans="1:36">
      <c r="A1502" s="884" t="s">
        <v>152</v>
      </c>
      <c r="B1502" s="885" t="s">
        <v>271</v>
      </c>
      <c r="C1502" s="891" t="s">
        <v>545</v>
      </c>
      <c r="D1502" s="892"/>
      <c r="E1502" s="888">
        <v>176372</v>
      </c>
      <c r="F1502" s="889">
        <v>1</v>
      </c>
      <c r="G1502" s="846"/>
      <c r="H1502" s="847"/>
      <c r="I1502" s="846">
        <v>439724</v>
      </c>
      <c r="J1502" s="847">
        <v>390551</v>
      </c>
      <c r="K1502" s="846"/>
      <c r="L1502" s="847"/>
      <c r="M1502" s="846"/>
      <c r="N1502" s="846"/>
      <c r="O1502" s="737">
        <f t="shared" si="191"/>
        <v>0</v>
      </c>
      <c r="P1502" s="847"/>
      <c r="Q1502" s="847"/>
      <c r="R1502" s="738">
        <f t="shared" si="194"/>
        <v>0</v>
      </c>
      <c r="S1502" s="737">
        <f t="shared" si="195"/>
        <v>439724</v>
      </c>
      <c r="T1502" s="739">
        <f t="shared" si="196"/>
        <v>390551</v>
      </c>
      <c r="U1502" s="846"/>
      <c r="V1502" s="847"/>
      <c r="W1502" s="846"/>
      <c r="X1502" s="846"/>
      <c r="Y1502" s="740">
        <f t="shared" si="192"/>
        <v>0</v>
      </c>
      <c r="Z1502" s="847"/>
      <c r="AA1502" s="847"/>
      <c r="AB1502" s="741">
        <f t="shared" si="193"/>
        <v>0</v>
      </c>
      <c r="AC1502" s="846"/>
      <c r="AD1502" s="847"/>
      <c r="AE1502" s="846"/>
      <c r="AF1502" s="846"/>
      <c r="AG1502" s="847"/>
      <c r="AH1502" s="847"/>
      <c r="AI1502" s="742">
        <f t="shared" si="197"/>
        <v>439724</v>
      </c>
      <c r="AJ1502" s="743">
        <f t="shared" si="198"/>
        <v>390551</v>
      </c>
    </row>
    <row r="1503" spans="1:36">
      <c r="A1503" s="884" t="s">
        <v>152</v>
      </c>
      <c r="B1503" s="885" t="s">
        <v>264</v>
      </c>
      <c r="C1503" s="886" t="s">
        <v>546</v>
      </c>
      <c r="D1503" s="887"/>
      <c r="E1503" s="888">
        <v>175856</v>
      </c>
      <c r="F1503" s="889">
        <v>2</v>
      </c>
      <c r="G1503" s="846">
        <v>47436266</v>
      </c>
      <c r="H1503" s="847">
        <v>54286775</v>
      </c>
      <c r="I1503" s="846"/>
      <c r="J1503" s="847"/>
      <c r="K1503" s="846"/>
      <c r="L1503" s="847"/>
      <c r="M1503" s="846">
        <v>55731643</v>
      </c>
      <c r="N1503" s="846"/>
      <c r="O1503" s="737">
        <f t="shared" si="191"/>
        <v>55731643</v>
      </c>
      <c r="P1503" s="895">
        <v>66630574</v>
      </c>
      <c r="Q1503" s="847"/>
      <c r="R1503" s="738">
        <f t="shared" si="194"/>
        <v>66630574</v>
      </c>
      <c r="S1503" s="737">
        <f t="shared" si="195"/>
        <v>103167909</v>
      </c>
      <c r="T1503" s="739">
        <f t="shared" si="196"/>
        <v>120917349</v>
      </c>
      <c r="U1503" s="846"/>
      <c r="V1503" s="847"/>
      <c r="W1503" s="846"/>
      <c r="X1503" s="846"/>
      <c r="Y1503" s="740">
        <f t="shared" si="192"/>
        <v>0</v>
      </c>
      <c r="Z1503" s="895"/>
      <c r="AA1503" s="847"/>
      <c r="AB1503" s="741">
        <f t="shared" si="193"/>
        <v>0</v>
      </c>
      <c r="AC1503" s="846"/>
      <c r="AD1503" s="847"/>
      <c r="AE1503" s="846"/>
      <c r="AF1503" s="846"/>
      <c r="AG1503" s="895"/>
      <c r="AH1503" s="847"/>
      <c r="AI1503" s="742">
        <f t="shared" si="197"/>
        <v>103167909</v>
      </c>
      <c r="AJ1503" s="743">
        <f t="shared" si="198"/>
        <v>120917349</v>
      </c>
    </row>
    <row r="1504" spans="1:36">
      <c r="A1504" s="884" t="s">
        <v>152</v>
      </c>
      <c r="B1504" s="885" t="s">
        <v>271</v>
      </c>
      <c r="C1504" s="893" t="s">
        <v>547</v>
      </c>
      <c r="D1504" s="892"/>
      <c r="E1504" s="888">
        <v>175856</v>
      </c>
      <c r="F1504" s="889">
        <v>2</v>
      </c>
      <c r="G1504" s="846"/>
      <c r="H1504" s="847"/>
      <c r="I1504" s="846">
        <v>520372</v>
      </c>
      <c r="J1504" s="847">
        <v>500044</v>
      </c>
      <c r="K1504" s="846"/>
      <c r="L1504" s="847"/>
      <c r="M1504" s="846"/>
      <c r="N1504" s="846"/>
      <c r="O1504" s="737">
        <f t="shared" si="191"/>
        <v>0</v>
      </c>
      <c r="P1504" s="847"/>
      <c r="Q1504" s="847"/>
      <c r="R1504" s="738">
        <f t="shared" si="194"/>
        <v>0</v>
      </c>
      <c r="S1504" s="737">
        <f t="shared" si="195"/>
        <v>520372</v>
      </c>
      <c r="T1504" s="739">
        <f t="shared" si="196"/>
        <v>500044</v>
      </c>
      <c r="U1504" s="846"/>
      <c r="V1504" s="847"/>
      <c r="W1504" s="846"/>
      <c r="X1504" s="846"/>
      <c r="Y1504" s="740">
        <f t="shared" si="192"/>
        <v>0</v>
      </c>
      <c r="Z1504" s="847"/>
      <c r="AA1504" s="847"/>
      <c r="AB1504" s="741">
        <f t="shared" si="193"/>
        <v>0</v>
      </c>
      <c r="AC1504" s="846"/>
      <c r="AD1504" s="847"/>
      <c r="AE1504" s="846"/>
      <c r="AF1504" s="846"/>
      <c r="AG1504" s="847"/>
      <c r="AH1504" s="847"/>
      <c r="AI1504" s="742">
        <f t="shared" si="197"/>
        <v>520372</v>
      </c>
      <c r="AJ1504" s="743">
        <f t="shared" si="198"/>
        <v>500044</v>
      </c>
    </row>
    <row r="1505" spans="1:36">
      <c r="A1505" s="884" t="s">
        <v>152</v>
      </c>
      <c r="B1505" s="885" t="s">
        <v>264</v>
      </c>
      <c r="C1505" s="886" t="s">
        <v>548</v>
      </c>
      <c r="D1505" s="894"/>
      <c r="E1505" s="888">
        <v>176017</v>
      </c>
      <c r="F1505" s="889">
        <v>2</v>
      </c>
      <c r="G1505" s="846">
        <v>79823071</v>
      </c>
      <c r="H1505" s="847">
        <v>87049874</v>
      </c>
      <c r="I1505" s="846"/>
      <c r="J1505" s="847"/>
      <c r="K1505" s="846"/>
      <c r="L1505" s="847"/>
      <c r="M1505" s="890">
        <v>199158864</v>
      </c>
      <c r="N1505" s="846"/>
      <c r="O1505" s="737">
        <f t="shared" si="191"/>
        <v>199158864</v>
      </c>
      <c r="P1505" s="895">
        <v>219234395</v>
      </c>
      <c r="Q1505" s="847"/>
      <c r="R1505" s="738">
        <f t="shared" si="194"/>
        <v>219234395</v>
      </c>
      <c r="S1505" s="737">
        <f t="shared" si="195"/>
        <v>278981935</v>
      </c>
      <c r="T1505" s="739">
        <f t="shared" si="196"/>
        <v>306284269</v>
      </c>
      <c r="U1505" s="846"/>
      <c r="V1505" s="847"/>
      <c r="W1505" s="846"/>
      <c r="X1505" s="846"/>
      <c r="Y1505" s="740">
        <f t="shared" si="192"/>
        <v>0</v>
      </c>
      <c r="Z1505" s="895"/>
      <c r="AA1505" s="847"/>
      <c r="AB1505" s="741">
        <f t="shared" si="193"/>
        <v>0</v>
      </c>
      <c r="AC1505" s="846"/>
      <c r="AD1505" s="847"/>
      <c r="AE1505" s="846"/>
      <c r="AF1505" s="846"/>
      <c r="AG1505" s="895"/>
      <c r="AH1505" s="847"/>
      <c r="AI1505" s="742">
        <f t="shared" si="197"/>
        <v>278981935</v>
      </c>
      <c r="AJ1505" s="743">
        <f t="shared" si="198"/>
        <v>306284269</v>
      </c>
    </row>
    <row r="1506" spans="1:36">
      <c r="A1506" s="884" t="s">
        <v>152</v>
      </c>
      <c r="B1506" s="885" t="s">
        <v>266</v>
      </c>
      <c r="C1506" s="893" t="s">
        <v>549</v>
      </c>
      <c r="D1506" s="892"/>
      <c r="E1506" s="888">
        <v>176017</v>
      </c>
      <c r="F1506" s="889">
        <v>2</v>
      </c>
      <c r="G1506" s="846"/>
      <c r="H1506" s="847"/>
      <c r="I1506" s="846"/>
      <c r="J1506" s="847"/>
      <c r="K1506" s="846"/>
      <c r="L1506" s="847"/>
      <c r="M1506" s="846"/>
      <c r="N1506" s="846"/>
      <c r="O1506" s="737">
        <f t="shared" si="191"/>
        <v>0</v>
      </c>
      <c r="P1506" s="847"/>
      <c r="Q1506" s="847"/>
      <c r="R1506" s="738">
        <f t="shared" si="194"/>
        <v>0</v>
      </c>
      <c r="S1506" s="737">
        <f t="shared" si="195"/>
        <v>0</v>
      </c>
      <c r="T1506" s="739">
        <f t="shared" si="196"/>
        <v>0</v>
      </c>
      <c r="U1506" s="846"/>
      <c r="V1506" s="847"/>
      <c r="W1506" s="846"/>
      <c r="X1506" s="846"/>
      <c r="Y1506" s="740">
        <f t="shared" si="192"/>
        <v>0</v>
      </c>
      <c r="Z1506" s="847"/>
      <c r="AA1506" s="847"/>
      <c r="AB1506" s="741">
        <f t="shared" si="193"/>
        <v>0</v>
      </c>
      <c r="AC1506" s="846"/>
      <c r="AD1506" s="847"/>
      <c r="AE1506" s="846"/>
      <c r="AF1506" s="846"/>
      <c r="AG1506" s="847"/>
      <c r="AH1506" s="847"/>
      <c r="AI1506" s="742">
        <f t="shared" si="197"/>
        <v>0</v>
      </c>
      <c r="AJ1506" s="743">
        <f t="shared" si="198"/>
        <v>0</v>
      </c>
    </row>
    <row r="1507" spans="1:36">
      <c r="A1507" s="884" t="s">
        <v>152</v>
      </c>
      <c r="B1507" s="885" t="s">
        <v>266</v>
      </c>
      <c r="C1507" s="891" t="s">
        <v>550</v>
      </c>
      <c r="D1507" s="892"/>
      <c r="E1507" s="888">
        <v>176017</v>
      </c>
      <c r="F1507" s="889">
        <v>2</v>
      </c>
      <c r="G1507" s="846"/>
      <c r="H1507" s="847"/>
      <c r="I1507" s="846">
        <v>290329</v>
      </c>
      <c r="J1507" s="847">
        <v>284131</v>
      </c>
      <c r="K1507" s="846"/>
      <c r="L1507" s="847"/>
      <c r="M1507" s="846"/>
      <c r="N1507" s="846"/>
      <c r="O1507" s="737">
        <f t="shared" si="191"/>
        <v>0</v>
      </c>
      <c r="P1507" s="847"/>
      <c r="Q1507" s="847"/>
      <c r="R1507" s="738">
        <f t="shared" si="194"/>
        <v>0</v>
      </c>
      <c r="S1507" s="737">
        <f t="shared" si="195"/>
        <v>290329</v>
      </c>
      <c r="T1507" s="739">
        <f t="shared" si="196"/>
        <v>284131</v>
      </c>
      <c r="U1507" s="846"/>
      <c r="V1507" s="847"/>
      <c r="W1507" s="846"/>
      <c r="X1507" s="846"/>
      <c r="Y1507" s="740">
        <f t="shared" si="192"/>
        <v>0</v>
      </c>
      <c r="Z1507" s="847"/>
      <c r="AA1507" s="847"/>
      <c r="AB1507" s="741">
        <f t="shared" si="193"/>
        <v>0</v>
      </c>
      <c r="AC1507" s="846"/>
      <c r="AD1507" s="847"/>
      <c r="AE1507" s="846"/>
      <c r="AF1507" s="846"/>
      <c r="AG1507" s="847"/>
      <c r="AH1507" s="847"/>
      <c r="AI1507" s="742">
        <f t="shared" si="197"/>
        <v>290329</v>
      </c>
      <c r="AJ1507" s="743">
        <f t="shared" si="198"/>
        <v>284131</v>
      </c>
    </row>
    <row r="1508" spans="1:36">
      <c r="A1508" s="884" t="s">
        <v>152</v>
      </c>
      <c r="B1508" s="885" t="s">
        <v>271</v>
      </c>
      <c r="C1508" s="893" t="s">
        <v>456</v>
      </c>
      <c r="D1508" s="892"/>
      <c r="E1508" s="888">
        <v>176017</v>
      </c>
      <c r="F1508" s="889">
        <v>2</v>
      </c>
      <c r="G1508" s="846"/>
      <c r="H1508" s="847"/>
      <c r="I1508" s="846"/>
      <c r="J1508" s="847"/>
      <c r="K1508" s="846"/>
      <c r="L1508" s="847"/>
      <c r="M1508" s="846"/>
      <c r="N1508" s="846"/>
      <c r="O1508" s="737">
        <f t="shared" si="191"/>
        <v>0</v>
      </c>
      <c r="P1508" s="847"/>
      <c r="Q1508" s="847"/>
      <c r="R1508" s="738">
        <f t="shared" si="194"/>
        <v>0</v>
      </c>
      <c r="S1508" s="737">
        <f t="shared" si="195"/>
        <v>0</v>
      </c>
      <c r="T1508" s="739">
        <f t="shared" si="196"/>
        <v>0</v>
      </c>
      <c r="U1508" s="846"/>
      <c r="V1508" s="847"/>
      <c r="W1508" s="846"/>
      <c r="X1508" s="846"/>
      <c r="Y1508" s="740">
        <f t="shared" si="192"/>
        <v>0</v>
      </c>
      <c r="Z1508" s="847"/>
      <c r="AA1508" s="847"/>
      <c r="AB1508" s="741">
        <f t="shared" si="193"/>
        <v>0</v>
      </c>
      <c r="AC1508" s="846"/>
      <c r="AD1508" s="847"/>
      <c r="AE1508" s="846"/>
      <c r="AF1508" s="846"/>
      <c r="AG1508" s="847"/>
      <c r="AH1508" s="847"/>
      <c r="AI1508" s="742">
        <f t="shared" si="197"/>
        <v>0</v>
      </c>
      <c r="AJ1508" s="743">
        <f t="shared" si="198"/>
        <v>0</v>
      </c>
    </row>
    <row r="1509" spans="1:36">
      <c r="A1509" s="884" t="s">
        <v>152</v>
      </c>
      <c r="B1509" s="885" t="s">
        <v>271</v>
      </c>
      <c r="C1509" s="891" t="s">
        <v>551</v>
      </c>
      <c r="D1509" s="892"/>
      <c r="E1509" s="888">
        <v>176017</v>
      </c>
      <c r="F1509" s="889">
        <v>2</v>
      </c>
      <c r="G1509" s="846"/>
      <c r="H1509" s="847"/>
      <c r="I1509" s="846">
        <v>3291936</v>
      </c>
      <c r="J1509" s="847">
        <v>3291779</v>
      </c>
      <c r="K1509" s="846"/>
      <c r="L1509" s="847"/>
      <c r="M1509" s="846"/>
      <c r="N1509" s="846"/>
      <c r="O1509" s="737">
        <f t="shared" si="191"/>
        <v>0</v>
      </c>
      <c r="P1509" s="847"/>
      <c r="Q1509" s="847"/>
      <c r="R1509" s="738">
        <f t="shared" si="194"/>
        <v>0</v>
      </c>
      <c r="S1509" s="737">
        <f t="shared" si="195"/>
        <v>3291936</v>
      </c>
      <c r="T1509" s="739">
        <f t="shared" si="196"/>
        <v>3291779</v>
      </c>
      <c r="U1509" s="846"/>
      <c r="V1509" s="847"/>
      <c r="W1509" s="846"/>
      <c r="X1509" s="846"/>
      <c r="Y1509" s="740">
        <f t="shared" si="192"/>
        <v>0</v>
      </c>
      <c r="Z1509" s="847"/>
      <c r="AA1509" s="847"/>
      <c r="AB1509" s="741">
        <f t="shared" si="193"/>
        <v>0</v>
      </c>
      <c r="AC1509" s="846"/>
      <c r="AD1509" s="847"/>
      <c r="AE1509" s="846"/>
      <c r="AF1509" s="846"/>
      <c r="AG1509" s="847"/>
      <c r="AH1509" s="847"/>
      <c r="AI1509" s="742">
        <f t="shared" si="197"/>
        <v>3291936</v>
      </c>
      <c r="AJ1509" s="743">
        <f t="shared" si="198"/>
        <v>3291779</v>
      </c>
    </row>
    <row r="1510" spans="1:36">
      <c r="A1510" s="884" t="s">
        <v>152</v>
      </c>
      <c r="B1510" s="885" t="s">
        <v>271</v>
      </c>
      <c r="C1510" s="891" t="s">
        <v>552</v>
      </c>
      <c r="D1510" s="892"/>
      <c r="E1510" s="888">
        <v>176017</v>
      </c>
      <c r="F1510" s="889">
        <v>2</v>
      </c>
      <c r="G1510" s="846"/>
      <c r="H1510" s="847"/>
      <c r="I1510" s="846">
        <v>823015</v>
      </c>
      <c r="J1510" s="847">
        <v>783851</v>
      </c>
      <c r="K1510" s="846"/>
      <c r="L1510" s="847"/>
      <c r="M1510" s="846"/>
      <c r="N1510" s="846"/>
      <c r="O1510" s="737">
        <f t="shared" si="191"/>
        <v>0</v>
      </c>
      <c r="P1510" s="847"/>
      <c r="Q1510" s="847"/>
      <c r="R1510" s="738">
        <f t="shared" si="194"/>
        <v>0</v>
      </c>
      <c r="S1510" s="737">
        <f t="shared" si="195"/>
        <v>823015</v>
      </c>
      <c r="T1510" s="739">
        <f t="shared" si="196"/>
        <v>783851</v>
      </c>
      <c r="U1510" s="846"/>
      <c r="V1510" s="847"/>
      <c r="W1510" s="846"/>
      <c r="X1510" s="846"/>
      <c r="Y1510" s="740">
        <f t="shared" si="192"/>
        <v>0</v>
      </c>
      <c r="Z1510" s="847"/>
      <c r="AA1510" s="847"/>
      <c r="AB1510" s="741">
        <f t="shared" si="193"/>
        <v>0</v>
      </c>
      <c r="AC1510" s="846"/>
      <c r="AD1510" s="847"/>
      <c r="AE1510" s="846"/>
      <c r="AF1510" s="846"/>
      <c r="AG1510" s="847"/>
      <c r="AH1510" s="847"/>
      <c r="AI1510" s="742">
        <f t="shared" si="197"/>
        <v>823015</v>
      </c>
      <c r="AJ1510" s="743">
        <f t="shared" si="198"/>
        <v>783851</v>
      </c>
    </row>
    <row r="1511" spans="1:36">
      <c r="A1511" s="884" t="s">
        <v>152</v>
      </c>
      <c r="B1511" s="885" t="s">
        <v>271</v>
      </c>
      <c r="C1511" s="891" t="s">
        <v>553</v>
      </c>
      <c r="D1511" s="892"/>
      <c r="E1511" s="888">
        <v>176017</v>
      </c>
      <c r="F1511" s="889">
        <v>2</v>
      </c>
      <c r="G1511" s="846"/>
      <c r="H1511" s="847"/>
      <c r="I1511" s="846">
        <v>413650</v>
      </c>
      <c r="J1511" s="847">
        <v>377763</v>
      </c>
      <c r="K1511" s="846"/>
      <c r="L1511" s="847"/>
      <c r="M1511" s="846"/>
      <c r="N1511" s="846"/>
      <c r="O1511" s="737">
        <f t="shared" si="191"/>
        <v>0</v>
      </c>
      <c r="P1511" s="847"/>
      <c r="Q1511" s="847"/>
      <c r="R1511" s="738">
        <f t="shared" si="194"/>
        <v>0</v>
      </c>
      <c r="S1511" s="737">
        <f t="shared" si="195"/>
        <v>413650</v>
      </c>
      <c r="T1511" s="739">
        <f t="shared" si="196"/>
        <v>377763</v>
      </c>
      <c r="U1511" s="846"/>
      <c r="V1511" s="847"/>
      <c r="W1511" s="846"/>
      <c r="X1511" s="846"/>
      <c r="Y1511" s="740">
        <f t="shared" si="192"/>
        <v>0</v>
      </c>
      <c r="Z1511" s="847"/>
      <c r="AA1511" s="847"/>
      <c r="AB1511" s="741">
        <f t="shared" si="193"/>
        <v>0</v>
      </c>
      <c r="AC1511" s="846"/>
      <c r="AD1511" s="847"/>
      <c r="AE1511" s="846"/>
      <c r="AF1511" s="846"/>
      <c r="AG1511" s="847"/>
      <c r="AH1511" s="847"/>
      <c r="AI1511" s="742">
        <f t="shared" si="197"/>
        <v>413650</v>
      </c>
      <c r="AJ1511" s="743">
        <f t="shared" si="198"/>
        <v>377763</v>
      </c>
    </row>
    <row r="1512" spans="1:36">
      <c r="A1512" s="884" t="s">
        <v>152</v>
      </c>
      <c r="B1512" s="885" t="s">
        <v>271</v>
      </c>
      <c r="C1512" s="891" t="s">
        <v>554</v>
      </c>
      <c r="D1512" s="892"/>
      <c r="E1512" s="888">
        <v>176017</v>
      </c>
      <c r="F1512" s="889">
        <v>2</v>
      </c>
      <c r="G1512" s="846"/>
      <c r="H1512" s="847"/>
      <c r="I1512" s="846">
        <v>695804</v>
      </c>
      <c r="J1512" s="847">
        <v>695804</v>
      </c>
      <c r="K1512" s="846"/>
      <c r="L1512" s="847"/>
      <c r="M1512" s="846"/>
      <c r="N1512" s="846"/>
      <c r="O1512" s="737">
        <f t="shared" si="191"/>
        <v>0</v>
      </c>
      <c r="P1512" s="847"/>
      <c r="Q1512" s="847"/>
      <c r="R1512" s="738">
        <f t="shared" si="194"/>
        <v>0</v>
      </c>
      <c r="S1512" s="737">
        <f t="shared" si="195"/>
        <v>695804</v>
      </c>
      <c r="T1512" s="739">
        <f t="shared" si="196"/>
        <v>695804</v>
      </c>
      <c r="U1512" s="846"/>
      <c r="V1512" s="847"/>
      <c r="W1512" s="846"/>
      <c r="X1512" s="846"/>
      <c r="Y1512" s="740">
        <f t="shared" si="192"/>
        <v>0</v>
      </c>
      <c r="Z1512" s="847"/>
      <c r="AA1512" s="847"/>
      <c r="AB1512" s="741">
        <f t="shared" si="193"/>
        <v>0</v>
      </c>
      <c r="AC1512" s="846"/>
      <c r="AD1512" s="847"/>
      <c r="AE1512" s="846"/>
      <c r="AF1512" s="846"/>
      <c r="AG1512" s="847"/>
      <c r="AH1512" s="847"/>
      <c r="AI1512" s="742">
        <f t="shared" si="197"/>
        <v>695804</v>
      </c>
      <c r="AJ1512" s="743">
        <f t="shared" si="198"/>
        <v>695804</v>
      </c>
    </row>
    <row r="1513" spans="1:36">
      <c r="A1513" s="884" t="s">
        <v>152</v>
      </c>
      <c r="B1513" s="885" t="s">
        <v>271</v>
      </c>
      <c r="C1513" s="891" t="s">
        <v>555</v>
      </c>
      <c r="D1513" s="892"/>
      <c r="E1513" s="888">
        <v>176017</v>
      </c>
      <c r="F1513" s="889">
        <v>2</v>
      </c>
      <c r="G1513" s="846"/>
      <c r="H1513" s="847"/>
      <c r="I1513" s="846">
        <v>1310311</v>
      </c>
      <c r="J1513" s="847">
        <v>1910311</v>
      </c>
      <c r="K1513" s="846"/>
      <c r="L1513" s="847"/>
      <c r="M1513" s="846"/>
      <c r="N1513" s="846"/>
      <c r="O1513" s="737">
        <f t="shared" si="191"/>
        <v>0</v>
      </c>
      <c r="P1513" s="847"/>
      <c r="Q1513" s="847"/>
      <c r="R1513" s="738">
        <f t="shared" si="194"/>
        <v>0</v>
      </c>
      <c r="S1513" s="737">
        <f t="shared" si="195"/>
        <v>1310311</v>
      </c>
      <c r="T1513" s="739">
        <f t="shared" si="196"/>
        <v>1910311</v>
      </c>
      <c r="U1513" s="846"/>
      <c r="V1513" s="847"/>
      <c r="W1513" s="846"/>
      <c r="X1513" s="846"/>
      <c r="Y1513" s="740">
        <f t="shared" si="192"/>
        <v>0</v>
      </c>
      <c r="Z1513" s="847"/>
      <c r="AA1513" s="847"/>
      <c r="AB1513" s="741">
        <f t="shared" si="193"/>
        <v>0</v>
      </c>
      <c r="AC1513" s="846"/>
      <c r="AD1513" s="847"/>
      <c r="AE1513" s="846"/>
      <c r="AF1513" s="846"/>
      <c r="AG1513" s="847"/>
      <c r="AH1513" s="847"/>
      <c r="AI1513" s="742">
        <f t="shared" si="197"/>
        <v>1310311</v>
      </c>
      <c r="AJ1513" s="743">
        <f t="shared" si="198"/>
        <v>1910311</v>
      </c>
    </row>
    <row r="1514" spans="1:36">
      <c r="A1514" s="884" t="s">
        <v>152</v>
      </c>
      <c r="B1514" s="885" t="s">
        <v>264</v>
      </c>
      <c r="C1514" s="885" t="s">
        <v>556</v>
      </c>
      <c r="D1514" s="892"/>
      <c r="E1514" s="888">
        <v>175342</v>
      </c>
      <c r="F1514" s="889">
        <v>4</v>
      </c>
      <c r="G1514" s="846">
        <v>23301476</v>
      </c>
      <c r="H1514" s="847">
        <v>24040629</v>
      </c>
      <c r="I1514" s="846"/>
      <c r="J1514" s="847"/>
      <c r="K1514" s="846"/>
      <c r="L1514" s="847"/>
      <c r="M1514" s="846">
        <v>27863638</v>
      </c>
      <c r="N1514" s="846"/>
      <c r="O1514" s="737">
        <f t="shared" si="191"/>
        <v>27863638</v>
      </c>
      <c r="P1514" s="895">
        <v>26779582</v>
      </c>
      <c r="Q1514" s="847"/>
      <c r="R1514" s="738">
        <f t="shared" si="194"/>
        <v>26779582</v>
      </c>
      <c r="S1514" s="737">
        <f t="shared" si="195"/>
        <v>51165114</v>
      </c>
      <c r="T1514" s="739">
        <f t="shared" si="196"/>
        <v>50820211</v>
      </c>
      <c r="U1514" s="846"/>
      <c r="V1514" s="847"/>
      <c r="W1514" s="846"/>
      <c r="X1514" s="846"/>
      <c r="Y1514" s="740">
        <f t="shared" si="192"/>
        <v>0</v>
      </c>
      <c r="Z1514" s="895"/>
      <c r="AA1514" s="847"/>
      <c r="AB1514" s="741">
        <f t="shared" si="193"/>
        <v>0</v>
      </c>
      <c r="AC1514" s="846"/>
      <c r="AD1514" s="847"/>
      <c r="AE1514" s="846"/>
      <c r="AF1514" s="846"/>
      <c r="AG1514" s="895"/>
      <c r="AH1514" s="847"/>
      <c r="AI1514" s="742">
        <f t="shared" si="197"/>
        <v>51165114</v>
      </c>
      <c r="AJ1514" s="743">
        <f t="shared" si="198"/>
        <v>50820211</v>
      </c>
    </row>
    <row r="1515" spans="1:36">
      <c r="A1515" s="884" t="s">
        <v>152</v>
      </c>
      <c r="B1515" s="885" t="s">
        <v>268</v>
      </c>
      <c r="C1515" s="891" t="s">
        <v>557</v>
      </c>
      <c r="D1515" s="892"/>
      <c r="E1515" s="888">
        <v>175342</v>
      </c>
      <c r="F1515" s="889">
        <v>4</v>
      </c>
      <c r="G1515" s="846"/>
      <c r="H1515" s="847"/>
      <c r="I1515" s="846">
        <v>5819110</v>
      </c>
      <c r="J1515" s="847">
        <v>6110066</v>
      </c>
      <c r="K1515" s="846"/>
      <c r="L1515" s="847"/>
      <c r="M1515" s="846"/>
      <c r="N1515" s="846"/>
      <c r="O1515" s="737">
        <f t="shared" si="191"/>
        <v>0</v>
      </c>
      <c r="P1515" s="847"/>
      <c r="Q1515" s="847"/>
      <c r="R1515" s="738">
        <f t="shared" si="194"/>
        <v>0</v>
      </c>
      <c r="S1515" s="737">
        <f t="shared" si="195"/>
        <v>5819110</v>
      </c>
      <c r="T1515" s="739">
        <f t="shared" si="196"/>
        <v>6110066</v>
      </c>
      <c r="U1515" s="846"/>
      <c r="V1515" s="847"/>
      <c r="W1515" s="846"/>
      <c r="X1515" s="846"/>
      <c r="Y1515" s="740">
        <f t="shared" si="192"/>
        <v>0</v>
      </c>
      <c r="Z1515" s="847"/>
      <c r="AA1515" s="847"/>
      <c r="AB1515" s="741">
        <f t="shared" si="193"/>
        <v>0</v>
      </c>
      <c r="AC1515" s="846"/>
      <c r="AD1515" s="847"/>
      <c r="AE1515" s="846"/>
      <c r="AF1515" s="846"/>
      <c r="AG1515" s="847"/>
      <c r="AH1515" s="847"/>
      <c r="AI1515" s="742">
        <f t="shared" si="197"/>
        <v>5819110</v>
      </c>
      <c r="AJ1515" s="743">
        <f t="shared" si="198"/>
        <v>6110066</v>
      </c>
    </row>
    <row r="1516" spans="1:36">
      <c r="A1516" s="884" t="s">
        <v>152</v>
      </c>
      <c r="B1516" s="885" t="s">
        <v>264</v>
      </c>
      <c r="C1516" s="886" t="s">
        <v>558</v>
      </c>
      <c r="D1516" s="887"/>
      <c r="E1516" s="888">
        <v>175616</v>
      </c>
      <c r="F1516" s="889">
        <v>4</v>
      </c>
      <c r="G1516" s="846">
        <v>22015820</v>
      </c>
      <c r="H1516" s="847">
        <v>22596413</v>
      </c>
      <c r="I1516" s="846"/>
      <c r="J1516" s="847"/>
      <c r="K1516" s="846"/>
      <c r="L1516" s="847"/>
      <c r="M1516" s="846">
        <v>19311647</v>
      </c>
      <c r="N1516" s="846"/>
      <c r="O1516" s="737">
        <f t="shared" si="191"/>
        <v>19311647</v>
      </c>
      <c r="P1516" s="895">
        <v>19794250</v>
      </c>
      <c r="Q1516" s="847"/>
      <c r="R1516" s="738">
        <f t="shared" si="194"/>
        <v>19794250</v>
      </c>
      <c r="S1516" s="737">
        <f t="shared" si="195"/>
        <v>41327467</v>
      </c>
      <c r="T1516" s="739">
        <f t="shared" si="196"/>
        <v>42390663</v>
      </c>
      <c r="U1516" s="846"/>
      <c r="V1516" s="847"/>
      <c r="W1516" s="846"/>
      <c r="X1516" s="846"/>
      <c r="Y1516" s="740">
        <f t="shared" si="192"/>
        <v>0</v>
      </c>
      <c r="Z1516" s="895"/>
      <c r="AA1516" s="847"/>
      <c r="AB1516" s="741">
        <f t="shared" si="193"/>
        <v>0</v>
      </c>
      <c r="AC1516" s="846"/>
      <c r="AD1516" s="847"/>
      <c r="AE1516" s="846"/>
      <c r="AF1516" s="846"/>
      <c r="AG1516" s="895"/>
      <c r="AH1516" s="847"/>
      <c r="AI1516" s="742">
        <f t="shared" si="197"/>
        <v>41327467</v>
      </c>
      <c r="AJ1516" s="743">
        <f t="shared" si="198"/>
        <v>42390663</v>
      </c>
    </row>
    <row r="1517" spans="1:36">
      <c r="A1517" s="884" t="s">
        <v>152</v>
      </c>
      <c r="B1517" s="885" t="s">
        <v>264</v>
      </c>
      <c r="C1517" s="896" t="s">
        <v>559</v>
      </c>
      <c r="D1517" s="894"/>
      <c r="E1517" s="897">
        <v>176044</v>
      </c>
      <c r="F1517" s="898">
        <v>4</v>
      </c>
      <c r="G1517" s="846">
        <v>18711545</v>
      </c>
      <c r="H1517" s="847">
        <v>17983533</v>
      </c>
      <c r="I1517" s="846"/>
      <c r="J1517" s="847"/>
      <c r="K1517" s="846"/>
      <c r="L1517" s="847"/>
      <c r="M1517" s="846">
        <v>13611549</v>
      </c>
      <c r="N1517" s="846"/>
      <c r="O1517" s="737">
        <f t="shared" si="191"/>
        <v>13611549</v>
      </c>
      <c r="P1517" s="895">
        <v>13403600</v>
      </c>
      <c r="Q1517" s="847"/>
      <c r="R1517" s="738">
        <f t="shared" si="194"/>
        <v>13403600</v>
      </c>
      <c r="S1517" s="737">
        <f t="shared" si="195"/>
        <v>32323094</v>
      </c>
      <c r="T1517" s="739">
        <f t="shared" si="196"/>
        <v>31387133</v>
      </c>
      <c r="U1517" s="846"/>
      <c r="V1517" s="847"/>
      <c r="W1517" s="846"/>
      <c r="X1517" s="846"/>
      <c r="Y1517" s="740">
        <f t="shared" si="192"/>
        <v>0</v>
      </c>
      <c r="Z1517" s="895"/>
      <c r="AA1517" s="847"/>
      <c r="AB1517" s="741">
        <f t="shared" si="193"/>
        <v>0</v>
      </c>
      <c r="AC1517" s="846"/>
      <c r="AD1517" s="847"/>
      <c r="AE1517" s="846"/>
      <c r="AF1517" s="846"/>
      <c r="AG1517" s="895"/>
      <c r="AH1517" s="847"/>
      <c r="AI1517" s="742">
        <f t="shared" si="197"/>
        <v>32323094</v>
      </c>
      <c r="AJ1517" s="743">
        <f t="shared" si="198"/>
        <v>31387133</v>
      </c>
    </row>
    <row r="1518" spans="1:36">
      <c r="A1518" s="884" t="s">
        <v>152</v>
      </c>
      <c r="B1518" s="885" t="s">
        <v>264</v>
      </c>
      <c r="C1518" s="886" t="s">
        <v>560</v>
      </c>
      <c r="D1518" s="887"/>
      <c r="E1518" s="888">
        <v>176035</v>
      </c>
      <c r="F1518" s="889">
        <v>5</v>
      </c>
      <c r="G1518" s="890">
        <v>15349173</v>
      </c>
      <c r="H1518" s="847">
        <v>17159512</v>
      </c>
      <c r="I1518" s="846"/>
      <c r="J1518" s="847"/>
      <c r="K1518" s="846"/>
      <c r="L1518" s="847"/>
      <c r="M1518" s="846">
        <v>18278223</v>
      </c>
      <c r="N1518" s="846"/>
      <c r="O1518" s="737">
        <f t="shared" si="191"/>
        <v>18278223</v>
      </c>
      <c r="P1518" s="895">
        <v>18019223</v>
      </c>
      <c r="Q1518" s="847"/>
      <c r="R1518" s="738">
        <f t="shared" si="194"/>
        <v>18019223</v>
      </c>
      <c r="S1518" s="737">
        <f t="shared" si="195"/>
        <v>33627396</v>
      </c>
      <c r="T1518" s="739">
        <f t="shared" si="196"/>
        <v>35178735</v>
      </c>
      <c r="U1518" s="846"/>
      <c r="V1518" s="847"/>
      <c r="W1518" s="846"/>
      <c r="X1518" s="846"/>
      <c r="Y1518" s="740">
        <f t="shared" si="192"/>
        <v>0</v>
      </c>
      <c r="Z1518" s="895"/>
      <c r="AA1518" s="847"/>
      <c r="AB1518" s="741">
        <f t="shared" si="193"/>
        <v>0</v>
      </c>
      <c r="AC1518" s="846"/>
      <c r="AD1518" s="847"/>
      <c r="AE1518" s="846"/>
      <c r="AF1518" s="846"/>
      <c r="AG1518" s="895"/>
      <c r="AH1518" s="847"/>
      <c r="AI1518" s="742">
        <f t="shared" si="197"/>
        <v>33627396</v>
      </c>
      <c r="AJ1518" s="743">
        <f t="shared" si="198"/>
        <v>35178735</v>
      </c>
    </row>
    <row r="1519" spans="1:36">
      <c r="A1519" s="884" t="s">
        <v>152</v>
      </c>
      <c r="B1519" s="885" t="s">
        <v>301</v>
      </c>
      <c r="C1519" s="886" t="s">
        <v>561</v>
      </c>
      <c r="D1519" s="887"/>
      <c r="E1519" s="888">
        <v>176026</v>
      </c>
      <c r="F1519" s="889">
        <v>15</v>
      </c>
      <c r="G1519" s="846"/>
      <c r="H1519" s="847"/>
      <c r="I1519" s="846"/>
      <c r="J1519" s="847"/>
      <c r="K1519" s="846"/>
      <c r="L1519" s="847"/>
      <c r="M1519" s="846"/>
      <c r="N1519" s="846"/>
      <c r="O1519" s="737">
        <f t="shared" si="191"/>
        <v>0</v>
      </c>
      <c r="P1519" s="847"/>
      <c r="Q1519" s="847"/>
      <c r="R1519" s="738">
        <f t="shared" si="194"/>
        <v>0</v>
      </c>
      <c r="S1519" s="737">
        <f t="shared" si="195"/>
        <v>0</v>
      </c>
      <c r="T1519" s="739">
        <f t="shared" si="196"/>
        <v>0</v>
      </c>
      <c r="U1519" s="846"/>
      <c r="V1519" s="847"/>
      <c r="W1519" s="846"/>
      <c r="X1519" s="846"/>
      <c r="Y1519" s="740">
        <f t="shared" si="192"/>
        <v>0</v>
      </c>
      <c r="Z1519" s="847"/>
      <c r="AA1519" s="847"/>
      <c r="AB1519" s="741">
        <f t="shared" si="193"/>
        <v>0</v>
      </c>
      <c r="AC1519" s="846">
        <v>185718612</v>
      </c>
      <c r="AD1519" s="847">
        <v>187918612</v>
      </c>
      <c r="AE1519" s="846">
        <v>27320057</v>
      </c>
      <c r="AF1519" s="846"/>
      <c r="AG1519" s="847">
        <v>28181171</v>
      </c>
      <c r="AH1519" s="847"/>
      <c r="AI1519" s="742">
        <f t="shared" si="197"/>
        <v>213038669</v>
      </c>
      <c r="AJ1519" s="743">
        <f t="shared" si="198"/>
        <v>216099783</v>
      </c>
    </row>
    <row r="1520" spans="1:36">
      <c r="A1520" s="884" t="s">
        <v>152</v>
      </c>
      <c r="B1520" s="885" t="s">
        <v>273</v>
      </c>
      <c r="C1520" s="899" t="s">
        <v>493</v>
      </c>
      <c r="D1520" s="887"/>
      <c r="E1520" s="888"/>
      <c r="F1520" s="889"/>
      <c r="G1520" s="846"/>
      <c r="H1520" s="847"/>
      <c r="I1520" s="846"/>
      <c r="J1520" s="847"/>
      <c r="K1520" s="846"/>
      <c r="L1520" s="847"/>
      <c r="M1520" s="846"/>
      <c r="N1520" s="846"/>
      <c r="O1520" s="737">
        <f t="shared" si="191"/>
        <v>0</v>
      </c>
      <c r="P1520" s="847"/>
      <c r="Q1520" s="847"/>
      <c r="R1520" s="738">
        <f t="shared" si="194"/>
        <v>0</v>
      </c>
      <c r="S1520" s="737">
        <f t="shared" si="195"/>
        <v>0</v>
      </c>
      <c r="T1520" s="739">
        <f t="shared" si="196"/>
        <v>0</v>
      </c>
      <c r="U1520" s="846"/>
      <c r="V1520" s="847"/>
      <c r="W1520" s="846"/>
      <c r="X1520" s="846"/>
      <c r="Y1520" s="740">
        <f t="shared" si="192"/>
        <v>0</v>
      </c>
      <c r="Z1520" s="847"/>
      <c r="AA1520" s="847"/>
      <c r="AB1520" s="741">
        <f t="shared" si="193"/>
        <v>0</v>
      </c>
      <c r="AC1520" s="846"/>
      <c r="AD1520" s="847"/>
      <c r="AE1520" s="846"/>
      <c r="AF1520" s="846"/>
      <c r="AG1520" s="847"/>
      <c r="AH1520" s="847"/>
      <c r="AI1520" s="742">
        <f t="shared" si="197"/>
        <v>0</v>
      </c>
      <c r="AJ1520" s="743">
        <f t="shared" si="198"/>
        <v>0</v>
      </c>
    </row>
    <row r="1521" spans="1:36">
      <c r="A1521" s="884" t="s">
        <v>152</v>
      </c>
      <c r="B1521" s="885" t="s">
        <v>274</v>
      </c>
      <c r="C1521" s="893" t="s">
        <v>319</v>
      </c>
      <c r="D1521" s="892"/>
      <c r="E1521" s="888"/>
      <c r="F1521" s="889"/>
      <c r="G1521" s="846"/>
      <c r="H1521" s="847"/>
      <c r="I1521" s="846"/>
      <c r="J1521" s="847"/>
      <c r="K1521" s="846"/>
      <c r="L1521" s="847"/>
      <c r="M1521" s="846"/>
      <c r="N1521" s="846"/>
      <c r="O1521" s="737">
        <f t="shared" si="191"/>
        <v>0</v>
      </c>
      <c r="P1521" s="847"/>
      <c r="Q1521" s="847"/>
      <c r="R1521" s="738">
        <f t="shared" si="194"/>
        <v>0</v>
      </c>
      <c r="S1521" s="737">
        <f t="shared" si="195"/>
        <v>0</v>
      </c>
      <c r="T1521" s="739">
        <f t="shared" si="196"/>
        <v>0</v>
      </c>
      <c r="U1521" s="846"/>
      <c r="V1521" s="847"/>
      <c r="W1521" s="846"/>
      <c r="X1521" s="846"/>
      <c r="Y1521" s="740">
        <f t="shared" si="192"/>
        <v>0</v>
      </c>
      <c r="Z1521" s="847"/>
      <c r="AA1521" s="847"/>
      <c r="AB1521" s="741">
        <f t="shared" si="193"/>
        <v>0</v>
      </c>
      <c r="AC1521" s="846"/>
      <c r="AD1521" s="847"/>
      <c r="AE1521" s="846"/>
      <c r="AF1521" s="846"/>
      <c r="AG1521" s="847"/>
      <c r="AH1521" s="847"/>
      <c r="AI1521" s="742">
        <f t="shared" si="197"/>
        <v>0</v>
      </c>
      <c r="AJ1521" s="743">
        <f t="shared" si="198"/>
        <v>0</v>
      </c>
    </row>
    <row r="1522" spans="1:36">
      <c r="A1522" s="884" t="s">
        <v>152</v>
      </c>
      <c r="B1522" s="885" t="s">
        <v>274</v>
      </c>
      <c r="C1522" s="891" t="s">
        <v>562</v>
      </c>
      <c r="D1522" s="892"/>
      <c r="E1522" s="888"/>
      <c r="F1522" s="889"/>
      <c r="G1522" s="846"/>
      <c r="H1522" s="847"/>
      <c r="I1522" s="846"/>
      <c r="J1522" s="847"/>
      <c r="K1522" s="846"/>
      <c r="L1522" s="847"/>
      <c r="M1522" s="846"/>
      <c r="N1522" s="846"/>
      <c r="O1522" s="737">
        <f t="shared" si="191"/>
        <v>0</v>
      </c>
      <c r="P1522" s="847"/>
      <c r="Q1522" s="847"/>
      <c r="R1522" s="738">
        <f t="shared" si="194"/>
        <v>0</v>
      </c>
      <c r="S1522" s="737">
        <f t="shared" si="195"/>
        <v>0</v>
      </c>
      <c r="T1522" s="739">
        <f t="shared" si="196"/>
        <v>0</v>
      </c>
      <c r="U1522" s="890">
        <v>571619</v>
      </c>
      <c r="V1522" s="847">
        <v>579619</v>
      </c>
      <c r="W1522" s="846"/>
      <c r="X1522" s="846"/>
      <c r="Y1522" s="740">
        <f t="shared" si="192"/>
        <v>0</v>
      </c>
      <c r="Z1522" s="847"/>
      <c r="AA1522" s="847"/>
      <c r="AB1522" s="741">
        <f t="shared" si="193"/>
        <v>0</v>
      </c>
      <c r="AC1522" s="846"/>
      <c r="AD1522" s="847"/>
      <c r="AE1522" s="846"/>
      <c r="AF1522" s="846"/>
      <c r="AG1522" s="847"/>
      <c r="AH1522" s="847"/>
      <c r="AI1522" s="742">
        <f t="shared" si="197"/>
        <v>571619</v>
      </c>
      <c r="AJ1522" s="743">
        <f t="shared" si="198"/>
        <v>579619</v>
      </c>
    </row>
    <row r="1523" spans="1:36">
      <c r="A1523" s="884" t="s">
        <v>152</v>
      </c>
      <c r="B1523" s="885" t="s">
        <v>303</v>
      </c>
      <c r="C1523" s="899" t="s">
        <v>563</v>
      </c>
      <c r="D1523" s="887"/>
      <c r="E1523" s="888"/>
      <c r="F1523" s="889"/>
      <c r="G1523" s="846"/>
      <c r="H1523" s="847"/>
      <c r="I1523" s="846"/>
      <c r="J1523" s="847"/>
      <c r="K1523" s="846"/>
      <c r="L1523" s="847"/>
      <c r="M1523" s="846"/>
      <c r="N1523" s="846"/>
      <c r="O1523" s="737">
        <f t="shared" si="191"/>
        <v>0</v>
      </c>
      <c r="P1523" s="847"/>
      <c r="Q1523" s="847"/>
      <c r="R1523" s="738">
        <f t="shared" si="194"/>
        <v>0</v>
      </c>
      <c r="S1523" s="737">
        <f t="shared" si="195"/>
        <v>0</v>
      </c>
      <c r="T1523" s="739">
        <f t="shared" si="196"/>
        <v>0</v>
      </c>
      <c r="U1523" s="846"/>
      <c r="V1523" s="847"/>
      <c r="W1523" s="846"/>
      <c r="X1523" s="846"/>
      <c r="Y1523" s="740">
        <f t="shared" si="192"/>
        <v>0</v>
      </c>
      <c r="Z1523" s="847"/>
      <c r="AA1523" s="847"/>
      <c r="AB1523" s="741">
        <f t="shared" si="193"/>
        <v>0</v>
      </c>
      <c r="AC1523" s="846"/>
      <c r="AD1523" s="847"/>
      <c r="AE1523" s="846"/>
      <c r="AF1523" s="846"/>
      <c r="AG1523" s="847"/>
      <c r="AH1523" s="847"/>
      <c r="AI1523" s="742">
        <f t="shared" si="197"/>
        <v>0</v>
      </c>
      <c r="AJ1523" s="743">
        <f t="shared" si="198"/>
        <v>0</v>
      </c>
    </row>
    <row r="1524" spans="1:36">
      <c r="A1524" s="884" t="s">
        <v>152</v>
      </c>
      <c r="B1524" s="885" t="s">
        <v>303</v>
      </c>
      <c r="C1524" s="891" t="s">
        <v>564</v>
      </c>
      <c r="D1524" s="892"/>
      <c r="E1524" s="888"/>
      <c r="F1524" s="889"/>
      <c r="G1524" s="846"/>
      <c r="H1524" s="847"/>
      <c r="I1524" s="846">
        <v>5750000</v>
      </c>
      <c r="J1524" s="847">
        <v>5750000</v>
      </c>
      <c r="K1524" s="846"/>
      <c r="L1524" s="847"/>
      <c r="M1524" s="846"/>
      <c r="N1524" s="846"/>
      <c r="O1524" s="737">
        <f t="shared" si="191"/>
        <v>0</v>
      </c>
      <c r="P1524" s="847"/>
      <c r="Q1524" s="847"/>
      <c r="R1524" s="738">
        <f t="shared" si="194"/>
        <v>0</v>
      </c>
      <c r="S1524" s="737">
        <f t="shared" si="195"/>
        <v>5750000</v>
      </c>
      <c r="T1524" s="739">
        <f t="shared" si="196"/>
        <v>5750000</v>
      </c>
      <c r="U1524" s="846"/>
      <c r="V1524" s="847"/>
      <c r="W1524" s="846"/>
      <c r="X1524" s="846"/>
      <c r="Y1524" s="740">
        <f t="shared" si="192"/>
        <v>0</v>
      </c>
      <c r="Z1524" s="847"/>
      <c r="AA1524" s="847"/>
      <c r="AB1524" s="741">
        <f t="shared" si="193"/>
        <v>0</v>
      </c>
      <c r="AC1524" s="846"/>
      <c r="AD1524" s="847"/>
      <c r="AE1524" s="846"/>
      <c r="AF1524" s="846"/>
      <c r="AG1524" s="847"/>
      <c r="AH1524" s="847"/>
      <c r="AI1524" s="742">
        <f t="shared" si="197"/>
        <v>5750000</v>
      </c>
      <c r="AJ1524" s="743">
        <f t="shared" si="198"/>
        <v>5750000</v>
      </c>
    </row>
    <row r="1525" spans="1:36">
      <c r="A1525" s="884" t="s">
        <v>152</v>
      </c>
      <c r="B1525" s="885" t="s">
        <v>281</v>
      </c>
      <c r="C1525" s="899" t="s">
        <v>109</v>
      </c>
      <c r="D1525" s="887"/>
      <c r="E1525" s="888"/>
      <c r="F1525" s="889"/>
      <c r="G1525" s="846"/>
      <c r="H1525" s="847"/>
      <c r="I1525" s="846"/>
      <c r="J1525" s="847"/>
      <c r="K1525" s="846"/>
      <c r="L1525" s="847"/>
      <c r="M1525" s="846"/>
      <c r="N1525" s="846"/>
      <c r="O1525" s="737">
        <f t="shared" si="191"/>
        <v>0</v>
      </c>
      <c r="P1525" s="847"/>
      <c r="Q1525" s="847"/>
      <c r="R1525" s="738">
        <f t="shared" si="194"/>
        <v>0</v>
      </c>
      <c r="S1525" s="737">
        <f t="shared" si="195"/>
        <v>0</v>
      </c>
      <c r="T1525" s="739">
        <f t="shared" si="196"/>
        <v>0</v>
      </c>
      <c r="U1525" s="846"/>
      <c r="V1525" s="847"/>
      <c r="W1525" s="846"/>
      <c r="X1525" s="846"/>
      <c r="Y1525" s="740">
        <f t="shared" si="192"/>
        <v>0</v>
      </c>
      <c r="Z1525" s="847"/>
      <c r="AA1525" s="847"/>
      <c r="AB1525" s="741">
        <f t="shared" si="193"/>
        <v>0</v>
      </c>
      <c r="AC1525" s="846"/>
      <c r="AD1525" s="847"/>
      <c r="AE1525" s="846"/>
      <c r="AF1525" s="846"/>
      <c r="AG1525" s="847"/>
      <c r="AH1525" s="847"/>
      <c r="AI1525" s="742">
        <f t="shared" si="197"/>
        <v>0</v>
      </c>
      <c r="AJ1525" s="743">
        <f t="shared" si="198"/>
        <v>0</v>
      </c>
    </row>
    <row r="1526" spans="1:36">
      <c r="A1526" s="884" t="s">
        <v>152</v>
      </c>
      <c r="B1526" s="885" t="s">
        <v>282</v>
      </c>
      <c r="C1526" s="893" t="s">
        <v>140</v>
      </c>
      <c r="D1526" s="892"/>
      <c r="E1526" s="888"/>
      <c r="F1526" s="889"/>
      <c r="G1526" s="846"/>
      <c r="H1526" s="847"/>
      <c r="I1526" s="846"/>
      <c r="J1526" s="847"/>
      <c r="K1526" s="846"/>
      <c r="L1526" s="847"/>
      <c r="M1526" s="846"/>
      <c r="N1526" s="846"/>
      <c r="O1526" s="737">
        <f t="shared" si="191"/>
        <v>0</v>
      </c>
      <c r="P1526" s="847"/>
      <c r="Q1526" s="847"/>
      <c r="R1526" s="738">
        <f t="shared" si="194"/>
        <v>0</v>
      </c>
      <c r="S1526" s="737">
        <f t="shared" si="195"/>
        <v>0</v>
      </c>
      <c r="T1526" s="739">
        <f t="shared" si="196"/>
        <v>0</v>
      </c>
      <c r="U1526" s="846"/>
      <c r="V1526" s="847"/>
      <c r="W1526" s="846"/>
      <c r="X1526" s="846"/>
      <c r="Y1526" s="740">
        <f t="shared" si="192"/>
        <v>0</v>
      </c>
      <c r="Z1526" s="847"/>
      <c r="AA1526" s="847"/>
      <c r="AB1526" s="741">
        <f t="shared" si="193"/>
        <v>0</v>
      </c>
      <c r="AC1526" s="846"/>
      <c r="AD1526" s="847"/>
      <c r="AE1526" s="846"/>
      <c r="AF1526" s="846"/>
      <c r="AG1526" s="847"/>
      <c r="AH1526" s="847"/>
      <c r="AI1526" s="742">
        <f t="shared" si="197"/>
        <v>0</v>
      </c>
      <c r="AJ1526" s="743">
        <f t="shared" si="198"/>
        <v>0</v>
      </c>
    </row>
    <row r="1527" spans="1:36">
      <c r="A1527" s="884" t="s">
        <v>152</v>
      </c>
      <c r="B1527" s="885" t="s">
        <v>282</v>
      </c>
      <c r="C1527" s="891" t="s">
        <v>565</v>
      </c>
      <c r="D1527" s="892"/>
      <c r="E1527" s="888"/>
      <c r="F1527" s="889"/>
      <c r="G1527" s="846"/>
      <c r="H1527" s="847"/>
      <c r="I1527" s="846"/>
      <c r="J1527" s="847"/>
      <c r="K1527" s="846"/>
      <c r="L1527" s="847"/>
      <c r="M1527" s="846"/>
      <c r="N1527" s="846"/>
      <c r="O1527" s="737">
        <f t="shared" si="191"/>
        <v>0</v>
      </c>
      <c r="P1527" s="847"/>
      <c r="Q1527" s="847"/>
      <c r="R1527" s="738">
        <f t="shared" si="194"/>
        <v>0</v>
      </c>
      <c r="S1527" s="737">
        <f t="shared" si="195"/>
        <v>0</v>
      </c>
      <c r="T1527" s="739">
        <f t="shared" si="196"/>
        <v>0</v>
      </c>
      <c r="U1527" s="846">
        <v>7412934</v>
      </c>
      <c r="V1527" s="847">
        <v>7339627</v>
      </c>
      <c r="W1527" s="846"/>
      <c r="X1527" s="846"/>
      <c r="Y1527" s="740">
        <f t="shared" si="192"/>
        <v>0</v>
      </c>
      <c r="Z1527" s="847"/>
      <c r="AA1527" s="847"/>
      <c r="AB1527" s="741">
        <f t="shared" si="193"/>
        <v>0</v>
      </c>
      <c r="AC1527" s="846"/>
      <c r="AD1527" s="847"/>
      <c r="AE1527" s="846"/>
      <c r="AF1527" s="846"/>
      <c r="AG1527" s="847"/>
      <c r="AH1527" s="847"/>
      <c r="AI1527" s="742">
        <f t="shared" si="197"/>
        <v>7412934</v>
      </c>
      <c r="AJ1527" s="743">
        <f t="shared" si="198"/>
        <v>7339627</v>
      </c>
    </row>
    <row r="1528" spans="1:36">
      <c r="A1528" s="884" t="s">
        <v>152</v>
      </c>
      <c r="B1528" s="885" t="s">
        <v>284</v>
      </c>
      <c r="C1528" s="893" t="s">
        <v>138</v>
      </c>
      <c r="D1528" s="892"/>
      <c r="E1528" s="888"/>
      <c r="F1528" s="889"/>
      <c r="G1528" s="846"/>
      <c r="H1528" s="847"/>
      <c r="I1528" s="846"/>
      <c r="J1528" s="847"/>
      <c r="K1528" s="846"/>
      <c r="L1528" s="847"/>
      <c r="M1528" s="846"/>
      <c r="N1528" s="846"/>
      <c r="O1528" s="737">
        <f t="shared" si="191"/>
        <v>0</v>
      </c>
      <c r="P1528" s="847"/>
      <c r="Q1528" s="847"/>
      <c r="R1528" s="738">
        <f t="shared" si="194"/>
        <v>0</v>
      </c>
      <c r="S1528" s="737">
        <f t="shared" si="195"/>
        <v>0</v>
      </c>
      <c r="T1528" s="739">
        <f t="shared" si="196"/>
        <v>0</v>
      </c>
      <c r="U1528" s="846"/>
      <c r="V1528" s="847"/>
      <c r="W1528" s="846"/>
      <c r="X1528" s="846"/>
      <c r="Y1528" s="740">
        <f t="shared" si="192"/>
        <v>0</v>
      </c>
      <c r="Z1528" s="847"/>
      <c r="AA1528" s="847"/>
      <c r="AB1528" s="741">
        <f t="shared" si="193"/>
        <v>0</v>
      </c>
      <c r="AC1528" s="846"/>
      <c r="AD1528" s="847"/>
      <c r="AE1528" s="846"/>
      <c r="AF1528" s="846"/>
      <c r="AG1528" s="847"/>
      <c r="AH1528" s="847"/>
      <c r="AI1528" s="742">
        <f t="shared" si="197"/>
        <v>0</v>
      </c>
      <c r="AJ1528" s="743">
        <f t="shared" si="198"/>
        <v>0</v>
      </c>
    </row>
    <row r="1529" spans="1:36">
      <c r="A1529" s="884" t="s">
        <v>152</v>
      </c>
      <c r="B1529" s="885" t="s">
        <v>284</v>
      </c>
      <c r="C1529" s="891" t="s">
        <v>566</v>
      </c>
      <c r="D1529" s="892"/>
      <c r="E1529" s="888"/>
      <c r="F1529" s="889"/>
      <c r="G1529" s="846"/>
      <c r="H1529" s="847"/>
      <c r="I1529" s="846"/>
      <c r="J1529" s="847"/>
      <c r="K1529" s="846"/>
      <c r="L1529" s="847"/>
      <c r="M1529" s="846"/>
      <c r="N1529" s="846"/>
      <c r="O1529" s="737">
        <f t="shared" si="191"/>
        <v>0</v>
      </c>
      <c r="P1529" s="847"/>
      <c r="Q1529" s="847"/>
      <c r="R1529" s="738">
        <f t="shared" si="194"/>
        <v>0</v>
      </c>
      <c r="S1529" s="737">
        <f t="shared" si="195"/>
        <v>0</v>
      </c>
      <c r="T1529" s="739">
        <f t="shared" si="196"/>
        <v>0</v>
      </c>
      <c r="U1529" s="846"/>
      <c r="V1529" s="847"/>
      <c r="W1529" s="846"/>
      <c r="X1529" s="846"/>
      <c r="Y1529" s="740">
        <f t="shared" si="192"/>
        <v>0</v>
      </c>
      <c r="Z1529" s="847"/>
      <c r="AA1529" s="847"/>
      <c r="AB1529" s="741">
        <f t="shared" si="193"/>
        <v>0</v>
      </c>
      <c r="AC1529" s="846"/>
      <c r="AD1529" s="847"/>
      <c r="AE1529" s="846"/>
      <c r="AF1529" s="846"/>
      <c r="AG1529" s="847"/>
      <c r="AH1529" s="847"/>
      <c r="AI1529" s="742">
        <f t="shared" si="197"/>
        <v>0</v>
      </c>
      <c r="AJ1529" s="743">
        <f t="shared" si="198"/>
        <v>0</v>
      </c>
    </row>
    <row r="1530" spans="1:36">
      <c r="A1530" s="884" t="s">
        <v>152</v>
      </c>
      <c r="B1530" s="885" t="s">
        <v>285</v>
      </c>
      <c r="C1530" s="893" t="s">
        <v>567</v>
      </c>
      <c r="D1530" s="892"/>
      <c r="E1530" s="888"/>
      <c r="F1530" s="889"/>
      <c r="G1530" s="846"/>
      <c r="H1530" s="847"/>
      <c r="I1530" s="846"/>
      <c r="J1530" s="847"/>
      <c r="K1530" s="846"/>
      <c r="L1530" s="847"/>
      <c r="M1530" s="846"/>
      <c r="N1530" s="846"/>
      <c r="O1530" s="737">
        <f t="shared" si="191"/>
        <v>0</v>
      </c>
      <c r="P1530" s="847"/>
      <c r="Q1530" s="847"/>
      <c r="R1530" s="738">
        <f t="shared" si="194"/>
        <v>0</v>
      </c>
      <c r="S1530" s="737">
        <f t="shared" si="195"/>
        <v>0</v>
      </c>
      <c r="T1530" s="739">
        <f t="shared" si="196"/>
        <v>0</v>
      </c>
      <c r="U1530" s="1274">
        <v>1085332</v>
      </c>
      <c r="V1530" s="1474">
        <v>1165610</v>
      </c>
      <c r="W1530" s="846"/>
      <c r="X1530" s="846"/>
      <c r="Y1530" s="740">
        <f t="shared" si="192"/>
        <v>0</v>
      </c>
      <c r="Z1530" s="847"/>
      <c r="AA1530" s="847"/>
      <c r="AB1530" s="741">
        <f t="shared" si="193"/>
        <v>0</v>
      </c>
      <c r="AC1530" s="846"/>
      <c r="AD1530" s="847"/>
      <c r="AE1530" s="846"/>
      <c r="AF1530" s="846"/>
      <c r="AG1530" s="847"/>
      <c r="AH1530" s="847"/>
      <c r="AI1530" s="742">
        <f t="shared" si="197"/>
        <v>1085332</v>
      </c>
      <c r="AJ1530" s="743">
        <f t="shared" si="198"/>
        <v>1165610</v>
      </c>
    </row>
    <row r="1531" spans="1:36">
      <c r="A1531" s="884" t="s">
        <v>152</v>
      </c>
      <c r="B1531" s="885" t="s">
        <v>286</v>
      </c>
      <c r="C1531" s="899" t="s">
        <v>506</v>
      </c>
      <c r="D1531" s="887"/>
      <c r="E1531" s="888"/>
      <c r="F1531" s="889"/>
      <c r="G1531" s="846"/>
      <c r="H1531" s="847"/>
      <c r="I1531" s="846"/>
      <c r="J1531" s="847"/>
      <c r="K1531" s="846"/>
      <c r="L1531" s="847"/>
      <c r="M1531" s="846"/>
      <c r="N1531" s="846"/>
      <c r="O1531" s="737">
        <f t="shared" si="191"/>
        <v>0</v>
      </c>
      <c r="P1531" s="847"/>
      <c r="Q1531" s="847"/>
      <c r="R1531" s="738">
        <f t="shared" si="194"/>
        <v>0</v>
      </c>
      <c r="S1531" s="737">
        <f t="shared" si="195"/>
        <v>0</v>
      </c>
      <c r="T1531" s="739">
        <f t="shared" si="196"/>
        <v>0</v>
      </c>
      <c r="U1531" s="846"/>
      <c r="V1531" s="900"/>
      <c r="W1531" s="846"/>
      <c r="X1531" s="846"/>
      <c r="Y1531" s="740">
        <f t="shared" si="192"/>
        <v>0</v>
      </c>
      <c r="Z1531" s="847"/>
      <c r="AA1531" s="847"/>
      <c r="AB1531" s="741">
        <f t="shared" si="193"/>
        <v>0</v>
      </c>
      <c r="AC1531" s="846"/>
      <c r="AD1531" s="847"/>
      <c r="AE1531" s="846"/>
      <c r="AF1531" s="846"/>
      <c r="AG1531" s="847"/>
      <c r="AH1531" s="847"/>
      <c r="AI1531" s="742">
        <f t="shared" si="197"/>
        <v>0</v>
      </c>
      <c r="AJ1531" s="743">
        <f t="shared" si="198"/>
        <v>0</v>
      </c>
    </row>
    <row r="1532" spans="1:36">
      <c r="A1532" s="884" t="s">
        <v>152</v>
      </c>
      <c r="B1532" s="885" t="s">
        <v>287</v>
      </c>
      <c r="C1532" s="899" t="s">
        <v>510</v>
      </c>
      <c r="D1532" s="887"/>
      <c r="E1532" s="888"/>
      <c r="F1532" s="889"/>
      <c r="G1532" s="846"/>
      <c r="H1532" s="847"/>
      <c r="I1532" s="846"/>
      <c r="J1532" s="847"/>
      <c r="K1532" s="846"/>
      <c r="L1532" s="847"/>
      <c r="M1532" s="846"/>
      <c r="N1532" s="846"/>
      <c r="O1532" s="737">
        <f t="shared" si="191"/>
        <v>0</v>
      </c>
      <c r="P1532" s="847"/>
      <c r="Q1532" s="847"/>
      <c r="R1532" s="738">
        <f t="shared" si="194"/>
        <v>0</v>
      </c>
      <c r="S1532" s="737">
        <f t="shared" si="195"/>
        <v>0</v>
      </c>
      <c r="T1532" s="739">
        <f t="shared" si="196"/>
        <v>0</v>
      </c>
      <c r="U1532" s="846"/>
      <c r="V1532" s="900"/>
      <c r="W1532" s="846"/>
      <c r="X1532" s="846"/>
      <c r="Y1532" s="740">
        <f t="shared" si="192"/>
        <v>0</v>
      </c>
      <c r="Z1532" s="847"/>
      <c r="AA1532" s="847"/>
      <c r="AB1532" s="741">
        <f t="shared" si="193"/>
        <v>0</v>
      </c>
      <c r="AC1532" s="846"/>
      <c r="AD1532" s="847"/>
      <c r="AE1532" s="846"/>
      <c r="AF1532" s="846"/>
      <c r="AG1532" s="847"/>
      <c r="AH1532" s="847"/>
      <c r="AI1532" s="742">
        <f t="shared" si="197"/>
        <v>0</v>
      </c>
      <c r="AJ1532" s="743">
        <f t="shared" si="198"/>
        <v>0</v>
      </c>
    </row>
    <row r="1533" spans="1:36">
      <c r="A1533" s="884" t="s">
        <v>152</v>
      </c>
      <c r="B1533" s="885" t="s">
        <v>288</v>
      </c>
      <c r="C1533" s="893" t="s">
        <v>511</v>
      </c>
      <c r="D1533" s="892"/>
      <c r="E1533" s="888"/>
      <c r="F1533" s="889"/>
      <c r="G1533" s="846"/>
      <c r="H1533" s="847"/>
      <c r="I1533" s="846"/>
      <c r="J1533" s="847"/>
      <c r="K1533" s="846"/>
      <c r="L1533" s="847"/>
      <c r="M1533" s="846"/>
      <c r="N1533" s="846"/>
      <c r="O1533" s="737">
        <f t="shared" si="191"/>
        <v>0</v>
      </c>
      <c r="P1533" s="847"/>
      <c r="Q1533" s="847"/>
      <c r="R1533" s="738">
        <f t="shared" si="194"/>
        <v>0</v>
      </c>
      <c r="S1533" s="737">
        <f t="shared" si="195"/>
        <v>0</v>
      </c>
      <c r="T1533" s="739">
        <f t="shared" si="196"/>
        <v>0</v>
      </c>
      <c r="U1533" s="846"/>
      <c r="V1533" s="900"/>
      <c r="W1533" s="846"/>
      <c r="X1533" s="846"/>
      <c r="Y1533" s="740">
        <f t="shared" si="192"/>
        <v>0</v>
      </c>
      <c r="Z1533" s="847"/>
      <c r="AA1533" s="847"/>
      <c r="AB1533" s="741">
        <f t="shared" si="193"/>
        <v>0</v>
      </c>
      <c r="AC1533" s="846"/>
      <c r="AD1533" s="847"/>
      <c r="AE1533" s="846"/>
      <c r="AF1533" s="846"/>
      <c r="AG1533" s="847"/>
      <c r="AH1533" s="847"/>
      <c r="AI1533" s="742">
        <f t="shared" si="197"/>
        <v>0</v>
      </c>
      <c r="AJ1533" s="743">
        <f t="shared" si="198"/>
        <v>0</v>
      </c>
    </row>
    <row r="1534" spans="1:36">
      <c r="A1534" s="884" t="s">
        <v>152</v>
      </c>
      <c r="B1534" s="885" t="s">
        <v>288</v>
      </c>
      <c r="C1534" s="891" t="s">
        <v>514</v>
      </c>
      <c r="D1534" s="892"/>
      <c r="E1534" s="888"/>
      <c r="F1534" s="889"/>
      <c r="G1534" s="846"/>
      <c r="H1534" s="847"/>
      <c r="I1534" s="846"/>
      <c r="J1534" s="847"/>
      <c r="K1534" s="846"/>
      <c r="L1534" s="847"/>
      <c r="M1534" s="846"/>
      <c r="N1534" s="846"/>
      <c r="O1534" s="737">
        <f t="shared" si="191"/>
        <v>0</v>
      </c>
      <c r="P1534" s="847"/>
      <c r="Q1534" s="847"/>
      <c r="R1534" s="738">
        <f t="shared" si="194"/>
        <v>0</v>
      </c>
      <c r="S1534" s="737">
        <f t="shared" si="195"/>
        <v>0</v>
      </c>
      <c r="T1534" s="739">
        <f t="shared" si="196"/>
        <v>0</v>
      </c>
      <c r="U1534" s="846">
        <v>0</v>
      </c>
      <c r="V1534" s="900">
        <v>0</v>
      </c>
      <c r="W1534" s="846"/>
      <c r="X1534" s="846"/>
      <c r="Y1534" s="740">
        <f t="shared" si="192"/>
        <v>0</v>
      </c>
      <c r="Z1534" s="847"/>
      <c r="AA1534" s="847"/>
      <c r="AB1534" s="741">
        <f t="shared" si="193"/>
        <v>0</v>
      </c>
      <c r="AC1534" s="846"/>
      <c r="AD1534" s="847"/>
      <c r="AE1534" s="846"/>
      <c r="AF1534" s="846"/>
      <c r="AG1534" s="847"/>
      <c r="AH1534" s="847"/>
      <c r="AI1534" s="742">
        <f t="shared" si="197"/>
        <v>0</v>
      </c>
      <c r="AJ1534" s="743">
        <f t="shared" si="198"/>
        <v>0</v>
      </c>
    </row>
    <row r="1535" spans="1:36">
      <c r="A1535" s="884" t="s">
        <v>152</v>
      </c>
      <c r="B1535" s="885" t="s">
        <v>288</v>
      </c>
      <c r="C1535" s="891" t="s">
        <v>568</v>
      </c>
      <c r="D1535" s="892"/>
      <c r="E1535" s="888"/>
      <c r="F1535" s="889"/>
      <c r="G1535" s="846"/>
      <c r="H1535" s="847"/>
      <c r="I1535" s="846"/>
      <c r="J1535" s="847"/>
      <c r="K1535" s="846"/>
      <c r="L1535" s="847"/>
      <c r="M1535" s="846"/>
      <c r="N1535" s="846"/>
      <c r="O1535" s="737">
        <f t="shared" si="191"/>
        <v>0</v>
      </c>
      <c r="P1535" s="847"/>
      <c r="Q1535" s="847"/>
      <c r="R1535" s="738">
        <f t="shared" si="194"/>
        <v>0</v>
      </c>
      <c r="S1535" s="737">
        <f t="shared" si="195"/>
        <v>0</v>
      </c>
      <c r="T1535" s="739">
        <f t="shared" si="196"/>
        <v>0</v>
      </c>
      <c r="U1535" s="846">
        <v>367200</v>
      </c>
      <c r="V1535" s="1474">
        <v>413400</v>
      </c>
      <c r="W1535" s="846"/>
      <c r="X1535" s="846"/>
      <c r="Y1535" s="740">
        <f t="shared" si="192"/>
        <v>0</v>
      </c>
      <c r="Z1535" s="847"/>
      <c r="AA1535" s="847"/>
      <c r="AB1535" s="741">
        <f t="shared" si="193"/>
        <v>0</v>
      </c>
      <c r="AC1535" s="846"/>
      <c r="AD1535" s="847"/>
      <c r="AE1535" s="846"/>
      <c r="AF1535" s="846"/>
      <c r="AG1535" s="847"/>
      <c r="AH1535" s="847"/>
      <c r="AI1535" s="742">
        <f t="shared" si="197"/>
        <v>367200</v>
      </c>
      <c r="AJ1535" s="743">
        <f t="shared" si="198"/>
        <v>413400</v>
      </c>
    </row>
    <row r="1536" spans="1:36">
      <c r="A1536" s="884" t="s">
        <v>152</v>
      </c>
      <c r="B1536" s="885" t="s">
        <v>288</v>
      </c>
      <c r="C1536" s="891" t="s">
        <v>569</v>
      </c>
      <c r="D1536" s="892"/>
      <c r="E1536" s="888"/>
      <c r="F1536" s="889"/>
      <c r="G1536" s="846"/>
      <c r="H1536" s="847"/>
      <c r="I1536" s="846"/>
      <c r="J1536" s="847"/>
      <c r="K1536" s="846"/>
      <c r="L1536" s="847"/>
      <c r="M1536" s="846"/>
      <c r="N1536" s="846"/>
      <c r="O1536" s="737">
        <f t="shared" si="191"/>
        <v>0</v>
      </c>
      <c r="P1536" s="847"/>
      <c r="Q1536" s="847"/>
      <c r="R1536" s="738">
        <f t="shared" si="194"/>
        <v>0</v>
      </c>
      <c r="S1536" s="737">
        <f t="shared" si="195"/>
        <v>0</v>
      </c>
      <c r="T1536" s="739">
        <f t="shared" si="196"/>
        <v>0</v>
      </c>
      <c r="U1536" s="846">
        <v>0</v>
      </c>
      <c r="V1536" s="900">
        <v>0</v>
      </c>
      <c r="W1536" s="846"/>
      <c r="X1536" s="846"/>
      <c r="Y1536" s="740">
        <f t="shared" si="192"/>
        <v>0</v>
      </c>
      <c r="Z1536" s="847"/>
      <c r="AA1536" s="847"/>
      <c r="AB1536" s="741">
        <f t="shared" si="193"/>
        <v>0</v>
      </c>
      <c r="AC1536" s="846"/>
      <c r="AD1536" s="847"/>
      <c r="AE1536" s="846"/>
      <c r="AF1536" s="846"/>
      <c r="AG1536" s="847"/>
      <c r="AH1536" s="847"/>
      <c r="AI1536" s="742">
        <f t="shared" si="197"/>
        <v>0</v>
      </c>
      <c r="AJ1536" s="743">
        <f t="shared" si="198"/>
        <v>0</v>
      </c>
    </row>
    <row r="1537" spans="1:36">
      <c r="A1537" s="884" t="s">
        <v>152</v>
      </c>
      <c r="B1537" s="885" t="s">
        <v>289</v>
      </c>
      <c r="C1537" s="893" t="s">
        <v>515</v>
      </c>
      <c r="D1537" s="892"/>
      <c r="E1537" s="888"/>
      <c r="F1537" s="889"/>
      <c r="G1537" s="846"/>
      <c r="H1537" s="847"/>
      <c r="I1537" s="846"/>
      <c r="J1537" s="847"/>
      <c r="K1537" s="846"/>
      <c r="L1537" s="847"/>
      <c r="M1537" s="846"/>
      <c r="N1537" s="846"/>
      <c r="O1537" s="737">
        <f t="shared" si="191"/>
        <v>0</v>
      </c>
      <c r="P1537" s="847"/>
      <c r="Q1537" s="847"/>
      <c r="R1537" s="738">
        <f t="shared" si="194"/>
        <v>0</v>
      </c>
      <c r="S1537" s="737">
        <f t="shared" si="195"/>
        <v>0</v>
      </c>
      <c r="T1537" s="739">
        <f t="shared" si="196"/>
        <v>0</v>
      </c>
      <c r="U1537" s="846"/>
      <c r="V1537" s="900"/>
      <c r="W1537" s="846"/>
      <c r="X1537" s="846"/>
      <c r="Y1537" s="740">
        <f t="shared" si="192"/>
        <v>0</v>
      </c>
      <c r="Z1537" s="847"/>
      <c r="AA1537" s="847"/>
      <c r="AB1537" s="741">
        <f t="shared" si="193"/>
        <v>0</v>
      </c>
      <c r="AC1537" s="846"/>
      <c r="AD1537" s="847"/>
      <c r="AE1537" s="846"/>
      <c r="AF1537" s="846"/>
      <c r="AG1537" s="847"/>
      <c r="AH1537" s="847"/>
      <c r="AI1537" s="742">
        <f t="shared" si="197"/>
        <v>0</v>
      </c>
      <c r="AJ1537" s="743">
        <f t="shared" si="198"/>
        <v>0</v>
      </c>
    </row>
    <row r="1538" spans="1:36">
      <c r="A1538" s="884" t="s">
        <v>152</v>
      </c>
      <c r="B1538" s="885" t="s">
        <v>289</v>
      </c>
      <c r="C1538" s="891" t="s">
        <v>570</v>
      </c>
      <c r="D1538" s="892"/>
      <c r="E1538" s="888"/>
      <c r="F1538" s="889"/>
      <c r="G1538" s="846"/>
      <c r="H1538" s="847"/>
      <c r="I1538" s="846"/>
      <c r="J1538" s="847"/>
      <c r="K1538" s="846"/>
      <c r="L1538" s="847"/>
      <c r="M1538" s="846"/>
      <c r="N1538" s="846"/>
      <c r="O1538" s="737">
        <f t="shared" si="191"/>
        <v>0</v>
      </c>
      <c r="P1538" s="847"/>
      <c r="Q1538" s="847"/>
      <c r="R1538" s="738">
        <f t="shared" si="194"/>
        <v>0</v>
      </c>
      <c r="S1538" s="737">
        <f t="shared" si="195"/>
        <v>0</v>
      </c>
      <c r="T1538" s="739">
        <f t="shared" si="196"/>
        <v>0</v>
      </c>
      <c r="U1538" s="846">
        <v>0</v>
      </c>
      <c r="V1538" s="900">
        <v>0</v>
      </c>
      <c r="W1538" s="846"/>
      <c r="X1538" s="846"/>
      <c r="Y1538" s="740">
        <f t="shared" si="192"/>
        <v>0</v>
      </c>
      <c r="Z1538" s="847"/>
      <c r="AA1538" s="847"/>
      <c r="AB1538" s="741">
        <f t="shared" si="193"/>
        <v>0</v>
      </c>
      <c r="AC1538" s="846"/>
      <c r="AD1538" s="847"/>
      <c r="AE1538" s="846"/>
      <c r="AF1538" s="846"/>
      <c r="AG1538" s="847"/>
      <c r="AH1538" s="847"/>
      <c r="AI1538" s="742">
        <f t="shared" si="197"/>
        <v>0</v>
      </c>
      <c r="AJ1538" s="743">
        <f t="shared" si="198"/>
        <v>0</v>
      </c>
    </row>
    <row r="1539" spans="1:36">
      <c r="A1539" s="884" t="s">
        <v>152</v>
      </c>
      <c r="B1539" s="885" t="s">
        <v>289</v>
      </c>
      <c r="C1539" s="891" t="s">
        <v>571</v>
      </c>
      <c r="D1539" s="892"/>
      <c r="E1539" s="888"/>
      <c r="F1539" s="889"/>
      <c r="G1539" s="846"/>
      <c r="H1539" s="847"/>
      <c r="I1539" s="846"/>
      <c r="J1539" s="847"/>
      <c r="K1539" s="846"/>
      <c r="L1539" s="847"/>
      <c r="M1539" s="846"/>
      <c r="N1539" s="846"/>
      <c r="O1539" s="737">
        <f t="shared" si="191"/>
        <v>0</v>
      </c>
      <c r="P1539" s="847"/>
      <c r="Q1539" s="847"/>
      <c r="R1539" s="738">
        <f t="shared" si="194"/>
        <v>0</v>
      </c>
      <c r="S1539" s="737">
        <f t="shared" si="195"/>
        <v>0</v>
      </c>
      <c r="T1539" s="739">
        <f t="shared" si="196"/>
        <v>0</v>
      </c>
      <c r="U1539" s="1274">
        <v>137700</v>
      </c>
      <c r="V1539" s="900">
        <v>127200</v>
      </c>
      <c r="W1539" s="846"/>
      <c r="X1539" s="846"/>
      <c r="Y1539" s="740">
        <f t="shared" si="192"/>
        <v>0</v>
      </c>
      <c r="Z1539" s="847"/>
      <c r="AA1539" s="847"/>
      <c r="AB1539" s="741">
        <f t="shared" si="193"/>
        <v>0</v>
      </c>
      <c r="AC1539" s="846"/>
      <c r="AD1539" s="847"/>
      <c r="AE1539" s="846"/>
      <c r="AF1539" s="846"/>
      <c r="AG1539" s="847"/>
      <c r="AH1539" s="847"/>
      <c r="AI1539" s="742">
        <f t="shared" si="197"/>
        <v>137700</v>
      </c>
      <c r="AJ1539" s="743">
        <f t="shared" si="198"/>
        <v>127200</v>
      </c>
    </row>
    <row r="1540" spans="1:36">
      <c r="A1540" s="884" t="s">
        <v>152</v>
      </c>
      <c r="B1540" s="885" t="s">
        <v>291</v>
      </c>
      <c r="C1540" s="899" t="s">
        <v>520</v>
      </c>
      <c r="D1540" s="887"/>
      <c r="E1540" s="888"/>
      <c r="F1540" s="889"/>
      <c r="G1540" s="846"/>
      <c r="H1540" s="847"/>
      <c r="I1540" s="846"/>
      <c r="J1540" s="847"/>
      <c r="K1540" s="846"/>
      <c r="L1540" s="847"/>
      <c r="M1540" s="846"/>
      <c r="N1540" s="846"/>
      <c r="O1540" s="737">
        <f t="shared" si="191"/>
        <v>0</v>
      </c>
      <c r="P1540" s="847"/>
      <c r="Q1540" s="847"/>
      <c r="R1540" s="738">
        <f t="shared" si="194"/>
        <v>0</v>
      </c>
      <c r="S1540" s="737">
        <f t="shared" si="195"/>
        <v>0</v>
      </c>
      <c r="T1540" s="739">
        <f t="shared" si="196"/>
        <v>0</v>
      </c>
      <c r="U1540" s="846"/>
      <c r="V1540" s="900"/>
      <c r="W1540" s="846"/>
      <c r="X1540" s="846"/>
      <c r="Y1540" s="740">
        <f t="shared" si="192"/>
        <v>0</v>
      </c>
      <c r="Z1540" s="847"/>
      <c r="AA1540" s="847"/>
      <c r="AB1540" s="741">
        <f t="shared" si="193"/>
        <v>0</v>
      </c>
      <c r="AC1540" s="846"/>
      <c r="AD1540" s="847"/>
      <c r="AE1540" s="846"/>
      <c r="AF1540" s="846"/>
      <c r="AG1540" s="847"/>
      <c r="AH1540" s="847"/>
      <c r="AI1540" s="742">
        <f t="shared" si="197"/>
        <v>0</v>
      </c>
      <c r="AJ1540" s="743">
        <f t="shared" si="198"/>
        <v>0</v>
      </c>
    </row>
    <row r="1541" spans="1:36">
      <c r="A1541" s="884" t="s">
        <v>152</v>
      </c>
      <c r="B1541" s="901" t="s">
        <v>292</v>
      </c>
      <c r="C1541" s="902" t="s">
        <v>34</v>
      </c>
      <c r="D1541" s="903"/>
      <c r="E1541" s="904"/>
      <c r="F1541" s="905"/>
      <c r="G1541" s="846"/>
      <c r="H1541" s="847"/>
      <c r="I1541" s="846"/>
      <c r="J1541" s="847"/>
      <c r="K1541" s="846"/>
      <c r="L1541" s="847"/>
      <c r="M1541" s="846"/>
      <c r="N1541" s="846"/>
      <c r="O1541" s="737">
        <f t="shared" si="191"/>
        <v>0</v>
      </c>
      <c r="P1541" s="847"/>
      <c r="Q1541" s="847"/>
      <c r="R1541" s="738">
        <f t="shared" si="194"/>
        <v>0</v>
      </c>
      <c r="S1541" s="737">
        <f t="shared" si="195"/>
        <v>0</v>
      </c>
      <c r="T1541" s="739">
        <f t="shared" si="196"/>
        <v>0</v>
      </c>
      <c r="U1541" s="846"/>
      <c r="V1541" s="900"/>
      <c r="W1541" s="846"/>
      <c r="X1541" s="846"/>
      <c r="Y1541" s="740">
        <f t="shared" si="192"/>
        <v>0</v>
      </c>
      <c r="Z1541" s="847"/>
      <c r="AA1541" s="847"/>
      <c r="AB1541" s="741">
        <f t="shared" si="193"/>
        <v>0</v>
      </c>
      <c r="AC1541" s="846"/>
      <c r="AD1541" s="847"/>
      <c r="AE1541" s="846"/>
      <c r="AF1541" s="846"/>
      <c r="AG1541" s="847"/>
      <c r="AH1541" s="847"/>
      <c r="AI1541" s="742">
        <f t="shared" si="197"/>
        <v>0</v>
      </c>
      <c r="AJ1541" s="743">
        <f t="shared" si="198"/>
        <v>0</v>
      </c>
    </row>
    <row r="1542" spans="1:36">
      <c r="A1542" s="884" t="s">
        <v>152</v>
      </c>
      <c r="B1542" s="901" t="s">
        <v>292</v>
      </c>
      <c r="C1542" s="906" t="s">
        <v>572</v>
      </c>
      <c r="D1542" s="892"/>
      <c r="E1542" s="904"/>
      <c r="F1542" s="905"/>
      <c r="G1542" s="846"/>
      <c r="H1542" s="847"/>
      <c r="I1542" s="846"/>
      <c r="J1542" s="847"/>
      <c r="K1542" s="846"/>
      <c r="L1542" s="847"/>
      <c r="M1542" s="846"/>
      <c r="N1542" s="846"/>
      <c r="O1542" s="737">
        <f t="shared" si="191"/>
        <v>0</v>
      </c>
      <c r="P1542" s="847"/>
      <c r="Q1542" s="847"/>
      <c r="R1542" s="738">
        <f t="shared" si="194"/>
        <v>0</v>
      </c>
      <c r="S1542" s="737">
        <f t="shared" si="195"/>
        <v>0</v>
      </c>
      <c r="T1542" s="739">
        <f t="shared" si="196"/>
        <v>0</v>
      </c>
      <c r="U1542" s="846"/>
      <c r="V1542" s="900"/>
      <c r="W1542" s="846"/>
      <c r="X1542" s="846"/>
      <c r="Y1542" s="740">
        <f t="shared" si="192"/>
        <v>0</v>
      </c>
      <c r="Z1542" s="847"/>
      <c r="AA1542" s="847"/>
      <c r="AB1542" s="741">
        <f t="shared" si="193"/>
        <v>0</v>
      </c>
      <c r="AC1542" s="846"/>
      <c r="AD1542" s="847"/>
      <c r="AE1542" s="846"/>
      <c r="AF1542" s="846"/>
      <c r="AG1542" s="847"/>
      <c r="AH1542" s="847"/>
      <c r="AI1542" s="742">
        <f t="shared" si="197"/>
        <v>0</v>
      </c>
      <c r="AJ1542" s="743">
        <f t="shared" si="198"/>
        <v>0</v>
      </c>
    </row>
    <row r="1543" spans="1:36">
      <c r="A1543" s="884" t="s">
        <v>152</v>
      </c>
      <c r="B1543" s="907" t="s">
        <v>209</v>
      </c>
      <c r="C1543" s="908" t="s">
        <v>522</v>
      </c>
      <c r="D1543" s="909"/>
      <c r="E1543" s="910"/>
      <c r="F1543" s="911"/>
      <c r="G1543" s="846"/>
      <c r="H1543" s="847"/>
      <c r="I1543" s="846"/>
      <c r="J1543" s="847"/>
      <c r="K1543" s="846"/>
      <c r="L1543" s="847"/>
      <c r="M1543" s="846"/>
      <c r="N1543" s="846"/>
      <c r="O1543" s="737">
        <f t="shared" si="191"/>
        <v>0</v>
      </c>
      <c r="P1543" s="847"/>
      <c r="Q1543" s="847"/>
      <c r="R1543" s="738">
        <f t="shared" si="194"/>
        <v>0</v>
      </c>
      <c r="S1543" s="737">
        <f t="shared" si="195"/>
        <v>0</v>
      </c>
      <c r="T1543" s="739">
        <f t="shared" si="196"/>
        <v>0</v>
      </c>
      <c r="U1543" s="846"/>
      <c r="V1543" s="900"/>
      <c r="W1543" s="846"/>
      <c r="X1543" s="846"/>
      <c r="Y1543" s="740">
        <f t="shared" si="192"/>
        <v>0</v>
      </c>
      <c r="Z1543" s="847"/>
      <c r="AA1543" s="847"/>
      <c r="AB1543" s="741">
        <f t="shared" si="193"/>
        <v>0</v>
      </c>
      <c r="AC1543" s="846"/>
      <c r="AD1543" s="847"/>
      <c r="AE1543" s="846"/>
      <c r="AF1543" s="846"/>
      <c r="AG1543" s="847"/>
      <c r="AH1543" s="847"/>
      <c r="AI1543" s="742">
        <f t="shared" si="197"/>
        <v>0</v>
      </c>
      <c r="AJ1543" s="743">
        <f t="shared" si="198"/>
        <v>0</v>
      </c>
    </row>
    <row r="1544" spans="1:36">
      <c r="A1544" s="884" t="s">
        <v>152</v>
      </c>
      <c r="B1544" s="912" t="s">
        <v>210</v>
      </c>
      <c r="C1544" s="891" t="s">
        <v>311</v>
      </c>
      <c r="D1544" s="892"/>
      <c r="E1544" s="904"/>
      <c r="F1544" s="905"/>
      <c r="G1544" s="846"/>
      <c r="H1544" s="847"/>
      <c r="I1544" s="846"/>
      <c r="J1544" s="847"/>
      <c r="K1544" s="846"/>
      <c r="L1544" s="847"/>
      <c r="M1544" s="846"/>
      <c r="N1544" s="846"/>
      <c r="O1544" s="737">
        <f t="shared" si="191"/>
        <v>0</v>
      </c>
      <c r="P1544" s="847"/>
      <c r="Q1544" s="847"/>
      <c r="R1544" s="738">
        <f t="shared" si="194"/>
        <v>0</v>
      </c>
      <c r="S1544" s="737">
        <f t="shared" si="195"/>
        <v>0</v>
      </c>
      <c r="T1544" s="739">
        <f t="shared" si="196"/>
        <v>0</v>
      </c>
      <c r="U1544" s="1274">
        <v>6685278</v>
      </c>
      <c r="V1544" s="1474">
        <v>9210601</v>
      </c>
      <c r="W1544" s="846"/>
      <c r="X1544" s="846"/>
      <c r="Y1544" s="740">
        <f t="shared" si="192"/>
        <v>0</v>
      </c>
      <c r="Z1544" s="847"/>
      <c r="AA1544" s="847"/>
      <c r="AB1544" s="741">
        <f t="shared" si="193"/>
        <v>0</v>
      </c>
      <c r="AC1544" s="846"/>
      <c r="AD1544" s="847"/>
      <c r="AE1544" s="846"/>
      <c r="AF1544" s="846"/>
      <c r="AG1544" s="847"/>
      <c r="AH1544" s="847"/>
      <c r="AI1544" s="742">
        <f t="shared" si="197"/>
        <v>6685278</v>
      </c>
      <c r="AJ1544" s="743">
        <f t="shared" si="198"/>
        <v>9210601</v>
      </c>
    </row>
    <row r="1545" spans="1:36">
      <c r="A1545" s="884" t="s">
        <v>152</v>
      </c>
      <c r="B1545" s="912" t="s">
        <v>251</v>
      </c>
      <c r="C1545" s="891" t="s">
        <v>249</v>
      </c>
      <c r="D1545" s="892"/>
      <c r="E1545" s="904"/>
      <c r="F1545" s="905"/>
      <c r="G1545" s="846"/>
      <c r="H1545" s="847"/>
      <c r="I1545" s="846"/>
      <c r="J1545" s="847"/>
      <c r="K1545" s="846"/>
      <c r="L1545" s="847"/>
      <c r="M1545" s="846"/>
      <c r="N1545" s="846"/>
      <c r="O1545" s="737">
        <f t="shared" si="191"/>
        <v>0</v>
      </c>
      <c r="P1545" s="847"/>
      <c r="Q1545" s="847"/>
      <c r="R1545" s="738">
        <f t="shared" si="194"/>
        <v>0</v>
      </c>
      <c r="S1545" s="737">
        <f t="shared" si="195"/>
        <v>0</v>
      </c>
      <c r="T1545" s="739">
        <f t="shared" si="196"/>
        <v>0</v>
      </c>
      <c r="U1545" s="846"/>
      <c r="V1545" s="900"/>
      <c r="W1545" s="846"/>
      <c r="X1545" s="846"/>
      <c r="Y1545" s="740">
        <f t="shared" si="192"/>
        <v>0</v>
      </c>
      <c r="Z1545" s="847"/>
      <c r="AA1545" s="847"/>
      <c r="AB1545" s="741">
        <f t="shared" si="193"/>
        <v>0</v>
      </c>
      <c r="AC1545" s="846"/>
      <c r="AD1545" s="847"/>
      <c r="AE1545" s="846"/>
      <c r="AF1545" s="846"/>
      <c r="AG1545" s="847"/>
      <c r="AH1545" s="847"/>
      <c r="AI1545" s="742">
        <f t="shared" si="197"/>
        <v>0</v>
      </c>
      <c r="AJ1545" s="743">
        <f t="shared" si="198"/>
        <v>0</v>
      </c>
    </row>
    <row r="1546" spans="1:36">
      <c r="A1546" s="884" t="s">
        <v>152</v>
      </c>
      <c r="B1546" s="907" t="s">
        <v>205</v>
      </c>
      <c r="C1546" s="908" t="s">
        <v>523</v>
      </c>
      <c r="D1546" s="909"/>
      <c r="E1546" s="904"/>
      <c r="F1546" s="905"/>
      <c r="G1546" s="846"/>
      <c r="H1546" s="847"/>
      <c r="I1546" s="846"/>
      <c r="J1546" s="847"/>
      <c r="K1546" s="846"/>
      <c r="L1546" s="847"/>
      <c r="M1546" s="846"/>
      <c r="N1546" s="846"/>
      <c r="O1546" s="737">
        <f t="shared" ref="O1546:O1609" si="199">SUM(M1546:N1546)</f>
        <v>0</v>
      </c>
      <c r="P1546" s="847"/>
      <c r="Q1546" s="847"/>
      <c r="R1546" s="738">
        <f t="shared" si="194"/>
        <v>0</v>
      </c>
      <c r="S1546" s="737">
        <f t="shared" si="195"/>
        <v>0</v>
      </c>
      <c r="T1546" s="739">
        <f t="shared" si="196"/>
        <v>0</v>
      </c>
      <c r="U1546" s="846"/>
      <c r="V1546" s="900"/>
      <c r="W1546" s="846"/>
      <c r="X1546" s="846"/>
      <c r="Y1546" s="740">
        <f t="shared" ref="Y1546:Y1609" si="200">SUM(W1546:X1546)</f>
        <v>0</v>
      </c>
      <c r="Z1546" s="847"/>
      <c r="AA1546" s="847"/>
      <c r="AB1546" s="741">
        <f t="shared" ref="AB1546:AB1609" si="201">SUM(Z1546:AA1546)</f>
        <v>0</v>
      </c>
      <c r="AC1546" s="846"/>
      <c r="AD1546" s="847"/>
      <c r="AE1546" s="846"/>
      <c r="AF1546" s="846"/>
      <c r="AG1546" s="847"/>
      <c r="AH1546" s="847"/>
      <c r="AI1546" s="742">
        <f t="shared" si="197"/>
        <v>0</v>
      </c>
      <c r="AJ1546" s="743">
        <f t="shared" si="198"/>
        <v>0</v>
      </c>
    </row>
    <row r="1547" spans="1:36">
      <c r="A1547" s="884" t="s">
        <v>152</v>
      </c>
      <c r="B1547" s="907" t="s">
        <v>218</v>
      </c>
      <c r="C1547" s="891" t="s">
        <v>311</v>
      </c>
      <c r="D1547" s="892"/>
      <c r="E1547" s="904"/>
      <c r="F1547" s="905"/>
      <c r="G1547" s="846"/>
      <c r="H1547" s="847"/>
      <c r="I1547" s="846"/>
      <c r="J1547" s="847"/>
      <c r="K1547" s="846"/>
      <c r="L1547" s="847"/>
      <c r="M1547" s="846"/>
      <c r="N1547" s="846"/>
      <c r="O1547" s="737">
        <f t="shared" si="199"/>
        <v>0</v>
      </c>
      <c r="P1547" s="847"/>
      <c r="Q1547" s="847"/>
      <c r="R1547" s="738">
        <f t="shared" ref="R1547:R1610" si="202">SUM(P1547:Q1547)</f>
        <v>0</v>
      </c>
      <c r="S1547" s="737">
        <f t="shared" ref="S1547:S1610" si="203">SUM(G1547,I1547,K1547,M1547)</f>
        <v>0</v>
      </c>
      <c r="T1547" s="739">
        <f t="shared" ref="T1547:T1610" si="204">SUM(H1547,J1547,L1547,P1547)</f>
        <v>0</v>
      </c>
      <c r="U1547" s="1274">
        <v>758048</v>
      </c>
      <c r="V1547" s="1474">
        <v>973409</v>
      </c>
      <c r="W1547" s="846"/>
      <c r="X1547" s="846"/>
      <c r="Y1547" s="740">
        <f t="shared" si="200"/>
        <v>0</v>
      </c>
      <c r="Z1547" s="847"/>
      <c r="AA1547" s="847"/>
      <c r="AB1547" s="741">
        <f t="shared" si="201"/>
        <v>0</v>
      </c>
      <c r="AC1547" s="846"/>
      <c r="AD1547" s="847"/>
      <c r="AE1547" s="846"/>
      <c r="AF1547" s="846"/>
      <c r="AG1547" s="847"/>
      <c r="AH1547" s="847"/>
      <c r="AI1547" s="742">
        <f t="shared" ref="AI1547:AI1610" si="205">SUM(S1547,U1547,W1547,AC1547,AE1547)</f>
        <v>758048</v>
      </c>
      <c r="AJ1547" s="743">
        <f t="shared" ref="AJ1547:AJ1610" si="206">SUM(T1547,V1547,Z1547,AD1547,AG1547)</f>
        <v>973409</v>
      </c>
    </row>
    <row r="1548" spans="1:36">
      <c r="A1548" s="884" t="s">
        <v>152</v>
      </c>
      <c r="B1548" s="912" t="s">
        <v>251</v>
      </c>
      <c r="C1548" s="891" t="s">
        <v>249</v>
      </c>
      <c r="D1548" s="892"/>
      <c r="E1548" s="904"/>
      <c r="F1548" s="905"/>
      <c r="G1548" s="846"/>
      <c r="H1548" s="847"/>
      <c r="I1548" s="846"/>
      <c r="J1548" s="847"/>
      <c r="K1548" s="846"/>
      <c r="L1548" s="847"/>
      <c r="M1548" s="846"/>
      <c r="N1548" s="846"/>
      <c r="O1548" s="737">
        <f t="shared" si="199"/>
        <v>0</v>
      </c>
      <c r="P1548" s="847"/>
      <c r="Q1548" s="847"/>
      <c r="R1548" s="738">
        <f t="shared" si="202"/>
        <v>0</v>
      </c>
      <c r="S1548" s="737">
        <f t="shared" si="203"/>
        <v>0</v>
      </c>
      <c r="T1548" s="739">
        <f t="shared" si="204"/>
        <v>0</v>
      </c>
      <c r="U1548" s="846"/>
      <c r="V1548" s="900"/>
      <c r="W1548" s="846"/>
      <c r="X1548" s="846"/>
      <c r="Y1548" s="740">
        <f t="shared" si="200"/>
        <v>0</v>
      </c>
      <c r="Z1548" s="847"/>
      <c r="AA1548" s="847"/>
      <c r="AB1548" s="741">
        <f t="shared" si="201"/>
        <v>0</v>
      </c>
      <c r="AC1548" s="846"/>
      <c r="AD1548" s="847"/>
      <c r="AE1548" s="846"/>
      <c r="AF1548" s="846"/>
      <c r="AG1548" s="847"/>
      <c r="AH1548" s="847"/>
      <c r="AI1548" s="742">
        <f t="shared" si="205"/>
        <v>0</v>
      </c>
      <c r="AJ1548" s="743">
        <f t="shared" si="206"/>
        <v>0</v>
      </c>
    </row>
    <row r="1549" spans="1:36">
      <c r="A1549" s="884" t="s">
        <v>152</v>
      </c>
      <c r="B1549" s="912" t="s">
        <v>292</v>
      </c>
      <c r="C1549" s="906" t="s">
        <v>573</v>
      </c>
      <c r="D1549" s="892"/>
      <c r="E1549" s="904"/>
      <c r="F1549" s="905"/>
      <c r="G1549" s="846"/>
      <c r="H1549" s="847"/>
      <c r="I1549" s="846"/>
      <c r="J1549" s="847"/>
      <c r="K1549" s="846"/>
      <c r="L1549" s="847"/>
      <c r="M1549" s="846"/>
      <c r="N1549" s="846"/>
      <c r="O1549" s="737">
        <f t="shared" si="199"/>
        <v>0</v>
      </c>
      <c r="P1549" s="847"/>
      <c r="Q1549" s="847"/>
      <c r="R1549" s="738">
        <f t="shared" si="202"/>
        <v>0</v>
      </c>
      <c r="S1549" s="737">
        <f t="shared" si="203"/>
        <v>0</v>
      </c>
      <c r="T1549" s="739">
        <f t="shared" si="204"/>
        <v>0</v>
      </c>
      <c r="U1549" s="846"/>
      <c r="V1549" s="900"/>
      <c r="W1549" s="846"/>
      <c r="X1549" s="846"/>
      <c r="Y1549" s="740">
        <f t="shared" si="200"/>
        <v>0</v>
      </c>
      <c r="Z1549" s="847"/>
      <c r="AA1549" s="847"/>
      <c r="AB1549" s="741">
        <f t="shared" si="201"/>
        <v>0</v>
      </c>
      <c r="AC1549" s="846"/>
      <c r="AD1549" s="847"/>
      <c r="AE1549" s="846"/>
      <c r="AF1549" s="846"/>
      <c r="AG1549" s="847"/>
      <c r="AH1549" s="847"/>
      <c r="AI1549" s="742">
        <f t="shared" si="205"/>
        <v>0</v>
      </c>
      <c r="AJ1549" s="743">
        <f t="shared" si="206"/>
        <v>0</v>
      </c>
    </row>
    <row r="1550" spans="1:36">
      <c r="A1550" s="884" t="s">
        <v>152</v>
      </c>
      <c r="B1550" s="907" t="s">
        <v>209</v>
      </c>
      <c r="C1550" s="908" t="s">
        <v>522</v>
      </c>
      <c r="D1550" s="909"/>
      <c r="E1550" s="904"/>
      <c r="F1550" s="905"/>
      <c r="G1550" s="846"/>
      <c r="H1550" s="847"/>
      <c r="I1550" s="846"/>
      <c r="J1550" s="847"/>
      <c r="K1550" s="846"/>
      <c r="L1550" s="847"/>
      <c r="M1550" s="846"/>
      <c r="N1550" s="846"/>
      <c r="O1550" s="737">
        <f t="shared" si="199"/>
        <v>0</v>
      </c>
      <c r="P1550" s="847"/>
      <c r="Q1550" s="847"/>
      <c r="R1550" s="738">
        <f t="shared" si="202"/>
        <v>0</v>
      </c>
      <c r="S1550" s="737">
        <f t="shared" si="203"/>
        <v>0</v>
      </c>
      <c r="T1550" s="739">
        <f t="shared" si="204"/>
        <v>0</v>
      </c>
      <c r="U1550" s="846"/>
      <c r="V1550" s="900"/>
      <c r="W1550" s="846"/>
      <c r="X1550" s="846"/>
      <c r="Y1550" s="740">
        <f t="shared" si="200"/>
        <v>0</v>
      </c>
      <c r="Z1550" s="847"/>
      <c r="AA1550" s="847"/>
      <c r="AB1550" s="741">
        <f t="shared" si="201"/>
        <v>0</v>
      </c>
      <c r="AC1550" s="846"/>
      <c r="AD1550" s="847"/>
      <c r="AE1550" s="846"/>
      <c r="AF1550" s="846"/>
      <c r="AG1550" s="847"/>
      <c r="AH1550" s="847"/>
      <c r="AI1550" s="742">
        <f t="shared" si="205"/>
        <v>0</v>
      </c>
      <c r="AJ1550" s="743">
        <f t="shared" si="206"/>
        <v>0</v>
      </c>
    </row>
    <row r="1551" spans="1:36">
      <c r="A1551" s="884" t="s">
        <v>152</v>
      </c>
      <c r="B1551" s="912" t="s">
        <v>210</v>
      </c>
      <c r="C1551" s="891" t="s">
        <v>574</v>
      </c>
      <c r="D1551" s="892"/>
      <c r="E1551" s="904"/>
      <c r="F1551" s="905"/>
      <c r="G1551" s="846"/>
      <c r="H1551" s="847"/>
      <c r="I1551" s="846"/>
      <c r="J1551" s="847"/>
      <c r="K1551" s="846"/>
      <c r="L1551" s="847"/>
      <c r="M1551" s="846"/>
      <c r="N1551" s="846"/>
      <c r="O1551" s="737">
        <f t="shared" si="199"/>
        <v>0</v>
      </c>
      <c r="P1551" s="847"/>
      <c r="Q1551" s="847"/>
      <c r="R1551" s="738">
        <f t="shared" si="202"/>
        <v>0</v>
      </c>
      <c r="S1551" s="737">
        <f t="shared" si="203"/>
        <v>0</v>
      </c>
      <c r="T1551" s="739">
        <f t="shared" si="204"/>
        <v>0</v>
      </c>
      <c r="U1551" s="846">
        <v>8440</v>
      </c>
      <c r="V1551" s="1474">
        <v>591435</v>
      </c>
      <c r="W1551" s="846"/>
      <c r="X1551" s="846"/>
      <c r="Y1551" s="740">
        <f t="shared" si="200"/>
        <v>0</v>
      </c>
      <c r="Z1551" s="847"/>
      <c r="AA1551" s="847"/>
      <c r="AB1551" s="741">
        <f t="shared" si="201"/>
        <v>0</v>
      </c>
      <c r="AC1551" s="846"/>
      <c r="AD1551" s="847"/>
      <c r="AE1551" s="846"/>
      <c r="AF1551" s="846"/>
      <c r="AG1551" s="847"/>
      <c r="AH1551" s="847"/>
      <c r="AI1551" s="742">
        <f t="shared" si="205"/>
        <v>8440</v>
      </c>
      <c r="AJ1551" s="743">
        <f t="shared" si="206"/>
        <v>591435</v>
      </c>
    </row>
    <row r="1552" spans="1:36">
      <c r="A1552" s="884" t="s">
        <v>152</v>
      </c>
      <c r="B1552" s="912" t="s">
        <v>251</v>
      </c>
      <c r="C1552" s="891" t="s">
        <v>575</v>
      </c>
      <c r="D1552" s="892"/>
      <c r="E1552" s="904"/>
      <c r="F1552" s="905"/>
      <c r="G1552" s="846"/>
      <c r="H1552" s="847"/>
      <c r="I1552" s="846"/>
      <c r="J1552" s="847"/>
      <c r="K1552" s="846"/>
      <c r="L1552" s="847"/>
      <c r="M1552" s="846"/>
      <c r="N1552" s="846"/>
      <c r="O1552" s="737">
        <f t="shared" si="199"/>
        <v>0</v>
      </c>
      <c r="P1552" s="847"/>
      <c r="Q1552" s="847"/>
      <c r="R1552" s="738">
        <f t="shared" si="202"/>
        <v>0</v>
      </c>
      <c r="S1552" s="737">
        <f t="shared" si="203"/>
        <v>0</v>
      </c>
      <c r="T1552" s="739">
        <f t="shared" si="204"/>
        <v>0</v>
      </c>
      <c r="U1552" s="846">
        <v>19500</v>
      </c>
      <c r="V1552" s="900">
        <v>8500</v>
      </c>
      <c r="W1552" s="846"/>
      <c r="X1552" s="846"/>
      <c r="Y1552" s="740">
        <f t="shared" si="200"/>
        <v>0</v>
      </c>
      <c r="Z1552" s="847"/>
      <c r="AA1552" s="847"/>
      <c r="AB1552" s="741">
        <f t="shared" si="201"/>
        <v>0</v>
      </c>
      <c r="AC1552" s="846"/>
      <c r="AD1552" s="847"/>
      <c r="AE1552" s="846"/>
      <c r="AF1552" s="846"/>
      <c r="AG1552" s="847"/>
      <c r="AH1552" s="847"/>
      <c r="AI1552" s="742">
        <f t="shared" si="205"/>
        <v>19500</v>
      </c>
      <c r="AJ1552" s="743">
        <f t="shared" si="206"/>
        <v>8500</v>
      </c>
    </row>
    <row r="1553" spans="1:36">
      <c r="A1553" s="884" t="s">
        <v>152</v>
      </c>
      <c r="B1553" s="907" t="s">
        <v>205</v>
      </c>
      <c r="C1553" s="908" t="s">
        <v>523</v>
      </c>
      <c r="D1553" s="909"/>
      <c r="E1553" s="904"/>
      <c r="F1553" s="905"/>
      <c r="G1553" s="846"/>
      <c r="H1553" s="847"/>
      <c r="I1553" s="846"/>
      <c r="J1553" s="847"/>
      <c r="K1553" s="846"/>
      <c r="L1553" s="847"/>
      <c r="M1553" s="846"/>
      <c r="N1553" s="846"/>
      <c r="O1553" s="737">
        <f t="shared" si="199"/>
        <v>0</v>
      </c>
      <c r="P1553" s="847"/>
      <c r="Q1553" s="847"/>
      <c r="R1553" s="738">
        <f t="shared" si="202"/>
        <v>0</v>
      </c>
      <c r="S1553" s="737">
        <f t="shared" si="203"/>
        <v>0</v>
      </c>
      <c r="T1553" s="739">
        <f t="shared" si="204"/>
        <v>0</v>
      </c>
      <c r="U1553" s="846"/>
      <c r="V1553" s="900"/>
      <c r="W1553" s="846"/>
      <c r="X1553" s="846"/>
      <c r="Y1553" s="740">
        <f t="shared" si="200"/>
        <v>0</v>
      </c>
      <c r="Z1553" s="847"/>
      <c r="AA1553" s="847"/>
      <c r="AB1553" s="741">
        <f t="shared" si="201"/>
        <v>0</v>
      </c>
      <c r="AC1553" s="846"/>
      <c r="AD1553" s="847"/>
      <c r="AE1553" s="846"/>
      <c r="AF1553" s="846"/>
      <c r="AG1553" s="847"/>
      <c r="AH1553" s="847"/>
      <c r="AI1553" s="742">
        <f t="shared" si="205"/>
        <v>0</v>
      </c>
      <c r="AJ1553" s="743">
        <f t="shared" si="206"/>
        <v>0</v>
      </c>
    </row>
    <row r="1554" spans="1:36">
      <c r="A1554" s="884" t="s">
        <v>152</v>
      </c>
      <c r="B1554" s="907" t="s">
        <v>218</v>
      </c>
      <c r="C1554" s="891" t="s">
        <v>574</v>
      </c>
      <c r="D1554" s="892"/>
      <c r="E1554" s="904"/>
      <c r="F1554" s="905"/>
      <c r="G1554" s="846"/>
      <c r="H1554" s="847"/>
      <c r="I1554" s="846"/>
      <c r="J1554" s="847"/>
      <c r="K1554" s="846"/>
      <c r="L1554" s="847"/>
      <c r="M1554" s="846"/>
      <c r="N1554" s="846"/>
      <c r="O1554" s="737">
        <f t="shared" si="199"/>
        <v>0</v>
      </c>
      <c r="P1554" s="847"/>
      <c r="Q1554" s="847"/>
      <c r="R1554" s="738">
        <f t="shared" si="202"/>
        <v>0</v>
      </c>
      <c r="S1554" s="737">
        <f t="shared" si="203"/>
        <v>0</v>
      </c>
      <c r="T1554" s="739">
        <f t="shared" si="204"/>
        <v>0</v>
      </c>
      <c r="U1554" s="846">
        <v>0</v>
      </c>
      <c r="V1554" s="1474">
        <v>36615</v>
      </c>
      <c r="W1554" s="846"/>
      <c r="X1554" s="846"/>
      <c r="Y1554" s="740">
        <f t="shared" si="200"/>
        <v>0</v>
      </c>
      <c r="Z1554" s="847"/>
      <c r="AA1554" s="847"/>
      <c r="AB1554" s="741">
        <f t="shared" si="201"/>
        <v>0</v>
      </c>
      <c r="AC1554" s="846"/>
      <c r="AD1554" s="847"/>
      <c r="AE1554" s="846"/>
      <c r="AF1554" s="846"/>
      <c r="AG1554" s="847"/>
      <c r="AH1554" s="847"/>
      <c r="AI1554" s="742">
        <f t="shared" si="205"/>
        <v>0</v>
      </c>
      <c r="AJ1554" s="743">
        <f t="shared" si="206"/>
        <v>36615</v>
      </c>
    </row>
    <row r="1555" spans="1:36">
      <c r="A1555" s="884" t="s">
        <v>152</v>
      </c>
      <c r="B1555" s="912" t="s">
        <v>251</v>
      </c>
      <c r="C1555" s="891" t="s">
        <v>575</v>
      </c>
      <c r="D1555" s="892"/>
      <c r="E1555" s="904"/>
      <c r="F1555" s="905"/>
      <c r="G1555" s="846"/>
      <c r="H1555" s="847"/>
      <c r="I1555" s="846"/>
      <c r="J1555" s="847"/>
      <c r="K1555" s="846"/>
      <c r="L1555" s="847"/>
      <c r="M1555" s="846"/>
      <c r="N1555" s="846"/>
      <c r="O1555" s="737">
        <f t="shared" si="199"/>
        <v>0</v>
      </c>
      <c r="P1555" s="847"/>
      <c r="Q1555" s="847"/>
      <c r="R1555" s="738">
        <f t="shared" si="202"/>
        <v>0</v>
      </c>
      <c r="S1555" s="737">
        <f t="shared" si="203"/>
        <v>0</v>
      </c>
      <c r="T1555" s="739">
        <f t="shared" si="204"/>
        <v>0</v>
      </c>
      <c r="U1555" s="846">
        <v>1000</v>
      </c>
      <c r="V1555" s="900">
        <v>250</v>
      </c>
      <c r="W1555" s="846"/>
      <c r="X1555" s="846"/>
      <c r="Y1555" s="740">
        <f t="shared" si="200"/>
        <v>0</v>
      </c>
      <c r="Z1555" s="847"/>
      <c r="AA1555" s="847"/>
      <c r="AB1555" s="741">
        <f t="shared" si="201"/>
        <v>0</v>
      </c>
      <c r="AC1555" s="846"/>
      <c r="AD1555" s="847"/>
      <c r="AE1555" s="846"/>
      <c r="AF1555" s="846"/>
      <c r="AG1555" s="847"/>
      <c r="AH1555" s="847"/>
      <c r="AI1555" s="742">
        <f t="shared" si="205"/>
        <v>1000</v>
      </c>
      <c r="AJ1555" s="743">
        <f t="shared" si="206"/>
        <v>250</v>
      </c>
    </row>
    <row r="1556" spans="1:36">
      <c r="A1556" s="884" t="s">
        <v>152</v>
      </c>
      <c r="B1556" s="912" t="s">
        <v>292</v>
      </c>
      <c r="C1556" s="906" t="s">
        <v>576</v>
      </c>
      <c r="D1556" s="892"/>
      <c r="E1556" s="904"/>
      <c r="F1556" s="905"/>
      <c r="G1556" s="846"/>
      <c r="H1556" s="847"/>
      <c r="I1556" s="846"/>
      <c r="J1556" s="847"/>
      <c r="K1556" s="846"/>
      <c r="L1556" s="847"/>
      <c r="M1556" s="846"/>
      <c r="N1556" s="846"/>
      <c r="O1556" s="737">
        <f t="shared" si="199"/>
        <v>0</v>
      </c>
      <c r="P1556" s="847"/>
      <c r="Q1556" s="847"/>
      <c r="R1556" s="738">
        <f t="shared" si="202"/>
        <v>0</v>
      </c>
      <c r="S1556" s="737">
        <f t="shared" si="203"/>
        <v>0</v>
      </c>
      <c r="T1556" s="739">
        <f t="shared" si="204"/>
        <v>0</v>
      </c>
      <c r="U1556" s="846"/>
      <c r="V1556" s="900"/>
      <c r="W1556" s="846"/>
      <c r="X1556" s="846"/>
      <c r="Y1556" s="740">
        <f t="shared" si="200"/>
        <v>0</v>
      </c>
      <c r="Z1556" s="847"/>
      <c r="AA1556" s="847"/>
      <c r="AB1556" s="741">
        <f t="shared" si="201"/>
        <v>0</v>
      </c>
      <c r="AC1556" s="846"/>
      <c r="AD1556" s="847"/>
      <c r="AE1556" s="846"/>
      <c r="AF1556" s="846"/>
      <c r="AG1556" s="847"/>
      <c r="AH1556" s="847"/>
      <c r="AI1556" s="742">
        <f t="shared" si="205"/>
        <v>0</v>
      </c>
      <c r="AJ1556" s="743">
        <f t="shared" si="206"/>
        <v>0</v>
      </c>
    </row>
    <row r="1557" spans="1:36">
      <c r="A1557" s="884" t="s">
        <v>152</v>
      </c>
      <c r="B1557" s="907" t="s">
        <v>209</v>
      </c>
      <c r="C1557" s="908" t="s">
        <v>522</v>
      </c>
      <c r="D1557" s="909"/>
      <c r="E1557" s="904"/>
      <c r="F1557" s="905"/>
      <c r="G1557" s="846"/>
      <c r="H1557" s="847"/>
      <c r="I1557" s="846"/>
      <c r="J1557" s="847"/>
      <c r="K1557" s="846"/>
      <c r="L1557" s="847"/>
      <c r="M1557" s="846"/>
      <c r="N1557" s="846"/>
      <c r="O1557" s="737">
        <f t="shared" si="199"/>
        <v>0</v>
      </c>
      <c r="P1557" s="847"/>
      <c r="Q1557" s="847"/>
      <c r="R1557" s="738">
        <f t="shared" si="202"/>
        <v>0</v>
      </c>
      <c r="S1557" s="737">
        <f t="shared" si="203"/>
        <v>0</v>
      </c>
      <c r="T1557" s="739">
        <f t="shared" si="204"/>
        <v>0</v>
      </c>
      <c r="U1557" s="846"/>
      <c r="V1557" s="900"/>
      <c r="W1557" s="846"/>
      <c r="X1557" s="846"/>
      <c r="Y1557" s="740">
        <f t="shared" si="200"/>
        <v>0</v>
      </c>
      <c r="Z1557" s="847"/>
      <c r="AA1557" s="847"/>
      <c r="AB1557" s="741">
        <f t="shared" si="201"/>
        <v>0</v>
      </c>
      <c r="AC1557" s="846"/>
      <c r="AD1557" s="847"/>
      <c r="AE1557" s="846"/>
      <c r="AF1557" s="846"/>
      <c r="AG1557" s="847"/>
      <c r="AH1557" s="847"/>
      <c r="AI1557" s="742">
        <f t="shared" si="205"/>
        <v>0</v>
      </c>
      <c r="AJ1557" s="743">
        <f t="shared" si="206"/>
        <v>0</v>
      </c>
    </row>
    <row r="1558" spans="1:36">
      <c r="A1558" s="884" t="s">
        <v>152</v>
      </c>
      <c r="B1558" s="912" t="s">
        <v>210</v>
      </c>
      <c r="C1558" s="891" t="s">
        <v>249</v>
      </c>
      <c r="D1558" s="892"/>
      <c r="E1558" s="904"/>
      <c r="F1558" s="905"/>
      <c r="G1558" s="846"/>
      <c r="H1558" s="847"/>
      <c r="I1558" s="846"/>
      <c r="J1558" s="847"/>
      <c r="K1558" s="846"/>
      <c r="L1558" s="847"/>
      <c r="M1558" s="846"/>
      <c r="N1558" s="846"/>
      <c r="O1558" s="737">
        <f t="shared" si="199"/>
        <v>0</v>
      </c>
      <c r="P1558" s="847"/>
      <c r="Q1558" s="847"/>
      <c r="R1558" s="738">
        <f t="shared" si="202"/>
        <v>0</v>
      </c>
      <c r="S1558" s="737">
        <f t="shared" si="203"/>
        <v>0</v>
      </c>
      <c r="T1558" s="739">
        <f t="shared" si="204"/>
        <v>0</v>
      </c>
      <c r="U1558" s="1274">
        <v>2395563</v>
      </c>
      <c r="V1558" s="1474">
        <v>1848783</v>
      </c>
      <c r="W1558" s="846"/>
      <c r="X1558" s="846"/>
      <c r="Y1558" s="740">
        <f t="shared" si="200"/>
        <v>0</v>
      </c>
      <c r="Z1558" s="847"/>
      <c r="AA1558" s="847"/>
      <c r="AB1558" s="741">
        <f t="shared" si="201"/>
        <v>0</v>
      </c>
      <c r="AC1558" s="846"/>
      <c r="AD1558" s="847"/>
      <c r="AE1558" s="846"/>
      <c r="AF1558" s="846"/>
      <c r="AG1558" s="847"/>
      <c r="AH1558" s="847"/>
      <c r="AI1558" s="742">
        <f t="shared" si="205"/>
        <v>2395563</v>
      </c>
      <c r="AJ1558" s="743">
        <f t="shared" si="206"/>
        <v>1848783</v>
      </c>
    </row>
    <row r="1559" spans="1:36">
      <c r="A1559" s="884" t="s">
        <v>152</v>
      </c>
      <c r="B1559" s="912" t="s">
        <v>251</v>
      </c>
      <c r="C1559" s="891" t="s">
        <v>577</v>
      </c>
      <c r="D1559" s="892"/>
      <c r="E1559" s="904"/>
      <c r="F1559" s="905"/>
      <c r="G1559" s="846"/>
      <c r="H1559" s="847"/>
      <c r="I1559" s="846"/>
      <c r="J1559" s="847"/>
      <c r="K1559" s="846"/>
      <c r="L1559" s="847"/>
      <c r="M1559" s="846"/>
      <c r="N1559" s="846"/>
      <c r="O1559" s="737">
        <f t="shared" si="199"/>
        <v>0</v>
      </c>
      <c r="P1559" s="847"/>
      <c r="Q1559" s="847"/>
      <c r="R1559" s="738">
        <f t="shared" si="202"/>
        <v>0</v>
      </c>
      <c r="S1559" s="737">
        <f t="shared" si="203"/>
        <v>0</v>
      </c>
      <c r="T1559" s="739">
        <f t="shared" si="204"/>
        <v>0</v>
      </c>
      <c r="U1559" s="1274">
        <v>495305</v>
      </c>
      <c r="V1559" s="1474">
        <v>324966</v>
      </c>
      <c r="W1559" s="846"/>
      <c r="X1559" s="846"/>
      <c r="Y1559" s="740">
        <f t="shared" si="200"/>
        <v>0</v>
      </c>
      <c r="Z1559" s="847"/>
      <c r="AA1559" s="847"/>
      <c r="AB1559" s="741">
        <f t="shared" si="201"/>
        <v>0</v>
      </c>
      <c r="AC1559" s="846"/>
      <c r="AD1559" s="847"/>
      <c r="AE1559" s="846"/>
      <c r="AF1559" s="846"/>
      <c r="AG1559" s="847"/>
      <c r="AH1559" s="847"/>
      <c r="AI1559" s="742">
        <f t="shared" si="205"/>
        <v>495305</v>
      </c>
      <c r="AJ1559" s="743">
        <f t="shared" si="206"/>
        <v>324966</v>
      </c>
    </row>
    <row r="1560" spans="1:36">
      <c r="A1560" s="884" t="s">
        <v>152</v>
      </c>
      <c r="B1560" s="912" t="s">
        <v>292</v>
      </c>
      <c r="C1560" s="906" t="s">
        <v>578</v>
      </c>
      <c r="D1560" s="892"/>
      <c r="E1560" s="904"/>
      <c r="F1560" s="905"/>
      <c r="G1560" s="846"/>
      <c r="H1560" s="847"/>
      <c r="I1560" s="846"/>
      <c r="J1560" s="847"/>
      <c r="K1560" s="846"/>
      <c r="L1560" s="847"/>
      <c r="M1560" s="846"/>
      <c r="N1560" s="846"/>
      <c r="O1560" s="737">
        <f t="shared" si="199"/>
        <v>0</v>
      </c>
      <c r="P1560" s="847"/>
      <c r="Q1560" s="847"/>
      <c r="R1560" s="738">
        <f t="shared" si="202"/>
        <v>0</v>
      </c>
      <c r="S1560" s="737">
        <f t="shared" si="203"/>
        <v>0</v>
      </c>
      <c r="T1560" s="739">
        <f t="shared" si="204"/>
        <v>0</v>
      </c>
      <c r="U1560" s="846"/>
      <c r="V1560" s="900"/>
      <c r="W1560" s="846"/>
      <c r="X1560" s="846"/>
      <c r="Y1560" s="740">
        <f t="shared" si="200"/>
        <v>0</v>
      </c>
      <c r="Z1560" s="847"/>
      <c r="AA1560" s="847"/>
      <c r="AB1560" s="741">
        <f t="shared" si="201"/>
        <v>0</v>
      </c>
      <c r="AC1560" s="846"/>
      <c r="AD1560" s="847"/>
      <c r="AE1560" s="846"/>
      <c r="AF1560" s="846"/>
      <c r="AG1560" s="847"/>
      <c r="AH1560" s="847"/>
      <c r="AI1560" s="742">
        <f t="shared" si="205"/>
        <v>0</v>
      </c>
      <c r="AJ1560" s="743">
        <f t="shared" si="206"/>
        <v>0</v>
      </c>
    </row>
    <row r="1561" spans="1:36">
      <c r="A1561" s="884" t="s">
        <v>152</v>
      </c>
      <c r="B1561" s="907" t="s">
        <v>209</v>
      </c>
      <c r="C1561" s="908" t="s">
        <v>522</v>
      </c>
      <c r="D1561" s="909"/>
      <c r="E1561" s="904"/>
      <c r="F1561" s="905"/>
      <c r="G1561" s="846"/>
      <c r="H1561" s="847"/>
      <c r="I1561" s="846"/>
      <c r="J1561" s="847"/>
      <c r="K1561" s="846"/>
      <c r="L1561" s="847"/>
      <c r="M1561" s="846"/>
      <c r="N1561" s="846"/>
      <c r="O1561" s="737">
        <f t="shared" si="199"/>
        <v>0</v>
      </c>
      <c r="P1561" s="847"/>
      <c r="Q1561" s="847"/>
      <c r="R1561" s="738">
        <f t="shared" si="202"/>
        <v>0</v>
      </c>
      <c r="S1561" s="737">
        <f t="shared" si="203"/>
        <v>0</v>
      </c>
      <c r="T1561" s="739">
        <f t="shared" si="204"/>
        <v>0</v>
      </c>
      <c r="U1561" s="846"/>
      <c r="V1561" s="900"/>
      <c r="W1561" s="846"/>
      <c r="X1561" s="846"/>
      <c r="Y1561" s="740">
        <f t="shared" si="200"/>
        <v>0</v>
      </c>
      <c r="Z1561" s="847"/>
      <c r="AA1561" s="847"/>
      <c r="AB1561" s="741">
        <f t="shared" si="201"/>
        <v>0</v>
      </c>
      <c r="AC1561" s="846"/>
      <c r="AD1561" s="847"/>
      <c r="AE1561" s="846"/>
      <c r="AF1561" s="846"/>
      <c r="AG1561" s="847"/>
      <c r="AH1561" s="847"/>
      <c r="AI1561" s="742">
        <f t="shared" si="205"/>
        <v>0</v>
      </c>
      <c r="AJ1561" s="743">
        <f t="shared" si="206"/>
        <v>0</v>
      </c>
    </row>
    <row r="1562" spans="1:36">
      <c r="A1562" s="884" t="s">
        <v>152</v>
      </c>
      <c r="B1562" s="912" t="s">
        <v>204</v>
      </c>
      <c r="C1562" s="891" t="s">
        <v>249</v>
      </c>
      <c r="D1562" s="892"/>
      <c r="E1562" s="904"/>
      <c r="F1562" s="905"/>
      <c r="G1562" s="846"/>
      <c r="H1562" s="847"/>
      <c r="I1562" s="846"/>
      <c r="J1562" s="847"/>
      <c r="K1562" s="846"/>
      <c r="L1562" s="847"/>
      <c r="M1562" s="846"/>
      <c r="N1562" s="846"/>
      <c r="O1562" s="737">
        <f t="shared" si="199"/>
        <v>0</v>
      </c>
      <c r="P1562" s="847"/>
      <c r="Q1562" s="847"/>
      <c r="R1562" s="738">
        <f t="shared" si="202"/>
        <v>0</v>
      </c>
      <c r="S1562" s="737">
        <f t="shared" si="203"/>
        <v>0</v>
      </c>
      <c r="T1562" s="739">
        <f t="shared" si="204"/>
        <v>0</v>
      </c>
      <c r="U1562" s="846"/>
      <c r="V1562" s="900"/>
      <c r="W1562" s="846"/>
      <c r="X1562" s="846"/>
      <c r="Y1562" s="740">
        <f t="shared" si="200"/>
        <v>0</v>
      </c>
      <c r="Z1562" s="847"/>
      <c r="AA1562" s="847"/>
      <c r="AB1562" s="741">
        <f t="shared" si="201"/>
        <v>0</v>
      </c>
      <c r="AC1562" s="846"/>
      <c r="AD1562" s="847"/>
      <c r="AE1562" s="846"/>
      <c r="AF1562" s="846"/>
      <c r="AG1562" s="847"/>
      <c r="AH1562" s="847"/>
      <c r="AI1562" s="742">
        <f t="shared" si="205"/>
        <v>0</v>
      </c>
      <c r="AJ1562" s="743">
        <f t="shared" si="206"/>
        <v>0</v>
      </c>
    </row>
    <row r="1563" spans="1:36">
      <c r="A1563" s="884" t="s">
        <v>152</v>
      </c>
      <c r="B1563" s="912" t="s">
        <v>204</v>
      </c>
      <c r="C1563" s="891" t="s">
        <v>249</v>
      </c>
      <c r="D1563" s="892"/>
      <c r="E1563" s="904"/>
      <c r="F1563" s="905"/>
      <c r="G1563" s="846"/>
      <c r="H1563" s="847"/>
      <c r="I1563" s="846"/>
      <c r="J1563" s="847"/>
      <c r="K1563" s="846"/>
      <c r="L1563" s="847"/>
      <c r="M1563" s="846"/>
      <c r="N1563" s="846"/>
      <c r="O1563" s="737">
        <f t="shared" si="199"/>
        <v>0</v>
      </c>
      <c r="P1563" s="847"/>
      <c r="Q1563" s="847"/>
      <c r="R1563" s="738">
        <f t="shared" si="202"/>
        <v>0</v>
      </c>
      <c r="S1563" s="737">
        <f t="shared" si="203"/>
        <v>0</v>
      </c>
      <c r="T1563" s="739">
        <f t="shared" si="204"/>
        <v>0</v>
      </c>
      <c r="U1563" s="1274">
        <v>12723874</v>
      </c>
      <c r="V1563" s="1474">
        <v>13027203</v>
      </c>
      <c r="W1563" s="846"/>
      <c r="X1563" s="846"/>
      <c r="Y1563" s="740">
        <f t="shared" si="200"/>
        <v>0</v>
      </c>
      <c r="Z1563" s="847"/>
      <c r="AA1563" s="847"/>
      <c r="AB1563" s="741">
        <f t="shared" si="201"/>
        <v>0</v>
      </c>
      <c r="AC1563" s="846"/>
      <c r="AD1563" s="847"/>
      <c r="AE1563" s="846"/>
      <c r="AF1563" s="846"/>
      <c r="AG1563" s="847"/>
      <c r="AH1563" s="847"/>
      <c r="AI1563" s="742">
        <f t="shared" si="205"/>
        <v>12723874</v>
      </c>
      <c r="AJ1563" s="743">
        <f t="shared" si="206"/>
        <v>13027203</v>
      </c>
    </row>
    <row r="1564" spans="1:36">
      <c r="A1564" s="884" t="s">
        <v>152</v>
      </c>
      <c r="B1564" s="907" t="s">
        <v>205</v>
      </c>
      <c r="C1564" s="908" t="s">
        <v>523</v>
      </c>
      <c r="D1564" s="909"/>
      <c r="E1564" s="904"/>
      <c r="F1564" s="905"/>
      <c r="G1564" s="846"/>
      <c r="H1564" s="847"/>
      <c r="I1564" s="846"/>
      <c r="J1564" s="847"/>
      <c r="K1564" s="846"/>
      <c r="L1564" s="847"/>
      <c r="M1564" s="846"/>
      <c r="N1564" s="846"/>
      <c r="O1564" s="737">
        <f t="shared" si="199"/>
        <v>0</v>
      </c>
      <c r="P1564" s="847"/>
      <c r="Q1564" s="847"/>
      <c r="R1564" s="738">
        <f t="shared" si="202"/>
        <v>0</v>
      </c>
      <c r="S1564" s="737">
        <f t="shared" si="203"/>
        <v>0</v>
      </c>
      <c r="T1564" s="739">
        <f t="shared" si="204"/>
        <v>0</v>
      </c>
      <c r="U1564" s="846"/>
      <c r="V1564" s="900"/>
      <c r="W1564" s="846"/>
      <c r="X1564" s="846"/>
      <c r="Y1564" s="740">
        <f t="shared" si="200"/>
        <v>0</v>
      </c>
      <c r="Z1564" s="847"/>
      <c r="AA1564" s="847"/>
      <c r="AB1564" s="741">
        <f t="shared" si="201"/>
        <v>0</v>
      </c>
      <c r="AC1564" s="846"/>
      <c r="AD1564" s="847"/>
      <c r="AE1564" s="846"/>
      <c r="AF1564" s="846"/>
      <c r="AG1564" s="847"/>
      <c r="AH1564" s="847"/>
      <c r="AI1564" s="742">
        <f t="shared" si="205"/>
        <v>0</v>
      </c>
      <c r="AJ1564" s="743">
        <f t="shared" si="206"/>
        <v>0</v>
      </c>
    </row>
    <row r="1565" spans="1:36">
      <c r="A1565" s="884" t="s">
        <v>152</v>
      </c>
      <c r="B1565" s="912" t="s">
        <v>219</v>
      </c>
      <c r="C1565" s="891" t="s">
        <v>249</v>
      </c>
      <c r="D1565" s="892"/>
      <c r="E1565" s="904"/>
      <c r="F1565" s="905"/>
      <c r="G1565" s="846"/>
      <c r="H1565" s="847"/>
      <c r="I1565" s="846"/>
      <c r="J1565" s="847"/>
      <c r="K1565" s="846"/>
      <c r="L1565" s="847"/>
      <c r="M1565" s="846"/>
      <c r="N1565" s="846"/>
      <c r="O1565" s="737">
        <f t="shared" si="199"/>
        <v>0</v>
      </c>
      <c r="P1565" s="847"/>
      <c r="Q1565" s="847"/>
      <c r="R1565" s="738">
        <f t="shared" si="202"/>
        <v>0</v>
      </c>
      <c r="S1565" s="737">
        <f t="shared" si="203"/>
        <v>0</v>
      </c>
      <c r="T1565" s="739">
        <f t="shared" si="204"/>
        <v>0</v>
      </c>
      <c r="U1565" s="1274">
        <v>1327243</v>
      </c>
      <c r="V1565" s="1474">
        <v>1350339</v>
      </c>
      <c r="W1565" s="846"/>
      <c r="X1565" s="846"/>
      <c r="Y1565" s="740">
        <f t="shared" si="200"/>
        <v>0</v>
      </c>
      <c r="Z1565" s="847"/>
      <c r="AA1565" s="847"/>
      <c r="AB1565" s="741">
        <f t="shared" si="201"/>
        <v>0</v>
      </c>
      <c r="AC1565" s="846"/>
      <c r="AD1565" s="847"/>
      <c r="AE1565" s="846"/>
      <c r="AF1565" s="846"/>
      <c r="AG1565" s="847"/>
      <c r="AH1565" s="847"/>
      <c r="AI1565" s="742">
        <f t="shared" si="205"/>
        <v>1327243</v>
      </c>
      <c r="AJ1565" s="743">
        <f t="shared" si="206"/>
        <v>1350339</v>
      </c>
    </row>
    <row r="1566" spans="1:36">
      <c r="A1566" s="884" t="s">
        <v>152</v>
      </c>
      <c r="B1566" s="912" t="s">
        <v>204</v>
      </c>
      <c r="C1566" s="906" t="s">
        <v>579</v>
      </c>
      <c r="D1566" s="892"/>
      <c r="E1566" s="904"/>
      <c r="F1566" s="905"/>
      <c r="G1566" s="846"/>
      <c r="H1566" s="847"/>
      <c r="I1566" s="846"/>
      <c r="J1566" s="847"/>
      <c r="K1566" s="846"/>
      <c r="L1566" s="847"/>
      <c r="M1566" s="846"/>
      <c r="N1566" s="846"/>
      <c r="O1566" s="737">
        <f t="shared" si="199"/>
        <v>0</v>
      </c>
      <c r="P1566" s="847"/>
      <c r="Q1566" s="847"/>
      <c r="R1566" s="738">
        <f t="shared" si="202"/>
        <v>0</v>
      </c>
      <c r="S1566" s="737">
        <f t="shared" si="203"/>
        <v>0</v>
      </c>
      <c r="T1566" s="739">
        <f t="shared" si="204"/>
        <v>0</v>
      </c>
      <c r="U1566" s="846"/>
      <c r="V1566" s="900"/>
      <c r="W1566" s="846"/>
      <c r="X1566" s="846"/>
      <c r="Y1566" s="740">
        <f t="shared" si="200"/>
        <v>0</v>
      </c>
      <c r="Z1566" s="847"/>
      <c r="AA1566" s="847"/>
      <c r="AB1566" s="741">
        <f t="shared" si="201"/>
        <v>0</v>
      </c>
      <c r="AC1566" s="846"/>
      <c r="AD1566" s="847"/>
      <c r="AE1566" s="846"/>
      <c r="AF1566" s="846"/>
      <c r="AG1566" s="847"/>
      <c r="AH1566" s="847"/>
      <c r="AI1566" s="742">
        <f t="shared" si="205"/>
        <v>0</v>
      </c>
      <c r="AJ1566" s="743">
        <f t="shared" si="206"/>
        <v>0</v>
      </c>
    </row>
    <row r="1567" spans="1:36">
      <c r="A1567" s="884" t="s">
        <v>152</v>
      </c>
      <c r="B1567" s="907" t="s">
        <v>209</v>
      </c>
      <c r="C1567" s="908" t="s">
        <v>522</v>
      </c>
      <c r="D1567" s="909"/>
      <c r="E1567" s="910"/>
      <c r="F1567" s="911"/>
      <c r="G1567" s="846"/>
      <c r="H1567" s="847"/>
      <c r="I1567" s="846"/>
      <c r="J1567" s="847"/>
      <c r="K1567" s="846"/>
      <c r="L1567" s="847"/>
      <c r="M1567" s="846"/>
      <c r="N1567" s="846"/>
      <c r="O1567" s="737">
        <f t="shared" si="199"/>
        <v>0</v>
      </c>
      <c r="P1567" s="847"/>
      <c r="Q1567" s="847"/>
      <c r="R1567" s="738">
        <f t="shared" si="202"/>
        <v>0</v>
      </c>
      <c r="S1567" s="737">
        <f t="shared" si="203"/>
        <v>0</v>
      </c>
      <c r="T1567" s="739">
        <f t="shared" si="204"/>
        <v>0</v>
      </c>
      <c r="U1567" s="846"/>
      <c r="V1567" s="900"/>
      <c r="W1567" s="846"/>
      <c r="X1567" s="846"/>
      <c r="Y1567" s="740">
        <f t="shared" si="200"/>
        <v>0</v>
      </c>
      <c r="Z1567" s="847"/>
      <c r="AA1567" s="847"/>
      <c r="AB1567" s="741">
        <f t="shared" si="201"/>
        <v>0</v>
      </c>
      <c r="AC1567" s="846"/>
      <c r="AD1567" s="847"/>
      <c r="AE1567" s="846"/>
      <c r="AF1567" s="846"/>
      <c r="AG1567" s="847"/>
      <c r="AH1567" s="847"/>
      <c r="AI1567" s="742">
        <f t="shared" si="205"/>
        <v>0</v>
      </c>
      <c r="AJ1567" s="743">
        <f t="shared" si="206"/>
        <v>0</v>
      </c>
    </row>
    <row r="1568" spans="1:36">
      <c r="A1568" s="884" t="s">
        <v>152</v>
      </c>
      <c r="B1568" s="912" t="s">
        <v>252</v>
      </c>
      <c r="C1568" s="891" t="s">
        <v>311</v>
      </c>
      <c r="D1568" s="892"/>
      <c r="E1568" s="904"/>
      <c r="F1568" s="905"/>
      <c r="G1568" s="846"/>
      <c r="H1568" s="847"/>
      <c r="I1568" s="846"/>
      <c r="J1568" s="847"/>
      <c r="K1568" s="846"/>
      <c r="L1568" s="847"/>
      <c r="M1568" s="846"/>
      <c r="N1568" s="846"/>
      <c r="O1568" s="737">
        <f t="shared" si="199"/>
        <v>0</v>
      </c>
      <c r="P1568" s="847"/>
      <c r="Q1568" s="847"/>
      <c r="R1568" s="738">
        <f t="shared" si="202"/>
        <v>0</v>
      </c>
      <c r="S1568" s="737">
        <f t="shared" si="203"/>
        <v>0</v>
      </c>
      <c r="T1568" s="739">
        <f t="shared" si="204"/>
        <v>0</v>
      </c>
      <c r="U1568" s="846"/>
      <c r="V1568" s="900"/>
      <c r="W1568" s="846"/>
      <c r="X1568" s="846"/>
      <c r="Y1568" s="740">
        <f t="shared" si="200"/>
        <v>0</v>
      </c>
      <c r="Z1568" s="847"/>
      <c r="AA1568" s="847"/>
      <c r="AB1568" s="741">
        <f t="shared" si="201"/>
        <v>0</v>
      </c>
      <c r="AC1568" s="846"/>
      <c r="AD1568" s="847"/>
      <c r="AE1568" s="846"/>
      <c r="AF1568" s="846"/>
      <c r="AG1568" s="847"/>
      <c r="AH1568" s="847"/>
      <c r="AI1568" s="742">
        <f t="shared" si="205"/>
        <v>0</v>
      </c>
      <c r="AJ1568" s="743">
        <f t="shared" si="206"/>
        <v>0</v>
      </c>
    </row>
    <row r="1569" spans="1:36">
      <c r="A1569" s="884" t="s">
        <v>152</v>
      </c>
      <c r="B1569" s="912" t="s">
        <v>253</v>
      </c>
      <c r="C1569" s="891" t="s">
        <v>249</v>
      </c>
      <c r="D1569" s="892"/>
      <c r="E1569" s="904"/>
      <c r="F1569" s="905"/>
      <c r="G1569" s="846"/>
      <c r="H1569" s="847"/>
      <c r="I1569" s="846"/>
      <c r="J1569" s="847"/>
      <c r="K1569" s="846"/>
      <c r="L1569" s="847"/>
      <c r="M1569" s="846"/>
      <c r="N1569" s="846"/>
      <c r="O1569" s="737">
        <f t="shared" si="199"/>
        <v>0</v>
      </c>
      <c r="P1569" s="847"/>
      <c r="Q1569" s="847"/>
      <c r="R1569" s="738">
        <f t="shared" si="202"/>
        <v>0</v>
      </c>
      <c r="S1569" s="737">
        <f t="shared" si="203"/>
        <v>0</v>
      </c>
      <c r="T1569" s="739">
        <f t="shared" si="204"/>
        <v>0</v>
      </c>
      <c r="U1569" s="1274">
        <v>4689079</v>
      </c>
      <c r="V1569" s="1474">
        <v>5001727</v>
      </c>
      <c r="W1569" s="846"/>
      <c r="X1569" s="846"/>
      <c r="Y1569" s="740">
        <f t="shared" si="200"/>
        <v>0</v>
      </c>
      <c r="Z1569" s="847"/>
      <c r="AA1569" s="847"/>
      <c r="AB1569" s="741">
        <f t="shared" si="201"/>
        <v>0</v>
      </c>
      <c r="AC1569" s="846"/>
      <c r="AD1569" s="847"/>
      <c r="AE1569" s="846"/>
      <c r="AF1569" s="846"/>
      <c r="AG1569" s="847"/>
      <c r="AH1569" s="847"/>
      <c r="AI1569" s="742">
        <f t="shared" si="205"/>
        <v>4689079</v>
      </c>
      <c r="AJ1569" s="743">
        <f t="shared" si="206"/>
        <v>5001727</v>
      </c>
    </row>
    <row r="1570" spans="1:36">
      <c r="A1570" s="884" t="s">
        <v>152</v>
      </c>
      <c r="B1570" s="907" t="s">
        <v>205</v>
      </c>
      <c r="C1570" s="908" t="s">
        <v>523</v>
      </c>
      <c r="D1570" s="909"/>
      <c r="E1570" s="904"/>
      <c r="F1570" s="905"/>
      <c r="G1570" s="846"/>
      <c r="H1570" s="847"/>
      <c r="I1570" s="846"/>
      <c r="J1570" s="847"/>
      <c r="K1570" s="846"/>
      <c r="L1570" s="847"/>
      <c r="M1570" s="846"/>
      <c r="N1570" s="846"/>
      <c r="O1570" s="737">
        <f t="shared" si="199"/>
        <v>0</v>
      </c>
      <c r="P1570" s="847"/>
      <c r="Q1570" s="847"/>
      <c r="R1570" s="738">
        <f t="shared" si="202"/>
        <v>0</v>
      </c>
      <c r="S1570" s="737">
        <f t="shared" si="203"/>
        <v>0</v>
      </c>
      <c r="T1570" s="739">
        <f t="shared" si="204"/>
        <v>0</v>
      </c>
      <c r="U1570" s="846"/>
      <c r="V1570" s="900"/>
      <c r="W1570" s="846"/>
      <c r="X1570" s="846"/>
      <c r="Y1570" s="740">
        <f t="shared" si="200"/>
        <v>0</v>
      </c>
      <c r="Z1570" s="847"/>
      <c r="AA1570" s="847"/>
      <c r="AB1570" s="741">
        <f t="shared" si="201"/>
        <v>0</v>
      </c>
      <c r="AC1570" s="846"/>
      <c r="AD1570" s="847"/>
      <c r="AE1570" s="846"/>
      <c r="AF1570" s="846"/>
      <c r="AG1570" s="847"/>
      <c r="AH1570" s="847"/>
      <c r="AI1570" s="742">
        <f t="shared" si="205"/>
        <v>0</v>
      </c>
      <c r="AJ1570" s="743">
        <f t="shared" si="206"/>
        <v>0</v>
      </c>
    </row>
    <row r="1571" spans="1:36">
      <c r="A1571" s="884" t="s">
        <v>152</v>
      </c>
      <c r="B1571" s="912" t="s">
        <v>219</v>
      </c>
      <c r="C1571" s="891" t="s">
        <v>249</v>
      </c>
      <c r="D1571" s="892"/>
      <c r="E1571" s="904"/>
      <c r="F1571" s="905"/>
      <c r="G1571" s="846"/>
      <c r="H1571" s="847"/>
      <c r="I1571" s="846"/>
      <c r="J1571" s="847"/>
      <c r="K1571" s="846"/>
      <c r="L1571" s="847"/>
      <c r="M1571" s="846"/>
      <c r="N1571" s="846"/>
      <c r="O1571" s="737">
        <f t="shared" si="199"/>
        <v>0</v>
      </c>
      <c r="P1571" s="847"/>
      <c r="Q1571" s="847"/>
      <c r="R1571" s="738">
        <f t="shared" si="202"/>
        <v>0</v>
      </c>
      <c r="S1571" s="737">
        <f t="shared" si="203"/>
        <v>0</v>
      </c>
      <c r="T1571" s="739">
        <f t="shared" si="204"/>
        <v>0</v>
      </c>
      <c r="U1571" s="1274">
        <v>699166</v>
      </c>
      <c r="V1571" s="1474">
        <v>787501</v>
      </c>
      <c r="W1571" s="846"/>
      <c r="X1571" s="846"/>
      <c r="Y1571" s="740">
        <f t="shared" si="200"/>
        <v>0</v>
      </c>
      <c r="Z1571" s="847"/>
      <c r="AA1571" s="847"/>
      <c r="AB1571" s="741">
        <f t="shared" si="201"/>
        <v>0</v>
      </c>
      <c r="AC1571" s="846"/>
      <c r="AD1571" s="847"/>
      <c r="AE1571" s="846"/>
      <c r="AF1571" s="846"/>
      <c r="AG1571" s="847"/>
      <c r="AH1571" s="847"/>
      <c r="AI1571" s="742">
        <f t="shared" si="205"/>
        <v>699166</v>
      </c>
      <c r="AJ1571" s="743">
        <f t="shared" si="206"/>
        <v>787501</v>
      </c>
    </row>
    <row r="1572" spans="1:36">
      <c r="A1572" s="884" t="s">
        <v>152</v>
      </c>
      <c r="B1572" s="907" t="s">
        <v>209</v>
      </c>
      <c r="C1572" s="906" t="s">
        <v>580</v>
      </c>
      <c r="D1572" s="892"/>
      <c r="E1572" s="904"/>
      <c r="F1572" s="905"/>
      <c r="G1572" s="846"/>
      <c r="H1572" s="847"/>
      <c r="I1572" s="846"/>
      <c r="J1572" s="847"/>
      <c r="K1572" s="846"/>
      <c r="L1572" s="847"/>
      <c r="M1572" s="846"/>
      <c r="N1572" s="846"/>
      <c r="O1572" s="737">
        <f t="shared" si="199"/>
        <v>0</v>
      </c>
      <c r="P1572" s="847"/>
      <c r="Q1572" s="847"/>
      <c r="R1572" s="738">
        <f t="shared" si="202"/>
        <v>0</v>
      </c>
      <c r="S1572" s="737">
        <f t="shared" si="203"/>
        <v>0</v>
      </c>
      <c r="T1572" s="739">
        <f t="shared" si="204"/>
        <v>0</v>
      </c>
      <c r="U1572" s="846"/>
      <c r="V1572" s="900"/>
      <c r="W1572" s="846"/>
      <c r="X1572" s="846"/>
      <c r="Y1572" s="740">
        <f t="shared" si="200"/>
        <v>0</v>
      </c>
      <c r="Z1572" s="847"/>
      <c r="AA1572" s="847"/>
      <c r="AB1572" s="741">
        <f t="shared" si="201"/>
        <v>0</v>
      </c>
      <c r="AC1572" s="846"/>
      <c r="AD1572" s="847"/>
      <c r="AE1572" s="846"/>
      <c r="AF1572" s="846"/>
      <c r="AG1572" s="847"/>
      <c r="AH1572" s="847"/>
      <c r="AI1572" s="742">
        <f t="shared" si="205"/>
        <v>0</v>
      </c>
      <c r="AJ1572" s="743">
        <f t="shared" si="206"/>
        <v>0</v>
      </c>
    </row>
    <row r="1573" spans="1:36">
      <c r="A1573" s="884" t="s">
        <v>152</v>
      </c>
      <c r="B1573" s="907" t="s">
        <v>209</v>
      </c>
      <c r="C1573" s="906" t="s">
        <v>581</v>
      </c>
      <c r="D1573" s="892"/>
      <c r="E1573" s="904"/>
      <c r="F1573" s="905"/>
      <c r="G1573" s="846"/>
      <c r="H1573" s="847"/>
      <c r="I1573" s="846"/>
      <c r="J1573" s="847"/>
      <c r="K1573" s="846"/>
      <c r="L1573" s="847"/>
      <c r="M1573" s="846"/>
      <c r="N1573" s="846"/>
      <c r="O1573" s="737">
        <f t="shared" si="199"/>
        <v>0</v>
      </c>
      <c r="P1573" s="847"/>
      <c r="Q1573" s="847"/>
      <c r="R1573" s="738">
        <f t="shared" si="202"/>
        <v>0</v>
      </c>
      <c r="S1573" s="737">
        <f t="shared" si="203"/>
        <v>0</v>
      </c>
      <c r="T1573" s="739">
        <f t="shared" si="204"/>
        <v>0</v>
      </c>
      <c r="U1573" s="1274">
        <v>593749</v>
      </c>
      <c r="V1573" s="900">
        <v>570795.32000000007</v>
      </c>
      <c r="W1573" s="846"/>
      <c r="X1573" s="846"/>
      <c r="Y1573" s="740">
        <f t="shared" si="200"/>
        <v>0</v>
      </c>
      <c r="Z1573" s="847"/>
      <c r="AA1573" s="847"/>
      <c r="AB1573" s="741">
        <f t="shared" si="201"/>
        <v>0</v>
      </c>
      <c r="AC1573" s="846"/>
      <c r="AD1573" s="847"/>
      <c r="AE1573" s="846"/>
      <c r="AF1573" s="846"/>
      <c r="AG1573" s="847"/>
      <c r="AH1573" s="847"/>
      <c r="AI1573" s="742">
        <f t="shared" si="205"/>
        <v>593749</v>
      </c>
      <c r="AJ1573" s="743">
        <f t="shared" si="206"/>
        <v>570795.32000000007</v>
      </c>
    </row>
    <row r="1574" spans="1:36">
      <c r="A1574" s="884" t="s">
        <v>152</v>
      </c>
      <c r="B1574" s="907" t="s">
        <v>209</v>
      </c>
      <c r="C1574" s="908" t="s">
        <v>522</v>
      </c>
      <c r="D1574" s="909"/>
      <c r="E1574" s="910"/>
      <c r="F1574" s="911"/>
      <c r="G1574" s="846"/>
      <c r="H1574" s="847"/>
      <c r="I1574" s="846"/>
      <c r="J1574" s="847"/>
      <c r="K1574" s="846"/>
      <c r="L1574" s="847"/>
      <c r="M1574" s="846"/>
      <c r="N1574" s="846"/>
      <c r="O1574" s="737">
        <f t="shared" si="199"/>
        <v>0</v>
      </c>
      <c r="P1574" s="847"/>
      <c r="Q1574" s="847"/>
      <c r="R1574" s="738">
        <f t="shared" si="202"/>
        <v>0</v>
      </c>
      <c r="S1574" s="737">
        <f t="shared" si="203"/>
        <v>0</v>
      </c>
      <c r="T1574" s="739">
        <f t="shared" si="204"/>
        <v>0</v>
      </c>
      <c r="U1574" s="846"/>
      <c r="V1574" s="900"/>
      <c r="W1574" s="846"/>
      <c r="X1574" s="846"/>
      <c r="Y1574" s="740">
        <f t="shared" si="200"/>
        <v>0</v>
      </c>
      <c r="Z1574" s="847"/>
      <c r="AA1574" s="847"/>
      <c r="AB1574" s="741">
        <f t="shared" si="201"/>
        <v>0</v>
      </c>
      <c r="AC1574" s="846"/>
      <c r="AD1574" s="847"/>
      <c r="AE1574" s="846"/>
      <c r="AF1574" s="846"/>
      <c r="AG1574" s="847"/>
      <c r="AH1574" s="847"/>
      <c r="AI1574" s="742">
        <f t="shared" si="205"/>
        <v>0</v>
      </c>
      <c r="AJ1574" s="743">
        <f t="shared" si="206"/>
        <v>0</v>
      </c>
    </row>
    <row r="1575" spans="1:36">
      <c r="A1575" s="884" t="s">
        <v>152</v>
      </c>
      <c r="B1575" s="912" t="s">
        <v>253</v>
      </c>
      <c r="C1575" s="891" t="s">
        <v>249</v>
      </c>
      <c r="D1575" s="892"/>
      <c r="E1575" s="904"/>
      <c r="F1575" s="905"/>
      <c r="G1575" s="846"/>
      <c r="H1575" s="847"/>
      <c r="I1575" s="846"/>
      <c r="J1575" s="847"/>
      <c r="K1575" s="846"/>
      <c r="L1575" s="847"/>
      <c r="M1575" s="846"/>
      <c r="N1575" s="846"/>
      <c r="O1575" s="737">
        <f t="shared" si="199"/>
        <v>0</v>
      </c>
      <c r="P1575" s="847"/>
      <c r="Q1575" s="847"/>
      <c r="R1575" s="738">
        <f t="shared" si="202"/>
        <v>0</v>
      </c>
      <c r="S1575" s="737">
        <f t="shared" si="203"/>
        <v>0</v>
      </c>
      <c r="T1575" s="739">
        <f t="shared" si="204"/>
        <v>0</v>
      </c>
      <c r="U1575" s="1274">
        <v>3047063</v>
      </c>
      <c r="V1575" s="1475">
        <v>3282597</v>
      </c>
      <c r="W1575" s="846"/>
      <c r="X1575" s="846"/>
      <c r="Y1575" s="740">
        <f t="shared" si="200"/>
        <v>0</v>
      </c>
      <c r="Z1575" s="847"/>
      <c r="AA1575" s="847"/>
      <c r="AB1575" s="741">
        <f t="shared" si="201"/>
        <v>0</v>
      </c>
      <c r="AC1575" s="846"/>
      <c r="AD1575" s="847"/>
      <c r="AE1575" s="846"/>
      <c r="AF1575" s="846"/>
      <c r="AG1575" s="847"/>
      <c r="AH1575" s="847"/>
      <c r="AI1575" s="742">
        <f t="shared" si="205"/>
        <v>3047063</v>
      </c>
      <c r="AJ1575" s="743">
        <f t="shared" si="206"/>
        <v>3282597</v>
      </c>
    </row>
    <row r="1576" spans="1:36">
      <c r="A1576" s="884" t="s">
        <v>152</v>
      </c>
      <c r="B1576" s="907" t="s">
        <v>205</v>
      </c>
      <c r="C1576" s="891" t="s">
        <v>523</v>
      </c>
      <c r="D1576" s="892"/>
      <c r="E1576" s="904"/>
      <c r="F1576" s="905"/>
      <c r="G1576" s="846"/>
      <c r="H1576" s="847"/>
      <c r="I1576" s="846"/>
      <c r="J1576" s="847"/>
      <c r="K1576" s="846"/>
      <c r="L1576" s="847"/>
      <c r="M1576" s="846"/>
      <c r="N1576" s="846"/>
      <c r="O1576" s="737">
        <f t="shared" si="199"/>
        <v>0</v>
      </c>
      <c r="P1576" s="847"/>
      <c r="Q1576" s="847"/>
      <c r="R1576" s="738">
        <f t="shared" si="202"/>
        <v>0</v>
      </c>
      <c r="S1576" s="737">
        <f t="shared" si="203"/>
        <v>0</v>
      </c>
      <c r="T1576" s="739">
        <f t="shared" si="204"/>
        <v>0</v>
      </c>
      <c r="U1576" s="846"/>
      <c r="V1576" s="900"/>
      <c r="W1576" s="846"/>
      <c r="X1576" s="846"/>
      <c r="Y1576" s="740">
        <f t="shared" si="200"/>
        <v>0</v>
      </c>
      <c r="Z1576" s="847"/>
      <c r="AA1576" s="847"/>
      <c r="AB1576" s="741">
        <f t="shared" si="201"/>
        <v>0</v>
      </c>
      <c r="AC1576" s="846"/>
      <c r="AD1576" s="847"/>
      <c r="AE1576" s="846"/>
      <c r="AF1576" s="846"/>
      <c r="AG1576" s="847"/>
      <c r="AH1576" s="847"/>
      <c r="AI1576" s="742">
        <f t="shared" si="205"/>
        <v>0</v>
      </c>
      <c r="AJ1576" s="743">
        <f t="shared" si="206"/>
        <v>0</v>
      </c>
    </row>
    <row r="1577" spans="1:36">
      <c r="A1577" s="884" t="s">
        <v>152</v>
      </c>
      <c r="B1577" s="912" t="s">
        <v>219</v>
      </c>
      <c r="C1577" s="891" t="s">
        <v>249</v>
      </c>
      <c r="D1577" s="892"/>
      <c r="E1577" s="904"/>
      <c r="F1577" s="905"/>
      <c r="G1577" s="846"/>
      <c r="H1577" s="847"/>
      <c r="I1577" s="846"/>
      <c r="J1577" s="847"/>
      <c r="K1577" s="846"/>
      <c r="L1577" s="847"/>
      <c r="M1577" s="846"/>
      <c r="N1577" s="846"/>
      <c r="O1577" s="737">
        <f t="shared" si="199"/>
        <v>0</v>
      </c>
      <c r="P1577" s="847"/>
      <c r="Q1577" s="847"/>
      <c r="R1577" s="738">
        <f t="shared" si="202"/>
        <v>0</v>
      </c>
      <c r="S1577" s="737">
        <f t="shared" si="203"/>
        <v>0</v>
      </c>
      <c r="T1577" s="739">
        <f t="shared" si="204"/>
        <v>0</v>
      </c>
      <c r="U1577" s="1274">
        <v>1123839</v>
      </c>
      <c r="V1577" s="1474">
        <v>1227502</v>
      </c>
      <c r="W1577" s="846"/>
      <c r="X1577" s="846"/>
      <c r="Y1577" s="740">
        <f t="shared" si="200"/>
        <v>0</v>
      </c>
      <c r="Z1577" s="847"/>
      <c r="AA1577" s="847"/>
      <c r="AB1577" s="741">
        <f t="shared" si="201"/>
        <v>0</v>
      </c>
      <c r="AC1577" s="846"/>
      <c r="AD1577" s="847"/>
      <c r="AE1577" s="846"/>
      <c r="AF1577" s="846"/>
      <c r="AG1577" s="847"/>
      <c r="AH1577" s="847"/>
      <c r="AI1577" s="742">
        <f t="shared" si="205"/>
        <v>1123839</v>
      </c>
      <c r="AJ1577" s="743">
        <f t="shared" si="206"/>
        <v>1227502</v>
      </c>
    </row>
    <row r="1578" spans="1:36">
      <c r="A1578" s="884" t="s">
        <v>152</v>
      </c>
      <c r="B1578" s="912" t="s">
        <v>293</v>
      </c>
      <c r="C1578" s="913" t="s">
        <v>525</v>
      </c>
      <c r="D1578" s="914"/>
      <c r="E1578" s="904"/>
      <c r="F1578" s="905"/>
      <c r="G1578" s="846"/>
      <c r="H1578" s="847"/>
      <c r="I1578" s="846"/>
      <c r="J1578" s="847"/>
      <c r="K1578" s="846"/>
      <c r="L1578" s="847"/>
      <c r="M1578" s="846"/>
      <c r="N1578" s="846"/>
      <c r="O1578" s="737">
        <f t="shared" si="199"/>
        <v>0</v>
      </c>
      <c r="P1578" s="847"/>
      <c r="Q1578" s="847"/>
      <c r="R1578" s="738">
        <f t="shared" si="202"/>
        <v>0</v>
      </c>
      <c r="S1578" s="737">
        <f t="shared" si="203"/>
        <v>0</v>
      </c>
      <c r="T1578" s="739">
        <f t="shared" si="204"/>
        <v>0</v>
      </c>
      <c r="U1578" s="846"/>
      <c r="V1578" s="900"/>
      <c r="W1578" s="846"/>
      <c r="X1578" s="846"/>
      <c r="Y1578" s="740">
        <f t="shared" si="200"/>
        <v>0</v>
      </c>
      <c r="Z1578" s="847"/>
      <c r="AA1578" s="847"/>
      <c r="AB1578" s="741">
        <f t="shared" si="201"/>
        <v>0</v>
      </c>
      <c r="AC1578" s="846"/>
      <c r="AD1578" s="847"/>
      <c r="AE1578" s="846"/>
      <c r="AF1578" s="846"/>
      <c r="AG1578" s="847"/>
      <c r="AH1578" s="847"/>
      <c r="AI1578" s="742">
        <f t="shared" si="205"/>
        <v>0</v>
      </c>
      <c r="AJ1578" s="743">
        <f t="shared" si="206"/>
        <v>0</v>
      </c>
    </row>
    <row r="1579" spans="1:36">
      <c r="A1579" s="884" t="s">
        <v>152</v>
      </c>
      <c r="B1579" s="912" t="s">
        <v>252</v>
      </c>
      <c r="C1579" s="891" t="s">
        <v>582</v>
      </c>
      <c r="D1579" s="892"/>
      <c r="E1579" s="904"/>
      <c r="F1579" s="905"/>
      <c r="G1579" s="846"/>
      <c r="H1579" s="847"/>
      <c r="I1579" s="846"/>
      <c r="J1579" s="847"/>
      <c r="K1579" s="846"/>
      <c r="L1579" s="847"/>
      <c r="M1579" s="846"/>
      <c r="N1579" s="846"/>
      <c r="O1579" s="737">
        <f t="shared" si="199"/>
        <v>0</v>
      </c>
      <c r="P1579" s="847"/>
      <c r="Q1579" s="847"/>
      <c r="R1579" s="738">
        <f t="shared" si="202"/>
        <v>0</v>
      </c>
      <c r="S1579" s="737">
        <f t="shared" si="203"/>
        <v>0</v>
      </c>
      <c r="T1579" s="739">
        <f t="shared" si="204"/>
        <v>0</v>
      </c>
      <c r="U1579" s="1274">
        <v>881364</v>
      </c>
      <c r="V1579" s="1474">
        <v>750000</v>
      </c>
      <c r="W1579" s="846"/>
      <c r="X1579" s="846"/>
      <c r="Y1579" s="740">
        <f t="shared" si="200"/>
        <v>0</v>
      </c>
      <c r="Z1579" s="847"/>
      <c r="AA1579" s="847"/>
      <c r="AB1579" s="741">
        <f t="shared" si="201"/>
        <v>0</v>
      </c>
      <c r="AC1579" s="846"/>
      <c r="AD1579" s="847"/>
      <c r="AE1579" s="846"/>
      <c r="AF1579" s="846"/>
      <c r="AG1579" s="847"/>
      <c r="AH1579" s="847"/>
      <c r="AI1579" s="742">
        <f t="shared" si="205"/>
        <v>881364</v>
      </c>
      <c r="AJ1579" s="743">
        <f t="shared" si="206"/>
        <v>750000</v>
      </c>
    </row>
    <row r="1580" spans="1:36">
      <c r="A1580" s="884" t="s">
        <v>152</v>
      </c>
      <c r="B1580" s="912" t="s">
        <v>253</v>
      </c>
      <c r="C1580" s="891" t="s">
        <v>583</v>
      </c>
      <c r="D1580" s="892"/>
      <c r="E1580" s="904"/>
      <c r="F1580" s="905"/>
      <c r="G1580" s="846"/>
      <c r="H1580" s="847"/>
      <c r="I1580" s="846"/>
      <c r="J1580" s="847"/>
      <c r="K1580" s="846"/>
      <c r="L1580" s="847"/>
      <c r="M1580" s="846"/>
      <c r="N1580" s="846"/>
      <c r="O1580" s="737">
        <f t="shared" si="199"/>
        <v>0</v>
      </c>
      <c r="P1580" s="847"/>
      <c r="Q1580" s="847"/>
      <c r="R1580" s="738">
        <f t="shared" si="202"/>
        <v>0</v>
      </c>
      <c r="S1580" s="737">
        <f t="shared" si="203"/>
        <v>0</v>
      </c>
      <c r="T1580" s="739">
        <f t="shared" si="204"/>
        <v>0</v>
      </c>
      <c r="U1580" s="1274">
        <v>1246341</v>
      </c>
      <c r="V1580" s="1474">
        <v>1534555</v>
      </c>
      <c r="W1580" s="846"/>
      <c r="X1580" s="846"/>
      <c r="Y1580" s="740">
        <f t="shared" si="200"/>
        <v>0</v>
      </c>
      <c r="Z1580" s="847"/>
      <c r="AA1580" s="847"/>
      <c r="AB1580" s="741">
        <f t="shared" si="201"/>
        <v>0</v>
      </c>
      <c r="AC1580" s="846"/>
      <c r="AD1580" s="847"/>
      <c r="AE1580" s="846"/>
      <c r="AF1580" s="846"/>
      <c r="AG1580" s="847"/>
      <c r="AH1580" s="847"/>
      <c r="AI1580" s="742">
        <f t="shared" si="205"/>
        <v>1246341</v>
      </c>
      <c r="AJ1580" s="743">
        <f t="shared" si="206"/>
        <v>1534555</v>
      </c>
    </row>
    <row r="1581" spans="1:36">
      <c r="A1581" s="884" t="s">
        <v>152</v>
      </c>
      <c r="B1581" s="912" t="s">
        <v>293</v>
      </c>
      <c r="C1581" s="913" t="s">
        <v>584</v>
      </c>
      <c r="D1581" s="914"/>
      <c r="E1581" s="904"/>
      <c r="F1581" s="905"/>
      <c r="G1581" s="846"/>
      <c r="H1581" s="847"/>
      <c r="I1581" s="846"/>
      <c r="J1581" s="847"/>
      <c r="K1581" s="846"/>
      <c r="L1581" s="847"/>
      <c r="M1581" s="846"/>
      <c r="N1581" s="846"/>
      <c r="O1581" s="737">
        <f t="shared" si="199"/>
        <v>0</v>
      </c>
      <c r="P1581" s="847"/>
      <c r="Q1581" s="847"/>
      <c r="R1581" s="738">
        <f t="shared" si="202"/>
        <v>0</v>
      </c>
      <c r="S1581" s="737">
        <f t="shared" si="203"/>
        <v>0</v>
      </c>
      <c r="T1581" s="739">
        <f t="shared" si="204"/>
        <v>0</v>
      </c>
      <c r="U1581" s="846"/>
      <c r="V1581" s="900"/>
      <c r="W1581" s="846"/>
      <c r="X1581" s="846"/>
      <c r="Y1581" s="740">
        <f t="shared" si="200"/>
        <v>0</v>
      </c>
      <c r="Z1581" s="847"/>
      <c r="AA1581" s="847"/>
      <c r="AB1581" s="741">
        <f t="shared" si="201"/>
        <v>0</v>
      </c>
      <c r="AC1581" s="846"/>
      <c r="AD1581" s="847"/>
      <c r="AE1581" s="846"/>
      <c r="AF1581" s="846"/>
      <c r="AG1581" s="847"/>
      <c r="AH1581" s="847"/>
      <c r="AI1581" s="742">
        <f t="shared" si="205"/>
        <v>0</v>
      </c>
      <c r="AJ1581" s="743">
        <f t="shared" si="206"/>
        <v>0</v>
      </c>
    </row>
    <row r="1582" spans="1:36">
      <c r="A1582" s="884" t="s">
        <v>152</v>
      </c>
      <c r="B1582" s="912" t="s">
        <v>252</v>
      </c>
      <c r="C1582" s="891" t="s">
        <v>311</v>
      </c>
      <c r="D1582" s="892"/>
      <c r="E1582" s="904"/>
      <c r="F1582" s="905"/>
      <c r="G1582" s="846"/>
      <c r="H1582" s="847"/>
      <c r="I1582" s="846"/>
      <c r="J1582" s="847"/>
      <c r="K1582" s="846"/>
      <c r="L1582" s="847"/>
      <c r="M1582" s="846"/>
      <c r="N1582" s="846"/>
      <c r="O1582" s="737">
        <f t="shared" si="199"/>
        <v>0</v>
      </c>
      <c r="P1582" s="847"/>
      <c r="Q1582" s="847"/>
      <c r="R1582" s="738">
        <f t="shared" si="202"/>
        <v>0</v>
      </c>
      <c r="S1582" s="737">
        <f t="shared" si="203"/>
        <v>0</v>
      </c>
      <c r="T1582" s="739">
        <f t="shared" si="204"/>
        <v>0</v>
      </c>
      <c r="U1582" s="846"/>
      <c r="V1582" s="900"/>
      <c r="W1582" s="846"/>
      <c r="X1582" s="846"/>
      <c r="Y1582" s="740">
        <f t="shared" si="200"/>
        <v>0</v>
      </c>
      <c r="Z1582" s="847"/>
      <c r="AA1582" s="847"/>
      <c r="AB1582" s="741">
        <f t="shared" si="201"/>
        <v>0</v>
      </c>
      <c r="AC1582" s="846"/>
      <c r="AD1582" s="847"/>
      <c r="AE1582" s="846"/>
      <c r="AF1582" s="846"/>
      <c r="AG1582" s="847"/>
      <c r="AH1582" s="847"/>
      <c r="AI1582" s="742">
        <f t="shared" si="205"/>
        <v>0</v>
      </c>
      <c r="AJ1582" s="743">
        <f t="shared" si="206"/>
        <v>0</v>
      </c>
    </row>
    <row r="1583" spans="1:36">
      <c r="A1583" s="884" t="s">
        <v>152</v>
      </c>
      <c r="B1583" s="912" t="s">
        <v>253</v>
      </c>
      <c r="C1583" s="891" t="s">
        <v>585</v>
      </c>
      <c r="D1583" s="892"/>
      <c r="E1583" s="904"/>
      <c r="F1583" s="905"/>
      <c r="G1583" s="846"/>
      <c r="H1583" s="847"/>
      <c r="I1583" s="846"/>
      <c r="J1583" s="847"/>
      <c r="K1583" s="846"/>
      <c r="L1583" s="847"/>
      <c r="M1583" s="846"/>
      <c r="N1583" s="846"/>
      <c r="O1583" s="737">
        <f t="shared" si="199"/>
        <v>0</v>
      </c>
      <c r="P1583" s="847"/>
      <c r="Q1583" s="847"/>
      <c r="R1583" s="738">
        <f t="shared" si="202"/>
        <v>0</v>
      </c>
      <c r="S1583" s="737">
        <f t="shared" si="203"/>
        <v>0</v>
      </c>
      <c r="T1583" s="739">
        <f t="shared" si="204"/>
        <v>0</v>
      </c>
      <c r="U1583" s="1274">
        <v>50319</v>
      </c>
      <c r="V1583" s="1476">
        <v>63600</v>
      </c>
      <c r="W1583" s="846"/>
      <c r="X1583" s="846"/>
      <c r="Y1583" s="740">
        <f t="shared" si="200"/>
        <v>0</v>
      </c>
      <c r="Z1583" s="847"/>
      <c r="AA1583" s="847"/>
      <c r="AB1583" s="741">
        <f t="shared" si="201"/>
        <v>0</v>
      </c>
      <c r="AC1583" s="846"/>
      <c r="AD1583" s="847"/>
      <c r="AE1583" s="846"/>
      <c r="AF1583" s="846"/>
      <c r="AG1583" s="847"/>
      <c r="AH1583" s="847"/>
      <c r="AI1583" s="742">
        <f t="shared" si="205"/>
        <v>50319</v>
      </c>
      <c r="AJ1583" s="743">
        <f t="shared" si="206"/>
        <v>63600</v>
      </c>
    </row>
    <row r="1584" spans="1:36">
      <c r="A1584" s="1331" t="s">
        <v>152</v>
      </c>
      <c r="B1584" s="1332" t="s">
        <v>264</v>
      </c>
      <c r="C1584" s="1333" t="s">
        <v>1596</v>
      </c>
      <c r="D1584" s="1334"/>
      <c r="E1584" s="1335">
        <v>175786</v>
      </c>
      <c r="F1584" s="1336">
        <v>8</v>
      </c>
      <c r="G1584" s="846">
        <v>32427323</v>
      </c>
      <c r="H1584" s="847">
        <v>34874988</v>
      </c>
      <c r="I1584" s="846"/>
      <c r="J1584" s="847"/>
      <c r="K1584" s="846">
        <v>10891615</v>
      </c>
      <c r="L1584" s="847">
        <v>11354921</v>
      </c>
      <c r="M1584" s="846">
        <v>28283932</v>
      </c>
      <c r="N1584" s="846"/>
      <c r="O1584" s="737">
        <f t="shared" si="199"/>
        <v>28283932</v>
      </c>
      <c r="P1584" s="847">
        <v>29775000</v>
      </c>
      <c r="Q1584" s="847"/>
      <c r="R1584" s="738">
        <f t="shared" si="202"/>
        <v>29775000</v>
      </c>
      <c r="S1584" s="737">
        <f t="shared" si="203"/>
        <v>71602870</v>
      </c>
      <c r="T1584" s="739">
        <f t="shared" si="204"/>
        <v>76004909</v>
      </c>
      <c r="U1584" s="846"/>
      <c r="V1584" s="847"/>
      <c r="W1584" s="846"/>
      <c r="X1584" s="846"/>
      <c r="Y1584" s="740">
        <f t="shared" si="200"/>
        <v>0</v>
      </c>
      <c r="Z1584" s="847"/>
      <c r="AA1584" s="847"/>
      <c r="AB1584" s="741">
        <f t="shared" si="201"/>
        <v>0</v>
      </c>
      <c r="AC1584" s="846"/>
      <c r="AD1584" s="847"/>
      <c r="AE1584" s="846"/>
      <c r="AF1584" s="846"/>
      <c r="AG1584" s="847"/>
      <c r="AH1584" s="847"/>
      <c r="AI1584" s="742">
        <f t="shared" si="205"/>
        <v>71602870</v>
      </c>
      <c r="AJ1584" s="743">
        <f t="shared" si="206"/>
        <v>76004909</v>
      </c>
    </row>
    <row r="1585" spans="1:36">
      <c r="A1585" s="1331" t="s">
        <v>152</v>
      </c>
      <c r="B1585" s="1332" t="s">
        <v>272</v>
      </c>
      <c r="C1585" s="1337" t="s">
        <v>636</v>
      </c>
      <c r="D1585" s="1338"/>
      <c r="E1585" s="1335">
        <v>175786</v>
      </c>
      <c r="F1585" s="1336">
        <v>8</v>
      </c>
      <c r="G1585" s="846"/>
      <c r="H1585" s="847"/>
      <c r="I1585" s="846"/>
      <c r="J1585" s="847"/>
      <c r="K1585" s="846"/>
      <c r="L1585" s="847"/>
      <c r="M1585" s="846"/>
      <c r="N1585" s="846"/>
      <c r="O1585" s="737">
        <f t="shared" si="199"/>
        <v>0</v>
      </c>
      <c r="P1585" s="847"/>
      <c r="Q1585" s="847"/>
      <c r="R1585" s="738">
        <f t="shared" si="202"/>
        <v>0</v>
      </c>
      <c r="S1585" s="737">
        <f t="shared" si="203"/>
        <v>0</v>
      </c>
      <c r="T1585" s="739">
        <f t="shared" si="204"/>
        <v>0</v>
      </c>
      <c r="U1585" s="846"/>
      <c r="V1585" s="847"/>
      <c r="W1585" s="846"/>
      <c r="X1585" s="846"/>
      <c r="Y1585" s="740">
        <f t="shared" si="200"/>
        <v>0</v>
      </c>
      <c r="Z1585" s="847"/>
      <c r="AA1585" s="847"/>
      <c r="AB1585" s="741">
        <f t="shared" si="201"/>
        <v>0</v>
      </c>
      <c r="AC1585" s="846"/>
      <c r="AD1585" s="847"/>
      <c r="AE1585" s="846"/>
      <c r="AF1585" s="846"/>
      <c r="AG1585" s="847"/>
      <c r="AH1585" s="847"/>
      <c r="AI1585" s="742">
        <f t="shared" si="205"/>
        <v>0</v>
      </c>
      <c r="AJ1585" s="743">
        <f t="shared" si="206"/>
        <v>0</v>
      </c>
    </row>
    <row r="1586" spans="1:36">
      <c r="A1586" s="1331" t="s">
        <v>152</v>
      </c>
      <c r="B1586" s="1332" t="s">
        <v>272</v>
      </c>
      <c r="C1586" s="1339" t="s">
        <v>1597</v>
      </c>
      <c r="D1586" s="1338"/>
      <c r="E1586" s="1335">
        <v>175786</v>
      </c>
      <c r="F1586" s="1336">
        <v>8</v>
      </c>
      <c r="G1586" s="846"/>
      <c r="H1586" s="847"/>
      <c r="I1586" s="846">
        <v>4370880</v>
      </c>
      <c r="J1586" s="847">
        <v>4410585</v>
      </c>
      <c r="K1586" s="846"/>
      <c r="L1586" s="847"/>
      <c r="M1586" s="846"/>
      <c r="N1586" s="846"/>
      <c r="O1586" s="737">
        <f t="shared" si="199"/>
        <v>0</v>
      </c>
      <c r="P1586" s="847"/>
      <c r="Q1586" s="847"/>
      <c r="R1586" s="738">
        <f t="shared" si="202"/>
        <v>0</v>
      </c>
      <c r="S1586" s="737">
        <f t="shared" si="203"/>
        <v>4370880</v>
      </c>
      <c r="T1586" s="739">
        <f t="shared" si="204"/>
        <v>4410585</v>
      </c>
      <c r="U1586" s="846"/>
      <c r="V1586" s="847"/>
      <c r="W1586" s="846"/>
      <c r="X1586" s="846"/>
      <c r="Y1586" s="740">
        <f t="shared" si="200"/>
        <v>0</v>
      </c>
      <c r="Z1586" s="847"/>
      <c r="AA1586" s="847"/>
      <c r="AB1586" s="741">
        <f t="shared" si="201"/>
        <v>0</v>
      </c>
      <c r="AC1586" s="846"/>
      <c r="AD1586" s="847"/>
      <c r="AE1586" s="846"/>
      <c r="AF1586" s="846"/>
      <c r="AG1586" s="847"/>
      <c r="AH1586" s="847"/>
      <c r="AI1586" s="742">
        <f t="shared" si="205"/>
        <v>4370880</v>
      </c>
      <c r="AJ1586" s="743">
        <f t="shared" si="206"/>
        <v>4410585</v>
      </c>
    </row>
    <row r="1587" spans="1:36">
      <c r="A1587" s="1331" t="s">
        <v>152</v>
      </c>
      <c r="B1587" s="1332" t="s">
        <v>264</v>
      </c>
      <c r="C1587" s="1333" t="s">
        <v>1598</v>
      </c>
      <c r="D1587" s="1334"/>
      <c r="E1587" s="1335">
        <v>175829</v>
      </c>
      <c r="F1587" s="1340">
        <v>8</v>
      </c>
      <c r="G1587" s="846">
        <v>19020898</v>
      </c>
      <c r="H1587" s="847">
        <v>19443110</v>
      </c>
      <c r="I1587" s="846"/>
      <c r="J1587" s="847"/>
      <c r="K1587" s="846">
        <v>5393259</v>
      </c>
      <c r="L1587" s="847">
        <v>5624612</v>
      </c>
      <c r="M1587" s="846">
        <v>13648575</v>
      </c>
      <c r="N1587" s="846"/>
      <c r="O1587" s="737">
        <f t="shared" si="199"/>
        <v>13648575</v>
      </c>
      <c r="P1587" s="847">
        <v>14314929</v>
      </c>
      <c r="Q1587" s="847"/>
      <c r="R1587" s="738">
        <f t="shared" si="202"/>
        <v>14314929</v>
      </c>
      <c r="S1587" s="737">
        <f t="shared" si="203"/>
        <v>38062732</v>
      </c>
      <c r="T1587" s="739">
        <f t="shared" si="204"/>
        <v>39382651</v>
      </c>
      <c r="U1587" s="846"/>
      <c r="V1587" s="847"/>
      <c r="W1587" s="846"/>
      <c r="X1587" s="846"/>
      <c r="Y1587" s="740">
        <f t="shared" si="200"/>
        <v>0</v>
      </c>
      <c r="Z1587" s="847"/>
      <c r="AA1587" s="847"/>
      <c r="AB1587" s="741">
        <f t="shared" si="201"/>
        <v>0</v>
      </c>
      <c r="AC1587" s="846"/>
      <c r="AD1587" s="847"/>
      <c r="AE1587" s="846"/>
      <c r="AF1587" s="846"/>
      <c r="AG1587" s="847"/>
      <c r="AH1587" s="847"/>
      <c r="AI1587" s="742">
        <f t="shared" si="205"/>
        <v>38062732</v>
      </c>
      <c r="AJ1587" s="743">
        <f t="shared" si="206"/>
        <v>39382651</v>
      </c>
    </row>
    <row r="1588" spans="1:36">
      <c r="A1588" s="1331" t="s">
        <v>152</v>
      </c>
      <c r="B1588" s="1332" t="s">
        <v>272</v>
      </c>
      <c r="C1588" s="1337" t="s">
        <v>636</v>
      </c>
      <c r="D1588" s="1338"/>
      <c r="E1588" s="1335">
        <v>175829</v>
      </c>
      <c r="F1588" s="1340">
        <v>8</v>
      </c>
      <c r="G1588" s="846"/>
      <c r="H1588" s="847"/>
      <c r="I1588" s="846"/>
      <c r="J1588" s="847"/>
      <c r="K1588" s="846"/>
      <c r="L1588" s="847"/>
      <c r="M1588" s="846"/>
      <c r="N1588" s="846"/>
      <c r="O1588" s="737">
        <f t="shared" si="199"/>
        <v>0</v>
      </c>
      <c r="P1588" s="847"/>
      <c r="Q1588" s="847"/>
      <c r="R1588" s="738">
        <f t="shared" si="202"/>
        <v>0</v>
      </c>
      <c r="S1588" s="737">
        <f t="shared" si="203"/>
        <v>0</v>
      </c>
      <c r="T1588" s="739">
        <f t="shared" si="204"/>
        <v>0</v>
      </c>
      <c r="U1588" s="846"/>
      <c r="V1588" s="847"/>
      <c r="W1588" s="846"/>
      <c r="X1588" s="846"/>
      <c r="Y1588" s="740">
        <f t="shared" si="200"/>
        <v>0</v>
      </c>
      <c r="Z1588" s="847"/>
      <c r="AA1588" s="847"/>
      <c r="AB1588" s="741">
        <f t="shared" si="201"/>
        <v>0</v>
      </c>
      <c r="AC1588" s="846"/>
      <c r="AD1588" s="847"/>
      <c r="AE1588" s="846"/>
      <c r="AF1588" s="846"/>
      <c r="AG1588" s="847"/>
      <c r="AH1588" s="847"/>
      <c r="AI1588" s="742">
        <f t="shared" si="205"/>
        <v>0</v>
      </c>
      <c r="AJ1588" s="743">
        <f t="shared" si="206"/>
        <v>0</v>
      </c>
    </row>
    <row r="1589" spans="1:36">
      <c r="A1589" s="1331" t="s">
        <v>152</v>
      </c>
      <c r="B1589" s="1332" t="s">
        <v>272</v>
      </c>
      <c r="C1589" s="1339" t="s">
        <v>1597</v>
      </c>
      <c r="D1589" s="1338"/>
      <c r="E1589" s="1335">
        <v>175830</v>
      </c>
      <c r="F1589" s="1336">
        <v>8</v>
      </c>
      <c r="G1589" s="846"/>
      <c r="H1589" s="847"/>
      <c r="I1589" s="846">
        <v>1698245</v>
      </c>
      <c r="J1589" s="847">
        <v>1587766</v>
      </c>
      <c r="K1589" s="846"/>
      <c r="L1589" s="847"/>
      <c r="M1589" s="846"/>
      <c r="N1589" s="846"/>
      <c r="O1589" s="737">
        <f t="shared" si="199"/>
        <v>0</v>
      </c>
      <c r="P1589" s="847"/>
      <c r="Q1589" s="847"/>
      <c r="R1589" s="738">
        <f t="shared" si="202"/>
        <v>0</v>
      </c>
      <c r="S1589" s="737">
        <f t="shared" si="203"/>
        <v>1698245</v>
      </c>
      <c r="T1589" s="739">
        <f t="shared" si="204"/>
        <v>1587766</v>
      </c>
      <c r="U1589" s="846"/>
      <c r="V1589" s="847"/>
      <c r="W1589" s="846"/>
      <c r="X1589" s="846"/>
      <c r="Y1589" s="740">
        <f t="shared" si="200"/>
        <v>0</v>
      </c>
      <c r="Z1589" s="847"/>
      <c r="AA1589" s="847"/>
      <c r="AB1589" s="741">
        <f t="shared" si="201"/>
        <v>0</v>
      </c>
      <c r="AC1589" s="846"/>
      <c r="AD1589" s="847"/>
      <c r="AE1589" s="846"/>
      <c r="AF1589" s="846"/>
      <c r="AG1589" s="847"/>
      <c r="AH1589" s="847"/>
      <c r="AI1589" s="742">
        <f t="shared" si="205"/>
        <v>1698245</v>
      </c>
      <c r="AJ1589" s="743">
        <f t="shared" si="206"/>
        <v>1587766</v>
      </c>
    </row>
    <row r="1590" spans="1:36">
      <c r="A1590" s="1331" t="s">
        <v>152</v>
      </c>
      <c r="B1590" s="1332" t="s">
        <v>264</v>
      </c>
      <c r="C1590" s="1341" t="s">
        <v>1599</v>
      </c>
      <c r="D1590" s="1334"/>
      <c r="E1590" s="1335">
        <v>176071</v>
      </c>
      <c r="F1590" s="1336">
        <v>8</v>
      </c>
      <c r="G1590" s="846">
        <v>27185469</v>
      </c>
      <c r="H1590" s="847">
        <v>29363080</v>
      </c>
      <c r="I1590" s="846"/>
      <c r="J1590" s="847"/>
      <c r="K1590" s="846">
        <v>8886531</v>
      </c>
      <c r="L1590" s="847">
        <v>9078364</v>
      </c>
      <c r="M1590" s="846">
        <v>26833526</v>
      </c>
      <c r="N1590" s="846"/>
      <c r="O1590" s="737">
        <f t="shared" si="199"/>
        <v>26833526</v>
      </c>
      <c r="P1590" s="847">
        <v>27482081</v>
      </c>
      <c r="Q1590" s="847"/>
      <c r="R1590" s="738">
        <f t="shared" si="202"/>
        <v>27482081</v>
      </c>
      <c r="S1590" s="737">
        <f t="shared" si="203"/>
        <v>62905526</v>
      </c>
      <c r="T1590" s="739">
        <f t="shared" si="204"/>
        <v>65923525</v>
      </c>
      <c r="U1590" s="846"/>
      <c r="V1590" s="847"/>
      <c r="W1590" s="846"/>
      <c r="X1590" s="846"/>
      <c r="Y1590" s="740">
        <f t="shared" si="200"/>
        <v>0</v>
      </c>
      <c r="Z1590" s="847"/>
      <c r="AA1590" s="847"/>
      <c r="AB1590" s="741">
        <f t="shared" si="201"/>
        <v>0</v>
      </c>
      <c r="AC1590" s="846"/>
      <c r="AD1590" s="847"/>
      <c r="AE1590" s="846"/>
      <c r="AF1590" s="846"/>
      <c r="AG1590" s="847"/>
      <c r="AH1590" s="847"/>
      <c r="AI1590" s="742">
        <f t="shared" si="205"/>
        <v>62905526</v>
      </c>
      <c r="AJ1590" s="743">
        <f t="shared" si="206"/>
        <v>65923525</v>
      </c>
    </row>
    <row r="1591" spans="1:36">
      <c r="A1591" s="1331" t="s">
        <v>152</v>
      </c>
      <c r="B1591" s="1332" t="s">
        <v>272</v>
      </c>
      <c r="C1591" s="1337" t="s">
        <v>636</v>
      </c>
      <c r="D1591" s="1338"/>
      <c r="E1591" s="1335">
        <v>176071</v>
      </c>
      <c r="F1591" s="1336">
        <v>8</v>
      </c>
      <c r="G1591" s="846"/>
      <c r="H1591" s="847"/>
      <c r="I1591" s="846"/>
      <c r="J1591" s="847"/>
      <c r="K1591" s="846"/>
      <c r="L1591" s="847"/>
      <c r="M1591" s="846"/>
      <c r="N1591" s="846"/>
      <c r="O1591" s="737">
        <f t="shared" si="199"/>
        <v>0</v>
      </c>
      <c r="P1591" s="847"/>
      <c r="Q1591" s="847"/>
      <c r="R1591" s="738">
        <f t="shared" si="202"/>
        <v>0</v>
      </c>
      <c r="S1591" s="737">
        <f t="shared" si="203"/>
        <v>0</v>
      </c>
      <c r="T1591" s="739">
        <f t="shared" si="204"/>
        <v>0</v>
      </c>
      <c r="U1591" s="846"/>
      <c r="V1591" s="847"/>
      <c r="W1591" s="846"/>
      <c r="X1591" s="846"/>
      <c r="Y1591" s="740">
        <f t="shared" si="200"/>
        <v>0</v>
      </c>
      <c r="Z1591" s="847"/>
      <c r="AA1591" s="847"/>
      <c r="AB1591" s="741">
        <f t="shared" si="201"/>
        <v>0</v>
      </c>
      <c r="AC1591" s="846"/>
      <c r="AD1591" s="847"/>
      <c r="AE1591" s="846"/>
      <c r="AF1591" s="846"/>
      <c r="AG1591" s="847"/>
      <c r="AH1591" s="847"/>
      <c r="AI1591" s="742">
        <f t="shared" si="205"/>
        <v>0</v>
      </c>
      <c r="AJ1591" s="743">
        <f t="shared" si="206"/>
        <v>0</v>
      </c>
    </row>
    <row r="1592" spans="1:36">
      <c r="A1592" s="1331" t="s">
        <v>152</v>
      </c>
      <c r="B1592" s="1332" t="s">
        <v>272</v>
      </c>
      <c r="C1592" s="1339" t="s">
        <v>1597</v>
      </c>
      <c r="D1592" s="1338"/>
      <c r="E1592" s="1335">
        <v>176071</v>
      </c>
      <c r="F1592" s="1336">
        <v>8</v>
      </c>
      <c r="G1592" s="846"/>
      <c r="H1592" s="847"/>
      <c r="I1592" s="846">
        <v>3241548.46</v>
      </c>
      <c r="J1592" s="847">
        <v>3336883</v>
      </c>
      <c r="K1592" s="846"/>
      <c r="L1592" s="847"/>
      <c r="M1592" s="846"/>
      <c r="N1592" s="846"/>
      <c r="O1592" s="737">
        <f t="shared" si="199"/>
        <v>0</v>
      </c>
      <c r="P1592" s="847"/>
      <c r="Q1592" s="847"/>
      <c r="R1592" s="738">
        <f t="shared" si="202"/>
        <v>0</v>
      </c>
      <c r="S1592" s="737">
        <f t="shared" si="203"/>
        <v>3241548.46</v>
      </c>
      <c r="T1592" s="739">
        <f t="shared" si="204"/>
        <v>3336883</v>
      </c>
      <c r="U1592" s="846"/>
      <c r="V1592" s="847"/>
      <c r="W1592" s="846"/>
      <c r="X1592" s="846"/>
      <c r="Y1592" s="740">
        <f t="shared" si="200"/>
        <v>0</v>
      </c>
      <c r="Z1592" s="847"/>
      <c r="AA1592" s="847"/>
      <c r="AB1592" s="741">
        <f t="shared" si="201"/>
        <v>0</v>
      </c>
      <c r="AC1592" s="846"/>
      <c r="AD1592" s="847"/>
      <c r="AE1592" s="846"/>
      <c r="AF1592" s="846"/>
      <c r="AG1592" s="847"/>
      <c r="AH1592" s="847"/>
      <c r="AI1592" s="742">
        <f t="shared" si="205"/>
        <v>3241548.46</v>
      </c>
      <c r="AJ1592" s="743">
        <f t="shared" si="206"/>
        <v>3336883</v>
      </c>
    </row>
    <row r="1593" spans="1:36">
      <c r="A1593" s="1331" t="s">
        <v>152</v>
      </c>
      <c r="B1593" s="1332" t="s">
        <v>264</v>
      </c>
      <c r="C1593" s="1341" t="s">
        <v>1600</v>
      </c>
      <c r="D1593" s="1334"/>
      <c r="E1593" s="1335">
        <v>176178</v>
      </c>
      <c r="F1593" s="1336">
        <v>8</v>
      </c>
      <c r="G1593" s="846">
        <v>21976052</v>
      </c>
      <c r="H1593" s="847">
        <v>22289628</v>
      </c>
      <c r="I1593" s="846"/>
      <c r="J1593" s="847"/>
      <c r="K1593" s="846">
        <v>5138490</v>
      </c>
      <c r="L1593" s="847">
        <v>5168228</v>
      </c>
      <c r="M1593" s="846">
        <v>17567374</v>
      </c>
      <c r="N1593" s="846"/>
      <c r="O1593" s="737">
        <f t="shared" si="199"/>
        <v>17567374</v>
      </c>
      <c r="P1593" s="847">
        <v>20132654</v>
      </c>
      <c r="Q1593" s="847"/>
      <c r="R1593" s="738">
        <f t="shared" si="202"/>
        <v>20132654</v>
      </c>
      <c r="S1593" s="737">
        <f t="shared" si="203"/>
        <v>44681916</v>
      </c>
      <c r="T1593" s="739">
        <f t="shared" si="204"/>
        <v>47590510</v>
      </c>
      <c r="U1593" s="846"/>
      <c r="V1593" s="847"/>
      <c r="W1593" s="846"/>
      <c r="X1593" s="846"/>
      <c r="Y1593" s="740">
        <f t="shared" si="200"/>
        <v>0</v>
      </c>
      <c r="Z1593" s="847"/>
      <c r="AA1593" s="847"/>
      <c r="AB1593" s="741">
        <f t="shared" si="201"/>
        <v>0</v>
      </c>
      <c r="AC1593" s="846"/>
      <c r="AD1593" s="847"/>
      <c r="AE1593" s="846"/>
      <c r="AF1593" s="846"/>
      <c r="AG1593" s="847"/>
      <c r="AH1593" s="847"/>
      <c r="AI1593" s="742">
        <f t="shared" si="205"/>
        <v>44681916</v>
      </c>
      <c r="AJ1593" s="743">
        <f t="shared" si="206"/>
        <v>47590510</v>
      </c>
    </row>
    <row r="1594" spans="1:36">
      <c r="A1594" s="1331" t="s">
        <v>152</v>
      </c>
      <c r="B1594" s="1332" t="s">
        <v>272</v>
      </c>
      <c r="C1594" s="1337" t="s">
        <v>636</v>
      </c>
      <c r="D1594" s="1338"/>
      <c r="E1594" s="1335">
        <v>176178</v>
      </c>
      <c r="F1594" s="1336">
        <v>8</v>
      </c>
      <c r="G1594" s="846"/>
      <c r="H1594" s="847"/>
      <c r="I1594" s="846"/>
      <c r="J1594" s="847"/>
      <c r="K1594" s="846"/>
      <c r="L1594" s="847"/>
      <c r="M1594" s="846"/>
      <c r="N1594" s="846"/>
      <c r="O1594" s="737">
        <f t="shared" si="199"/>
        <v>0</v>
      </c>
      <c r="P1594" s="847"/>
      <c r="Q1594" s="847"/>
      <c r="R1594" s="738">
        <f t="shared" si="202"/>
        <v>0</v>
      </c>
      <c r="S1594" s="737">
        <f t="shared" si="203"/>
        <v>0</v>
      </c>
      <c r="T1594" s="739">
        <f t="shared" si="204"/>
        <v>0</v>
      </c>
      <c r="U1594" s="846"/>
      <c r="V1594" s="847"/>
      <c r="W1594" s="846"/>
      <c r="X1594" s="846"/>
      <c r="Y1594" s="740">
        <f t="shared" si="200"/>
        <v>0</v>
      </c>
      <c r="Z1594" s="847"/>
      <c r="AA1594" s="847"/>
      <c r="AB1594" s="741">
        <f t="shared" si="201"/>
        <v>0</v>
      </c>
      <c r="AC1594" s="846"/>
      <c r="AD1594" s="847"/>
      <c r="AE1594" s="846"/>
      <c r="AF1594" s="846"/>
      <c r="AG1594" s="847"/>
      <c r="AH1594" s="847"/>
      <c r="AI1594" s="742">
        <f t="shared" si="205"/>
        <v>0</v>
      </c>
      <c r="AJ1594" s="743">
        <f t="shared" si="206"/>
        <v>0</v>
      </c>
    </row>
    <row r="1595" spans="1:36">
      <c r="A1595" s="1331" t="s">
        <v>152</v>
      </c>
      <c r="B1595" s="1332" t="s">
        <v>272</v>
      </c>
      <c r="C1595" s="1339" t="s">
        <v>1597</v>
      </c>
      <c r="D1595" s="1338"/>
      <c r="E1595" s="1335">
        <v>176178</v>
      </c>
      <c r="F1595" s="1336">
        <v>8</v>
      </c>
      <c r="G1595" s="846"/>
      <c r="H1595" s="847"/>
      <c r="I1595" s="846">
        <v>2068295</v>
      </c>
      <c r="J1595" s="847">
        <v>2022843</v>
      </c>
      <c r="K1595" s="846"/>
      <c r="L1595" s="847"/>
      <c r="M1595" s="846"/>
      <c r="N1595" s="846"/>
      <c r="O1595" s="737">
        <f t="shared" si="199"/>
        <v>0</v>
      </c>
      <c r="P1595" s="847"/>
      <c r="Q1595" s="847"/>
      <c r="R1595" s="738">
        <f t="shared" si="202"/>
        <v>0</v>
      </c>
      <c r="S1595" s="737">
        <f t="shared" si="203"/>
        <v>2068295</v>
      </c>
      <c r="T1595" s="739">
        <f t="shared" si="204"/>
        <v>2022843</v>
      </c>
      <c r="U1595" s="846"/>
      <c r="V1595" s="847"/>
      <c r="W1595" s="846"/>
      <c r="X1595" s="846"/>
      <c r="Y1595" s="740">
        <f t="shared" si="200"/>
        <v>0</v>
      </c>
      <c r="Z1595" s="847"/>
      <c r="AA1595" s="847"/>
      <c r="AB1595" s="741">
        <f t="shared" si="201"/>
        <v>0</v>
      </c>
      <c r="AC1595" s="846"/>
      <c r="AD1595" s="847"/>
      <c r="AE1595" s="846"/>
      <c r="AF1595" s="846"/>
      <c r="AG1595" s="847"/>
      <c r="AH1595" s="847"/>
      <c r="AI1595" s="742">
        <f t="shared" si="205"/>
        <v>2068295</v>
      </c>
      <c r="AJ1595" s="743">
        <f t="shared" si="206"/>
        <v>2022843</v>
      </c>
    </row>
    <row r="1596" spans="1:36">
      <c r="A1596" s="1331" t="s">
        <v>152</v>
      </c>
      <c r="B1596" s="1332" t="s">
        <v>264</v>
      </c>
      <c r="C1596" s="1333" t="s">
        <v>1601</v>
      </c>
      <c r="D1596" s="1334"/>
      <c r="E1596" s="1335">
        <v>175573</v>
      </c>
      <c r="F1596" s="1336">
        <v>9</v>
      </c>
      <c r="G1596" s="846">
        <v>11202177</v>
      </c>
      <c r="H1596" s="847">
        <v>11256853</v>
      </c>
      <c r="I1596" s="846"/>
      <c r="J1596" s="847"/>
      <c r="K1596" s="846">
        <v>2332531</v>
      </c>
      <c r="L1596" s="1023">
        <v>2178897</v>
      </c>
      <c r="M1596" s="846">
        <v>7764888</v>
      </c>
      <c r="N1596" s="846"/>
      <c r="O1596" s="737">
        <f t="shared" si="199"/>
        <v>7764888</v>
      </c>
      <c r="P1596" s="847">
        <v>8094607</v>
      </c>
      <c r="Q1596" s="847"/>
      <c r="R1596" s="738">
        <f t="shared" si="202"/>
        <v>8094607</v>
      </c>
      <c r="S1596" s="737">
        <f t="shared" si="203"/>
        <v>21299596</v>
      </c>
      <c r="T1596" s="739">
        <f t="shared" si="204"/>
        <v>21530357</v>
      </c>
      <c r="U1596" s="846"/>
      <c r="V1596" s="847"/>
      <c r="W1596" s="846"/>
      <c r="X1596" s="846"/>
      <c r="Y1596" s="740">
        <f t="shared" si="200"/>
        <v>0</v>
      </c>
      <c r="Z1596" s="847"/>
      <c r="AA1596" s="847"/>
      <c r="AB1596" s="741">
        <f t="shared" si="201"/>
        <v>0</v>
      </c>
      <c r="AC1596" s="846"/>
      <c r="AD1596" s="847"/>
      <c r="AE1596" s="846"/>
      <c r="AF1596" s="846"/>
      <c r="AG1596" s="847"/>
      <c r="AH1596" s="847"/>
      <c r="AI1596" s="742">
        <f t="shared" si="205"/>
        <v>21299596</v>
      </c>
      <c r="AJ1596" s="743">
        <f t="shared" si="206"/>
        <v>21530357</v>
      </c>
    </row>
    <row r="1597" spans="1:36">
      <c r="A1597" s="1331" t="s">
        <v>152</v>
      </c>
      <c r="B1597" s="1332" t="s">
        <v>272</v>
      </c>
      <c r="C1597" s="1337" t="s">
        <v>636</v>
      </c>
      <c r="D1597" s="1338"/>
      <c r="E1597" s="1335">
        <v>175573</v>
      </c>
      <c r="F1597" s="1336">
        <v>9</v>
      </c>
      <c r="G1597" s="846"/>
      <c r="H1597" s="847"/>
      <c r="I1597" s="846"/>
      <c r="J1597" s="847"/>
      <c r="K1597" s="846"/>
      <c r="L1597" s="847"/>
      <c r="M1597" s="846"/>
      <c r="N1597" s="846"/>
      <c r="O1597" s="737">
        <f t="shared" si="199"/>
        <v>0</v>
      </c>
      <c r="P1597" s="847"/>
      <c r="Q1597" s="847"/>
      <c r="R1597" s="738">
        <f t="shared" si="202"/>
        <v>0</v>
      </c>
      <c r="S1597" s="737">
        <f t="shared" si="203"/>
        <v>0</v>
      </c>
      <c r="T1597" s="739">
        <f t="shared" si="204"/>
        <v>0</v>
      </c>
      <c r="U1597" s="846"/>
      <c r="V1597" s="847"/>
      <c r="W1597" s="846"/>
      <c r="X1597" s="846"/>
      <c r="Y1597" s="740">
        <f t="shared" si="200"/>
        <v>0</v>
      </c>
      <c r="Z1597" s="847"/>
      <c r="AA1597" s="847"/>
      <c r="AB1597" s="741">
        <f t="shared" si="201"/>
        <v>0</v>
      </c>
      <c r="AC1597" s="846"/>
      <c r="AD1597" s="847"/>
      <c r="AE1597" s="846"/>
      <c r="AF1597" s="846"/>
      <c r="AG1597" s="847"/>
      <c r="AH1597" s="847"/>
      <c r="AI1597" s="742">
        <f t="shared" si="205"/>
        <v>0</v>
      </c>
      <c r="AJ1597" s="743">
        <f t="shared" si="206"/>
        <v>0</v>
      </c>
    </row>
    <row r="1598" spans="1:36">
      <c r="A1598" s="1331" t="s">
        <v>152</v>
      </c>
      <c r="B1598" s="1332" t="s">
        <v>272</v>
      </c>
      <c r="C1598" s="1339" t="s">
        <v>1597</v>
      </c>
      <c r="D1598" s="1338"/>
      <c r="E1598" s="1335">
        <v>175573</v>
      </c>
      <c r="F1598" s="1336">
        <v>9</v>
      </c>
      <c r="G1598" s="846"/>
      <c r="H1598" s="847"/>
      <c r="I1598" s="846">
        <v>1263240.75</v>
      </c>
      <c r="J1598" s="847">
        <v>1208129</v>
      </c>
      <c r="K1598" s="846"/>
      <c r="L1598" s="847"/>
      <c r="M1598" s="846"/>
      <c r="N1598" s="846"/>
      <c r="O1598" s="737">
        <f t="shared" si="199"/>
        <v>0</v>
      </c>
      <c r="P1598" s="847"/>
      <c r="Q1598" s="847"/>
      <c r="R1598" s="738">
        <f t="shared" si="202"/>
        <v>0</v>
      </c>
      <c r="S1598" s="737">
        <f t="shared" si="203"/>
        <v>1263240.75</v>
      </c>
      <c r="T1598" s="739">
        <f t="shared" si="204"/>
        <v>1208129</v>
      </c>
      <c r="U1598" s="846"/>
      <c r="V1598" s="847"/>
      <c r="W1598" s="846"/>
      <c r="X1598" s="846"/>
      <c r="Y1598" s="740">
        <f t="shared" si="200"/>
        <v>0</v>
      </c>
      <c r="Z1598" s="847"/>
      <c r="AA1598" s="847"/>
      <c r="AB1598" s="741">
        <f t="shared" si="201"/>
        <v>0</v>
      </c>
      <c r="AC1598" s="846"/>
      <c r="AD1598" s="847"/>
      <c r="AE1598" s="846"/>
      <c r="AF1598" s="846"/>
      <c r="AG1598" s="847"/>
      <c r="AH1598" s="847"/>
      <c r="AI1598" s="742">
        <f t="shared" si="205"/>
        <v>1263240.75</v>
      </c>
      <c r="AJ1598" s="743">
        <f t="shared" si="206"/>
        <v>1208129</v>
      </c>
    </row>
    <row r="1599" spans="1:36">
      <c r="A1599" s="1331" t="s">
        <v>152</v>
      </c>
      <c r="B1599" s="1332" t="s">
        <v>264</v>
      </c>
      <c r="C1599" s="1341" t="s">
        <v>1602</v>
      </c>
      <c r="D1599" s="1334"/>
      <c r="E1599" s="1335">
        <v>175643</v>
      </c>
      <c r="F1599" s="1336">
        <v>9</v>
      </c>
      <c r="G1599" s="846">
        <v>9454214</v>
      </c>
      <c r="H1599" s="847">
        <v>9943166</v>
      </c>
      <c r="I1599" s="846"/>
      <c r="J1599" s="847"/>
      <c r="K1599" s="846">
        <v>1283765</v>
      </c>
      <c r="L1599" s="1023">
        <v>1273159</v>
      </c>
      <c r="M1599" s="846">
        <v>5608148</v>
      </c>
      <c r="N1599" s="846"/>
      <c r="O1599" s="737">
        <f t="shared" si="199"/>
        <v>5608148</v>
      </c>
      <c r="P1599" s="847">
        <v>5345124</v>
      </c>
      <c r="Q1599" s="847"/>
      <c r="R1599" s="738">
        <f t="shared" si="202"/>
        <v>5345124</v>
      </c>
      <c r="S1599" s="737">
        <f t="shared" si="203"/>
        <v>16346127</v>
      </c>
      <c r="T1599" s="739">
        <f t="shared" si="204"/>
        <v>16561449</v>
      </c>
      <c r="U1599" s="846"/>
      <c r="V1599" s="847"/>
      <c r="W1599" s="846"/>
      <c r="X1599" s="846"/>
      <c r="Y1599" s="740">
        <f t="shared" si="200"/>
        <v>0</v>
      </c>
      <c r="Z1599" s="847"/>
      <c r="AA1599" s="847"/>
      <c r="AB1599" s="741">
        <f t="shared" si="201"/>
        <v>0</v>
      </c>
      <c r="AC1599" s="846"/>
      <c r="AD1599" s="847"/>
      <c r="AE1599" s="846"/>
      <c r="AF1599" s="846"/>
      <c r="AG1599" s="847"/>
      <c r="AH1599" s="847"/>
      <c r="AI1599" s="742">
        <f t="shared" si="205"/>
        <v>16346127</v>
      </c>
      <c r="AJ1599" s="743">
        <f t="shared" si="206"/>
        <v>16561449</v>
      </c>
    </row>
    <row r="1600" spans="1:36">
      <c r="A1600" s="1331" t="s">
        <v>152</v>
      </c>
      <c r="B1600" s="1332" t="s">
        <v>272</v>
      </c>
      <c r="C1600" s="1337" t="s">
        <v>636</v>
      </c>
      <c r="D1600" s="1338"/>
      <c r="E1600" s="1335">
        <v>175643</v>
      </c>
      <c r="F1600" s="1336">
        <v>9</v>
      </c>
      <c r="G1600" s="846"/>
      <c r="H1600" s="847"/>
      <c r="I1600" s="846"/>
      <c r="J1600" s="847"/>
      <c r="K1600" s="846"/>
      <c r="L1600" s="847"/>
      <c r="M1600" s="846"/>
      <c r="N1600" s="846"/>
      <c r="O1600" s="737">
        <f t="shared" si="199"/>
        <v>0</v>
      </c>
      <c r="P1600" s="847"/>
      <c r="Q1600" s="847"/>
      <c r="R1600" s="738">
        <f t="shared" si="202"/>
        <v>0</v>
      </c>
      <c r="S1600" s="737">
        <f t="shared" si="203"/>
        <v>0</v>
      </c>
      <c r="T1600" s="739">
        <f t="shared" si="204"/>
        <v>0</v>
      </c>
      <c r="U1600" s="846"/>
      <c r="V1600" s="847"/>
      <c r="W1600" s="846"/>
      <c r="X1600" s="846"/>
      <c r="Y1600" s="740">
        <f t="shared" si="200"/>
        <v>0</v>
      </c>
      <c r="Z1600" s="847"/>
      <c r="AA1600" s="847"/>
      <c r="AB1600" s="741">
        <f t="shared" si="201"/>
        <v>0</v>
      </c>
      <c r="AC1600" s="846"/>
      <c r="AD1600" s="847"/>
      <c r="AE1600" s="846"/>
      <c r="AF1600" s="846"/>
      <c r="AG1600" s="847"/>
      <c r="AH1600" s="847"/>
      <c r="AI1600" s="742">
        <f t="shared" si="205"/>
        <v>0</v>
      </c>
      <c r="AJ1600" s="743">
        <f t="shared" si="206"/>
        <v>0</v>
      </c>
    </row>
    <row r="1601" spans="1:36">
      <c r="A1601" s="1331" t="s">
        <v>152</v>
      </c>
      <c r="B1601" s="1332" t="s">
        <v>272</v>
      </c>
      <c r="C1601" s="1339" t="s">
        <v>1597</v>
      </c>
      <c r="D1601" s="1338"/>
      <c r="E1601" s="1335">
        <v>175643</v>
      </c>
      <c r="F1601" s="1336">
        <v>9</v>
      </c>
      <c r="G1601" s="846"/>
      <c r="H1601" s="847"/>
      <c r="I1601" s="846">
        <v>1087765</v>
      </c>
      <c r="J1601" s="847">
        <v>1059419</v>
      </c>
      <c r="K1601" s="846"/>
      <c r="L1601" s="847"/>
      <c r="M1601" s="846"/>
      <c r="N1601" s="846"/>
      <c r="O1601" s="737">
        <f t="shared" si="199"/>
        <v>0</v>
      </c>
      <c r="P1601" s="847"/>
      <c r="Q1601" s="847"/>
      <c r="R1601" s="738">
        <f t="shared" si="202"/>
        <v>0</v>
      </c>
      <c r="S1601" s="737">
        <f t="shared" si="203"/>
        <v>1087765</v>
      </c>
      <c r="T1601" s="739">
        <f t="shared" si="204"/>
        <v>1059419</v>
      </c>
      <c r="U1601" s="846"/>
      <c r="V1601" s="847"/>
      <c r="W1601" s="846"/>
      <c r="X1601" s="846"/>
      <c r="Y1601" s="740">
        <f t="shared" si="200"/>
        <v>0</v>
      </c>
      <c r="Z1601" s="847"/>
      <c r="AA1601" s="847"/>
      <c r="AB1601" s="741">
        <f t="shared" si="201"/>
        <v>0</v>
      </c>
      <c r="AC1601" s="846"/>
      <c r="AD1601" s="847"/>
      <c r="AE1601" s="846"/>
      <c r="AF1601" s="846"/>
      <c r="AG1601" s="847"/>
      <c r="AH1601" s="847"/>
      <c r="AI1601" s="742">
        <f t="shared" si="205"/>
        <v>1087765</v>
      </c>
      <c r="AJ1601" s="743">
        <f t="shared" si="206"/>
        <v>1059419</v>
      </c>
    </row>
    <row r="1602" spans="1:36">
      <c r="A1602" s="1331" t="s">
        <v>152</v>
      </c>
      <c r="B1602" s="1332" t="s">
        <v>264</v>
      </c>
      <c r="C1602" s="1341" t="s">
        <v>1603</v>
      </c>
      <c r="D1602" s="1342"/>
      <c r="E1602" s="1335">
        <v>175652</v>
      </c>
      <c r="F1602" s="1336">
        <v>9</v>
      </c>
      <c r="G1602" s="846">
        <v>14216616</v>
      </c>
      <c r="H1602" s="847">
        <v>14707042</v>
      </c>
      <c r="I1602" s="846"/>
      <c r="J1602" s="847"/>
      <c r="K1602" s="846">
        <v>1705200</v>
      </c>
      <c r="L1602" s="847">
        <v>1847200</v>
      </c>
      <c r="M1602" s="846">
        <v>13932026</v>
      </c>
      <c r="N1602" s="846"/>
      <c r="O1602" s="737">
        <f t="shared" si="199"/>
        <v>13932026</v>
      </c>
      <c r="P1602" s="847">
        <v>12450780</v>
      </c>
      <c r="Q1602" s="847"/>
      <c r="R1602" s="738">
        <f t="shared" si="202"/>
        <v>12450780</v>
      </c>
      <c r="S1602" s="737">
        <f t="shared" si="203"/>
        <v>29853842</v>
      </c>
      <c r="T1602" s="739">
        <f t="shared" si="204"/>
        <v>29005022</v>
      </c>
      <c r="U1602" s="846"/>
      <c r="V1602" s="847"/>
      <c r="W1602" s="846"/>
      <c r="X1602" s="846"/>
      <c r="Y1602" s="740">
        <f t="shared" si="200"/>
        <v>0</v>
      </c>
      <c r="Z1602" s="847"/>
      <c r="AA1602" s="847"/>
      <c r="AB1602" s="741">
        <f t="shared" si="201"/>
        <v>0</v>
      </c>
      <c r="AC1602" s="846"/>
      <c r="AD1602" s="847"/>
      <c r="AE1602" s="846"/>
      <c r="AF1602" s="846"/>
      <c r="AG1602" s="847"/>
      <c r="AH1602" s="847"/>
      <c r="AI1602" s="742">
        <f t="shared" si="205"/>
        <v>29853842</v>
      </c>
      <c r="AJ1602" s="743">
        <f t="shared" si="206"/>
        <v>29005022</v>
      </c>
    </row>
    <row r="1603" spans="1:36">
      <c r="A1603" s="1331" t="s">
        <v>152</v>
      </c>
      <c r="B1603" s="1332" t="s">
        <v>272</v>
      </c>
      <c r="C1603" s="1337" t="s">
        <v>636</v>
      </c>
      <c r="D1603" s="1338"/>
      <c r="E1603" s="1335">
        <v>175652</v>
      </c>
      <c r="F1603" s="1336">
        <v>9</v>
      </c>
      <c r="G1603" s="846"/>
      <c r="H1603" s="847"/>
      <c r="I1603" s="846"/>
      <c r="J1603" s="847"/>
      <c r="K1603" s="846"/>
      <c r="L1603" s="847"/>
      <c r="M1603" s="846"/>
      <c r="N1603" s="846"/>
      <c r="O1603" s="737">
        <f t="shared" si="199"/>
        <v>0</v>
      </c>
      <c r="P1603" s="847"/>
      <c r="Q1603" s="847"/>
      <c r="R1603" s="738">
        <f t="shared" si="202"/>
        <v>0</v>
      </c>
      <c r="S1603" s="737">
        <f t="shared" si="203"/>
        <v>0</v>
      </c>
      <c r="T1603" s="739">
        <f t="shared" si="204"/>
        <v>0</v>
      </c>
      <c r="U1603" s="846"/>
      <c r="V1603" s="847"/>
      <c r="W1603" s="846"/>
      <c r="X1603" s="846"/>
      <c r="Y1603" s="740">
        <f t="shared" si="200"/>
        <v>0</v>
      </c>
      <c r="Z1603" s="847"/>
      <c r="AA1603" s="847"/>
      <c r="AB1603" s="741">
        <f t="shared" si="201"/>
        <v>0</v>
      </c>
      <c r="AC1603" s="846"/>
      <c r="AD1603" s="847"/>
      <c r="AE1603" s="846"/>
      <c r="AF1603" s="846"/>
      <c r="AG1603" s="847"/>
      <c r="AH1603" s="847"/>
      <c r="AI1603" s="742">
        <f t="shared" si="205"/>
        <v>0</v>
      </c>
      <c r="AJ1603" s="743">
        <f t="shared" si="206"/>
        <v>0</v>
      </c>
    </row>
    <row r="1604" spans="1:36">
      <c r="A1604" s="1331" t="s">
        <v>152</v>
      </c>
      <c r="B1604" s="1332" t="s">
        <v>272</v>
      </c>
      <c r="C1604" s="1339" t="s">
        <v>1597</v>
      </c>
      <c r="D1604" s="1338"/>
      <c r="E1604" s="1335">
        <v>175652</v>
      </c>
      <c r="F1604" s="1336">
        <v>9</v>
      </c>
      <c r="G1604" s="846"/>
      <c r="H1604" s="847"/>
      <c r="I1604" s="846">
        <v>1138549.03</v>
      </c>
      <c r="J1604" s="847">
        <v>1240343</v>
      </c>
      <c r="K1604" s="846"/>
      <c r="L1604" s="847"/>
      <c r="M1604" s="846"/>
      <c r="N1604" s="846"/>
      <c r="O1604" s="737">
        <f t="shared" si="199"/>
        <v>0</v>
      </c>
      <c r="P1604" s="847"/>
      <c r="Q1604" s="847"/>
      <c r="R1604" s="738">
        <f t="shared" si="202"/>
        <v>0</v>
      </c>
      <c r="S1604" s="737">
        <f t="shared" si="203"/>
        <v>1138549.03</v>
      </c>
      <c r="T1604" s="739">
        <f t="shared" si="204"/>
        <v>1240343</v>
      </c>
      <c r="U1604" s="846"/>
      <c r="V1604" s="847"/>
      <c r="W1604" s="846"/>
      <c r="X1604" s="846"/>
      <c r="Y1604" s="740">
        <f t="shared" si="200"/>
        <v>0</v>
      </c>
      <c r="Z1604" s="847"/>
      <c r="AA1604" s="847"/>
      <c r="AB1604" s="741">
        <f t="shared" si="201"/>
        <v>0</v>
      </c>
      <c r="AC1604" s="846"/>
      <c r="AD1604" s="847"/>
      <c r="AE1604" s="846"/>
      <c r="AF1604" s="846"/>
      <c r="AG1604" s="847"/>
      <c r="AH1604" s="847"/>
      <c r="AI1604" s="742">
        <f t="shared" si="205"/>
        <v>1138549.03</v>
      </c>
      <c r="AJ1604" s="743">
        <f t="shared" si="206"/>
        <v>1240343</v>
      </c>
    </row>
    <row r="1605" spans="1:36">
      <c r="A1605" s="1331" t="s">
        <v>152</v>
      </c>
      <c r="B1605" s="1332" t="s">
        <v>264</v>
      </c>
      <c r="C1605" s="1333" t="s">
        <v>1604</v>
      </c>
      <c r="D1605" s="1334"/>
      <c r="E1605" s="1335">
        <v>175810</v>
      </c>
      <c r="F1605" s="1336">
        <v>9</v>
      </c>
      <c r="G1605" s="846">
        <v>18516368</v>
      </c>
      <c r="H1605" s="847">
        <v>18961867</v>
      </c>
      <c r="I1605" s="846"/>
      <c r="J1605" s="847"/>
      <c r="K1605" s="846">
        <v>2740008</v>
      </c>
      <c r="L1605" s="847">
        <v>2976020</v>
      </c>
      <c r="M1605" s="846">
        <v>15041109</v>
      </c>
      <c r="N1605" s="846"/>
      <c r="O1605" s="737">
        <f t="shared" si="199"/>
        <v>15041109</v>
      </c>
      <c r="P1605" s="847">
        <v>14475453</v>
      </c>
      <c r="Q1605" s="847"/>
      <c r="R1605" s="738">
        <f t="shared" si="202"/>
        <v>14475453</v>
      </c>
      <c r="S1605" s="737">
        <f t="shared" si="203"/>
        <v>36297485</v>
      </c>
      <c r="T1605" s="739">
        <f t="shared" si="204"/>
        <v>36413340</v>
      </c>
      <c r="U1605" s="846"/>
      <c r="V1605" s="847"/>
      <c r="W1605" s="846"/>
      <c r="X1605" s="846"/>
      <c r="Y1605" s="740">
        <f t="shared" si="200"/>
        <v>0</v>
      </c>
      <c r="Z1605" s="847"/>
      <c r="AA1605" s="847"/>
      <c r="AB1605" s="741">
        <f t="shared" si="201"/>
        <v>0</v>
      </c>
      <c r="AC1605" s="846"/>
      <c r="AD1605" s="847"/>
      <c r="AE1605" s="846"/>
      <c r="AF1605" s="846"/>
      <c r="AG1605" s="847"/>
      <c r="AH1605" s="847"/>
      <c r="AI1605" s="742">
        <f t="shared" si="205"/>
        <v>36297485</v>
      </c>
      <c r="AJ1605" s="743">
        <f t="shared" si="206"/>
        <v>36413340</v>
      </c>
    </row>
    <row r="1606" spans="1:36">
      <c r="A1606" s="1331" t="s">
        <v>152</v>
      </c>
      <c r="B1606" s="1332" t="s">
        <v>272</v>
      </c>
      <c r="C1606" s="1337" t="s">
        <v>636</v>
      </c>
      <c r="D1606" s="1338"/>
      <c r="E1606" s="1335">
        <v>175810</v>
      </c>
      <c r="F1606" s="1336">
        <v>9</v>
      </c>
      <c r="G1606" s="846"/>
      <c r="H1606" s="847"/>
      <c r="I1606" s="846"/>
      <c r="J1606" s="847"/>
      <c r="K1606" s="846"/>
      <c r="L1606" s="847"/>
      <c r="M1606" s="846"/>
      <c r="N1606" s="846"/>
      <c r="O1606" s="737">
        <f t="shared" si="199"/>
        <v>0</v>
      </c>
      <c r="P1606" s="847"/>
      <c r="Q1606" s="847"/>
      <c r="R1606" s="738">
        <f t="shared" si="202"/>
        <v>0</v>
      </c>
      <c r="S1606" s="737">
        <f t="shared" si="203"/>
        <v>0</v>
      </c>
      <c r="T1606" s="739">
        <f t="shared" si="204"/>
        <v>0</v>
      </c>
      <c r="U1606" s="846"/>
      <c r="V1606" s="847"/>
      <c r="W1606" s="846"/>
      <c r="X1606" s="846"/>
      <c r="Y1606" s="740">
        <f t="shared" si="200"/>
        <v>0</v>
      </c>
      <c r="Z1606" s="847"/>
      <c r="AA1606" s="847"/>
      <c r="AB1606" s="741">
        <f t="shared" si="201"/>
        <v>0</v>
      </c>
      <c r="AC1606" s="846"/>
      <c r="AD1606" s="847"/>
      <c r="AE1606" s="846"/>
      <c r="AF1606" s="846"/>
      <c r="AG1606" s="847"/>
      <c r="AH1606" s="847"/>
      <c r="AI1606" s="742">
        <f t="shared" si="205"/>
        <v>0</v>
      </c>
      <c r="AJ1606" s="743">
        <f t="shared" si="206"/>
        <v>0</v>
      </c>
    </row>
    <row r="1607" spans="1:36">
      <c r="A1607" s="1331" t="s">
        <v>152</v>
      </c>
      <c r="B1607" s="1332" t="s">
        <v>272</v>
      </c>
      <c r="C1607" s="1339" t="s">
        <v>1597</v>
      </c>
      <c r="D1607" s="1338"/>
      <c r="E1607" s="1335">
        <v>175810</v>
      </c>
      <c r="F1607" s="1336">
        <v>9</v>
      </c>
      <c r="G1607" s="846"/>
      <c r="H1607" s="847"/>
      <c r="I1607" s="846">
        <v>1841654.85</v>
      </c>
      <c r="J1607" s="847">
        <v>1875706</v>
      </c>
      <c r="K1607" s="846"/>
      <c r="L1607" s="847"/>
      <c r="M1607" s="846"/>
      <c r="N1607" s="846"/>
      <c r="O1607" s="737">
        <f t="shared" si="199"/>
        <v>0</v>
      </c>
      <c r="P1607" s="847"/>
      <c r="Q1607" s="847"/>
      <c r="R1607" s="738">
        <f t="shared" si="202"/>
        <v>0</v>
      </c>
      <c r="S1607" s="737">
        <f t="shared" si="203"/>
        <v>1841654.85</v>
      </c>
      <c r="T1607" s="739">
        <f t="shared" si="204"/>
        <v>1875706</v>
      </c>
      <c r="U1607" s="846"/>
      <c r="V1607" s="847"/>
      <c r="W1607" s="846"/>
      <c r="X1607" s="846"/>
      <c r="Y1607" s="740">
        <f t="shared" si="200"/>
        <v>0</v>
      </c>
      <c r="Z1607" s="847"/>
      <c r="AA1607" s="847"/>
      <c r="AB1607" s="741">
        <f t="shared" si="201"/>
        <v>0</v>
      </c>
      <c r="AC1607" s="846"/>
      <c r="AD1607" s="847"/>
      <c r="AE1607" s="846"/>
      <c r="AF1607" s="846"/>
      <c r="AG1607" s="847"/>
      <c r="AH1607" s="847"/>
      <c r="AI1607" s="742">
        <f t="shared" si="205"/>
        <v>1841654.85</v>
      </c>
      <c r="AJ1607" s="743">
        <f t="shared" si="206"/>
        <v>1875706</v>
      </c>
    </row>
    <row r="1608" spans="1:36">
      <c r="A1608" s="1331" t="s">
        <v>152</v>
      </c>
      <c r="B1608" s="1332" t="s">
        <v>264</v>
      </c>
      <c r="C1608" s="1333" t="s">
        <v>1605</v>
      </c>
      <c r="D1608" s="1334"/>
      <c r="E1608" s="1335">
        <v>175883</v>
      </c>
      <c r="F1608" s="1336">
        <v>9</v>
      </c>
      <c r="G1608" s="846">
        <v>14315536</v>
      </c>
      <c r="H1608" s="847">
        <v>16265501</v>
      </c>
      <c r="I1608" s="846"/>
      <c r="J1608" s="847"/>
      <c r="K1608" s="846">
        <v>2653289</v>
      </c>
      <c r="L1608" s="847">
        <v>2751889</v>
      </c>
      <c r="M1608" s="846">
        <v>12146654</v>
      </c>
      <c r="N1608" s="846"/>
      <c r="O1608" s="737">
        <f t="shared" si="199"/>
        <v>12146654</v>
      </c>
      <c r="P1608" s="847">
        <v>12027842</v>
      </c>
      <c r="Q1608" s="847"/>
      <c r="R1608" s="738">
        <f t="shared" si="202"/>
        <v>12027842</v>
      </c>
      <c r="S1608" s="737">
        <f t="shared" si="203"/>
        <v>29115479</v>
      </c>
      <c r="T1608" s="739">
        <f t="shared" si="204"/>
        <v>31045232</v>
      </c>
      <c r="U1608" s="846"/>
      <c r="V1608" s="847"/>
      <c r="W1608" s="846"/>
      <c r="X1608" s="846"/>
      <c r="Y1608" s="740">
        <f t="shared" si="200"/>
        <v>0</v>
      </c>
      <c r="Z1608" s="847"/>
      <c r="AA1608" s="847"/>
      <c r="AB1608" s="741">
        <f t="shared" si="201"/>
        <v>0</v>
      </c>
      <c r="AC1608" s="846"/>
      <c r="AD1608" s="847"/>
      <c r="AE1608" s="846"/>
      <c r="AF1608" s="846"/>
      <c r="AG1608" s="847"/>
      <c r="AH1608" s="847"/>
      <c r="AI1608" s="742">
        <f t="shared" si="205"/>
        <v>29115479</v>
      </c>
      <c r="AJ1608" s="743">
        <f t="shared" si="206"/>
        <v>31045232</v>
      </c>
    </row>
    <row r="1609" spans="1:36">
      <c r="A1609" s="1331" t="s">
        <v>152</v>
      </c>
      <c r="B1609" s="1332" t="s">
        <v>272</v>
      </c>
      <c r="C1609" s="1337" t="s">
        <v>636</v>
      </c>
      <c r="D1609" s="1338"/>
      <c r="E1609" s="1335">
        <v>175883</v>
      </c>
      <c r="F1609" s="1336">
        <v>9</v>
      </c>
      <c r="G1609" s="846"/>
      <c r="H1609" s="847"/>
      <c r="I1609" s="846"/>
      <c r="J1609" s="847"/>
      <c r="K1609" s="846"/>
      <c r="L1609" s="847"/>
      <c r="M1609" s="846"/>
      <c r="N1609" s="846"/>
      <c r="O1609" s="737">
        <f t="shared" si="199"/>
        <v>0</v>
      </c>
      <c r="P1609" s="847"/>
      <c r="Q1609" s="847"/>
      <c r="R1609" s="738">
        <f t="shared" si="202"/>
        <v>0</v>
      </c>
      <c r="S1609" s="737">
        <f t="shared" si="203"/>
        <v>0</v>
      </c>
      <c r="T1609" s="739">
        <f t="shared" si="204"/>
        <v>0</v>
      </c>
      <c r="U1609" s="846"/>
      <c r="V1609" s="847"/>
      <c r="W1609" s="846"/>
      <c r="X1609" s="846"/>
      <c r="Y1609" s="740">
        <f t="shared" si="200"/>
        <v>0</v>
      </c>
      <c r="Z1609" s="847"/>
      <c r="AA1609" s="847"/>
      <c r="AB1609" s="741">
        <f t="shared" si="201"/>
        <v>0</v>
      </c>
      <c r="AC1609" s="846"/>
      <c r="AD1609" s="847"/>
      <c r="AE1609" s="846"/>
      <c r="AF1609" s="846"/>
      <c r="AG1609" s="847"/>
      <c r="AH1609" s="847"/>
      <c r="AI1609" s="742">
        <f t="shared" si="205"/>
        <v>0</v>
      </c>
      <c r="AJ1609" s="743">
        <f t="shared" si="206"/>
        <v>0</v>
      </c>
    </row>
    <row r="1610" spans="1:36">
      <c r="A1610" s="1331" t="s">
        <v>152</v>
      </c>
      <c r="B1610" s="1332" t="s">
        <v>272</v>
      </c>
      <c r="C1610" s="1339" t="s">
        <v>1597</v>
      </c>
      <c r="D1610" s="1338"/>
      <c r="E1610" s="1335">
        <v>175884</v>
      </c>
      <c r="F1610" s="1336">
        <v>9</v>
      </c>
      <c r="G1610" s="846"/>
      <c r="H1610" s="847"/>
      <c r="I1610" s="846">
        <v>1547217</v>
      </c>
      <c r="J1610" s="847">
        <v>1638780</v>
      </c>
      <c r="K1610" s="846"/>
      <c r="L1610" s="847"/>
      <c r="M1610" s="846"/>
      <c r="N1610" s="846"/>
      <c r="O1610" s="737">
        <f t="shared" ref="O1610:O1673" si="207">SUM(M1610:N1610)</f>
        <v>0</v>
      </c>
      <c r="P1610" s="847"/>
      <c r="Q1610" s="847"/>
      <c r="R1610" s="738">
        <f t="shared" si="202"/>
        <v>0</v>
      </c>
      <c r="S1610" s="737">
        <f t="shared" si="203"/>
        <v>1547217</v>
      </c>
      <c r="T1610" s="739">
        <f t="shared" si="204"/>
        <v>1638780</v>
      </c>
      <c r="U1610" s="846"/>
      <c r="V1610" s="847"/>
      <c r="W1610" s="846"/>
      <c r="X1610" s="846"/>
      <c r="Y1610" s="740">
        <f t="shared" ref="Y1610:Y1673" si="208">SUM(W1610:X1610)</f>
        <v>0</v>
      </c>
      <c r="Z1610" s="847"/>
      <c r="AA1610" s="847"/>
      <c r="AB1610" s="741">
        <f t="shared" ref="AB1610:AB1673" si="209">SUM(Z1610:AA1610)</f>
        <v>0</v>
      </c>
      <c r="AC1610" s="846"/>
      <c r="AD1610" s="847"/>
      <c r="AE1610" s="846"/>
      <c r="AF1610" s="846"/>
      <c r="AG1610" s="847"/>
      <c r="AH1610" s="847"/>
      <c r="AI1610" s="742">
        <f t="shared" si="205"/>
        <v>1547217</v>
      </c>
      <c r="AJ1610" s="743">
        <f t="shared" si="206"/>
        <v>1638780</v>
      </c>
    </row>
    <row r="1611" spans="1:36">
      <c r="A1611" s="1331" t="s">
        <v>152</v>
      </c>
      <c r="B1611" s="1332" t="s">
        <v>264</v>
      </c>
      <c r="C1611" s="1341" t="s">
        <v>1606</v>
      </c>
      <c r="D1611" s="1334"/>
      <c r="E1611" s="1335">
        <v>175935</v>
      </c>
      <c r="F1611" s="1336">
        <v>9</v>
      </c>
      <c r="G1611" s="846">
        <v>12772340</v>
      </c>
      <c r="H1611" s="847">
        <v>13128639</v>
      </c>
      <c r="I1611" s="846"/>
      <c r="J1611" s="847"/>
      <c r="K1611" s="846">
        <v>2241350</v>
      </c>
      <c r="L1611" s="1023">
        <v>2048916</v>
      </c>
      <c r="M1611" s="846">
        <v>8757295</v>
      </c>
      <c r="N1611" s="846"/>
      <c r="O1611" s="737">
        <f t="shared" si="207"/>
        <v>8757295</v>
      </c>
      <c r="P1611" s="847">
        <v>8241860</v>
      </c>
      <c r="Q1611" s="847"/>
      <c r="R1611" s="738">
        <f t="shared" ref="R1611:R1674" si="210">SUM(P1611:Q1611)</f>
        <v>8241860</v>
      </c>
      <c r="S1611" s="737">
        <f t="shared" ref="S1611:S1674" si="211">SUM(G1611,I1611,K1611,M1611)</f>
        <v>23770985</v>
      </c>
      <c r="T1611" s="739">
        <f t="shared" ref="T1611:T1674" si="212">SUM(H1611,J1611,L1611,P1611)</f>
        <v>23419415</v>
      </c>
      <c r="U1611" s="846"/>
      <c r="V1611" s="847"/>
      <c r="W1611" s="846"/>
      <c r="X1611" s="846"/>
      <c r="Y1611" s="740">
        <f t="shared" si="208"/>
        <v>0</v>
      </c>
      <c r="Z1611" s="847"/>
      <c r="AA1611" s="847"/>
      <c r="AB1611" s="741">
        <f t="shared" si="209"/>
        <v>0</v>
      </c>
      <c r="AC1611" s="846"/>
      <c r="AD1611" s="847"/>
      <c r="AE1611" s="846"/>
      <c r="AF1611" s="846"/>
      <c r="AG1611" s="847"/>
      <c r="AH1611" s="847"/>
      <c r="AI1611" s="742">
        <f t="shared" ref="AI1611:AI1674" si="213">SUM(S1611,U1611,W1611,AC1611,AE1611)</f>
        <v>23770985</v>
      </c>
      <c r="AJ1611" s="743">
        <f t="shared" ref="AJ1611:AJ1674" si="214">SUM(T1611,V1611,Z1611,AD1611,AG1611)</f>
        <v>23419415</v>
      </c>
    </row>
    <row r="1612" spans="1:36">
      <c r="A1612" s="1331" t="s">
        <v>152</v>
      </c>
      <c r="B1612" s="1332" t="s">
        <v>272</v>
      </c>
      <c r="C1612" s="1337" t="s">
        <v>636</v>
      </c>
      <c r="D1612" s="1338"/>
      <c r="E1612" s="1335">
        <v>175935</v>
      </c>
      <c r="F1612" s="1336">
        <v>9</v>
      </c>
      <c r="G1612" s="846"/>
      <c r="H1612" s="847"/>
      <c r="I1612" s="846"/>
      <c r="J1612" s="847"/>
      <c r="K1612" s="846"/>
      <c r="L1612" s="847"/>
      <c r="M1612" s="846"/>
      <c r="N1612" s="846"/>
      <c r="O1612" s="737">
        <f t="shared" si="207"/>
        <v>0</v>
      </c>
      <c r="P1612" s="847"/>
      <c r="Q1612" s="847"/>
      <c r="R1612" s="738">
        <f t="shared" si="210"/>
        <v>0</v>
      </c>
      <c r="S1612" s="737">
        <f t="shared" si="211"/>
        <v>0</v>
      </c>
      <c r="T1612" s="739">
        <f t="shared" si="212"/>
        <v>0</v>
      </c>
      <c r="U1612" s="846"/>
      <c r="V1612" s="847"/>
      <c r="W1612" s="846"/>
      <c r="X1612" s="846"/>
      <c r="Y1612" s="740">
        <f t="shared" si="208"/>
        <v>0</v>
      </c>
      <c r="Z1612" s="847"/>
      <c r="AA1612" s="847"/>
      <c r="AB1612" s="741">
        <f t="shared" si="209"/>
        <v>0</v>
      </c>
      <c r="AC1612" s="846"/>
      <c r="AD1612" s="847"/>
      <c r="AE1612" s="846"/>
      <c r="AF1612" s="846"/>
      <c r="AG1612" s="847"/>
      <c r="AH1612" s="847"/>
      <c r="AI1612" s="742">
        <f t="shared" si="213"/>
        <v>0</v>
      </c>
      <c r="AJ1612" s="743">
        <f t="shared" si="214"/>
        <v>0</v>
      </c>
    </row>
    <row r="1613" spans="1:36">
      <c r="A1613" s="1331" t="s">
        <v>152</v>
      </c>
      <c r="B1613" s="1332" t="s">
        <v>272</v>
      </c>
      <c r="C1613" s="1339" t="s">
        <v>1597</v>
      </c>
      <c r="D1613" s="1338"/>
      <c r="E1613" s="1335">
        <v>175935</v>
      </c>
      <c r="F1613" s="1336">
        <v>9</v>
      </c>
      <c r="G1613" s="846"/>
      <c r="H1613" s="847"/>
      <c r="I1613" s="846">
        <v>1626031.41</v>
      </c>
      <c r="J1613" s="847">
        <v>1675538</v>
      </c>
      <c r="K1613" s="846"/>
      <c r="L1613" s="847"/>
      <c r="M1613" s="846"/>
      <c r="N1613" s="846"/>
      <c r="O1613" s="737">
        <f t="shared" si="207"/>
        <v>0</v>
      </c>
      <c r="P1613" s="847"/>
      <c r="Q1613" s="847"/>
      <c r="R1613" s="738">
        <f t="shared" si="210"/>
        <v>0</v>
      </c>
      <c r="S1613" s="737">
        <f t="shared" si="211"/>
        <v>1626031.41</v>
      </c>
      <c r="T1613" s="739">
        <f t="shared" si="212"/>
        <v>1675538</v>
      </c>
      <c r="U1613" s="846"/>
      <c r="V1613" s="847"/>
      <c r="W1613" s="846"/>
      <c r="X1613" s="846"/>
      <c r="Y1613" s="740">
        <f t="shared" si="208"/>
        <v>0</v>
      </c>
      <c r="Z1613" s="847"/>
      <c r="AA1613" s="847"/>
      <c r="AB1613" s="741">
        <f t="shared" si="209"/>
        <v>0</v>
      </c>
      <c r="AC1613" s="846"/>
      <c r="AD1613" s="847"/>
      <c r="AE1613" s="846"/>
      <c r="AF1613" s="846"/>
      <c r="AG1613" s="847"/>
      <c r="AH1613" s="847"/>
      <c r="AI1613" s="742">
        <f t="shared" si="213"/>
        <v>1626031.41</v>
      </c>
      <c r="AJ1613" s="743">
        <f t="shared" si="214"/>
        <v>1675538</v>
      </c>
    </row>
    <row r="1614" spans="1:36">
      <c r="A1614" s="1331" t="s">
        <v>152</v>
      </c>
      <c r="B1614" s="1332" t="s">
        <v>264</v>
      </c>
      <c r="C1614" s="1341" t="s">
        <v>1607</v>
      </c>
      <c r="D1614" s="1334"/>
      <c r="E1614" s="1335">
        <v>176008</v>
      </c>
      <c r="F1614" s="1336">
        <v>9</v>
      </c>
      <c r="G1614" s="846">
        <v>10774309</v>
      </c>
      <c r="H1614" s="847">
        <v>11151181</v>
      </c>
      <c r="I1614" s="846"/>
      <c r="J1614" s="847"/>
      <c r="K1614" s="846">
        <v>2128266</v>
      </c>
      <c r="L1614" s="1023">
        <v>2113984</v>
      </c>
      <c r="M1614" s="846">
        <v>7875874</v>
      </c>
      <c r="N1614" s="846"/>
      <c r="O1614" s="737">
        <f t="shared" si="207"/>
        <v>7875874</v>
      </c>
      <c r="P1614" s="847">
        <v>7097248</v>
      </c>
      <c r="Q1614" s="847"/>
      <c r="R1614" s="738">
        <f t="shared" si="210"/>
        <v>7097248</v>
      </c>
      <c r="S1614" s="737">
        <f t="shared" si="211"/>
        <v>20778449</v>
      </c>
      <c r="T1614" s="739">
        <f t="shared" si="212"/>
        <v>20362413</v>
      </c>
      <c r="U1614" s="846"/>
      <c r="V1614" s="847"/>
      <c r="W1614" s="846"/>
      <c r="X1614" s="846"/>
      <c r="Y1614" s="740">
        <f t="shared" si="208"/>
        <v>0</v>
      </c>
      <c r="Z1614" s="847"/>
      <c r="AA1614" s="847"/>
      <c r="AB1614" s="741">
        <f t="shared" si="209"/>
        <v>0</v>
      </c>
      <c r="AC1614" s="846"/>
      <c r="AD1614" s="847"/>
      <c r="AE1614" s="846"/>
      <c r="AF1614" s="846"/>
      <c r="AG1614" s="847"/>
      <c r="AH1614" s="847"/>
      <c r="AI1614" s="742">
        <f t="shared" si="213"/>
        <v>20778449</v>
      </c>
      <c r="AJ1614" s="743">
        <f t="shared" si="214"/>
        <v>20362413</v>
      </c>
    </row>
    <row r="1615" spans="1:36">
      <c r="A1615" s="1331" t="s">
        <v>152</v>
      </c>
      <c r="B1615" s="1332" t="s">
        <v>272</v>
      </c>
      <c r="C1615" s="1337" t="s">
        <v>636</v>
      </c>
      <c r="D1615" s="1338"/>
      <c r="E1615" s="1335">
        <v>176008</v>
      </c>
      <c r="F1615" s="1336">
        <v>9</v>
      </c>
      <c r="G1615" s="846"/>
      <c r="H1615" s="847"/>
      <c r="I1615" s="846"/>
      <c r="J1615" s="847"/>
      <c r="K1615" s="846"/>
      <c r="L1615" s="847"/>
      <c r="M1615" s="846"/>
      <c r="N1615" s="846"/>
      <c r="O1615" s="737">
        <f t="shared" si="207"/>
        <v>0</v>
      </c>
      <c r="P1615" s="847"/>
      <c r="Q1615" s="847"/>
      <c r="R1615" s="738">
        <f t="shared" si="210"/>
        <v>0</v>
      </c>
      <c r="S1615" s="737">
        <f t="shared" si="211"/>
        <v>0</v>
      </c>
      <c r="T1615" s="739">
        <f t="shared" si="212"/>
        <v>0</v>
      </c>
      <c r="U1615" s="846"/>
      <c r="V1615" s="847"/>
      <c r="W1615" s="846"/>
      <c r="X1615" s="846"/>
      <c r="Y1615" s="740">
        <f t="shared" si="208"/>
        <v>0</v>
      </c>
      <c r="Z1615" s="847"/>
      <c r="AA1615" s="847"/>
      <c r="AB1615" s="741">
        <f t="shared" si="209"/>
        <v>0</v>
      </c>
      <c r="AC1615" s="846"/>
      <c r="AD1615" s="847"/>
      <c r="AE1615" s="846"/>
      <c r="AF1615" s="846"/>
      <c r="AG1615" s="847"/>
      <c r="AH1615" s="847"/>
      <c r="AI1615" s="742">
        <f t="shared" si="213"/>
        <v>0</v>
      </c>
      <c r="AJ1615" s="743">
        <f t="shared" si="214"/>
        <v>0</v>
      </c>
    </row>
    <row r="1616" spans="1:36">
      <c r="A1616" s="1331" t="s">
        <v>152</v>
      </c>
      <c r="B1616" s="1332" t="s">
        <v>272</v>
      </c>
      <c r="C1616" s="1339" t="s">
        <v>1597</v>
      </c>
      <c r="D1616" s="1338"/>
      <c r="E1616" s="1335">
        <v>176008</v>
      </c>
      <c r="F1616" s="1336">
        <v>9</v>
      </c>
      <c r="G1616" s="846"/>
      <c r="H1616" s="847"/>
      <c r="I1616" s="846">
        <v>1013734</v>
      </c>
      <c r="J1616" s="847">
        <v>1065845</v>
      </c>
      <c r="K1616" s="846"/>
      <c r="L1616" s="847"/>
      <c r="M1616" s="846"/>
      <c r="N1616" s="846"/>
      <c r="O1616" s="737">
        <f t="shared" si="207"/>
        <v>0</v>
      </c>
      <c r="P1616" s="847"/>
      <c r="Q1616" s="847"/>
      <c r="R1616" s="738">
        <f t="shared" si="210"/>
        <v>0</v>
      </c>
      <c r="S1616" s="737">
        <f t="shared" si="211"/>
        <v>1013734</v>
      </c>
      <c r="T1616" s="739">
        <f t="shared" si="212"/>
        <v>1065845</v>
      </c>
      <c r="U1616" s="846"/>
      <c r="V1616" s="847"/>
      <c r="W1616" s="846"/>
      <c r="X1616" s="846"/>
      <c r="Y1616" s="740">
        <f t="shared" si="208"/>
        <v>0</v>
      </c>
      <c r="Z1616" s="847"/>
      <c r="AA1616" s="847"/>
      <c r="AB1616" s="741">
        <f t="shared" si="209"/>
        <v>0</v>
      </c>
      <c r="AC1616" s="846"/>
      <c r="AD1616" s="847"/>
      <c r="AE1616" s="846"/>
      <c r="AF1616" s="846"/>
      <c r="AG1616" s="847"/>
      <c r="AH1616" s="847"/>
      <c r="AI1616" s="742">
        <f t="shared" si="213"/>
        <v>1013734</v>
      </c>
      <c r="AJ1616" s="743">
        <f t="shared" si="214"/>
        <v>1065845</v>
      </c>
    </row>
    <row r="1617" spans="1:36">
      <c r="A1617" s="1331" t="s">
        <v>152</v>
      </c>
      <c r="B1617" s="1332" t="s">
        <v>264</v>
      </c>
      <c r="C1617" s="1341" t="s">
        <v>1608</v>
      </c>
      <c r="D1617" s="1334"/>
      <c r="E1617" s="1335">
        <v>176169</v>
      </c>
      <c r="F1617" s="1336">
        <v>9</v>
      </c>
      <c r="G1617" s="846">
        <v>11977987</v>
      </c>
      <c r="H1617" s="847">
        <v>12268976</v>
      </c>
      <c r="I1617" s="846"/>
      <c r="J1617" s="847"/>
      <c r="K1617" s="846">
        <v>1460840</v>
      </c>
      <c r="L1617" s="847">
        <v>1522252</v>
      </c>
      <c r="M1617" s="846">
        <v>7901313</v>
      </c>
      <c r="N1617" s="846"/>
      <c r="O1617" s="737">
        <f t="shared" si="207"/>
        <v>7901313</v>
      </c>
      <c r="P1617" s="847">
        <v>8958006</v>
      </c>
      <c r="Q1617" s="847"/>
      <c r="R1617" s="738">
        <f t="shared" si="210"/>
        <v>8958006</v>
      </c>
      <c r="S1617" s="737">
        <f t="shared" si="211"/>
        <v>21340140</v>
      </c>
      <c r="T1617" s="739">
        <f t="shared" si="212"/>
        <v>22749234</v>
      </c>
      <c r="U1617" s="846"/>
      <c r="V1617" s="847"/>
      <c r="W1617" s="846"/>
      <c r="X1617" s="846"/>
      <c r="Y1617" s="740">
        <f t="shared" si="208"/>
        <v>0</v>
      </c>
      <c r="Z1617" s="847"/>
      <c r="AA1617" s="847"/>
      <c r="AB1617" s="741">
        <f t="shared" si="209"/>
        <v>0</v>
      </c>
      <c r="AC1617" s="846"/>
      <c r="AD1617" s="847"/>
      <c r="AE1617" s="846"/>
      <c r="AF1617" s="846"/>
      <c r="AG1617" s="847"/>
      <c r="AH1617" s="847"/>
      <c r="AI1617" s="742">
        <f t="shared" si="213"/>
        <v>21340140</v>
      </c>
      <c r="AJ1617" s="743">
        <f t="shared" si="214"/>
        <v>22749234</v>
      </c>
    </row>
    <row r="1618" spans="1:36">
      <c r="A1618" s="1331" t="s">
        <v>152</v>
      </c>
      <c r="B1618" s="1332" t="s">
        <v>272</v>
      </c>
      <c r="C1618" s="1337" t="s">
        <v>636</v>
      </c>
      <c r="D1618" s="1338"/>
      <c r="E1618" s="1335">
        <v>176169</v>
      </c>
      <c r="F1618" s="1336">
        <v>9</v>
      </c>
      <c r="G1618" s="846"/>
      <c r="H1618" s="847"/>
      <c r="I1618" s="846"/>
      <c r="J1618" s="847"/>
      <c r="K1618" s="846"/>
      <c r="L1618" s="847"/>
      <c r="M1618" s="846"/>
      <c r="N1618" s="846"/>
      <c r="O1618" s="737">
        <f t="shared" si="207"/>
        <v>0</v>
      </c>
      <c r="P1618" s="847"/>
      <c r="Q1618" s="847"/>
      <c r="R1618" s="738">
        <f t="shared" si="210"/>
        <v>0</v>
      </c>
      <c r="S1618" s="737">
        <f t="shared" si="211"/>
        <v>0</v>
      </c>
      <c r="T1618" s="739">
        <f t="shared" si="212"/>
        <v>0</v>
      </c>
      <c r="U1618" s="846"/>
      <c r="V1618" s="847"/>
      <c r="W1618" s="846"/>
      <c r="X1618" s="846"/>
      <c r="Y1618" s="740">
        <f t="shared" si="208"/>
        <v>0</v>
      </c>
      <c r="Z1618" s="847"/>
      <c r="AA1618" s="847"/>
      <c r="AB1618" s="741">
        <f t="shared" si="209"/>
        <v>0</v>
      </c>
      <c r="AC1618" s="846"/>
      <c r="AD1618" s="847"/>
      <c r="AE1618" s="846"/>
      <c r="AF1618" s="846"/>
      <c r="AG1618" s="847"/>
      <c r="AH1618" s="847"/>
      <c r="AI1618" s="742">
        <f t="shared" si="213"/>
        <v>0</v>
      </c>
      <c r="AJ1618" s="743">
        <f t="shared" si="214"/>
        <v>0</v>
      </c>
    </row>
    <row r="1619" spans="1:36">
      <c r="A1619" s="1331" t="s">
        <v>152</v>
      </c>
      <c r="B1619" s="1332" t="s">
        <v>272</v>
      </c>
      <c r="C1619" s="1339" t="s">
        <v>1597</v>
      </c>
      <c r="D1619" s="1338"/>
      <c r="E1619" s="1335">
        <v>176169</v>
      </c>
      <c r="F1619" s="1336">
        <v>9</v>
      </c>
      <c r="G1619" s="846"/>
      <c r="H1619" s="847"/>
      <c r="I1619" s="846">
        <v>1245413</v>
      </c>
      <c r="J1619" s="847">
        <v>1184836</v>
      </c>
      <c r="K1619" s="846"/>
      <c r="L1619" s="847"/>
      <c r="M1619" s="846"/>
      <c r="N1619" s="846"/>
      <c r="O1619" s="737">
        <f t="shared" si="207"/>
        <v>0</v>
      </c>
      <c r="P1619" s="847"/>
      <c r="Q1619" s="847"/>
      <c r="R1619" s="738">
        <f t="shared" si="210"/>
        <v>0</v>
      </c>
      <c r="S1619" s="737">
        <f t="shared" si="211"/>
        <v>1245413</v>
      </c>
      <c r="T1619" s="739">
        <f t="shared" si="212"/>
        <v>1184836</v>
      </c>
      <c r="U1619" s="846"/>
      <c r="V1619" s="847"/>
      <c r="W1619" s="846"/>
      <c r="X1619" s="846"/>
      <c r="Y1619" s="740">
        <f t="shared" si="208"/>
        <v>0</v>
      </c>
      <c r="Z1619" s="847"/>
      <c r="AA1619" s="847"/>
      <c r="AB1619" s="741">
        <f t="shared" si="209"/>
        <v>0</v>
      </c>
      <c r="AC1619" s="846"/>
      <c r="AD1619" s="847"/>
      <c r="AE1619" s="846"/>
      <c r="AF1619" s="846"/>
      <c r="AG1619" s="847"/>
      <c r="AH1619" s="847"/>
      <c r="AI1619" s="742">
        <f t="shared" si="213"/>
        <v>1245413</v>
      </c>
      <c r="AJ1619" s="743">
        <f t="shared" si="214"/>
        <v>1184836</v>
      </c>
    </row>
    <row r="1620" spans="1:36">
      <c r="A1620" s="1331" t="s">
        <v>152</v>
      </c>
      <c r="B1620" s="1332" t="s">
        <v>264</v>
      </c>
      <c r="C1620" s="1333" t="s">
        <v>1609</v>
      </c>
      <c r="D1620" s="1334"/>
      <c r="E1620" s="1335">
        <v>176239</v>
      </c>
      <c r="F1620" s="1336">
        <v>9</v>
      </c>
      <c r="G1620" s="846">
        <v>15033468</v>
      </c>
      <c r="H1620" s="847">
        <v>15585204</v>
      </c>
      <c r="I1620" s="846"/>
      <c r="J1620" s="847"/>
      <c r="K1620" s="846">
        <v>3104587</v>
      </c>
      <c r="L1620" s="847">
        <v>3104587</v>
      </c>
      <c r="M1620" s="846">
        <v>13028088</v>
      </c>
      <c r="N1620" s="846"/>
      <c r="O1620" s="737">
        <f t="shared" si="207"/>
        <v>13028088</v>
      </c>
      <c r="P1620" s="847">
        <v>14119097</v>
      </c>
      <c r="Q1620" s="847"/>
      <c r="R1620" s="738">
        <f t="shared" si="210"/>
        <v>14119097</v>
      </c>
      <c r="S1620" s="737">
        <f t="shared" si="211"/>
        <v>31166143</v>
      </c>
      <c r="T1620" s="739">
        <f t="shared" si="212"/>
        <v>32808888</v>
      </c>
      <c r="U1620" s="846"/>
      <c r="V1620" s="847"/>
      <c r="W1620" s="846"/>
      <c r="X1620" s="846"/>
      <c r="Y1620" s="740">
        <f t="shared" si="208"/>
        <v>0</v>
      </c>
      <c r="Z1620" s="847"/>
      <c r="AA1620" s="847"/>
      <c r="AB1620" s="741">
        <f t="shared" si="209"/>
        <v>0</v>
      </c>
      <c r="AC1620" s="846"/>
      <c r="AD1620" s="847"/>
      <c r="AE1620" s="846"/>
      <c r="AF1620" s="846"/>
      <c r="AG1620" s="847"/>
      <c r="AH1620" s="847"/>
      <c r="AI1620" s="742">
        <f t="shared" si="213"/>
        <v>31166143</v>
      </c>
      <c r="AJ1620" s="743">
        <f t="shared" si="214"/>
        <v>32808888</v>
      </c>
    </row>
    <row r="1621" spans="1:36">
      <c r="A1621" s="1331" t="s">
        <v>152</v>
      </c>
      <c r="B1621" s="1332" t="s">
        <v>272</v>
      </c>
      <c r="C1621" s="1337" t="s">
        <v>636</v>
      </c>
      <c r="D1621" s="1338"/>
      <c r="E1621" s="1335">
        <v>176239</v>
      </c>
      <c r="F1621" s="1336">
        <v>9</v>
      </c>
      <c r="G1621" s="846"/>
      <c r="H1621" s="847"/>
      <c r="I1621" s="846"/>
      <c r="J1621" s="847"/>
      <c r="K1621" s="846"/>
      <c r="L1621" s="847"/>
      <c r="M1621" s="846"/>
      <c r="N1621" s="846"/>
      <c r="O1621" s="737">
        <f t="shared" si="207"/>
        <v>0</v>
      </c>
      <c r="P1621" s="847"/>
      <c r="Q1621" s="847"/>
      <c r="R1621" s="738">
        <f t="shared" si="210"/>
        <v>0</v>
      </c>
      <c r="S1621" s="737">
        <f t="shared" si="211"/>
        <v>0</v>
      </c>
      <c r="T1621" s="739">
        <f t="shared" si="212"/>
        <v>0</v>
      </c>
      <c r="U1621" s="846"/>
      <c r="V1621" s="847"/>
      <c r="W1621" s="846"/>
      <c r="X1621" s="846"/>
      <c r="Y1621" s="740">
        <f t="shared" si="208"/>
        <v>0</v>
      </c>
      <c r="Z1621" s="847"/>
      <c r="AA1621" s="847"/>
      <c r="AB1621" s="741">
        <f t="shared" si="209"/>
        <v>0</v>
      </c>
      <c r="AC1621" s="846"/>
      <c r="AD1621" s="847"/>
      <c r="AE1621" s="846"/>
      <c r="AF1621" s="846"/>
      <c r="AG1621" s="847"/>
      <c r="AH1621" s="847"/>
      <c r="AI1621" s="742">
        <f t="shared" si="213"/>
        <v>0</v>
      </c>
      <c r="AJ1621" s="743">
        <f t="shared" si="214"/>
        <v>0</v>
      </c>
    </row>
    <row r="1622" spans="1:36">
      <c r="A1622" s="1331" t="s">
        <v>152</v>
      </c>
      <c r="B1622" s="1332" t="s">
        <v>272</v>
      </c>
      <c r="C1622" s="1339" t="s">
        <v>1597</v>
      </c>
      <c r="D1622" s="1338"/>
      <c r="E1622" s="1335">
        <v>176239</v>
      </c>
      <c r="F1622" s="1336">
        <v>9</v>
      </c>
      <c r="G1622" s="846"/>
      <c r="H1622" s="847"/>
      <c r="I1622" s="846">
        <v>2207984.4</v>
      </c>
      <c r="J1622" s="847">
        <v>2111501</v>
      </c>
      <c r="K1622" s="846"/>
      <c r="L1622" s="847"/>
      <c r="M1622" s="846"/>
      <c r="N1622" s="846"/>
      <c r="O1622" s="737">
        <f t="shared" si="207"/>
        <v>0</v>
      </c>
      <c r="P1622" s="847"/>
      <c r="Q1622" s="847"/>
      <c r="R1622" s="738">
        <f t="shared" si="210"/>
        <v>0</v>
      </c>
      <c r="S1622" s="737">
        <f t="shared" si="211"/>
        <v>2207984.4</v>
      </c>
      <c r="T1622" s="739">
        <f t="shared" si="212"/>
        <v>2111501</v>
      </c>
      <c r="U1622" s="846"/>
      <c r="V1622" s="847"/>
      <c r="W1622" s="846"/>
      <c r="X1622" s="846"/>
      <c r="Y1622" s="740">
        <f t="shared" si="208"/>
        <v>0</v>
      </c>
      <c r="Z1622" s="847"/>
      <c r="AA1622" s="847"/>
      <c r="AB1622" s="741">
        <f t="shared" si="209"/>
        <v>0</v>
      </c>
      <c r="AC1622" s="846"/>
      <c r="AD1622" s="847"/>
      <c r="AE1622" s="846"/>
      <c r="AF1622" s="846"/>
      <c r="AG1622" s="847"/>
      <c r="AH1622" s="847"/>
      <c r="AI1622" s="742">
        <f t="shared" si="213"/>
        <v>2207984.4</v>
      </c>
      <c r="AJ1622" s="743">
        <f t="shared" si="214"/>
        <v>2111501</v>
      </c>
    </row>
    <row r="1623" spans="1:36">
      <c r="A1623" s="1331" t="s">
        <v>152</v>
      </c>
      <c r="B1623" s="1332" t="s">
        <v>264</v>
      </c>
      <c r="C1623" s="1333" t="s">
        <v>1610</v>
      </c>
      <c r="D1623" s="1334"/>
      <c r="E1623" s="1335">
        <v>175519</v>
      </c>
      <c r="F1623" s="1336">
        <v>10</v>
      </c>
      <c r="G1623" s="846">
        <v>8019955</v>
      </c>
      <c r="H1623" s="847">
        <v>8081994</v>
      </c>
      <c r="I1623" s="846"/>
      <c r="J1623" s="847"/>
      <c r="K1623" s="846">
        <v>2049303</v>
      </c>
      <c r="L1623" s="1023">
        <v>2041377</v>
      </c>
      <c r="M1623" s="846">
        <v>5013791</v>
      </c>
      <c r="N1623" s="846"/>
      <c r="O1623" s="737">
        <f t="shared" si="207"/>
        <v>5013791</v>
      </c>
      <c r="P1623" s="847">
        <v>4903881</v>
      </c>
      <c r="Q1623" s="847"/>
      <c r="R1623" s="738">
        <f t="shared" si="210"/>
        <v>4903881</v>
      </c>
      <c r="S1623" s="737">
        <f t="shared" si="211"/>
        <v>15083049</v>
      </c>
      <c r="T1623" s="739">
        <f t="shared" si="212"/>
        <v>15027252</v>
      </c>
      <c r="U1623" s="846"/>
      <c r="V1623" s="847"/>
      <c r="W1623" s="846"/>
      <c r="X1623" s="846"/>
      <c r="Y1623" s="740">
        <f t="shared" si="208"/>
        <v>0</v>
      </c>
      <c r="Z1623" s="847"/>
      <c r="AA1623" s="847"/>
      <c r="AB1623" s="741">
        <f t="shared" si="209"/>
        <v>0</v>
      </c>
      <c r="AC1623" s="846"/>
      <c r="AD1623" s="847"/>
      <c r="AE1623" s="846"/>
      <c r="AF1623" s="846"/>
      <c r="AG1623" s="847"/>
      <c r="AH1623" s="847"/>
      <c r="AI1623" s="742">
        <f t="shared" si="213"/>
        <v>15083049</v>
      </c>
      <c r="AJ1623" s="743">
        <f t="shared" si="214"/>
        <v>15027252</v>
      </c>
    </row>
    <row r="1624" spans="1:36">
      <c r="A1624" s="1331" t="s">
        <v>152</v>
      </c>
      <c r="B1624" s="1332" t="s">
        <v>272</v>
      </c>
      <c r="C1624" s="1337" t="s">
        <v>636</v>
      </c>
      <c r="D1624" s="1338"/>
      <c r="E1624" s="1335">
        <v>175519</v>
      </c>
      <c r="F1624" s="1336">
        <v>10</v>
      </c>
      <c r="G1624" s="846"/>
      <c r="H1624" s="847"/>
      <c r="I1624" s="846"/>
      <c r="J1624" s="847"/>
      <c r="K1624" s="846"/>
      <c r="L1624" s="847"/>
      <c r="M1624" s="846"/>
      <c r="N1624" s="846"/>
      <c r="O1624" s="737">
        <f t="shared" si="207"/>
        <v>0</v>
      </c>
      <c r="P1624" s="847"/>
      <c r="Q1624" s="847"/>
      <c r="R1624" s="738">
        <f t="shared" si="210"/>
        <v>0</v>
      </c>
      <c r="S1624" s="737">
        <f t="shared" si="211"/>
        <v>0</v>
      </c>
      <c r="T1624" s="739">
        <f t="shared" si="212"/>
        <v>0</v>
      </c>
      <c r="U1624" s="846"/>
      <c r="V1624" s="847"/>
      <c r="W1624" s="846"/>
      <c r="X1624" s="846"/>
      <c r="Y1624" s="740">
        <f t="shared" si="208"/>
        <v>0</v>
      </c>
      <c r="Z1624" s="847"/>
      <c r="AA1624" s="847"/>
      <c r="AB1624" s="741">
        <f t="shared" si="209"/>
        <v>0</v>
      </c>
      <c r="AC1624" s="846"/>
      <c r="AD1624" s="847"/>
      <c r="AE1624" s="846"/>
      <c r="AF1624" s="846"/>
      <c r="AG1624" s="847"/>
      <c r="AH1624" s="847"/>
      <c r="AI1624" s="742">
        <f t="shared" si="213"/>
        <v>0</v>
      </c>
      <c r="AJ1624" s="743">
        <f t="shared" si="214"/>
        <v>0</v>
      </c>
    </row>
    <row r="1625" spans="1:36">
      <c r="A1625" s="1331" t="s">
        <v>152</v>
      </c>
      <c r="B1625" s="1332" t="s">
        <v>272</v>
      </c>
      <c r="C1625" s="1339" t="s">
        <v>1597</v>
      </c>
      <c r="D1625" s="1338"/>
      <c r="E1625" s="1335">
        <v>175519</v>
      </c>
      <c r="F1625" s="1336">
        <v>10</v>
      </c>
      <c r="G1625" s="846"/>
      <c r="H1625" s="847"/>
      <c r="I1625" s="846">
        <v>1397411</v>
      </c>
      <c r="J1625" s="847">
        <v>1252341</v>
      </c>
      <c r="K1625" s="846"/>
      <c r="L1625" s="847"/>
      <c r="M1625" s="846"/>
      <c r="N1625" s="846"/>
      <c r="O1625" s="737">
        <f t="shared" si="207"/>
        <v>0</v>
      </c>
      <c r="P1625" s="847"/>
      <c r="Q1625" s="847"/>
      <c r="R1625" s="738">
        <f t="shared" si="210"/>
        <v>0</v>
      </c>
      <c r="S1625" s="737">
        <f t="shared" si="211"/>
        <v>1397411</v>
      </c>
      <c r="T1625" s="739">
        <f t="shared" si="212"/>
        <v>1252341</v>
      </c>
      <c r="U1625" s="846"/>
      <c r="V1625" s="847"/>
      <c r="W1625" s="846"/>
      <c r="X1625" s="846"/>
      <c r="Y1625" s="740">
        <f t="shared" si="208"/>
        <v>0</v>
      </c>
      <c r="Z1625" s="847"/>
      <c r="AA1625" s="847"/>
      <c r="AB1625" s="741">
        <f t="shared" si="209"/>
        <v>0</v>
      </c>
      <c r="AC1625" s="846"/>
      <c r="AD1625" s="847"/>
      <c r="AE1625" s="846"/>
      <c r="AF1625" s="846"/>
      <c r="AG1625" s="847"/>
      <c r="AH1625" s="847"/>
      <c r="AI1625" s="742">
        <f t="shared" si="213"/>
        <v>1397411</v>
      </c>
      <c r="AJ1625" s="743">
        <f t="shared" si="214"/>
        <v>1252341</v>
      </c>
    </row>
    <row r="1626" spans="1:36">
      <c r="A1626" s="1331" t="s">
        <v>152</v>
      </c>
      <c r="B1626" s="1332" t="s">
        <v>264</v>
      </c>
      <c r="C1626" s="1341" t="s">
        <v>1611</v>
      </c>
      <c r="D1626" s="1342"/>
      <c r="E1626" s="1335">
        <v>176354</v>
      </c>
      <c r="F1626" s="1336">
        <v>10</v>
      </c>
      <c r="G1626" s="846">
        <v>8154654</v>
      </c>
      <c r="H1626" s="847">
        <v>8826385</v>
      </c>
      <c r="I1626" s="846"/>
      <c r="J1626" s="847"/>
      <c r="K1626" s="846">
        <v>1191300</v>
      </c>
      <c r="L1626" s="847">
        <v>1234238</v>
      </c>
      <c r="M1626" s="846">
        <v>5831817</v>
      </c>
      <c r="N1626" s="846"/>
      <c r="O1626" s="737">
        <f t="shared" si="207"/>
        <v>5831817</v>
      </c>
      <c r="P1626" s="847">
        <v>5575737</v>
      </c>
      <c r="Q1626" s="847"/>
      <c r="R1626" s="738">
        <f t="shared" si="210"/>
        <v>5575737</v>
      </c>
      <c r="S1626" s="737">
        <f t="shared" si="211"/>
        <v>15177771</v>
      </c>
      <c r="T1626" s="739">
        <f t="shared" si="212"/>
        <v>15636360</v>
      </c>
      <c r="U1626" s="846"/>
      <c r="V1626" s="847"/>
      <c r="W1626" s="846"/>
      <c r="X1626" s="846"/>
      <c r="Y1626" s="740">
        <f t="shared" si="208"/>
        <v>0</v>
      </c>
      <c r="Z1626" s="847"/>
      <c r="AA1626" s="847"/>
      <c r="AB1626" s="741">
        <f t="shared" si="209"/>
        <v>0</v>
      </c>
      <c r="AC1626" s="846"/>
      <c r="AD1626" s="847"/>
      <c r="AE1626" s="846"/>
      <c r="AF1626" s="846"/>
      <c r="AG1626" s="847"/>
      <c r="AH1626" s="847"/>
      <c r="AI1626" s="742">
        <f t="shared" si="213"/>
        <v>15177771</v>
      </c>
      <c r="AJ1626" s="743">
        <f t="shared" si="214"/>
        <v>15636360</v>
      </c>
    </row>
    <row r="1627" spans="1:36">
      <c r="A1627" s="1331" t="s">
        <v>152</v>
      </c>
      <c r="B1627" s="1332" t="s">
        <v>272</v>
      </c>
      <c r="C1627" s="1337" t="s">
        <v>636</v>
      </c>
      <c r="D1627" s="1338"/>
      <c r="E1627" s="1335">
        <v>176354</v>
      </c>
      <c r="F1627" s="1336">
        <v>10</v>
      </c>
      <c r="G1627" s="846"/>
      <c r="H1627" s="847"/>
      <c r="I1627" s="846"/>
      <c r="J1627" s="847"/>
      <c r="K1627" s="846"/>
      <c r="L1627" s="847"/>
      <c r="M1627" s="846"/>
      <c r="N1627" s="846"/>
      <c r="O1627" s="737">
        <f t="shared" si="207"/>
        <v>0</v>
      </c>
      <c r="P1627" s="847"/>
      <c r="Q1627" s="847"/>
      <c r="R1627" s="738">
        <f t="shared" si="210"/>
        <v>0</v>
      </c>
      <c r="S1627" s="737">
        <f t="shared" si="211"/>
        <v>0</v>
      </c>
      <c r="T1627" s="739">
        <f t="shared" si="212"/>
        <v>0</v>
      </c>
      <c r="U1627" s="846"/>
      <c r="V1627" s="847"/>
      <c r="W1627" s="846"/>
      <c r="X1627" s="846"/>
      <c r="Y1627" s="740">
        <f t="shared" si="208"/>
        <v>0</v>
      </c>
      <c r="Z1627" s="847"/>
      <c r="AA1627" s="847"/>
      <c r="AB1627" s="741">
        <f t="shared" si="209"/>
        <v>0</v>
      </c>
      <c r="AC1627" s="846"/>
      <c r="AD1627" s="847"/>
      <c r="AE1627" s="846"/>
      <c r="AF1627" s="846"/>
      <c r="AG1627" s="847"/>
      <c r="AH1627" s="847"/>
      <c r="AI1627" s="742">
        <f t="shared" si="213"/>
        <v>0</v>
      </c>
      <c r="AJ1627" s="743">
        <f t="shared" si="214"/>
        <v>0</v>
      </c>
    </row>
    <row r="1628" spans="1:36">
      <c r="A1628" s="1331" t="s">
        <v>152</v>
      </c>
      <c r="B1628" s="1332" t="s">
        <v>272</v>
      </c>
      <c r="C1628" s="1339" t="s">
        <v>1597</v>
      </c>
      <c r="D1628" s="1338"/>
      <c r="E1628" s="1335">
        <v>176354</v>
      </c>
      <c r="F1628" s="1336">
        <v>10</v>
      </c>
      <c r="G1628" s="846"/>
      <c r="H1628" s="847"/>
      <c r="I1628" s="846">
        <v>1013945.66</v>
      </c>
      <c r="J1628" s="847">
        <v>1072958</v>
      </c>
      <c r="K1628" s="846"/>
      <c r="L1628" s="847"/>
      <c r="M1628" s="846"/>
      <c r="N1628" s="846"/>
      <c r="O1628" s="737">
        <f t="shared" si="207"/>
        <v>0</v>
      </c>
      <c r="P1628" s="847"/>
      <c r="Q1628" s="847"/>
      <c r="R1628" s="738">
        <f t="shared" si="210"/>
        <v>0</v>
      </c>
      <c r="S1628" s="737">
        <f t="shared" si="211"/>
        <v>1013945.66</v>
      </c>
      <c r="T1628" s="739">
        <f t="shared" si="212"/>
        <v>1072958</v>
      </c>
      <c r="U1628" s="846"/>
      <c r="V1628" s="847"/>
      <c r="W1628" s="846"/>
      <c r="X1628" s="846"/>
      <c r="Y1628" s="740">
        <f t="shared" si="208"/>
        <v>0</v>
      </c>
      <c r="Z1628" s="847"/>
      <c r="AA1628" s="847"/>
      <c r="AB1628" s="741">
        <f t="shared" si="209"/>
        <v>0</v>
      </c>
      <c r="AC1628" s="846"/>
      <c r="AD1628" s="847"/>
      <c r="AE1628" s="846"/>
      <c r="AF1628" s="846"/>
      <c r="AG1628" s="847"/>
      <c r="AH1628" s="847"/>
      <c r="AI1628" s="742">
        <f t="shared" si="213"/>
        <v>1013945.66</v>
      </c>
      <c r="AJ1628" s="743">
        <f t="shared" si="214"/>
        <v>1072958</v>
      </c>
    </row>
    <row r="1629" spans="1:36">
      <c r="A1629" s="1331" t="s">
        <v>152</v>
      </c>
      <c r="B1629" s="1332" t="s">
        <v>273</v>
      </c>
      <c r="C1629" s="1343" t="s">
        <v>1612</v>
      </c>
      <c r="D1629" s="1342"/>
      <c r="E1629" s="1335"/>
      <c r="F1629" s="1336"/>
      <c r="G1629" s="846"/>
      <c r="H1629" s="847"/>
      <c r="I1629" s="846"/>
      <c r="J1629" s="847"/>
      <c r="K1629" s="846"/>
      <c r="L1629" s="847"/>
      <c r="M1629" s="846"/>
      <c r="N1629" s="846"/>
      <c r="O1629" s="737">
        <f t="shared" si="207"/>
        <v>0</v>
      </c>
      <c r="P1629" s="847"/>
      <c r="Q1629" s="847"/>
      <c r="R1629" s="738">
        <f t="shared" si="210"/>
        <v>0</v>
      </c>
      <c r="S1629" s="737">
        <f t="shared" si="211"/>
        <v>0</v>
      </c>
      <c r="T1629" s="739">
        <f t="shared" si="212"/>
        <v>0</v>
      </c>
      <c r="U1629" s="846"/>
      <c r="V1629" s="847"/>
      <c r="W1629" s="846"/>
      <c r="X1629" s="846"/>
      <c r="Y1629" s="740">
        <f t="shared" si="208"/>
        <v>0</v>
      </c>
      <c r="Z1629" s="847"/>
      <c r="AA1629" s="847"/>
      <c r="AB1629" s="741">
        <f t="shared" si="209"/>
        <v>0</v>
      </c>
      <c r="AC1629" s="846"/>
      <c r="AD1629" s="847"/>
      <c r="AE1629" s="846"/>
      <c r="AF1629" s="846"/>
      <c r="AG1629" s="847"/>
      <c r="AH1629" s="847"/>
      <c r="AI1629" s="742">
        <f t="shared" si="213"/>
        <v>0</v>
      </c>
      <c r="AJ1629" s="743">
        <f t="shared" si="214"/>
        <v>0</v>
      </c>
    </row>
    <row r="1630" spans="1:36">
      <c r="A1630" s="1331" t="s">
        <v>152</v>
      </c>
      <c r="B1630" s="1332" t="s">
        <v>303</v>
      </c>
      <c r="C1630" s="1343" t="s">
        <v>563</v>
      </c>
      <c r="D1630" s="1342"/>
      <c r="E1630" s="1335"/>
      <c r="F1630" s="1336"/>
      <c r="G1630" s="846"/>
      <c r="H1630" s="847"/>
      <c r="I1630" s="846"/>
      <c r="J1630" s="847"/>
      <c r="K1630" s="846"/>
      <c r="L1630" s="847"/>
      <c r="M1630" s="846"/>
      <c r="N1630" s="846"/>
      <c r="O1630" s="737">
        <f t="shared" si="207"/>
        <v>0</v>
      </c>
      <c r="P1630" s="847"/>
      <c r="Q1630" s="847"/>
      <c r="R1630" s="738">
        <f t="shared" si="210"/>
        <v>0</v>
      </c>
      <c r="S1630" s="737">
        <f t="shared" si="211"/>
        <v>0</v>
      </c>
      <c r="T1630" s="739">
        <f t="shared" si="212"/>
        <v>0</v>
      </c>
      <c r="U1630" s="846"/>
      <c r="V1630" s="847"/>
      <c r="W1630" s="846"/>
      <c r="X1630" s="846"/>
      <c r="Y1630" s="740">
        <f t="shared" si="208"/>
        <v>0</v>
      </c>
      <c r="Z1630" s="847"/>
      <c r="AA1630" s="847"/>
      <c r="AB1630" s="741">
        <f t="shared" si="209"/>
        <v>0</v>
      </c>
      <c r="AC1630" s="846"/>
      <c r="AD1630" s="847"/>
      <c r="AE1630" s="846"/>
      <c r="AF1630" s="846"/>
      <c r="AG1630" s="847"/>
      <c r="AH1630" s="847"/>
      <c r="AI1630" s="742">
        <f t="shared" si="213"/>
        <v>0</v>
      </c>
      <c r="AJ1630" s="743">
        <f t="shared" si="214"/>
        <v>0</v>
      </c>
    </row>
    <row r="1631" spans="1:36">
      <c r="A1631" s="1331" t="s">
        <v>152</v>
      </c>
      <c r="B1631" s="1332" t="s">
        <v>303</v>
      </c>
      <c r="C1631" s="1332" t="s">
        <v>1613</v>
      </c>
      <c r="D1631" s="1338"/>
      <c r="E1631" s="1335"/>
      <c r="F1631" s="1336"/>
      <c r="G1631" s="846"/>
      <c r="H1631" s="847"/>
      <c r="I1631" s="846">
        <v>649432.16</v>
      </c>
      <c r="J1631" s="1023">
        <f>499200+255140.84+165000+1930642.46</f>
        <v>2849983.3</v>
      </c>
      <c r="K1631" s="846"/>
      <c r="L1631" s="847"/>
      <c r="M1631" s="846"/>
      <c r="N1631" s="846"/>
      <c r="O1631" s="737">
        <f t="shared" si="207"/>
        <v>0</v>
      </c>
      <c r="P1631" s="847"/>
      <c r="Q1631" s="847"/>
      <c r="R1631" s="738">
        <f t="shared" si="210"/>
        <v>0</v>
      </c>
      <c r="S1631" s="737">
        <f t="shared" si="211"/>
        <v>649432.16</v>
      </c>
      <c r="T1631" s="739">
        <f t="shared" si="212"/>
        <v>2849983.3</v>
      </c>
      <c r="U1631" s="846"/>
      <c r="V1631" s="847"/>
      <c r="W1631" s="846"/>
      <c r="X1631" s="846"/>
      <c r="Y1631" s="740">
        <f t="shared" si="208"/>
        <v>0</v>
      </c>
      <c r="Z1631" s="847"/>
      <c r="AA1631" s="847"/>
      <c r="AB1631" s="741">
        <f t="shared" si="209"/>
        <v>0</v>
      </c>
      <c r="AC1631" s="846"/>
      <c r="AD1631" s="847"/>
      <c r="AE1631" s="846"/>
      <c r="AF1631" s="846"/>
      <c r="AG1631" s="847"/>
      <c r="AH1631" s="847"/>
      <c r="AI1631" s="742">
        <f t="shared" si="213"/>
        <v>649432.16</v>
      </c>
      <c r="AJ1631" s="743">
        <f t="shared" si="214"/>
        <v>2849983.3</v>
      </c>
    </row>
    <row r="1632" spans="1:36">
      <c r="A1632" s="1331" t="s">
        <v>152</v>
      </c>
      <c r="B1632" s="1332" t="s">
        <v>303</v>
      </c>
      <c r="C1632" s="1339" t="s">
        <v>91</v>
      </c>
      <c r="D1632" s="1338"/>
      <c r="E1632" s="1335"/>
      <c r="F1632" s="1336"/>
      <c r="G1632" s="846"/>
      <c r="H1632" s="847"/>
      <c r="I1632" s="846"/>
      <c r="J1632" s="847"/>
      <c r="K1632" s="846"/>
      <c r="L1632" s="847"/>
      <c r="M1632" s="846"/>
      <c r="N1632" s="846"/>
      <c r="O1632" s="737">
        <f t="shared" si="207"/>
        <v>0</v>
      </c>
      <c r="P1632" s="847"/>
      <c r="Q1632" s="847"/>
      <c r="R1632" s="738">
        <f t="shared" si="210"/>
        <v>0</v>
      </c>
      <c r="S1632" s="737">
        <f t="shared" si="211"/>
        <v>0</v>
      </c>
      <c r="T1632" s="739">
        <f t="shared" si="212"/>
        <v>0</v>
      </c>
      <c r="U1632" s="846"/>
      <c r="V1632" s="847"/>
      <c r="W1632" s="846"/>
      <c r="X1632" s="846"/>
      <c r="Y1632" s="740">
        <f t="shared" si="208"/>
        <v>0</v>
      </c>
      <c r="Z1632" s="847"/>
      <c r="AA1632" s="847"/>
      <c r="AB1632" s="741">
        <f t="shared" si="209"/>
        <v>0</v>
      </c>
      <c r="AC1632" s="846"/>
      <c r="AD1632" s="847"/>
      <c r="AE1632" s="846"/>
      <c r="AF1632" s="846"/>
      <c r="AG1632" s="847"/>
      <c r="AH1632" s="847"/>
      <c r="AI1632" s="742">
        <f t="shared" si="213"/>
        <v>0</v>
      </c>
      <c r="AJ1632" s="743">
        <f t="shared" si="214"/>
        <v>0</v>
      </c>
    </row>
    <row r="1633" spans="1:36">
      <c r="A1633" s="1331" t="s">
        <v>152</v>
      </c>
      <c r="B1633" s="1332" t="s">
        <v>303</v>
      </c>
      <c r="C1633" s="1332" t="s">
        <v>1614</v>
      </c>
      <c r="D1633" s="1338"/>
      <c r="E1633" s="1335"/>
      <c r="F1633" s="1336"/>
      <c r="G1633" s="846"/>
      <c r="H1633" s="847"/>
      <c r="I1633" s="846">
        <v>542459</v>
      </c>
      <c r="J1633" s="847">
        <v>542459</v>
      </c>
      <c r="K1633" s="846"/>
      <c r="L1633" s="847"/>
      <c r="M1633" s="846"/>
      <c r="N1633" s="846"/>
      <c r="O1633" s="737">
        <f t="shared" si="207"/>
        <v>0</v>
      </c>
      <c r="P1633" s="847"/>
      <c r="Q1633" s="847"/>
      <c r="R1633" s="738">
        <f t="shared" si="210"/>
        <v>0</v>
      </c>
      <c r="S1633" s="737">
        <f t="shared" si="211"/>
        <v>542459</v>
      </c>
      <c r="T1633" s="739">
        <f t="shared" si="212"/>
        <v>542459</v>
      </c>
      <c r="U1633" s="846"/>
      <c r="V1633" s="847"/>
      <c r="W1633" s="846"/>
      <c r="X1633" s="846"/>
      <c r="Y1633" s="740">
        <f t="shared" si="208"/>
        <v>0</v>
      </c>
      <c r="Z1633" s="847"/>
      <c r="AA1633" s="847"/>
      <c r="AB1633" s="741">
        <f t="shared" si="209"/>
        <v>0</v>
      </c>
      <c r="AC1633" s="846"/>
      <c r="AD1633" s="847"/>
      <c r="AE1633" s="846"/>
      <c r="AF1633" s="846"/>
      <c r="AG1633" s="847"/>
      <c r="AH1633" s="847"/>
      <c r="AI1633" s="742">
        <f t="shared" si="213"/>
        <v>542459</v>
      </c>
      <c r="AJ1633" s="743">
        <f t="shared" si="214"/>
        <v>542459</v>
      </c>
    </row>
    <row r="1634" spans="1:36">
      <c r="A1634" s="1331" t="s">
        <v>152</v>
      </c>
      <c r="B1634" s="1332" t="s">
        <v>281</v>
      </c>
      <c r="C1634" s="1343" t="s">
        <v>109</v>
      </c>
      <c r="D1634" s="1342"/>
      <c r="E1634" s="1335"/>
      <c r="F1634" s="1336"/>
      <c r="G1634" s="846"/>
      <c r="H1634" s="847"/>
      <c r="I1634" s="846"/>
      <c r="J1634" s="847"/>
      <c r="K1634" s="846"/>
      <c r="L1634" s="847"/>
      <c r="M1634" s="846"/>
      <c r="N1634" s="846"/>
      <c r="O1634" s="737">
        <f t="shared" si="207"/>
        <v>0</v>
      </c>
      <c r="P1634" s="847"/>
      <c r="Q1634" s="847"/>
      <c r="R1634" s="738">
        <f t="shared" si="210"/>
        <v>0</v>
      </c>
      <c r="S1634" s="737">
        <f t="shared" si="211"/>
        <v>0</v>
      </c>
      <c r="T1634" s="739">
        <f t="shared" si="212"/>
        <v>0</v>
      </c>
      <c r="U1634" s="846"/>
      <c r="V1634" s="847"/>
      <c r="W1634" s="846"/>
      <c r="X1634" s="846"/>
      <c r="Y1634" s="740">
        <f t="shared" si="208"/>
        <v>0</v>
      </c>
      <c r="Z1634" s="847"/>
      <c r="AA1634" s="847"/>
      <c r="AB1634" s="741">
        <f t="shared" si="209"/>
        <v>0</v>
      </c>
      <c r="AC1634" s="846"/>
      <c r="AD1634" s="847"/>
      <c r="AE1634" s="846"/>
      <c r="AF1634" s="846"/>
      <c r="AG1634" s="847"/>
      <c r="AH1634" s="847"/>
      <c r="AI1634" s="742">
        <f t="shared" si="213"/>
        <v>0</v>
      </c>
      <c r="AJ1634" s="743">
        <f t="shared" si="214"/>
        <v>0</v>
      </c>
    </row>
    <row r="1635" spans="1:36">
      <c r="A1635" s="1331" t="s">
        <v>152</v>
      </c>
      <c r="B1635" s="1332" t="s">
        <v>283</v>
      </c>
      <c r="C1635" s="1337" t="s">
        <v>139</v>
      </c>
      <c r="D1635" s="1338"/>
      <c r="E1635" s="1335"/>
      <c r="F1635" s="1336"/>
      <c r="G1635" s="846"/>
      <c r="H1635" s="847"/>
      <c r="I1635" s="846"/>
      <c r="J1635" s="847"/>
      <c r="K1635" s="846"/>
      <c r="L1635" s="847"/>
      <c r="M1635" s="846"/>
      <c r="N1635" s="846"/>
      <c r="O1635" s="737">
        <f t="shared" si="207"/>
        <v>0</v>
      </c>
      <c r="P1635" s="847"/>
      <c r="Q1635" s="847"/>
      <c r="R1635" s="738">
        <f t="shared" si="210"/>
        <v>0</v>
      </c>
      <c r="S1635" s="737">
        <f t="shared" si="211"/>
        <v>0</v>
      </c>
      <c r="T1635" s="739">
        <f t="shared" si="212"/>
        <v>0</v>
      </c>
      <c r="U1635" s="846"/>
      <c r="V1635" s="847"/>
      <c r="W1635" s="846"/>
      <c r="X1635" s="846"/>
      <c r="Y1635" s="740">
        <f t="shared" si="208"/>
        <v>0</v>
      </c>
      <c r="Z1635" s="847"/>
      <c r="AA1635" s="847"/>
      <c r="AB1635" s="741">
        <f t="shared" si="209"/>
        <v>0</v>
      </c>
      <c r="AC1635" s="846"/>
      <c r="AD1635" s="847"/>
      <c r="AE1635" s="846"/>
      <c r="AF1635" s="846"/>
      <c r="AG1635" s="847"/>
      <c r="AH1635" s="847"/>
      <c r="AI1635" s="742">
        <f t="shared" si="213"/>
        <v>0</v>
      </c>
      <c r="AJ1635" s="743">
        <f t="shared" si="214"/>
        <v>0</v>
      </c>
    </row>
    <row r="1636" spans="1:36">
      <c r="A1636" s="1331" t="s">
        <v>152</v>
      </c>
      <c r="B1636" s="1332" t="s">
        <v>283</v>
      </c>
      <c r="C1636" s="1339" t="s">
        <v>1615</v>
      </c>
      <c r="D1636" s="1338"/>
      <c r="E1636" s="1335"/>
      <c r="F1636" s="1336"/>
      <c r="G1636" s="846"/>
      <c r="H1636" s="847"/>
      <c r="I1636" s="846"/>
      <c r="J1636" s="847"/>
      <c r="K1636" s="846"/>
      <c r="L1636" s="847"/>
      <c r="M1636" s="846"/>
      <c r="N1636" s="846"/>
      <c r="O1636" s="737">
        <f t="shared" si="207"/>
        <v>0</v>
      </c>
      <c r="P1636" s="847"/>
      <c r="Q1636" s="847"/>
      <c r="R1636" s="738">
        <f t="shared" si="210"/>
        <v>0</v>
      </c>
      <c r="S1636" s="737">
        <f t="shared" si="211"/>
        <v>0</v>
      </c>
      <c r="T1636" s="739">
        <f t="shared" si="212"/>
        <v>0</v>
      </c>
      <c r="U1636" s="846"/>
      <c r="V1636" s="847"/>
      <c r="W1636" s="846"/>
      <c r="X1636" s="846"/>
      <c r="Y1636" s="740">
        <f t="shared" si="208"/>
        <v>0</v>
      </c>
      <c r="Z1636" s="847"/>
      <c r="AA1636" s="847"/>
      <c r="AB1636" s="741">
        <f t="shared" si="209"/>
        <v>0</v>
      </c>
      <c r="AC1636" s="846"/>
      <c r="AD1636" s="847"/>
      <c r="AE1636" s="846"/>
      <c r="AF1636" s="846"/>
      <c r="AG1636" s="847"/>
      <c r="AH1636" s="847"/>
      <c r="AI1636" s="742">
        <f t="shared" si="213"/>
        <v>0</v>
      </c>
      <c r="AJ1636" s="743">
        <f t="shared" si="214"/>
        <v>0</v>
      </c>
    </row>
    <row r="1637" spans="1:36">
      <c r="A1637" s="950" t="s">
        <v>153</v>
      </c>
      <c r="B1637" s="951" t="s">
        <v>264</v>
      </c>
      <c r="C1637" s="952" t="s">
        <v>713</v>
      </c>
      <c r="D1637" s="953"/>
      <c r="E1637" s="954">
        <v>199193</v>
      </c>
      <c r="F1637" s="955">
        <v>1</v>
      </c>
      <c r="G1637" s="846">
        <v>342485636</v>
      </c>
      <c r="H1637" s="847">
        <v>350630242</v>
      </c>
      <c r="I1637" s="846"/>
      <c r="J1637" s="847"/>
      <c r="K1637" s="846"/>
      <c r="L1637" s="847"/>
      <c r="M1637" s="846">
        <v>314574669</v>
      </c>
      <c r="N1637" s="846"/>
      <c r="O1637" s="737">
        <f t="shared" si="207"/>
        <v>314574669</v>
      </c>
      <c r="P1637" s="847">
        <v>321108191</v>
      </c>
      <c r="Q1637" s="847"/>
      <c r="R1637" s="738">
        <f t="shared" si="210"/>
        <v>321108191</v>
      </c>
      <c r="S1637" s="737">
        <f t="shared" si="211"/>
        <v>657060305</v>
      </c>
      <c r="T1637" s="739">
        <f t="shared" si="212"/>
        <v>671738433</v>
      </c>
      <c r="U1637" s="846"/>
      <c r="V1637" s="847"/>
      <c r="W1637" s="846"/>
      <c r="X1637" s="846"/>
      <c r="Y1637" s="740">
        <f t="shared" si="208"/>
        <v>0</v>
      </c>
      <c r="Z1637" s="847"/>
      <c r="AA1637" s="847"/>
      <c r="AB1637" s="741">
        <f t="shared" si="209"/>
        <v>0</v>
      </c>
      <c r="AC1637" s="846"/>
      <c r="AD1637" s="847"/>
      <c r="AE1637" s="846"/>
      <c r="AF1637" s="846"/>
      <c r="AG1637" s="847"/>
      <c r="AH1637" s="847"/>
      <c r="AI1637" s="742">
        <f t="shared" si="213"/>
        <v>657060305</v>
      </c>
      <c r="AJ1637" s="743">
        <f t="shared" si="214"/>
        <v>671738433</v>
      </c>
    </row>
    <row r="1638" spans="1:36">
      <c r="A1638" s="950" t="s">
        <v>153</v>
      </c>
      <c r="B1638" s="951" t="s">
        <v>280</v>
      </c>
      <c r="C1638" s="956" t="s">
        <v>534</v>
      </c>
      <c r="D1638" s="957"/>
      <c r="E1638" s="954">
        <v>199193</v>
      </c>
      <c r="F1638" s="955">
        <v>1</v>
      </c>
      <c r="G1638" s="846"/>
      <c r="H1638" s="847"/>
      <c r="I1638" s="846"/>
      <c r="J1638" s="847"/>
      <c r="K1638" s="846"/>
      <c r="L1638" s="847"/>
      <c r="M1638" s="846"/>
      <c r="N1638" s="846"/>
      <c r="O1638" s="737">
        <f t="shared" si="207"/>
        <v>0</v>
      </c>
      <c r="P1638" s="847"/>
      <c r="Q1638" s="847"/>
      <c r="R1638" s="738">
        <f t="shared" si="210"/>
        <v>0</v>
      </c>
      <c r="S1638" s="737">
        <f t="shared" si="211"/>
        <v>0</v>
      </c>
      <c r="T1638" s="739">
        <f t="shared" si="212"/>
        <v>0</v>
      </c>
      <c r="U1638" s="846"/>
      <c r="V1638" s="847"/>
      <c r="W1638" s="846"/>
      <c r="X1638" s="846"/>
      <c r="Y1638" s="740">
        <f t="shared" si="208"/>
        <v>0</v>
      </c>
      <c r="Z1638" s="847"/>
      <c r="AA1638" s="847"/>
      <c r="AB1638" s="741">
        <f t="shared" si="209"/>
        <v>0</v>
      </c>
      <c r="AC1638" s="846">
        <v>33874963</v>
      </c>
      <c r="AD1638" s="847">
        <v>35916125</v>
      </c>
      <c r="AE1638" s="846">
        <v>5820609</v>
      </c>
      <c r="AF1638" s="846"/>
      <c r="AG1638" s="847">
        <v>6634088</v>
      </c>
      <c r="AH1638" s="847"/>
      <c r="AI1638" s="742">
        <f t="shared" si="213"/>
        <v>39695572</v>
      </c>
      <c r="AJ1638" s="743">
        <f t="shared" si="214"/>
        <v>42550213</v>
      </c>
    </row>
    <row r="1639" spans="1:36">
      <c r="A1639" s="950" t="s">
        <v>153</v>
      </c>
      <c r="B1639" s="951" t="s">
        <v>268</v>
      </c>
      <c r="C1639" s="958" t="s">
        <v>257</v>
      </c>
      <c r="D1639" s="957"/>
      <c r="E1639" s="954">
        <v>199193</v>
      </c>
      <c r="F1639" s="955">
        <v>1</v>
      </c>
      <c r="G1639" s="846"/>
      <c r="H1639" s="847"/>
      <c r="I1639" s="846">
        <v>38085561</v>
      </c>
      <c r="J1639" s="847">
        <v>38582602</v>
      </c>
      <c r="K1639" s="846"/>
      <c r="L1639" s="847"/>
      <c r="M1639" s="846"/>
      <c r="N1639" s="846"/>
      <c r="O1639" s="737">
        <f t="shared" si="207"/>
        <v>0</v>
      </c>
      <c r="P1639" s="847"/>
      <c r="Q1639" s="847"/>
      <c r="R1639" s="738">
        <f t="shared" si="210"/>
        <v>0</v>
      </c>
      <c r="S1639" s="737">
        <f t="shared" si="211"/>
        <v>38085561</v>
      </c>
      <c r="T1639" s="739">
        <f t="shared" si="212"/>
        <v>38582602</v>
      </c>
      <c r="U1639" s="846"/>
      <c r="V1639" s="847"/>
      <c r="W1639" s="846"/>
      <c r="X1639" s="846"/>
      <c r="Y1639" s="740">
        <f t="shared" si="208"/>
        <v>0</v>
      </c>
      <c r="Z1639" s="847"/>
      <c r="AA1639" s="847"/>
      <c r="AB1639" s="741">
        <f t="shared" si="209"/>
        <v>0</v>
      </c>
      <c r="AC1639" s="846"/>
      <c r="AD1639" s="847"/>
      <c r="AE1639" s="846"/>
      <c r="AF1639" s="846"/>
      <c r="AG1639" s="847"/>
      <c r="AH1639" s="847"/>
      <c r="AI1639" s="742">
        <f t="shared" si="213"/>
        <v>38085561</v>
      </c>
      <c r="AJ1639" s="743">
        <f t="shared" si="214"/>
        <v>38582602</v>
      </c>
    </row>
    <row r="1640" spans="1:36">
      <c r="A1640" s="950" t="s">
        <v>153</v>
      </c>
      <c r="B1640" s="951" t="s">
        <v>269</v>
      </c>
      <c r="C1640" s="958" t="s">
        <v>256</v>
      </c>
      <c r="D1640" s="957"/>
      <c r="E1640" s="954">
        <v>199193</v>
      </c>
      <c r="F1640" s="955">
        <v>1</v>
      </c>
      <c r="G1640" s="846"/>
      <c r="H1640" s="847"/>
      <c r="I1640" s="846"/>
      <c r="J1640" s="847"/>
      <c r="K1640" s="846"/>
      <c r="L1640" s="847"/>
      <c r="M1640" s="846"/>
      <c r="N1640" s="846"/>
      <c r="O1640" s="737">
        <f t="shared" si="207"/>
        <v>0</v>
      </c>
      <c r="P1640" s="847"/>
      <c r="Q1640" s="847"/>
      <c r="R1640" s="738">
        <f t="shared" si="210"/>
        <v>0</v>
      </c>
      <c r="S1640" s="737">
        <f t="shared" si="211"/>
        <v>0</v>
      </c>
      <c r="T1640" s="739">
        <f t="shared" si="212"/>
        <v>0</v>
      </c>
      <c r="U1640" s="846"/>
      <c r="V1640" s="847"/>
      <c r="W1640" s="846"/>
      <c r="X1640" s="846"/>
      <c r="Y1640" s="740">
        <f t="shared" si="208"/>
        <v>0</v>
      </c>
      <c r="Z1640" s="847"/>
      <c r="AA1640" s="847"/>
      <c r="AB1640" s="741">
        <f t="shared" si="209"/>
        <v>0</v>
      </c>
      <c r="AC1640" s="846"/>
      <c r="AD1640" s="847"/>
      <c r="AE1640" s="846"/>
      <c r="AF1640" s="846"/>
      <c r="AG1640" s="847"/>
      <c r="AH1640" s="847"/>
      <c r="AI1640" s="742">
        <f t="shared" si="213"/>
        <v>0</v>
      </c>
      <c r="AJ1640" s="743">
        <f t="shared" si="214"/>
        <v>0</v>
      </c>
    </row>
    <row r="1641" spans="1:36">
      <c r="A1641" s="950" t="s">
        <v>153</v>
      </c>
      <c r="B1641" s="951" t="s">
        <v>269</v>
      </c>
      <c r="C1641" s="956" t="s">
        <v>714</v>
      </c>
      <c r="D1641" s="957"/>
      <c r="E1641" s="954">
        <v>199193</v>
      </c>
      <c r="F1641" s="955">
        <v>1</v>
      </c>
      <c r="G1641" s="846"/>
      <c r="H1641" s="847"/>
      <c r="I1641" s="846">
        <v>52767313</v>
      </c>
      <c r="J1641" s="847">
        <v>53225463</v>
      </c>
      <c r="K1641" s="846"/>
      <c r="L1641" s="847"/>
      <c r="M1641" s="846"/>
      <c r="N1641" s="846"/>
      <c r="O1641" s="737">
        <f t="shared" si="207"/>
        <v>0</v>
      </c>
      <c r="P1641" s="847"/>
      <c r="Q1641" s="847"/>
      <c r="R1641" s="738">
        <f t="shared" si="210"/>
        <v>0</v>
      </c>
      <c r="S1641" s="737">
        <f t="shared" si="211"/>
        <v>52767313</v>
      </c>
      <c r="T1641" s="739">
        <f t="shared" si="212"/>
        <v>53225463</v>
      </c>
      <c r="U1641" s="846"/>
      <c r="V1641" s="847"/>
      <c r="W1641" s="846"/>
      <c r="X1641" s="846"/>
      <c r="Y1641" s="740">
        <f t="shared" si="208"/>
        <v>0</v>
      </c>
      <c r="Z1641" s="847"/>
      <c r="AA1641" s="847"/>
      <c r="AB1641" s="741">
        <f t="shared" si="209"/>
        <v>0</v>
      </c>
      <c r="AC1641" s="846"/>
      <c r="AD1641" s="847"/>
      <c r="AE1641" s="846"/>
      <c r="AF1641" s="846"/>
      <c r="AG1641" s="847"/>
      <c r="AH1641" s="847"/>
      <c r="AI1641" s="742">
        <f t="shared" si="213"/>
        <v>52767313</v>
      </c>
      <c r="AJ1641" s="743">
        <f t="shared" si="214"/>
        <v>53225463</v>
      </c>
    </row>
    <row r="1642" spans="1:36">
      <c r="A1642" s="950" t="s">
        <v>153</v>
      </c>
      <c r="B1642" s="951" t="s">
        <v>264</v>
      </c>
      <c r="C1642" s="952" t="s">
        <v>715</v>
      </c>
      <c r="D1642" s="953"/>
      <c r="E1642" s="954">
        <v>199120</v>
      </c>
      <c r="F1642" s="955">
        <v>1</v>
      </c>
      <c r="G1642" s="846">
        <v>261709111</v>
      </c>
      <c r="H1642" s="847">
        <v>251509548</v>
      </c>
      <c r="I1642" s="846"/>
      <c r="J1642" s="847"/>
      <c r="K1642" s="846"/>
      <c r="L1642" s="847"/>
      <c r="M1642" s="846">
        <v>300772535</v>
      </c>
      <c r="N1642" s="846"/>
      <c r="O1642" s="737">
        <f t="shared" si="207"/>
        <v>300772535</v>
      </c>
      <c r="P1642" s="847">
        <v>339533924</v>
      </c>
      <c r="Q1642" s="847"/>
      <c r="R1642" s="738">
        <f t="shared" si="210"/>
        <v>339533924</v>
      </c>
      <c r="S1642" s="737">
        <f t="shared" si="211"/>
        <v>562481646</v>
      </c>
      <c r="T1642" s="739">
        <f t="shared" si="212"/>
        <v>591043472</v>
      </c>
      <c r="U1642" s="846"/>
      <c r="V1642" s="847"/>
      <c r="W1642" s="846"/>
      <c r="X1642" s="846"/>
      <c r="Y1642" s="740">
        <f t="shared" si="208"/>
        <v>0</v>
      </c>
      <c r="Z1642" s="847"/>
      <c r="AA1642" s="847"/>
      <c r="AB1642" s="741">
        <f t="shared" si="209"/>
        <v>0</v>
      </c>
      <c r="AC1642" s="846"/>
      <c r="AD1642" s="847"/>
      <c r="AE1642" s="846"/>
      <c r="AF1642" s="846"/>
      <c r="AG1642" s="847"/>
      <c r="AH1642" s="847"/>
      <c r="AI1642" s="742">
        <f t="shared" si="213"/>
        <v>562481646</v>
      </c>
      <c r="AJ1642" s="743">
        <f t="shared" si="214"/>
        <v>591043472</v>
      </c>
    </row>
    <row r="1643" spans="1:36">
      <c r="A1643" s="950" t="s">
        <v>153</v>
      </c>
      <c r="B1643" s="951" t="s">
        <v>280</v>
      </c>
      <c r="C1643" s="958" t="s">
        <v>716</v>
      </c>
      <c r="D1643" s="957"/>
      <c r="E1643" s="954">
        <v>199120</v>
      </c>
      <c r="F1643" s="955">
        <v>1</v>
      </c>
      <c r="G1643" s="846"/>
      <c r="H1643" s="847"/>
      <c r="I1643" s="846"/>
      <c r="J1643" s="847"/>
      <c r="K1643" s="846"/>
      <c r="L1643" s="847"/>
      <c r="M1643" s="846"/>
      <c r="N1643" s="846"/>
      <c r="O1643" s="737">
        <f t="shared" si="207"/>
        <v>0</v>
      </c>
      <c r="P1643" s="847"/>
      <c r="Q1643" s="847"/>
      <c r="R1643" s="738">
        <f t="shared" si="210"/>
        <v>0</v>
      </c>
      <c r="S1643" s="737">
        <f t="shared" si="211"/>
        <v>0</v>
      </c>
      <c r="T1643" s="739">
        <f t="shared" si="212"/>
        <v>0</v>
      </c>
      <c r="U1643" s="846"/>
      <c r="V1643" s="847"/>
      <c r="W1643" s="846"/>
      <c r="X1643" s="846"/>
      <c r="Y1643" s="740">
        <f t="shared" si="208"/>
        <v>0</v>
      </c>
      <c r="Z1643" s="847"/>
      <c r="AA1643" s="847"/>
      <c r="AB1643" s="741">
        <f t="shared" si="209"/>
        <v>0</v>
      </c>
      <c r="AC1643" s="846"/>
      <c r="AD1643" s="847"/>
      <c r="AE1643" s="846"/>
      <c r="AF1643" s="846"/>
      <c r="AG1643" s="847"/>
      <c r="AH1643" s="847"/>
      <c r="AI1643" s="742">
        <f t="shared" si="213"/>
        <v>0</v>
      </c>
      <c r="AJ1643" s="743">
        <f t="shared" si="214"/>
        <v>0</v>
      </c>
    </row>
    <row r="1644" spans="1:36">
      <c r="A1644" s="950" t="s">
        <v>153</v>
      </c>
      <c r="B1644" s="951" t="s">
        <v>280</v>
      </c>
      <c r="C1644" s="956" t="s">
        <v>717</v>
      </c>
      <c r="D1644" s="957"/>
      <c r="E1644" s="954">
        <v>199120</v>
      </c>
      <c r="F1644" s="955">
        <v>1</v>
      </c>
      <c r="G1644" s="846"/>
      <c r="H1644" s="847"/>
      <c r="I1644" s="846"/>
      <c r="J1644" s="847"/>
      <c r="K1644" s="846"/>
      <c r="L1644" s="847"/>
      <c r="M1644" s="846"/>
      <c r="N1644" s="846"/>
      <c r="O1644" s="737">
        <f t="shared" si="207"/>
        <v>0</v>
      </c>
      <c r="P1644" s="847"/>
      <c r="Q1644" s="847"/>
      <c r="R1644" s="738">
        <f t="shared" si="210"/>
        <v>0</v>
      </c>
      <c r="S1644" s="737">
        <f t="shared" si="211"/>
        <v>0</v>
      </c>
      <c r="T1644" s="739">
        <f t="shared" si="212"/>
        <v>0</v>
      </c>
      <c r="U1644" s="846"/>
      <c r="V1644" s="847"/>
      <c r="W1644" s="846"/>
      <c r="X1644" s="846"/>
      <c r="Y1644" s="740">
        <f t="shared" si="208"/>
        <v>0</v>
      </c>
      <c r="Z1644" s="847"/>
      <c r="AA1644" s="847"/>
      <c r="AB1644" s="741">
        <f t="shared" si="209"/>
        <v>0</v>
      </c>
      <c r="AC1644" s="846">
        <v>179494226</v>
      </c>
      <c r="AD1644" s="847">
        <v>186822880</v>
      </c>
      <c r="AE1644" s="846">
        <v>89542389</v>
      </c>
      <c r="AF1644" s="846"/>
      <c r="AG1644" s="847">
        <v>106759144</v>
      </c>
      <c r="AH1644" s="847"/>
      <c r="AI1644" s="742">
        <f t="shared" si="213"/>
        <v>269036615</v>
      </c>
      <c r="AJ1644" s="743">
        <f t="shared" si="214"/>
        <v>293582024</v>
      </c>
    </row>
    <row r="1645" spans="1:36">
      <c r="A1645" s="950" t="s">
        <v>153</v>
      </c>
      <c r="B1645" s="951" t="s">
        <v>264</v>
      </c>
      <c r="C1645" s="959" t="s">
        <v>718</v>
      </c>
      <c r="D1645" s="964" t="s">
        <v>763</v>
      </c>
      <c r="E1645" s="954">
        <v>199148</v>
      </c>
      <c r="F1645" s="961">
        <v>1</v>
      </c>
      <c r="G1645" s="846">
        <v>147367243</v>
      </c>
      <c r="H1645" s="847">
        <v>144302911</v>
      </c>
      <c r="I1645" s="846"/>
      <c r="J1645" s="847"/>
      <c r="K1645" s="846"/>
      <c r="L1645" s="847"/>
      <c r="M1645" s="846">
        <v>85426585</v>
      </c>
      <c r="N1645" s="846"/>
      <c r="O1645" s="737">
        <f t="shared" si="207"/>
        <v>85426585</v>
      </c>
      <c r="P1645" s="847">
        <v>85048170</v>
      </c>
      <c r="Q1645" s="847"/>
      <c r="R1645" s="738">
        <f t="shared" si="210"/>
        <v>85048170</v>
      </c>
      <c r="S1645" s="737">
        <f t="shared" si="211"/>
        <v>232793828</v>
      </c>
      <c r="T1645" s="739">
        <f t="shared" si="212"/>
        <v>229351081</v>
      </c>
      <c r="U1645" s="846"/>
      <c r="V1645" s="847"/>
      <c r="W1645" s="846"/>
      <c r="X1645" s="846"/>
      <c r="Y1645" s="740">
        <f t="shared" si="208"/>
        <v>0</v>
      </c>
      <c r="Z1645" s="847"/>
      <c r="AA1645" s="847"/>
      <c r="AB1645" s="741">
        <f t="shared" si="209"/>
        <v>0</v>
      </c>
      <c r="AC1645" s="846"/>
      <c r="AD1645" s="847"/>
      <c r="AE1645" s="846"/>
      <c r="AF1645" s="846"/>
      <c r="AG1645" s="847"/>
      <c r="AH1645" s="847"/>
      <c r="AI1645" s="742">
        <f t="shared" si="213"/>
        <v>232793828</v>
      </c>
      <c r="AJ1645" s="743">
        <f t="shared" si="214"/>
        <v>229351081</v>
      </c>
    </row>
    <row r="1646" spans="1:36">
      <c r="A1646" s="950" t="s">
        <v>153</v>
      </c>
      <c r="B1646" s="951" t="s">
        <v>264</v>
      </c>
      <c r="C1646" s="959" t="s">
        <v>719</v>
      </c>
      <c r="D1646" s="960"/>
      <c r="E1646" s="954">
        <v>198464</v>
      </c>
      <c r="F1646" s="955">
        <v>2</v>
      </c>
      <c r="G1646" s="846">
        <v>209537768</v>
      </c>
      <c r="H1646" s="847">
        <v>207925450</v>
      </c>
      <c r="I1646" s="846"/>
      <c r="J1646" s="847"/>
      <c r="K1646" s="846"/>
      <c r="L1646" s="847"/>
      <c r="M1646" s="846">
        <v>156562149</v>
      </c>
      <c r="N1646" s="846"/>
      <c r="O1646" s="737">
        <f t="shared" si="207"/>
        <v>156562149</v>
      </c>
      <c r="P1646" s="847">
        <v>165171416</v>
      </c>
      <c r="Q1646" s="847"/>
      <c r="R1646" s="738">
        <f t="shared" si="210"/>
        <v>165171416</v>
      </c>
      <c r="S1646" s="737">
        <f t="shared" si="211"/>
        <v>366099917</v>
      </c>
      <c r="T1646" s="739">
        <f t="shared" si="212"/>
        <v>373096866</v>
      </c>
      <c r="U1646" s="846"/>
      <c r="V1646" s="847"/>
      <c r="W1646" s="846"/>
      <c r="X1646" s="846"/>
      <c r="Y1646" s="740">
        <f t="shared" si="208"/>
        <v>0</v>
      </c>
      <c r="Z1646" s="847"/>
      <c r="AA1646" s="847"/>
      <c r="AB1646" s="741">
        <f t="shared" si="209"/>
        <v>0</v>
      </c>
      <c r="AC1646" s="846"/>
      <c r="AD1646" s="847"/>
      <c r="AE1646" s="846"/>
      <c r="AF1646" s="846"/>
      <c r="AG1646" s="847"/>
      <c r="AH1646" s="847"/>
      <c r="AI1646" s="742">
        <f t="shared" si="213"/>
        <v>366099917</v>
      </c>
      <c r="AJ1646" s="743">
        <f t="shared" si="214"/>
        <v>373096866</v>
      </c>
    </row>
    <row r="1647" spans="1:36">
      <c r="A1647" s="950" t="s">
        <v>153</v>
      </c>
      <c r="B1647" s="951" t="s">
        <v>280</v>
      </c>
      <c r="C1647" s="956" t="s">
        <v>717</v>
      </c>
      <c r="D1647" s="957"/>
      <c r="E1647" s="954">
        <v>198464</v>
      </c>
      <c r="F1647" s="955">
        <v>2</v>
      </c>
      <c r="G1647" s="846"/>
      <c r="H1647" s="847"/>
      <c r="I1647" s="846"/>
      <c r="J1647" s="847"/>
      <c r="K1647" s="846"/>
      <c r="L1647" s="847"/>
      <c r="M1647" s="846"/>
      <c r="N1647" s="846"/>
      <c r="O1647" s="737">
        <f t="shared" si="207"/>
        <v>0</v>
      </c>
      <c r="P1647" s="847"/>
      <c r="Q1647" s="847"/>
      <c r="R1647" s="738">
        <f t="shared" si="210"/>
        <v>0</v>
      </c>
      <c r="S1647" s="737">
        <f t="shared" si="211"/>
        <v>0</v>
      </c>
      <c r="T1647" s="739">
        <f t="shared" si="212"/>
        <v>0</v>
      </c>
      <c r="U1647" s="846"/>
      <c r="V1647" s="847"/>
      <c r="W1647" s="846"/>
      <c r="X1647" s="846"/>
      <c r="Y1647" s="740">
        <f t="shared" si="208"/>
        <v>0</v>
      </c>
      <c r="Z1647" s="847"/>
      <c r="AA1647" s="847"/>
      <c r="AB1647" s="741">
        <f t="shared" si="209"/>
        <v>0</v>
      </c>
      <c r="AC1647" s="846">
        <v>64272528</v>
      </c>
      <c r="AD1647" s="847">
        <v>65556147</v>
      </c>
      <c r="AE1647" s="846">
        <v>8301206</v>
      </c>
      <c r="AF1647" s="846"/>
      <c r="AG1647" s="847">
        <v>10121865</v>
      </c>
      <c r="AH1647" s="847"/>
      <c r="AI1647" s="742">
        <f t="shared" si="213"/>
        <v>72573734</v>
      </c>
      <c r="AJ1647" s="743">
        <f t="shared" si="214"/>
        <v>75678012</v>
      </c>
    </row>
    <row r="1648" spans="1:36">
      <c r="A1648" s="950" t="s">
        <v>153</v>
      </c>
      <c r="B1648" s="951" t="s">
        <v>264</v>
      </c>
      <c r="C1648" s="952" t="s">
        <v>720</v>
      </c>
      <c r="D1648" s="989" t="s">
        <v>764</v>
      </c>
      <c r="E1648" s="954">
        <v>199139</v>
      </c>
      <c r="F1648" s="990">
        <v>1</v>
      </c>
      <c r="G1648" s="846">
        <v>191041075</v>
      </c>
      <c r="H1648" s="847">
        <v>198375012</v>
      </c>
      <c r="I1648" s="846"/>
      <c r="J1648" s="847"/>
      <c r="K1648" s="846"/>
      <c r="L1648" s="847"/>
      <c r="M1648" s="846">
        <v>132819755</v>
      </c>
      <c r="N1648" s="846"/>
      <c r="O1648" s="737">
        <f t="shared" si="207"/>
        <v>132819755</v>
      </c>
      <c r="P1648" s="847">
        <v>137051166</v>
      </c>
      <c r="Q1648" s="847"/>
      <c r="R1648" s="738">
        <f t="shared" si="210"/>
        <v>137051166</v>
      </c>
      <c r="S1648" s="737">
        <f t="shared" si="211"/>
        <v>323860830</v>
      </c>
      <c r="T1648" s="739">
        <f t="shared" si="212"/>
        <v>335426178</v>
      </c>
      <c r="U1648" s="846"/>
      <c r="V1648" s="847"/>
      <c r="W1648" s="846"/>
      <c r="X1648" s="846"/>
      <c r="Y1648" s="740">
        <f t="shared" si="208"/>
        <v>0</v>
      </c>
      <c r="Z1648" s="847"/>
      <c r="AA1648" s="847"/>
      <c r="AB1648" s="741">
        <f t="shared" si="209"/>
        <v>0</v>
      </c>
      <c r="AC1648" s="846"/>
      <c r="AD1648" s="847"/>
      <c r="AE1648" s="846"/>
      <c r="AF1648" s="846"/>
      <c r="AG1648" s="847"/>
      <c r="AH1648" s="847"/>
      <c r="AI1648" s="742">
        <f t="shared" si="213"/>
        <v>323860830</v>
      </c>
      <c r="AJ1648" s="743">
        <f t="shared" si="214"/>
        <v>335426178</v>
      </c>
    </row>
    <row r="1649" spans="1:36">
      <c r="A1649" s="950" t="s">
        <v>153</v>
      </c>
      <c r="B1649" s="951" t="s">
        <v>264</v>
      </c>
      <c r="C1649" s="952" t="s">
        <v>721</v>
      </c>
      <c r="D1649" s="953"/>
      <c r="E1649" s="954">
        <v>197869</v>
      </c>
      <c r="F1649" s="955">
        <v>3</v>
      </c>
      <c r="G1649" s="846">
        <v>126805783</v>
      </c>
      <c r="H1649" s="847">
        <v>127133315</v>
      </c>
      <c r="I1649" s="846"/>
      <c r="J1649" s="847"/>
      <c r="K1649" s="846"/>
      <c r="L1649" s="847"/>
      <c r="M1649" s="846">
        <v>86135319</v>
      </c>
      <c r="N1649" s="846"/>
      <c r="O1649" s="737">
        <f t="shared" si="207"/>
        <v>86135319</v>
      </c>
      <c r="P1649" s="847">
        <v>90429659</v>
      </c>
      <c r="Q1649" s="847"/>
      <c r="R1649" s="738">
        <f t="shared" si="210"/>
        <v>90429659</v>
      </c>
      <c r="S1649" s="737">
        <f t="shared" si="211"/>
        <v>212941102</v>
      </c>
      <c r="T1649" s="739">
        <f t="shared" si="212"/>
        <v>217562974</v>
      </c>
      <c r="U1649" s="846"/>
      <c r="V1649" s="847"/>
      <c r="W1649" s="846"/>
      <c r="X1649" s="846"/>
      <c r="Y1649" s="740">
        <f t="shared" si="208"/>
        <v>0</v>
      </c>
      <c r="Z1649" s="847"/>
      <c r="AA1649" s="847"/>
      <c r="AB1649" s="741">
        <f t="shared" si="209"/>
        <v>0</v>
      </c>
      <c r="AC1649" s="846"/>
      <c r="AD1649" s="847"/>
      <c r="AE1649" s="846"/>
      <c r="AF1649" s="846"/>
      <c r="AG1649" s="847"/>
      <c r="AH1649" s="847"/>
      <c r="AI1649" s="742">
        <f t="shared" si="213"/>
        <v>212941102</v>
      </c>
      <c r="AJ1649" s="743">
        <f t="shared" si="214"/>
        <v>217562974</v>
      </c>
    </row>
    <row r="1650" spans="1:36">
      <c r="A1650" s="950" t="s">
        <v>153</v>
      </c>
      <c r="B1650" s="951" t="s">
        <v>264</v>
      </c>
      <c r="C1650" s="952" t="s">
        <v>722</v>
      </c>
      <c r="D1650" s="953"/>
      <c r="E1650" s="954">
        <v>199102</v>
      </c>
      <c r="F1650" s="955">
        <v>3</v>
      </c>
      <c r="G1650" s="846">
        <v>93069245</v>
      </c>
      <c r="H1650" s="847">
        <v>91216687</v>
      </c>
      <c r="I1650" s="846"/>
      <c r="J1650" s="847"/>
      <c r="K1650" s="846"/>
      <c r="L1650" s="847"/>
      <c r="M1650" s="846">
        <v>59084517</v>
      </c>
      <c r="N1650" s="846"/>
      <c r="O1650" s="737">
        <f t="shared" si="207"/>
        <v>59084517</v>
      </c>
      <c r="P1650" s="847">
        <v>63115477</v>
      </c>
      <c r="Q1650" s="847"/>
      <c r="R1650" s="738">
        <f t="shared" si="210"/>
        <v>63115477</v>
      </c>
      <c r="S1650" s="737">
        <f t="shared" si="211"/>
        <v>152153762</v>
      </c>
      <c r="T1650" s="739">
        <f t="shared" si="212"/>
        <v>154332164</v>
      </c>
      <c r="U1650" s="846"/>
      <c r="V1650" s="847"/>
      <c r="W1650" s="846"/>
      <c r="X1650" s="846"/>
      <c r="Y1650" s="740">
        <f t="shared" si="208"/>
        <v>0</v>
      </c>
      <c r="Z1650" s="847"/>
      <c r="AA1650" s="847"/>
      <c r="AB1650" s="741">
        <f t="shared" si="209"/>
        <v>0</v>
      </c>
      <c r="AC1650" s="846"/>
      <c r="AD1650" s="847"/>
      <c r="AE1650" s="846"/>
      <c r="AF1650" s="846"/>
      <c r="AG1650" s="847"/>
      <c r="AH1650" s="847"/>
      <c r="AI1650" s="742">
        <f t="shared" si="213"/>
        <v>152153762</v>
      </c>
      <c r="AJ1650" s="743">
        <f t="shared" si="214"/>
        <v>154332164</v>
      </c>
    </row>
    <row r="1651" spans="1:36">
      <c r="A1651" s="950" t="s">
        <v>153</v>
      </c>
      <c r="B1651" s="951" t="s">
        <v>264</v>
      </c>
      <c r="C1651" s="952" t="s">
        <v>723</v>
      </c>
      <c r="D1651" s="953"/>
      <c r="E1651" s="954">
        <v>199157</v>
      </c>
      <c r="F1651" s="955">
        <v>3</v>
      </c>
      <c r="G1651" s="846">
        <v>78943845</v>
      </c>
      <c r="H1651" s="847">
        <v>81825156</v>
      </c>
      <c r="I1651" s="846"/>
      <c r="J1651" s="847"/>
      <c r="K1651" s="846"/>
      <c r="L1651" s="847"/>
      <c r="M1651" s="846">
        <v>42070240</v>
      </c>
      <c r="N1651" s="846"/>
      <c r="O1651" s="737">
        <f t="shared" si="207"/>
        <v>42070240</v>
      </c>
      <c r="P1651" s="847">
        <v>48232208</v>
      </c>
      <c r="Q1651" s="847"/>
      <c r="R1651" s="738">
        <f t="shared" si="210"/>
        <v>48232208</v>
      </c>
      <c r="S1651" s="737">
        <f t="shared" si="211"/>
        <v>121014085</v>
      </c>
      <c r="T1651" s="739">
        <f t="shared" si="212"/>
        <v>130057364</v>
      </c>
      <c r="U1651" s="846"/>
      <c r="V1651" s="847"/>
      <c r="W1651" s="846"/>
      <c r="X1651" s="846"/>
      <c r="Y1651" s="740">
        <f t="shared" si="208"/>
        <v>0</v>
      </c>
      <c r="Z1651" s="847"/>
      <c r="AA1651" s="847"/>
      <c r="AB1651" s="741">
        <f t="shared" si="209"/>
        <v>0</v>
      </c>
      <c r="AC1651" s="846"/>
      <c r="AD1651" s="847"/>
      <c r="AE1651" s="846"/>
      <c r="AF1651" s="846"/>
      <c r="AG1651" s="847"/>
      <c r="AH1651" s="847"/>
      <c r="AI1651" s="742">
        <f t="shared" si="213"/>
        <v>121014085</v>
      </c>
      <c r="AJ1651" s="743">
        <f t="shared" si="214"/>
        <v>130057364</v>
      </c>
    </row>
    <row r="1652" spans="1:36">
      <c r="A1652" s="950" t="s">
        <v>153</v>
      </c>
      <c r="B1652" s="951" t="s">
        <v>264</v>
      </c>
      <c r="C1652" s="952" t="s">
        <v>724</v>
      </c>
      <c r="D1652" s="953"/>
      <c r="E1652" s="954">
        <v>199218</v>
      </c>
      <c r="F1652" s="955">
        <v>3</v>
      </c>
      <c r="G1652" s="846">
        <v>96893534</v>
      </c>
      <c r="H1652" s="847">
        <v>100957797</v>
      </c>
      <c r="I1652" s="846"/>
      <c r="J1652" s="847"/>
      <c r="K1652" s="846"/>
      <c r="L1652" s="847"/>
      <c r="M1652" s="846">
        <v>80833502</v>
      </c>
      <c r="N1652" s="846"/>
      <c r="O1652" s="737">
        <f t="shared" si="207"/>
        <v>80833502</v>
      </c>
      <c r="P1652" s="847">
        <v>84107625</v>
      </c>
      <c r="Q1652" s="847"/>
      <c r="R1652" s="738">
        <f t="shared" si="210"/>
        <v>84107625</v>
      </c>
      <c r="S1652" s="737">
        <f t="shared" si="211"/>
        <v>177727036</v>
      </c>
      <c r="T1652" s="739">
        <f t="shared" si="212"/>
        <v>185065422</v>
      </c>
      <c r="U1652" s="846"/>
      <c r="V1652" s="847"/>
      <c r="W1652" s="846"/>
      <c r="X1652" s="846"/>
      <c r="Y1652" s="740">
        <f t="shared" si="208"/>
        <v>0</v>
      </c>
      <c r="Z1652" s="847"/>
      <c r="AA1652" s="847"/>
      <c r="AB1652" s="741">
        <f t="shared" si="209"/>
        <v>0</v>
      </c>
      <c r="AC1652" s="846"/>
      <c r="AD1652" s="847"/>
      <c r="AE1652" s="846"/>
      <c r="AF1652" s="846"/>
      <c r="AG1652" s="847"/>
      <c r="AH1652" s="847"/>
      <c r="AI1652" s="742">
        <f t="shared" si="213"/>
        <v>177727036</v>
      </c>
      <c r="AJ1652" s="743">
        <f t="shared" si="214"/>
        <v>185065422</v>
      </c>
    </row>
    <row r="1653" spans="1:36">
      <c r="A1653" s="950" t="s">
        <v>153</v>
      </c>
      <c r="B1653" s="951" t="s">
        <v>264</v>
      </c>
      <c r="C1653" s="952" t="s">
        <v>725</v>
      </c>
      <c r="D1653" s="953"/>
      <c r="E1653" s="954">
        <v>200004</v>
      </c>
      <c r="F1653" s="955">
        <v>3</v>
      </c>
      <c r="G1653" s="846">
        <v>82016799</v>
      </c>
      <c r="H1653" s="847">
        <v>85826608</v>
      </c>
      <c r="I1653" s="846"/>
      <c r="J1653" s="847"/>
      <c r="K1653" s="846"/>
      <c r="L1653" s="847"/>
      <c r="M1653" s="846">
        <v>43893395</v>
      </c>
      <c r="N1653" s="846"/>
      <c r="O1653" s="737">
        <f t="shared" si="207"/>
        <v>43893395</v>
      </c>
      <c r="P1653" s="847">
        <v>45645154</v>
      </c>
      <c r="Q1653" s="847"/>
      <c r="R1653" s="738">
        <f t="shared" si="210"/>
        <v>45645154</v>
      </c>
      <c r="S1653" s="737">
        <f t="shared" si="211"/>
        <v>125910194</v>
      </c>
      <c r="T1653" s="739">
        <f t="shared" si="212"/>
        <v>131471762</v>
      </c>
      <c r="U1653" s="846"/>
      <c r="V1653" s="847"/>
      <c r="W1653" s="846"/>
      <c r="X1653" s="846"/>
      <c r="Y1653" s="740">
        <f t="shared" si="208"/>
        <v>0</v>
      </c>
      <c r="Z1653" s="847"/>
      <c r="AA1653" s="847"/>
      <c r="AB1653" s="741">
        <f t="shared" si="209"/>
        <v>0</v>
      </c>
      <c r="AC1653" s="846"/>
      <c r="AD1653" s="847"/>
      <c r="AE1653" s="846"/>
      <c r="AF1653" s="846"/>
      <c r="AG1653" s="847"/>
      <c r="AH1653" s="847"/>
      <c r="AI1653" s="742">
        <f t="shared" si="213"/>
        <v>125910194</v>
      </c>
      <c r="AJ1653" s="743">
        <f t="shared" si="214"/>
        <v>131471762</v>
      </c>
    </row>
    <row r="1654" spans="1:36">
      <c r="A1654" s="950" t="s">
        <v>153</v>
      </c>
      <c r="B1654" s="951" t="s">
        <v>264</v>
      </c>
      <c r="C1654" s="959" t="s">
        <v>726</v>
      </c>
      <c r="D1654" s="963"/>
      <c r="E1654" s="954">
        <v>198543</v>
      </c>
      <c r="F1654" s="955">
        <v>4</v>
      </c>
      <c r="G1654" s="846">
        <v>49422472</v>
      </c>
      <c r="H1654" s="847">
        <v>48633183</v>
      </c>
      <c r="I1654" s="846"/>
      <c r="J1654" s="847"/>
      <c r="K1654" s="846"/>
      <c r="L1654" s="847"/>
      <c r="M1654" s="846">
        <v>19080943</v>
      </c>
      <c r="N1654" s="846"/>
      <c r="O1654" s="737">
        <f t="shared" si="207"/>
        <v>19080943</v>
      </c>
      <c r="P1654" s="847">
        <v>19855512</v>
      </c>
      <c r="Q1654" s="847"/>
      <c r="R1654" s="738">
        <f t="shared" si="210"/>
        <v>19855512</v>
      </c>
      <c r="S1654" s="737">
        <f t="shared" si="211"/>
        <v>68503415</v>
      </c>
      <c r="T1654" s="739">
        <f t="shared" si="212"/>
        <v>68488695</v>
      </c>
      <c r="U1654" s="846"/>
      <c r="V1654" s="847"/>
      <c r="W1654" s="846"/>
      <c r="X1654" s="846"/>
      <c r="Y1654" s="740">
        <f t="shared" si="208"/>
        <v>0</v>
      </c>
      <c r="Z1654" s="847"/>
      <c r="AA1654" s="847"/>
      <c r="AB1654" s="741">
        <f t="shared" si="209"/>
        <v>0</v>
      </c>
      <c r="AC1654" s="846"/>
      <c r="AD1654" s="847"/>
      <c r="AE1654" s="846"/>
      <c r="AF1654" s="846"/>
      <c r="AG1654" s="847"/>
      <c r="AH1654" s="847"/>
      <c r="AI1654" s="742">
        <f t="shared" si="213"/>
        <v>68503415</v>
      </c>
      <c r="AJ1654" s="743">
        <f t="shared" si="214"/>
        <v>68488695</v>
      </c>
    </row>
    <row r="1655" spans="1:36">
      <c r="A1655" s="950" t="s">
        <v>153</v>
      </c>
      <c r="B1655" s="951" t="s">
        <v>264</v>
      </c>
      <c r="C1655" s="952" t="s">
        <v>727</v>
      </c>
      <c r="D1655" s="953"/>
      <c r="E1655" s="954">
        <v>199281</v>
      </c>
      <c r="F1655" s="955">
        <v>5</v>
      </c>
      <c r="G1655" s="846">
        <v>52416930</v>
      </c>
      <c r="H1655" s="847">
        <v>53644144</v>
      </c>
      <c r="I1655" s="846"/>
      <c r="J1655" s="847"/>
      <c r="K1655" s="846"/>
      <c r="L1655" s="847"/>
      <c r="M1655" s="846">
        <v>19932510</v>
      </c>
      <c r="N1655" s="846"/>
      <c r="O1655" s="737">
        <f t="shared" si="207"/>
        <v>19932510</v>
      </c>
      <c r="P1655" s="847">
        <v>25034386</v>
      </c>
      <c r="Q1655" s="847"/>
      <c r="R1655" s="738">
        <f t="shared" si="210"/>
        <v>25034386</v>
      </c>
      <c r="S1655" s="737">
        <f t="shared" si="211"/>
        <v>72349440</v>
      </c>
      <c r="T1655" s="739">
        <f t="shared" si="212"/>
        <v>78678530</v>
      </c>
      <c r="U1655" s="846"/>
      <c r="V1655" s="847"/>
      <c r="W1655" s="846"/>
      <c r="X1655" s="846"/>
      <c r="Y1655" s="740">
        <f t="shared" si="208"/>
        <v>0</v>
      </c>
      <c r="Z1655" s="847"/>
      <c r="AA1655" s="847"/>
      <c r="AB1655" s="741">
        <f t="shared" si="209"/>
        <v>0</v>
      </c>
      <c r="AC1655" s="846"/>
      <c r="AD1655" s="847"/>
      <c r="AE1655" s="846"/>
      <c r="AF1655" s="846"/>
      <c r="AG1655" s="847"/>
      <c r="AH1655" s="847"/>
      <c r="AI1655" s="742">
        <f t="shared" si="213"/>
        <v>72349440</v>
      </c>
      <c r="AJ1655" s="743">
        <f t="shared" si="214"/>
        <v>78678530</v>
      </c>
    </row>
    <row r="1656" spans="1:36">
      <c r="A1656" s="950" t="s">
        <v>153</v>
      </c>
      <c r="B1656" s="951" t="s">
        <v>264</v>
      </c>
      <c r="C1656" s="952" t="s">
        <v>728</v>
      </c>
      <c r="D1656" s="953"/>
      <c r="E1656" s="954">
        <v>199999</v>
      </c>
      <c r="F1656" s="955">
        <v>5</v>
      </c>
      <c r="G1656" s="846">
        <v>65859473</v>
      </c>
      <c r="H1656" s="847">
        <v>64564664</v>
      </c>
      <c r="I1656" s="846"/>
      <c r="J1656" s="847"/>
      <c r="K1656" s="846"/>
      <c r="L1656" s="847"/>
      <c r="M1656" s="846">
        <v>23180099</v>
      </c>
      <c r="N1656" s="846"/>
      <c r="O1656" s="737">
        <f t="shared" si="207"/>
        <v>23180099</v>
      </c>
      <c r="P1656" s="847">
        <v>23484385</v>
      </c>
      <c r="Q1656" s="847"/>
      <c r="R1656" s="738">
        <f t="shared" si="210"/>
        <v>23484385</v>
      </c>
      <c r="S1656" s="737">
        <f t="shared" si="211"/>
        <v>89039572</v>
      </c>
      <c r="T1656" s="739">
        <f t="shared" si="212"/>
        <v>88049049</v>
      </c>
      <c r="U1656" s="846"/>
      <c r="V1656" s="847"/>
      <c r="W1656" s="846"/>
      <c r="X1656" s="846"/>
      <c r="Y1656" s="740">
        <f t="shared" si="208"/>
        <v>0</v>
      </c>
      <c r="Z1656" s="847"/>
      <c r="AA1656" s="847"/>
      <c r="AB1656" s="741">
        <f t="shared" si="209"/>
        <v>0</v>
      </c>
      <c r="AC1656" s="846"/>
      <c r="AD1656" s="847"/>
      <c r="AE1656" s="846"/>
      <c r="AF1656" s="846"/>
      <c r="AG1656" s="847"/>
      <c r="AH1656" s="847"/>
      <c r="AI1656" s="742">
        <f t="shared" si="213"/>
        <v>89039572</v>
      </c>
      <c r="AJ1656" s="743">
        <f t="shared" si="214"/>
        <v>88049049</v>
      </c>
    </row>
    <row r="1657" spans="1:36">
      <c r="A1657" s="950" t="s">
        <v>153</v>
      </c>
      <c r="B1657" s="951" t="s">
        <v>264</v>
      </c>
      <c r="C1657" s="952" t="s">
        <v>729</v>
      </c>
      <c r="D1657" s="964" t="s">
        <v>765</v>
      </c>
      <c r="E1657" s="954">
        <v>198507</v>
      </c>
      <c r="F1657" s="955">
        <v>6</v>
      </c>
      <c r="G1657" s="846">
        <v>33535766</v>
      </c>
      <c r="H1657" s="847">
        <v>30658643</v>
      </c>
      <c r="I1657" s="846"/>
      <c r="J1657" s="847"/>
      <c r="K1657" s="846"/>
      <c r="L1657" s="847"/>
      <c r="M1657" s="846">
        <v>9518458</v>
      </c>
      <c r="N1657" s="846"/>
      <c r="O1657" s="737">
        <f t="shared" si="207"/>
        <v>9518458</v>
      </c>
      <c r="P1657" s="847">
        <v>10308430</v>
      </c>
      <c r="Q1657" s="847"/>
      <c r="R1657" s="738">
        <f t="shared" si="210"/>
        <v>10308430</v>
      </c>
      <c r="S1657" s="737">
        <f t="shared" si="211"/>
        <v>43054224</v>
      </c>
      <c r="T1657" s="739">
        <f t="shared" si="212"/>
        <v>40967073</v>
      </c>
      <c r="U1657" s="846"/>
      <c r="V1657" s="847"/>
      <c r="W1657" s="846"/>
      <c r="X1657" s="846"/>
      <c r="Y1657" s="740">
        <f t="shared" si="208"/>
        <v>0</v>
      </c>
      <c r="Z1657" s="847"/>
      <c r="AA1657" s="847"/>
      <c r="AB1657" s="741">
        <f t="shared" si="209"/>
        <v>0</v>
      </c>
      <c r="AC1657" s="846"/>
      <c r="AD1657" s="847"/>
      <c r="AE1657" s="846"/>
      <c r="AF1657" s="846"/>
      <c r="AG1657" s="847"/>
      <c r="AH1657" s="847"/>
      <c r="AI1657" s="742">
        <f t="shared" si="213"/>
        <v>43054224</v>
      </c>
      <c r="AJ1657" s="743">
        <f t="shared" si="214"/>
        <v>40967073</v>
      </c>
    </row>
    <row r="1658" spans="1:36">
      <c r="A1658" s="950" t="s">
        <v>153</v>
      </c>
      <c r="B1658" s="951" t="s">
        <v>264</v>
      </c>
      <c r="C1658" s="952" t="s">
        <v>730</v>
      </c>
      <c r="D1658" s="953"/>
      <c r="E1658" s="954">
        <v>199111</v>
      </c>
      <c r="F1658" s="955">
        <v>6</v>
      </c>
      <c r="G1658" s="846">
        <v>36524175</v>
      </c>
      <c r="H1658" s="847">
        <v>37703887</v>
      </c>
      <c r="I1658" s="846"/>
      <c r="J1658" s="847"/>
      <c r="K1658" s="846"/>
      <c r="L1658" s="847"/>
      <c r="M1658" s="846">
        <v>18955276</v>
      </c>
      <c r="N1658" s="846"/>
      <c r="O1658" s="737">
        <f t="shared" si="207"/>
        <v>18955276</v>
      </c>
      <c r="P1658" s="847">
        <v>19587830</v>
      </c>
      <c r="Q1658" s="847"/>
      <c r="R1658" s="738">
        <f t="shared" si="210"/>
        <v>19587830</v>
      </c>
      <c r="S1658" s="737">
        <f t="shared" si="211"/>
        <v>55479451</v>
      </c>
      <c r="T1658" s="739">
        <f t="shared" si="212"/>
        <v>57291717</v>
      </c>
      <c r="U1658" s="846"/>
      <c r="V1658" s="847"/>
      <c r="W1658" s="846"/>
      <c r="X1658" s="846"/>
      <c r="Y1658" s="740">
        <f t="shared" si="208"/>
        <v>0</v>
      </c>
      <c r="Z1658" s="847"/>
      <c r="AA1658" s="847"/>
      <c r="AB1658" s="741">
        <f t="shared" si="209"/>
        <v>0</v>
      </c>
      <c r="AC1658" s="846"/>
      <c r="AD1658" s="847"/>
      <c r="AE1658" s="846"/>
      <c r="AF1658" s="846"/>
      <c r="AG1658" s="847"/>
      <c r="AH1658" s="847"/>
      <c r="AI1658" s="742">
        <f t="shared" si="213"/>
        <v>55479451</v>
      </c>
      <c r="AJ1658" s="743">
        <f t="shared" si="214"/>
        <v>57291717</v>
      </c>
    </row>
    <row r="1659" spans="1:36">
      <c r="A1659" s="950" t="s">
        <v>153</v>
      </c>
      <c r="B1659" s="951" t="s">
        <v>302</v>
      </c>
      <c r="C1659" s="952" t="s">
        <v>731</v>
      </c>
      <c r="D1659" s="953"/>
      <c r="E1659" s="954">
        <v>199184</v>
      </c>
      <c r="F1659" s="955">
        <v>15</v>
      </c>
      <c r="G1659" s="846"/>
      <c r="H1659" s="847"/>
      <c r="I1659" s="846"/>
      <c r="J1659" s="847"/>
      <c r="K1659" s="846"/>
      <c r="L1659" s="847"/>
      <c r="M1659" s="846"/>
      <c r="N1659" s="846"/>
      <c r="O1659" s="737">
        <f t="shared" si="207"/>
        <v>0</v>
      </c>
      <c r="P1659" s="847"/>
      <c r="Q1659" s="847"/>
      <c r="R1659" s="738">
        <f t="shared" si="210"/>
        <v>0</v>
      </c>
      <c r="S1659" s="737">
        <f t="shared" si="211"/>
        <v>0</v>
      </c>
      <c r="T1659" s="739">
        <f t="shared" si="212"/>
        <v>0</v>
      </c>
      <c r="U1659" s="846">
        <v>31868375</v>
      </c>
      <c r="V1659" s="847">
        <v>28861488</v>
      </c>
      <c r="W1659" s="846">
        <v>13250568</v>
      </c>
      <c r="X1659" s="846"/>
      <c r="Y1659" s="740">
        <f t="shared" si="208"/>
        <v>13250568</v>
      </c>
      <c r="Z1659" s="847">
        <v>14549931</v>
      </c>
      <c r="AA1659" s="847"/>
      <c r="AB1659" s="741">
        <f t="shared" si="209"/>
        <v>14549931</v>
      </c>
      <c r="AC1659" s="846"/>
      <c r="AD1659" s="847"/>
      <c r="AE1659" s="846"/>
      <c r="AF1659" s="846"/>
      <c r="AG1659" s="847"/>
      <c r="AH1659" s="847"/>
      <c r="AI1659" s="742">
        <f t="shared" si="213"/>
        <v>45118943</v>
      </c>
      <c r="AJ1659" s="743">
        <f t="shared" si="214"/>
        <v>43411419</v>
      </c>
    </row>
    <row r="1660" spans="1:36">
      <c r="A1660" s="965" t="s">
        <v>153</v>
      </c>
      <c r="B1660" s="966" t="s">
        <v>273</v>
      </c>
      <c r="C1660" s="967" t="s">
        <v>732</v>
      </c>
      <c r="D1660" s="953"/>
      <c r="E1660" s="968"/>
      <c r="F1660" s="962"/>
      <c r="G1660" s="846"/>
      <c r="H1660" s="847"/>
      <c r="I1660" s="846"/>
      <c r="J1660" s="847"/>
      <c r="K1660" s="846"/>
      <c r="L1660" s="847"/>
      <c r="M1660" s="846"/>
      <c r="N1660" s="846"/>
      <c r="O1660" s="737">
        <f t="shared" si="207"/>
        <v>0</v>
      </c>
      <c r="P1660" s="847"/>
      <c r="Q1660" s="847"/>
      <c r="R1660" s="738">
        <f t="shared" si="210"/>
        <v>0</v>
      </c>
      <c r="S1660" s="737">
        <f t="shared" si="211"/>
        <v>0</v>
      </c>
      <c r="T1660" s="739">
        <f t="shared" si="212"/>
        <v>0</v>
      </c>
      <c r="U1660" s="846"/>
      <c r="V1660" s="847"/>
      <c r="W1660" s="846"/>
      <c r="X1660" s="846"/>
      <c r="Y1660" s="740">
        <f t="shared" si="208"/>
        <v>0</v>
      </c>
      <c r="Z1660" s="847"/>
      <c r="AA1660" s="847"/>
      <c r="AB1660" s="741">
        <f t="shared" si="209"/>
        <v>0</v>
      </c>
      <c r="AC1660" s="846"/>
      <c r="AD1660" s="847"/>
      <c r="AE1660" s="846"/>
      <c r="AF1660" s="846"/>
      <c r="AG1660" s="847"/>
      <c r="AH1660" s="847"/>
      <c r="AI1660" s="742">
        <f t="shared" si="213"/>
        <v>0</v>
      </c>
      <c r="AJ1660" s="743">
        <f t="shared" si="214"/>
        <v>0</v>
      </c>
    </row>
    <row r="1661" spans="1:36">
      <c r="A1661" s="950" t="s">
        <v>153</v>
      </c>
      <c r="B1661" s="951" t="s">
        <v>274</v>
      </c>
      <c r="C1661" s="958" t="s">
        <v>319</v>
      </c>
      <c r="D1661" s="957"/>
      <c r="E1661" s="954"/>
      <c r="F1661" s="955"/>
      <c r="G1661" s="846"/>
      <c r="H1661" s="847"/>
      <c r="I1661" s="846"/>
      <c r="J1661" s="847"/>
      <c r="K1661" s="846"/>
      <c r="L1661" s="847"/>
      <c r="M1661" s="846"/>
      <c r="N1661" s="846"/>
      <c r="O1661" s="737">
        <f t="shared" si="207"/>
        <v>0</v>
      </c>
      <c r="P1661" s="847"/>
      <c r="Q1661" s="847"/>
      <c r="R1661" s="738">
        <f t="shared" si="210"/>
        <v>0</v>
      </c>
      <c r="S1661" s="737">
        <f t="shared" si="211"/>
        <v>0</v>
      </c>
      <c r="T1661" s="739">
        <f t="shared" si="212"/>
        <v>0</v>
      </c>
      <c r="U1661" s="846"/>
      <c r="V1661" s="847"/>
      <c r="W1661" s="846"/>
      <c r="X1661" s="846"/>
      <c r="Y1661" s="740">
        <f t="shared" si="208"/>
        <v>0</v>
      </c>
      <c r="Z1661" s="847"/>
      <c r="AA1661" s="847"/>
      <c r="AB1661" s="741">
        <f t="shared" si="209"/>
        <v>0</v>
      </c>
      <c r="AC1661" s="846"/>
      <c r="AD1661" s="847"/>
      <c r="AE1661" s="846"/>
      <c r="AF1661" s="846"/>
      <c r="AG1661" s="847"/>
      <c r="AH1661" s="847"/>
      <c r="AI1661" s="742">
        <f t="shared" si="213"/>
        <v>0</v>
      </c>
      <c r="AJ1661" s="743">
        <f t="shared" si="214"/>
        <v>0</v>
      </c>
    </row>
    <row r="1662" spans="1:36">
      <c r="A1662" s="950" t="s">
        <v>153</v>
      </c>
      <c r="B1662" s="951" t="s">
        <v>274</v>
      </c>
      <c r="C1662" s="956" t="s">
        <v>733</v>
      </c>
      <c r="D1662" s="957"/>
      <c r="E1662" s="954"/>
      <c r="F1662" s="955"/>
      <c r="G1662" s="846"/>
      <c r="H1662" s="847"/>
      <c r="I1662" s="846">
        <v>8985356</v>
      </c>
      <c r="J1662" s="847">
        <v>9092715</v>
      </c>
      <c r="K1662" s="846"/>
      <c r="L1662" s="847"/>
      <c r="M1662" s="846"/>
      <c r="N1662" s="846"/>
      <c r="O1662" s="737">
        <f t="shared" si="207"/>
        <v>0</v>
      </c>
      <c r="P1662" s="847"/>
      <c r="Q1662" s="847"/>
      <c r="R1662" s="738">
        <f t="shared" si="210"/>
        <v>0</v>
      </c>
      <c r="S1662" s="737">
        <f t="shared" si="211"/>
        <v>8985356</v>
      </c>
      <c r="T1662" s="739">
        <f t="shared" si="212"/>
        <v>9092715</v>
      </c>
      <c r="U1662" s="846"/>
      <c r="V1662" s="847"/>
      <c r="W1662" s="846"/>
      <c r="X1662" s="846"/>
      <c r="Y1662" s="740">
        <f t="shared" si="208"/>
        <v>0</v>
      </c>
      <c r="Z1662" s="847"/>
      <c r="AA1662" s="847"/>
      <c r="AB1662" s="741">
        <f t="shared" si="209"/>
        <v>0</v>
      </c>
      <c r="AC1662" s="846"/>
      <c r="AD1662" s="847"/>
      <c r="AE1662" s="846"/>
      <c r="AF1662" s="846"/>
      <c r="AG1662" s="847"/>
      <c r="AH1662" s="847"/>
      <c r="AI1662" s="742">
        <f t="shared" si="213"/>
        <v>8985356</v>
      </c>
      <c r="AJ1662" s="743">
        <f t="shared" si="214"/>
        <v>9092715</v>
      </c>
    </row>
    <row r="1663" spans="1:36">
      <c r="A1663" s="950" t="s">
        <v>153</v>
      </c>
      <c r="B1663" s="951" t="s">
        <v>274</v>
      </c>
      <c r="C1663" s="956" t="s">
        <v>734</v>
      </c>
      <c r="D1663" s="957"/>
      <c r="E1663" s="954"/>
      <c r="F1663" s="955"/>
      <c r="G1663" s="846"/>
      <c r="H1663" s="847"/>
      <c r="I1663" s="846">
        <v>853195</v>
      </c>
      <c r="J1663" s="847">
        <v>2078198</v>
      </c>
      <c r="K1663" s="846"/>
      <c r="L1663" s="847"/>
      <c r="M1663" s="846"/>
      <c r="N1663" s="846"/>
      <c r="O1663" s="737">
        <f t="shared" si="207"/>
        <v>0</v>
      </c>
      <c r="P1663" s="847"/>
      <c r="Q1663" s="847"/>
      <c r="R1663" s="738">
        <f t="shared" si="210"/>
        <v>0</v>
      </c>
      <c r="S1663" s="737">
        <f t="shared" si="211"/>
        <v>853195</v>
      </c>
      <c r="T1663" s="739">
        <f t="shared" si="212"/>
        <v>2078198</v>
      </c>
      <c r="U1663" s="846"/>
      <c r="V1663" s="847"/>
      <c r="W1663" s="846"/>
      <c r="X1663" s="846"/>
      <c r="Y1663" s="740">
        <f t="shared" si="208"/>
        <v>0</v>
      </c>
      <c r="Z1663" s="847"/>
      <c r="AA1663" s="847"/>
      <c r="AB1663" s="741">
        <f t="shared" si="209"/>
        <v>0</v>
      </c>
      <c r="AC1663" s="846"/>
      <c r="AD1663" s="847"/>
      <c r="AE1663" s="846"/>
      <c r="AF1663" s="846"/>
      <c r="AG1663" s="847"/>
      <c r="AH1663" s="847"/>
      <c r="AI1663" s="742">
        <f t="shared" si="213"/>
        <v>853195</v>
      </c>
      <c r="AJ1663" s="743">
        <f t="shared" si="214"/>
        <v>2078198</v>
      </c>
    </row>
    <row r="1664" spans="1:36">
      <c r="A1664" s="950" t="s">
        <v>153</v>
      </c>
      <c r="B1664" s="951" t="s">
        <v>274</v>
      </c>
      <c r="C1664" s="956" t="s">
        <v>735</v>
      </c>
      <c r="D1664" s="957"/>
      <c r="E1664" s="954"/>
      <c r="F1664" s="955"/>
      <c r="G1664" s="846"/>
      <c r="H1664" s="847"/>
      <c r="I1664" s="846"/>
      <c r="J1664" s="847"/>
      <c r="K1664" s="846"/>
      <c r="L1664" s="847"/>
      <c r="M1664" s="846"/>
      <c r="N1664" s="846"/>
      <c r="O1664" s="737">
        <f t="shared" si="207"/>
        <v>0</v>
      </c>
      <c r="P1664" s="847"/>
      <c r="Q1664" s="847"/>
      <c r="R1664" s="738">
        <f t="shared" si="210"/>
        <v>0</v>
      </c>
      <c r="S1664" s="737">
        <f t="shared" si="211"/>
        <v>0</v>
      </c>
      <c r="T1664" s="739">
        <f t="shared" si="212"/>
        <v>0</v>
      </c>
      <c r="U1664" s="846"/>
      <c r="V1664" s="847"/>
      <c r="W1664" s="846"/>
      <c r="X1664" s="846"/>
      <c r="Y1664" s="740">
        <f t="shared" si="208"/>
        <v>0</v>
      </c>
      <c r="Z1664" s="847"/>
      <c r="AA1664" s="847"/>
      <c r="AB1664" s="741">
        <f t="shared" si="209"/>
        <v>0</v>
      </c>
      <c r="AC1664" s="846"/>
      <c r="AD1664" s="847"/>
      <c r="AE1664" s="846"/>
      <c r="AF1664" s="846"/>
      <c r="AG1664" s="847"/>
      <c r="AH1664" s="847"/>
      <c r="AI1664" s="742">
        <f t="shared" si="213"/>
        <v>0</v>
      </c>
      <c r="AJ1664" s="743">
        <f t="shared" si="214"/>
        <v>0</v>
      </c>
    </row>
    <row r="1665" spans="1:36">
      <c r="A1665" s="950" t="s">
        <v>153</v>
      </c>
      <c r="B1665" s="951" t="s">
        <v>274</v>
      </c>
      <c r="C1665" s="956" t="s">
        <v>736</v>
      </c>
      <c r="D1665" s="957"/>
      <c r="E1665" s="969"/>
      <c r="F1665" s="970"/>
      <c r="G1665" s="846"/>
      <c r="H1665" s="847"/>
      <c r="I1665" s="846"/>
      <c r="J1665" s="847"/>
      <c r="K1665" s="846"/>
      <c r="L1665" s="847"/>
      <c r="M1665" s="846"/>
      <c r="N1665" s="846"/>
      <c r="O1665" s="737">
        <f t="shared" si="207"/>
        <v>0</v>
      </c>
      <c r="P1665" s="847"/>
      <c r="Q1665" s="847"/>
      <c r="R1665" s="738">
        <f t="shared" si="210"/>
        <v>0</v>
      </c>
      <c r="S1665" s="737">
        <f t="shared" si="211"/>
        <v>0</v>
      </c>
      <c r="T1665" s="739">
        <f t="shared" si="212"/>
        <v>0</v>
      </c>
      <c r="U1665" s="846"/>
      <c r="V1665" s="847"/>
      <c r="W1665" s="846"/>
      <c r="X1665" s="846"/>
      <c r="Y1665" s="740">
        <f t="shared" si="208"/>
        <v>0</v>
      </c>
      <c r="Z1665" s="847"/>
      <c r="AA1665" s="847"/>
      <c r="AB1665" s="741">
        <f t="shared" si="209"/>
        <v>0</v>
      </c>
      <c r="AC1665" s="846"/>
      <c r="AD1665" s="847"/>
      <c r="AE1665" s="846"/>
      <c r="AF1665" s="846"/>
      <c r="AG1665" s="847"/>
      <c r="AH1665" s="847"/>
      <c r="AI1665" s="742">
        <f t="shared" si="213"/>
        <v>0</v>
      </c>
      <c r="AJ1665" s="743">
        <f t="shared" si="214"/>
        <v>0</v>
      </c>
    </row>
    <row r="1666" spans="1:36">
      <c r="A1666" s="950" t="s">
        <v>153</v>
      </c>
      <c r="B1666" s="951" t="s">
        <v>274</v>
      </c>
      <c r="C1666" s="956" t="s">
        <v>737</v>
      </c>
      <c r="D1666" s="957"/>
      <c r="E1666" s="969"/>
      <c r="F1666" s="970"/>
      <c r="G1666" s="846"/>
      <c r="H1666" s="847"/>
      <c r="I1666" s="846"/>
      <c r="J1666" s="847"/>
      <c r="K1666" s="846"/>
      <c r="L1666" s="847"/>
      <c r="M1666" s="846"/>
      <c r="N1666" s="846"/>
      <c r="O1666" s="737">
        <f t="shared" si="207"/>
        <v>0</v>
      </c>
      <c r="P1666" s="847"/>
      <c r="Q1666" s="847"/>
      <c r="R1666" s="738">
        <f t="shared" si="210"/>
        <v>0</v>
      </c>
      <c r="S1666" s="737">
        <f t="shared" si="211"/>
        <v>0</v>
      </c>
      <c r="T1666" s="739">
        <f t="shared" si="212"/>
        <v>0</v>
      </c>
      <c r="U1666" s="846">
        <v>41051371</v>
      </c>
      <c r="V1666" s="847">
        <v>41254860</v>
      </c>
      <c r="W1666" s="846"/>
      <c r="X1666" s="846"/>
      <c r="Y1666" s="740">
        <f t="shared" si="208"/>
        <v>0</v>
      </c>
      <c r="Z1666" s="847"/>
      <c r="AA1666" s="847"/>
      <c r="AB1666" s="741">
        <f t="shared" si="209"/>
        <v>0</v>
      </c>
      <c r="AC1666" s="846"/>
      <c r="AD1666" s="847"/>
      <c r="AE1666" s="846"/>
      <c r="AF1666" s="846"/>
      <c r="AG1666" s="847"/>
      <c r="AH1666" s="847"/>
      <c r="AI1666" s="742">
        <f t="shared" si="213"/>
        <v>41051371</v>
      </c>
      <c r="AJ1666" s="743">
        <f t="shared" si="214"/>
        <v>41254860</v>
      </c>
    </row>
    <row r="1667" spans="1:36">
      <c r="A1667" s="950" t="s">
        <v>153</v>
      </c>
      <c r="B1667" s="951" t="s">
        <v>278</v>
      </c>
      <c r="C1667" s="958" t="s">
        <v>309</v>
      </c>
      <c r="D1667" s="957"/>
      <c r="E1667" s="954"/>
      <c r="F1667" s="955"/>
      <c r="G1667" s="846"/>
      <c r="H1667" s="847"/>
      <c r="I1667" s="846"/>
      <c r="J1667" s="847"/>
      <c r="K1667" s="846"/>
      <c r="L1667" s="847"/>
      <c r="M1667" s="846"/>
      <c r="N1667" s="846"/>
      <c r="O1667" s="737">
        <f t="shared" si="207"/>
        <v>0</v>
      </c>
      <c r="P1667" s="847"/>
      <c r="Q1667" s="847"/>
      <c r="R1667" s="738">
        <f t="shared" si="210"/>
        <v>0</v>
      </c>
      <c r="S1667" s="737">
        <f t="shared" si="211"/>
        <v>0</v>
      </c>
      <c r="T1667" s="739">
        <f t="shared" si="212"/>
        <v>0</v>
      </c>
      <c r="U1667" s="846"/>
      <c r="V1667" s="847"/>
      <c r="W1667" s="846"/>
      <c r="X1667" s="846"/>
      <c r="Y1667" s="740">
        <f t="shared" si="208"/>
        <v>0</v>
      </c>
      <c r="Z1667" s="847"/>
      <c r="AA1667" s="847"/>
      <c r="AB1667" s="741">
        <f t="shared" si="209"/>
        <v>0</v>
      </c>
      <c r="AC1667" s="846"/>
      <c r="AD1667" s="847"/>
      <c r="AE1667" s="846"/>
      <c r="AF1667" s="846"/>
      <c r="AG1667" s="847"/>
      <c r="AH1667" s="847"/>
      <c r="AI1667" s="742">
        <f t="shared" si="213"/>
        <v>0</v>
      </c>
      <c r="AJ1667" s="743">
        <f t="shared" si="214"/>
        <v>0</v>
      </c>
    </row>
    <row r="1668" spans="1:36">
      <c r="A1668" s="950" t="s">
        <v>153</v>
      </c>
      <c r="B1668" s="951" t="s">
        <v>278</v>
      </c>
      <c r="C1668" s="956" t="s">
        <v>738</v>
      </c>
      <c r="D1668" s="957"/>
      <c r="E1668" s="954"/>
      <c r="F1668" s="955"/>
      <c r="G1668" s="846"/>
      <c r="H1668" s="847"/>
      <c r="I1668" s="846">
        <v>5100000</v>
      </c>
      <c r="J1668" s="847">
        <v>4900000</v>
      </c>
      <c r="K1668" s="846"/>
      <c r="L1668" s="847"/>
      <c r="M1668" s="846"/>
      <c r="N1668" s="846"/>
      <c r="O1668" s="737">
        <f t="shared" si="207"/>
        <v>0</v>
      </c>
      <c r="P1668" s="847"/>
      <c r="Q1668" s="847"/>
      <c r="R1668" s="738">
        <f t="shared" si="210"/>
        <v>0</v>
      </c>
      <c r="S1668" s="737">
        <f t="shared" si="211"/>
        <v>5100000</v>
      </c>
      <c r="T1668" s="739">
        <f t="shared" si="212"/>
        <v>4900000</v>
      </c>
      <c r="U1668" s="846"/>
      <c r="V1668" s="847"/>
      <c r="W1668" s="846"/>
      <c r="X1668" s="846"/>
      <c r="Y1668" s="740">
        <f t="shared" si="208"/>
        <v>0</v>
      </c>
      <c r="Z1668" s="847"/>
      <c r="AA1668" s="847"/>
      <c r="AB1668" s="741">
        <f t="shared" si="209"/>
        <v>0</v>
      </c>
      <c r="AC1668" s="846"/>
      <c r="AD1668" s="847"/>
      <c r="AE1668" s="846"/>
      <c r="AF1668" s="846"/>
      <c r="AG1668" s="847"/>
      <c r="AH1668" s="847"/>
      <c r="AI1668" s="742">
        <f t="shared" si="213"/>
        <v>5100000</v>
      </c>
      <c r="AJ1668" s="743">
        <f t="shared" si="214"/>
        <v>4900000</v>
      </c>
    </row>
    <row r="1669" spans="1:36">
      <c r="A1669" s="950" t="s">
        <v>153</v>
      </c>
      <c r="B1669" s="951" t="s">
        <v>303</v>
      </c>
      <c r="C1669" s="967" t="s">
        <v>739</v>
      </c>
      <c r="D1669" s="953"/>
      <c r="E1669" s="969"/>
      <c r="F1669" s="970"/>
      <c r="G1669" s="846"/>
      <c r="H1669" s="847"/>
      <c r="I1669" s="846"/>
      <c r="J1669" s="847"/>
      <c r="K1669" s="846"/>
      <c r="L1669" s="847"/>
      <c r="M1669" s="846"/>
      <c r="N1669" s="846"/>
      <c r="O1669" s="737">
        <f t="shared" si="207"/>
        <v>0</v>
      </c>
      <c r="P1669" s="847"/>
      <c r="Q1669" s="847"/>
      <c r="R1669" s="738">
        <f t="shared" si="210"/>
        <v>0</v>
      </c>
      <c r="S1669" s="737">
        <f t="shared" si="211"/>
        <v>0</v>
      </c>
      <c r="T1669" s="739">
        <f t="shared" si="212"/>
        <v>0</v>
      </c>
      <c r="U1669" s="846"/>
      <c r="V1669" s="847"/>
      <c r="W1669" s="846"/>
      <c r="X1669" s="846"/>
      <c r="Y1669" s="740">
        <f t="shared" si="208"/>
        <v>0</v>
      </c>
      <c r="Z1669" s="847"/>
      <c r="AA1669" s="847"/>
      <c r="AB1669" s="741">
        <f t="shared" si="209"/>
        <v>0</v>
      </c>
      <c r="AC1669" s="846"/>
      <c r="AD1669" s="847"/>
      <c r="AE1669" s="846"/>
      <c r="AF1669" s="846"/>
      <c r="AG1669" s="847"/>
      <c r="AH1669" s="847"/>
      <c r="AI1669" s="742">
        <f t="shared" si="213"/>
        <v>0</v>
      </c>
      <c r="AJ1669" s="743">
        <f t="shared" si="214"/>
        <v>0</v>
      </c>
    </row>
    <row r="1670" spans="1:36">
      <c r="A1670" s="950" t="s">
        <v>153</v>
      </c>
      <c r="B1670" s="951" t="s">
        <v>303</v>
      </c>
      <c r="C1670" s="956" t="s">
        <v>740</v>
      </c>
      <c r="D1670" s="957"/>
      <c r="E1670" s="969"/>
      <c r="F1670" s="970"/>
      <c r="G1670" s="846"/>
      <c r="H1670" s="847"/>
      <c r="I1670" s="846">
        <v>16020000</v>
      </c>
      <c r="J1670" s="847">
        <v>30880020</v>
      </c>
      <c r="K1670" s="846"/>
      <c r="L1670" s="847"/>
      <c r="M1670" s="846"/>
      <c r="N1670" s="846"/>
      <c r="O1670" s="737">
        <f t="shared" si="207"/>
        <v>0</v>
      </c>
      <c r="P1670" s="847"/>
      <c r="Q1670" s="847"/>
      <c r="R1670" s="738">
        <f t="shared" si="210"/>
        <v>0</v>
      </c>
      <c r="S1670" s="737">
        <f t="shared" si="211"/>
        <v>16020000</v>
      </c>
      <c r="T1670" s="739">
        <f t="shared" si="212"/>
        <v>30880020</v>
      </c>
      <c r="U1670" s="846"/>
      <c r="V1670" s="847"/>
      <c r="W1670" s="846"/>
      <c r="X1670" s="846"/>
      <c r="Y1670" s="740">
        <f t="shared" si="208"/>
        <v>0</v>
      </c>
      <c r="Z1670" s="847"/>
      <c r="AA1670" s="847"/>
      <c r="AB1670" s="741">
        <f t="shared" si="209"/>
        <v>0</v>
      </c>
      <c r="AC1670" s="846"/>
      <c r="AD1670" s="847"/>
      <c r="AE1670" s="846"/>
      <c r="AF1670" s="846"/>
      <c r="AG1670" s="847"/>
      <c r="AH1670" s="847"/>
      <c r="AI1670" s="742">
        <f t="shared" si="213"/>
        <v>16020000</v>
      </c>
      <c r="AJ1670" s="743">
        <f t="shared" si="214"/>
        <v>30880020</v>
      </c>
    </row>
    <row r="1671" spans="1:36">
      <c r="A1671" s="950" t="s">
        <v>153</v>
      </c>
      <c r="B1671" s="951" t="s">
        <v>281</v>
      </c>
      <c r="C1671" s="967" t="s">
        <v>109</v>
      </c>
      <c r="D1671" s="953"/>
      <c r="E1671" s="954"/>
      <c r="F1671" s="955"/>
      <c r="G1671" s="846"/>
      <c r="H1671" s="847"/>
      <c r="I1671" s="846"/>
      <c r="J1671" s="847"/>
      <c r="K1671" s="846"/>
      <c r="L1671" s="847"/>
      <c r="M1671" s="846"/>
      <c r="N1671" s="846"/>
      <c r="O1671" s="737">
        <f t="shared" si="207"/>
        <v>0</v>
      </c>
      <c r="P1671" s="847"/>
      <c r="Q1671" s="847"/>
      <c r="R1671" s="738">
        <f t="shared" si="210"/>
        <v>0</v>
      </c>
      <c r="S1671" s="737">
        <f t="shared" si="211"/>
        <v>0</v>
      </c>
      <c r="T1671" s="739">
        <f t="shared" si="212"/>
        <v>0</v>
      </c>
      <c r="U1671" s="846"/>
      <c r="V1671" s="847"/>
      <c r="W1671" s="846"/>
      <c r="X1671" s="846"/>
      <c r="Y1671" s="740">
        <f t="shared" si="208"/>
        <v>0</v>
      </c>
      <c r="Z1671" s="847"/>
      <c r="AA1671" s="847"/>
      <c r="AB1671" s="741">
        <f t="shared" si="209"/>
        <v>0</v>
      </c>
      <c r="AC1671" s="846"/>
      <c r="AD1671" s="847"/>
      <c r="AE1671" s="846"/>
      <c r="AF1671" s="846"/>
      <c r="AG1671" s="847"/>
      <c r="AH1671" s="847"/>
      <c r="AI1671" s="742">
        <f t="shared" si="213"/>
        <v>0</v>
      </c>
      <c r="AJ1671" s="743">
        <f t="shared" si="214"/>
        <v>0</v>
      </c>
    </row>
    <row r="1672" spans="1:36">
      <c r="A1672" s="950" t="s">
        <v>153</v>
      </c>
      <c r="B1672" s="951" t="s">
        <v>282</v>
      </c>
      <c r="C1672" s="958" t="s">
        <v>140</v>
      </c>
      <c r="D1672" s="957"/>
      <c r="E1672" s="954"/>
      <c r="F1672" s="955"/>
      <c r="G1672" s="846"/>
      <c r="H1672" s="847"/>
      <c r="I1672" s="846"/>
      <c r="J1672" s="847"/>
      <c r="K1672" s="846"/>
      <c r="L1672" s="847"/>
      <c r="M1672" s="846"/>
      <c r="N1672" s="846"/>
      <c r="O1672" s="737">
        <f t="shared" si="207"/>
        <v>0</v>
      </c>
      <c r="P1672" s="847"/>
      <c r="Q1672" s="847"/>
      <c r="R1672" s="738">
        <f t="shared" si="210"/>
        <v>0</v>
      </c>
      <c r="S1672" s="737">
        <f t="shared" si="211"/>
        <v>0</v>
      </c>
      <c r="T1672" s="739">
        <f t="shared" si="212"/>
        <v>0</v>
      </c>
      <c r="U1672" s="846"/>
      <c r="V1672" s="847"/>
      <c r="W1672" s="846"/>
      <c r="X1672" s="846"/>
      <c r="Y1672" s="740">
        <f t="shared" si="208"/>
        <v>0</v>
      </c>
      <c r="Z1672" s="847"/>
      <c r="AA1672" s="847"/>
      <c r="AB1672" s="741">
        <f t="shared" si="209"/>
        <v>0</v>
      </c>
      <c r="AC1672" s="846"/>
      <c r="AD1672" s="847"/>
      <c r="AE1672" s="846"/>
      <c r="AF1672" s="846"/>
      <c r="AG1672" s="847"/>
      <c r="AH1672" s="847"/>
      <c r="AI1672" s="742">
        <f t="shared" si="213"/>
        <v>0</v>
      </c>
      <c r="AJ1672" s="743">
        <f t="shared" si="214"/>
        <v>0</v>
      </c>
    </row>
    <row r="1673" spans="1:36">
      <c r="A1673" s="950" t="s">
        <v>153</v>
      </c>
      <c r="B1673" s="951" t="s">
        <v>282</v>
      </c>
      <c r="C1673" s="956" t="s">
        <v>741</v>
      </c>
      <c r="D1673" s="957"/>
      <c r="E1673" s="954"/>
      <c r="F1673" s="955"/>
      <c r="G1673" s="846"/>
      <c r="H1673" s="847"/>
      <c r="I1673" s="846"/>
      <c r="J1673" s="847"/>
      <c r="K1673" s="846"/>
      <c r="L1673" s="847"/>
      <c r="M1673" s="846"/>
      <c r="N1673" s="846"/>
      <c r="O1673" s="737">
        <f t="shared" si="207"/>
        <v>0</v>
      </c>
      <c r="P1673" s="847"/>
      <c r="Q1673" s="847"/>
      <c r="R1673" s="738">
        <f t="shared" si="210"/>
        <v>0</v>
      </c>
      <c r="S1673" s="737">
        <f t="shared" si="211"/>
        <v>0</v>
      </c>
      <c r="T1673" s="739">
        <f t="shared" si="212"/>
        <v>0</v>
      </c>
      <c r="U1673" s="846">
        <v>22739645</v>
      </c>
      <c r="V1673" s="847">
        <v>24921726</v>
      </c>
      <c r="W1673" s="846"/>
      <c r="X1673" s="846"/>
      <c r="Y1673" s="740">
        <f t="shared" si="208"/>
        <v>0</v>
      </c>
      <c r="Z1673" s="847"/>
      <c r="AA1673" s="847"/>
      <c r="AB1673" s="741">
        <f t="shared" si="209"/>
        <v>0</v>
      </c>
      <c r="AC1673" s="846"/>
      <c r="AD1673" s="847"/>
      <c r="AE1673" s="846"/>
      <c r="AF1673" s="846"/>
      <c r="AG1673" s="847"/>
      <c r="AH1673" s="847"/>
      <c r="AI1673" s="742">
        <f t="shared" si="213"/>
        <v>22739645</v>
      </c>
      <c r="AJ1673" s="743">
        <f t="shared" si="214"/>
        <v>24921726</v>
      </c>
    </row>
    <row r="1674" spans="1:36">
      <c r="A1674" s="950" t="s">
        <v>153</v>
      </c>
      <c r="B1674" s="951" t="s">
        <v>284</v>
      </c>
      <c r="C1674" s="958" t="s">
        <v>138</v>
      </c>
      <c r="D1674" s="957"/>
      <c r="E1674" s="954"/>
      <c r="F1674" s="955"/>
      <c r="G1674" s="846"/>
      <c r="H1674" s="847"/>
      <c r="I1674" s="846"/>
      <c r="J1674" s="847"/>
      <c r="K1674" s="846"/>
      <c r="L1674" s="847"/>
      <c r="M1674" s="846"/>
      <c r="N1674" s="846"/>
      <c r="O1674" s="737">
        <f t="shared" ref="O1674:O1737" si="215">SUM(M1674:N1674)</f>
        <v>0</v>
      </c>
      <c r="P1674" s="847"/>
      <c r="Q1674" s="847"/>
      <c r="R1674" s="738">
        <f t="shared" si="210"/>
        <v>0</v>
      </c>
      <c r="S1674" s="737">
        <f t="shared" si="211"/>
        <v>0</v>
      </c>
      <c r="T1674" s="739">
        <f t="shared" si="212"/>
        <v>0</v>
      </c>
      <c r="U1674" s="846"/>
      <c r="V1674" s="847"/>
      <c r="W1674" s="846"/>
      <c r="X1674" s="846"/>
      <c r="Y1674" s="740">
        <f t="shared" ref="Y1674:Y1737" si="216">SUM(W1674:X1674)</f>
        <v>0</v>
      </c>
      <c r="Z1674" s="847"/>
      <c r="AA1674" s="847"/>
      <c r="AB1674" s="741">
        <f t="shared" ref="AB1674:AB1737" si="217">SUM(Z1674:AA1674)</f>
        <v>0</v>
      </c>
      <c r="AC1674" s="846"/>
      <c r="AD1674" s="847"/>
      <c r="AE1674" s="846"/>
      <c r="AF1674" s="846"/>
      <c r="AG1674" s="847"/>
      <c r="AH1674" s="847"/>
      <c r="AI1674" s="742">
        <f t="shared" si="213"/>
        <v>0</v>
      </c>
      <c r="AJ1674" s="743">
        <f t="shared" si="214"/>
        <v>0</v>
      </c>
    </row>
    <row r="1675" spans="1:36">
      <c r="A1675" s="950" t="s">
        <v>153</v>
      </c>
      <c r="B1675" s="951" t="s">
        <v>284</v>
      </c>
      <c r="C1675" s="956" t="s">
        <v>742</v>
      </c>
      <c r="D1675" s="957"/>
      <c r="E1675" s="969"/>
      <c r="F1675" s="970"/>
      <c r="G1675" s="846"/>
      <c r="H1675" s="847"/>
      <c r="I1675" s="846"/>
      <c r="J1675" s="847"/>
      <c r="K1675" s="846"/>
      <c r="L1675" s="847"/>
      <c r="M1675" s="846"/>
      <c r="N1675" s="846"/>
      <c r="O1675" s="737">
        <f t="shared" si="215"/>
        <v>0</v>
      </c>
      <c r="P1675" s="847"/>
      <c r="Q1675" s="847"/>
      <c r="R1675" s="738">
        <f t="shared" ref="R1675:R1738" si="218">SUM(P1675:Q1675)</f>
        <v>0</v>
      </c>
      <c r="S1675" s="737">
        <f t="shared" ref="S1675:S1738" si="219">SUM(G1675,I1675,K1675,M1675)</f>
        <v>0</v>
      </c>
      <c r="T1675" s="739">
        <f t="shared" ref="T1675:T1738" si="220">SUM(H1675,J1675,L1675,P1675)</f>
        <v>0</v>
      </c>
      <c r="U1675" s="846">
        <v>193550</v>
      </c>
      <c r="V1675" s="847">
        <v>204997</v>
      </c>
      <c r="W1675" s="846"/>
      <c r="X1675" s="846"/>
      <c r="Y1675" s="740">
        <f t="shared" si="216"/>
        <v>0</v>
      </c>
      <c r="Z1675" s="847"/>
      <c r="AA1675" s="847"/>
      <c r="AB1675" s="741">
        <f t="shared" si="217"/>
        <v>0</v>
      </c>
      <c r="AC1675" s="846"/>
      <c r="AD1675" s="847"/>
      <c r="AE1675" s="846"/>
      <c r="AF1675" s="846"/>
      <c r="AG1675" s="847"/>
      <c r="AH1675" s="847"/>
      <c r="AI1675" s="742">
        <f t="shared" ref="AI1675:AI1738" si="221">SUM(S1675,U1675,W1675,AC1675,AE1675)</f>
        <v>193550</v>
      </c>
      <c r="AJ1675" s="743">
        <f t="shared" ref="AJ1675:AJ1738" si="222">SUM(T1675,V1675,Z1675,AD1675,AG1675)</f>
        <v>204997</v>
      </c>
    </row>
    <row r="1676" spans="1:36">
      <c r="A1676" s="950" t="s">
        <v>153</v>
      </c>
      <c r="B1676" s="951" t="s">
        <v>285</v>
      </c>
      <c r="C1676" s="958" t="s">
        <v>504</v>
      </c>
      <c r="D1676" s="957"/>
      <c r="E1676" s="954"/>
      <c r="F1676" s="955"/>
      <c r="G1676" s="846"/>
      <c r="H1676" s="847"/>
      <c r="I1676" s="846"/>
      <c r="J1676" s="847"/>
      <c r="K1676" s="846"/>
      <c r="L1676" s="847"/>
      <c r="M1676" s="846"/>
      <c r="N1676" s="846"/>
      <c r="O1676" s="737">
        <f t="shared" si="215"/>
        <v>0</v>
      </c>
      <c r="P1676" s="847"/>
      <c r="Q1676" s="847"/>
      <c r="R1676" s="738">
        <f t="shared" si="218"/>
        <v>0</v>
      </c>
      <c r="S1676" s="737">
        <f t="shared" si="219"/>
        <v>0</v>
      </c>
      <c r="T1676" s="739">
        <f t="shared" si="220"/>
        <v>0</v>
      </c>
      <c r="U1676" s="846"/>
      <c r="V1676" s="847"/>
      <c r="W1676" s="846"/>
      <c r="X1676" s="846"/>
      <c r="Y1676" s="740">
        <f t="shared" si="216"/>
        <v>0</v>
      </c>
      <c r="Z1676" s="847"/>
      <c r="AA1676" s="847"/>
      <c r="AB1676" s="741">
        <f t="shared" si="217"/>
        <v>0</v>
      </c>
      <c r="AC1676" s="846"/>
      <c r="AD1676" s="847"/>
      <c r="AE1676" s="846"/>
      <c r="AF1676" s="846"/>
      <c r="AG1676" s="847"/>
      <c r="AH1676" s="847"/>
      <c r="AI1676" s="742">
        <f t="shared" si="221"/>
        <v>0</v>
      </c>
      <c r="AJ1676" s="743">
        <f t="shared" si="222"/>
        <v>0</v>
      </c>
    </row>
    <row r="1677" spans="1:36">
      <c r="A1677" s="950" t="s">
        <v>153</v>
      </c>
      <c r="B1677" s="951" t="s">
        <v>286</v>
      </c>
      <c r="C1677" s="967" t="s">
        <v>506</v>
      </c>
      <c r="D1677" s="953"/>
      <c r="E1677" s="954"/>
      <c r="F1677" s="955"/>
      <c r="G1677" s="846"/>
      <c r="H1677" s="847"/>
      <c r="I1677" s="846"/>
      <c r="J1677" s="847"/>
      <c r="K1677" s="846"/>
      <c r="L1677" s="847"/>
      <c r="M1677" s="846"/>
      <c r="N1677" s="846"/>
      <c r="O1677" s="737">
        <f t="shared" si="215"/>
        <v>0</v>
      </c>
      <c r="P1677" s="847"/>
      <c r="Q1677" s="847"/>
      <c r="R1677" s="738">
        <f t="shared" si="218"/>
        <v>0</v>
      </c>
      <c r="S1677" s="737">
        <f t="shared" si="219"/>
        <v>0</v>
      </c>
      <c r="T1677" s="739">
        <f t="shared" si="220"/>
        <v>0</v>
      </c>
      <c r="U1677" s="846"/>
      <c r="V1677" s="847"/>
      <c r="W1677" s="846"/>
      <c r="X1677" s="846"/>
      <c r="Y1677" s="740">
        <f t="shared" si="216"/>
        <v>0</v>
      </c>
      <c r="Z1677" s="847"/>
      <c r="AA1677" s="847"/>
      <c r="AB1677" s="741">
        <f t="shared" si="217"/>
        <v>0</v>
      </c>
      <c r="AC1677" s="846"/>
      <c r="AD1677" s="847"/>
      <c r="AE1677" s="846"/>
      <c r="AF1677" s="846"/>
      <c r="AG1677" s="847"/>
      <c r="AH1677" s="847"/>
      <c r="AI1677" s="742">
        <f t="shared" si="221"/>
        <v>0</v>
      </c>
      <c r="AJ1677" s="743">
        <f t="shared" si="222"/>
        <v>0</v>
      </c>
    </row>
    <row r="1678" spans="1:36">
      <c r="A1678" s="950" t="s">
        <v>153</v>
      </c>
      <c r="B1678" s="951" t="s">
        <v>286</v>
      </c>
      <c r="C1678" s="956" t="s">
        <v>743</v>
      </c>
      <c r="D1678" s="957"/>
      <c r="E1678" s="954"/>
      <c r="F1678" s="955"/>
      <c r="G1678" s="846"/>
      <c r="H1678" s="847"/>
      <c r="I1678" s="846"/>
      <c r="J1678" s="847"/>
      <c r="K1678" s="846"/>
      <c r="L1678" s="847"/>
      <c r="M1678" s="846"/>
      <c r="N1678" s="846"/>
      <c r="O1678" s="737">
        <f t="shared" si="215"/>
        <v>0</v>
      </c>
      <c r="P1678" s="847"/>
      <c r="Q1678" s="847"/>
      <c r="R1678" s="738">
        <f t="shared" si="218"/>
        <v>0</v>
      </c>
      <c r="S1678" s="737">
        <f t="shared" si="219"/>
        <v>0</v>
      </c>
      <c r="T1678" s="739">
        <f t="shared" si="220"/>
        <v>0</v>
      </c>
      <c r="U1678" s="846"/>
      <c r="V1678" s="847"/>
      <c r="W1678" s="846"/>
      <c r="X1678" s="846"/>
      <c r="Y1678" s="740">
        <f t="shared" si="216"/>
        <v>0</v>
      </c>
      <c r="Z1678" s="847"/>
      <c r="AA1678" s="847"/>
      <c r="AB1678" s="741">
        <f t="shared" si="217"/>
        <v>0</v>
      </c>
      <c r="AC1678" s="846"/>
      <c r="AD1678" s="847"/>
      <c r="AE1678" s="846"/>
      <c r="AF1678" s="846"/>
      <c r="AG1678" s="847"/>
      <c r="AH1678" s="847"/>
      <c r="AI1678" s="742">
        <f t="shared" si="221"/>
        <v>0</v>
      </c>
      <c r="AJ1678" s="743">
        <f t="shared" si="222"/>
        <v>0</v>
      </c>
    </row>
    <row r="1679" spans="1:36">
      <c r="A1679" s="950" t="s">
        <v>153</v>
      </c>
      <c r="B1679" s="951" t="s">
        <v>287</v>
      </c>
      <c r="C1679" s="967" t="s">
        <v>510</v>
      </c>
      <c r="D1679" s="953"/>
      <c r="E1679" s="954"/>
      <c r="F1679" s="955"/>
      <c r="G1679" s="846"/>
      <c r="H1679" s="847"/>
      <c r="I1679" s="846"/>
      <c r="J1679" s="847"/>
      <c r="K1679" s="846"/>
      <c r="L1679" s="847"/>
      <c r="M1679" s="846"/>
      <c r="N1679" s="846"/>
      <c r="O1679" s="737">
        <f t="shared" si="215"/>
        <v>0</v>
      </c>
      <c r="P1679" s="847"/>
      <c r="Q1679" s="847"/>
      <c r="R1679" s="738">
        <f t="shared" si="218"/>
        <v>0</v>
      </c>
      <c r="S1679" s="737">
        <f t="shared" si="219"/>
        <v>0</v>
      </c>
      <c r="T1679" s="739">
        <f t="shared" si="220"/>
        <v>0</v>
      </c>
      <c r="U1679" s="846"/>
      <c r="V1679" s="847"/>
      <c r="W1679" s="846"/>
      <c r="X1679" s="846"/>
      <c r="Y1679" s="740">
        <f t="shared" si="216"/>
        <v>0</v>
      </c>
      <c r="Z1679" s="847"/>
      <c r="AA1679" s="847"/>
      <c r="AB1679" s="741">
        <f t="shared" si="217"/>
        <v>0</v>
      </c>
      <c r="AC1679" s="846"/>
      <c r="AD1679" s="847"/>
      <c r="AE1679" s="846"/>
      <c r="AF1679" s="846"/>
      <c r="AG1679" s="847"/>
      <c r="AH1679" s="847"/>
      <c r="AI1679" s="742">
        <f t="shared" si="221"/>
        <v>0</v>
      </c>
      <c r="AJ1679" s="743">
        <f t="shared" si="222"/>
        <v>0</v>
      </c>
    </row>
    <row r="1680" spans="1:36">
      <c r="A1680" s="950" t="s">
        <v>153</v>
      </c>
      <c r="B1680" s="951" t="s">
        <v>288</v>
      </c>
      <c r="C1680" s="958" t="s">
        <v>511</v>
      </c>
      <c r="D1680" s="957"/>
      <c r="E1680" s="969"/>
      <c r="F1680" s="955"/>
      <c r="G1680" s="846"/>
      <c r="H1680" s="847"/>
      <c r="I1680" s="846"/>
      <c r="J1680" s="847"/>
      <c r="K1680" s="846"/>
      <c r="L1680" s="847"/>
      <c r="M1680" s="846"/>
      <c r="N1680" s="846"/>
      <c r="O1680" s="737">
        <f t="shared" si="215"/>
        <v>0</v>
      </c>
      <c r="P1680" s="847"/>
      <c r="Q1680" s="847"/>
      <c r="R1680" s="738">
        <f t="shared" si="218"/>
        <v>0</v>
      </c>
      <c r="S1680" s="737">
        <f t="shared" si="219"/>
        <v>0</v>
      </c>
      <c r="T1680" s="739">
        <f t="shared" si="220"/>
        <v>0</v>
      </c>
      <c r="U1680" s="846"/>
      <c r="V1680" s="847"/>
      <c r="W1680" s="846"/>
      <c r="X1680" s="846"/>
      <c r="Y1680" s="740">
        <f t="shared" si="216"/>
        <v>0</v>
      </c>
      <c r="Z1680" s="847"/>
      <c r="AA1680" s="847"/>
      <c r="AB1680" s="741">
        <f t="shared" si="217"/>
        <v>0</v>
      </c>
      <c r="AC1680" s="846"/>
      <c r="AD1680" s="847"/>
      <c r="AE1680" s="846"/>
      <c r="AF1680" s="846"/>
      <c r="AG1680" s="847"/>
      <c r="AH1680" s="847"/>
      <c r="AI1680" s="742">
        <f t="shared" si="221"/>
        <v>0</v>
      </c>
      <c r="AJ1680" s="743">
        <f t="shared" si="222"/>
        <v>0</v>
      </c>
    </row>
    <row r="1681" spans="1:36">
      <c r="A1681" s="950" t="s">
        <v>153</v>
      </c>
      <c r="B1681" s="951" t="s">
        <v>288</v>
      </c>
      <c r="C1681" s="956" t="s">
        <v>744</v>
      </c>
      <c r="D1681" s="957"/>
      <c r="E1681" s="969"/>
      <c r="F1681" s="955"/>
      <c r="G1681" s="846"/>
      <c r="H1681" s="847"/>
      <c r="I1681" s="846"/>
      <c r="J1681" s="847"/>
      <c r="K1681" s="846"/>
      <c r="L1681" s="847"/>
      <c r="M1681" s="846"/>
      <c r="N1681" s="846"/>
      <c r="O1681" s="737">
        <f t="shared" si="215"/>
        <v>0</v>
      </c>
      <c r="P1681" s="847"/>
      <c r="Q1681" s="847"/>
      <c r="R1681" s="738">
        <f t="shared" si="218"/>
        <v>0</v>
      </c>
      <c r="S1681" s="737">
        <f t="shared" si="219"/>
        <v>0</v>
      </c>
      <c r="T1681" s="739">
        <f t="shared" si="220"/>
        <v>0</v>
      </c>
      <c r="U1681" s="846"/>
      <c r="V1681" s="847"/>
      <c r="W1681" s="846"/>
      <c r="X1681" s="846"/>
      <c r="Y1681" s="740">
        <f t="shared" si="216"/>
        <v>0</v>
      </c>
      <c r="Z1681" s="847"/>
      <c r="AA1681" s="847"/>
      <c r="AB1681" s="741">
        <f t="shared" si="217"/>
        <v>0</v>
      </c>
      <c r="AC1681" s="846"/>
      <c r="AD1681" s="847"/>
      <c r="AE1681" s="846"/>
      <c r="AF1681" s="846"/>
      <c r="AG1681" s="847"/>
      <c r="AH1681" s="847"/>
      <c r="AI1681" s="742">
        <f t="shared" si="221"/>
        <v>0</v>
      </c>
      <c r="AJ1681" s="743">
        <f t="shared" si="222"/>
        <v>0</v>
      </c>
    </row>
    <row r="1682" spans="1:36">
      <c r="A1682" s="950" t="s">
        <v>153</v>
      </c>
      <c r="B1682" s="951" t="s">
        <v>288</v>
      </c>
      <c r="C1682" s="956" t="s">
        <v>568</v>
      </c>
      <c r="D1682" s="957"/>
      <c r="E1682" s="969"/>
      <c r="F1682" s="955"/>
      <c r="G1682" s="846"/>
      <c r="H1682" s="847"/>
      <c r="I1682" s="846"/>
      <c r="J1682" s="847"/>
      <c r="K1682" s="846"/>
      <c r="L1682" s="847"/>
      <c r="M1682" s="846"/>
      <c r="N1682" s="846"/>
      <c r="O1682" s="737">
        <f t="shared" si="215"/>
        <v>0</v>
      </c>
      <c r="P1682" s="847"/>
      <c r="Q1682" s="847"/>
      <c r="R1682" s="738">
        <f t="shared" si="218"/>
        <v>0</v>
      </c>
      <c r="S1682" s="737">
        <f t="shared" si="219"/>
        <v>0</v>
      </c>
      <c r="T1682" s="739">
        <f t="shared" si="220"/>
        <v>0</v>
      </c>
      <c r="U1682" s="846"/>
      <c r="V1682" s="847"/>
      <c r="W1682" s="846"/>
      <c r="X1682" s="846"/>
      <c r="Y1682" s="740">
        <f t="shared" si="216"/>
        <v>0</v>
      </c>
      <c r="Z1682" s="847"/>
      <c r="AA1682" s="847"/>
      <c r="AB1682" s="741">
        <f t="shared" si="217"/>
        <v>0</v>
      </c>
      <c r="AC1682" s="846"/>
      <c r="AD1682" s="847"/>
      <c r="AE1682" s="846"/>
      <c r="AF1682" s="846"/>
      <c r="AG1682" s="847"/>
      <c r="AH1682" s="847"/>
      <c r="AI1682" s="742">
        <f t="shared" si="221"/>
        <v>0</v>
      </c>
      <c r="AJ1682" s="743">
        <f t="shared" si="222"/>
        <v>0</v>
      </c>
    </row>
    <row r="1683" spans="1:36">
      <c r="A1683" s="950" t="s">
        <v>153</v>
      </c>
      <c r="B1683" s="951" t="s">
        <v>289</v>
      </c>
      <c r="C1683" s="958" t="s">
        <v>515</v>
      </c>
      <c r="D1683" s="957"/>
      <c r="E1683" s="969"/>
      <c r="F1683" s="955"/>
      <c r="G1683" s="846"/>
      <c r="H1683" s="847"/>
      <c r="I1683" s="846"/>
      <c r="J1683" s="847"/>
      <c r="K1683" s="846"/>
      <c r="L1683" s="847"/>
      <c r="M1683" s="846"/>
      <c r="N1683" s="846"/>
      <c r="O1683" s="737">
        <f t="shared" si="215"/>
        <v>0</v>
      </c>
      <c r="P1683" s="847"/>
      <c r="Q1683" s="847"/>
      <c r="R1683" s="738">
        <f t="shared" si="218"/>
        <v>0</v>
      </c>
      <c r="S1683" s="737">
        <f t="shared" si="219"/>
        <v>0</v>
      </c>
      <c r="T1683" s="739">
        <f t="shared" si="220"/>
        <v>0</v>
      </c>
      <c r="U1683" s="846"/>
      <c r="V1683" s="847"/>
      <c r="W1683" s="846"/>
      <c r="X1683" s="846"/>
      <c r="Y1683" s="740">
        <f t="shared" si="216"/>
        <v>0</v>
      </c>
      <c r="Z1683" s="847"/>
      <c r="AA1683" s="847"/>
      <c r="AB1683" s="741">
        <f t="shared" si="217"/>
        <v>0</v>
      </c>
      <c r="AC1683" s="846"/>
      <c r="AD1683" s="847"/>
      <c r="AE1683" s="846"/>
      <c r="AF1683" s="846"/>
      <c r="AG1683" s="847"/>
      <c r="AH1683" s="847"/>
      <c r="AI1683" s="742">
        <f t="shared" si="221"/>
        <v>0</v>
      </c>
      <c r="AJ1683" s="743">
        <f t="shared" si="222"/>
        <v>0</v>
      </c>
    </row>
    <row r="1684" spans="1:36">
      <c r="A1684" s="950" t="s">
        <v>153</v>
      </c>
      <c r="B1684" s="951" t="s">
        <v>289</v>
      </c>
      <c r="C1684" s="956" t="s">
        <v>570</v>
      </c>
      <c r="D1684" s="957"/>
      <c r="E1684" s="969"/>
      <c r="F1684" s="955"/>
      <c r="G1684" s="846"/>
      <c r="H1684" s="847"/>
      <c r="I1684" s="846"/>
      <c r="J1684" s="847"/>
      <c r="K1684" s="846"/>
      <c r="L1684" s="847"/>
      <c r="M1684" s="846"/>
      <c r="N1684" s="846"/>
      <c r="O1684" s="737">
        <f t="shared" si="215"/>
        <v>0</v>
      </c>
      <c r="P1684" s="847"/>
      <c r="Q1684" s="847"/>
      <c r="R1684" s="738">
        <f t="shared" si="218"/>
        <v>0</v>
      </c>
      <c r="S1684" s="737">
        <f t="shared" si="219"/>
        <v>0</v>
      </c>
      <c r="T1684" s="739">
        <f t="shared" si="220"/>
        <v>0</v>
      </c>
      <c r="U1684" s="846"/>
      <c r="V1684" s="847"/>
      <c r="W1684" s="846"/>
      <c r="X1684" s="846"/>
      <c r="Y1684" s="740">
        <f t="shared" si="216"/>
        <v>0</v>
      </c>
      <c r="Z1684" s="847"/>
      <c r="AA1684" s="847"/>
      <c r="AB1684" s="741">
        <f t="shared" si="217"/>
        <v>0</v>
      </c>
      <c r="AC1684" s="846"/>
      <c r="AD1684" s="847"/>
      <c r="AE1684" s="846"/>
      <c r="AF1684" s="846"/>
      <c r="AG1684" s="847"/>
      <c r="AH1684" s="847"/>
      <c r="AI1684" s="742">
        <f t="shared" si="221"/>
        <v>0</v>
      </c>
      <c r="AJ1684" s="743">
        <f t="shared" si="222"/>
        <v>0</v>
      </c>
    </row>
    <row r="1685" spans="1:36">
      <c r="A1685" s="950" t="s">
        <v>153</v>
      </c>
      <c r="B1685" s="951" t="s">
        <v>289</v>
      </c>
      <c r="C1685" s="956" t="s">
        <v>571</v>
      </c>
      <c r="D1685" s="957"/>
      <c r="E1685" s="969"/>
      <c r="F1685" s="955"/>
      <c r="G1685" s="846"/>
      <c r="H1685" s="847"/>
      <c r="I1685" s="846"/>
      <c r="J1685" s="847"/>
      <c r="K1685" s="846"/>
      <c r="L1685" s="847"/>
      <c r="M1685" s="846"/>
      <c r="N1685" s="846"/>
      <c r="O1685" s="737">
        <f t="shared" si="215"/>
        <v>0</v>
      </c>
      <c r="P1685" s="847"/>
      <c r="Q1685" s="847"/>
      <c r="R1685" s="738">
        <f t="shared" si="218"/>
        <v>0</v>
      </c>
      <c r="S1685" s="737">
        <f t="shared" si="219"/>
        <v>0</v>
      </c>
      <c r="T1685" s="739">
        <f t="shared" si="220"/>
        <v>0</v>
      </c>
      <c r="U1685" s="846"/>
      <c r="V1685" s="847"/>
      <c r="W1685" s="846"/>
      <c r="X1685" s="846"/>
      <c r="Y1685" s="740">
        <f t="shared" si="216"/>
        <v>0</v>
      </c>
      <c r="Z1685" s="847"/>
      <c r="AA1685" s="847"/>
      <c r="AB1685" s="741">
        <f t="shared" si="217"/>
        <v>0</v>
      </c>
      <c r="AC1685" s="846"/>
      <c r="AD1685" s="847"/>
      <c r="AE1685" s="846"/>
      <c r="AF1685" s="846"/>
      <c r="AG1685" s="847"/>
      <c r="AH1685" s="847"/>
      <c r="AI1685" s="742">
        <f t="shared" si="221"/>
        <v>0</v>
      </c>
      <c r="AJ1685" s="743">
        <f t="shared" si="222"/>
        <v>0</v>
      </c>
    </row>
    <row r="1686" spans="1:36">
      <c r="A1686" s="950" t="s">
        <v>153</v>
      </c>
      <c r="B1686" s="951" t="s">
        <v>290</v>
      </c>
      <c r="C1686" s="958" t="s">
        <v>137</v>
      </c>
      <c r="D1686" s="957"/>
      <c r="E1686" s="969"/>
      <c r="F1686" s="955"/>
      <c r="G1686" s="846"/>
      <c r="H1686" s="847"/>
      <c r="I1686" s="846"/>
      <c r="J1686" s="847"/>
      <c r="K1686" s="846"/>
      <c r="L1686" s="847"/>
      <c r="M1686" s="846"/>
      <c r="N1686" s="846"/>
      <c r="O1686" s="737">
        <f t="shared" si="215"/>
        <v>0</v>
      </c>
      <c r="P1686" s="847"/>
      <c r="Q1686" s="847"/>
      <c r="R1686" s="738">
        <f t="shared" si="218"/>
        <v>0</v>
      </c>
      <c r="S1686" s="737">
        <f t="shared" si="219"/>
        <v>0</v>
      </c>
      <c r="T1686" s="739">
        <f t="shared" si="220"/>
        <v>0</v>
      </c>
      <c r="U1686" s="846"/>
      <c r="V1686" s="847"/>
      <c r="W1686" s="846"/>
      <c r="X1686" s="846"/>
      <c r="Y1686" s="740">
        <f t="shared" si="216"/>
        <v>0</v>
      </c>
      <c r="Z1686" s="847"/>
      <c r="AA1686" s="847"/>
      <c r="AB1686" s="741">
        <f t="shared" si="217"/>
        <v>0</v>
      </c>
      <c r="AC1686" s="846"/>
      <c r="AD1686" s="847"/>
      <c r="AE1686" s="846"/>
      <c r="AF1686" s="846"/>
      <c r="AG1686" s="847"/>
      <c r="AH1686" s="847"/>
      <c r="AI1686" s="742">
        <f t="shared" si="221"/>
        <v>0</v>
      </c>
      <c r="AJ1686" s="743">
        <f t="shared" si="222"/>
        <v>0</v>
      </c>
    </row>
    <row r="1687" spans="1:36">
      <c r="A1687" s="950" t="s">
        <v>153</v>
      </c>
      <c r="B1687" s="951" t="s">
        <v>291</v>
      </c>
      <c r="C1687" s="967" t="s">
        <v>520</v>
      </c>
      <c r="D1687" s="953"/>
      <c r="E1687" s="969"/>
      <c r="F1687" s="970"/>
      <c r="G1687" s="846"/>
      <c r="H1687" s="847"/>
      <c r="I1687" s="846"/>
      <c r="J1687" s="847"/>
      <c r="K1687" s="846"/>
      <c r="L1687" s="847"/>
      <c r="M1687" s="846"/>
      <c r="N1687" s="846"/>
      <c r="O1687" s="737">
        <f t="shared" si="215"/>
        <v>0</v>
      </c>
      <c r="P1687" s="847"/>
      <c r="Q1687" s="847"/>
      <c r="R1687" s="738">
        <f t="shared" si="218"/>
        <v>0</v>
      </c>
      <c r="S1687" s="737">
        <f t="shared" si="219"/>
        <v>0</v>
      </c>
      <c r="T1687" s="739">
        <f t="shared" si="220"/>
        <v>0</v>
      </c>
      <c r="U1687" s="846"/>
      <c r="V1687" s="847"/>
      <c r="W1687" s="846"/>
      <c r="X1687" s="846"/>
      <c r="Y1687" s="740">
        <f t="shared" si="216"/>
        <v>0</v>
      </c>
      <c r="Z1687" s="847"/>
      <c r="AA1687" s="847"/>
      <c r="AB1687" s="741">
        <f t="shared" si="217"/>
        <v>0</v>
      </c>
      <c r="AC1687" s="846"/>
      <c r="AD1687" s="847"/>
      <c r="AE1687" s="846"/>
      <c r="AF1687" s="846"/>
      <c r="AG1687" s="847"/>
      <c r="AH1687" s="847"/>
      <c r="AI1687" s="742">
        <f t="shared" si="221"/>
        <v>0</v>
      </c>
      <c r="AJ1687" s="743">
        <f t="shared" si="222"/>
        <v>0</v>
      </c>
    </row>
    <row r="1688" spans="1:36">
      <c r="A1688" s="950" t="s">
        <v>153</v>
      </c>
      <c r="B1688" s="951" t="s">
        <v>292</v>
      </c>
      <c r="C1688" s="971" t="s">
        <v>34</v>
      </c>
      <c r="D1688" s="972"/>
      <c r="E1688" s="969"/>
      <c r="F1688" s="970"/>
      <c r="G1688" s="846"/>
      <c r="H1688" s="847"/>
      <c r="I1688" s="846"/>
      <c r="J1688" s="847"/>
      <c r="K1688" s="846"/>
      <c r="L1688" s="847"/>
      <c r="M1688" s="846"/>
      <c r="N1688" s="846"/>
      <c r="O1688" s="737">
        <f t="shared" si="215"/>
        <v>0</v>
      </c>
      <c r="P1688" s="847"/>
      <c r="Q1688" s="847"/>
      <c r="R1688" s="738">
        <f t="shared" si="218"/>
        <v>0</v>
      </c>
      <c r="S1688" s="737">
        <f t="shared" si="219"/>
        <v>0</v>
      </c>
      <c r="T1688" s="739">
        <f t="shared" si="220"/>
        <v>0</v>
      </c>
      <c r="U1688" s="846"/>
      <c r="V1688" s="847"/>
      <c r="W1688" s="846"/>
      <c r="X1688" s="846"/>
      <c r="Y1688" s="740">
        <f t="shared" si="216"/>
        <v>0</v>
      </c>
      <c r="Z1688" s="847"/>
      <c r="AA1688" s="847"/>
      <c r="AB1688" s="741">
        <f t="shared" si="217"/>
        <v>0</v>
      </c>
      <c r="AC1688" s="846"/>
      <c r="AD1688" s="847"/>
      <c r="AE1688" s="846"/>
      <c r="AF1688" s="846"/>
      <c r="AG1688" s="847"/>
      <c r="AH1688" s="847"/>
      <c r="AI1688" s="742">
        <f t="shared" si="221"/>
        <v>0</v>
      </c>
      <c r="AJ1688" s="743">
        <f t="shared" si="222"/>
        <v>0</v>
      </c>
    </row>
    <row r="1689" spans="1:36">
      <c r="A1689" s="950" t="s">
        <v>153</v>
      </c>
      <c r="B1689" s="951" t="s">
        <v>292</v>
      </c>
      <c r="C1689" s="973" t="s">
        <v>745</v>
      </c>
      <c r="D1689" s="957"/>
      <c r="E1689" s="969"/>
      <c r="F1689" s="970"/>
      <c r="G1689" s="846"/>
      <c r="H1689" s="847"/>
      <c r="I1689" s="846"/>
      <c r="J1689" s="847"/>
      <c r="K1689" s="846"/>
      <c r="L1689" s="847"/>
      <c r="M1689" s="846"/>
      <c r="N1689" s="846"/>
      <c r="O1689" s="737">
        <f t="shared" si="215"/>
        <v>0</v>
      </c>
      <c r="P1689" s="847"/>
      <c r="Q1689" s="847"/>
      <c r="R1689" s="738">
        <f t="shared" si="218"/>
        <v>0</v>
      </c>
      <c r="S1689" s="737">
        <f t="shared" si="219"/>
        <v>0</v>
      </c>
      <c r="T1689" s="739">
        <f t="shared" si="220"/>
        <v>0</v>
      </c>
      <c r="U1689" s="846"/>
      <c r="V1689" s="847"/>
      <c r="W1689" s="846"/>
      <c r="X1689" s="846"/>
      <c r="Y1689" s="740">
        <f t="shared" si="216"/>
        <v>0</v>
      </c>
      <c r="Z1689" s="847"/>
      <c r="AA1689" s="847"/>
      <c r="AB1689" s="741">
        <f t="shared" si="217"/>
        <v>0</v>
      </c>
      <c r="AC1689" s="846"/>
      <c r="AD1689" s="847"/>
      <c r="AE1689" s="846"/>
      <c r="AF1689" s="846"/>
      <c r="AG1689" s="847"/>
      <c r="AH1689" s="847"/>
      <c r="AI1689" s="742">
        <f t="shared" si="221"/>
        <v>0</v>
      </c>
      <c r="AJ1689" s="743">
        <f t="shared" si="222"/>
        <v>0</v>
      </c>
    </row>
    <row r="1690" spans="1:36">
      <c r="A1690" s="950" t="s">
        <v>153</v>
      </c>
      <c r="B1690" s="951" t="s">
        <v>310</v>
      </c>
      <c r="C1690" s="974" t="s">
        <v>311</v>
      </c>
      <c r="D1690" s="975"/>
      <c r="E1690" s="969"/>
      <c r="F1690" s="970"/>
      <c r="G1690" s="846"/>
      <c r="H1690" s="847"/>
      <c r="I1690" s="846"/>
      <c r="J1690" s="847"/>
      <c r="K1690" s="846"/>
      <c r="L1690" s="847"/>
      <c r="M1690" s="846"/>
      <c r="N1690" s="846"/>
      <c r="O1690" s="737">
        <f t="shared" si="215"/>
        <v>0</v>
      </c>
      <c r="P1690" s="847"/>
      <c r="Q1690" s="847"/>
      <c r="R1690" s="738">
        <f t="shared" si="218"/>
        <v>0</v>
      </c>
      <c r="S1690" s="737">
        <f t="shared" si="219"/>
        <v>0</v>
      </c>
      <c r="T1690" s="739">
        <f t="shared" si="220"/>
        <v>0</v>
      </c>
      <c r="U1690" s="846"/>
      <c r="V1690" s="847"/>
      <c r="W1690" s="846"/>
      <c r="X1690" s="846"/>
      <c r="Y1690" s="740">
        <f t="shared" si="216"/>
        <v>0</v>
      </c>
      <c r="Z1690" s="847"/>
      <c r="AA1690" s="847"/>
      <c r="AB1690" s="741">
        <f t="shared" si="217"/>
        <v>0</v>
      </c>
      <c r="AC1690" s="846"/>
      <c r="AD1690" s="847"/>
      <c r="AE1690" s="846"/>
      <c r="AF1690" s="846"/>
      <c r="AG1690" s="847"/>
      <c r="AH1690" s="847"/>
      <c r="AI1690" s="742">
        <f t="shared" si="221"/>
        <v>0</v>
      </c>
      <c r="AJ1690" s="743">
        <f t="shared" si="222"/>
        <v>0</v>
      </c>
    </row>
    <row r="1691" spans="1:36">
      <c r="A1691" s="950" t="s">
        <v>153</v>
      </c>
      <c r="B1691" s="951" t="s">
        <v>251</v>
      </c>
      <c r="C1691" s="974" t="s">
        <v>249</v>
      </c>
      <c r="D1691" s="975"/>
      <c r="E1691" s="969"/>
      <c r="F1691" s="970"/>
      <c r="G1691" s="846"/>
      <c r="H1691" s="847"/>
      <c r="I1691" s="846"/>
      <c r="J1691" s="847"/>
      <c r="K1691" s="846"/>
      <c r="L1691" s="847"/>
      <c r="M1691" s="846"/>
      <c r="N1691" s="846"/>
      <c r="O1691" s="737">
        <f t="shared" si="215"/>
        <v>0</v>
      </c>
      <c r="P1691" s="847"/>
      <c r="Q1691" s="847"/>
      <c r="R1691" s="738">
        <f t="shared" si="218"/>
        <v>0</v>
      </c>
      <c r="S1691" s="737">
        <f t="shared" si="219"/>
        <v>0</v>
      </c>
      <c r="T1691" s="739">
        <f t="shared" si="220"/>
        <v>0</v>
      </c>
      <c r="U1691" s="846"/>
      <c r="V1691" s="847"/>
      <c r="W1691" s="846"/>
      <c r="X1691" s="846"/>
      <c r="Y1691" s="740">
        <f t="shared" si="216"/>
        <v>0</v>
      </c>
      <c r="Z1691" s="847"/>
      <c r="AA1691" s="847"/>
      <c r="AB1691" s="741">
        <f t="shared" si="217"/>
        <v>0</v>
      </c>
      <c r="AC1691" s="846"/>
      <c r="AD1691" s="847"/>
      <c r="AE1691" s="846"/>
      <c r="AF1691" s="846"/>
      <c r="AG1691" s="847"/>
      <c r="AH1691" s="847"/>
      <c r="AI1691" s="742">
        <f t="shared" si="221"/>
        <v>0</v>
      </c>
      <c r="AJ1691" s="743">
        <f t="shared" si="222"/>
        <v>0</v>
      </c>
    </row>
    <row r="1692" spans="1:36">
      <c r="A1692" s="950" t="s">
        <v>153</v>
      </c>
      <c r="B1692" s="951" t="s">
        <v>209</v>
      </c>
      <c r="C1692" s="974" t="s">
        <v>522</v>
      </c>
      <c r="D1692" s="975"/>
      <c r="E1692" s="969"/>
      <c r="F1692" s="970"/>
      <c r="G1692" s="846"/>
      <c r="H1692" s="847"/>
      <c r="I1692" s="846"/>
      <c r="J1692" s="847"/>
      <c r="K1692" s="846"/>
      <c r="L1692" s="847"/>
      <c r="M1692" s="846"/>
      <c r="N1692" s="846"/>
      <c r="O1692" s="737">
        <f t="shared" si="215"/>
        <v>0</v>
      </c>
      <c r="P1692" s="847"/>
      <c r="Q1692" s="847"/>
      <c r="R1692" s="738">
        <f t="shared" si="218"/>
        <v>0</v>
      </c>
      <c r="S1692" s="737">
        <f t="shared" si="219"/>
        <v>0</v>
      </c>
      <c r="T1692" s="739">
        <f t="shared" si="220"/>
        <v>0</v>
      </c>
      <c r="U1692" s="846"/>
      <c r="V1692" s="847"/>
      <c r="W1692" s="846"/>
      <c r="X1692" s="846"/>
      <c r="Y1692" s="740">
        <f t="shared" si="216"/>
        <v>0</v>
      </c>
      <c r="Z1692" s="847"/>
      <c r="AA1692" s="847"/>
      <c r="AB1692" s="741">
        <f t="shared" si="217"/>
        <v>0</v>
      </c>
      <c r="AC1692" s="846"/>
      <c r="AD1692" s="847"/>
      <c r="AE1692" s="846"/>
      <c r="AF1692" s="846"/>
      <c r="AG1692" s="847"/>
      <c r="AH1692" s="847"/>
      <c r="AI1692" s="742">
        <f t="shared" si="221"/>
        <v>0</v>
      </c>
      <c r="AJ1692" s="743">
        <f t="shared" si="222"/>
        <v>0</v>
      </c>
    </row>
    <row r="1693" spans="1:36">
      <c r="A1693" s="950" t="s">
        <v>153</v>
      </c>
      <c r="B1693" s="951" t="s">
        <v>210</v>
      </c>
      <c r="C1693" s="974" t="s">
        <v>311</v>
      </c>
      <c r="D1693" s="975"/>
      <c r="E1693" s="969"/>
      <c r="F1693" s="970"/>
      <c r="G1693" s="846"/>
      <c r="H1693" s="847"/>
      <c r="I1693" s="846"/>
      <c r="J1693" s="847"/>
      <c r="K1693" s="846"/>
      <c r="L1693" s="847"/>
      <c r="M1693" s="846"/>
      <c r="N1693" s="846"/>
      <c r="O1693" s="737">
        <f t="shared" si="215"/>
        <v>0</v>
      </c>
      <c r="P1693" s="847"/>
      <c r="Q1693" s="847"/>
      <c r="R1693" s="738">
        <f t="shared" si="218"/>
        <v>0</v>
      </c>
      <c r="S1693" s="737">
        <f t="shared" si="219"/>
        <v>0</v>
      </c>
      <c r="T1693" s="739">
        <f t="shared" si="220"/>
        <v>0</v>
      </c>
      <c r="U1693" s="846"/>
      <c r="V1693" s="847"/>
      <c r="W1693" s="846"/>
      <c r="X1693" s="846"/>
      <c r="Y1693" s="740">
        <f t="shared" si="216"/>
        <v>0</v>
      </c>
      <c r="Z1693" s="847"/>
      <c r="AA1693" s="847"/>
      <c r="AB1693" s="741">
        <f t="shared" si="217"/>
        <v>0</v>
      </c>
      <c r="AC1693" s="846"/>
      <c r="AD1693" s="847"/>
      <c r="AE1693" s="846"/>
      <c r="AF1693" s="846"/>
      <c r="AG1693" s="847"/>
      <c r="AH1693" s="847"/>
      <c r="AI1693" s="742">
        <f t="shared" si="221"/>
        <v>0</v>
      </c>
      <c r="AJ1693" s="743">
        <f t="shared" si="222"/>
        <v>0</v>
      </c>
    </row>
    <row r="1694" spans="1:36">
      <c r="A1694" s="950" t="s">
        <v>153</v>
      </c>
      <c r="B1694" s="951" t="s">
        <v>251</v>
      </c>
      <c r="C1694" s="974" t="s">
        <v>249</v>
      </c>
      <c r="D1694" s="975"/>
      <c r="E1694" s="969"/>
      <c r="F1694" s="970"/>
      <c r="G1694" s="846"/>
      <c r="H1694" s="847"/>
      <c r="I1694" s="846"/>
      <c r="J1694" s="847"/>
      <c r="K1694" s="846"/>
      <c r="L1694" s="847"/>
      <c r="M1694" s="846"/>
      <c r="N1694" s="846"/>
      <c r="O1694" s="737">
        <f t="shared" si="215"/>
        <v>0</v>
      </c>
      <c r="P1694" s="847"/>
      <c r="Q1694" s="847"/>
      <c r="R1694" s="738">
        <f t="shared" si="218"/>
        <v>0</v>
      </c>
      <c r="S1694" s="737">
        <f t="shared" si="219"/>
        <v>0</v>
      </c>
      <c r="T1694" s="739">
        <f t="shared" si="220"/>
        <v>0</v>
      </c>
      <c r="U1694" s="846"/>
      <c r="V1694" s="847"/>
      <c r="W1694" s="846"/>
      <c r="X1694" s="846"/>
      <c r="Y1694" s="740">
        <f t="shared" si="216"/>
        <v>0</v>
      </c>
      <c r="Z1694" s="847"/>
      <c r="AA1694" s="847"/>
      <c r="AB1694" s="741">
        <f t="shared" si="217"/>
        <v>0</v>
      </c>
      <c r="AC1694" s="846"/>
      <c r="AD1694" s="847"/>
      <c r="AE1694" s="846"/>
      <c r="AF1694" s="846"/>
      <c r="AG1694" s="847"/>
      <c r="AH1694" s="847"/>
      <c r="AI1694" s="742">
        <f t="shared" si="221"/>
        <v>0</v>
      </c>
      <c r="AJ1694" s="743">
        <f t="shared" si="222"/>
        <v>0</v>
      </c>
    </row>
    <row r="1695" spans="1:36">
      <c r="A1695" s="950" t="s">
        <v>153</v>
      </c>
      <c r="B1695" s="951" t="s">
        <v>205</v>
      </c>
      <c r="C1695" s="974" t="s">
        <v>523</v>
      </c>
      <c r="D1695" s="975"/>
      <c r="E1695" s="969"/>
      <c r="F1695" s="970"/>
      <c r="G1695" s="846"/>
      <c r="H1695" s="847"/>
      <c r="I1695" s="846"/>
      <c r="J1695" s="847"/>
      <c r="K1695" s="846"/>
      <c r="L1695" s="847"/>
      <c r="M1695" s="846"/>
      <c r="N1695" s="846"/>
      <c r="O1695" s="737">
        <f t="shared" si="215"/>
        <v>0</v>
      </c>
      <c r="P1695" s="847"/>
      <c r="Q1695" s="847"/>
      <c r="R1695" s="738">
        <f t="shared" si="218"/>
        <v>0</v>
      </c>
      <c r="S1695" s="737">
        <f t="shared" si="219"/>
        <v>0</v>
      </c>
      <c r="T1695" s="739">
        <f t="shared" si="220"/>
        <v>0</v>
      </c>
      <c r="U1695" s="846"/>
      <c r="V1695" s="847"/>
      <c r="W1695" s="846"/>
      <c r="X1695" s="846"/>
      <c r="Y1695" s="740">
        <f t="shared" si="216"/>
        <v>0</v>
      </c>
      <c r="Z1695" s="847"/>
      <c r="AA1695" s="847"/>
      <c r="AB1695" s="741">
        <f t="shared" si="217"/>
        <v>0</v>
      </c>
      <c r="AC1695" s="846"/>
      <c r="AD1695" s="847"/>
      <c r="AE1695" s="846"/>
      <c r="AF1695" s="846"/>
      <c r="AG1695" s="847"/>
      <c r="AH1695" s="847"/>
      <c r="AI1695" s="742">
        <f t="shared" si="221"/>
        <v>0</v>
      </c>
      <c r="AJ1695" s="743">
        <f t="shared" si="222"/>
        <v>0</v>
      </c>
    </row>
    <row r="1696" spans="1:36">
      <c r="A1696" s="950" t="s">
        <v>153</v>
      </c>
      <c r="B1696" s="951" t="s">
        <v>218</v>
      </c>
      <c r="C1696" s="974" t="s">
        <v>311</v>
      </c>
      <c r="D1696" s="975"/>
      <c r="E1696" s="969"/>
      <c r="F1696" s="970"/>
      <c r="G1696" s="846"/>
      <c r="H1696" s="847"/>
      <c r="I1696" s="846"/>
      <c r="J1696" s="847"/>
      <c r="K1696" s="846"/>
      <c r="L1696" s="847"/>
      <c r="M1696" s="846"/>
      <c r="N1696" s="846"/>
      <c r="O1696" s="737">
        <f t="shared" si="215"/>
        <v>0</v>
      </c>
      <c r="P1696" s="847"/>
      <c r="Q1696" s="847"/>
      <c r="R1696" s="738">
        <f t="shared" si="218"/>
        <v>0</v>
      </c>
      <c r="S1696" s="737">
        <f t="shared" si="219"/>
        <v>0</v>
      </c>
      <c r="T1696" s="739">
        <f t="shared" si="220"/>
        <v>0</v>
      </c>
      <c r="U1696" s="846"/>
      <c r="V1696" s="847"/>
      <c r="W1696" s="846"/>
      <c r="X1696" s="846"/>
      <c r="Y1696" s="740">
        <f t="shared" si="216"/>
        <v>0</v>
      </c>
      <c r="Z1696" s="847"/>
      <c r="AA1696" s="847"/>
      <c r="AB1696" s="741">
        <f t="shared" si="217"/>
        <v>0</v>
      </c>
      <c r="AC1696" s="846"/>
      <c r="AD1696" s="847"/>
      <c r="AE1696" s="846"/>
      <c r="AF1696" s="846"/>
      <c r="AG1696" s="847"/>
      <c r="AH1696" s="847"/>
      <c r="AI1696" s="742">
        <f t="shared" si="221"/>
        <v>0</v>
      </c>
      <c r="AJ1696" s="743">
        <f t="shared" si="222"/>
        <v>0</v>
      </c>
    </row>
    <row r="1697" spans="1:36">
      <c r="A1697" s="950" t="s">
        <v>153</v>
      </c>
      <c r="B1697" s="951" t="s">
        <v>251</v>
      </c>
      <c r="C1697" s="974" t="s">
        <v>249</v>
      </c>
      <c r="D1697" s="975"/>
      <c r="E1697" s="969"/>
      <c r="F1697" s="970"/>
      <c r="G1697" s="846"/>
      <c r="H1697" s="847"/>
      <c r="I1697" s="846"/>
      <c r="J1697" s="847"/>
      <c r="K1697" s="846"/>
      <c r="L1697" s="847"/>
      <c r="M1697" s="846"/>
      <c r="N1697" s="846"/>
      <c r="O1697" s="737">
        <f t="shared" si="215"/>
        <v>0</v>
      </c>
      <c r="P1697" s="847"/>
      <c r="Q1697" s="847"/>
      <c r="R1697" s="738">
        <f t="shared" si="218"/>
        <v>0</v>
      </c>
      <c r="S1697" s="737">
        <f t="shared" si="219"/>
        <v>0</v>
      </c>
      <c r="T1697" s="739">
        <f t="shared" si="220"/>
        <v>0</v>
      </c>
      <c r="U1697" s="846"/>
      <c r="V1697" s="847"/>
      <c r="W1697" s="846"/>
      <c r="X1697" s="846"/>
      <c r="Y1697" s="740">
        <f t="shared" si="216"/>
        <v>0</v>
      </c>
      <c r="Z1697" s="847"/>
      <c r="AA1697" s="847"/>
      <c r="AB1697" s="741">
        <f t="shared" si="217"/>
        <v>0</v>
      </c>
      <c r="AC1697" s="846"/>
      <c r="AD1697" s="847"/>
      <c r="AE1697" s="846"/>
      <c r="AF1697" s="846"/>
      <c r="AG1697" s="847"/>
      <c r="AH1697" s="847"/>
      <c r="AI1697" s="742">
        <f t="shared" si="221"/>
        <v>0</v>
      </c>
      <c r="AJ1697" s="743">
        <f t="shared" si="222"/>
        <v>0</v>
      </c>
    </row>
    <row r="1698" spans="1:36">
      <c r="A1698" s="950" t="s">
        <v>153</v>
      </c>
      <c r="B1698" s="951" t="s">
        <v>292</v>
      </c>
      <c r="C1698" s="976" t="s">
        <v>746</v>
      </c>
      <c r="D1698" s="975"/>
      <c r="E1698" s="969"/>
      <c r="F1698" s="970"/>
      <c r="G1698" s="846"/>
      <c r="H1698" s="847"/>
      <c r="I1698" s="846"/>
      <c r="J1698" s="847"/>
      <c r="K1698" s="846"/>
      <c r="L1698" s="847"/>
      <c r="M1698" s="846"/>
      <c r="N1698" s="846"/>
      <c r="O1698" s="737">
        <f t="shared" si="215"/>
        <v>0</v>
      </c>
      <c r="P1698" s="847"/>
      <c r="Q1698" s="847"/>
      <c r="R1698" s="738">
        <f t="shared" si="218"/>
        <v>0</v>
      </c>
      <c r="S1698" s="737">
        <f t="shared" si="219"/>
        <v>0</v>
      </c>
      <c r="T1698" s="739">
        <f t="shared" si="220"/>
        <v>0</v>
      </c>
      <c r="U1698" s="846"/>
      <c r="V1698" s="847"/>
      <c r="W1698" s="846"/>
      <c r="X1698" s="846"/>
      <c r="Y1698" s="740">
        <f t="shared" si="216"/>
        <v>0</v>
      </c>
      <c r="Z1698" s="847"/>
      <c r="AA1698" s="847"/>
      <c r="AB1698" s="741">
        <f t="shared" si="217"/>
        <v>0</v>
      </c>
      <c r="AC1698" s="846"/>
      <c r="AD1698" s="847"/>
      <c r="AE1698" s="846"/>
      <c r="AF1698" s="846"/>
      <c r="AG1698" s="847"/>
      <c r="AH1698" s="847"/>
      <c r="AI1698" s="742">
        <f t="shared" si="221"/>
        <v>0</v>
      </c>
      <c r="AJ1698" s="743">
        <f t="shared" si="222"/>
        <v>0</v>
      </c>
    </row>
    <row r="1699" spans="1:36">
      <c r="A1699" s="950" t="s">
        <v>153</v>
      </c>
      <c r="B1699" s="951" t="s">
        <v>310</v>
      </c>
      <c r="C1699" s="974" t="s">
        <v>311</v>
      </c>
      <c r="D1699" s="975"/>
      <c r="E1699" s="969"/>
      <c r="F1699" s="970"/>
      <c r="G1699" s="846"/>
      <c r="H1699" s="847"/>
      <c r="I1699" s="846"/>
      <c r="J1699" s="847"/>
      <c r="K1699" s="846"/>
      <c r="L1699" s="847"/>
      <c r="M1699" s="846"/>
      <c r="N1699" s="846"/>
      <c r="O1699" s="737">
        <f t="shared" si="215"/>
        <v>0</v>
      </c>
      <c r="P1699" s="847"/>
      <c r="Q1699" s="847"/>
      <c r="R1699" s="738">
        <f t="shared" si="218"/>
        <v>0</v>
      </c>
      <c r="S1699" s="737">
        <f t="shared" si="219"/>
        <v>0</v>
      </c>
      <c r="T1699" s="739">
        <f t="shared" si="220"/>
        <v>0</v>
      </c>
      <c r="U1699" s="846"/>
      <c r="V1699" s="847"/>
      <c r="W1699" s="846"/>
      <c r="X1699" s="846"/>
      <c r="Y1699" s="740">
        <f t="shared" si="216"/>
        <v>0</v>
      </c>
      <c r="Z1699" s="847"/>
      <c r="AA1699" s="847"/>
      <c r="AB1699" s="741">
        <f t="shared" si="217"/>
        <v>0</v>
      </c>
      <c r="AC1699" s="846"/>
      <c r="AD1699" s="847"/>
      <c r="AE1699" s="846"/>
      <c r="AF1699" s="846"/>
      <c r="AG1699" s="847"/>
      <c r="AH1699" s="847"/>
      <c r="AI1699" s="742">
        <f t="shared" si="221"/>
        <v>0</v>
      </c>
      <c r="AJ1699" s="743">
        <f t="shared" si="222"/>
        <v>0</v>
      </c>
    </row>
    <row r="1700" spans="1:36">
      <c r="A1700" s="950" t="s">
        <v>153</v>
      </c>
      <c r="B1700" s="951" t="s">
        <v>251</v>
      </c>
      <c r="C1700" s="974" t="s">
        <v>249</v>
      </c>
      <c r="D1700" s="975"/>
      <c r="E1700" s="969"/>
      <c r="F1700" s="970"/>
      <c r="G1700" s="846"/>
      <c r="H1700" s="847"/>
      <c r="I1700" s="846"/>
      <c r="J1700" s="847"/>
      <c r="K1700" s="846"/>
      <c r="L1700" s="847"/>
      <c r="M1700" s="846"/>
      <c r="N1700" s="846"/>
      <c r="O1700" s="737">
        <f t="shared" si="215"/>
        <v>0</v>
      </c>
      <c r="P1700" s="847"/>
      <c r="Q1700" s="847"/>
      <c r="R1700" s="738">
        <f t="shared" si="218"/>
        <v>0</v>
      </c>
      <c r="S1700" s="737">
        <f t="shared" si="219"/>
        <v>0</v>
      </c>
      <c r="T1700" s="739">
        <f t="shared" si="220"/>
        <v>0</v>
      </c>
      <c r="U1700" s="846"/>
      <c r="V1700" s="847"/>
      <c r="W1700" s="846"/>
      <c r="X1700" s="846"/>
      <c r="Y1700" s="740">
        <f t="shared" si="216"/>
        <v>0</v>
      </c>
      <c r="Z1700" s="847"/>
      <c r="AA1700" s="847"/>
      <c r="AB1700" s="741">
        <f t="shared" si="217"/>
        <v>0</v>
      </c>
      <c r="AC1700" s="846"/>
      <c r="AD1700" s="847"/>
      <c r="AE1700" s="846"/>
      <c r="AF1700" s="846"/>
      <c r="AG1700" s="847"/>
      <c r="AH1700" s="847"/>
      <c r="AI1700" s="742">
        <f t="shared" si="221"/>
        <v>0</v>
      </c>
      <c r="AJ1700" s="743">
        <f t="shared" si="222"/>
        <v>0</v>
      </c>
    </row>
    <row r="1701" spans="1:36">
      <c r="A1701" s="950" t="s">
        <v>153</v>
      </c>
      <c r="B1701" s="951" t="s">
        <v>209</v>
      </c>
      <c r="C1701" s="974" t="s">
        <v>522</v>
      </c>
      <c r="D1701" s="975"/>
      <c r="E1701" s="969"/>
      <c r="F1701" s="970"/>
      <c r="G1701" s="846"/>
      <c r="H1701" s="847"/>
      <c r="I1701" s="846"/>
      <c r="J1701" s="847"/>
      <c r="K1701" s="846"/>
      <c r="L1701" s="847"/>
      <c r="M1701" s="846"/>
      <c r="N1701" s="846"/>
      <c r="O1701" s="737">
        <f t="shared" si="215"/>
        <v>0</v>
      </c>
      <c r="P1701" s="847"/>
      <c r="Q1701" s="847"/>
      <c r="R1701" s="738">
        <f t="shared" si="218"/>
        <v>0</v>
      </c>
      <c r="S1701" s="737">
        <f t="shared" si="219"/>
        <v>0</v>
      </c>
      <c r="T1701" s="739">
        <f t="shared" si="220"/>
        <v>0</v>
      </c>
      <c r="U1701" s="846"/>
      <c r="V1701" s="847"/>
      <c r="W1701" s="846"/>
      <c r="X1701" s="846"/>
      <c r="Y1701" s="740">
        <f t="shared" si="216"/>
        <v>0</v>
      </c>
      <c r="Z1701" s="847"/>
      <c r="AA1701" s="847"/>
      <c r="AB1701" s="741">
        <f t="shared" si="217"/>
        <v>0</v>
      </c>
      <c r="AC1701" s="846"/>
      <c r="AD1701" s="847"/>
      <c r="AE1701" s="846"/>
      <c r="AF1701" s="846"/>
      <c r="AG1701" s="847"/>
      <c r="AH1701" s="847"/>
      <c r="AI1701" s="742">
        <f t="shared" si="221"/>
        <v>0</v>
      </c>
      <c r="AJ1701" s="743">
        <f t="shared" si="222"/>
        <v>0</v>
      </c>
    </row>
    <row r="1702" spans="1:36">
      <c r="A1702" s="950" t="s">
        <v>153</v>
      </c>
      <c r="B1702" s="951" t="s">
        <v>210</v>
      </c>
      <c r="C1702" s="974" t="s">
        <v>311</v>
      </c>
      <c r="D1702" s="975"/>
      <c r="E1702" s="969"/>
      <c r="F1702" s="970"/>
      <c r="G1702" s="846"/>
      <c r="H1702" s="847"/>
      <c r="I1702" s="846"/>
      <c r="J1702" s="847"/>
      <c r="K1702" s="846"/>
      <c r="L1702" s="847"/>
      <c r="M1702" s="846"/>
      <c r="N1702" s="846"/>
      <c r="O1702" s="737">
        <f t="shared" si="215"/>
        <v>0</v>
      </c>
      <c r="P1702" s="847"/>
      <c r="Q1702" s="847"/>
      <c r="R1702" s="738">
        <f t="shared" si="218"/>
        <v>0</v>
      </c>
      <c r="S1702" s="737">
        <f t="shared" si="219"/>
        <v>0</v>
      </c>
      <c r="T1702" s="739">
        <f t="shared" si="220"/>
        <v>0</v>
      </c>
      <c r="U1702" s="846"/>
      <c r="V1702" s="847"/>
      <c r="W1702" s="846"/>
      <c r="X1702" s="846"/>
      <c r="Y1702" s="740">
        <f t="shared" si="216"/>
        <v>0</v>
      </c>
      <c r="Z1702" s="847"/>
      <c r="AA1702" s="847"/>
      <c r="AB1702" s="741">
        <f t="shared" si="217"/>
        <v>0</v>
      </c>
      <c r="AC1702" s="846"/>
      <c r="AD1702" s="847"/>
      <c r="AE1702" s="846"/>
      <c r="AF1702" s="846"/>
      <c r="AG1702" s="847"/>
      <c r="AH1702" s="847"/>
      <c r="AI1702" s="742">
        <f t="shared" si="221"/>
        <v>0</v>
      </c>
      <c r="AJ1702" s="743">
        <f t="shared" si="222"/>
        <v>0</v>
      </c>
    </row>
    <row r="1703" spans="1:36">
      <c r="A1703" s="950" t="s">
        <v>153</v>
      </c>
      <c r="B1703" s="951" t="s">
        <v>251</v>
      </c>
      <c r="C1703" s="974" t="s">
        <v>249</v>
      </c>
      <c r="D1703" s="975"/>
      <c r="E1703" s="969"/>
      <c r="F1703" s="970"/>
      <c r="G1703" s="846"/>
      <c r="H1703" s="847"/>
      <c r="I1703" s="846"/>
      <c r="J1703" s="847"/>
      <c r="K1703" s="846"/>
      <c r="L1703" s="847"/>
      <c r="M1703" s="846"/>
      <c r="N1703" s="846"/>
      <c r="O1703" s="737">
        <f t="shared" si="215"/>
        <v>0</v>
      </c>
      <c r="P1703" s="847"/>
      <c r="Q1703" s="847"/>
      <c r="R1703" s="738">
        <f t="shared" si="218"/>
        <v>0</v>
      </c>
      <c r="S1703" s="737">
        <f t="shared" si="219"/>
        <v>0</v>
      </c>
      <c r="T1703" s="739">
        <f t="shared" si="220"/>
        <v>0</v>
      </c>
      <c r="U1703" s="846"/>
      <c r="V1703" s="847"/>
      <c r="W1703" s="846"/>
      <c r="X1703" s="846"/>
      <c r="Y1703" s="740">
        <f t="shared" si="216"/>
        <v>0</v>
      </c>
      <c r="Z1703" s="847"/>
      <c r="AA1703" s="847"/>
      <c r="AB1703" s="741">
        <f t="shared" si="217"/>
        <v>0</v>
      </c>
      <c r="AC1703" s="846"/>
      <c r="AD1703" s="847"/>
      <c r="AE1703" s="846"/>
      <c r="AF1703" s="846"/>
      <c r="AG1703" s="847"/>
      <c r="AH1703" s="847"/>
      <c r="AI1703" s="742">
        <f t="shared" si="221"/>
        <v>0</v>
      </c>
      <c r="AJ1703" s="743">
        <f t="shared" si="222"/>
        <v>0</v>
      </c>
    </row>
    <row r="1704" spans="1:36">
      <c r="A1704" s="950" t="s">
        <v>153</v>
      </c>
      <c r="B1704" s="951" t="s">
        <v>205</v>
      </c>
      <c r="C1704" s="974" t="s">
        <v>523</v>
      </c>
      <c r="D1704" s="975"/>
      <c r="E1704" s="969"/>
      <c r="F1704" s="970"/>
      <c r="G1704" s="846"/>
      <c r="H1704" s="847"/>
      <c r="I1704" s="846"/>
      <c r="J1704" s="847"/>
      <c r="K1704" s="846"/>
      <c r="L1704" s="847"/>
      <c r="M1704" s="846"/>
      <c r="N1704" s="846"/>
      <c r="O1704" s="737">
        <f t="shared" si="215"/>
        <v>0</v>
      </c>
      <c r="P1704" s="847"/>
      <c r="Q1704" s="847"/>
      <c r="R1704" s="738">
        <f t="shared" si="218"/>
        <v>0</v>
      </c>
      <c r="S1704" s="737">
        <f t="shared" si="219"/>
        <v>0</v>
      </c>
      <c r="T1704" s="739">
        <f t="shared" si="220"/>
        <v>0</v>
      </c>
      <c r="U1704" s="846"/>
      <c r="V1704" s="847"/>
      <c r="W1704" s="846"/>
      <c r="X1704" s="846"/>
      <c r="Y1704" s="740">
        <f t="shared" si="216"/>
        <v>0</v>
      </c>
      <c r="Z1704" s="847"/>
      <c r="AA1704" s="847"/>
      <c r="AB1704" s="741">
        <f t="shared" si="217"/>
        <v>0</v>
      </c>
      <c r="AC1704" s="846"/>
      <c r="AD1704" s="847"/>
      <c r="AE1704" s="846"/>
      <c r="AF1704" s="846"/>
      <c r="AG1704" s="847"/>
      <c r="AH1704" s="847"/>
      <c r="AI1704" s="742">
        <f t="shared" si="221"/>
        <v>0</v>
      </c>
      <c r="AJ1704" s="743">
        <f t="shared" si="222"/>
        <v>0</v>
      </c>
    </row>
    <row r="1705" spans="1:36">
      <c r="A1705" s="950" t="s">
        <v>153</v>
      </c>
      <c r="B1705" s="951" t="s">
        <v>218</v>
      </c>
      <c r="C1705" s="974" t="s">
        <v>311</v>
      </c>
      <c r="D1705" s="975"/>
      <c r="E1705" s="969"/>
      <c r="F1705" s="970"/>
      <c r="G1705" s="846"/>
      <c r="H1705" s="847"/>
      <c r="I1705" s="846"/>
      <c r="J1705" s="847"/>
      <c r="K1705" s="846"/>
      <c r="L1705" s="847"/>
      <c r="M1705" s="846"/>
      <c r="N1705" s="846"/>
      <c r="O1705" s="737">
        <f t="shared" si="215"/>
        <v>0</v>
      </c>
      <c r="P1705" s="847"/>
      <c r="Q1705" s="847"/>
      <c r="R1705" s="738">
        <f t="shared" si="218"/>
        <v>0</v>
      </c>
      <c r="S1705" s="737">
        <f t="shared" si="219"/>
        <v>0</v>
      </c>
      <c r="T1705" s="739">
        <f t="shared" si="220"/>
        <v>0</v>
      </c>
      <c r="U1705" s="846"/>
      <c r="V1705" s="847"/>
      <c r="W1705" s="846"/>
      <c r="X1705" s="846"/>
      <c r="Y1705" s="740">
        <f t="shared" si="216"/>
        <v>0</v>
      </c>
      <c r="Z1705" s="847"/>
      <c r="AA1705" s="847"/>
      <c r="AB1705" s="741">
        <f t="shared" si="217"/>
        <v>0</v>
      </c>
      <c r="AC1705" s="846"/>
      <c r="AD1705" s="847"/>
      <c r="AE1705" s="846"/>
      <c r="AF1705" s="846"/>
      <c r="AG1705" s="847"/>
      <c r="AH1705" s="847"/>
      <c r="AI1705" s="742">
        <f t="shared" si="221"/>
        <v>0</v>
      </c>
      <c r="AJ1705" s="743">
        <f t="shared" si="222"/>
        <v>0</v>
      </c>
    </row>
    <row r="1706" spans="1:36">
      <c r="A1706" s="950" t="s">
        <v>153</v>
      </c>
      <c r="B1706" s="951" t="s">
        <v>251</v>
      </c>
      <c r="C1706" s="974" t="s">
        <v>249</v>
      </c>
      <c r="D1706" s="975"/>
      <c r="E1706" s="969"/>
      <c r="F1706" s="970"/>
      <c r="G1706" s="846"/>
      <c r="H1706" s="847"/>
      <c r="I1706" s="846"/>
      <c r="J1706" s="847"/>
      <c r="K1706" s="846"/>
      <c r="L1706" s="847"/>
      <c r="M1706" s="846"/>
      <c r="N1706" s="846"/>
      <c r="O1706" s="737">
        <f t="shared" si="215"/>
        <v>0</v>
      </c>
      <c r="P1706" s="847"/>
      <c r="Q1706" s="847"/>
      <c r="R1706" s="738">
        <f t="shared" si="218"/>
        <v>0</v>
      </c>
      <c r="S1706" s="737">
        <f t="shared" si="219"/>
        <v>0</v>
      </c>
      <c r="T1706" s="739">
        <f t="shared" si="220"/>
        <v>0</v>
      </c>
      <c r="U1706" s="846"/>
      <c r="V1706" s="847"/>
      <c r="W1706" s="846"/>
      <c r="X1706" s="846"/>
      <c r="Y1706" s="740">
        <f t="shared" si="216"/>
        <v>0</v>
      </c>
      <c r="Z1706" s="847"/>
      <c r="AA1706" s="847"/>
      <c r="AB1706" s="741">
        <f t="shared" si="217"/>
        <v>0</v>
      </c>
      <c r="AC1706" s="846"/>
      <c r="AD1706" s="847"/>
      <c r="AE1706" s="846"/>
      <c r="AF1706" s="846"/>
      <c r="AG1706" s="847"/>
      <c r="AH1706" s="847"/>
      <c r="AI1706" s="742">
        <f t="shared" si="221"/>
        <v>0</v>
      </c>
      <c r="AJ1706" s="743">
        <f t="shared" si="222"/>
        <v>0</v>
      </c>
    </row>
    <row r="1707" spans="1:36">
      <c r="A1707" s="950" t="s">
        <v>153</v>
      </c>
      <c r="B1707" s="951" t="s">
        <v>292</v>
      </c>
      <c r="C1707" s="973" t="s">
        <v>747</v>
      </c>
      <c r="D1707" s="957"/>
      <c r="E1707" s="969"/>
      <c r="F1707" s="970"/>
      <c r="G1707" s="846"/>
      <c r="H1707" s="847"/>
      <c r="I1707" s="846"/>
      <c r="J1707" s="847"/>
      <c r="K1707" s="846"/>
      <c r="L1707" s="847"/>
      <c r="M1707" s="846"/>
      <c r="N1707" s="846"/>
      <c r="O1707" s="737">
        <f t="shared" si="215"/>
        <v>0</v>
      </c>
      <c r="P1707" s="847"/>
      <c r="Q1707" s="847"/>
      <c r="R1707" s="738">
        <f t="shared" si="218"/>
        <v>0</v>
      </c>
      <c r="S1707" s="737">
        <f t="shared" si="219"/>
        <v>0</v>
      </c>
      <c r="T1707" s="739">
        <f t="shared" si="220"/>
        <v>0</v>
      </c>
      <c r="U1707" s="846"/>
      <c r="V1707" s="847"/>
      <c r="W1707" s="846"/>
      <c r="X1707" s="846"/>
      <c r="Y1707" s="740">
        <f t="shared" si="216"/>
        <v>0</v>
      </c>
      <c r="Z1707" s="847"/>
      <c r="AA1707" s="847"/>
      <c r="AB1707" s="741">
        <f t="shared" si="217"/>
        <v>0</v>
      </c>
      <c r="AC1707" s="846"/>
      <c r="AD1707" s="847"/>
      <c r="AE1707" s="846"/>
      <c r="AF1707" s="846"/>
      <c r="AG1707" s="847"/>
      <c r="AH1707" s="847"/>
      <c r="AI1707" s="742">
        <f t="shared" si="221"/>
        <v>0</v>
      </c>
      <c r="AJ1707" s="743">
        <f t="shared" si="222"/>
        <v>0</v>
      </c>
    </row>
    <row r="1708" spans="1:36">
      <c r="A1708" s="950" t="s">
        <v>153</v>
      </c>
      <c r="B1708" s="951" t="s">
        <v>310</v>
      </c>
      <c r="C1708" s="974" t="s">
        <v>311</v>
      </c>
      <c r="D1708" s="975"/>
      <c r="E1708" s="969"/>
      <c r="F1708" s="970"/>
      <c r="G1708" s="846"/>
      <c r="H1708" s="847"/>
      <c r="I1708" s="846"/>
      <c r="J1708" s="847"/>
      <c r="K1708" s="846"/>
      <c r="L1708" s="847"/>
      <c r="M1708" s="846"/>
      <c r="N1708" s="846"/>
      <c r="O1708" s="737">
        <f t="shared" si="215"/>
        <v>0</v>
      </c>
      <c r="P1708" s="847"/>
      <c r="Q1708" s="847"/>
      <c r="R1708" s="738">
        <f t="shared" si="218"/>
        <v>0</v>
      </c>
      <c r="S1708" s="737">
        <f t="shared" si="219"/>
        <v>0</v>
      </c>
      <c r="T1708" s="739">
        <f t="shared" si="220"/>
        <v>0</v>
      </c>
      <c r="U1708" s="846"/>
      <c r="V1708" s="847"/>
      <c r="W1708" s="846"/>
      <c r="X1708" s="846"/>
      <c r="Y1708" s="740">
        <f t="shared" si="216"/>
        <v>0</v>
      </c>
      <c r="Z1708" s="847"/>
      <c r="AA1708" s="847"/>
      <c r="AB1708" s="741">
        <f t="shared" si="217"/>
        <v>0</v>
      </c>
      <c r="AC1708" s="846"/>
      <c r="AD1708" s="847"/>
      <c r="AE1708" s="846"/>
      <c r="AF1708" s="846"/>
      <c r="AG1708" s="847"/>
      <c r="AH1708" s="847"/>
      <c r="AI1708" s="742">
        <f t="shared" si="221"/>
        <v>0</v>
      </c>
      <c r="AJ1708" s="743">
        <f t="shared" si="222"/>
        <v>0</v>
      </c>
    </row>
    <row r="1709" spans="1:36">
      <c r="A1709" s="950" t="s">
        <v>153</v>
      </c>
      <c r="B1709" s="951" t="s">
        <v>251</v>
      </c>
      <c r="C1709" s="974" t="s">
        <v>249</v>
      </c>
      <c r="D1709" s="975"/>
      <c r="E1709" s="969"/>
      <c r="F1709" s="970"/>
      <c r="G1709" s="846"/>
      <c r="H1709" s="847"/>
      <c r="I1709" s="846"/>
      <c r="J1709" s="847"/>
      <c r="K1709" s="846"/>
      <c r="L1709" s="847"/>
      <c r="M1709" s="846"/>
      <c r="N1709" s="846"/>
      <c r="O1709" s="737">
        <f t="shared" si="215"/>
        <v>0</v>
      </c>
      <c r="P1709" s="847"/>
      <c r="Q1709" s="847"/>
      <c r="R1709" s="738">
        <f t="shared" si="218"/>
        <v>0</v>
      </c>
      <c r="S1709" s="737">
        <f t="shared" si="219"/>
        <v>0</v>
      </c>
      <c r="T1709" s="739">
        <f t="shared" si="220"/>
        <v>0</v>
      </c>
      <c r="U1709" s="846"/>
      <c r="V1709" s="847"/>
      <c r="W1709" s="846"/>
      <c r="X1709" s="846"/>
      <c r="Y1709" s="740">
        <f t="shared" si="216"/>
        <v>0</v>
      </c>
      <c r="Z1709" s="847"/>
      <c r="AA1709" s="847"/>
      <c r="AB1709" s="741">
        <f t="shared" si="217"/>
        <v>0</v>
      </c>
      <c r="AC1709" s="846"/>
      <c r="AD1709" s="847"/>
      <c r="AE1709" s="846"/>
      <c r="AF1709" s="846"/>
      <c r="AG1709" s="847"/>
      <c r="AH1709" s="847"/>
      <c r="AI1709" s="742">
        <f t="shared" si="221"/>
        <v>0</v>
      </c>
      <c r="AJ1709" s="743">
        <f t="shared" si="222"/>
        <v>0</v>
      </c>
    </row>
    <row r="1710" spans="1:36">
      <c r="A1710" s="950" t="s">
        <v>153</v>
      </c>
      <c r="B1710" s="951" t="s">
        <v>209</v>
      </c>
      <c r="C1710" s="974" t="s">
        <v>522</v>
      </c>
      <c r="D1710" s="975"/>
      <c r="E1710" s="969"/>
      <c r="F1710" s="970"/>
      <c r="G1710" s="846"/>
      <c r="H1710" s="847"/>
      <c r="I1710" s="846"/>
      <c r="J1710" s="847"/>
      <c r="K1710" s="846"/>
      <c r="L1710" s="847"/>
      <c r="M1710" s="846"/>
      <c r="N1710" s="846"/>
      <c r="O1710" s="737">
        <f t="shared" si="215"/>
        <v>0</v>
      </c>
      <c r="P1710" s="847"/>
      <c r="Q1710" s="847"/>
      <c r="R1710" s="738">
        <f t="shared" si="218"/>
        <v>0</v>
      </c>
      <c r="S1710" s="737">
        <f t="shared" si="219"/>
        <v>0</v>
      </c>
      <c r="T1710" s="739">
        <f t="shared" si="220"/>
        <v>0</v>
      </c>
      <c r="U1710" s="846"/>
      <c r="V1710" s="847"/>
      <c r="W1710" s="846"/>
      <c r="X1710" s="846"/>
      <c r="Y1710" s="740">
        <f t="shared" si="216"/>
        <v>0</v>
      </c>
      <c r="Z1710" s="847"/>
      <c r="AA1710" s="847"/>
      <c r="AB1710" s="741">
        <f t="shared" si="217"/>
        <v>0</v>
      </c>
      <c r="AC1710" s="846"/>
      <c r="AD1710" s="847"/>
      <c r="AE1710" s="846"/>
      <c r="AF1710" s="846"/>
      <c r="AG1710" s="847"/>
      <c r="AH1710" s="847"/>
      <c r="AI1710" s="742">
        <f t="shared" si="221"/>
        <v>0</v>
      </c>
      <c r="AJ1710" s="743">
        <f t="shared" si="222"/>
        <v>0</v>
      </c>
    </row>
    <row r="1711" spans="1:36">
      <c r="A1711" s="950" t="s">
        <v>153</v>
      </c>
      <c r="B1711" s="951" t="s">
        <v>210</v>
      </c>
      <c r="C1711" s="974" t="s">
        <v>311</v>
      </c>
      <c r="D1711" s="975"/>
      <c r="E1711" s="969"/>
      <c r="F1711" s="970"/>
      <c r="G1711" s="846"/>
      <c r="H1711" s="847"/>
      <c r="I1711" s="846"/>
      <c r="J1711" s="847"/>
      <c r="K1711" s="846"/>
      <c r="L1711" s="847"/>
      <c r="M1711" s="846"/>
      <c r="N1711" s="846"/>
      <c r="O1711" s="737">
        <f t="shared" si="215"/>
        <v>0</v>
      </c>
      <c r="P1711" s="847"/>
      <c r="Q1711" s="847"/>
      <c r="R1711" s="738">
        <f t="shared" si="218"/>
        <v>0</v>
      </c>
      <c r="S1711" s="737">
        <f t="shared" si="219"/>
        <v>0</v>
      </c>
      <c r="T1711" s="739">
        <f t="shared" si="220"/>
        <v>0</v>
      </c>
      <c r="U1711" s="846"/>
      <c r="V1711" s="847"/>
      <c r="W1711" s="846"/>
      <c r="X1711" s="846"/>
      <c r="Y1711" s="740">
        <f t="shared" si="216"/>
        <v>0</v>
      </c>
      <c r="Z1711" s="847"/>
      <c r="AA1711" s="847"/>
      <c r="AB1711" s="741">
        <f t="shared" si="217"/>
        <v>0</v>
      </c>
      <c r="AC1711" s="846"/>
      <c r="AD1711" s="847"/>
      <c r="AE1711" s="846"/>
      <c r="AF1711" s="846"/>
      <c r="AG1711" s="847"/>
      <c r="AH1711" s="847"/>
      <c r="AI1711" s="742">
        <f t="shared" si="221"/>
        <v>0</v>
      </c>
      <c r="AJ1711" s="743">
        <f t="shared" si="222"/>
        <v>0</v>
      </c>
    </row>
    <row r="1712" spans="1:36">
      <c r="A1712" s="950" t="s">
        <v>153</v>
      </c>
      <c r="B1712" s="951" t="s">
        <v>251</v>
      </c>
      <c r="C1712" s="974" t="s">
        <v>249</v>
      </c>
      <c r="D1712" s="975"/>
      <c r="E1712" s="969"/>
      <c r="F1712" s="970"/>
      <c r="G1712" s="846"/>
      <c r="H1712" s="847"/>
      <c r="I1712" s="846"/>
      <c r="J1712" s="847"/>
      <c r="K1712" s="846"/>
      <c r="L1712" s="847"/>
      <c r="M1712" s="846"/>
      <c r="N1712" s="846"/>
      <c r="O1712" s="737">
        <f t="shared" si="215"/>
        <v>0</v>
      </c>
      <c r="P1712" s="847"/>
      <c r="Q1712" s="847"/>
      <c r="R1712" s="738">
        <f t="shared" si="218"/>
        <v>0</v>
      </c>
      <c r="S1712" s="737">
        <f t="shared" si="219"/>
        <v>0</v>
      </c>
      <c r="T1712" s="739">
        <f t="shared" si="220"/>
        <v>0</v>
      </c>
      <c r="U1712" s="846"/>
      <c r="V1712" s="847"/>
      <c r="W1712" s="846"/>
      <c r="X1712" s="846"/>
      <c r="Y1712" s="740">
        <f t="shared" si="216"/>
        <v>0</v>
      </c>
      <c r="Z1712" s="847"/>
      <c r="AA1712" s="847"/>
      <c r="AB1712" s="741">
        <f t="shared" si="217"/>
        <v>0</v>
      </c>
      <c r="AC1712" s="846"/>
      <c r="AD1712" s="847"/>
      <c r="AE1712" s="846"/>
      <c r="AF1712" s="846"/>
      <c r="AG1712" s="847"/>
      <c r="AH1712" s="847"/>
      <c r="AI1712" s="742">
        <f t="shared" si="221"/>
        <v>0</v>
      </c>
      <c r="AJ1712" s="743">
        <f t="shared" si="222"/>
        <v>0</v>
      </c>
    </row>
    <row r="1713" spans="1:36">
      <c r="A1713" s="950" t="s">
        <v>153</v>
      </c>
      <c r="B1713" s="951" t="s">
        <v>205</v>
      </c>
      <c r="C1713" s="974" t="s">
        <v>523</v>
      </c>
      <c r="D1713" s="975"/>
      <c r="E1713" s="969"/>
      <c r="F1713" s="970"/>
      <c r="G1713" s="846"/>
      <c r="H1713" s="847"/>
      <c r="I1713" s="846"/>
      <c r="J1713" s="847"/>
      <c r="K1713" s="846"/>
      <c r="L1713" s="847"/>
      <c r="M1713" s="846"/>
      <c r="N1713" s="846"/>
      <c r="O1713" s="737">
        <f t="shared" si="215"/>
        <v>0</v>
      </c>
      <c r="P1713" s="847"/>
      <c r="Q1713" s="847"/>
      <c r="R1713" s="738">
        <f t="shared" si="218"/>
        <v>0</v>
      </c>
      <c r="S1713" s="737">
        <f t="shared" si="219"/>
        <v>0</v>
      </c>
      <c r="T1713" s="739">
        <f t="shared" si="220"/>
        <v>0</v>
      </c>
      <c r="U1713" s="846"/>
      <c r="V1713" s="847"/>
      <c r="W1713" s="846"/>
      <c r="X1713" s="846"/>
      <c r="Y1713" s="740">
        <f t="shared" si="216"/>
        <v>0</v>
      </c>
      <c r="Z1713" s="847"/>
      <c r="AA1713" s="847"/>
      <c r="AB1713" s="741">
        <f t="shared" si="217"/>
        <v>0</v>
      </c>
      <c r="AC1713" s="846"/>
      <c r="AD1713" s="847"/>
      <c r="AE1713" s="846"/>
      <c r="AF1713" s="846"/>
      <c r="AG1713" s="847"/>
      <c r="AH1713" s="847"/>
      <c r="AI1713" s="742">
        <f t="shared" si="221"/>
        <v>0</v>
      </c>
      <c r="AJ1713" s="743">
        <f t="shared" si="222"/>
        <v>0</v>
      </c>
    </row>
    <row r="1714" spans="1:36">
      <c r="A1714" s="950" t="s">
        <v>153</v>
      </c>
      <c r="B1714" s="951" t="s">
        <v>218</v>
      </c>
      <c r="C1714" s="974" t="s">
        <v>311</v>
      </c>
      <c r="D1714" s="975"/>
      <c r="E1714" s="969"/>
      <c r="F1714" s="970"/>
      <c r="G1714" s="846"/>
      <c r="H1714" s="847"/>
      <c r="I1714" s="846"/>
      <c r="J1714" s="847"/>
      <c r="K1714" s="846"/>
      <c r="L1714" s="847"/>
      <c r="M1714" s="846"/>
      <c r="N1714" s="846"/>
      <c r="O1714" s="737">
        <f t="shared" si="215"/>
        <v>0</v>
      </c>
      <c r="P1714" s="847"/>
      <c r="Q1714" s="847"/>
      <c r="R1714" s="738">
        <f t="shared" si="218"/>
        <v>0</v>
      </c>
      <c r="S1714" s="737">
        <f t="shared" si="219"/>
        <v>0</v>
      </c>
      <c r="T1714" s="739">
        <f t="shared" si="220"/>
        <v>0</v>
      </c>
      <c r="U1714" s="846"/>
      <c r="V1714" s="847"/>
      <c r="W1714" s="846"/>
      <c r="X1714" s="846"/>
      <c r="Y1714" s="740">
        <f t="shared" si="216"/>
        <v>0</v>
      </c>
      <c r="Z1714" s="847"/>
      <c r="AA1714" s="847"/>
      <c r="AB1714" s="741">
        <f t="shared" si="217"/>
        <v>0</v>
      </c>
      <c r="AC1714" s="846"/>
      <c r="AD1714" s="847"/>
      <c r="AE1714" s="846"/>
      <c r="AF1714" s="846"/>
      <c r="AG1714" s="847"/>
      <c r="AH1714" s="847"/>
      <c r="AI1714" s="742">
        <f t="shared" si="221"/>
        <v>0</v>
      </c>
      <c r="AJ1714" s="743">
        <f t="shared" si="222"/>
        <v>0</v>
      </c>
    </row>
    <row r="1715" spans="1:36">
      <c r="A1715" s="950" t="s">
        <v>153</v>
      </c>
      <c r="B1715" s="951" t="s">
        <v>251</v>
      </c>
      <c r="C1715" s="974" t="s">
        <v>249</v>
      </c>
      <c r="D1715" s="975"/>
      <c r="E1715" s="969"/>
      <c r="F1715" s="970"/>
      <c r="G1715" s="846"/>
      <c r="H1715" s="847"/>
      <c r="I1715" s="846"/>
      <c r="J1715" s="847"/>
      <c r="K1715" s="846"/>
      <c r="L1715" s="847"/>
      <c r="M1715" s="846"/>
      <c r="N1715" s="846"/>
      <c r="O1715" s="737">
        <f t="shared" si="215"/>
        <v>0</v>
      </c>
      <c r="P1715" s="847"/>
      <c r="Q1715" s="847"/>
      <c r="R1715" s="738">
        <f t="shared" si="218"/>
        <v>0</v>
      </c>
      <c r="S1715" s="737">
        <f t="shared" si="219"/>
        <v>0</v>
      </c>
      <c r="T1715" s="739">
        <f t="shared" si="220"/>
        <v>0</v>
      </c>
      <c r="U1715" s="846"/>
      <c r="V1715" s="847"/>
      <c r="W1715" s="846"/>
      <c r="X1715" s="846"/>
      <c r="Y1715" s="740">
        <f t="shared" si="216"/>
        <v>0</v>
      </c>
      <c r="Z1715" s="847"/>
      <c r="AA1715" s="847"/>
      <c r="AB1715" s="741">
        <f t="shared" si="217"/>
        <v>0</v>
      </c>
      <c r="AC1715" s="846"/>
      <c r="AD1715" s="847"/>
      <c r="AE1715" s="846"/>
      <c r="AF1715" s="846"/>
      <c r="AG1715" s="847"/>
      <c r="AH1715" s="847"/>
      <c r="AI1715" s="742">
        <f t="shared" si="221"/>
        <v>0</v>
      </c>
      <c r="AJ1715" s="743">
        <f t="shared" si="222"/>
        <v>0</v>
      </c>
    </row>
    <row r="1716" spans="1:36">
      <c r="A1716" s="950" t="s">
        <v>153</v>
      </c>
      <c r="B1716" s="951" t="s">
        <v>292</v>
      </c>
      <c r="C1716" s="973" t="s">
        <v>748</v>
      </c>
      <c r="D1716" s="957"/>
      <c r="E1716" s="969"/>
      <c r="F1716" s="970"/>
      <c r="G1716" s="846"/>
      <c r="H1716" s="847"/>
      <c r="I1716" s="846"/>
      <c r="J1716" s="847"/>
      <c r="K1716" s="846"/>
      <c r="L1716" s="847"/>
      <c r="M1716" s="846"/>
      <c r="N1716" s="846"/>
      <c r="O1716" s="737">
        <f t="shared" si="215"/>
        <v>0</v>
      </c>
      <c r="P1716" s="847"/>
      <c r="Q1716" s="847"/>
      <c r="R1716" s="738">
        <f t="shared" si="218"/>
        <v>0</v>
      </c>
      <c r="S1716" s="737">
        <f t="shared" si="219"/>
        <v>0</v>
      </c>
      <c r="T1716" s="739">
        <f t="shared" si="220"/>
        <v>0</v>
      </c>
      <c r="U1716" s="846"/>
      <c r="V1716" s="847"/>
      <c r="W1716" s="846"/>
      <c r="X1716" s="846"/>
      <c r="Y1716" s="740">
        <f t="shared" si="216"/>
        <v>0</v>
      </c>
      <c r="Z1716" s="847"/>
      <c r="AA1716" s="847"/>
      <c r="AB1716" s="741">
        <f t="shared" si="217"/>
        <v>0</v>
      </c>
      <c r="AC1716" s="846"/>
      <c r="AD1716" s="847"/>
      <c r="AE1716" s="846"/>
      <c r="AF1716" s="846"/>
      <c r="AG1716" s="847"/>
      <c r="AH1716" s="847"/>
      <c r="AI1716" s="742">
        <f t="shared" si="221"/>
        <v>0</v>
      </c>
      <c r="AJ1716" s="743">
        <f t="shared" si="222"/>
        <v>0</v>
      </c>
    </row>
    <row r="1717" spans="1:36">
      <c r="A1717" s="950" t="s">
        <v>153</v>
      </c>
      <c r="B1717" s="951" t="s">
        <v>310</v>
      </c>
      <c r="C1717" s="974" t="s">
        <v>311</v>
      </c>
      <c r="D1717" s="975"/>
      <c r="E1717" s="969"/>
      <c r="F1717" s="970"/>
      <c r="G1717" s="846"/>
      <c r="H1717" s="847"/>
      <c r="I1717" s="846"/>
      <c r="J1717" s="847"/>
      <c r="K1717" s="846"/>
      <c r="L1717" s="847"/>
      <c r="M1717" s="846"/>
      <c r="N1717" s="846"/>
      <c r="O1717" s="737">
        <f t="shared" si="215"/>
        <v>0</v>
      </c>
      <c r="P1717" s="847"/>
      <c r="Q1717" s="847"/>
      <c r="R1717" s="738">
        <f t="shared" si="218"/>
        <v>0</v>
      </c>
      <c r="S1717" s="737">
        <f t="shared" si="219"/>
        <v>0</v>
      </c>
      <c r="T1717" s="739">
        <f t="shared" si="220"/>
        <v>0</v>
      </c>
      <c r="U1717" s="846"/>
      <c r="V1717" s="847"/>
      <c r="W1717" s="846"/>
      <c r="X1717" s="846"/>
      <c r="Y1717" s="740">
        <f t="shared" si="216"/>
        <v>0</v>
      </c>
      <c r="Z1717" s="847"/>
      <c r="AA1717" s="847"/>
      <c r="AB1717" s="741">
        <f t="shared" si="217"/>
        <v>0</v>
      </c>
      <c r="AC1717" s="846"/>
      <c r="AD1717" s="847"/>
      <c r="AE1717" s="846"/>
      <c r="AF1717" s="846"/>
      <c r="AG1717" s="847"/>
      <c r="AH1717" s="847"/>
      <c r="AI1717" s="742">
        <f t="shared" si="221"/>
        <v>0</v>
      </c>
      <c r="AJ1717" s="743">
        <f t="shared" si="222"/>
        <v>0</v>
      </c>
    </row>
    <row r="1718" spans="1:36">
      <c r="A1718" s="950" t="s">
        <v>153</v>
      </c>
      <c r="B1718" s="951" t="s">
        <v>251</v>
      </c>
      <c r="C1718" s="974" t="s">
        <v>249</v>
      </c>
      <c r="D1718" s="975"/>
      <c r="E1718" s="969"/>
      <c r="F1718" s="970"/>
      <c r="G1718" s="846"/>
      <c r="H1718" s="847"/>
      <c r="I1718" s="846"/>
      <c r="J1718" s="847"/>
      <c r="K1718" s="846"/>
      <c r="L1718" s="847"/>
      <c r="M1718" s="846"/>
      <c r="N1718" s="846"/>
      <c r="O1718" s="737">
        <f t="shared" si="215"/>
        <v>0</v>
      </c>
      <c r="P1718" s="847"/>
      <c r="Q1718" s="847"/>
      <c r="R1718" s="738">
        <f t="shared" si="218"/>
        <v>0</v>
      </c>
      <c r="S1718" s="737">
        <f t="shared" si="219"/>
        <v>0</v>
      </c>
      <c r="T1718" s="739">
        <f t="shared" si="220"/>
        <v>0</v>
      </c>
      <c r="U1718" s="846"/>
      <c r="V1718" s="847"/>
      <c r="W1718" s="846"/>
      <c r="X1718" s="846"/>
      <c r="Y1718" s="740">
        <f t="shared" si="216"/>
        <v>0</v>
      </c>
      <c r="Z1718" s="847"/>
      <c r="AA1718" s="847"/>
      <c r="AB1718" s="741">
        <f t="shared" si="217"/>
        <v>0</v>
      </c>
      <c r="AC1718" s="846"/>
      <c r="AD1718" s="847"/>
      <c r="AE1718" s="846"/>
      <c r="AF1718" s="846"/>
      <c r="AG1718" s="847"/>
      <c r="AH1718" s="847"/>
      <c r="AI1718" s="742">
        <f t="shared" si="221"/>
        <v>0</v>
      </c>
      <c r="AJ1718" s="743">
        <f t="shared" si="222"/>
        <v>0</v>
      </c>
    </row>
    <row r="1719" spans="1:36">
      <c r="A1719" s="950" t="s">
        <v>153</v>
      </c>
      <c r="B1719" s="951" t="s">
        <v>209</v>
      </c>
      <c r="C1719" s="974" t="s">
        <v>522</v>
      </c>
      <c r="D1719" s="975"/>
      <c r="E1719" s="969"/>
      <c r="F1719" s="970"/>
      <c r="G1719" s="846"/>
      <c r="H1719" s="847"/>
      <c r="I1719" s="846"/>
      <c r="J1719" s="847"/>
      <c r="K1719" s="846"/>
      <c r="L1719" s="847"/>
      <c r="M1719" s="846"/>
      <c r="N1719" s="846"/>
      <c r="O1719" s="737">
        <f t="shared" si="215"/>
        <v>0</v>
      </c>
      <c r="P1719" s="847"/>
      <c r="Q1719" s="847"/>
      <c r="R1719" s="738">
        <f t="shared" si="218"/>
        <v>0</v>
      </c>
      <c r="S1719" s="737">
        <f t="shared" si="219"/>
        <v>0</v>
      </c>
      <c r="T1719" s="739">
        <f t="shared" si="220"/>
        <v>0</v>
      </c>
      <c r="U1719" s="846"/>
      <c r="V1719" s="847"/>
      <c r="W1719" s="846"/>
      <c r="X1719" s="846"/>
      <c r="Y1719" s="740">
        <f t="shared" si="216"/>
        <v>0</v>
      </c>
      <c r="Z1719" s="847"/>
      <c r="AA1719" s="847"/>
      <c r="AB1719" s="741">
        <f t="shared" si="217"/>
        <v>0</v>
      </c>
      <c r="AC1719" s="846"/>
      <c r="AD1719" s="847"/>
      <c r="AE1719" s="846"/>
      <c r="AF1719" s="846"/>
      <c r="AG1719" s="847"/>
      <c r="AH1719" s="847"/>
      <c r="AI1719" s="742">
        <f t="shared" si="221"/>
        <v>0</v>
      </c>
      <c r="AJ1719" s="743">
        <f t="shared" si="222"/>
        <v>0</v>
      </c>
    </row>
    <row r="1720" spans="1:36">
      <c r="A1720" s="950" t="s">
        <v>153</v>
      </c>
      <c r="B1720" s="951" t="s">
        <v>210</v>
      </c>
      <c r="C1720" s="974" t="s">
        <v>311</v>
      </c>
      <c r="D1720" s="975"/>
      <c r="E1720" s="969"/>
      <c r="F1720" s="970"/>
      <c r="G1720" s="846"/>
      <c r="H1720" s="847"/>
      <c r="I1720" s="846"/>
      <c r="J1720" s="847"/>
      <c r="K1720" s="846"/>
      <c r="L1720" s="847"/>
      <c r="M1720" s="846"/>
      <c r="N1720" s="846"/>
      <c r="O1720" s="737">
        <f t="shared" si="215"/>
        <v>0</v>
      </c>
      <c r="P1720" s="847"/>
      <c r="Q1720" s="847"/>
      <c r="R1720" s="738">
        <f t="shared" si="218"/>
        <v>0</v>
      </c>
      <c r="S1720" s="737">
        <f t="shared" si="219"/>
        <v>0</v>
      </c>
      <c r="T1720" s="739">
        <f t="shared" si="220"/>
        <v>0</v>
      </c>
      <c r="U1720" s="846"/>
      <c r="V1720" s="847"/>
      <c r="W1720" s="846"/>
      <c r="X1720" s="846"/>
      <c r="Y1720" s="740">
        <f t="shared" si="216"/>
        <v>0</v>
      </c>
      <c r="Z1720" s="847"/>
      <c r="AA1720" s="847"/>
      <c r="AB1720" s="741">
        <f t="shared" si="217"/>
        <v>0</v>
      </c>
      <c r="AC1720" s="846"/>
      <c r="AD1720" s="847"/>
      <c r="AE1720" s="846"/>
      <c r="AF1720" s="846"/>
      <c r="AG1720" s="847"/>
      <c r="AH1720" s="847"/>
      <c r="AI1720" s="742">
        <f t="shared" si="221"/>
        <v>0</v>
      </c>
      <c r="AJ1720" s="743">
        <f t="shared" si="222"/>
        <v>0</v>
      </c>
    </row>
    <row r="1721" spans="1:36">
      <c r="A1721" s="950" t="s">
        <v>153</v>
      </c>
      <c r="B1721" s="951" t="s">
        <v>251</v>
      </c>
      <c r="C1721" s="974" t="s">
        <v>249</v>
      </c>
      <c r="D1721" s="975"/>
      <c r="E1721" s="969"/>
      <c r="F1721" s="970"/>
      <c r="G1721" s="846"/>
      <c r="H1721" s="847"/>
      <c r="I1721" s="846"/>
      <c r="J1721" s="847"/>
      <c r="K1721" s="846"/>
      <c r="L1721" s="847"/>
      <c r="M1721" s="846"/>
      <c r="N1721" s="846"/>
      <c r="O1721" s="737">
        <f t="shared" si="215"/>
        <v>0</v>
      </c>
      <c r="P1721" s="847"/>
      <c r="Q1721" s="847"/>
      <c r="R1721" s="738">
        <f t="shared" si="218"/>
        <v>0</v>
      </c>
      <c r="S1721" s="737">
        <f t="shared" si="219"/>
        <v>0</v>
      </c>
      <c r="T1721" s="739">
        <f t="shared" si="220"/>
        <v>0</v>
      </c>
      <c r="U1721" s="846"/>
      <c r="V1721" s="847"/>
      <c r="W1721" s="846"/>
      <c r="X1721" s="846"/>
      <c r="Y1721" s="740">
        <f t="shared" si="216"/>
        <v>0</v>
      </c>
      <c r="Z1721" s="847"/>
      <c r="AA1721" s="847"/>
      <c r="AB1721" s="741">
        <f t="shared" si="217"/>
        <v>0</v>
      </c>
      <c r="AC1721" s="846"/>
      <c r="AD1721" s="847"/>
      <c r="AE1721" s="846"/>
      <c r="AF1721" s="846"/>
      <c r="AG1721" s="847"/>
      <c r="AH1721" s="847"/>
      <c r="AI1721" s="742">
        <f t="shared" si="221"/>
        <v>0</v>
      </c>
      <c r="AJ1721" s="743">
        <f t="shared" si="222"/>
        <v>0</v>
      </c>
    </row>
    <row r="1722" spans="1:36">
      <c r="A1722" s="950" t="s">
        <v>153</v>
      </c>
      <c r="B1722" s="951" t="s">
        <v>205</v>
      </c>
      <c r="C1722" s="974" t="s">
        <v>523</v>
      </c>
      <c r="D1722" s="975"/>
      <c r="E1722" s="969"/>
      <c r="F1722" s="970"/>
      <c r="G1722" s="846"/>
      <c r="H1722" s="847"/>
      <c r="I1722" s="846"/>
      <c r="J1722" s="847"/>
      <c r="K1722" s="846"/>
      <c r="L1722" s="847"/>
      <c r="M1722" s="846"/>
      <c r="N1722" s="846"/>
      <c r="O1722" s="737">
        <f t="shared" si="215"/>
        <v>0</v>
      </c>
      <c r="P1722" s="847"/>
      <c r="Q1722" s="847"/>
      <c r="R1722" s="738">
        <f t="shared" si="218"/>
        <v>0</v>
      </c>
      <c r="S1722" s="737">
        <f t="shared" si="219"/>
        <v>0</v>
      </c>
      <c r="T1722" s="739">
        <f t="shared" si="220"/>
        <v>0</v>
      </c>
      <c r="U1722" s="846"/>
      <c r="V1722" s="847"/>
      <c r="W1722" s="846"/>
      <c r="X1722" s="846"/>
      <c r="Y1722" s="740">
        <f t="shared" si="216"/>
        <v>0</v>
      </c>
      <c r="Z1722" s="847"/>
      <c r="AA1722" s="847"/>
      <c r="AB1722" s="741">
        <f t="shared" si="217"/>
        <v>0</v>
      </c>
      <c r="AC1722" s="846"/>
      <c r="AD1722" s="847"/>
      <c r="AE1722" s="846"/>
      <c r="AF1722" s="846"/>
      <c r="AG1722" s="847"/>
      <c r="AH1722" s="847"/>
      <c r="AI1722" s="742">
        <f t="shared" si="221"/>
        <v>0</v>
      </c>
      <c r="AJ1722" s="743">
        <f t="shared" si="222"/>
        <v>0</v>
      </c>
    </row>
    <row r="1723" spans="1:36">
      <c r="A1723" s="950" t="s">
        <v>153</v>
      </c>
      <c r="B1723" s="951" t="s">
        <v>218</v>
      </c>
      <c r="C1723" s="974" t="s">
        <v>311</v>
      </c>
      <c r="D1723" s="975"/>
      <c r="E1723" s="969"/>
      <c r="F1723" s="970"/>
      <c r="G1723" s="846"/>
      <c r="H1723" s="847"/>
      <c r="I1723" s="846"/>
      <c r="J1723" s="847"/>
      <c r="K1723" s="846"/>
      <c r="L1723" s="847"/>
      <c r="M1723" s="846"/>
      <c r="N1723" s="846"/>
      <c r="O1723" s="737">
        <f t="shared" si="215"/>
        <v>0</v>
      </c>
      <c r="P1723" s="847"/>
      <c r="Q1723" s="847"/>
      <c r="R1723" s="738">
        <f t="shared" si="218"/>
        <v>0</v>
      </c>
      <c r="S1723" s="737">
        <f t="shared" si="219"/>
        <v>0</v>
      </c>
      <c r="T1723" s="739">
        <f t="shared" si="220"/>
        <v>0</v>
      </c>
      <c r="U1723" s="846"/>
      <c r="V1723" s="847"/>
      <c r="W1723" s="846"/>
      <c r="X1723" s="846"/>
      <c r="Y1723" s="740">
        <f t="shared" si="216"/>
        <v>0</v>
      </c>
      <c r="Z1723" s="847"/>
      <c r="AA1723" s="847"/>
      <c r="AB1723" s="741">
        <f t="shared" si="217"/>
        <v>0</v>
      </c>
      <c r="AC1723" s="846"/>
      <c r="AD1723" s="847"/>
      <c r="AE1723" s="846"/>
      <c r="AF1723" s="846"/>
      <c r="AG1723" s="847"/>
      <c r="AH1723" s="847"/>
      <c r="AI1723" s="742">
        <f t="shared" si="221"/>
        <v>0</v>
      </c>
      <c r="AJ1723" s="743">
        <f t="shared" si="222"/>
        <v>0</v>
      </c>
    </row>
    <row r="1724" spans="1:36">
      <c r="A1724" s="977" t="s">
        <v>153</v>
      </c>
      <c r="B1724" s="978" t="s">
        <v>251</v>
      </c>
      <c r="C1724" s="979" t="s">
        <v>249</v>
      </c>
      <c r="D1724" s="975"/>
      <c r="E1724" s="969"/>
      <c r="F1724" s="970"/>
      <c r="G1724" s="846"/>
      <c r="H1724" s="847"/>
      <c r="I1724" s="846"/>
      <c r="J1724" s="847"/>
      <c r="K1724" s="846"/>
      <c r="L1724" s="847"/>
      <c r="M1724" s="846"/>
      <c r="N1724" s="846"/>
      <c r="O1724" s="737">
        <f t="shared" si="215"/>
        <v>0</v>
      </c>
      <c r="P1724" s="847"/>
      <c r="Q1724" s="847"/>
      <c r="R1724" s="738">
        <f t="shared" si="218"/>
        <v>0</v>
      </c>
      <c r="S1724" s="737">
        <f t="shared" si="219"/>
        <v>0</v>
      </c>
      <c r="T1724" s="739">
        <f t="shared" si="220"/>
        <v>0</v>
      </c>
      <c r="U1724" s="846"/>
      <c r="V1724" s="847"/>
      <c r="W1724" s="846"/>
      <c r="X1724" s="846"/>
      <c r="Y1724" s="740">
        <f t="shared" si="216"/>
        <v>0</v>
      </c>
      <c r="Z1724" s="847"/>
      <c r="AA1724" s="847"/>
      <c r="AB1724" s="741">
        <f t="shared" si="217"/>
        <v>0</v>
      </c>
      <c r="AC1724" s="846"/>
      <c r="AD1724" s="847"/>
      <c r="AE1724" s="846"/>
      <c r="AF1724" s="846"/>
      <c r="AG1724" s="847"/>
      <c r="AH1724" s="847"/>
      <c r="AI1724" s="742">
        <f t="shared" si="221"/>
        <v>0</v>
      </c>
      <c r="AJ1724" s="743">
        <f t="shared" si="222"/>
        <v>0</v>
      </c>
    </row>
    <row r="1725" spans="1:36">
      <c r="A1725" s="977" t="s">
        <v>153</v>
      </c>
      <c r="B1725" s="978" t="s">
        <v>292</v>
      </c>
      <c r="C1725" s="980" t="s">
        <v>749</v>
      </c>
      <c r="D1725" s="981"/>
      <c r="E1725" s="982"/>
      <c r="F1725" s="983"/>
      <c r="G1725" s="846"/>
      <c r="H1725" s="847"/>
      <c r="I1725" s="846"/>
      <c r="J1725" s="847"/>
      <c r="K1725" s="846"/>
      <c r="L1725" s="847"/>
      <c r="M1725" s="846"/>
      <c r="N1725" s="846"/>
      <c r="O1725" s="737">
        <f t="shared" si="215"/>
        <v>0</v>
      </c>
      <c r="P1725" s="847"/>
      <c r="Q1725" s="847"/>
      <c r="R1725" s="738">
        <f t="shared" si="218"/>
        <v>0</v>
      </c>
      <c r="S1725" s="737">
        <f t="shared" si="219"/>
        <v>0</v>
      </c>
      <c r="T1725" s="739">
        <f t="shared" si="220"/>
        <v>0</v>
      </c>
      <c r="U1725" s="846"/>
      <c r="V1725" s="847"/>
      <c r="W1725" s="846"/>
      <c r="X1725" s="846"/>
      <c r="Y1725" s="740">
        <f t="shared" si="216"/>
        <v>0</v>
      </c>
      <c r="Z1725" s="847"/>
      <c r="AA1725" s="847"/>
      <c r="AB1725" s="741">
        <f t="shared" si="217"/>
        <v>0</v>
      </c>
      <c r="AC1725" s="846"/>
      <c r="AD1725" s="847"/>
      <c r="AE1725" s="846"/>
      <c r="AF1725" s="846"/>
      <c r="AG1725" s="847"/>
      <c r="AH1725" s="847"/>
      <c r="AI1725" s="742">
        <f t="shared" si="221"/>
        <v>0</v>
      </c>
      <c r="AJ1725" s="743">
        <f t="shared" si="222"/>
        <v>0</v>
      </c>
    </row>
    <row r="1726" spans="1:36">
      <c r="A1726" s="977" t="s">
        <v>153</v>
      </c>
      <c r="B1726" s="978" t="s">
        <v>310</v>
      </c>
      <c r="C1726" s="979" t="s">
        <v>311</v>
      </c>
      <c r="D1726" s="984"/>
      <c r="E1726" s="982"/>
      <c r="F1726" s="983"/>
      <c r="G1726" s="846"/>
      <c r="H1726" s="847"/>
      <c r="I1726" s="846"/>
      <c r="J1726" s="847"/>
      <c r="K1726" s="846"/>
      <c r="L1726" s="847"/>
      <c r="M1726" s="846"/>
      <c r="N1726" s="846"/>
      <c r="O1726" s="737">
        <f t="shared" si="215"/>
        <v>0</v>
      </c>
      <c r="P1726" s="847"/>
      <c r="Q1726" s="847"/>
      <c r="R1726" s="738">
        <f t="shared" si="218"/>
        <v>0</v>
      </c>
      <c r="S1726" s="737">
        <f t="shared" si="219"/>
        <v>0</v>
      </c>
      <c r="T1726" s="739">
        <f t="shared" si="220"/>
        <v>0</v>
      </c>
      <c r="U1726" s="846"/>
      <c r="V1726" s="847"/>
      <c r="W1726" s="846"/>
      <c r="X1726" s="846"/>
      <c r="Y1726" s="740">
        <f t="shared" si="216"/>
        <v>0</v>
      </c>
      <c r="Z1726" s="847"/>
      <c r="AA1726" s="847"/>
      <c r="AB1726" s="741">
        <f t="shared" si="217"/>
        <v>0</v>
      </c>
      <c r="AC1726" s="846"/>
      <c r="AD1726" s="847"/>
      <c r="AE1726" s="846"/>
      <c r="AF1726" s="846"/>
      <c r="AG1726" s="847"/>
      <c r="AH1726" s="847"/>
      <c r="AI1726" s="742">
        <f t="shared" si="221"/>
        <v>0</v>
      </c>
      <c r="AJ1726" s="743">
        <f t="shared" si="222"/>
        <v>0</v>
      </c>
    </row>
    <row r="1727" spans="1:36">
      <c r="A1727" s="977" t="s">
        <v>153</v>
      </c>
      <c r="B1727" s="978" t="s">
        <v>251</v>
      </c>
      <c r="C1727" s="979" t="s">
        <v>249</v>
      </c>
      <c r="D1727" s="984"/>
      <c r="E1727" s="982"/>
      <c r="F1727" s="983"/>
      <c r="G1727" s="846"/>
      <c r="H1727" s="847"/>
      <c r="I1727" s="846"/>
      <c r="J1727" s="847"/>
      <c r="K1727" s="846"/>
      <c r="L1727" s="847"/>
      <c r="M1727" s="846"/>
      <c r="N1727" s="846"/>
      <c r="O1727" s="737">
        <f t="shared" si="215"/>
        <v>0</v>
      </c>
      <c r="P1727" s="847"/>
      <c r="Q1727" s="847"/>
      <c r="R1727" s="738">
        <f t="shared" si="218"/>
        <v>0</v>
      </c>
      <c r="S1727" s="737">
        <f t="shared" si="219"/>
        <v>0</v>
      </c>
      <c r="T1727" s="739">
        <f t="shared" si="220"/>
        <v>0</v>
      </c>
      <c r="U1727" s="846"/>
      <c r="V1727" s="847"/>
      <c r="W1727" s="846"/>
      <c r="X1727" s="846"/>
      <c r="Y1727" s="740">
        <f t="shared" si="216"/>
        <v>0</v>
      </c>
      <c r="Z1727" s="847"/>
      <c r="AA1727" s="847"/>
      <c r="AB1727" s="741">
        <f t="shared" si="217"/>
        <v>0</v>
      </c>
      <c r="AC1727" s="846"/>
      <c r="AD1727" s="847"/>
      <c r="AE1727" s="846"/>
      <c r="AF1727" s="846"/>
      <c r="AG1727" s="847"/>
      <c r="AH1727" s="847"/>
      <c r="AI1727" s="742">
        <f t="shared" si="221"/>
        <v>0</v>
      </c>
      <c r="AJ1727" s="743">
        <f t="shared" si="222"/>
        <v>0</v>
      </c>
    </row>
    <row r="1728" spans="1:36">
      <c r="A1728" s="977" t="s">
        <v>153</v>
      </c>
      <c r="B1728" s="978" t="s">
        <v>209</v>
      </c>
      <c r="C1728" s="979" t="s">
        <v>522</v>
      </c>
      <c r="D1728" s="984"/>
      <c r="E1728" s="982"/>
      <c r="F1728" s="983"/>
      <c r="G1728" s="846"/>
      <c r="H1728" s="847"/>
      <c r="I1728" s="846"/>
      <c r="J1728" s="847"/>
      <c r="K1728" s="846"/>
      <c r="L1728" s="847"/>
      <c r="M1728" s="846"/>
      <c r="N1728" s="846"/>
      <c r="O1728" s="737">
        <f t="shared" si="215"/>
        <v>0</v>
      </c>
      <c r="P1728" s="847"/>
      <c r="Q1728" s="847"/>
      <c r="R1728" s="738">
        <f t="shared" si="218"/>
        <v>0</v>
      </c>
      <c r="S1728" s="737">
        <f t="shared" si="219"/>
        <v>0</v>
      </c>
      <c r="T1728" s="739">
        <f t="shared" si="220"/>
        <v>0</v>
      </c>
      <c r="U1728" s="846"/>
      <c r="V1728" s="847"/>
      <c r="W1728" s="846"/>
      <c r="X1728" s="846"/>
      <c r="Y1728" s="740">
        <f t="shared" si="216"/>
        <v>0</v>
      </c>
      <c r="Z1728" s="847"/>
      <c r="AA1728" s="847"/>
      <c r="AB1728" s="741">
        <f t="shared" si="217"/>
        <v>0</v>
      </c>
      <c r="AC1728" s="846"/>
      <c r="AD1728" s="847"/>
      <c r="AE1728" s="846"/>
      <c r="AF1728" s="846"/>
      <c r="AG1728" s="847"/>
      <c r="AH1728" s="847"/>
      <c r="AI1728" s="742">
        <f t="shared" si="221"/>
        <v>0</v>
      </c>
      <c r="AJ1728" s="743">
        <f t="shared" si="222"/>
        <v>0</v>
      </c>
    </row>
    <row r="1729" spans="1:36">
      <c r="A1729" s="977" t="s">
        <v>153</v>
      </c>
      <c r="B1729" s="978" t="s">
        <v>210</v>
      </c>
      <c r="C1729" s="979" t="s">
        <v>311</v>
      </c>
      <c r="D1729" s="984"/>
      <c r="E1729" s="982"/>
      <c r="F1729" s="983"/>
      <c r="G1729" s="846"/>
      <c r="H1729" s="847"/>
      <c r="I1729" s="846"/>
      <c r="J1729" s="847"/>
      <c r="K1729" s="846"/>
      <c r="L1729" s="847"/>
      <c r="M1729" s="846"/>
      <c r="N1729" s="846"/>
      <c r="O1729" s="737">
        <f t="shared" si="215"/>
        <v>0</v>
      </c>
      <c r="P1729" s="847"/>
      <c r="Q1729" s="847"/>
      <c r="R1729" s="738">
        <f t="shared" si="218"/>
        <v>0</v>
      </c>
      <c r="S1729" s="737">
        <f t="shared" si="219"/>
        <v>0</v>
      </c>
      <c r="T1729" s="739">
        <f t="shared" si="220"/>
        <v>0</v>
      </c>
      <c r="U1729" s="846"/>
      <c r="V1729" s="847"/>
      <c r="W1729" s="846"/>
      <c r="X1729" s="846"/>
      <c r="Y1729" s="740">
        <f t="shared" si="216"/>
        <v>0</v>
      </c>
      <c r="Z1729" s="847"/>
      <c r="AA1729" s="847"/>
      <c r="AB1729" s="741">
        <f t="shared" si="217"/>
        <v>0</v>
      </c>
      <c r="AC1729" s="846"/>
      <c r="AD1729" s="847"/>
      <c r="AE1729" s="846"/>
      <c r="AF1729" s="846"/>
      <c r="AG1729" s="847"/>
      <c r="AH1729" s="847"/>
      <c r="AI1729" s="742">
        <f t="shared" si="221"/>
        <v>0</v>
      </c>
      <c r="AJ1729" s="743">
        <f t="shared" si="222"/>
        <v>0</v>
      </c>
    </row>
    <row r="1730" spans="1:36">
      <c r="A1730" s="977" t="s">
        <v>153</v>
      </c>
      <c r="B1730" s="978" t="s">
        <v>251</v>
      </c>
      <c r="C1730" s="979" t="s">
        <v>249</v>
      </c>
      <c r="D1730" s="984"/>
      <c r="E1730" s="982"/>
      <c r="F1730" s="983"/>
      <c r="G1730" s="846"/>
      <c r="H1730" s="847"/>
      <c r="I1730" s="846"/>
      <c r="J1730" s="847"/>
      <c r="K1730" s="846"/>
      <c r="L1730" s="847"/>
      <c r="M1730" s="846"/>
      <c r="N1730" s="846"/>
      <c r="O1730" s="737">
        <f t="shared" si="215"/>
        <v>0</v>
      </c>
      <c r="P1730" s="847"/>
      <c r="Q1730" s="847"/>
      <c r="R1730" s="738">
        <f t="shared" si="218"/>
        <v>0</v>
      </c>
      <c r="S1730" s="737">
        <f t="shared" si="219"/>
        <v>0</v>
      </c>
      <c r="T1730" s="739">
        <f t="shared" si="220"/>
        <v>0</v>
      </c>
      <c r="U1730" s="846"/>
      <c r="V1730" s="847"/>
      <c r="W1730" s="846"/>
      <c r="X1730" s="846"/>
      <c r="Y1730" s="740">
        <f t="shared" si="216"/>
        <v>0</v>
      </c>
      <c r="Z1730" s="847"/>
      <c r="AA1730" s="847"/>
      <c r="AB1730" s="741">
        <f t="shared" si="217"/>
        <v>0</v>
      </c>
      <c r="AC1730" s="846"/>
      <c r="AD1730" s="847"/>
      <c r="AE1730" s="846"/>
      <c r="AF1730" s="846"/>
      <c r="AG1730" s="847"/>
      <c r="AH1730" s="847"/>
      <c r="AI1730" s="742">
        <f t="shared" si="221"/>
        <v>0</v>
      </c>
      <c r="AJ1730" s="743">
        <f t="shared" si="222"/>
        <v>0</v>
      </c>
    </row>
    <row r="1731" spans="1:36">
      <c r="A1731" s="977" t="s">
        <v>153</v>
      </c>
      <c r="B1731" s="978" t="s">
        <v>205</v>
      </c>
      <c r="C1731" s="979" t="s">
        <v>523</v>
      </c>
      <c r="D1731" s="984"/>
      <c r="E1731" s="982"/>
      <c r="F1731" s="983"/>
      <c r="G1731" s="846"/>
      <c r="H1731" s="847"/>
      <c r="I1731" s="846"/>
      <c r="J1731" s="847"/>
      <c r="K1731" s="846"/>
      <c r="L1731" s="847"/>
      <c r="M1731" s="846"/>
      <c r="N1731" s="846"/>
      <c r="O1731" s="737">
        <f t="shared" si="215"/>
        <v>0</v>
      </c>
      <c r="P1731" s="847"/>
      <c r="Q1731" s="847"/>
      <c r="R1731" s="738">
        <f t="shared" si="218"/>
        <v>0</v>
      </c>
      <c r="S1731" s="737">
        <f t="shared" si="219"/>
        <v>0</v>
      </c>
      <c r="T1731" s="739">
        <f t="shared" si="220"/>
        <v>0</v>
      </c>
      <c r="U1731" s="846"/>
      <c r="V1731" s="847"/>
      <c r="W1731" s="846"/>
      <c r="X1731" s="846"/>
      <c r="Y1731" s="740">
        <f t="shared" si="216"/>
        <v>0</v>
      </c>
      <c r="Z1731" s="847"/>
      <c r="AA1731" s="847"/>
      <c r="AB1731" s="741">
        <f t="shared" si="217"/>
        <v>0</v>
      </c>
      <c r="AC1731" s="846"/>
      <c r="AD1731" s="847"/>
      <c r="AE1731" s="846"/>
      <c r="AF1731" s="846"/>
      <c r="AG1731" s="847"/>
      <c r="AH1731" s="847"/>
      <c r="AI1731" s="742">
        <f t="shared" si="221"/>
        <v>0</v>
      </c>
      <c r="AJ1731" s="743">
        <f t="shared" si="222"/>
        <v>0</v>
      </c>
    </row>
    <row r="1732" spans="1:36">
      <c r="A1732" s="977" t="s">
        <v>153</v>
      </c>
      <c r="B1732" s="978" t="s">
        <v>218</v>
      </c>
      <c r="C1732" s="979" t="s">
        <v>311</v>
      </c>
      <c r="D1732" s="984"/>
      <c r="E1732" s="982"/>
      <c r="F1732" s="983"/>
      <c r="G1732" s="846"/>
      <c r="H1732" s="847"/>
      <c r="I1732" s="846"/>
      <c r="J1732" s="847"/>
      <c r="K1732" s="846"/>
      <c r="L1732" s="847"/>
      <c r="M1732" s="846"/>
      <c r="N1732" s="846"/>
      <c r="O1732" s="737">
        <f t="shared" si="215"/>
        <v>0</v>
      </c>
      <c r="P1732" s="847"/>
      <c r="Q1732" s="847"/>
      <c r="R1732" s="738">
        <f t="shared" si="218"/>
        <v>0</v>
      </c>
      <c r="S1732" s="737">
        <f t="shared" si="219"/>
        <v>0</v>
      </c>
      <c r="T1732" s="739">
        <f t="shared" si="220"/>
        <v>0</v>
      </c>
      <c r="U1732" s="846"/>
      <c r="V1732" s="847"/>
      <c r="W1732" s="846"/>
      <c r="X1732" s="846"/>
      <c r="Y1732" s="740">
        <f t="shared" si="216"/>
        <v>0</v>
      </c>
      <c r="Z1732" s="847"/>
      <c r="AA1732" s="847"/>
      <c r="AB1732" s="741">
        <f t="shared" si="217"/>
        <v>0</v>
      </c>
      <c r="AC1732" s="846"/>
      <c r="AD1732" s="847"/>
      <c r="AE1732" s="846"/>
      <c r="AF1732" s="846"/>
      <c r="AG1732" s="847"/>
      <c r="AH1732" s="847"/>
      <c r="AI1732" s="742">
        <f t="shared" si="221"/>
        <v>0</v>
      </c>
      <c r="AJ1732" s="743">
        <f t="shared" si="222"/>
        <v>0</v>
      </c>
    </row>
    <row r="1733" spans="1:36">
      <c r="A1733" s="977" t="s">
        <v>153</v>
      </c>
      <c r="B1733" s="978" t="s">
        <v>251</v>
      </c>
      <c r="C1733" s="979" t="s">
        <v>249</v>
      </c>
      <c r="D1733" s="984"/>
      <c r="E1733" s="982"/>
      <c r="F1733" s="983"/>
      <c r="G1733" s="846"/>
      <c r="H1733" s="847"/>
      <c r="I1733" s="846"/>
      <c r="J1733" s="847"/>
      <c r="K1733" s="846"/>
      <c r="L1733" s="847"/>
      <c r="M1733" s="846"/>
      <c r="N1733" s="846"/>
      <c r="O1733" s="737">
        <f t="shared" si="215"/>
        <v>0</v>
      </c>
      <c r="P1733" s="847"/>
      <c r="Q1733" s="847"/>
      <c r="R1733" s="738">
        <f t="shared" si="218"/>
        <v>0</v>
      </c>
      <c r="S1733" s="737">
        <f t="shared" si="219"/>
        <v>0</v>
      </c>
      <c r="T1733" s="739">
        <f t="shared" si="220"/>
        <v>0</v>
      </c>
      <c r="U1733" s="846"/>
      <c r="V1733" s="847"/>
      <c r="W1733" s="846"/>
      <c r="X1733" s="846"/>
      <c r="Y1733" s="740">
        <f t="shared" si="216"/>
        <v>0</v>
      </c>
      <c r="Z1733" s="847"/>
      <c r="AA1733" s="847"/>
      <c r="AB1733" s="741">
        <f t="shared" si="217"/>
        <v>0</v>
      </c>
      <c r="AC1733" s="846"/>
      <c r="AD1733" s="847"/>
      <c r="AE1733" s="846"/>
      <c r="AF1733" s="846"/>
      <c r="AG1733" s="847"/>
      <c r="AH1733" s="847"/>
      <c r="AI1733" s="742">
        <f t="shared" si="221"/>
        <v>0</v>
      </c>
      <c r="AJ1733" s="743">
        <f t="shared" si="222"/>
        <v>0</v>
      </c>
    </row>
    <row r="1734" spans="1:36">
      <c r="A1734" s="977" t="s">
        <v>153</v>
      </c>
      <c r="B1734" s="978" t="s">
        <v>292</v>
      </c>
      <c r="C1734" s="980" t="s">
        <v>750</v>
      </c>
      <c r="D1734" s="981"/>
      <c r="E1734" s="982"/>
      <c r="F1734" s="983"/>
      <c r="G1734" s="846"/>
      <c r="H1734" s="847"/>
      <c r="I1734" s="846"/>
      <c r="J1734" s="847"/>
      <c r="K1734" s="846"/>
      <c r="L1734" s="847"/>
      <c r="M1734" s="846"/>
      <c r="N1734" s="846"/>
      <c r="O1734" s="737">
        <f t="shared" si="215"/>
        <v>0</v>
      </c>
      <c r="P1734" s="847"/>
      <c r="Q1734" s="847"/>
      <c r="R1734" s="738">
        <f t="shared" si="218"/>
        <v>0</v>
      </c>
      <c r="S1734" s="737">
        <f t="shared" si="219"/>
        <v>0</v>
      </c>
      <c r="T1734" s="739">
        <f t="shared" si="220"/>
        <v>0</v>
      </c>
      <c r="U1734" s="846"/>
      <c r="V1734" s="847"/>
      <c r="W1734" s="846"/>
      <c r="X1734" s="846"/>
      <c r="Y1734" s="740">
        <f t="shared" si="216"/>
        <v>0</v>
      </c>
      <c r="Z1734" s="847"/>
      <c r="AA1734" s="847"/>
      <c r="AB1734" s="741">
        <f t="shared" si="217"/>
        <v>0</v>
      </c>
      <c r="AC1734" s="846"/>
      <c r="AD1734" s="847"/>
      <c r="AE1734" s="846"/>
      <c r="AF1734" s="846"/>
      <c r="AG1734" s="847"/>
      <c r="AH1734" s="847"/>
      <c r="AI1734" s="742">
        <f t="shared" si="221"/>
        <v>0</v>
      </c>
      <c r="AJ1734" s="743">
        <f t="shared" si="222"/>
        <v>0</v>
      </c>
    </row>
    <row r="1735" spans="1:36">
      <c r="A1735" s="977" t="s">
        <v>153</v>
      </c>
      <c r="B1735" s="978" t="s">
        <v>310</v>
      </c>
      <c r="C1735" s="979" t="s">
        <v>311</v>
      </c>
      <c r="D1735" s="984"/>
      <c r="E1735" s="982"/>
      <c r="F1735" s="983"/>
      <c r="G1735" s="846"/>
      <c r="H1735" s="847"/>
      <c r="I1735" s="846"/>
      <c r="J1735" s="847"/>
      <c r="K1735" s="846"/>
      <c r="L1735" s="847"/>
      <c r="M1735" s="846"/>
      <c r="N1735" s="846"/>
      <c r="O1735" s="737">
        <f t="shared" si="215"/>
        <v>0</v>
      </c>
      <c r="P1735" s="847"/>
      <c r="Q1735" s="847"/>
      <c r="R1735" s="738">
        <f t="shared" si="218"/>
        <v>0</v>
      </c>
      <c r="S1735" s="737">
        <f t="shared" si="219"/>
        <v>0</v>
      </c>
      <c r="T1735" s="739">
        <f t="shared" si="220"/>
        <v>0</v>
      </c>
      <c r="U1735" s="846"/>
      <c r="V1735" s="847"/>
      <c r="W1735" s="846"/>
      <c r="X1735" s="846"/>
      <c r="Y1735" s="740">
        <f t="shared" si="216"/>
        <v>0</v>
      </c>
      <c r="Z1735" s="847"/>
      <c r="AA1735" s="847"/>
      <c r="AB1735" s="741">
        <f t="shared" si="217"/>
        <v>0</v>
      </c>
      <c r="AC1735" s="846"/>
      <c r="AD1735" s="847"/>
      <c r="AE1735" s="846"/>
      <c r="AF1735" s="846"/>
      <c r="AG1735" s="847"/>
      <c r="AH1735" s="847"/>
      <c r="AI1735" s="742">
        <f t="shared" si="221"/>
        <v>0</v>
      </c>
      <c r="AJ1735" s="743">
        <f t="shared" si="222"/>
        <v>0</v>
      </c>
    </row>
    <row r="1736" spans="1:36">
      <c r="A1736" s="977" t="s">
        <v>153</v>
      </c>
      <c r="B1736" s="978" t="s">
        <v>251</v>
      </c>
      <c r="C1736" s="979" t="s">
        <v>249</v>
      </c>
      <c r="D1736" s="984"/>
      <c r="E1736" s="982"/>
      <c r="F1736" s="983"/>
      <c r="G1736" s="846"/>
      <c r="H1736" s="847"/>
      <c r="I1736" s="846"/>
      <c r="J1736" s="847"/>
      <c r="K1736" s="846"/>
      <c r="L1736" s="847"/>
      <c r="M1736" s="846"/>
      <c r="N1736" s="846"/>
      <c r="O1736" s="737">
        <f t="shared" si="215"/>
        <v>0</v>
      </c>
      <c r="P1736" s="847"/>
      <c r="Q1736" s="847"/>
      <c r="R1736" s="738">
        <f t="shared" si="218"/>
        <v>0</v>
      </c>
      <c r="S1736" s="737">
        <f t="shared" si="219"/>
        <v>0</v>
      </c>
      <c r="T1736" s="739">
        <f t="shared" si="220"/>
        <v>0</v>
      </c>
      <c r="U1736" s="846"/>
      <c r="V1736" s="847"/>
      <c r="W1736" s="846"/>
      <c r="X1736" s="846"/>
      <c r="Y1736" s="740">
        <f t="shared" si="216"/>
        <v>0</v>
      </c>
      <c r="Z1736" s="847"/>
      <c r="AA1736" s="847"/>
      <c r="AB1736" s="741">
        <f t="shared" si="217"/>
        <v>0</v>
      </c>
      <c r="AC1736" s="846"/>
      <c r="AD1736" s="847"/>
      <c r="AE1736" s="846"/>
      <c r="AF1736" s="846"/>
      <c r="AG1736" s="847"/>
      <c r="AH1736" s="847"/>
      <c r="AI1736" s="742">
        <f t="shared" si="221"/>
        <v>0</v>
      </c>
      <c r="AJ1736" s="743">
        <f t="shared" si="222"/>
        <v>0</v>
      </c>
    </row>
    <row r="1737" spans="1:36">
      <c r="A1737" s="977" t="s">
        <v>153</v>
      </c>
      <c r="B1737" s="978" t="s">
        <v>209</v>
      </c>
      <c r="C1737" s="979" t="s">
        <v>522</v>
      </c>
      <c r="D1737" s="984"/>
      <c r="E1737" s="982"/>
      <c r="F1737" s="983"/>
      <c r="G1737" s="846"/>
      <c r="H1737" s="847"/>
      <c r="I1737" s="846"/>
      <c r="J1737" s="847"/>
      <c r="K1737" s="846"/>
      <c r="L1737" s="847"/>
      <c r="M1737" s="846"/>
      <c r="N1737" s="846"/>
      <c r="O1737" s="737">
        <f t="shared" si="215"/>
        <v>0</v>
      </c>
      <c r="P1737" s="847"/>
      <c r="Q1737" s="847"/>
      <c r="R1737" s="738">
        <f t="shared" si="218"/>
        <v>0</v>
      </c>
      <c r="S1737" s="737">
        <f t="shared" si="219"/>
        <v>0</v>
      </c>
      <c r="T1737" s="739">
        <f t="shared" si="220"/>
        <v>0</v>
      </c>
      <c r="U1737" s="846"/>
      <c r="V1737" s="847"/>
      <c r="W1737" s="846"/>
      <c r="X1737" s="846"/>
      <c r="Y1737" s="740">
        <f t="shared" si="216"/>
        <v>0</v>
      </c>
      <c r="Z1737" s="847"/>
      <c r="AA1737" s="847"/>
      <c r="AB1737" s="741">
        <f t="shared" si="217"/>
        <v>0</v>
      </c>
      <c r="AC1737" s="846"/>
      <c r="AD1737" s="847"/>
      <c r="AE1737" s="846"/>
      <c r="AF1737" s="846"/>
      <c r="AG1737" s="847"/>
      <c r="AH1737" s="847"/>
      <c r="AI1737" s="742">
        <f t="shared" si="221"/>
        <v>0</v>
      </c>
      <c r="AJ1737" s="743">
        <f t="shared" si="222"/>
        <v>0</v>
      </c>
    </row>
    <row r="1738" spans="1:36">
      <c r="A1738" s="977" t="s">
        <v>153</v>
      </c>
      <c r="B1738" s="978" t="s">
        <v>210</v>
      </c>
      <c r="C1738" s="979" t="s">
        <v>311</v>
      </c>
      <c r="D1738" s="984"/>
      <c r="E1738" s="982"/>
      <c r="F1738" s="983"/>
      <c r="G1738" s="846"/>
      <c r="H1738" s="847"/>
      <c r="I1738" s="846"/>
      <c r="J1738" s="847"/>
      <c r="K1738" s="846"/>
      <c r="L1738" s="847"/>
      <c r="M1738" s="846"/>
      <c r="N1738" s="846"/>
      <c r="O1738" s="737">
        <f t="shared" ref="O1738:O1801" si="223">SUM(M1738:N1738)</f>
        <v>0</v>
      </c>
      <c r="P1738" s="847"/>
      <c r="Q1738" s="847"/>
      <c r="R1738" s="738">
        <f t="shared" si="218"/>
        <v>0</v>
      </c>
      <c r="S1738" s="737">
        <f t="shared" si="219"/>
        <v>0</v>
      </c>
      <c r="T1738" s="739">
        <f t="shared" si="220"/>
        <v>0</v>
      </c>
      <c r="U1738" s="846"/>
      <c r="V1738" s="847"/>
      <c r="W1738" s="846"/>
      <c r="X1738" s="846"/>
      <c r="Y1738" s="740">
        <f t="shared" ref="Y1738:Y1801" si="224">SUM(W1738:X1738)</f>
        <v>0</v>
      </c>
      <c r="Z1738" s="847"/>
      <c r="AA1738" s="847"/>
      <c r="AB1738" s="741">
        <f t="shared" ref="AB1738:AB1801" si="225">SUM(Z1738:AA1738)</f>
        <v>0</v>
      </c>
      <c r="AC1738" s="846"/>
      <c r="AD1738" s="847"/>
      <c r="AE1738" s="846"/>
      <c r="AF1738" s="846"/>
      <c r="AG1738" s="847"/>
      <c r="AH1738" s="847"/>
      <c r="AI1738" s="742">
        <f t="shared" si="221"/>
        <v>0</v>
      </c>
      <c r="AJ1738" s="743">
        <f t="shared" si="222"/>
        <v>0</v>
      </c>
    </row>
    <row r="1739" spans="1:36">
      <c r="A1739" s="977" t="s">
        <v>153</v>
      </c>
      <c r="B1739" s="978" t="s">
        <v>251</v>
      </c>
      <c r="C1739" s="979" t="s">
        <v>249</v>
      </c>
      <c r="D1739" s="984"/>
      <c r="E1739" s="982"/>
      <c r="F1739" s="983"/>
      <c r="G1739" s="846"/>
      <c r="H1739" s="847"/>
      <c r="I1739" s="846"/>
      <c r="J1739" s="847"/>
      <c r="K1739" s="846"/>
      <c r="L1739" s="847"/>
      <c r="M1739" s="846"/>
      <c r="N1739" s="846"/>
      <c r="O1739" s="737">
        <f t="shared" si="223"/>
        <v>0</v>
      </c>
      <c r="P1739" s="847"/>
      <c r="Q1739" s="847"/>
      <c r="R1739" s="738">
        <f t="shared" ref="R1739:R1802" si="226">SUM(P1739:Q1739)</f>
        <v>0</v>
      </c>
      <c r="S1739" s="737">
        <f t="shared" ref="S1739:S1802" si="227">SUM(G1739,I1739,K1739,M1739)</f>
        <v>0</v>
      </c>
      <c r="T1739" s="739">
        <f t="shared" ref="T1739:T1802" si="228">SUM(H1739,J1739,L1739,P1739)</f>
        <v>0</v>
      </c>
      <c r="U1739" s="846"/>
      <c r="V1739" s="847"/>
      <c r="W1739" s="846"/>
      <c r="X1739" s="846"/>
      <c r="Y1739" s="740">
        <f t="shared" si="224"/>
        <v>0</v>
      </c>
      <c r="Z1739" s="847"/>
      <c r="AA1739" s="847"/>
      <c r="AB1739" s="741">
        <f t="shared" si="225"/>
        <v>0</v>
      </c>
      <c r="AC1739" s="846"/>
      <c r="AD1739" s="847"/>
      <c r="AE1739" s="846"/>
      <c r="AF1739" s="846"/>
      <c r="AG1739" s="847"/>
      <c r="AH1739" s="847"/>
      <c r="AI1739" s="742">
        <f t="shared" ref="AI1739:AI1802" si="229">SUM(S1739,U1739,W1739,AC1739,AE1739)</f>
        <v>0</v>
      </c>
      <c r="AJ1739" s="743">
        <f t="shared" ref="AJ1739:AJ1802" si="230">SUM(T1739,V1739,Z1739,AD1739,AG1739)</f>
        <v>0</v>
      </c>
    </row>
    <row r="1740" spans="1:36">
      <c r="A1740" s="977" t="s">
        <v>153</v>
      </c>
      <c r="B1740" s="978" t="s">
        <v>205</v>
      </c>
      <c r="C1740" s="979" t="s">
        <v>523</v>
      </c>
      <c r="D1740" s="984"/>
      <c r="E1740" s="982"/>
      <c r="F1740" s="983"/>
      <c r="G1740" s="846"/>
      <c r="H1740" s="847"/>
      <c r="I1740" s="846"/>
      <c r="J1740" s="847"/>
      <c r="K1740" s="846"/>
      <c r="L1740" s="847"/>
      <c r="M1740" s="846"/>
      <c r="N1740" s="846"/>
      <c r="O1740" s="737">
        <f t="shared" si="223"/>
        <v>0</v>
      </c>
      <c r="P1740" s="847"/>
      <c r="Q1740" s="847"/>
      <c r="R1740" s="738">
        <f t="shared" si="226"/>
        <v>0</v>
      </c>
      <c r="S1740" s="737">
        <f t="shared" si="227"/>
        <v>0</v>
      </c>
      <c r="T1740" s="739">
        <f t="shared" si="228"/>
        <v>0</v>
      </c>
      <c r="U1740" s="846"/>
      <c r="V1740" s="847"/>
      <c r="W1740" s="846"/>
      <c r="X1740" s="846"/>
      <c r="Y1740" s="740">
        <f t="shared" si="224"/>
        <v>0</v>
      </c>
      <c r="Z1740" s="847"/>
      <c r="AA1740" s="847"/>
      <c r="AB1740" s="741">
        <f t="shared" si="225"/>
        <v>0</v>
      </c>
      <c r="AC1740" s="846"/>
      <c r="AD1740" s="847"/>
      <c r="AE1740" s="846"/>
      <c r="AF1740" s="846"/>
      <c r="AG1740" s="847"/>
      <c r="AH1740" s="847"/>
      <c r="AI1740" s="742">
        <f t="shared" si="229"/>
        <v>0</v>
      </c>
      <c r="AJ1740" s="743">
        <f t="shared" si="230"/>
        <v>0</v>
      </c>
    </row>
    <row r="1741" spans="1:36">
      <c r="A1741" s="977" t="s">
        <v>153</v>
      </c>
      <c r="B1741" s="978" t="s">
        <v>218</v>
      </c>
      <c r="C1741" s="979" t="s">
        <v>311</v>
      </c>
      <c r="D1741" s="984"/>
      <c r="E1741" s="982"/>
      <c r="F1741" s="983"/>
      <c r="G1741" s="846"/>
      <c r="H1741" s="847"/>
      <c r="I1741" s="846"/>
      <c r="J1741" s="847"/>
      <c r="K1741" s="846"/>
      <c r="L1741" s="847"/>
      <c r="M1741" s="846"/>
      <c r="N1741" s="846"/>
      <c r="O1741" s="737">
        <f t="shared" si="223"/>
        <v>0</v>
      </c>
      <c r="P1741" s="847"/>
      <c r="Q1741" s="847"/>
      <c r="R1741" s="738">
        <f t="shared" si="226"/>
        <v>0</v>
      </c>
      <c r="S1741" s="737">
        <f t="shared" si="227"/>
        <v>0</v>
      </c>
      <c r="T1741" s="739">
        <f t="shared" si="228"/>
        <v>0</v>
      </c>
      <c r="U1741" s="846"/>
      <c r="V1741" s="847"/>
      <c r="W1741" s="846"/>
      <c r="X1741" s="846"/>
      <c r="Y1741" s="740">
        <f t="shared" si="224"/>
        <v>0</v>
      </c>
      <c r="Z1741" s="847"/>
      <c r="AA1741" s="847"/>
      <c r="AB1741" s="741">
        <f t="shared" si="225"/>
        <v>0</v>
      </c>
      <c r="AC1741" s="846"/>
      <c r="AD1741" s="847"/>
      <c r="AE1741" s="846"/>
      <c r="AF1741" s="846"/>
      <c r="AG1741" s="847"/>
      <c r="AH1741" s="847"/>
      <c r="AI1741" s="742">
        <f t="shared" si="229"/>
        <v>0</v>
      </c>
      <c r="AJ1741" s="743">
        <f t="shared" si="230"/>
        <v>0</v>
      </c>
    </row>
    <row r="1742" spans="1:36">
      <c r="A1742" s="977" t="s">
        <v>153</v>
      </c>
      <c r="B1742" s="978" t="s">
        <v>251</v>
      </c>
      <c r="C1742" s="979" t="s">
        <v>249</v>
      </c>
      <c r="D1742" s="984"/>
      <c r="E1742" s="982"/>
      <c r="F1742" s="983"/>
      <c r="G1742" s="846"/>
      <c r="H1742" s="847"/>
      <c r="I1742" s="846"/>
      <c r="J1742" s="847"/>
      <c r="K1742" s="846"/>
      <c r="L1742" s="847"/>
      <c r="M1742" s="846"/>
      <c r="N1742" s="846"/>
      <c r="O1742" s="737">
        <f t="shared" si="223"/>
        <v>0</v>
      </c>
      <c r="P1742" s="847"/>
      <c r="Q1742" s="847"/>
      <c r="R1742" s="738">
        <f t="shared" si="226"/>
        <v>0</v>
      </c>
      <c r="S1742" s="737">
        <f t="shared" si="227"/>
        <v>0</v>
      </c>
      <c r="T1742" s="739">
        <f t="shared" si="228"/>
        <v>0</v>
      </c>
      <c r="U1742" s="846"/>
      <c r="V1742" s="847"/>
      <c r="W1742" s="846"/>
      <c r="X1742" s="846"/>
      <c r="Y1742" s="740">
        <f t="shared" si="224"/>
        <v>0</v>
      </c>
      <c r="Z1742" s="847"/>
      <c r="AA1742" s="847"/>
      <c r="AB1742" s="741">
        <f t="shared" si="225"/>
        <v>0</v>
      </c>
      <c r="AC1742" s="846"/>
      <c r="AD1742" s="847"/>
      <c r="AE1742" s="846"/>
      <c r="AF1742" s="846"/>
      <c r="AG1742" s="847"/>
      <c r="AH1742" s="847"/>
      <c r="AI1742" s="742">
        <f t="shared" si="229"/>
        <v>0</v>
      </c>
      <c r="AJ1742" s="743">
        <f t="shared" si="230"/>
        <v>0</v>
      </c>
    </row>
    <row r="1743" spans="1:36">
      <c r="A1743" s="977" t="s">
        <v>153</v>
      </c>
      <c r="B1743" s="978" t="s">
        <v>292</v>
      </c>
      <c r="C1743" s="980" t="s">
        <v>751</v>
      </c>
      <c r="D1743" s="981"/>
      <c r="E1743" s="982"/>
      <c r="F1743" s="983"/>
      <c r="G1743" s="846"/>
      <c r="H1743" s="847"/>
      <c r="I1743" s="846"/>
      <c r="J1743" s="847"/>
      <c r="K1743" s="846"/>
      <c r="L1743" s="847"/>
      <c r="M1743" s="846"/>
      <c r="N1743" s="846"/>
      <c r="O1743" s="737">
        <f t="shared" si="223"/>
        <v>0</v>
      </c>
      <c r="P1743" s="847"/>
      <c r="Q1743" s="847"/>
      <c r="R1743" s="738">
        <f t="shared" si="226"/>
        <v>0</v>
      </c>
      <c r="S1743" s="737">
        <f t="shared" si="227"/>
        <v>0</v>
      </c>
      <c r="T1743" s="739">
        <f t="shared" si="228"/>
        <v>0</v>
      </c>
      <c r="U1743" s="846"/>
      <c r="V1743" s="847"/>
      <c r="W1743" s="846"/>
      <c r="X1743" s="846"/>
      <c r="Y1743" s="740">
        <f t="shared" si="224"/>
        <v>0</v>
      </c>
      <c r="Z1743" s="847"/>
      <c r="AA1743" s="847"/>
      <c r="AB1743" s="741">
        <f t="shared" si="225"/>
        <v>0</v>
      </c>
      <c r="AC1743" s="846"/>
      <c r="AD1743" s="847"/>
      <c r="AE1743" s="846"/>
      <c r="AF1743" s="846"/>
      <c r="AG1743" s="847"/>
      <c r="AH1743" s="847"/>
      <c r="AI1743" s="742">
        <f t="shared" si="229"/>
        <v>0</v>
      </c>
      <c r="AJ1743" s="743">
        <f t="shared" si="230"/>
        <v>0</v>
      </c>
    </row>
    <row r="1744" spans="1:36">
      <c r="A1744" s="977" t="s">
        <v>153</v>
      </c>
      <c r="B1744" s="978" t="s">
        <v>310</v>
      </c>
      <c r="C1744" s="979" t="s">
        <v>311</v>
      </c>
      <c r="D1744" s="984"/>
      <c r="E1744" s="982"/>
      <c r="F1744" s="983"/>
      <c r="G1744" s="846"/>
      <c r="H1744" s="847"/>
      <c r="I1744" s="846"/>
      <c r="J1744" s="847"/>
      <c r="K1744" s="846"/>
      <c r="L1744" s="847"/>
      <c r="M1744" s="846"/>
      <c r="N1744" s="846"/>
      <c r="O1744" s="737">
        <f t="shared" si="223"/>
        <v>0</v>
      </c>
      <c r="P1744" s="847"/>
      <c r="Q1744" s="847"/>
      <c r="R1744" s="738">
        <f t="shared" si="226"/>
        <v>0</v>
      </c>
      <c r="S1744" s="737">
        <f t="shared" si="227"/>
        <v>0</v>
      </c>
      <c r="T1744" s="739">
        <f t="shared" si="228"/>
        <v>0</v>
      </c>
      <c r="U1744" s="846"/>
      <c r="V1744" s="847"/>
      <c r="W1744" s="846"/>
      <c r="X1744" s="846"/>
      <c r="Y1744" s="740">
        <f t="shared" si="224"/>
        <v>0</v>
      </c>
      <c r="Z1744" s="847"/>
      <c r="AA1744" s="847"/>
      <c r="AB1744" s="741">
        <f t="shared" si="225"/>
        <v>0</v>
      </c>
      <c r="AC1744" s="846"/>
      <c r="AD1744" s="847"/>
      <c r="AE1744" s="846"/>
      <c r="AF1744" s="846"/>
      <c r="AG1744" s="847"/>
      <c r="AH1744" s="847"/>
      <c r="AI1744" s="742">
        <f t="shared" si="229"/>
        <v>0</v>
      </c>
      <c r="AJ1744" s="743">
        <f t="shared" si="230"/>
        <v>0</v>
      </c>
    </row>
    <row r="1745" spans="1:36">
      <c r="A1745" s="977" t="s">
        <v>153</v>
      </c>
      <c r="B1745" s="978" t="s">
        <v>251</v>
      </c>
      <c r="C1745" s="979" t="s">
        <v>249</v>
      </c>
      <c r="D1745" s="984"/>
      <c r="E1745" s="982"/>
      <c r="F1745" s="983"/>
      <c r="G1745" s="846"/>
      <c r="H1745" s="847"/>
      <c r="I1745" s="846"/>
      <c r="J1745" s="847"/>
      <c r="K1745" s="846"/>
      <c r="L1745" s="847"/>
      <c r="M1745" s="846"/>
      <c r="N1745" s="846"/>
      <c r="O1745" s="737">
        <f t="shared" si="223"/>
        <v>0</v>
      </c>
      <c r="P1745" s="847"/>
      <c r="Q1745" s="847"/>
      <c r="R1745" s="738">
        <f t="shared" si="226"/>
        <v>0</v>
      </c>
      <c r="S1745" s="737">
        <f t="shared" si="227"/>
        <v>0</v>
      </c>
      <c r="T1745" s="739">
        <f t="shared" si="228"/>
        <v>0</v>
      </c>
      <c r="U1745" s="846"/>
      <c r="V1745" s="847"/>
      <c r="W1745" s="846"/>
      <c r="X1745" s="846"/>
      <c r="Y1745" s="740">
        <f t="shared" si="224"/>
        <v>0</v>
      </c>
      <c r="Z1745" s="847"/>
      <c r="AA1745" s="847"/>
      <c r="AB1745" s="741">
        <f t="shared" si="225"/>
        <v>0</v>
      </c>
      <c r="AC1745" s="846"/>
      <c r="AD1745" s="847"/>
      <c r="AE1745" s="846"/>
      <c r="AF1745" s="846"/>
      <c r="AG1745" s="847"/>
      <c r="AH1745" s="847"/>
      <c r="AI1745" s="742">
        <f t="shared" si="229"/>
        <v>0</v>
      </c>
      <c r="AJ1745" s="743">
        <f t="shared" si="230"/>
        <v>0</v>
      </c>
    </row>
    <row r="1746" spans="1:36">
      <c r="A1746" s="977" t="s">
        <v>153</v>
      </c>
      <c r="B1746" s="978" t="s">
        <v>209</v>
      </c>
      <c r="C1746" s="979" t="s">
        <v>522</v>
      </c>
      <c r="D1746" s="984"/>
      <c r="E1746" s="982"/>
      <c r="F1746" s="983"/>
      <c r="G1746" s="846"/>
      <c r="H1746" s="847"/>
      <c r="I1746" s="846"/>
      <c r="J1746" s="847"/>
      <c r="K1746" s="846"/>
      <c r="L1746" s="847"/>
      <c r="M1746" s="846"/>
      <c r="N1746" s="846"/>
      <c r="O1746" s="737">
        <f t="shared" si="223"/>
        <v>0</v>
      </c>
      <c r="P1746" s="847"/>
      <c r="Q1746" s="847"/>
      <c r="R1746" s="738">
        <f t="shared" si="226"/>
        <v>0</v>
      </c>
      <c r="S1746" s="737">
        <f t="shared" si="227"/>
        <v>0</v>
      </c>
      <c r="T1746" s="739">
        <f t="shared" si="228"/>
        <v>0</v>
      </c>
      <c r="U1746" s="846"/>
      <c r="V1746" s="847"/>
      <c r="W1746" s="846"/>
      <c r="X1746" s="846"/>
      <c r="Y1746" s="740">
        <f t="shared" si="224"/>
        <v>0</v>
      </c>
      <c r="Z1746" s="847"/>
      <c r="AA1746" s="847"/>
      <c r="AB1746" s="741">
        <f t="shared" si="225"/>
        <v>0</v>
      </c>
      <c r="AC1746" s="846"/>
      <c r="AD1746" s="847"/>
      <c r="AE1746" s="846"/>
      <c r="AF1746" s="846"/>
      <c r="AG1746" s="847"/>
      <c r="AH1746" s="847"/>
      <c r="AI1746" s="742">
        <f t="shared" si="229"/>
        <v>0</v>
      </c>
      <c r="AJ1746" s="743">
        <f t="shared" si="230"/>
        <v>0</v>
      </c>
    </row>
    <row r="1747" spans="1:36">
      <c r="A1747" s="977" t="s">
        <v>153</v>
      </c>
      <c r="B1747" s="978" t="s">
        <v>210</v>
      </c>
      <c r="C1747" s="979" t="s">
        <v>311</v>
      </c>
      <c r="D1747" s="984"/>
      <c r="E1747" s="982"/>
      <c r="F1747" s="983"/>
      <c r="G1747" s="846"/>
      <c r="H1747" s="847"/>
      <c r="I1747" s="846"/>
      <c r="J1747" s="847"/>
      <c r="K1747" s="846"/>
      <c r="L1747" s="847"/>
      <c r="M1747" s="846"/>
      <c r="N1747" s="846"/>
      <c r="O1747" s="737">
        <f t="shared" si="223"/>
        <v>0</v>
      </c>
      <c r="P1747" s="847"/>
      <c r="Q1747" s="847"/>
      <c r="R1747" s="738">
        <f t="shared" si="226"/>
        <v>0</v>
      </c>
      <c r="S1747" s="737">
        <f t="shared" si="227"/>
        <v>0</v>
      </c>
      <c r="T1747" s="739">
        <f t="shared" si="228"/>
        <v>0</v>
      </c>
      <c r="U1747" s="846"/>
      <c r="V1747" s="847"/>
      <c r="W1747" s="846"/>
      <c r="X1747" s="846"/>
      <c r="Y1747" s="740">
        <f t="shared" si="224"/>
        <v>0</v>
      </c>
      <c r="Z1747" s="847"/>
      <c r="AA1747" s="847"/>
      <c r="AB1747" s="741">
        <f t="shared" si="225"/>
        <v>0</v>
      </c>
      <c r="AC1747" s="846"/>
      <c r="AD1747" s="847"/>
      <c r="AE1747" s="846"/>
      <c r="AF1747" s="846"/>
      <c r="AG1747" s="847"/>
      <c r="AH1747" s="847"/>
      <c r="AI1747" s="742">
        <f t="shared" si="229"/>
        <v>0</v>
      </c>
      <c r="AJ1747" s="743">
        <f t="shared" si="230"/>
        <v>0</v>
      </c>
    </row>
    <row r="1748" spans="1:36">
      <c r="A1748" s="977" t="s">
        <v>153</v>
      </c>
      <c r="B1748" s="978" t="s">
        <v>251</v>
      </c>
      <c r="C1748" s="979" t="s">
        <v>249</v>
      </c>
      <c r="D1748" s="984"/>
      <c r="E1748" s="982"/>
      <c r="F1748" s="983"/>
      <c r="G1748" s="846"/>
      <c r="H1748" s="847"/>
      <c r="I1748" s="846"/>
      <c r="J1748" s="847"/>
      <c r="K1748" s="846"/>
      <c r="L1748" s="847"/>
      <c r="M1748" s="846"/>
      <c r="N1748" s="846"/>
      <c r="O1748" s="737">
        <f t="shared" si="223"/>
        <v>0</v>
      </c>
      <c r="P1748" s="847"/>
      <c r="Q1748" s="847"/>
      <c r="R1748" s="738">
        <f t="shared" si="226"/>
        <v>0</v>
      </c>
      <c r="S1748" s="737">
        <f t="shared" si="227"/>
        <v>0</v>
      </c>
      <c r="T1748" s="739">
        <f t="shared" si="228"/>
        <v>0</v>
      </c>
      <c r="U1748" s="846"/>
      <c r="V1748" s="847"/>
      <c r="W1748" s="846"/>
      <c r="X1748" s="846"/>
      <c r="Y1748" s="740">
        <f t="shared" si="224"/>
        <v>0</v>
      </c>
      <c r="Z1748" s="847"/>
      <c r="AA1748" s="847"/>
      <c r="AB1748" s="741">
        <f t="shared" si="225"/>
        <v>0</v>
      </c>
      <c r="AC1748" s="846"/>
      <c r="AD1748" s="847"/>
      <c r="AE1748" s="846"/>
      <c r="AF1748" s="846"/>
      <c r="AG1748" s="847"/>
      <c r="AH1748" s="847"/>
      <c r="AI1748" s="742">
        <f t="shared" si="229"/>
        <v>0</v>
      </c>
      <c r="AJ1748" s="743">
        <f t="shared" si="230"/>
        <v>0</v>
      </c>
    </row>
    <row r="1749" spans="1:36">
      <c r="A1749" s="977" t="s">
        <v>153</v>
      </c>
      <c r="B1749" s="978" t="s">
        <v>205</v>
      </c>
      <c r="C1749" s="979" t="s">
        <v>523</v>
      </c>
      <c r="D1749" s="984"/>
      <c r="E1749" s="982"/>
      <c r="F1749" s="983"/>
      <c r="G1749" s="846"/>
      <c r="H1749" s="847"/>
      <c r="I1749" s="846"/>
      <c r="J1749" s="847"/>
      <c r="K1749" s="846"/>
      <c r="L1749" s="847"/>
      <c r="M1749" s="846"/>
      <c r="N1749" s="846"/>
      <c r="O1749" s="737">
        <f t="shared" si="223"/>
        <v>0</v>
      </c>
      <c r="P1749" s="847"/>
      <c r="Q1749" s="847"/>
      <c r="R1749" s="738">
        <f t="shared" si="226"/>
        <v>0</v>
      </c>
      <c r="S1749" s="737">
        <f t="shared" si="227"/>
        <v>0</v>
      </c>
      <c r="T1749" s="739">
        <f t="shared" si="228"/>
        <v>0</v>
      </c>
      <c r="U1749" s="846"/>
      <c r="V1749" s="847"/>
      <c r="W1749" s="846"/>
      <c r="X1749" s="846"/>
      <c r="Y1749" s="740">
        <f t="shared" si="224"/>
        <v>0</v>
      </c>
      <c r="Z1749" s="847"/>
      <c r="AA1749" s="847"/>
      <c r="AB1749" s="741">
        <f t="shared" si="225"/>
        <v>0</v>
      </c>
      <c r="AC1749" s="846"/>
      <c r="AD1749" s="847"/>
      <c r="AE1749" s="846"/>
      <c r="AF1749" s="846"/>
      <c r="AG1749" s="847"/>
      <c r="AH1749" s="847"/>
      <c r="AI1749" s="742">
        <f t="shared" si="229"/>
        <v>0</v>
      </c>
      <c r="AJ1749" s="743">
        <f t="shared" si="230"/>
        <v>0</v>
      </c>
    </row>
    <row r="1750" spans="1:36">
      <c r="A1750" s="977" t="s">
        <v>153</v>
      </c>
      <c r="B1750" s="978" t="s">
        <v>218</v>
      </c>
      <c r="C1750" s="979" t="s">
        <v>311</v>
      </c>
      <c r="D1750" s="984"/>
      <c r="E1750" s="982"/>
      <c r="F1750" s="983"/>
      <c r="G1750" s="846"/>
      <c r="H1750" s="847"/>
      <c r="I1750" s="846"/>
      <c r="J1750" s="847"/>
      <c r="K1750" s="846"/>
      <c r="L1750" s="847"/>
      <c r="M1750" s="846"/>
      <c r="N1750" s="846"/>
      <c r="O1750" s="737">
        <f t="shared" si="223"/>
        <v>0</v>
      </c>
      <c r="P1750" s="847"/>
      <c r="Q1750" s="847"/>
      <c r="R1750" s="738">
        <f t="shared" si="226"/>
        <v>0</v>
      </c>
      <c r="S1750" s="737">
        <f t="shared" si="227"/>
        <v>0</v>
      </c>
      <c r="T1750" s="739">
        <f t="shared" si="228"/>
        <v>0</v>
      </c>
      <c r="U1750" s="846"/>
      <c r="V1750" s="847"/>
      <c r="W1750" s="846"/>
      <c r="X1750" s="846"/>
      <c r="Y1750" s="740">
        <f t="shared" si="224"/>
        <v>0</v>
      </c>
      <c r="Z1750" s="847"/>
      <c r="AA1750" s="847"/>
      <c r="AB1750" s="741">
        <f t="shared" si="225"/>
        <v>0</v>
      </c>
      <c r="AC1750" s="846"/>
      <c r="AD1750" s="847"/>
      <c r="AE1750" s="846"/>
      <c r="AF1750" s="846"/>
      <c r="AG1750" s="847"/>
      <c r="AH1750" s="847"/>
      <c r="AI1750" s="742">
        <f t="shared" si="229"/>
        <v>0</v>
      </c>
      <c r="AJ1750" s="743">
        <f t="shared" si="230"/>
        <v>0</v>
      </c>
    </row>
    <row r="1751" spans="1:36">
      <c r="A1751" s="977" t="s">
        <v>153</v>
      </c>
      <c r="B1751" s="978" t="s">
        <v>251</v>
      </c>
      <c r="C1751" s="979" t="s">
        <v>249</v>
      </c>
      <c r="D1751" s="984"/>
      <c r="E1751" s="982"/>
      <c r="F1751" s="983"/>
      <c r="G1751" s="846"/>
      <c r="H1751" s="847"/>
      <c r="I1751" s="846"/>
      <c r="J1751" s="847"/>
      <c r="K1751" s="846"/>
      <c r="L1751" s="847"/>
      <c r="M1751" s="846"/>
      <c r="N1751" s="846"/>
      <c r="O1751" s="737">
        <f t="shared" si="223"/>
        <v>0</v>
      </c>
      <c r="P1751" s="847"/>
      <c r="Q1751" s="847"/>
      <c r="R1751" s="738">
        <f t="shared" si="226"/>
        <v>0</v>
      </c>
      <c r="S1751" s="737">
        <f t="shared" si="227"/>
        <v>0</v>
      </c>
      <c r="T1751" s="739">
        <f t="shared" si="228"/>
        <v>0</v>
      </c>
      <c r="U1751" s="846"/>
      <c r="V1751" s="847"/>
      <c r="W1751" s="846"/>
      <c r="X1751" s="846"/>
      <c r="Y1751" s="740">
        <f t="shared" si="224"/>
        <v>0</v>
      </c>
      <c r="Z1751" s="847"/>
      <c r="AA1751" s="847"/>
      <c r="AB1751" s="741">
        <f t="shared" si="225"/>
        <v>0</v>
      </c>
      <c r="AC1751" s="846"/>
      <c r="AD1751" s="847"/>
      <c r="AE1751" s="846"/>
      <c r="AF1751" s="846"/>
      <c r="AG1751" s="847"/>
      <c r="AH1751" s="847"/>
      <c r="AI1751" s="742">
        <f t="shared" si="229"/>
        <v>0</v>
      </c>
      <c r="AJ1751" s="743">
        <f t="shared" si="230"/>
        <v>0</v>
      </c>
    </row>
    <row r="1752" spans="1:36">
      <c r="A1752" s="950" t="s">
        <v>153</v>
      </c>
      <c r="B1752" s="951" t="s">
        <v>292</v>
      </c>
      <c r="C1752" s="973" t="s">
        <v>752</v>
      </c>
      <c r="D1752" s="957"/>
      <c r="E1752" s="969"/>
      <c r="F1752" s="970"/>
      <c r="G1752" s="846"/>
      <c r="H1752" s="847"/>
      <c r="I1752" s="846"/>
      <c r="J1752" s="847"/>
      <c r="K1752" s="846"/>
      <c r="L1752" s="847"/>
      <c r="M1752" s="846"/>
      <c r="N1752" s="846"/>
      <c r="O1752" s="737">
        <f t="shared" si="223"/>
        <v>0</v>
      </c>
      <c r="P1752" s="847"/>
      <c r="Q1752" s="847"/>
      <c r="R1752" s="738">
        <f t="shared" si="226"/>
        <v>0</v>
      </c>
      <c r="S1752" s="737">
        <f t="shared" si="227"/>
        <v>0</v>
      </c>
      <c r="T1752" s="739">
        <f t="shared" si="228"/>
        <v>0</v>
      </c>
      <c r="U1752" s="846"/>
      <c r="V1752" s="847"/>
      <c r="W1752" s="846"/>
      <c r="X1752" s="846"/>
      <c r="Y1752" s="740">
        <f t="shared" si="224"/>
        <v>0</v>
      </c>
      <c r="Z1752" s="847"/>
      <c r="AA1752" s="847"/>
      <c r="AB1752" s="741">
        <f t="shared" si="225"/>
        <v>0</v>
      </c>
      <c r="AC1752" s="846"/>
      <c r="AD1752" s="847"/>
      <c r="AE1752" s="846"/>
      <c r="AF1752" s="846"/>
      <c r="AG1752" s="847"/>
      <c r="AH1752" s="847"/>
      <c r="AI1752" s="742">
        <f t="shared" si="229"/>
        <v>0</v>
      </c>
      <c r="AJ1752" s="743">
        <f t="shared" si="230"/>
        <v>0</v>
      </c>
    </row>
    <row r="1753" spans="1:36">
      <c r="A1753" s="950" t="s">
        <v>153</v>
      </c>
      <c r="B1753" s="951" t="s">
        <v>310</v>
      </c>
      <c r="C1753" s="974" t="s">
        <v>311</v>
      </c>
      <c r="D1753" s="975"/>
      <c r="E1753" s="969"/>
      <c r="F1753" s="970"/>
      <c r="G1753" s="846"/>
      <c r="H1753" s="847"/>
      <c r="I1753" s="846"/>
      <c r="J1753" s="847"/>
      <c r="K1753" s="846"/>
      <c r="L1753" s="847"/>
      <c r="M1753" s="846"/>
      <c r="N1753" s="846"/>
      <c r="O1753" s="737">
        <f t="shared" si="223"/>
        <v>0</v>
      </c>
      <c r="P1753" s="847"/>
      <c r="Q1753" s="847"/>
      <c r="R1753" s="738">
        <f t="shared" si="226"/>
        <v>0</v>
      </c>
      <c r="S1753" s="737">
        <f t="shared" si="227"/>
        <v>0</v>
      </c>
      <c r="T1753" s="739">
        <f t="shared" si="228"/>
        <v>0</v>
      </c>
      <c r="U1753" s="846"/>
      <c r="V1753" s="847"/>
      <c r="W1753" s="846"/>
      <c r="X1753" s="846"/>
      <c r="Y1753" s="740">
        <f t="shared" si="224"/>
        <v>0</v>
      </c>
      <c r="Z1753" s="847"/>
      <c r="AA1753" s="847"/>
      <c r="AB1753" s="741">
        <f t="shared" si="225"/>
        <v>0</v>
      </c>
      <c r="AC1753" s="846"/>
      <c r="AD1753" s="847"/>
      <c r="AE1753" s="846"/>
      <c r="AF1753" s="846"/>
      <c r="AG1753" s="847"/>
      <c r="AH1753" s="847"/>
      <c r="AI1753" s="742">
        <f t="shared" si="229"/>
        <v>0</v>
      </c>
      <c r="AJ1753" s="743">
        <f t="shared" si="230"/>
        <v>0</v>
      </c>
    </row>
    <row r="1754" spans="1:36">
      <c r="A1754" s="950" t="s">
        <v>153</v>
      </c>
      <c r="B1754" s="951" t="s">
        <v>251</v>
      </c>
      <c r="C1754" s="974" t="s">
        <v>249</v>
      </c>
      <c r="D1754" s="975"/>
      <c r="E1754" s="969"/>
      <c r="F1754" s="970"/>
      <c r="G1754" s="846"/>
      <c r="H1754" s="847"/>
      <c r="I1754" s="846"/>
      <c r="J1754" s="847"/>
      <c r="K1754" s="846"/>
      <c r="L1754" s="847"/>
      <c r="M1754" s="846"/>
      <c r="N1754" s="846"/>
      <c r="O1754" s="737">
        <f t="shared" si="223"/>
        <v>0</v>
      </c>
      <c r="P1754" s="847"/>
      <c r="Q1754" s="847"/>
      <c r="R1754" s="738">
        <f t="shared" si="226"/>
        <v>0</v>
      </c>
      <c r="S1754" s="737">
        <f t="shared" si="227"/>
        <v>0</v>
      </c>
      <c r="T1754" s="739">
        <f t="shared" si="228"/>
        <v>0</v>
      </c>
      <c r="U1754" s="846"/>
      <c r="V1754" s="847"/>
      <c r="W1754" s="846"/>
      <c r="X1754" s="846"/>
      <c r="Y1754" s="740">
        <f t="shared" si="224"/>
        <v>0</v>
      </c>
      <c r="Z1754" s="847"/>
      <c r="AA1754" s="847"/>
      <c r="AB1754" s="741">
        <f t="shared" si="225"/>
        <v>0</v>
      </c>
      <c r="AC1754" s="846"/>
      <c r="AD1754" s="847"/>
      <c r="AE1754" s="846"/>
      <c r="AF1754" s="846"/>
      <c r="AG1754" s="847"/>
      <c r="AH1754" s="847"/>
      <c r="AI1754" s="742">
        <f t="shared" si="229"/>
        <v>0</v>
      </c>
      <c r="AJ1754" s="743">
        <f t="shared" si="230"/>
        <v>0</v>
      </c>
    </row>
    <row r="1755" spans="1:36">
      <c r="A1755" s="950" t="s">
        <v>153</v>
      </c>
      <c r="B1755" s="951" t="s">
        <v>209</v>
      </c>
      <c r="C1755" s="974" t="s">
        <v>522</v>
      </c>
      <c r="D1755" s="975"/>
      <c r="E1755" s="969"/>
      <c r="F1755" s="970"/>
      <c r="G1755" s="846"/>
      <c r="H1755" s="847"/>
      <c r="I1755" s="846"/>
      <c r="J1755" s="847"/>
      <c r="K1755" s="846"/>
      <c r="L1755" s="847"/>
      <c r="M1755" s="846"/>
      <c r="N1755" s="846"/>
      <c r="O1755" s="737">
        <f t="shared" si="223"/>
        <v>0</v>
      </c>
      <c r="P1755" s="847"/>
      <c r="Q1755" s="847"/>
      <c r="R1755" s="738">
        <f t="shared" si="226"/>
        <v>0</v>
      </c>
      <c r="S1755" s="737">
        <f t="shared" si="227"/>
        <v>0</v>
      </c>
      <c r="T1755" s="739">
        <f t="shared" si="228"/>
        <v>0</v>
      </c>
      <c r="U1755" s="846"/>
      <c r="V1755" s="847"/>
      <c r="W1755" s="846"/>
      <c r="X1755" s="846"/>
      <c r="Y1755" s="740">
        <f t="shared" si="224"/>
        <v>0</v>
      </c>
      <c r="Z1755" s="847"/>
      <c r="AA1755" s="847"/>
      <c r="AB1755" s="741">
        <f t="shared" si="225"/>
        <v>0</v>
      </c>
      <c r="AC1755" s="846"/>
      <c r="AD1755" s="847"/>
      <c r="AE1755" s="846"/>
      <c r="AF1755" s="846"/>
      <c r="AG1755" s="847"/>
      <c r="AH1755" s="847"/>
      <c r="AI1755" s="742">
        <f t="shared" si="229"/>
        <v>0</v>
      </c>
      <c r="AJ1755" s="743">
        <f t="shared" si="230"/>
        <v>0</v>
      </c>
    </row>
    <row r="1756" spans="1:36">
      <c r="A1756" s="950" t="s">
        <v>153</v>
      </c>
      <c r="B1756" s="951" t="s">
        <v>210</v>
      </c>
      <c r="C1756" s="974" t="s">
        <v>311</v>
      </c>
      <c r="D1756" s="975"/>
      <c r="E1756" s="969"/>
      <c r="F1756" s="970"/>
      <c r="G1756" s="846"/>
      <c r="H1756" s="847"/>
      <c r="I1756" s="846"/>
      <c r="J1756" s="847"/>
      <c r="K1756" s="846"/>
      <c r="L1756" s="847"/>
      <c r="M1756" s="846"/>
      <c r="N1756" s="846"/>
      <c r="O1756" s="737">
        <f t="shared" si="223"/>
        <v>0</v>
      </c>
      <c r="P1756" s="847"/>
      <c r="Q1756" s="847"/>
      <c r="R1756" s="738">
        <f t="shared" si="226"/>
        <v>0</v>
      </c>
      <c r="S1756" s="737">
        <f t="shared" si="227"/>
        <v>0</v>
      </c>
      <c r="T1756" s="739">
        <f t="shared" si="228"/>
        <v>0</v>
      </c>
      <c r="U1756" s="846"/>
      <c r="V1756" s="847"/>
      <c r="W1756" s="846"/>
      <c r="X1756" s="846"/>
      <c r="Y1756" s="740">
        <f t="shared" si="224"/>
        <v>0</v>
      </c>
      <c r="Z1756" s="847"/>
      <c r="AA1756" s="847"/>
      <c r="AB1756" s="741">
        <f t="shared" si="225"/>
        <v>0</v>
      </c>
      <c r="AC1756" s="846"/>
      <c r="AD1756" s="847"/>
      <c r="AE1756" s="846"/>
      <c r="AF1756" s="846"/>
      <c r="AG1756" s="847"/>
      <c r="AH1756" s="847"/>
      <c r="AI1756" s="742">
        <f t="shared" si="229"/>
        <v>0</v>
      </c>
      <c r="AJ1756" s="743">
        <f t="shared" si="230"/>
        <v>0</v>
      </c>
    </row>
    <row r="1757" spans="1:36">
      <c r="A1757" s="950" t="s">
        <v>153</v>
      </c>
      <c r="B1757" s="951" t="s">
        <v>251</v>
      </c>
      <c r="C1757" s="974" t="s">
        <v>249</v>
      </c>
      <c r="D1757" s="975"/>
      <c r="E1757" s="969"/>
      <c r="F1757" s="970"/>
      <c r="G1757" s="846"/>
      <c r="H1757" s="847"/>
      <c r="I1757" s="846"/>
      <c r="J1757" s="847"/>
      <c r="K1757" s="846"/>
      <c r="L1757" s="847"/>
      <c r="M1757" s="846"/>
      <c r="N1757" s="846"/>
      <c r="O1757" s="737">
        <f t="shared" si="223"/>
        <v>0</v>
      </c>
      <c r="P1757" s="847"/>
      <c r="Q1757" s="847"/>
      <c r="R1757" s="738">
        <f t="shared" si="226"/>
        <v>0</v>
      </c>
      <c r="S1757" s="737">
        <f t="shared" si="227"/>
        <v>0</v>
      </c>
      <c r="T1757" s="739">
        <f t="shared" si="228"/>
        <v>0</v>
      </c>
      <c r="U1757" s="846"/>
      <c r="V1757" s="847"/>
      <c r="W1757" s="846"/>
      <c r="X1757" s="846"/>
      <c r="Y1757" s="740">
        <f t="shared" si="224"/>
        <v>0</v>
      </c>
      <c r="Z1757" s="847"/>
      <c r="AA1757" s="847"/>
      <c r="AB1757" s="741">
        <f t="shared" si="225"/>
        <v>0</v>
      </c>
      <c r="AC1757" s="846"/>
      <c r="AD1757" s="847"/>
      <c r="AE1757" s="846"/>
      <c r="AF1757" s="846"/>
      <c r="AG1757" s="847"/>
      <c r="AH1757" s="847"/>
      <c r="AI1757" s="742">
        <f t="shared" si="229"/>
        <v>0</v>
      </c>
      <c r="AJ1757" s="743">
        <f t="shared" si="230"/>
        <v>0</v>
      </c>
    </row>
    <row r="1758" spans="1:36">
      <c r="A1758" s="950" t="s">
        <v>153</v>
      </c>
      <c r="B1758" s="951" t="s">
        <v>205</v>
      </c>
      <c r="C1758" s="974" t="s">
        <v>523</v>
      </c>
      <c r="D1758" s="975"/>
      <c r="E1758" s="969"/>
      <c r="F1758" s="970"/>
      <c r="G1758" s="846"/>
      <c r="H1758" s="847"/>
      <c r="I1758" s="846"/>
      <c r="J1758" s="847"/>
      <c r="K1758" s="846"/>
      <c r="L1758" s="847"/>
      <c r="M1758" s="846"/>
      <c r="N1758" s="846"/>
      <c r="O1758" s="737">
        <f t="shared" si="223"/>
        <v>0</v>
      </c>
      <c r="P1758" s="847"/>
      <c r="Q1758" s="847"/>
      <c r="R1758" s="738">
        <f t="shared" si="226"/>
        <v>0</v>
      </c>
      <c r="S1758" s="737">
        <f t="shared" si="227"/>
        <v>0</v>
      </c>
      <c r="T1758" s="739">
        <f t="shared" si="228"/>
        <v>0</v>
      </c>
      <c r="U1758" s="846"/>
      <c r="V1758" s="847"/>
      <c r="W1758" s="846"/>
      <c r="X1758" s="846"/>
      <c r="Y1758" s="740">
        <f t="shared" si="224"/>
        <v>0</v>
      </c>
      <c r="Z1758" s="847"/>
      <c r="AA1758" s="847"/>
      <c r="AB1758" s="741">
        <f t="shared" si="225"/>
        <v>0</v>
      </c>
      <c r="AC1758" s="846"/>
      <c r="AD1758" s="847"/>
      <c r="AE1758" s="846"/>
      <c r="AF1758" s="846"/>
      <c r="AG1758" s="847"/>
      <c r="AH1758" s="847"/>
      <c r="AI1758" s="742">
        <f t="shared" si="229"/>
        <v>0</v>
      </c>
      <c r="AJ1758" s="743">
        <f t="shared" si="230"/>
        <v>0</v>
      </c>
    </row>
    <row r="1759" spans="1:36">
      <c r="A1759" s="950" t="s">
        <v>153</v>
      </c>
      <c r="B1759" s="951" t="s">
        <v>218</v>
      </c>
      <c r="C1759" s="974" t="s">
        <v>311</v>
      </c>
      <c r="D1759" s="975"/>
      <c r="E1759" s="969"/>
      <c r="F1759" s="970"/>
      <c r="G1759" s="846"/>
      <c r="H1759" s="847"/>
      <c r="I1759" s="846"/>
      <c r="J1759" s="847"/>
      <c r="K1759" s="846"/>
      <c r="L1759" s="847"/>
      <c r="M1759" s="846"/>
      <c r="N1759" s="846"/>
      <c r="O1759" s="737">
        <f t="shared" si="223"/>
        <v>0</v>
      </c>
      <c r="P1759" s="847"/>
      <c r="Q1759" s="847"/>
      <c r="R1759" s="738">
        <f t="shared" si="226"/>
        <v>0</v>
      </c>
      <c r="S1759" s="737">
        <f t="shared" si="227"/>
        <v>0</v>
      </c>
      <c r="T1759" s="739">
        <f t="shared" si="228"/>
        <v>0</v>
      </c>
      <c r="U1759" s="846"/>
      <c r="V1759" s="847"/>
      <c r="W1759" s="846"/>
      <c r="X1759" s="846"/>
      <c r="Y1759" s="740">
        <f t="shared" si="224"/>
        <v>0</v>
      </c>
      <c r="Z1759" s="847"/>
      <c r="AA1759" s="847"/>
      <c r="AB1759" s="741">
        <f t="shared" si="225"/>
        <v>0</v>
      </c>
      <c r="AC1759" s="846"/>
      <c r="AD1759" s="847"/>
      <c r="AE1759" s="846"/>
      <c r="AF1759" s="846"/>
      <c r="AG1759" s="847"/>
      <c r="AH1759" s="847"/>
      <c r="AI1759" s="742">
        <f t="shared" si="229"/>
        <v>0</v>
      </c>
      <c r="AJ1759" s="743">
        <f t="shared" si="230"/>
        <v>0</v>
      </c>
    </row>
    <row r="1760" spans="1:36">
      <c r="A1760" s="950" t="s">
        <v>153</v>
      </c>
      <c r="B1760" s="951" t="s">
        <v>251</v>
      </c>
      <c r="C1760" s="974" t="s">
        <v>249</v>
      </c>
      <c r="D1760" s="975"/>
      <c r="E1760" s="969"/>
      <c r="F1760" s="970"/>
      <c r="G1760" s="846"/>
      <c r="H1760" s="847"/>
      <c r="I1760" s="846"/>
      <c r="J1760" s="847"/>
      <c r="K1760" s="846"/>
      <c r="L1760" s="847"/>
      <c r="M1760" s="846"/>
      <c r="N1760" s="846"/>
      <c r="O1760" s="737">
        <f t="shared" si="223"/>
        <v>0</v>
      </c>
      <c r="P1760" s="847"/>
      <c r="Q1760" s="847"/>
      <c r="R1760" s="738">
        <f t="shared" si="226"/>
        <v>0</v>
      </c>
      <c r="S1760" s="737">
        <f t="shared" si="227"/>
        <v>0</v>
      </c>
      <c r="T1760" s="739">
        <f t="shared" si="228"/>
        <v>0</v>
      </c>
      <c r="U1760" s="846"/>
      <c r="V1760" s="847"/>
      <c r="W1760" s="846"/>
      <c r="X1760" s="846"/>
      <c r="Y1760" s="740">
        <f t="shared" si="224"/>
        <v>0</v>
      </c>
      <c r="Z1760" s="847"/>
      <c r="AA1760" s="847"/>
      <c r="AB1760" s="741">
        <f t="shared" si="225"/>
        <v>0</v>
      </c>
      <c r="AC1760" s="846"/>
      <c r="AD1760" s="847"/>
      <c r="AE1760" s="846"/>
      <c r="AF1760" s="846"/>
      <c r="AG1760" s="847"/>
      <c r="AH1760" s="847"/>
      <c r="AI1760" s="742">
        <f t="shared" si="229"/>
        <v>0</v>
      </c>
      <c r="AJ1760" s="743">
        <f t="shared" si="230"/>
        <v>0</v>
      </c>
    </row>
    <row r="1761" spans="1:36">
      <c r="A1761" s="950" t="s">
        <v>153</v>
      </c>
      <c r="B1761" s="951" t="s">
        <v>292</v>
      </c>
      <c r="C1761" s="973" t="s">
        <v>753</v>
      </c>
      <c r="D1761" s="957"/>
      <c r="E1761" s="969"/>
      <c r="F1761" s="970"/>
      <c r="G1761" s="846"/>
      <c r="H1761" s="847"/>
      <c r="I1761" s="846"/>
      <c r="J1761" s="847"/>
      <c r="K1761" s="846"/>
      <c r="L1761" s="847"/>
      <c r="M1761" s="846"/>
      <c r="N1761" s="846"/>
      <c r="O1761" s="737">
        <f t="shared" si="223"/>
        <v>0</v>
      </c>
      <c r="P1761" s="847"/>
      <c r="Q1761" s="847"/>
      <c r="R1761" s="738">
        <f t="shared" si="226"/>
        <v>0</v>
      </c>
      <c r="S1761" s="737">
        <f t="shared" si="227"/>
        <v>0</v>
      </c>
      <c r="T1761" s="739">
        <f t="shared" si="228"/>
        <v>0</v>
      </c>
      <c r="U1761" s="846"/>
      <c r="V1761" s="847"/>
      <c r="W1761" s="846"/>
      <c r="X1761" s="846"/>
      <c r="Y1761" s="740">
        <f t="shared" si="224"/>
        <v>0</v>
      </c>
      <c r="Z1761" s="847"/>
      <c r="AA1761" s="847"/>
      <c r="AB1761" s="741">
        <f t="shared" si="225"/>
        <v>0</v>
      </c>
      <c r="AC1761" s="846"/>
      <c r="AD1761" s="847"/>
      <c r="AE1761" s="846"/>
      <c r="AF1761" s="846"/>
      <c r="AG1761" s="847"/>
      <c r="AH1761" s="847"/>
      <c r="AI1761" s="742">
        <f t="shared" si="229"/>
        <v>0</v>
      </c>
      <c r="AJ1761" s="743">
        <f t="shared" si="230"/>
        <v>0</v>
      </c>
    </row>
    <row r="1762" spans="1:36">
      <c r="A1762" s="950" t="s">
        <v>153</v>
      </c>
      <c r="B1762" s="951" t="s">
        <v>310</v>
      </c>
      <c r="C1762" s="974" t="s">
        <v>311</v>
      </c>
      <c r="D1762" s="975"/>
      <c r="E1762" s="969"/>
      <c r="F1762" s="970"/>
      <c r="G1762" s="846"/>
      <c r="H1762" s="847"/>
      <c r="I1762" s="846"/>
      <c r="J1762" s="847"/>
      <c r="K1762" s="846"/>
      <c r="L1762" s="847"/>
      <c r="M1762" s="846"/>
      <c r="N1762" s="846"/>
      <c r="O1762" s="737">
        <f t="shared" si="223"/>
        <v>0</v>
      </c>
      <c r="P1762" s="847"/>
      <c r="Q1762" s="847"/>
      <c r="R1762" s="738">
        <f t="shared" si="226"/>
        <v>0</v>
      </c>
      <c r="S1762" s="737">
        <f t="shared" si="227"/>
        <v>0</v>
      </c>
      <c r="T1762" s="739">
        <f t="shared" si="228"/>
        <v>0</v>
      </c>
      <c r="U1762" s="846"/>
      <c r="V1762" s="847"/>
      <c r="W1762" s="846"/>
      <c r="X1762" s="846"/>
      <c r="Y1762" s="740">
        <f t="shared" si="224"/>
        <v>0</v>
      </c>
      <c r="Z1762" s="847"/>
      <c r="AA1762" s="847"/>
      <c r="AB1762" s="741">
        <f t="shared" si="225"/>
        <v>0</v>
      </c>
      <c r="AC1762" s="846"/>
      <c r="AD1762" s="847"/>
      <c r="AE1762" s="846"/>
      <c r="AF1762" s="846"/>
      <c r="AG1762" s="847"/>
      <c r="AH1762" s="847"/>
      <c r="AI1762" s="742">
        <f t="shared" si="229"/>
        <v>0</v>
      </c>
      <c r="AJ1762" s="743">
        <f t="shared" si="230"/>
        <v>0</v>
      </c>
    </row>
    <row r="1763" spans="1:36">
      <c r="A1763" s="950" t="s">
        <v>153</v>
      </c>
      <c r="B1763" s="951" t="s">
        <v>251</v>
      </c>
      <c r="C1763" s="974" t="s">
        <v>249</v>
      </c>
      <c r="D1763" s="975"/>
      <c r="E1763" s="969"/>
      <c r="F1763" s="970"/>
      <c r="G1763" s="846"/>
      <c r="H1763" s="847"/>
      <c r="I1763" s="846"/>
      <c r="J1763" s="847"/>
      <c r="K1763" s="846"/>
      <c r="L1763" s="847"/>
      <c r="M1763" s="846"/>
      <c r="N1763" s="846"/>
      <c r="O1763" s="737">
        <f t="shared" si="223"/>
        <v>0</v>
      </c>
      <c r="P1763" s="847"/>
      <c r="Q1763" s="847"/>
      <c r="R1763" s="738">
        <f t="shared" si="226"/>
        <v>0</v>
      </c>
      <c r="S1763" s="737">
        <f t="shared" si="227"/>
        <v>0</v>
      </c>
      <c r="T1763" s="739">
        <f t="shared" si="228"/>
        <v>0</v>
      </c>
      <c r="U1763" s="846">
        <v>5568222</v>
      </c>
      <c r="V1763" s="847">
        <v>5568222</v>
      </c>
      <c r="W1763" s="846"/>
      <c r="X1763" s="846"/>
      <c r="Y1763" s="740">
        <f t="shared" si="224"/>
        <v>0</v>
      </c>
      <c r="Z1763" s="847"/>
      <c r="AA1763" s="847"/>
      <c r="AB1763" s="741">
        <f t="shared" si="225"/>
        <v>0</v>
      </c>
      <c r="AC1763" s="846"/>
      <c r="AD1763" s="847"/>
      <c r="AE1763" s="846"/>
      <c r="AF1763" s="846"/>
      <c r="AG1763" s="847"/>
      <c r="AH1763" s="847"/>
      <c r="AI1763" s="742">
        <f t="shared" si="229"/>
        <v>5568222</v>
      </c>
      <c r="AJ1763" s="743">
        <f t="shared" si="230"/>
        <v>5568222</v>
      </c>
    </row>
    <row r="1764" spans="1:36">
      <c r="A1764" s="950" t="s">
        <v>153</v>
      </c>
      <c r="B1764" s="951" t="s">
        <v>209</v>
      </c>
      <c r="C1764" s="974" t="s">
        <v>522</v>
      </c>
      <c r="D1764" s="975"/>
      <c r="E1764" s="969"/>
      <c r="F1764" s="970"/>
      <c r="G1764" s="846"/>
      <c r="H1764" s="847"/>
      <c r="I1764" s="846"/>
      <c r="J1764" s="847"/>
      <c r="K1764" s="846"/>
      <c r="L1764" s="847"/>
      <c r="M1764" s="846"/>
      <c r="N1764" s="846"/>
      <c r="O1764" s="737">
        <f t="shared" si="223"/>
        <v>0</v>
      </c>
      <c r="P1764" s="847"/>
      <c r="Q1764" s="847"/>
      <c r="R1764" s="738">
        <f t="shared" si="226"/>
        <v>0</v>
      </c>
      <c r="S1764" s="737">
        <f t="shared" si="227"/>
        <v>0</v>
      </c>
      <c r="T1764" s="739">
        <f t="shared" si="228"/>
        <v>0</v>
      </c>
      <c r="U1764" s="846"/>
      <c r="V1764" s="847"/>
      <c r="W1764" s="846"/>
      <c r="X1764" s="846"/>
      <c r="Y1764" s="740">
        <f t="shared" si="224"/>
        <v>0</v>
      </c>
      <c r="Z1764" s="847"/>
      <c r="AA1764" s="847"/>
      <c r="AB1764" s="741">
        <f t="shared" si="225"/>
        <v>0</v>
      </c>
      <c r="AC1764" s="846"/>
      <c r="AD1764" s="847"/>
      <c r="AE1764" s="846"/>
      <c r="AF1764" s="846"/>
      <c r="AG1764" s="847"/>
      <c r="AH1764" s="847"/>
      <c r="AI1764" s="742">
        <f t="shared" si="229"/>
        <v>0</v>
      </c>
      <c r="AJ1764" s="743">
        <f t="shared" si="230"/>
        <v>0</v>
      </c>
    </row>
    <row r="1765" spans="1:36">
      <c r="A1765" s="950" t="s">
        <v>153</v>
      </c>
      <c r="B1765" s="951" t="s">
        <v>210</v>
      </c>
      <c r="C1765" s="974" t="s">
        <v>311</v>
      </c>
      <c r="D1765" s="975"/>
      <c r="E1765" s="969"/>
      <c r="F1765" s="970"/>
      <c r="G1765" s="846"/>
      <c r="H1765" s="847"/>
      <c r="I1765" s="846"/>
      <c r="J1765" s="847"/>
      <c r="K1765" s="846"/>
      <c r="L1765" s="847"/>
      <c r="M1765" s="846"/>
      <c r="N1765" s="846"/>
      <c r="O1765" s="737">
        <f t="shared" si="223"/>
        <v>0</v>
      </c>
      <c r="P1765" s="847"/>
      <c r="Q1765" s="847"/>
      <c r="R1765" s="738">
        <f t="shared" si="226"/>
        <v>0</v>
      </c>
      <c r="S1765" s="737">
        <f t="shared" si="227"/>
        <v>0</v>
      </c>
      <c r="T1765" s="739">
        <f t="shared" si="228"/>
        <v>0</v>
      </c>
      <c r="U1765" s="846"/>
      <c r="V1765" s="847"/>
      <c r="W1765" s="846"/>
      <c r="X1765" s="846"/>
      <c r="Y1765" s="740">
        <f t="shared" si="224"/>
        <v>0</v>
      </c>
      <c r="Z1765" s="847"/>
      <c r="AA1765" s="847"/>
      <c r="AB1765" s="741">
        <f t="shared" si="225"/>
        <v>0</v>
      </c>
      <c r="AC1765" s="846"/>
      <c r="AD1765" s="847"/>
      <c r="AE1765" s="846"/>
      <c r="AF1765" s="846"/>
      <c r="AG1765" s="847"/>
      <c r="AH1765" s="847"/>
      <c r="AI1765" s="742">
        <f t="shared" si="229"/>
        <v>0</v>
      </c>
      <c r="AJ1765" s="743">
        <f t="shared" si="230"/>
        <v>0</v>
      </c>
    </row>
    <row r="1766" spans="1:36">
      <c r="A1766" s="950" t="s">
        <v>153</v>
      </c>
      <c r="B1766" s="951" t="s">
        <v>251</v>
      </c>
      <c r="C1766" s="974" t="s">
        <v>249</v>
      </c>
      <c r="D1766" s="975"/>
      <c r="E1766" s="969"/>
      <c r="F1766" s="970"/>
      <c r="G1766" s="846"/>
      <c r="H1766" s="847"/>
      <c r="I1766" s="846"/>
      <c r="J1766" s="847"/>
      <c r="K1766" s="846"/>
      <c r="L1766" s="847"/>
      <c r="M1766" s="846"/>
      <c r="N1766" s="846"/>
      <c r="O1766" s="737">
        <f t="shared" si="223"/>
        <v>0</v>
      </c>
      <c r="P1766" s="847"/>
      <c r="Q1766" s="847"/>
      <c r="R1766" s="738">
        <f t="shared" si="226"/>
        <v>0</v>
      </c>
      <c r="S1766" s="737">
        <f t="shared" si="227"/>
        <v>0</v>
      </c>
      <c r="T1766" s="739">
        <f t="shared" si="228"/>
        <v>0</v>
      </c>
      <c r="U1766" s="846"/>
      <c r="V1766" s="847"/>
      <c r="W1766" s="846"/>
      <c r="X1766" s="846"/>
      <c r="Y1766" s="740">
        <f t="shared" si="224"/>
        <v>0</v>
      </c>
      <c r="Z1766" s="847"/>
      <c r="AA1766" s="847"/>
      <c r="AB1766" s="741">
        <f t="shared" si="225"/>
        <v>0</v>
      </c>
      <c r="AC1766" s="846"/>
      <c r="AD1766" s="847"/>
      <c r="AE1766" s="846"/>
      <c r="AF1766" s="846"/>
      <c r="AG1766" s="847"/>
      <c r="AH1766" s="847"/>
      <c r="AI1766" s="742">
        <f t="shared" si="229"/>
        <v>0</v>
      </c>
      <c r="AJ1766" s="743">
        <f t="shared" si="230"/>
        <v>0</v>
      </c>
    </row>
    <row r="1767" spans="1:36">
      <c r="A1767" s="950" t="s">
        <v>153</v>
      </c>
      <c r="B1767" s="951" t="s">
        <v>205</v>
      </c>
      <c r="C1767" s="974" t="s">
        <v>523</v>
      </c>
      <c r="D1767" s="975"/>
      <c r="E1767" s="969"/>
      <c r="F1767" s="970"/>
      <c r="G1767" s="846"/>
      <c r="H1767" s="847"/>
      <c r="I1767" s="846"/>
      <c r="J1767" s="847"/>
      <c r="K1767" s="846"/>
      <c r="L1767" s="847"/>
      <c r="M1767" s="846"/>
      <c r="N1767" s="846"/>
      <c r="O1767" s="737">
        <f t="shared" si="223"/>
        <v>0</v>
      </c>
      <c r="P1767" s="847"/>
      <c r="Q1767" s="847"/>
      <c r="R1767" s="738">
        <f t="shared" si="226"/>
        <v>0</v>
      </c>
      <c r="S1767" s="737">
        <f t="shared" si="227"/>
        <v>0</v>
      </c>
      <c r="T1767" s="739">
        <f t="shared" si="228"/>
        <v>0</v>
      </c>
      <c r="U1767" s="846"/>
      <c r="V1767" s="847"/>
      <c r="W1767" s="846"/>
      <c r="X1767" s="846"/>
      <c r="Y1767" s="740">
        <f t="shared" si="224"/>
        <v>0</v>
      </c>
      <c r="Z1767" s="847"/>
      <c r="AA1767" s="847"/>
      <c r="AB1767" s="741">
        <f t="shared" si="225"/>
        <v>0</v>
      </c>
      <c r="AC1767" s="846"/>
      <c r="AD1767" s="847"/>
      <c r="AE1767" s="846"/>
      <c r="AF1767" s="846"/>
      <c r="AG1767" s="847"/>
      <c r="AH1767" s="847"/>
      <c r="AI1767" s="742">
        <f t="shared" si="229"/>
        <v>0</v>
      </c>
      <c r="AJ1767" s="743">
        <f t="shared" si="230"/>
        <v>0</v>
      </c>
    </row>
    <row r="1768" spans="1:36">
      <c r="A1768" s="950" t="s">
        <v>153</v>
      </c>
      <c r="B1768" s="951" t="s">
        <v>218</v>
      </c>
      <c r="C1768" s="974" t="s">
        <v>311</v>
      </c>
      <c r="D1768" s="975"/>
      <c r="E1768" s="969"/>
      <c r="F1768" s="970"/>
      <c r="G1768" s="846"/>
      <c r="H1768" s="847"/>
      <c r="I1768" s="846"/>
      <c r="J1768" s="847"/>
      <c r="K1768" s="846"/>
      <c r="L1768" s="847"/>
      <c r="M1768" s="846"/>
      <c r="N1768" s="846"/>
      <c r="O1768" s="737">
        <f t="shared" si="223"/>
        <v>0</v>
      </c>
      <c r="P1768" s="847"/>
      <c r="Q1768" s="847"/>
      <c r="R1768" s="738">
        <f t="shared" si="226"/>
        <v>0</v>
      </c>
      <c r="S1768" s="737">
        <f t="shared" si="227"/>
        <v>0</v>
      </c>
      <c r="T1768" s="739">
        <f t="shared" si="228"/>
        <v>0</v>
      </c>
      <c r="U1768" s="846"/>
      <c r="V1768" s="847"/>
      <c r="W1768" s="846"/>
      <c r="X1768" s="846"/>
      <c r="Y1768" s="740">
        <f t="shared" si="224"/>
        <v>0</v>
      </c>
      <c r="Z1768" s="847"/>
      <c r="AA1768" s="847"/>
      <c r="AB1768" s="741">
        <f t="shared" si="225"/>
        <v>0</v>
      </c>
      <c r="AC1768" s="846"/>
      <c r="AD1768" s="847"/>
      <c r="AE1768" s="846"/>
      <c r="AF1768" s="846"/>
      <c r="AG1768" s="847"/>
      <c r="AH1768" s="847"/>
      <c r="AI1768" s="742">
        <f t="shared" si="229"/>
        <v>0</v>
      </c>
      <c r="AJ1768" s="743">
        <f t="shared" si="230"/>
        <v>0</v>
      </c>
    </row>
    <row r="1769" spans="1:36">
      <c r="A1769" s="950" t="s">
        <v>153</v>
      </c>
      <c r="B1769" s="951" t="s">
        <v>251</v>
      </c>
      <c r="C1769" s="974" t="s">
        <v>249</v>
      </c>
      <c r="D1769" s="975"/>
      <c r="E1769" s="969"/>
      <c r="F1769" s="970"/>
      <c r="G1769" s="846"/>
      <c r="H1769" s="847"/>
      <c r="I1769" s="846"/>
      <c r="J1769" s="847"/>
      <c r="K1769" s="846"/>
      <c r="L1769" s="847"/>
      <c r="M1769" s="846"/>
      <c r="N1769" s="846"/>
      <c r="O1769" s="737">
        <f t="shared" si="223"/>
        <v>0</v>
      </c>
      <c r="P1769" s="847"/>
      <c r="Q1769" s="847"/>
      <c r="R1769" s="738">
        <f t="shared" si="226"/>
        <v>0</v>
      </c>
      <c r="S1769" s="737">
        <f t="shared" si="227"/>
        <v>0</v>
      </c>
      <c r="T1769" s="739">
        <f t="shared" si="228"/>
        <v>0</v>
      </c>
      <c r="U1769" s="846"/>
      <c r="V1769" s="847"/>
      <c r="W1769" s="846"/>
      <c r="X1769" s="846"/>
      <c r="Y1769" s="740">
        <f t="shared" si="224"/>
        <v>0</v>
      </c>
      <c r="Z1769" s="847"/>
      <c r="AA1769" s="847"/>
      <c r="AB1769" s="741">
        <f t="shared" si="225"/>
        <v>0</v>
      </c>
      <c r="AC1769" s="846"/>
      <c r="AD1769" s="847"/>
      <c r="AE1769" s="846"/>
      <c r="AF1769" s="846"/>
      <c r="AG1769" s="847"/>
      <c r="AH1769" s="847"/>
      <c r="AI1769" s="742">
        <f t="shared" si="229"/>
        <v>0</v>
      </c>
      <c r="AJ1769" s="743">
        <f t="shared" si="230"/>
        <v>0</v>
      </c>
    </row>
    <row r="1770" spans="1:36">
      <c r="A1770" s="950" t="s">
        <v>153</v>
      </c>
      <c r="B1770" s="951" t="s">
        <v>292</v>
      </c>
      <c r="C1770" s="973" t="s">
        <v>754</v>
      </c>
      <c r="D1770" s="957"/>
      <c r="E1770" s="969"/>
      <c r="F1770" s="970"/>
      <c r="G1770" s="846"/>
      <c r="H1770" s="847"/>
      <c r="I1770" s="846"/>
      <c r="J1770" s="847"/>
      <c r="K1770" s="846"/>
      <c r="L1770" s="847"/>
      <c r="M1770" s="846"/>
      <c r="N1770" s="846"/>
      <c r="O1770" s="737">
        <f t="shared" si="223"/>
        <v>0</v>
      </c>
      <c r="P1770" s="847"/>
      <c r="Q1770" s="847"/>
      <c r="R1770" s="738">
        <f t="shared" si="226"/>
        <v>0</v>
      </c>
      <c r="S1770" s="737">
        <f t="shared" si="227"/>
        <v>0</v>
      </c>
      <c r="T1770" s="739">
        <f t="shared" si="228"/>
        <v>0</v>
      </c>
      <c r="U1770" s="846"/>
      <c r="V1770" s="847"/>
      <c r="W1770" s="846"/>
      <c r="X1770" s="846"/>
      <c r="Y1770" s="740">
        <f t="shared" si="224"/>
        <v>0</v>
      </c>
      <c r="Z1770" s="847"/>
      <c r="AA1770" s="847"/>
      <c r="AB1770" s="741">
        <f t="shared" si="225"/>
        <v>0</v>
      </c>
      <c r="AC1770" s="846"/>
      <c r="AD1770" s="847"/>
      <c r="AE1770" s="846"/>
      <c r="AF1770" s="846"/>
      <c r="AG1770" s="847"/>
      <c r="AH1770" s="847"/>
      <c r="AI1770" s="742">
        <f t="shared" si="229"/>
        <v>0</v>
      </c>
      <c r="AJ1770" s="743">
        <f t="shared" si="230"/>
        <v>0</v>
      </c>
    </row>
    <row r="1771" spans="1:36">
      <c r="A1771" s="950" t="s">
        <v>153</v>
      </c>
      <c r="B1771" s="951" t="s">
        <v>310</v>
      </c>
      <c r="C1771" s="974" t="s">
        <v>311</v>
      </c>
      <c r="D1771" s="975"/>
      <c r="E1771" s="969"/>
      <c r="F1771" s="970"/>
      <c r="G1771" s="846"/>
      <c r="H1771" s="847"/>
      <c r="I1771" s="846"/>
      <c r="J1771" s="847"/>
      <c r="K1771" s="846"/>
      <c r="L1771" s="847"/>
      <c r="M1771" s="846"/>
      <c r="N1771" s="846"/>
      <c r="O1771" s="737">
        <f t="shared" si="223"/>
        <v>0</v>
      </c>
      <c r="P1771" s="847"/>
      <c r="Q1771" s="847"/>
      <c r="R1771" s="738">
        <f t="shared" si="226"/>
        <v>0</v>
      </c>
      <c r="S1771" s="737">
        <f t="shared" si="227"/>
        <v>0</v>
      </c>
      <c r="T1771" s="739">
        <f t="shared" si="228"/>
        <v>0</v>
      </c>
      <c r="U1771" s="846"/>
      <c r="V1771" s="847"/>
      <c r="W1771" s="846"/>
      <c r="X1771" s="846"/>
      <c r="Y1771" s="740">
        <f t="shared" si="224"/>
        <v>0</v>
      </c>
      <c r="Z1771" s="847"/>
      <c r="AA1771" s="847"/>
      <c r="AB1771" s="741">
        <f t="shared" si="225"/>
        <v>0</v>
      </c>
      <c r="AC1771" s="846"/>
      <c r="AD1771" s="847"/>
      <c r="AE1771" s="846"/>
      <c r="AF1771" s="846"/>
      <c r="AG1771" s="847"/>
      <c r="AH1771" s="847"/>
      <c r="AI1771" s="742">
        <f t="shared" si="229"/>
        <v>0</v>
      </c>
      <c r="AJ1771" s="743">
        <f t="shared" si="230"/>
        <v>0</v>
      </c>
    </row>
    <row r="1772" spans="1:36">
      <c r="A1772" s="950" t="s">
        <v>153</v>
      </c>
      <c r="B1772" s="951" t="s">
        <v>251</v>
      </c>
      <c r="C1772" s="974" t="s">
        <v>249</v>
      </c>
      <c r="D1772" s="975"/>
      <c r="E1772" s="969"/>
      <c r="F1772" s="970"/>
      <c r="G1772" s="846"/>
      <c r="H1772" s="847"/>
      <c r="I1772" s="846"/>
      <c r="J1772" s="847"/>
      <c r="K1772" s="846"/>
      <c r="L1772" s="847"/>
      <c r="M1772" s="846"/>
      <c r="N1772" s="846"/>
      <c r="O1772" s="737">
        <f t="shared" si="223"/>
        <v>0</v>
      </c>
      <c r="P1772" s="847"/>
      <c r="Q1772" s="847"/>
      <c r="R1772" s="738">
        <f t="shared" si="226"/>
        <v>0</v>
      </c>
      <c r="S1772" s="737">
        <f t="shared" si="227"/>
        <v>0</v>
      </c>
      <c r="T1772" s="739">
        <f t="shared" si="228"/>
        <v>0</v>
      </c>
      <c r="U1772" s="846">
        <v>16594166</v>
      </c>
      <c r="V1772" s="847">
        <v>16594166</v>
      </c>
      <c r="W1772" s="846"/>
      <c r="X1772" s="846"/>
      <c r="Y1772" s="740">
        <f t="shared" si="224"/>
        <v>0</v>
      </c>
      <c r="Z1772" s="847"/>
      <c r="AA1772" s="847"/>
      <c r="AB1772" s="741">
        <f t="shared" si="225"/>
        <v>0</v>
      </c>
      <c r="AC1772" s="846"/>
      <c r="AD1772" s="847"/>
      <c r="AE1772" s="846"/>
      <c r="AF1772" s="846"/>
      <c r="AG1772" s="847"/>
      <c r="AH1772" s="847"/>
      <c r="AI1772" s="742">
        <f t="shared" si="229"/>
        <v>16594166</v>
      </c>
      <c r="AJ1772" s="743">
        <f t="shared" si="230"/>
        <v>16594166</v>
      </c>
    </row>
    <row r="1773" spans="1:36">
      <c r="A1773" s="950" t="s">
        <v>153</v>
      </c>
      <c r="B1773" s="951" t="s">
        <v>209</v>
      </c>
      <c r="C1773" s="974" t="s">
        <v>522</v>
      </c>
      <c r="D1773" s="975"/>
      <c r="E1773" s="969"/>
      <c r="F1773" s="970"/>
      <c r="G1773" s="846"/>
      <c r="H1773" s="847"/>
      <c r="I1773" s="846"/>
      <c r="J1773" s="847"/>
      <c r="K1773" s="846"/>
      <c r="L1773" s="847"/>
      <c r="M1773" s="846"/>
      <c r="N1773" s="846"/>
      <c r="O1773" s="737">
        <f t="shared" si="223"/>
        <v>0</v>
      </c>
      <c r="P1773" s="847"/>
      <c r="Q1773" s="847"/>
      <c r="R1773" s="738">
        <f t="shared" si="226"/>
        <v>0</v>
      </c>
      <c r="S1773" s="737">
        <f t="shared" si="227"/>
        <v>0</v>
      </c>
      <c r="T1773" s="739">
        <f t="shared" si="228"/>
        <v>0</v>
      </c>
      <c r="U1773" s="846"/>
      <c r="V1773" s="847"/>
      <c r="W1773" s="846"/>
      <c r="X1773" s="846"/>
      <c r="Y1773" s="740">
        <f t="shared" si="224"/>
        <v>0</v>
      </c>
      <c r="Z1773" s="847"/>
      <c r="AA1773" s="847"/>
      <c r="AB1773" s="741">
        <f t="shared" si="225"/>
        <v>0</v>
      </c>
      <c r="AC1773" s="846"/>
      <c r="AD1773" s="847"/>
      <c r="AE1773" s="846"/>
      <c r="AF1773" s="846"/>
      <c r="AG1773" s="847"/>
      <c r="AH1773" s="847"/>
      <c r="AI1773" s="742">
        <f t="shared" si="229"/>
        <v>0</v>
      </c>
      <c r="AJ1773" s="743">
        <f t="shared" si="230"/>
        <v>0</v>
      </c>
    </row>
    <row r="1774" spans="1:36">
      <c r="A1774" s="950" t="s">
        <v>153</v>
      </c>
      <c r="B1774" s="951" t="s">
        <v>210</v>
      </c>
      <c r="C1774" s="974" t="s">
        <v>311</v>
      </c>
      <c r="D1774" s="975"/>
      <c r="E1774" s="969"/>
      <c r="F1774" s="970"/>
      <c r="G1774" s="846"/>
      <c r="H1774" s="847"/>
      <c r="I1774" s="846"/>
      <c r="J1774" s="847"/>
      <c r="K1774" s="846"/>
      <c r="L1774" s="847"/>
      <c r="M1774" s="846"/>
      <c r="N1774" s="846"/>
      <c r="O1774" s="737">
        <f t="shared" si="223"/>
        <v>0</v>
      </c>
      <c r="P1774" s="847"/>
      <c r="Q1774" s="847"/>
      <c r="R1774" s="738">
        <f t="shared" si="226"/>
        <v>0</v>
      </c>
      <c r="S1774" s="737">
        <f t="shared" si="227"/>
        <v>0</v>
      </c>
      <c r="T1774" s="739">
        <f t="shared" si="228"/>
        <v>0</v>
      </c>
      <c r="U1774" s="846"/>
      <c r="V1774" s="847"/>
      <c r="W1774" s="846"/>
      <c r="X1774" s="846"/>
      <c r="Y1774" s="740">
        <f t="shared" si="224"/>
        <v>0</v>
      </c>
      <c r="Z1774" s="847"/>
      <c r="AA1774" s="847"/>
      <c r="AB1774" s="741">
        <f t="shared" si="225"/>
        <v>0</v>
      </c>
      <c r="AC1774" s="846"/>
      <c r="AD1774" s="847"/>
      <c r="AE1774" s="846"/>
      <c r="AF1774" s="846"/>
      <c r="AG1774" s="847"/>
      <c r="AH1774" s="847"/>
      <c r="AI1774" s="742">
        <f t="shared" si="229"/>
        <v>0</v>
      </c>
      <c r="AJ1774" s="743">
        <f t="shared" si="230"/>
        <v>0</v>
      </c>
    </row>
    <row r="1775" spans="1:36">
      <c r="A1775" s="950" t="s">
        <v>153</v>
      </c>
      <c r="B1775" s="951" t="s">
        <v>251</v>
      </c>
      <c r="C1775" s="974" t="s">
        <v>249</v>
      </c>
      <c r="D1775" s="975"/>
      <c r="E1775" s="969"/>
      <c r="F1775" s="970"/>
      <c r="G1775" s="846"/>
      <c r="H1775" s="847"/>
      <c r="I1775" s="846"/>
      <c r="J1775" s="847"/>
      <c r="K1775" s="846"/>
      <c r="L1775" s="847"/>
      <c r="M1775" s="846"/>
      <c r="N1775" s="846"/>
      <c r="O1775" s="737">
        <f t="shared" si="223"/>
        <v>0</v>
      </c>
      <c r="P1775" s="847"/>
      <c r="Q1775" s="847"/>
      <c r="R1775" s="738">
        <f t="shared" si="226"/>
        <v>0</v>
      </c>
      <c r="S1775" s="737">
        <f t="shared" si="227"/>
        <v>0</v>
      </c>
      <c r="T1775" s="739">
        <f t="shared" si="228"/>
        <v>0</v>
      </c>
      <c r="U1775" s="846"/>
      <c r="V1775" s="847"/>
      <c r="W1775" s="846"/>
      <c r="X1775" s="846"/>
      <c r="Y1775" s="740">
        <f t="shared" si="224"/>
        <v>0</v>
      </c>
      <c r="Z1775" s="847"/>
      <c r="AA1775" s="847"/>
      <c r="AB1775" s="741">
        <f t="shared" si="225"/>
        <v>0</v>
      </c>
      <c r="AC1775" s="846"/>
      <c r="AD1775" s="847"/>
      <c r="AE1775" s="846"/>
      <c r="AF1775" s="846"/>
      <c r="AG1775" s="847"/>
      <c r="AH1775" s="847"/>
      <c r="AI1775" s="742">
        <f t="shared" si="229"/>
        <v>0</v>
      </c>
      <c r="AJ1775" s="743">
        <f t="shared" si="230"/>
        <v>0</v>
      </c>
    </row>
    <row r="1776" spans="1:36">
      <c r="A1776" s="950" t="s">
        <v>153</v>
      </c>
      <c r="B1776" s="951" t="s">
        <v>205</v>
      </c>
      <c r="C1776" s="974" t="s">
        <v>523</v>
      </c>
      <c r="D1776" s="975"/>
      <c r="E1776" s="969"/>
      <c r="F1776" s="970"/>
      <c r="G1776" s="846"/>
      <c r="H1776" s="847"/>
      <c r="I1776" s="846"/>
      <c r="J1776" s="847"/>
      <c r="K1776" s="846"/>
      <c r="L1776" s="847"/>
      <c r="M1776" s="846"/>
      <c r="N1776" s="846"/>
      <c r="O1776" s="737">
        <f t="shared" si="223"/>
        <v>0</v>
      </c>
      <c r="P1776" s="847"/>
      <c r="Q1776" s="847"/>
      <c r="R1776" s="738">
        <f t="shared" si="226"/>
        <v>0</v>
      </c>
      <c r="S1776" s="737">
        <f t="shared" si="227"/>
        <v>0</v>
      </c>
      <c r="T1776" s="739">
        <f t="shared" si="228"/>
        <v>0</v>
      </c>
      <c r="U1776" s="846"/>
      <c r="V1776" s="847"/>
      <c r="W1776" s="846"/>
      <c r="X1776" s="846"/>
      <c r="Y1776" s="740">
        <f t="shared" si="224"/>
        <v>0</v>
      </c>
      <c r="Z1776" s="847"/>
      <c r="AA1776" s="847"/>
      <c r="AB1776" s="741">
        <f t="shared" si="225"/>
        <v>0</v>
      </c>
      <c r="AC1776" s="846"/>
      <c r="AD1776" s="847"/>
      <c r="AE1776" s="846"/>
      <c r="AF1776" s="846"/>
      <c r="AG1776" s="847"/>
      <c r="AH1776" s="847"/>
      <c r="AI1776" s="742">
        <f t="shared" si="229"/>
        <v>0</v>
      </c>
      <c r="AJ1776" s="743">
        <f t="shared" si="230"/>
        <v>0</v>
      </c>
    </row>
    <row r="1777" spans="1:36">
      <c r="A1777" s="950" t="s">
        <v>153</v>
      </c>
      <c r="B1777" s="951" t="s">
        <v>218</v>
      </c>
      <c r="C1777" s="974" t="s">
        <v>311</v>
      </c>
      <c r="D1777" s="975"/>
      <c r="E1777" s="969"/>
      <c r="F1777" s="970"/>
      <c r="G1777" s="846"/>
      <c r="H1777" s="847"/>
      <c r="I1777" s="846"/>
      <c r="J1777" s="847"/>
      <c r="K1777" s="846"/>
      <c r="L1777" s="847"/>
      <c r="M1777" s="846"/>
      <c r="N1777" s="846"/>
      <c r="O1777" s="737">
        <f t="shared" si="223"/>
        <v>0</v>
      </c>
      <c r="P1777" s="847"/>
      <c r="Q1777" s="847"/>
      <c r="R1777" s="738">
        <f t="shared" si="226"/>
        <v>0</v>
      </c>
      <c r="S1777" s="737">
        <f t="shared" si="227"/>
        <v>0</v>
      </c>
      <c r="T1777" s="739">
        <f t="shared" si="228"/>
        <v>0</v>
      </c>
      <c r="U1777" s="846"/>
      <c r="V1777" s="847"/>
      <c r="W1777" s="846"/>
      <c r="X1777" s="846"/>
      <c r="Y1777" s="740">
        <f t="shared" si="224"/>
        <v>0</v>
      </c>
      <c r="Z1777" s="847"/>
      <c r="AA1777" s="847"/>
      <c r="AB1777" s="741">
        <f t="shared" si="225"/>
        <v>0</v>
      </c>
      <c r="AC1777" s="846"/>
      <c r="AD1777" s="847"/>
      <c r="AE1777" s="846"/>
      <c r="AF1777" s="846"/>
      <c r="AG1777" s="847"/>
      <c r="AH1777" s="847"/>
      <c r="AI1777" s="742">
        <f t="shared" si="229"/>
        <v>0</v>
      </c>
      <c r="AJ1777" s="743">
        <f t="shared" si="230"/>
        <v>0</v>
      </c>
    </row>
    <row r="1778" spans="1:36">
      <c r="A1778" s="950" t="s">
        <v>153</v>
      </c>
      <c r="B1778" s="951" t="s">
        <v>251</v>
      </c>
      <c r="C1778" s="974" t="s">
        <v>249</v>
      </c>
      <c r="D1778" s="975"/>
      <c r="E1778" s="969"/>
      <c r="F1778" s="970"/>
      <c r="G1778" s="846"/>
      <c r="H1778" s="847"/>
      <c r="I1778" s="846"/>
      <c r="J1778" s="847"/>
      <c r="K1778" s="846"/>
      <c r="L1778" s="847"/>
      <c r="M1778" s="846"/>
      <c r="N1778" s="846"/>
      <c r="O1778" s="737">
        <f t="shared" si="223"/>
        <v>0</v>
      </c>
      <c r="P1778" s="847"/>
      <c r="Q1778" s="847"/>
      <c r="R1778" s="738">
        <f t="shared" si="226"/>
        <v>0</v>
      </c>
      <c r="S1778" s="737">
        <f t="shared" si="227"/>
        <v>0</v>
      </c>
      <c r="T1778" s="739">
        <f t="shared" si="228"/>
        <v>0</v>
      </c>
      <c r="U1778" s="846"/>
      <c r="V1778" s="847"/>
      <c r="W1778" s="846"/>
      <c r="X1778" s="846"/>
      <c r="Y1778" s="740">
        <f t="shared" si="224"/>
        <v>0</v>
      </c>
      <c r="Z1778" s="847"/>
      <c r="AA1778" s="847"/>
      <c r="AB1778" s="741">
        <f t="shared" si="225"/>
        <v>0</v>
      </c>
      <c r="AC1778" s="846"/>
      <c r="AD1778" s="847"/>
      <c r="AE1778" s="846"/>
      <c r="AF1778" s="846"/>
      <c r="AG1778" s="847"/>
      <c r="AH1778" s="847"/>
      <c r="AI1778" s="742">
        <f t="shared" si="229"/>
        <v>0</v>
      </c>
      <c r="AJ1778" s="743">
        <f t="shared" si="230"/>
        <v>0</v>
      </c>
    </row>
    <row r="1779" spans="1:36">
      <c r="A1779" s="950" t="s">
        <v>153</v>
      </c>
      <c r="B1779" s="985" t="s">
        <v>293</v>
      </c>
      <c r="C1779" s="986" t="s">
        <v>525</v>
      </c>
      <c r="D1779" s="987"/>
      <c r="E1779" s="969"/>
      <c r="F1779" s="970"/>
      <c r="G1779" s="846"/>
      <c r="H1779" s="847"/>
      <c r="I1779" s="846"/>
      <c r="J1779" s="847"/>
      <c r="K1779" s="846"/>
      <c r="L1779" s="847"/>
      <c r="M1779" s="846"/>
      <c r="N1779" s="846"/>
      <c r="O1779" s="737">
        <f t="shared" si="223"/>
        <v>0</v>
      </c>
      <c r="P1779" s="847"/>
      <c r="Q1779" s="847"/>
      <c r="R1779" s="738">
        <f t="shared" si="226"/>
        <v>0</v>
      </c>
      <c r="S1779" s="737">
        <f t="shared" si="227"/>
        <v>0</v>
      </c>
      <c r="T1779" s="739">
        <f t="shared" si="228"/>
        <v>0</v>
      </c>
      <c r="U1779" s="846"/>
      <c r="V1779" s="847"/>
      <c r="W1779" s="846"/>
      <c r="X1779" s="846"/>
      <c r="Y1779" s="740">
        <f t="shared" si="224"/>
        <v>0</v>
      </c>
      <c r="Z1779" s="847"/>
      <c r="AA1779" s="847"/>
      <c r="AB1779" s="741">
        <f t="shared" si="225"/>
        <v>0</v>
      </c>
      <c r="AC1779" s="846"/>
      <c r="AD1779" s="847"/>
      <c r="AE1779" s="846"/>
      <c r="AF1779" s="846"/>
      <c r="AG1779" s="847"/>
      <c r="AH1779" s="847"/>
      <c r="AI1779" s="742">
        <f t="shared" si="229"/>
        <v>0</v>
      </c>
      <c r="AJ1779" s="743">
        <f t="shared" si="230"/>
        <v>0</v>
      </c>
    </row>
    <row r="1780" spans="1:36">
      <c r="A1780" s="950" t="s">
        <v>153</v>
      </c>
      <c r="B1780" s="951" t="s">
        <v>293</v>
      </c>
      <c r="C1780" s="973" t="s">
        <v>755</v>
      </c>
      <c r="D1780" s="957"/>
      <c r="E1780" s="969"/>
      <c r="F1780" s="970"/>
      <c r="G1780" s="846"/>
      <c r="H1780" s="847"/>
      <c r="I1780" s="846"/>
      <c r="J1780" s="847"/>
      <c r="K1780" s="846"/>
      <c r="L1780" s="847"/>
      <c r="M1780" s="846"/>
      <c r="N1780" s="846"/>
      <c r="O1780" s="737">
        <f t="shared" si="223"/>
        <v>0</v>
      </c>
      <c r="P1780" s="847"/>
      <c r="Q1780" s="847"/>
      <c r="R1780" s="738">
        <f t="shared" si="226"/>
        <v>0</v>
      </c>
      <c r="S1780" s="737">
        <f t="shared" si="227"/>
        <v>0</v>
      </c>
      <c r="T1780" s="739">
        <f t="shared" si="228"/>
        <v>0</v>
      </c>
      <c r="U1780" s="846"/>
      <c r="V1780" s="847"/>
      <c r="W1780" s="846"/>
      <c r="X1780" s="846"/>
      <c r="Y1780" s="740">
        <f t="shared" si="224"/>
        <v>0</v>
      </c>
      <c r="Z1780" s="847"/>
      <c r="AA1780" s="847"/>
      <c r="AB1780" s="741">
        <f t="shared" si="225"/>
        <v>0</v>
      </c>
      <c r="AC1780" s="846"/>
      <c r="AD1780" s="847"/>
      <c r="AE1780" s="846"/>
      <c r="AF1780" s="846"/>
      <c r="AG1780" s="847"/>
      <c r="AH1780" s="847"/>
      <c r="AI1780" s="742">
        <f t="shared" si="229"/>
        <v>0</v>
      </c>
      <c r="AJ1780" s="743">
        <f t="shared" si="230"/>
        <v>0</v>
      </c>
    </row>
    <row r="1781" spans="1:36">
      <c r="A1781" s="950" t="s">
        <v>153</v>
      </c>
      <c r="B1781" s="985" t="s">
        <v>252</v>
      </c>
      <c r="C1781" s="974" t="s">
        <v>311</v>
      </c>
      <c r="D1781" s="975"/>
      <c r="E1781" s="969"/>
      <c r="F1781" s="970"/>
      <c r="G1781" s="846"/>
      <c r="H1781" s="847"/>
      <c r="I1781" s="846"/>
      <c r="J1781" s="847"/>
      <c r="K1781" s="846"/>
      <c r="L1781" s="847"/>
      <c r="M1781" s="846"/>
      <c r="N1781" s="846"/>
      <c r="O1781" s="737">
        <f t="shared" si="223"/>
        <v>0</v>
      </c>
      <c r="P1781" s="847"/>
      <c r="Q1781" s="847"/>
      <c r="R1781" s="738">
        <f t="shared" si="226"/>
        <v>0</v>
      </c>
      <c r="S1781" s="737">
        <f t="shared" si="227"/>
        <v>0</v>
      </c>
      <c r="T1781" s="739">
        <f t="shared" si="228"/>
        <v>0</v>
      </c>
      <c r="U1781" s="846">
        <v>122475842</v>
      </c>
      <c r="V1781" s="847">
        <v>121448381</v>
      </c>
      <c r="W1781" s="846"/>
      <c r="X1781" s="846"/>
      <c r="Y1781" s="740">
        <f t="shared" si="224"/>
        <v>0</v>
      </c>
      <c r="Z1781" s="847"/>
      <c r="AA1781" s="847"/>
      <c r="AB1781" s="741">
        <f t="shared" si="225"/>
        <v>0</v>
      </c>
      <c r="AC1781" s="846"/>
      <c r="AD1781" s="847"/>
      <c r="AE1781" s="846"/>
      <c r="AF1781" s="846"/>
      <c r="AG1781" s="847"/>
      <c r="AH1781" s="847"/>
      <c r="AI1781" s="742">
        <f t="shared" si="229"/>
        <v>122475842</v>
      </c>
      <c r="AJ1781" s="743">
        <f t="shared" si="230"/>
        <v>121448381</v>
      </c>
    </row>
    <row r="1782" spans="1:36">
      <c r="A1782" s="950" t="s">
        <v>153</v>
      </c>
      <c r="B1782" s="985" t="s">
        <v>253</v>
      </c>
      <c r="C1782" s="974" t="s">
        <v>249</v>
      </c>
      <c r="D1782" s="975"/>
      <c r="E1782" s="969"/>
      <c r="F1782" s="970"/>
      <c r="G1782" s="846"/>
      <c r="H1782" s="847"/>
      <c r="I1782" s="846"/>
      <c r="J1782" s="847"/>
      <c r="K1782" s="846"/>
      <c r="L1782" s="847"/>
      <c r="M1782" s="846"/>
      <c r="N1782" s="846"/>
      <c r="O1782" s="737">
        <f t="shared" si="223"/>
        <v>0</v>
      </c>
      <c r="P1782" s="847"/>
      <c r="Q1782" s="847"/>
      <c r="R1782" s="738">
        <f t="shared" si="226"/>
        <v>0</v>
      </c>
      <c r="S1782" s="737">
        <f t="shared" si="227"/>
        <v>0</v>
      </c>
      <c r="T1782" s="739">
        <f t="shared" si="228"/>
        <v>0</v>
      </c>
      <c r="U1782" s="846"/>
      <c r="V1782" s="847"/>
      <c r="W1782" s="846"/>
      <c r="X1782" s="846"/>
      <c r="Y1782" s="740">
        <f t="shared" si="224"/>
        <v>0</v>
      </c>
      <c r="Z1782" s="847"/>
      <c r="AA1782" s="847"/>
      <c r="AB1782" s="741">
        <f t="shared" si="225"/>
        <v>0</v>
      </c>
      <c r="AC1782" s="846"/>
      <c r="AD1782" s="847"/>
      <c r="AE1782" s="846"/>
      <c r="AF1782" s="846"/>
      <c r="AG1782" s="847"/>
      <c r="AH1782" s="847"/>
      <c r="AI1782" s="742">
        <f t="shared" si="229"/>
        <v>0</v>
      </c>
      <c r="AJ1782" s="743">
        <f t="shared" si="230"/>
        <v>0</v>
      </c>
    </row>
    <row r="1783" spans="1:36">
      <c r="A1783" s="950" t="s">
        <v>153</v>
      </c>
      <c r="B1783" s="951" t="s">
        <v>293</v>
      </c>
      <c r="C1783" s="973" t="s">
        <v>756</v>
      </c>
      <c r="D1783" s="957"/>
      <c r="E1783" s="969"/>
      <c r="F1783" s="970"/>
      <c r="G1783" s="846"/>
      <c r="H1783" s="847"/>
      <c r="I1783" s="846"/>
      <c r="J1783" s="847"/>
      <c r="K1783" s="846"/>
      <c r="L1783" s="847"/>
      <c r="M1783" s="846"/>
      <c r="N1783" s="846"/>
      <c r="O1783" s="737">
        <f t="shared" si="223"/>
        <v>0</v>
      </c>
      <c r="P1783" s="847"/>
      <c r="Q1783" s="847"/>
      <c r="R1783" s="738">
        <f t="shared" si="226"/>
        <v>0</v>
      </c>
      <c r="S1783" s="737">
        <f t="shared" si="227"/>
        <v>0</v>
      </c>
      <c r="T1783" s="739">
        <f t="shared" si="228"/>
        <v>0</v>
      </c>
      <c r="U1783" s="846"/>
      <c r="V1783" s="847"/>
      <c r="W1783" s="846"/>
      <c r="X1783" s="846"/>
      <c r="Y1783" s="740">
        <f t="shared" si="224"/>
        <v>0</v>
      </c>
      <c r="Z1783" s="847"/>
      <c r="AA1783" s="847"/>
      <c r="AB1783" s="741">
        <f t="shared" si="225"/>
        <v>0</v>
      </c>
      <c r="AC1783" s="846"/>
      <c r="AD1783" s="847"/>
      <c r="AE1783" s="846"/>
      <c r="AF1783" s="846"/>
      <c r="AG1783" s="847"/>
      <c r="AH1783" s="847"/>
      <c r="AI1783" s="742">
        <f t="shared" si="229"/>
        <v>0</v>
      </c>
      <c r="AJ1783" s="743">
        <f t="shared" si="230"/>
        <v>0</v>
      </c>
    </row>
    <row r="1784" spans="1:36">
      <c r="A1784" s="950" t="s">
        <v>153</v>
      </c>
      <c r="B1784" s="985" t="s">
        <v>252</v>
      </c>
      <c r="C1784" s="974" t="s">
        <v>311</v>
      </c>
      <c r="D1784" s="975"/>
      <c r="E1784" s="969"/>
      <c r="F1784" s="970"/>
      <c r="G1784" s="846"/>
      <c r="H1784" s="847"/>
      <c r="I1784" s="846"/>
      <c r="J1784" s="847"/>
      <c r="K1784" s="846"/>
      <c r="L1784" s="847"/>
      <c r="M1784" s="846"/>
      <c r="N1784" s="846"/>
      <c r="O1784" s="737">
        <f t="shared" si="223"/>
        <v>0</v>
      </c>
      <c r="P1784" s="847"/>
      <c r="Q1784" s="847"/>
      <c r="R1784" s="738">
        <f t="shared" si="226"/>
        <v>0</v>
      </c>
      <c r="S1784" s="737">
        <f t="shared" si="227"/>
        <v>0</v>
      </c>
      <c r="T1784" s="739">
        <f t="shared" si="228"/>
        <v>0</v>
      </c>
      <c r="U1784" s="846"/>
      <c r="V1784" s="847"/>
      <c r="W1784" s="846"/>
      <c r="X1784" s="846"/>
      <c r="Y1784" s="740">
        <f t="shared" si="224"/>
        <v>0</v>
      </c>
      <c r="Z1784" s="847"/>
      <c r="AA1784" s="847"/>
      <c r="AB1784" s="741">
        <f t="shared" si="225"/>
        <v>0</v>
      </c>
      <c r="AC1784" s="846"/>
      <c r="AD1784" s="847"/>
      <c r="AE1784" s="846"/>
      <c r="AF1784" s="846"/>
      <c r="AG1784" s="847"/>
      <c r="AH1784" s="847"/>
      <c r="AI1784" s="742">
        <f t="shared" si="229"/>
        <v>0</v>
      </c>
      <c r="AJ1784" s="743">
        <f t="shared" si="230"/>
        <v>0</v>
      </c>
    </row>
    <row r="1785" spans="1:36">
      <c r="A1785" s="950" t="s">
        <v>153</v>
      </c>
      <c r="B1785" s="985" t="s">
        <v>253</v>
      </c>
      <c r="C1785" s="974" t="s">
        <v>249</v>
      </c>
      <c r="D1785" s="975"/>
      <c r="E1785" s="969"/>
      <c r="F1785" s="970"/>
      <c r="G1785" s="846"/>
      <c r="H1785" s="847"/>
      <c r="I1785" s="846"/>
      <c r="J1785" s="847"/>
      <c r="K1785" s="846"/>
      <c r="L1785" s="847"/>
      <c r="M1785" s="846"/>
      <c r="N1785" s="846"/>
      <c r="O1785" s="737">
        <f t="shared" si="223"/>
        <v>0</v>
      </c>
      <c r="P1785" s="847"/>
      <c r="Q1785" s="847"/>
      <c r="R1785" s="738">
        <f t="shared" si="226"/>
        <v>0</v>
      </c>
      <c r="S1785" s="737">
        <f t="shared" si="227"/>
        <v>0</v>
      </c>
      <c r="T1785" s="739">
        <f t="shared" si="228"/>
        <v>0</v>
      </c>
      <c r="U1785" s="846">
        <v>1078209</v>
      </c>
      <c r="V1785" s="847">
        <v>0</v>
      </c>
      <c r="W1785" s="846"/>
      <c r="X1785" s="846"/>
      <c r="Y1785" s="740">
        <f t="shared" si="224"/>
        <v>0</v>
      </c>
      <c r="Z1785" s="847"/>
      <c r="AA1785" s="847"/>
      <c r="AB1785" s="741">
        <f t="shared" si="225"/>
        <v>0</v>
      </c>
      <c r="AC1785" s="846"/>
      <c r="AD1785" s="847"/>
      <c r="AE1785" s="846"/>
      <c r="AF1785" s="846"/>
      <c r="AG1785" s="847"/>
      <c r="AH1785" s="847"/>
      <c r="AI1785" s="742">
        <f t="shared" si="229"/>
        <v>1078209</v>
      </c>
      <c r="AJ1785" s="743">
        <f t="shared" si="230"/>
        <v>0</v>
      </c>
    </row>
    <row r="1786" spans="1:36">
      <c r="A1786" s="950" t="s">
        <v>153</v>
      </c>
      <c r="B1786" s="951" t="s">
        <v>293</v>
      </c>
      <c r="C1786" s="973" t="s">
        <v>757</v>
      </c>
      <c r="D1786" s="957"/>
      <c r="E1786" s="969"/>
      <c r="F1786" s="970"/>
      <c r="G1786" s="846"/>
      <c r="H1786" s="847"/>
      <c r="I1786" s="846"/>
      <c r="J1786" s="847"/>
      <c r="K1786" s="846"/>
      <c r="L1786" s="847"/>
      <c r="M1786" s="846"/>
      <c r="N1786" s="846"/>
      <c r="O1786" s="737">
        <f t="shared" si="223"/>
        <v>0</v>
      </c>
      <c r="P1786" s="847"/>
      <c r="Q1786" s="847"/>
      <c r="R1786" s="738">
        <f t="shared" si="226"/>
        <v>0</v>
      </c>
      <c r="S1786" s="737">
        <f t="shared" si="227"/>
        <v>0</v>
      </c>
      <c r="T1786" s="739">
        <f t="shared" si="228"/>
        <v>0</v>
      </c>
      <c r="U1786" s="846"/>
      <c r="V1786" s="847"/>
      <c r="W1786" s="846"/>
      <c r="X1786" s="846"/>
      <c r="Y1786" s="740">
        <f t="shared" si="224"/>
        <v>0</v>
      </c>
      <c r="Z1786" s="847"/>
      <c r="AA1786" s="847"/>
      <c r="AB1786" s="741">
        <f t="shared" si="225"/>
        <v>0</v>
      </c>
      <c r="AC1786" s="846"/>
      <c r="AD1786" s="847"/>
      <c r="AE1786" s="846"/>
      <c r="AF1786" s="846"/>
      <c r="AG1786" s="847"/>
      <c r="AH1786" s="847"/>
      <c r="AI1786" s="742">
        <f t="shared" si="229"/>
        <v>0</v>
      </c>
      <c r="AJ1786" s="743">
        <f t="shared" si="230"/>
        <v>0</v>
      </c>
    </row>
    <row r="1787" spans="1:36">
      <c r="A1787" s="988" t="s">
        <v>153</v>
      </c>
      <c r="B1787" s="985" t="s">
        <v>252</v>
      </c>
      <c r="C1787" s="974" t="s">
        <v>311</v>
      </c>
      <c r="D1787" s="975"/>
      <c r="E1787" s="969"/>
      <c r="F1787" s="970"/>
      <c r="G1787" s="846"/>
      <c r="H1787" s="847"/>
      <c r="I1787" s="846"/>
      <c r="J1787" s="847"/>
      <c r="K1787" s="846"/>
      <c r="L1787" s="847"/>
      <c r="M1787" s="846"/>
      <c r="N1787" s="846"/>
      <c r="O1787" s="737">
        <f t="shared" si="223"/>
        <v>0</v>
      </c>
      <c r="P1787" s="847"/>
      <c r="Q1787" s="847"/>
      <c r="R1787" s="738">
        <f t="shared" si="226"/>
        <v>0</v>
      </c>
      <c r="S1787" s="737">
        <f t="shared" si="227"/>
        <v>0</v>
      </c>
      <c r="T1787" s="739">
        <f t="shared" si="228"/>
        <v>0</v>
      </c>
      <c r="U1787" s="846"/>
      <c r="V1787" s="847"/>
      <c r="W1787" s="846"/>
      <c r="X1787" s="846"/>
      <c r="Y1787" s="740">
        <f t="shared" si="224"/>
        <v>0</v>
      </c>
      <c r="Z1787" s="847"/>
      <c r="AA1787" s="847"/>
      <c r="AB1787" s="741">
        <f t="shared" si="225"/>
        <v>0</v>
      </c>
      <c r="AC1787" s="846"/>
      <c r="AD1787" s="847"/>
      <c r="AE1787" s="846"/>
      <c r="AF1787" s="846"/>
      <c r="AG1787" s="847"/>
      <c r="AH1787" s="847"/>
      <c r="AI1787" s="742">
        <f t="shared" si="229"/>
        <v>0</v>
      </c>
      <c r="AJ1787" s="743">
        <f t="shared" si="230"/>
        <v>0</v>
      </c>
    </row>
    <row r="1788" spans="1:36">
      <c r="A1788" s="988" t="s">
        <v>153</v>
      </c>
      <c r="B1788" s="985" t="s">
        <v>253</v>
      </c>
      <c r="C1788" s="974" t="s">
        <v>249</v>
      </c>
      <c r="D1788" s="975"/>
      <c r="E1788" s="969"/>
      <c r="F1788" s="970"/>
      <c r="G1788" s="846"/>
      <c r="H1788" s="847"/>
      <c r="I1788" s="846"/>
      <c r="J1788" s="847"/>
      <c r="K1788" s="846"/>
      <c r="L1788" s="847"/>
      <c r="M1788" s="846"/>
      <c r="N1788" s="846"/>
      <c r="O1788" s="737">
        <f t="shared" si="223"/>
        <v>0</v>
      </c>
      <c r="P1788" s="847"/>
      <c r="Q1788" s="847"/>
      <c r="R1788" s="738">
        <f t="shared" si="226"/>
        <v>0</v>
      </c>
      <c r="S1788" s="737">
        <f t="shared" si="227"/>
        <v>0</v>
      </c>
      <c r="T1788" s="739">
        <f t="shared" si="228"/>
        <v>0</v>
      </c>
      <c r="U1788" s="846"/>
      <c r="V1788" s="847"/>
      <c r="W1788" s="846"/>
      <c r="X1788" s="846"/>
      <c r="Y1788" s="740">
        <f t="shared" si="224"/>
        <v>0</v>
      </c>
      <c r="Z1788" s="847"/>
      <c r="AA1788" s="847"/>
      <c r="AB1788" s="741">
        <f t="shared" si="225"/>
        <v>0</v>
      </c>
      <c r="AC1788" s="846"/>
      <c r="AD1788" s="847"/>
      <c r="AE1788" s="846"/>
      <c r="AF1788" s="846"/>
      <c r="AG1788" s="847"/>
      <c r="AH1788" s="847"/>
      <c r="AI1788" s="742">
        <f t="shared" si="229"/>
        <v>0</v>
      </c>
      <c r="AJ1788" s="743">
        <f t="shared" si="230"/>
        <v>0</v>
      </c>
    </row>
    <row r="1789" spans="1:36">
      <c r="A1789" s="950" t="s">
        <v>153</v>
      </c>
      <c r="B1789" s="951" t="s">
        <v>293</v>
      </c>
      <c r="C1789" s="973" t="s">
        <v>758</v>
      </c>
      <c r="D1789" s="957"/>
      <c r="E1789" s="969"/>
      <c r="F1789" s="970"/>
      <c r="G1789" s="846"/>
      <c r="H1789" s="847"/>
      <c r="I1789" s="846"/>
      <c r="J1789" s="847"/>
      <c r="K1789" s="846"/>
      <c r="L1789" s="847"/>
      <c r="M1789" s="846"/>
      <c r="N1789" s="846"/>
      <c r="O1789" s="737">
        <f t="shared" si="223"/>
        <v>0</v>
      </c>
      <c r="P1789" s="847"/>
      <c r="Q1789" s="847"/>
      <c r="R1789" s="738">
        <f t="shared" si="226"/>
        <v>0</v>
      </c>
      <c r="S1789" s="737">
        <f t="shared" si="227"/>
        <v>0</v>
      </c>
      <c r="T1789" s="739">
        <f t="shared" si="228"/>
        <v>0</v>
      </c>
      <c r="U1789" s="846"/>
      <c r="V1789" s="847"/>
      <c r="W1789" s="846"/>
      <c r="X1789" s="846"/>
      <c r="Y1789" s="740">
        <f t="shared" si="224"/>
        <v>0</v>
      </c>
      <c r="Z1789" s="847"/>
      <c r="AA1789" s="847"/>
      <c r="AB1789" s="741">
        <f t="shared" si="225"/>
        <v>0</v>
      </c>
      <c r="AC1789" s="846"/>
      <c r="AD1789" s="847"/>
      <c r="AE1789" s="846"/>
      <c r="AF1789" s="846"/>
      <c r="AG1789" s="847"/>
      <c r="AH1789" s="847"/>
      <c r="AI1789" s="742">
        <f t="shared" si="229"/>
        <v>0</v>
      </c>
      <c r="AJ1789" s="743">
        <f t="shared" si="230"/>
        <v>0</v>
      </c>
    </row>
    <row r="1790" spans="1:36">
      <c r="A1790" s="950" t="s">
        <v>153</v>
      </c>
      <c r="B1790" s="985" t="s">
        <v>252</v>
      </c>
      <c r="C1790" s="974" t="s">
        <v>311</v>
      </c>
      <c r="D1790" s="975"/>
      <c r="E1790" s="969"/>
      <c r="F1790" s="970"/>
      <c r="G1790" s="846"/>
      <c r="H1790" s="847"/>
      <c r="I1790" s="846"/>
      <c r="J1790" s="847"/>
      <c r="K1790" s="846"/>
      <c r="L1790" s="847"/>
      <c r="M1790" s="846"/>
      <c r="N1790" s="846"/>
      <c r="O1790" s="737">
        <f t="shared" si="223"/>
        <v>0</v>
      </c>
      <c r="P1790" s="847"/>
      <c r="Q1790" s="847"/>
      <c r="R1790" s="738">
        <f t="shared" si="226"/>
        <v>0</v>
      </c>
      <c r="S1790" s="737">
        <f t="shared" si="227"/>
        <v>0</v>
      </c>
      <c r="T1790" s="739">
        <f t="shared" si="228"/>
        <v>0</v>
      </c>
      <c r="U1790" s="846"/>
      <c r="V1790" s="847"/>
      <c r="W1790" s="846"/>
      <c r="X1790" s="846"/>
      <c r="Y1790" s="740">
        <f t="shared" si="224"/>
        <v>0</v>
      </c>
      <c r="Z1790" s="847"/>
      <c r="AA1790" s="847"/>
      <c r="AB1790" s="741">
        <f t="shared" si="225"/>
        <v>0</v>
      </c>
      <c r="AC1790" s="846"/>
      <c r="AD1790" s="847"/>
      <c r="AE1790" s="846"/>
      <c r="AF1790" s="846"/>
      <c r="AG1790" s="847"/>
      <c r="AH1790" s="847"/>
      <c r="AI1790" s="742">
        <f t="shared" si="229"/>
        <v>0</v>
      </c>
      <c r="AJ1790" s="743">
        <f t="shared" si="230"/>
        <v>0</v>
      </c>
    </row>
    <row r="1791" spans="1:36">
      <c r="A1791" s="950" t="s">
        <v>153</v>
      </c>
      <c r="B1791" s="985" t="s">
        <v>253</v>
      </c>
      <c r="C1791" s="974" t="s">
        <v>249</v>
      </c>
      <c r="D1791" s="975"/>
      <c r="E1791" s="969"/>
      <c r="F1791" s="970"/>
      <c r="G1791" s="846"/>
      <c r="H1791" s="847"/>
      <c r="I1791" s="846"/>
      <c r="J1791" s="847"/>
      <c r="K1791" s="846"/>
      <c r="L1791" s="847"/>
      <c r="M1791" s="846"/>
      <c r="N1791" s="846"/>
      <c r="O1791" s="737">
        <f t="shared" si="223"/>
        <v>0</v>
      </c>
      <c r="P1791" s="847"/>
      <c r="Q1791" s="847"/>
      <c r="R1791" s="738">
        <f t="shared" si="226"/>
        <v>0</v>
      </c>
      <c r="S1791" s="737">
        <f t="shared" si="227"/>
        <v>0</v>
      </c>
      <c r="T1791" s="739">
        <f t="shared" si="228"/>
        <v>0</v>
      </c>
      <c r="U1791" s="846"/>
      <c r="V1791" s="847"/>
      <c r="W1791" s="846"/>
      <c r="X1791" s="846"/>
      <c r="Y1791" s="740">
        <f t="shared" si="224"/>
        <v>0</v>
      </c>
      <c r="Z1791" s="847"/>
      <c r="AA1791" s="847"/>
      <c r="AB1791" s="741">
        <f t="shared" si="225"/>
        <v>0</v>
      </c>
      <c r="AC1791" s="846"/>
      <c r="AD1791" s="847"/>
      <c r="AE1791" s="846"/>
      <c r="AF1791" s="846"/>
      <c r="AG1791" s="847"/>
      <c r="AH1791" s="847"/>
      <c r="AI1791" s="742">
        <f t="shared" si="229"/>
        <v>0</v>
      </c>
      <c r="AJ1791" s="743">
        <f t="shared" si="230"/>
        <v>0</v>
      </c>
    </row>
    <row r="1792" spans="1:36">
      <c r="A1792" s="950" t="s">
        <v>153</v>
      </c>
      <c r="B1792" s="951" t="s">
        <v>293</v>
      </c>
      <c r="C1792" s="973" t="s">
        <v>759</v>
      </c>
      <c r="D1792" s="957"/>
      <c r="E1792" s="969"/>
      <c r="F1792" s="970"/>
      <c r="G1792" s="846"/>
      <c r="H1792" s="847"/>
      <c r="I1792" s="846"/>
      <c r="J1792" s="847"/>
      <c r="K1792" s="846"/>
      <c r="L1792" s="847"/>
      <c r="M1792" s="846"/>
      <c r="N1792" s="846"/>
      <c r="O1792" s="737">
        <f t="shared" si="223"/>
        <v>0</v>
      </c>
      <c r="P1792" s="847"/>
      <c r="Q1792" s="847"/>
      <c r="R1792" s="738">
        <f t="shared" si="226"/>
        <v>0</v>
      </c>
      <c r="S1792" s="737">
        <f t="shared" si="227"/>
        <v>0</v>
      </c>
      <c r="T1792" s="739">
        <f t="shared" si="228"/>
        <v>0</v>
      </c>
      <c r="U1792" s="846"/>
      <c r="V1792" s="847"/>
      <c r="W1792" s="846"/>
      <c r="X1792" s="846"/>
      <c r="Y1792" s="740">
        <f t="shared" si="224"/>
        <v>0</v>
      </c>
      <c r="Z1792" s="847"/>
      <c r="AA1792" s="847"/>
      <c r="AB1792" s="741">
        <f t="shared" si="225"/>
        <v>0</v>
      </c>
      <c r="AC1792" s="846"/>
      <c r="AD1792" s="847"/>
      <c r="AE1792" s="846"/>
      <c r="AF1792" s="846"/>
      <c r="AG1792" s="847"/>
      <c r="AH1792" s="847"/>
      <c r="AI1792" s="742">
        <f t="shared" si="229"/>
        <v>0</v>
      </c>
      <c r="AJ1792" s="743">
        <f t="shared" si="230"/>
        <v>0</v>
      </c>
    </row>
    <row r="1793" spans="1:36">
      <c r="A1793" s="950" t="s">
        <v>153</v>
      </c>
      <c r="B1793" s="951" t="s">
        <v>252</v>
      </c>
      <c r="C1793" s="956" t="s">
        <v>311</v>
      </c>
      <c r="D1793" s="957"/>
      <c r="E1793" s="969"/>
      <c r="F1793" s="970"/>
      <c r="G1793" s="846"/>
      <c r="H1793" s="847"/>
      <c r="I1793" s="846"/>
      <c r="J1793" s="847"/>
      <c r="K1793" s="846"/>
      <c r="L1793" s="847"/>
      <c r="M1793" s="846"/>
      <c r="N1793" s="846"/>
      <c r="O1793" s="737">
        <f t="shared" si="223"/>
        <v>0</v>
      </c>
      <c r="P1793" s="847"/>
      <c r="Q1793" s="847"/>
      <c r="R1793" s="738">
        <f t="shared" si="226"/>
        <v>0</v>
      </c>
      <c r="S1793" s="737">
        <f t="shared" si="227"/>
        <v>0</v>
      </c>
      <c r="T1793" s="739">
        <f t="shared" si="228"/>
        <v>0</v>
      </c>
      <c r="U1793" s="846"/>
      <c r="V1793" s="847"/>
      <c r="W1793" s="846"/>
      <c r="X1793" s="846"/>
      <c r="Y1793" s="740">
        <f t="shared" si="224"/>
        <v>0</v>
      </c>
      <c r="Z1793" s="847"/>
      <c r="AA1793" s="847"/>
      <c r="AB1793" s="741">
        <f t="shared" si="225"/>
        <v>0</v>
      </c>
      <c r="AC1793" s="846"/>
      <c r="AD1793" s="847"/>
      <c r="AE1793" s="846"/>
      <c r="AF1793" s="846"/>
      <c r="AG1793" s="847"/>
      <c r="AH1793" s="847"/>
      <c r="AI1793" s="742">
        <f t="shared" si="229"/>
        <v>0</v>
      </c>
      <c r="AJ1793" s="743">
        <f t="shared" si="230"/>
        <v>0</v>
      </c>
    </row>
    <row r="1794" spans="1:36">
      <c r="A1794" s="950" t="s">
        <v>153</v>
      </c>
      <c r="B1794" s="951" t="s">
        <v>253</v>
      </c>
      <c r="C1794" s="956" t="s">
        <v>249</v>
      </c>
      <c r="D1794" s="957"/>
      <c r="E1794" s="969"/>
      <c r="F1794" s="970"/>
      <c r="G1794" s="846"/>
      <c r="H1794" s="847"/>
      <c r="I1794" s="846"/>
      <c r="J1794" s="847"/>
      <c r="K1794" s="846"/>
      <c r="L1794" s="847"/>
      <c r="M1794" s="846"/>
      <c r="N1794" s="846"/>
      <c r="O1794" s="737">
        <f t="shared" si="223"/>
        <v>0</v>
      </c>
      <c r="P1794" s="847"/>
      <c r="Q1794" s="847"/>
      <c r="R1794" s="738">
        <f t="shared" si="226"/>
        <v>0</v>
      </c>
      <c r="S1794" s="737">
        <f t="shared" si="227"/>
        <v>0</v>
      </c>
      <c r="T1794" s="739">
        <f t="shared" si="228"/>
        <v>0</v>
      </c>
      <c r="U1794" s="846">
        <v>3258000</v>
      </c>
      <c r="V1794" s="847">
        <v>3258000</v>
      </c>
      <c r="W1794" s="846"/>
      <c r="X1794" s="846"/>
      <c r="Y1794" s="740">
        <f t="shared" si="224"/>
        <v>0</v>
      </c>
      <c r="Z1794" s="847"/>
      <c r="AA1794" s="847"/>
      <c r="AB1794" s="741">
        <f t="shared" si="225"/>
        <v>0</v>
      </c>
      <c r="AC1794" s="846"/>
      <c r="AD1794" s="847"/>
      <c r="AE1794" s="846"/>
      <c r="AF1794" s="846"/>
      <c r="AG1794" s="847"/>
      <c r="AH1794" s="847"/>
      <c r="AI1794" s="742">
        <f t="shared" si="229"/>
        <v>3258000</v>
      </c>
      <c r="AJ1794" s="743">
        <f t="shared" si="230"/>
        <v>3258000</v>
      </c>
    </row>
    <row r="1795" spans="1:36">
      <c r="A1795" s="950" t="s">
        <v>153</v>
      </c>
      <c r="B1795" s="951" t="s">
        <v>294</v>
      </c>
      <c r="C1795" s="971" t="s">
        <v>307</v>
      </c>
      <c r="D1795" s="972"/>
      <c r="E1795" s="969"/>
      <c r="F1795" s="970"/>
      <c r="G1795" s="846"/>
      <c r="H1795" s="847"/>
      <c r="I1795" s="846"/>
      <c r="J1795" s="847"/>
      <c r="K1795" s="846"/>
      <c r="L1795" s="847"/>
      <c r="M1795" s="846"/>
      <c r="N1795" s="846"/>
      <c r="O1795" s="737">
        <f t="shared" si="223"/>
        <v>0</v>
      </c>
      <c r="P1795" s="847"/>
      <c r="Q1795" s="847"/>
      <c r="R1795" s="738">
        <f t="shared" si="226"/>
        <v>0</v>
      </c>
      <c r="S1795" s="737">
        <f t="shared" si="227"/>
        <v>0</v>
      </c>
      <c r="T1795" s="739">
        <f t="shared" si="228"/>
        <v>0</v>
      </c>
      <c r="U1795" s="846"/>
      <c r="V1795" s="847"/>
      <c r="W1795" s="846"/>
      <c r="X1795" s="846"/>
      <c r="Y1795" s="740">
        <f t="shared" si="224"/>
        <v>0</v>
      </c>
      <c r="Z1795" s="847"/>
      <c r="AA1795" s="847"/>
      <c r="AB1795" s="741">
        <f t="shared" si="225"/>
        <v>0</v>
      </c>
      <c r="AC1795" s="846"/>
      <c r="AD1795" s="847"/>
      <c r="AE1795" s="846"/>
      <c r="AF1795" s="846"/>
      <c r="AG1795" s="847"/>
      <c r="AH1795" s="847"/>
      <c r="AI1795" s="742">
        <f t="shared" si="229"/>
        <v>0</v>
      </c>
      <c r="AJ1795" s="743">
        <f t="shared" si="230"/>
        <v>0</v>
      </c>
    </row>
    <row r="1796" spans="1:36">
      <c r="A1796" s="950" t="s">
        <v>153</v>
      </c>
      <c r="B1796" s="951" t="s">
        <v>294</v>
      </c>
      <c r="C1796" s="973" t="s">
        <v>760</v>
      </c>
      <c r="D1796" s="957"/>
      <c r="E1796" s="969"/>
      <c r="F1796" s="970"/>
      <c r="G1796" s="846"/>
      <c r="H1796" s="847"/>
      <c r="I1796" s="846"/>
      <c r="J1796" s="847"/>
      <c r="K1796" s="846"/>
      <c r="L1796" s="847"/>
      <c r="M1796" s="846"/>
      <c r="N1796" s="846"/>
      <c r="O1796" s="737">
        <f t="shared" si="223"/>
        <v>0</v>
      </c>
      <c r="P1796" s="847"/>
      <c r="Q1796" s="847"/>
      <c r="R1796" s="738">
        <f t="shared" si="226"/>
        <v>0</v>
      </c>
      <c r="S1796" s="737">
        <f t="shared" si="227"/>
        <v>0</v>
      </c>
      <c r="T1796" s="739">
        <f t="shared" si="228"/>
        <v>0</v>
      </c>
      <c r="U1796" s="846"/>
      <c r="V1796" s="847"/>
      <c r="W1796" s="846"/>
      <c r="X1796" s="846"/>
      <c r="Y1796" s="740">
        <f t="shared" si="224"/>
        <v>0</v>
      </c>
      <c r="Z1796" s="847"/>
      <c r="AA1796" s="847"/>
      <c r="AB1796" s="741">
        <f t="shared" si="225"/>
        <v>0</v>
      </c>
      <c r="AC1796" s="846"/>
      <c r="AD1796" s="847"/>
      <c r="AE1796" s="846"/>
      <c r="AF1796" s="846"/>
      <c r="AG1796" s="847"/>
      <c r="AH1796" s="847"/>
      <c r="AI1796" s="742">
        <f t="shared" si="229"/>
        <v>0</v>
      </c>
      <c r="AJ1796" s="743">
        <f t="shared" si="230"/>
        <v>0</v>
      </c>
    </row>
    <row r="1797" spans="1:36">
      <c r="A1797" s="950" t="s">
        <v>153</v>
      </c>
      <c r="B1797" s="985" t="s">
        <v>254</v>
      </c>
      <c r="C1797" s="974" t="s">
        <v>311</v>
      </c>
      <c r="D1797" s="975"/>
      <c r="E1797" s="969"/>
      <c r="F1797" s="970"/>
      <c r="G1797" s="846"/>
      <c r="H1797" s="847"/>
      <c r="I1797" s="846"/>
      <c r="J1797" s="847"/>
      <c r="K1797" s="846"/>
      <c r="L1797" s="847"/>
      <c r="M1797" s="846"/>
      <c r="N1797" s="846"/>
      <c r="O1797" s="737">
        <f t="shared" si="223"/>
        <v>0</v>
      </c>
      <c r="P1797" s="847"/>
      <c r="Q1797" s="847"/>
      <c r="R1797" s="738">
        <f t="shared" si="226"/>
        <v>0</v>
      </c>
      <c r="S1797" s="737">
        <f t="shared" si="227"/>
        <v>0</v>
      </c>
      <c r="T1797" s="739">
        <f t="shared" si="228"/>
        <v>0</v>
      </c>
      <c r="U1797" s="846"/>
      <c r="V1797" s="847"/>
      <c r="W1797" s="846"/>
      <c r="X1797" s="846"/>
      <c r="Y1797" s="740">
        <f t="shared" si="224"/>
        <v>0</v>
      </c>
      <c r="Z1797" s="847"/>
      <c r="AA1797" s="847"/>
      <c r="AB1797" s="741">
        <f t="shared" si="225"/>
        <v>0</v>
      </c>
      <c r="AC1797" s="846"/>
      <c r="AD1797" s="847"/>
      <c r="AE1797" s="846"/>
      <c r="AF1797" s="846"/>
      <c r="AG1797" s="847"/>
      <c r="AH1797" s="847"/>
      <c r="AI1797" s="742">
        <f t="shared" si="229"/>
        <v>0</v>
      </c>
      <c r="AJ1797" s="743">
        <f t="shared" si="230"/>
        <v>0</v>
      </c>
    </row>
    <row r="1798" spans="1:36">
      <c r="A1798" s="950" t="s">
        <v>153</v>
      </c>
      <c r="B1798" s="985" t="s">
        <v>255</v>
      </c>
      <c r="C1798" s="974" t="s">
        <v>249</v>
      </c>
      <c r="D1798" s="975"/>
      <c r="E1798" s="969"/>
      <c r="F1798" s="970"/>
      <c r="G1798" s="846"/>
      <c r="H1798" s="847"/>
      <c r="I1798" s="846"/>
      <c r="J1798" s="847"/>
      <c r="K1798" s="846"/>
      <c r="L1798" s="847"/>
      <c r="M1798" s="846"/>
      <c r="N1798" s="846"/>
      <c r="O1798" s="737">
        <f t="shared" si="223"/>
        <v>0</v>
      </c>
      <c r="P1798" s="847"/>
      <c r="Q1798" s="847"/>
      <c r="R1798" s="738">
        <f t="shared" si="226"/>
        <v>0</v>
      </c>
      <c r="S1798" s="737">
        <f t="shared" si="227"/>
        <v>0</v>
      </c>
      <c r="T1798" s="739">
        <f t="shared" si="228"/>
        <v>0</v>
      </c>
      <c r="U1798" s="846"/>
      <c r="V1798" s="847"/>
      <c r="W1798" s="846"/>
      <c r="X1798" s="846"/>
      <c r="Y1798" s="740">
        <f t="shared" si="224"/>
        <v>0</v>
      </c>
      <c r="Z1798" s="847"/>
      <c r="AA1798" s="847"/>
      <c r="AB1798" s="741">
        <f t="shared" si="225"/>
        <v>0</v>
      </c>
      <c r="AC1798" s="846"/>
      <c r="AD1798" s="847"/>
      <c r="AE1798" s="846"/>
      <c r="AF1798" s="846"/>
      <c r="AG1798" s="847"/>
      <c r="AH1798" s="847"/>
      <c r="AI1798" s="742">
        <f t="shared" si="229"/>
        <v>0</v>
      </c>
      <c r="AJ1798" s="743">
        <f t="shared" si="230"/>
        <v>0</v>
      </c>
    </row>
    <row r="1799" spans="1:36">
      <c r="A1799" s="950" t="s">
        <v>153</v>
      </c>
      <c r="B1799" s="951" t="s">
        <v>294</v>
      </c>
      <c r="C1799" s="973" t="s">
        <v>761</v>
      </c>
      <c r="D1799" s="957"/>
      <c r="E1799" s="969"/>
      <c r="F1799" s="970"/>
      <c r="G1799" s="846"/>
      <c r="H1799" s="847"/>
      <c r="I1799" s="846"/>
      <c r="J1799" s="847"/>
      <c r="K1799" s="846"/>
      <c r="L1799" s="847"/>
      <c r="M1799" s="846"/>
      <c r="N1799" s="846"/>
      <c r="O1799" s="737">
        <f t="shared" si="223"/>
        <v>0</v>
      </c>
      <c r="P1799" s="847"/>
      <c r="Q1799" s="847"/>
      <c r="R1799" s="738">
        <f t="shared" si="226"/>
        <v>0</v>
      </c>
      <c r="S1799" s="737">
        <f t="shared" si="227"/>
        <v>0</v>
      </c>
      <c r="T1799" s="739">
        <f t="shared" si="228"/>
        <v>0</v>
      </c>
      <c r="U1799" s="846"/>
      <c r="V1799" s="847"/>
      <c r="W1799" s="846"/>
      <c r="X1799" s="846"/>
      <c r="Y1799" s="740">
        <f t="shared" si="224"/>
        <v>0</v>
      </c>
      <c r="Z1799" s="847"/>
      <c r="AA1799" s="847"/>
      <c r="AB1799" s="741">
        <f t="shared" si="225"/>
        <v>0</v>
      </c>
      <c r="AC1799" s="846"/>
      <c r="AD1799" s="847"/>
      <c r="AE1799" s="846"/>
      <c r="AF1799" s="846"/>
      <c r="AG1799" s="847"/>
      <c r="AH1799" s="847"/>
      <c r="AI1799" s="742">
        <f t="shared" si="229"/>
        <v>0</v>
      </c>
      <c r="AJ1799" s="743">
        <f t="shared" si="230"/>
        <v>0</v>
      </c>
    </row>
    <row r="1800" spans="1:36">
      <c r="A1800" s="950" t="s">
        <v>153</v>
      </c>
      <c r="B1800" s="985" t="s">
        <v>254</v>
      </c>
      <c r="C1800" s="974" t="s">
        <v>311</v>
      </c>
      <c r="D1800" s="975"/>
      <c r="E1800" s="969"/>
      <c r="F1800" s="970"/>
      <c r="G1800" s="846"/>
      <c r="H1800" s="847"/>
      <c r="I1800" s="846"/>
      <c r="J1800" s="847"/>
      <c r="K1800" s="846"/>
      <c r="L1800" s="847"/>
      <c r="M1800" s="846"/>
      <c r="N1800" s="846"/>
      <c r="O1800" s="737">
        <f t="shared" si="223"/>
        <v>0</v>
      </c>
      <c r="P1800" s="847"/>
      <c r="Q1800" s="847"/>
      <c r="R1800" s="738">
        <f t="shared" si="226"/>
        <v>0</v>
      </c>
      <c r="S1800" s="737">
        <f t="shared" si="227"/>
        <v>0</v>
      </c>
      <c r="T1800" s="739">
        <f t="shared" si="228"/>
        <v>0</v>
      </c>
      <c r="U1800" s="846">
        <v>86351588</v>
      </c>
      <c r="V1800" s="847">
        <v>86351588</v>
      </c>
      <c r="W1800" s="846"/>
      <c r="X1800" s="846"/>
      <c r="Y1800" s="740">
        <f t="shared" si="224"/>
        <v>0</v>
      </c>
      <c r="Z1800" s="847"/>
      <c r="AA1800" s="847"/>
      <c r="AB1800" s="741">
        <f t="shared" si="225"/>
        <v>0</v>
      </c>
      <c r="AC1800" s="846"/>
      <c r="AD1800" s="847"/>
      <c r="AE1800" s="846"/>
      <c r="AF1800" s="846"/>
      <c r="AG1800" s="847"/>
      <c r="AH1800" s="847"/>
      <c r="AI1800" s="742">
        <f t="shared" si="229"/>
        <v>86351588</v>
      </c>
      <c r="AJ1800" s="743">
        <f t="shared" si="230"/>
        <v>86351588</v>
      </c>
    </row>
    <row r="1801" spans="1:36">
      <c r="A1801" s="950" t="s">
        <v>153</v>
      </c>
      <c r="B1801" s="985" t="s">
        <v>255</v>
      </c>
      <c r="C1801" s="974" t="s">
        <v>249</v>
      </c>
      <c r="D1801" s="975"/>
      <c r="E1801" s="969"/>
      <c r="F1801" s="970"/>
      <c r="G1801" s="846"/>
      <c r="H1801" s="847"/>
      <c r="I1801" s="846"/>
      <c r="J1801" s="847"/>
      <c r="K1801" s="846"/>
      <c r="L1801" s="847"/>
      <c r="M1801" s="846"/>
      <c r="N1801" s="846"/>
      <c r="O1801" s="737">
        <f t="shared" si="223"/>
        <v>0</v>
      </c>
      <c r="P1801" s="847"/>
      <c r="Q1801" s="847"/>
      <c r="R1801" s="738">
        <f t="shared" si="226"/>
        <v>0</v>
      </c>
      <c r="S1801" s="737">
        <f t="shared" si="227"/>
        <v>0</v>
      </c>
      <c r="T1801" s="739">
        <f t="shared" si="228"/>
        <v>0</v>
      </c>
      <c r="U1801" s="846"/>
      <c r="V1801" s="847"/>
      <c r="W1801" s="846"/>
      <c r="X1801" s="846"/>
      <c r="Y1801" s="740">
        <f t="shared" si="224"/>
        <v>0</v>
      </c>
      <c r="Z1801" s="847"/>
      <c r="AA1801" s="847"/>
      <c r="AB1801" s="741">
        <f t="shared" si="225"/>
        <v>0</v>
      </c>
      <c r="AC1801" s="846"/>
      <c r="AD1801" s="847"/>
      <c r="AE1801" s="846"/>
      <c r="AF1801" s="846"/>
      <c r="AG1801" s="847"/>
      <c r="AH1801" s="847"/>
      <c r="AI1801" s="742">
        <f t="shared" si="229"/>
        <v>0</v>
      </c>
      <c r="AJ1801" s="743">
        <f t="shared" si="230"/>
        <v>0</v>
      </c>
    </row>
    <row r="1802" spans="1:36">
      <c r="A1802" s="950" t="s">
        <v>153</v>
      </c>
      <c r="B1802" s="951" t="s">
        <v>294</v>
      </c>
      <c r="C1802" s="973" t="s">
        <v>762</v>
      </c>
      <c r="D1802" s="957"/>
      <c r="E1802" s="969"/>
      <c r="F1802" s="970"/>
      <c r="G1802" s="846"/>
      <c r="H1802" s="847"/>
      <c r="I1802" s="846"/>
      <c r="J1802" s="847"/>
      <c r="K1802" s="846"/>
      <c r="L1802" s="847"/>
      <c r="M1802" s="846"/>
      <c r="N1802" s="846"/>
      <c r="O1802" s="737">
        <f t="shared" ref="O1802:O1865" si="231">SUM(M1802:N1802)</f>
        <v>0</v>
      </c>
      <c r="P1802" s="847"/>
      <c r="Q1802" s="847"/>
      <c r="R1802" s="738">
        <f t="shared" si="226"/>
        <v>0</v>
      </c>
      <c r="S1802" s="737">
        <f t="shared" si="227"/>
        <v>0</v>
      </c>
      <c r="T1802" s="739">
        <f t="shared" si="228"/>
        <v>0</v>
      </c>
      <c r="U1802" s="846"/>
      <c r="V1802" s="847"/>
      <c r="W1802" s="846"/>
      <c r="X1802" s="846"/>
      <c r="Y1802" s="740">
        <f t="shared" ref="Y1802:Y1865" si="232">SUM(W1802:X1802)</f>
        <v>0</v>
      </c>
      <c r="Z1802" s="847"/>
      <c r="AA1802" s="847"/>
      <c r="AB1802" s="741">
        <f t="shared" ref="AB1802:AB1865" si="233">SUM(Z1802:AA1802)</f>
        <v>0</v>
      </c>
      <c r="AC1802" s="846"/>
      <c r="AD1802" s="847"/>
      <c r="AE1802" s="846"/>
      <c r="AF1802" s="846"/>
      <c r="AG1802" s="847"/>
      <c r="AH1802" s="847"/>
      <c r="AI1802" s="742">
        <f t="shared" si="229"/>
        <v>0</v>
      </c>
      <c r="AJ1802" s="743">
        <f t="shared" si="230"/>
        <v>0</v>
      </c>
    </row>
    <row r="1803" spans="1:36">
      <c r="A1803" s="950" t="s">
        <v>153</v>
      </c>
      <c r="B1803" s="985" t="s">
        <v>254</v>
      </c>
      <c r="C1803" s="974" t="s">
        <v>311</v>
      </c>
      <c r="D1803" s="975"/>
      <c r="E1803" s="969"/>
      <c r="F1803" s="970"/>
      <c r="G1803" s="846"/>
      <c r="H1803" s="847"/>
      <c r="I1803" s="846"/>
      <c r="J1803" s="847"/>
      <c r="K1803" s="846"/>
      <c r="L1803" s="847"/>
      <c r="M1803" s="846"/>
      <c r="N1803" s="846"/>
      <c r="O1803" s="737">
        <f t="shared" si="231"/>
        <v>0</v>
      </c>
      <c r="P1803" s="847"/>
      <c r="Q1803" s="847"/>
      <c r="R1803" s="738">
        <f t="shared" ref="R1803:R1866" si="234">SUM(P1803:Q1803)</f>
        <v>0</v>
      </c>
      <c r="S1803" s="737">
        <f t="shared" ref="S1803:S1866" si="235">SUM(G1803,I1803,K1803,M1803)</f>
        <v>0</v>
      </c>
      <c r="T1803" s="739">
        <f t="shared" ref="T1803:T1866" si="236">SUM(H1803,J1803,L1803,P1803)</f>
        <v>0</v>
      </c>
      <c r="U1803" s="846"/>
      <c r="V1803" s="847"/>
      <c r="W1803" s="846"/>
      <c r="X1803" s="846"/>
      <c r="Y1803" s="740">
        <f t="shared" si="232"/>
        <v>0</v>
      </c>
      <c r="Z1803" s="847"/>
      <c r="AA1803" s="847"/>
      <c r="AB1803" s="741">
        <f t="shared" si="233"/>
        <v>0</v>
      </c>
      <c r="AC1803" s="846"/>
      <c r="AD1803" s="847"/>
      <c r="AE1803" s="846"/>
      <c r="AF1803" s="846"/>
      <c r="AG1803" s="847"/>
      <c r="AH1803" s="847"/>
      <c r="AI1803" s="742">
        <f t="shared" ref="AI1803:AI1866" si="237">SUM(S1803,U1803,W1803,AC1803,AE1803)</f>
        <v>0</v>
      </c>
      <c r="AJ1803" s="743">
        <f t="shared" ref="AJ1803:AJ1866" si="238">SUM(T1803,V1803,Z1803,AD1803,AG1803)</f>
        <v>0</v>
      </c>
    </row>
    <row r="1804" spans="1:36">
      <c r="A1804" s="950" t="s">
        <v>153</v>
      </c>
      <c r="B1804" s="985" t="s">
        <v>255</v>
      </c>
      <c r="C1804" s="974" t="s">
        <v>249</v>
      </c>
      <c r="D1804" s="975"/>
      <c r="E1804" s="969"/>
      <c r="F1804" s="970"/>
      <c r="G1804" s="846"/>
      <c r="H1804" s="847"/>
      <c r="I1804" s="846"/>
      <c r="J1804" s="847"/>
      <c r="K1804" s="846"/>
      <c r="L1804" s="847"/>
      <c r="M1804" s="846"/>
      <c r="N1804" s="846"/>
      <c r="O1804" s="737">
        <f t="shared" si="231"/>
        <v>0</v>
      </c>
      <c r="P1804" s="847"/>
      <c r="Q1804" s="847"/>
      <c r="R1804" s="738">
        <f t="shared" si="234"/>
        <v>0</v>
      </c>
      <c r="S1804" s="737">
        <f t="shared" si="235"/>
        <v>0</v>
      </c>
      <c r="T1804" s="739">
        <f t="shared" si="236"/>
        <v>0</v>
      </c>
      <c r="U1804" s="846"/>
      <c r="V1804" s="847"/>
      <c r="W1804" s="846"/>
      <c r="X1804" s="846"/>
      <c r="Y1804" s="740">
        <f t="shared" si="232"/>
        <v>0</v>
      </c>
      <c r="Z1804" s="847"/>
      <c r="AA1804" s="847"/>
      <c r="AB1804" s="741">
        <f t="shared" si="233"/>
        <v>0</v>
      </c>
      <c r="AC1804" s="846"/>
      <c r="AD1804" s="847"/>
      <c r="AE1804" s="846"/>
      <c r="AF1804" s="846"/>
      <c r="AG1804" s="847"/>
      <c r="AH1804" s="847"/>
      <c r="AI1804" s="742">
        <f t="shared" si="237"/>
        <v>0</v>
      </c>
      <c r="AJ1804" s="743">
        <f t="shared" si="238"/>
        <v>0</v>
      </c>
    </row>
    <row r="1805" spans="1:36">
      <c r="A1805" s="1060" t="s">
        <v>153</v>
      </c>
      <c r="B1805" s="841" t="s">
        <v>264</v>
      </c>
      <c r="C1805" s="841" t="s">
        <v>1319</v>
      </c>
      <c r="D1805" s="872"/>
      <c r="E1805" s="844">
        <v>197887</v>
      </c>
      <c r="F1805" s="845">
        <v>8</v>
      </c>
      <c r="G1805" s="846">
        <v>21678608</v>
      </c>
      <c r="H1805" s="847">
        <v>22803445</v>
      </c>
      <c r="I1805" s="846"/>
      <c r="J1805" s="847"/>
      <c r="K1805" s="846">
        <v>8377999</v>
      </c>
      <c r="L1805" s="847">
        <v>8448760</v>
      </c>
      <c r="M1805" s="846">
        <v>11368277</v>
      </c>
      <c r="N1805" s="846"/>
      <c r="O1805" s="737">
        <f t="shared" si="231"/>
        <v>11368277</v>
      </c>
      <c r="P1805" s="1230">
        <v>11101588</v>
      </c>
      <c r="Q1805" s="847"/>
      <c r="R1805" s="738">
        <f t="shared" si="234"/>
        <v>11101588</v>
      </c>
      <c r="S1805" s="737">
        <f t="shared" si="235"/>
        <v>41424884</v>
      </c>
      <c r="T1805" s="739">
        <f t="shared" si="236"/>
        <v>42353793</v>
      </c>
      <c r="U1805" s="846"/>
      <c r="V1805" s="847"/>
      <c r="W1805" s="846"/>
      <c r="X1805" s="846"/>
      <c r="Y1805" s="740">
        <f t="shared" si="232"/>
        <v>0</v>
      </c>
      <c r="Z1805" s="1230"/>
      <c r="AA1805" s="847"/>
      <c r="AB1805" s="741">
        <f t="shared" si="233"/>
        <v>0</v>
      </c>
      <c r="AC1805" s="846"/>
      <c r="AD1805" s="847"/>
      <c r="AE1805" s="846"/>
      <c r="AF1805" s="846"/>
      <c r="AG1805" s="1230"/>
      <c r="AH1805" s="847"/>
      <c r="AI1805" s="742">
        <f t="shared" si="237"/>
        <v>41424884</v>
      </c>
      <c r="AJ1805" s="743">
        <f t="shared" si="238"/>
        <v>42353793</v>
      </c>
    </row>
    <row r="1806" spans="1:36">
      <c r="A1806" s="840" t="s">
        <v>153</v>
      </c>
      <c r="B1806" s="841" t="s">
        <v>264</v>
      </c>
      <c r="C1806" s="848" t="s">
        <v>1320</v>
      </c>
      <c r="D1806" s="849"/>
      <c r="E1806" s="844">
        <v>197887</v>
      </c>
      <c r="F1806" s="845">
        <v>8</v>
      </c>
      <c r="G1806" s="846"/>
      <c r="H1806" s="847"/>
      <c r="I1806" s="846"/>
      <c r="J1806" s="847"/>
      <c r="K1806" s="846"/>
      <c r="L1806" s="847"/>
      <c r="M1806" s="846"/>
      <c r="N1806" s="846"/>
      <c r="O1806" s="737">
        <f t="shared" si="231"/>
        <v>0</v>
      </c>
      <c r="P1806" s="847"/>
      <c r="Q1806" s="847"/>
      <c r="R1806" s="738">
        <f t="shared" si="234"/>
        <v>0</v>
      </c>
      <c r="S1806" s="737">
        <f t="shared" si="235"/>
        <v>0</v>
      </c>
      <c r="T1806" s="739">
        <f t="shared" si="236"/>
        <v>0</v>
      </c>
      <c r="U1806" s="846"/>
      <c r="V1806" s="847"/>
      <c r="W1806" s="846"/>
      <c r="X1806" s="846"/>
      <c r="Y1806" s="740">
        <f t="shared" si="232"/>
        <v>0</v>
      </c>
      <c r="Z1806" s="847"/>
      <c r="AA1806" s="847"/>
      <c r="AB1806" s="741">
        <f t="shared" si="233"/>
        <v>0</v>
      </c>
      <c r="AC1806" s="846"/>
      <c r="AD1806" s="847"/>
      <c r="AE1806" s="846"/>
      <c r="AF1806" s="846"/>
      <c r="AG1806" s="847"/>
      <c r="AH1806" s="847"/>
      <c r="AI1806" s="742">
        <f t="shared" si="237"/>
        <v>0</v>
      </c>
      <c r="AJ1806" s="743">
        <f t="shared" si="238"/>
        <v>0</v>
      </c>
    </row>
    <row r="1807" spans="1:36">
      <c r="A1807" s="840" t="s">
        <v>153</v>
      </c>
      <c r="B1807" s="841" t="s">
        <v>266</v>
      </c>
      <c r="C1807" s="848" t="s">
        <v>319</v>
      </c>
      <c r="D1807" s="849"/>
      <c r="E1807" s="844">
        <v>197887</v>
      </c>
      <c r="F1807" s="845">
        <v>8</v>
      </c>
      <c r="G1807" s="846"/>
      <c r="H1807" s="847"/>
      <c r="I1807" s="846">
        <v>171867</v>
      </c>
      <c r="J1807" s="847">
        <v>173795</v>
      </c>
      <c r="K1807" s="846"/>
      <c r="L1807" s="847"/>
      <c r="M1807" s="846"/>
      <c r="N1807" s="846"/>
      <c r="O1807" s="737">
        <f t="shared" si="231"/>
        <v>0</v>
      </c>
      <c r="P1807" s="847"/>
      <c r="Q1807" s="847"/>
      <c r="R1807" s="738">
        <f t="shared" si="234"/>
        <v>0</v>
      </c>
      <c r="S1807" s="737">
        <f t="shared" si="235"/>
        <v>171867</v>
      </c>
      <c r="T1807" s="739">
        <f t="shared" si="236"/>
        <v>173795</v>
      </c>
      <c r="U1807" s="846"/>
      <c r="V1807" s="847"/>
      <c r="W1807" s="846"/>
      <c r="X1807" s="846"/>
      <c r="Y1807" s="740">
        <f t="shared" si="232"/>
        <v>0</v>
      </c>
      <c r="Z1807" s="847"/>
      <c r="AA1807" s="847"/>
      <c r="AB1807" s="741">
        <f t="shared" si="233"/>
        <v>0</v>
      </c>
      <c r="AC1807" s="846"/>
      <c r="AD1807" s="847"/>
      <c r="AE1807" s="846"/>
      <c r="AF1807" s="846"/>
      <c r="AG1807" s="847"/>
      <c r="AH1807" s="847"/>
      <c r="AI1807" s="742">
        <f t="shared" si="237"/>
        <v>171867</v>
      </c>
      <c r="AJ1807" s="743">
        <f t="shared" si="238"/>
        <v>173795</v>
      </c>
    </row>
    <row r="1808" spans="1:36">
      <c r="A1808" s="840" t="s">
        <v>153</v>
      </c>
      <c r="B1808" s="841" t="s">
        <v>275</v>
      </c>
      <c r="C1808" s="848" t="s">
        <v>258</v>
      </c>
      <c r="D1808" s="849"/>
      <c r="E1808" s="844">
        <v>197887</v>
      </c>
      <c r="F1808" s="845">
        <v>8</v>
      </c>
      <c r="G1808" s="846"/>
      <c r="H1808" s="847"/>
      <c r="I1808" s="846">
        <v>2802021</v>
      </c>
      <c r="J1808" s="847">
        <v>2915406</v>
      </c>
      <c r="K1808" s="846"/>
      <c r="L1808" s="847"/>
      <c r="M1808" s="846">
        <v>400836</v>
      </c>
      <c r="N1808" s="846"/>
      <c r="O1808" s="737">
        <f t="shared" si="231"/>
        <v>400836</v>
      </c>
      <c r="P1808" s="1230">
        <v>407315</v>
      </c>
      <c r="Q1808" s="847"/>
      <c r="R1808" s="738">
        <f t="shared" si="234"/>
        <v>407315</v>
      </c>
      <c r="S1808" s="737">
        <f t="shared" si="235"/>
        <v>3202857</v>
      </c>
      <c r="T1808" s="739">
        <f t="shared" si="236"/>
        <v>3322721</v>
      </c>
      <c r="U1808" s="846"/>
      <c r="V1808" s="847"/>
      <c r="W1808" s="846"/>
      <c r="X1808" s="846"/>
      <c r="Y1808" s="740">
        <f t="shared" si="232"/>
        <v>0</v>
      </c>
      <c r="Z1808" s="1230"/>
      <c r="AA1808" s="847"/>
      <c r="AB1808" s="741">
        <f t="shared" si="233"/>
        <v>0</v>
      </c>
      <c r="AC1808" s="846"/>
      <c r="AD1808" s="847"/>
      <c r="AE1808" s="846"/>
      <c r="AF1808" s="846"/>
      <c r="AG1808" s="1230"/>
      <c r="AH1808" s="847"/>
      <c r="AI1808" s="742">
        <f t="shared" si="237"/>
        <v>3202857</v>
      </c>
      <c r="AJ1808" s="743">
        <f t="shared" si="238"/>
        <v>3322721</v>
      </c>
    </row>
    <row r="1809" spans="1:36">
      <c r="A1809" s="840" t="s">
        <v>153</v>
      </c>
      <c r="B1809" s="841" t="s">
        <v>264</v>
      </c>
      <c r="C1809" s="841" t="s">
        <v>1321</v>
      </c>
      <c r="D1809" s="872"/>
      <c r="E1809" s="844">
        <v>198154</v>
      </c>
      <c r="F1809" s="845">
        <v>8</v>
      </c>
      <c r="G1809" s="846">
        <v>27519886</v>
      </c>
      <c r="H1809" s="847">
        <v>28763028</v>
      </c>
      <c r="I1809" s="846"/>
      <c r="J1809" s="847"/>
      <c r="K1809" s="846">
        <v>8742644</v>
      </c>
      <c r="L1809" s="847">
        <v>9910165</v>
      </c>
      <c r="M1809" s="846">
        <v>13886704</v>
      </c>
      <c r="N1809" s="846"/>
      <c r="O1809" s="737">
        <f t="shared" si="231"/>
        <v>13886704</v>
      </c>
      <c r="P1809" s="847">
        <v>13462543</v>
      </c>
      <c r="Q1809" s="847"/>
      <c r="R1809" s="738">
        <f t="shared" si="234"/>
        <v>13462543</v>
      </c>
      <c r="S1809" s="737">
        <f t="shared" si="235"/>
        <v>50149234</v>
      </c>
      <c r="T1809" s="739">
        <f t="shared" si="236"/>
        <v>52135736</v>
      </c>
      <c r="U1809" s="846"/>
      <c r="V1809" s="847"/>
      <c r="W1809" s="846"/>
      <c r="X1809" s="846"/>
      <c r="Y1809" s="740">
        <f t="shared" si="232"/>
        <v>0</v>
      </c>
      <c r="Z1809" s="847"/>
      <c r="AA1809" s="847"/>
      <c r="AB1809" s="741">
        <f t="shared" si="233"/>
        <v>0</v>
      </c>
      <c r="AC1809" s="846"/>
      <c r="AD1809" s="847"/>
      <c r="AE1809" s="846"/>
      <c r="AF1809" s="846"/>
      <c r="AG1809" s="847"/>
      <c r="AH1809" s="847"/>
      <c r="AI1809" s="742">
        <f t="shared" si="237"/>
        <v>50149234</v>
      </c>
      <c r="AJ1809" s="743">
        <f t="shared" si="238"/>
        <v>52135736</v>
      </c>
    </row>
    <row r="1810" spans="1:36">
      <c r="A1810" s="840" t="s">
        <v>153</v>
      </c>
      <c r="B1810" s="841" t="s">
        <v>264</v>
      </c>
      <c r="C1810" s="848" t="s">
        <v>1320</v>
      </c>
      <c r="D1810" s="849"/>
      <c r="E1810" s="844">
        <v>198154</v>
      </c>
      <c r="F1810" s="845">
        <v>8</v>
      </c>
      <c r="G1810" s="846"/>
      <c r="H1810" s="847"/>
      <c r="I1810" s="846"/>
      <c r="J1810" s="847"/>
      <c r="K1810" s="846"/>
      <c r="L1810" s="847"/>
      <c r="M1810" s="846"/>
      <c r="N1810" s="846"/>
      <c r="O1810" s="737">
        <f t="shared" si="231"/>
        <v>0</v>
      </c>
      <c r="P1810" s="847"/>
      <c r="Q1810" s="847"/>
      <c r="R1810" s="738">
        <f t="shared" si="234"/>
        <v>0</v>
      </c>
      <c r="S1810" s="737">
        <f t="shared" si="235"/>
        <v>0</v>
      </c>
      <c r="T1810" s="739">
        <f t="shared" si="236"/>
        <v>0</v>
      </c>
      <c r="U1810" s="846"/>
      <c r="V1810" s="847"/>
      <c r="W1810" s="846"/>
      <c r="X1810" s="846"/>
      <c r="Y1810" s="740">
        <f t="shared" si="232"/>
        <v>0</v>
      </c>
      <c r="Z1810" s="847"/>
      <c r="AA1810" s="847"/>
      <c r="AB1810" s="741">
        <f t="shared" si="233"/>
        <v>0</v>
      </c>
      <c r="AC1810" s="846"/>
      <c r="AD1810" s="847"/>
      <c r="AE1810" s="846"/>
      <c r="AF1810" s="846"/>
      <c r="AG1810" s="847"/>
      <c r="AH1810" s="847"/>
      <c r="AI1810" s="742">
        <f t="shared" si="237"/>
        <v>0</v>
      </c>
      <c r="AJ1810" s="743">
        <f t="shared" si="238"/>
        <v>0</v>
      </c>
    </row>
    <row r="1811" spans="1:36">
      <c r="A1811" s="840" t="s">
        <v>153</v>
      </c>
      <c r="B1811" s="841" t="s">
        <v>266</v>
      </c>
      <c r="C1811" s="848" t="s">
        <v>319</v>
      </c>
      <c r="D1811" s="849"/>
      <c r="E1811" s="844">
        <v>198154</v>
      </c>
      <c r="F1811" s="845">
        <v>8</v>
      </c>
      <c r="G1811" s="846"/>
      <c r="H1811" s="847"/>
      <c r="I1811" s="846">
        <v>170138</v>
      </c>
      <c r="J1811" s="847">
        <v>173354</v>
      </c>
      <c r="K1811" s="846"/>
      <c r="L1811" s="847"/>
      <c r="M1811" s="846"/>
      <c r="N1811" s="846"/>
      <c r="O1811" s="737">
        <f t="shared" si="231"/>
        <v>0</v>
      </c>
      <c r="P1811" s="847"/>
      <c r="Q1811" s="847"/>
      <c r="R1811" s="738">
        <f t="shared" si="234"/>
        <v>0</v>
      </c>
      <c r="S1811" s="737">
        <f t="shared" si="235"/>
        <v>170138</v>
      </c>
      <c r="T1811" s="739">
        <f t="shared" si="236"/>
        <v>173354</v>
      </c>
      <c r="U1811" s="846"/>
      <c r="V1811" s="847"/>
      <c r="W1811" s="846"/>
      <c r="X1811" s="846"/>
      <c r="Y1811" s="740">
        <f t="shared" si="232"/>
        <v>0</v>
      </c>
      <c r="Z1811" s="847"/>
      <c r="AA1811" s="847"/>
      <c r="AB1811" s="741">
        <f t="shared" si="233"/>
        <v>0</v>
      </c>
      <c r="AC1811" s="846"/>
      <c r="AD1811" s="847"/>
      <c r="AE1811" s="846"/>
      <c r="AF1811" s="846"/>
      <c r="AG1811" s="847"/>
      <c r="AH1811" s="847"/>
      <c r="AI1811" s="742">
        <f t="shared" si="237"/>
        <v>170138</v>
      </c>
      <c r="AJ1811" s="743">
        <f t="shared" si="238"/>
        <v>173354</v>
      </c>
    </row>
    <row r="1812" spans="1:36">
      <c r="A1812" s="840" t="s">
        <v>153</v>
      </c>
      <c r="B1812" s="841" t="s">
        <v>275</v>
      </c>
      <c r="C1812" s="848" t="s">
        <v>258</v>
      </c>
      <c r="D1812" s="849"/>
      <c r="E1812" s="844">
        <v>198154</v>
      </c>
      <c r="F1812" s="845">
        <v>8</v>
      </c>
      <c r="G1812" s="846"/>
      <c r="H1812" s="847"/>
      <c r="I1812" s="846">
        <v>3623753</v>
      </c>
      <c r="J1812" s="847">
        <v>3556038</v>
      </c>
      <c r="K1812" s="846"/>
      <c r="L1812" s="847"/>
      <c r="M1812" s="846">
        <v>510385</v>
      </c>
      <c r="N1812" s="846"/>
      <c r="O1812" s="737">
        <f t="shared" si="231"/>
        <v>510385</v>
      </c>
      <c r="P1812" s="847">
        <v>492407</v>
      </c>
      <c r="Q1812" s="847"/>
      <c r="R1812" s="738">
        <f t="shared" si="234"/>
        <v>492407</v>
      </c>
      <c r="S1812" s="737">
        <f t="shared" si="235"/>
        <v>4134138</v>
      </c>
      <c r="T1812" s="739">
        <f t="shared" si="236"/>
        <v>4048445</v>
      </c>
      <c r="U1812" s="846"/>
      <c r="V1812" s="847"/>
      <c r="W1812" s="846"/>
      <c r="X1812" s="846"/>
      <c r="Y1812" s="740">
        <f t="shared" si="232"/>
        <v>0</v>
      </c>
      <c r="Z1812" s="847"/>
      <c r="AA1812" s="847"/>
      <c r="AB1812" s="741">
        <f t="shared" si="233"/>
        <v>0</v>
      </c>
      <c r="AC1812" s="846"/>
      <c r="AD1812" s="847"/>
      <c r="AE1812" s="846"/>
      <c r="AF1812" s="846"/>
      <c r="AG1812" s="847"/>
      <c r="AH1812" s="847"/>
      <c r="AI1812" s="742">
        <f t="shared" si="237"/>
        <v>4134138</v>
      </c>
      <c r="AJ1812" s="743">
        <f t="shared" si="238"/>
        <v>4048445</v>
      </c>
    </row>
    <row r="1813" spans="1:36">
      <c r="A1813" s="840" t="s">
        <v>153</v>
      </c>
      <c r="B1813" s="841" t="s">
        <v>264</v>
      </c>
      <c r="C1813" s="841" t="s">
        <v>1322</v>
      </c>
      <c r="D1813" s="872"/>
      <c r="E1813" s="844">
        <v>198260</v>
      </c>
      <c r="F1813" s="845">
        <v>8</v>
      </c>
      <c r="G1813" s="846">
        <v>48697813</v>
      </c>
      <c r="H1813" s="847">
        <v>52836658</v>
      </c>
      <c r="I1813" s="846"/>
      <c r="J1813" s="847"/>
      <c r="K1813" s="846">
        <v>30883974</v>
      </c>
      <c r="L1813" s="847">
        <v>33084482</v>
      </c>
      <c r="M1813" s="846">
        <v>25517884</v>
      </c>
      <c r="N1813" s="846"/>
      <c r="O1813" s="737">
        <f t="shared" si="231"/>
        <v>25517884</v>
      </c>
      <c r="P1813" s="847">
        <v>26025154</v>
      </c>
      <c r="Q1813" s="847"/>
      <c r="R1813" s="738">
        <f t="shared" si="234"/>
        <v>26025154</v>
      </c>
      <c r="S1813" s="737">
        <f t="shared" si="235"/>
        <v>105099671</v>
      </c>
      <c r="T1813" s="739">
        <f t="shared" si="236"/>
        <v>111946294</v>
      </c>
      <c r="U1813" s="846"/>
      <c r="V1813" s="847"/>
      <c r="W1813" s="846"/>
      <c r="X1813" s="846"/>
      <c r="Y1813" s="740">
        <f t="shared" si="232"/>
        <v>0</v>
      </c>
      <c r="Z1813" s="847"/>
      <c r="AA1813" s="847"/>
      <c r="AB1813" s="741">
        <f t="shared" si="233"/>
        <v>0</v>
      </c>
      <c r="AC1813" s="846"/>
      <c r="AD1813" s="847"/>
      <c r="AE1813" s="846"/>
      <c r="AF1813" s="846"/>
      <c r="AG1813" s="847"/>
      <c r="AH1813" s="847"/>
      <c r="AI1813" s="742">
        <f t="shared" si="237"/>
        <v>105099671</v>
      </c>
      <c r="AJ1813" s="743">
        <f t="shared" si="238"/>
        <v>111946294</v>
      </c>
    </row>
    <row r="1814" spans="1:36">
      <c r="A1814" s="840" t="s">
        <v>153</v>
      </c>
      <c r="B1814" s="841" t="s">
        <v>264</v>
      </c>
      <c r="C1814" s="848" t="s">
        <v>1320</v>
      </c>
      <c r="D1814" s="849"/>
      <c r="E1814" s="844">
        <v>198260</v>
      </c>
      <c r="F1814" s="845">
        <v>8</v>
      </c>
      <c r="G1814" s="846"/>
      <c r="H1814" s="847"/>
      <c r="I1814" s="846"/>
      <c r="J1814" s="847"/>
      <c r="K1814" s="846"/>
      <c r="L1814" s="847"/>
      <c r="M1814" s="846"/>
      <c r="N1814" s="846"/>
      <c r="O1814" s="737">
        <f t="shared" si="231"/>
        <v>0</v>
      </c>
      <c r="P1814" s="847"/>
      <c r="Q1814" s="847"/>
      <c r="R1814" s="738">
        <f t="shared" si="234"/>
        <v>0</v>
      </c>
      <c r="S1814" s="737">
        <f t="shared" si="235"/>
        <v>0</v>
      </c>
      <c r="T1814" s="739">
        <f t="shared" si="236"/>
        <v>0</v>
      </c>
      <c r="U1814" s="846"/>
      <c r="V1814" s="847"/>
      <c r="W1814" s="846"/>
      <c r="X1814" s="846"/>
      <c r="Y1814" s="740">
        <f t="shared" si="232"/>
        <v>0</v>
      </c>
      <c r="Z1814" s="847"/>
      <c r="AA1814" s="847"/>
      <c r="AB1814" s="741">
        <f t="shared" si="233"/>
        <v>0</v>
      </c>
      <c r="AC1814" s="846"/>
      <c r="AD1814" s="847"/>
      <c r="AE1814" s="846"/>
      <c r="AF1814" s="846"/>
      <c r="AG1814" s="847"/>
      <c r="AH1814" s="847"/>
      <c r="AI1814" s="742">
        <f t="shared" si="237"/>
        <v>0</v>
      </c>
      <c r="AJ1814" s="743">
        <f t="shared" si="238"/>
        <v>0</v>
      </c>
    </row>
    <row r="1815" spans="1:36">
      <c r="A1815" s="840" t="s">
        <v>153</v>
      </c>
      <c r="B1815" s="841" t="s">
        <v>266</v>
      </c>
      <c r="C1815" s="848" t="s">
        <v>319</v>
      </c>
      <c r="D1815" s="849"/>
      <c r="E1815" s="844">
        <v>198260</v>
      </c>
      <c r="F1815" s="845">
        <v>8</v>
      </c>
      <c r="G1815" s="846"/>
      <c r="H1815" s="847"/>
      <c r="I1815" s="846">
        <v>174083</v>
      </c>
      <c r="J1815" s="847">
        <v>176388</v>
      </c>
      <c r="K1815" s="846"/>
      <c r="L1815" s="847"/>
      <c r="M1815" s="846"/>
      <c r="N1815" s="846"/>
      <c r="O1815" s="737">
        <f t="shared" si="231"/>
        <v>0</v>
      </c>
      <c r="P1815" s="847"/>
      <c r="Q1815" s="847"/>
      <c r="R1815" s="738">
        <f t="shared" si="234"/>
        <v>0</v>
      </c>
      <c r="S1815" s="737">
        <f t="shared" si="235"/>
        <v>174083</v>
      </c>
      <c r="T1815" s="739">
        <f t="shared" si="236"/>
        <v>176388</v>
      </c>
      <c r="U1815" s="846"/>
      <c r="V1815" s="847"/>
      <c r="W1815" s="846"/>
      <c r="X1815" s="846"/>
      <c r="Y1815" s="740">
        <f t="shared" si="232"/>
        <v>0</v>
      </c>
      <c r="Z1815" s="847"/>
      <c r="AA1815" s="847"/>
      <c r="AB1815" s="741">
        <f t="shared" si="233"/>
        <v>0</v>
      </c>
      <c r="AC1815" s="846"/>
      <c r="AD1815" s="847"/>
      <c r="AE1815" s="846"/>
      <c r="AF1815" s="846"/>
      <c r="AG1815" s="847"/>
      <c r="AH1815" s="847"/>
      <c r="AI1815" s="742">
        <f t="shared" si="237"/>
        <v>174083</v>
      </c>
      <c r="AJ1815" s="743">
        <f t="shared" si="238"/>
        <v>176388</v>
      </c>
    </row>
    <row r="1816" spans="1:36">
      <c r="A1816" s="840" t="s">
        <v>153</v>
      </c>
      <c r="B1816" s="841" t="s">
        <v>275</v>
      </c>
      <c r="C1816" s="848" t="s">
        <v>258</v>
      </c>
      <c r="D1816" s="849"/>
      <c r="E1816" s="844">
        <v>198260</v>
      </c>
      <c r="F1816" s="845">
        <v>8</v>
      </c>
      <c r="G1816" s="846"/>
      <c r="H1816" s="847"/>
      <c r="I1816" s="846">
        <v>5816929</v>
      </c>
      <c r="J1816" s="847">
        <v>6009144</v>
      </c>
      <c r="K1816" s="846"/>
      <c r="L1816" s="847"/>
      <c r="M1816" s="846">
        <v>343211</v>
      </c>
      <c r="N1816" s="846"/>
      <c r="O1816" s="737">
        <f t="shared" si="231"/>
        <v>343211</v>
      </c>
      <c r="P1816" s="847">
        <v>370400</v>
      </c>
      <c r="Q1816" s="847"/>
      <c r="R1816" s="738">
        <f t="shared" si="234"/>
        <v>370400</v>
      </c>
      <c r="S1816" s="737">
        <f t="shared" si="235"/>
        <v>6160140</v>
      </c>
      <c r="T1816" s="739">
        <f t="shared" si="236"/>
        <v>6379544</v>
      </c>
      <c r="U1816" s="846"/>
      <c r="V1816" s="847"/>
      <c r="W1816" s="846"/>
      <c r="X1816" s="846"/>
      <c r="Y1816" s="740">
        <f t="shared" si="232"/>
        <v>0</v>
      </c>
      <c r="Z1816" s="847"/>
      <c r="AA1816" s="847"/>
      <c r="AB1816" s="741">
        <f t="shared" si="233"/>
        <v>0</v>
      </c>
      <c r="AC1816" s="846"/>
      <c r="AD1816" s="847"/>
      <c r="AE1816" s="846"/>
      <c r="AF1816" s="846"/>
      <c r="AG1816" s="847"/>
      <c r="AH1816" s="847"/>
      <c r="AI1816" s="742">
        <f t="shared" si="237"/>
        <v>6160140</v>
      </c>
      <c r="AJ1816" s="743">
        <f t="shared" si="238"/>
        <v>6379544</v>
      </c>
    </row>
    <row r="1817" spans="1:36">
      <c r="A1817" s="840" t="s">
        <v>153</v>
      </c>
      <c r="B1817" s="841" t="s">
        <v>264</v>
      </c>
      <c r="C1817" s="841" t="s">
        <v>1323</v>
      </c>
      <c r="D1817" s="872"/>
      <c r="E1817" s="844">
        <v>198534</v>
      </c>
      <c r="F1817" s="845">
        <v>8</v>
      </c>
      <c r="G1817" s="846">
        <v>34192676</v>
      </c>
      <c r="H1817" s="847">
        <v>36265978</v>
      </c>
      <c r="I1817" s="846"/>
      <c r="J1817" s="847"/>
      <c r="K1817" s="846">
        <v>10662223</v>
      </c>
      <c r="L1817" s="847">
        <v>10798343</v>
      </c>
      <c r="M1817" s="846">
        <v>16637211</v>
      </c>
      <c r="N1817" s="846"/>
      <c r="O1817" s="737">
        <f t="shared" si="231"/>
        <v>16637211</v>
      </c>
      <c r="P1817" s="847">
        <v>16528505</v>
      </c>
      <c r="Q1817" s="847"/>
      <c r="R1817" s="738">
        <f t="shared" si="234"/>
        <v>16528505</v>
      </c>
      <c r="S1817" s="737">
        <f t="shared" si="235"/>
        <v>61492110</v>
      </c>
      <c r="T1817" s="739">
        <f t="shared" si="236"/>
        <v>63592826</v>
      </c>
      <c r="U1817" s="846"/>
      <c r="V1817" s="847"/>
      <c r="W1817" s="846"/>
      <c r="X1817" s="846"/>
      <c r="Y1817" s="740">
        <f t="shared" si="232"/>
        <v>0</v>
      </c>
      <c r="Z1817" s="847"/>
      <c r="AA1817" s="847"/>
      <c r="AB1817" s="741">
        <f t="shared" si="233"/>
        <v>0</v>
      </c>
      <c r="AC1817" s="846"/>
      <c r="AD1817" s="847"/>
      <c r="AE1817" s="846"/>
      <c r="AF1817" s="846"/>
      <c r="AG1817" s="847"/>
      <c r="AH1817" s="847"/>
      <c r="AI1817" s="742">
        <f t="shared" si="237"/>
        <v>61492110</v>
      </c>
      <c r="AJ1817" s="743">
        <f t="shared" si="238"/>
        <v>63592826</v>
      </c>
    </row>
    <row r="1818" spans="1:36">
      <c r="A1818" s="840" t="s">
        <v>153</v>
      </c>
      <c r="B1818" s="841" t="s">
        <v>264</v>
      </c>
      <c r="C1818" s="848" t="s">
        <v>1320</v>
      </c>
      <c r="D1818" s="849"/>
      <c r="E1818" s="844">
        <v>198534</v>
      </c>
      <c r="F1818" s="845">
        <v>8</v>
      </c>
      <c r="G1818" s="846"/>
      <c r="H1818" s="847"/>
      <c r="I1818" s="846"/>
      <c r="J1818" s="847"/>
      <c r="K1818" s="846"/>
      <c r="L1818" s="847"/>
      <c r="M1818" s="846"/>
      <c r="N1818" s="846"/>
      <c r="O1818" s="737">
        <f t="shared" si="231"/>
        <v>0</v>
      </c>
      <c r="P1818" s="847"/>
      <c r="Q1818" s="847"/>
      <c r="R1818" s="738">
        <f t="shared" si="234"/>
        <v>0</v>
      </c>
      <c r="S1818" s="737">
        <f t="shared" si="235"/>
        <v>0</v>
      </c>
      <c r="T1818" s="739">
        <f t="shared" si="236"/>
        <v>0</v>
      </c>
      <c r="U1818" s="846"/>
      <c r="V1818" s="847"/>
      <c r="W1818" s="846"/>
      <c r="X1818" s="846"/>
      <c r="Y1818" s="740">
        <f t="shared" si="232"/>
        <v>0</v>
      </c>
      <c r="Z1818" s="847"/>
      <c r="AA1818" s="847"/>
      <c r="AB1818" s="741">
        <f t="shared" si="233"/>
        <v>0</v>
      </c>
      <c r="AC1818" s="846"/>
      <c r="AD1818" s="847"/>
      <c r="AE1818" s="846"/>
      <c r="AF1818" s="846"/>
      <c r="AG1818" s="847"/>
      <c r="AH1818" s="847"/>
      <c r="AI1818" s="742">
        <f t="shared" si="237"/>
        <v>0</v>
      </c>
      <c r="AJ1818" s="743">
        <f t="shared" si="238"/>
        <v>0</v>
      </c>
    </row>
    <row r="1819" spans="1:36">
      <c r="A1819" s="840" t="s">
        <v>153</v>
      </c>
      <c r="B1819" s="841" t="s">
        <v>266</v>
      </c>
      <c r="C1819" s="848" t="s">
        <v>319</v>
      </c>
      <c r="D1819" s="849"/>
      <c r="E1819" s="844">
        <v>198534</v>
      </c>
      <c r="F1819" s="845">
        <v>8</v>
      </c>
      <c r="G1819" s="846"/>
      <c r="H1819" s="847"/>
      <c r="I1819" s="846">
        <v>168895</v>
      </c>
      <c r="J1819" s="847">
        <v>171588</v>
      </c>
      <c r="K1819" s="846"/>
      <c r="L1819" s="847"/>
      <c r="M1819" s="846"/>
      <c r="N1819" s="846"/>
      <c r="O1819" s="737">
        <f t="shared" si="231"/>
        <v>0</v>
      </c>
      <c r="P1819" s="847"/>
      <c r="Q1819" s="847"/>
      <c r="R1819" s="738">
        <f t="shared" si="234"/>
        <v>0</v>
      </c>
      <c r="S1819" s="737">
        <f t="shared" si="235"/>
        <v>168895</v>
      </c>
      <c r="T1819" s="739">
        <f t="shared" si="236"/>
        <v>171588</v>
      </c>
      <c r="U1819" s="846"/>
      <c r="V1819" s="847"/>
      <c r="W1819" s="846"/>
      <c r="X1819" s="846"/>
      <c r="Y1819" s="740">
        <f t="shared" si="232"/>
        <v>0</v>
      </c>
      <c r="Z1819" s="847"/>
      <c r="AA1819" s="847"/>
      <c r="AB1819" s="741">
        <f t="shared" si="233"/>
        <v>0</v>
      </c>
      <c r="AC1819" s="846"/>
      <c r="AD1819" s="847"/>
      <c r="AE1819" s="846"/>
      <c r="AF1819" s="846"/>
      <c r="AG1819" s="847"/>
      <c r="AH1819" s="847"/>
      <c r="AI1819" s="742">
        <f t="shared" si="237"/>
        <v>168895</v>
      </c>
      <c r="AJ1819" s="743">
        <f t="shared" si="238"/>
        <v>171588</v>
      </c>
    </row>
    <row r="1820" spans="1:36">
      <c r="A1820" s="840" t="s">
        <v>153</v>
      </c>
      <c r="B1820" s="841" t="s">
        <v>275</v>
      </c>
      <c r="C1820" s="848" t="s">
        <v>258</v>
      </c>
      <c r="D1820" s="849"/>
      <c r="E1820" s="844">
        <v>198534</v>
      </c>
      <c r="F1820" s="845">
        <v>8</v>
      </c>
      <c r="G1820" s="846"/>
      <c r="H1820" s="847"/>
      <c r="I1820" s="846">
        <v>7766021</v>
      </c>
      <c r="J1820" s="847">
        <v>8026069</v>
      </c>
      <c r="K1820" s="846"/>
      <c r="L1820" s="847"/>
      <c r="M1820" s="846">
        <v>1224670</v>
      </c>
      <c r="N1820" s="846"/>
      <c r="O1820" s="737">
        <f t="shared" si="231"/>
        <v>1224670</v>
      </c>
      <c r="P1820" s="847">
        <v>1228828</v>
      </c>
      <c r="Q1820" s="847"/>
      <c r="R1820" s="738">
        <f t="shared" si="234"/>
        <v>1228828</v>
      </c>
      <c r="S1820" s="737">
        <f t="shared" si="235"/>
        <v>8990691</v>
      </c>
      <c r="T1820" s="739">
        <f t="shared" si="236"/>
        <v>9254897</v>
      </c>
      <c r="U1820" s="846"/>
      <c r="V1820" s="847"/>
      <c r="W1820" s="846"/>
      <c r="X1820" s="846"/>
      <c r="Y1820" s="740">
        <f t="shared" si="232"/>
        <v>0</v>
      </c>
      <c r="Z1820" s="847"/>
      <c r="AA1820" s="847"/>
      <c r="AB1820" s="741">
        <f t="shared" si="233"/>
        <v>0</v>
      </c>
      <c r="AC1820" s="846"/>
      <c r="AD1820" s="847"/>
      <c r="AE1820" s="846"/>
      <c r="AF1820" s="846"/>
      <c r="AG1820" s="847"/>
      <c r="AH1820" s="847"/>
      <c r="AI1820" s="742">
        <f t="shared" si="237"/>
        <v>8990691</v>
      </c>
      <c r="AJ1820" s="743">
        <f t="shared" si="238"/>
        <v>9254897</v>
      </c>
    </row>
    <row r="1821" spans="1:36">
      <c r="A1821" s="840" t="s">
        <v>153</v>
      </c>
      <c r="B1821" s="841" t="s">
        <v>264</v>
      </c>
      <c r="C1821" s="841" t="s">
        <v>1324</v>
      </c>
      <c r="D1821" s="872"/>
      <c r="E1821" s="844">
        <v>198552</v>
      </c>
      <c r="F1821" s="845">
        <v>8</v>
      </c>
      <c r="G1821" s="846">
        <v>26585395</v>
      </c>
      <c r="H1821" s="847">
        <v>27752171</v>
      </c>
      <c r="I1821" s="846"/>
      <c r="J1821" s="847"/>
      <c r="K1821" s="846">
        <v>8451742</v>
      </c>
      <c r="L1821" s="847">
        <v>9119402</v>
      </c>
      <c r="M1821" s="846">
        <v>13971921</v>
      </c>
      <c r="N1821" s="846"/>
      <c r="O1821" s="737">
        <f t="shared" si="231"/>
        <v>13971921</v>
      </c>
      <c r="P1821" s="847">
        <v>13294944</v>
      </c>
      <c r="Q1821" s="847"/>
      <c r="R1821" s="738">
        <f t="shared" si="234"/>
        <v>13294944</v>
      </c>
      <c r="S1821" s="737">
        <f t="shared" si="235"/>
        <v>49009058</v>
      </c>
      <c r="T1821" s="739">
        <f t="shared" si="236"/>
        <v>50166517</v>
      </c>
      <c r="U1821" s="846"/>
      <c r="V1821" s="847"/>
      <c r="W1821" s="846"/>
      <c r="X1821" s="846"/>
      <c r="Y1821" s="740">
        <f t="shared" si="232"/>
        <v>0</v>
      </c>
      <c r="Z1821" s="847"/>
      <c r="AA1821" s="847"/>
      <c r="AB1821" s="741">
        <f t="shared" si="233"/>
        <v>0</v>
      </c>
      <c r="AC1821" s="846"/>
      <c r="AD1821" s="847"/>
      <c r="AE1821" s="846"/>
      <c r="AF1821" s="846"/>
      <c r="AG1821" s="847"/>
      <c r="AH1821" s="847"/>
      <c r="AI1821" s="742">
        <f t="shared" si="237"/>
        <v>49009058</v>
      </c>
      <c r="AJ1821" s="743">
        <f t="shared" si="238"/>
        <v>50166517</v>
      </c>
    </row>
    <row r="1822" spans="1:36">
      <c r="A1822" s="840" t="s">
        <v>153</v>
      </c>
      <c r="B1822" s="841" t="s">
        <v>264</v>
      </c>
      <c r="C1822" s="848" t="s">
        <v>1320</v>
      </c>
      <c r="D1822" s="849"/>
      <c r="E1822" s="844">
        <v>198552</v>
      </c>
      <c r="F1822" s="845">
        <v>8</v>
      </c>
      <c r="G1822" s="846"/>
      <c r="H1822" s="847"/>
      <c r="I1822" s="846"/>
      <c r="J1822" s="847"/>
      <c r="K1822" s="846"/>
      <c r="L1822" s="847"/>
      <c r="M1822" s="846"/>
      <c r="N1822" s="846"/>
      <c r="O1822" s="737">
        <f t="shared" si="231"/>
        <v>0</v>
      </c>
      <c r="P1822" s="847"/>
      <c r="Q1822" s="847"/>
      <c r="R1822" s="738">
        <f t="shared" si="234"/>
        <v>0</v>
      </c>
      <c r="S1822" s="737">
        <f t="shared" si="235"/>
        <v>0</v>
      </c>
      <c r="T1822" s="739">
        <f t="shared" si="236"/>
        <v>0</v>
      </c>
      <c r="U1822" s="846"/>
      <c r="V1822" s="847"/>
      <c r="W1822" s="846"/>
      <c r="X1822" s="846"/>
      <c r="Y1822" s="740">
        <f t="shared" si="232"/>
        <v>0</v>
      </c>
      <c r="Z1822" s="847"/>
      <c r="AA1822" s="847"/>
      <c r="AB1822" s="741">
        <f t="shared" si="233"/>
        <v>0</v>
      </c>
      <c r="AC1822" s="846"/>
      <c r="AD1822" s="847"/>
      <c r="AE1822" s="846"/>
      <c r="AF1822" s="846"/>
      <c r="AG1822" s="847"/>
      <c r="AH1822" s="847"/>
      <c r="AI1822" s="742">
        <f t="shared" si="237"/>
        <v>0</v>
      </c>
      <c r="AJ1822" s="743">
        <f t="shared" si="238"/>
        <v>0</v>
      </c>
    </row>
    <row r="1823" spans="1:36">
      <c r="A1823" s="840" t="s">
        <v>153</v>
      </c>
      <c r="B1823" s="841" t="s">
        <v>266</v>
      </c>
      <c r="C1823" s="848" t="s">
        <v>319</v>
      </c>
      <c r="D1823" s="849"/>
      <c r="E1823" s="844">
        <v>198552</v>
      </c>
      <c r="F1823" s="845">
        <v>8</v>
      </c>
      <c r="G1823" s="846"/>
      <c r="H1823" s="847"/>
      <c r="I1823" s="846">
        <v>171651</v>
      </c>
      <c r="J1823" s="847">
        <v>173133</v>
      </c>
      <c r="K1823" s="846"/>
      <c r="L1823" s="847"/>
      <c r="M1823" s="846"/>
      <c r="N1823" s="846"/>
      <c r="O1823" s="737">
        <f t="shared" si="231"/>
        <v>0</v>
      </c>
      <c r="P1823" s="847"/>
      <c r="Q1823" s="847"/>
      <c r="R1823" s="738">
        <f t="shared" si="234"/>
        <v>0</v>
      </c>
      <c r="S1823" s="737">
        <f t="shared" si="235"/>
        <v>171651</v>
      </c>
      <c r="T1823" s="739">
        <f t="shared" si="236"/>
        <v>173133</v>
      </c>
      <c r="U1823" s="846"/>
      <c r="V1823" s="847"/>
      <c r="W1823" s="846"/>
      <c r="X1823" s="846"/>
      <c r="Y1823" s="740">
        <f t="shared" si="232"/>
        <v>0</v>
      </c>
      <c r="Z1823" s="847"/>
      <c r="AA1823" s="847"/>
      <c r="AB1823" s="741">
        <f t="shared" si="233"/>
        <v>0</v>
      </c>
      <c r="AC1823" s="846"/>
      <c r="AD1823" s="847"/>
      <c r="AE1823" s="846"/>
      <c r="AF1823" s="846"/>
      <c r="AG1823" s="847"/>
      <c r="AH1823" s="847"/>
      <c r="AI1823" s="742">
        <f t="shared" si="237"/>
        <v>171651</v>
      </c>
      <c r="AJ1823" s="743">
        <f t="shared" si="238"/>
        <v>173133</v>
      </c>
    </row>
    <row r="1824" spans="1:36">
      <c r="A1824" s="840" t="s">
        <v>153</v>
      </c>
      <c r="B1824" s="841" t="s">
        <v>275</v>
      </c>
      <c r="C1824" s="848" t="s">
        <v>258</v>
      </c>
      <c r="D1824" s="849"/>
      <c r="E1824" s="844">
        <v>198552</v>
      </c>
      <c r="F1824" s="845">
        <v>8</v>
      </c>
      <c r="G1824" s="846"/>
      <c r="H1824" s="847"/>
      <c r="I1824" s="846">
        <v>4458082</v>
      </c>
      <c r="J1824" s="847">
        <v>4301087</v>
      </c>
      <c r="K1824" s="846"/>
      <c r="L1824" s="847"/>
      <c r="M1824" s="846">
        <v>624999</v>
      </c>
      <c r="N1824" s="846"/>
      <c r="O1824" s="737">
        <f t="shared" si="231"/>
        <v>624999</v>
      </c>
      <c r="P1824" s="847">
        <v>559355</v>
      </c>
      <c r="Q1824" s="847"/>
      <c r="R1824" s="738">
        <f t="shared" si="234"/>
        <v>559355</v>
      </c>
      <c r="S1824" s="737">
        <f t="shared" si="235"/>
        <v>5083081</v>
      </c>
      <c r="T1824" s="739">
        <f t="shared" si="236"/>
        <v>4860442</v>
      </c>
      <c r="U1824" s="846"/>
      <c r="V1824" s="847"/>
      <c r="W1824" s="846"/>
      <c r="X1824" s="846"/>
      <c r="Y1824" s="740">
        <f t="shared" si="232"/>
        <v>0</v>
      </c>
      <c r="Z1824" s="847"/>
      <c r="AA1824" s="847"/>
      <c r="AB1824" s="741">
        <f t="shared" si="233"/>
        <v>0</v>
      </c>
      <c r="AC1824" s="846"/>
      <c r="AD1824" s="847"/>
      <c r="AE1824" s="846"/>
      <c r="AF1824" s="846"/>
      <c r="AG1824" s="847"/>
      <c r="AH1824" s="847"/>
      <c r="AI1824" s="742">
        <f t="shared" si="237"/>
        <v>5083081</v>
      </c>
      <c r="AJ1824" s="743">
        <f t="shared" si="238"/>
        <v>4860442</v>
      </c>
    </row>
    <row r="1825" spans="1:36">
      <c r="A1825" s="840" t="s">
        <v>153</v>
      </c>
      <c r="B1825" s="841" t="s">
        <v>264</v>
      </c>
      <c r="C1825" s="841" t="s">
        <v>1325</v>
      </c>
      <c r="D1825" s="872"/>
      <c r="E1825" s="844">
        <v>198622</v>
      </c>
      <c r="F1825" s="845">
        <v>8</v>
      </c>
      <c r="G1825" s="846">
        <v>39614351</v>
      </c>
      <c r="H1825" s="847">
        <v>40027200</v>
      </c>
      <c r="I1825" s="846"/>
      <c r="J1825" s="847"/>
      <c r="K1825" s="846">
        <v>12297690</v>
      </c>
      <c r="L1825" s="847">
        <v>13497690</v>
      </c>
      <c r="M1825" s="846">
        <v>21093865</v>
      </c>
      <c r="N1825" s="846"/>
      <c r="O1825" s="737">
        <f t="shared" si="231"/>
        <v>21093865</v>
      </c>
      <c r="P1825" s="847">
        <v>19711057</v>
      </c>
      <c r="Q1825" s="847"/>
      <c r="R1825" s="738">
        <f t="shared" si="234"/>
        <v>19711057</v>
      </c>
      <c r="S1825" s="737">
        <f t="shared" si="235"/>
        <v>73005906</v>
      </c>
      <c r="T1825" s="739">
        <f t="shared" si="236"/>
        <v>73235947</v>
      </c>
      <c r="U1825" s="846"/>
      <c r="V1825" s="847"/>
      <c r="W1825" s="846"/>
      <c r="X1825" s="846"/>
      <c r="Y1825" s="740">
        <f t="shared" si="232"/>
        <v>0</v>
      </c>
      <c r="Z1825" s="847"/>
      <c r="AA1825" s="847"/>
      <c r="AB1825" s="741">
        <f t="shared" si="233"/>
        <v>0</v>
      </c>
      <c r="AC1825" s="846"/>
      <c r="AD1825" s="847"/>
      <c r="AE1825" s="846"/>
      <c r="AF1825" s="846"/>
      <c r="AG1825" s="847"/>
      <c r="AH1825" s="847"/>
      <c r="AI1825" s="742">
        <f t="shared" si="237"/>
        <v>73005906</v>
      </c>
      <c r="AJ1825" s="743">
        <f t="shared" si="238"/>
        <v>73235947</v>
      </c>
    </row>
    <row r="1826" spans="1:36">
      <c r="A1826" s="840" t="s">
        <v>153</v>
      </c>
      <c r="B1826" s="841" t="s">
        <v>264</v>
      </c>
      <c r="C1826" s="848" t="s">
        <v>1320</v>
      </c>
      <c r="D1826" s="849"/>
      <c r="E1826" s="844">
        <v>198622</v>
      </c>
      <c r="F1826" s="845">
        <v>8</v>
      </c>
      <c r="G1826" s="846"/>
      <c r="H1826" s="847"/>
      <c r="I1826" s="846"/>
      <c r="J1826" s="847"/>
      <c r="K1826" s="846"/>
      <c r="L1826" s="847"/>
      <c r="M1826" s="846"/>
      <c r="N1826" s="846"/>
      <c r="O1826" s="737">
        <f t="shared" si="231"/>
        <v>0</v>
      </c>
      <c r="P1826" s="847"/>
      <c r="Q1826" s="847"/>
      <c r="R1826" s="738">
        <f t="shared" si="234"/>
        <v>0</v>
      </c>
      <c r="S1826" s="737">
        <f t="shared" si="235"/>
        <v>0</v>
      </c>
      <c r="T1826" s="739">
        <f t="shared" si="236"/>
        <v>0</v>
      </c>
      <c r="U1826" s="846"/>
      <c r="V1826" s="847"/>
      <c r="W1826" s="846"/>
      <c r="X1826" s="846"/>
      <c r="Y1826" s="740">
        <f t="shared" si="232"/>
        <v>0</v>
      </c>
      <c r="Z1826" s="847"/>
      <c r="AA1826" s="847"/>
      <c r="AB1826" s="741">
        <f t="shared" si="233"/>
        <v>0</v>
      </c>
      <c r="AC1826" s="846"/>
      <c r="AD1826" s="847"/>
      <c r="AE1826" s="846"/>
      <c r="AF1826" s="846"/>
      <c r="AG1826" s="847"/>
      <c r="AH1826" s="847"/>
      <c r="AI1826" s="742">
        <f t="shared" si="237"/>
        <v>0</v>
      </c>
      <c r="AJ1826" s="743">
        <f t="shared" si="238"/>
        <v>0</v>
      </c>
    </row>
    <row r="1827" spans="1:36">
      <c r="A1827" s="840" t="s">
        <v>153</v>
      </c>
      <c r="B1827" s="841" t="s">
        <v>266</v>
      </c>
      <c r="C1827" s="848" t="s">
        <v>319</v>
      </c>
      <c r="D1827" s="849"/>
      <c r="E1827" s="844">
        <v>198622</v>
      </c>
      <c r="F1827" s="845">
        <v>8</v>
      </c>
      <c r="G1827" s="846"/>
      <c r="H1827" s="847"/>
      <c r="I1827" s="846">
        <v>172354</v>
      </c>
      <c r="J1827" s="847">
        <v>173961</v>
      </c>
      <c r="K1827" s="846"/>
      <c r="L1827" s="847"/>
      <c r="M1827" s="846"/>
      <c r="N1827" s="846"/>
      <c r="O1827" s="737">
        <f t="shared" si="231"/>
        <v>0</v>
      </c>
      <c r="P1827" s="847"/>
      <c r="Q1827" s="847"/>
      <c r="R1827" s="738">
        <f t="shared" si="234"/>
        <v>0</v>
      </c>
      <c r="S1827" s="737">
        <f t="shared" si="235"/>
        <v>172354</v>
      </c>
      <c r="T1827" s="739">
        <f t="shared" si="236"/>
        <v>173961</v>
      </c>
      <c r="U1827" s="846"/>
      <c r="V1827" s="847"/>
      <c r="W1827" s="846"/>
      <c r="X1827" s="846"/>
      <c r="Y1827" s="740">
        <f t="shared" si="232"/>
        <v>0</v>
      </c>
      <c r="Z1827" s="847"/>
      <c r="AA1827" s="847"/>
      <c r="AB1827" s="741">
        <f t="shared" si="233"/>
        <v>0</v>
      </c>
      <c r="AC1827" s="846"/>
      <c r="AD1827" s="847"/>
      <c r="AE1827" s="846"/>
      <c r="AF1827" s="846"/>
      <c r="AG1827" s="847"/>
      <c r="AH1827" s="847"/>
      <c r="AI1827" s="742">
        <f t="shared" si="237"/>
        <v>172354</v>
      </c>
      <c r="AJ1827" s="743">
        <f t="shared" si="238"/>
        <v>173961</v>
      </c>
    </row>
    <row r="1828" spans="1:36">
      <c r="A1828" s="840" t="s">
        <v>153</v>
      </c>
      <c r="B1828" s="841" t="s">
        <v>275</v>
      </c>
      <c r="C1828" s="848" t="s">
        <v>258</v>
      </c>
      <c r="D1828" s="849"/>
      <c r="E1828" s="844">
        <v>198622</v>
      </c>
      <c r="F1828" s="845">
        <v>8</v>
      </c>
      <c r="G1828" s="846"/>
      <c r="H1828" s="847"/>
      <c r="I1828" s="846">
        <v>4879089</v>
      </c>
      <c r="J1828" s="847">
        <v>5162804</v>
      </c>
      <c r="K1828" s="846"/>
      <c r="L1828" s="847"/>
      <c r="M1828" s="846">
        <v>498353</v>
      </c>
      <c r="N1828" s="846"/>
      <c r="O1828" s="737">
        <f t="shared" si="231"/>
        <v>498353</v>
      </c>
      <c r="P1828" s="847">
        <v>515557</v>
      </c>
      <c r="Q1828" s="847"/>
      <c r="R1828" s="738">
        <f t="shared" si="234"/>
        <v>515557</v>
      </c>
      <c r="S1828" s="737">
        <f t="shared" si="235"/>
        <v>5377442</v>
      </c>
      <c r="T1828" s="739">
        <f t="shared" si="236"/>
        <v>5678361</v>
      </c>
      <c r="U1828" s="846"/>
      <c r="V1828" s="847"/>
      <c r="W1828" s="846"/>
      <c r="X1828" s="846"/>
      <c r="Y1828" s="740">
        <f t="shared" si="232"/>
        <v>0</v>
      </c>
      <c r="Z1828" s="847"/>
      <c r="AA1828" s="847"/>
      <c r="AB1828" s="741">
        <f t="shared" si="233"/>
        <v>0</v>
      </c>
      <c r="AC1828" s="846"/>
      <c r="AD1828" s="847"/>
      <c r="AE1828" s="846"/>
      <c r="AF1828" s="846"/>
      <c r="AG1828" s="847"/>
      <c r="AH1828" s="847"/>
      <c r="AI1828" s="742">
        <f t="shared" si="237"/>
        <v>5377442</v>
      </c>
      <c r="AJ1828" s="743">
        <f t="shared" si="238"/>
        <v>5678361</v>
      </c>
    </row>
    <row r="1829" spans="1:36">
      <c r="A1829" s="840" t="s">
        <v>153</v>
      </c>
      <c r="B1829" s="841" t="s">
        <v>264</v>
      </c>
      <c r="C1829" s="841" t="s">
        <v>1326</v>
      </c>
      <c r="D1829" s="872"/>
      <c r="E1829" s="844">
        <v>199333</v>
      </c>
      <c r="F1829" s="845">
        <v>8</v>
      </c>
      <c r="G1829" s="846">
        <v>24220611</v>
      </c>
      <c r="H1829" s="847">
        <v>25927083</v>
      </c>
      <c r="I1829" s="846"/>
      <c r="J1829" s="847"/>
      <c r="K1829" s="846">
        <v>5095326</v>
      </c>
      <c r="L1829" s="847">
        <v>5245326</v>
      </c>
      <c r="M1829" s="846">
        <v>13099809</v>
      </c>
      <c r="N1829" s="846"/>
      <c r="O1829" s="737">
        <f t="shared" si="231"/>
        <v>13099809</v>
      </c>
      <c r="P1829" s="847">
        <v>13127346</v>
      </c>
      <c r="Q1829" s="847"/>
      <c r="R1829" s="738">
        <f t="shared" si="234"/>
        <v>13127346</v>
      </c>
      <c r="S1829" s="737">
        <f t="shared" si="235"/>
        <v>42415746</v>
      </c>
      <c r="T1829" s="739">
        <f t="shared" si="236"/>
        <v>44299755</v>
      </c>
      <c r="U1829" s="846"/>
      <c r="V1829" s="847"/>
      <c r="W1829" s="846"/>
      <c r="X1829" s="846"/>
      <c r="Y1829" s="740">
        <f t="shared" si="232"/>
        <v>0</v>
      </c>
      <c r="Z1829" s="847"/>
      <c r="AA1829" s="847"/>
      <c r="AB1829" s="741">
        <f t="shared" si="233"/>
        <v>0</v>
      </c>
      <c r="AC1829" s="846"/>
      <c r="AD1829" s="847"/>
      <c r="AE1829" s="846"/>
      <c r="AF1829" s="846"/>
      <c r="AG1829" s="847"/>
      <c r="AH1829" s="847"/>
      <c r="AI1829" s="742">
        <f t="shared" si="237"/>
        <v>42415746</v>
      </c>
      <c r="AJ1829" s="743">
        <f t="shared" si="238"/>
        <v>44299755</v>
      </c>
    </row>
    <row r="1830" spans="1:36">
      <c r="A1830" s="840" t="s">
        <v>153</v>
      </c>
      <c r="B1830" s="841" t="s">
        <v>264</v>
      </c>
      <c r="C1830" s="848" t="s">
        <v>1320</v>
      </c>
      <c r="D1830" s="849"/>
      <c r="E1830" s="844">
        <v>199333</v>
      </c>
      <c r="F1830" s="845">
        <v>8</v>
      </c>
      <c r="G1830" s="846"/>
      <c r="H1830" s="847"/>
      <c r="I1830" s="846"/>
      <c r="J1830" s="847"/>
      <c r="K1830" s="846"/>
      <c r="L1830" s="847"/>
      <c r="M1830" s="846"/>
      <c r="N1830" s="846"/>
      <c r="O1830" s="737">
        <f t="shared" si="231"/>
        <v>0</v>
      </c>
      <c r="P1830" s="847"/>
      <c r="Q1830" s="847"/>
      <c r="R1830" s="738">
        <f t="shared" si="234"/>
        <v>0</v>
      </c>
      <c r="S1830" s="737">
        <f t="shared" si="235"/>
        <v>0</v>
      </c>
      <c r="T1830" s="739">
        <f t="shared" si="236"/>
        <v>0</v>
      </c>
      <c r="U1830" s="846"/>
      <c r="V1830" s="847"/>
      <c r="W1830" s="846"/>
      <c r="X1830" s="846"/>
      <c r="Y1830" s="740">
        <f t="shared" si="232"/>
        <v>0</v>
      </c>
      <c r="Z1830" s="847"/>
      <c r="AA1830" s="847"/>
      <c r="AB1830" s="741">
        <f t="shared" si="233"/>
        <v>0</v>
      </c>
      <c r="AC1830" s="846"/>
      <c r="AD1830" s="847"/>
      <c r="AE1830" s="846"/>
      <c r="AF1830" s="846"/>
      <c r="AG1830" s="847"/>
      <c r="AH1830" s="847"/>
      <c r="AI1830" s="742">
        <f t="shared" si="237"/>
        <v>0</v>
      </c>
      <c r="AJ1830" s="743">
        <f t="shared" si="238"/>
        <v>0</v>
      </c>
    </row>
    <row r="1831" spans="1:36">
      <c r="A1831" s="840" t="s">
        <v>153</v>
      </c>
      <c r="B1831" s="841" t="s">
        <v>266</v>
      </c>
      <c r="C1831" s="848" t="s">
        <v>319</v>
      </c>
      <c r="D1831" s="849"/>
      <c r="E1831" s="844">
        <v>199333</v>
      </c>
      <c r="F1831" s="845">
        <v>8</v>
      </c>
      <c r="G1831" s="846"/>
      <c r="H1831" s="847"/>
      <c r="I1831" s="846">
        <v>170030</v>
      </c>
      <c r="J1831" s="847">
        <v>174347</v>
      </c>
      <c r="K1831" s="846"/>
      <c r="L1831" s="847"/>
      <c r="M1831" s="846"/>
      <c r="N1831" s="846"/>
      <c r="O1831" s="737">
        <f t="shared" si="231"/>
        <v>0</v>
      </c>
      <c r="P1831" s="847"/>
      <c r="Q1831" s="847"/>
      <c r="R1831" s="738">
        <f t="shared" si="234"/>
        <v>0</v>
      </c>
      <c r="S1831" s="737">
        <f t="shared" si="235"/>
        <v>170030</v>
      </c>
      <c r="T1831" s="739">
        <f t="shared" si="236"/>
        <v>174347</v>
      </c>
      <c r="U1831" s="846"/>
      <c r="V1831" s="847"/>
      <c r="W1831" s="846"/>
      <c r="X1831" s="846"/>
      <c r="Y1831" s="740">
        <f t="shared" si="232"/>
        <v>0</v>
      </c>
      <c r="Z1831" s="847"/>
      <c r="AA1831" s="847"/>
      <c r="AB1831" s="741">
        <f t="shared" si="233"/>
        <v>0</v>
      </c>
      <c r="AC1831" s="846"/>
      <c r="AD1831" s="847"/>
      <c r="AE1831" s="846"/>
      <c r="AF1831" s="846"/>
      <c r="AG1831" s="847"/>
      <c r="AH1831" s="847"/>
      <c r="AI1831" s="742">
        <f t="shared" si="237"/>
        <v>170030</v>
      </c>
      <c r="AJ1831" s="743">
        <f t="shared" si="238"/>
        <v>174347</v>
      </c>
    </row>
    <row r="1832" spans="1:36">
      <c r="A1832" s="840" t="s">
        <v>153</v>
      </c>
      <c r="B1832" s="841" t="s">
        <v>275</v>
      </c>
      <c r="C1832" s="848" t="s">
        <v>258</v>
      </c>
      <c r="D1832" s="849"/>
      <c r="E1832" s="844">
        <v>199333</v>
      </c>
      <c r="F1832" s="845">
        <v>8</v>
      </c>
      <c r="G1832" s="846"/>
      <c r="H1832" s="847"/>
      <c r="I1832" s="846">
        <v>2709919</v>
      </c>
      <c r="J1832" s="847">
        <v>2617943</v>
      </c>
      <c r="K1832" s="846"/>
      <c r="L1832" s="847"/>
      <c r="M1832" s="846">
        <v>360309</v>
      </c>
      <c r="N1832" s="846"/>
      <c r="O1832" s="737">
        <f t="shared" si="231"/>
        <v>360309</v>
      </c>
      <c r="P1832" s="847">
        <v>338491</v>
      </c>
      <c r="Q1832" s="847"/>
      <c r="R1832" s="738">
        <f t="shared" si="234"/>
        <v>338491</v>
      </c>
      <c r="S1832" s="737">
        <f t="shared" si="235"/>
        <v>3070228</v>
      </c>
      <c r="T1832" s="739">
        <f t="shared" si="236"/>
        <v>2956434</v>
      </c>
      <c r="U1832" s="846"/>
      <c r="V1832" s="847"/>
      <c r="W1832" s="846"/>
      <c r="X1832" s="846"/>
      <c r="Y1832" s="740">
        <f t="shared" si="232"/>
        <v>0</v>
      </c>
      <c r="Z1832" s="847"/>
      <c r="AA1832" s="847"/>
      <c r="AB1832" s="741">
        <f t="shared" si="233"/>
        <v>0</v>
      </c>
      <c r="AC1832" s="846"/>
      <c r="AD1832" s="847"/>
      <c r="AE1832" s="846"/>
      <c r="AF1832" s="846"/>
      <c r="AG1832" s="847"/>
      <c r="AH1832" s="847"/>
      <c r="AI1832" s="742">
        <f t="shared" si="237"/>
        <v>3070228</v>
      </c>
      <c r="AJ1832" s="743">
        <f t="shared" si="238"/>
        <v>2956434</v>
      </c>
    </row>
    <row r="1833" spans="1:36">
      <c r="A1833" s="840" t="s">
        <v>153</v>
      </c>
      <c r="B1833" s="841" t="s">
        <v>264</v>
      </c>
      <c r="C1833" s="841" t="s">
        <v>1327</v>
      </c>
      <c r="D1833" s="872"/>
      <c r="E1833" s="844">
        <v>199494</v>
      </c>
      <c r="F1833" s="845">
        <v>8</v>
      </c>
      <c r="G1833" s="846">
        <v>23556712</v>
      </c>
      <c r="H1833" s="847">
        <v>24776421</v>
      </c>
      <c r="I1833" s="846"/>
      <c r="J1833" s="847"/>
      <c r="K1833" s="846">
        <v>3942925</v>
      </c>
      <c r="L1833" s="847">
        <v>4027725</v>
      </c>
      <c r="M1833" s="846">
        <v>9562407</v>
      </c>
      <c r="N1833" s="846"/>
      <c r="O1833" s="737">
        <f t="shared" si="231"/>
        <v>9562407</v>
      </c>
      <c r="P1833" s="847">
        <v>9547657</v>
      </c>
      <c r="Q1833" s="847"/>
      <c r="R1833" s="738">
        <f t="shared" si="234"/>
        <v>9547657</v>
      </c>
      <c r="S1833" s="737">
        <f t="shared" si="235"/>
        <v>37062044</v>
      </c>
      <c r="T1833" s="739">
        <f t="shared" si="236"/>
        <v>38351803</v>
      </c>
      <c r="U1833" s="846"/>
      <c r="V1833" s="847"/>
      <c r="W1833" s="846"/>
      <c r="X1833" s="846"/>
      <c r="Y1833" s="740">
        <f t="shared" si="232"/>
        <v>0</v>
      </c>
      <c r="Z1833" s="847"/>
      <c r="AA1833" s="847"/>
      <c r="AB1833" s="741">
        <f t="shared" si="233"/>
        <v>0</v>
      </c>
      <c r="AC1833" s="846"/>
      <c r="AD1833" s="847"/>
      <c r="AE1833" s="846"/>
      <c r="AF1833" s="846"/>
      <c r="AG1833" s="847"/>
      <c r="AH1833" s="847"/>
      <c r="AI1833" s="742">
        <f t="shared" si="237"/>
        <v>37062044</v>
      </c>
      <c r="AJ1833" s="743">
        <f t="shared" si="238"/>
        <v>38351803</v>
      </c>
    </row>
    <row r="1834" spans="1:36">
      <c r="A1834" s="840" t="s">
        <v>153</v>
      </c>
      <c r="B1834" s="841" t="s">
        <v>264</v>
      </c>
      <c r="C1834" s="848" t="s">
        <v>1320</v>
      </c>
      <c r="D1834" s="849"/>
      <c r="E1834" s="844">
        <v>199494</v>
      </c>
      <c r="F1834" s="845">
        <v>8</v>
      </c>
      <c r="G1834" s="846"/>
      <c r="H1834" s="847"/>
      <c r="I1834" s="846"/>
      <c r="J1834" s="847"/>
      <c r="K1834" s="846"/>
      <c r="L1834" s="847"/>
      <c r="M1834" s="846"/>
      <c r="N1834" s="846"/>
      <c r="O1834" s="737">
        <f t="shared" si="231"/>
        <v>0</v>
      </c>
      <c r="P1834" s="847"/>
      <c r="Q1834" s="847"/>
      <c r="R1834" s="738">
        <f t="shared" si="234"/>
        <v>0</v>
      </c>
      <c r="S1834" s="737">
        <f t="shared" si="235"/>
        <v>0</v>
      </c>
      <c r="T1834" s="739">
        <f t="shared" si="236"/>
        <v>0</v>
      </c>
      <c r="U1834" s="846"/>
      <c r="V1834" s="847"/>
      <c r="W1834" s="846"/>
      <c r="X1834" s="846"/>
      <c r="Y1834" s="740">
        <f t="shared" si="232"/>
        <v>0</v>
      </c>
      <c r="Z1834" s="847"/>
      <c r="AA1834" s="847"/>
      <c r="AB1834" s="741">
        <f t="shared" si="233"/>
        <v>0</v>
      </c>
      <c r="AC1834" s="846"/>
      <c r="AD1834" s="847"/>
      <c r="AE1834" s="846"/>
      <c r="AF1834" s="846"/>
      <c r="AG1834" s="847"/>
      <c r="AH1834" s="847"/>
      <c r="AI1834" s="742">
        <f t="shared" si="237"/>
        <v>0</v>
      </c>
      <c r="AJ1834" s="743">
        <f t="shared" si="238"/>
        <v>0</v>
      </c>
    </row>
    <row r="1835" spans="1:36">
      <c r="A1835" s="840" t="s">
        <v>153</v>
      </c>
      <c r="B1835" s="841" t="s">
        <v>266</v>
      </c>
      <c r="C1835" s="848" t="s">
        <v>319</v>
      </c>
      <c r="D1835" s="849"/>
      <c r="E1835" s="844">
        <v>199494</v>
      </c>
      <c r="F1835" s="845">
        <v>8</v>
      </c>
      <c r="G1835" s="846"/>
      <c r="H1835" s="847"/>
      <c r="I1835" s="846">
        <v>169273</v>
      </c>
      <c r="J1835" s="847">
        <v>171919</v>
      </c>
      <c r="K1835" s="846"/>
      <c r="L1835" s="847"/>
      <c r="M1835" s="846"/>
      <c r="N1835" s="846"/>
      <c r="O1835" s="737">
        <f t="shared" si="231"/>
        <v>0</v>
      </c>
      <c r="P1835" s="847"/>
      <c r="Q1835" s="847"/>
      <c r="R1835" s="738">
        <f t="shared" si="234"/>
        <v>0</v>
      </c>
      <c r="S1835" s="737">
        <f t="shared" si="235"/>
        <v>169273</v>
      </c>
      <c r="T1835" s="739">
        <f t="shared" si="236"/>
        <v>171919</v>
      </c>
      <c r="U1835" s="846"/>
      <c r="V1835" s="847"/>
      <c r="W1835" s="846"/>
      <c r="X1835" s="846"/>
      <c r="Y1835" s="740">
        <f t="shared" si="232"/>
        <v>0</v>
      </c>
      <c r="Z1835" s="847"/>
      <c r="AA1835" s="847"/>
      <c r="AB1835" s="741">
        <f t="shared" si="233"/>
        <v>0</v>
      </c>
      <c r="AC1835" s="846"/>
      <c r="AD1835" s="847"/>
      <c r="AE1835" s="846"/>
      <c r="AF1835" s="846"/>
      <c r="AG1835" s="847"/>
      <c r="AH1835" s="847"/>
      <c r="AI1835" s="742">
        <f t="shared" si="237"/>
        <v>169273</v>
      </c>
      <c r="AJ1835" s="743">
        <f t="shared" si="238"/>
        <v>171919</v>
      </c>
    </row>
    <row r="1836" spans="1:36">
      <c r="A1836" s="840" t="s">
        <v>153</v>
      </c>
      <c r="B1836" s="841" t="s">
        <v>275</v>
      </c>
      <c r="C1836" s="848" t="s">
        <v>258</v>
      </c>
      <c r="D1836" s="849"/>
      <c r="E1836" s="844">
        <v>199494</v>
      </c>
      <c r="F1836" s="845">
        <v>8</v>
      </c>
      <c r="G1836" s="846"/>
      <c r="H1836" s="847"/>
      <c r="I1836" s="846">
        <v>3158726</v>
      </c>
      <c r="J1836" s="847">
        <v>3218706</v>
      </c>
      <c r="K1836" s="846"/>
      <c r="L1836" s="847"/>
      <c r="M1836" s="846">
        <v>448961</v>
      </c>
      <c r="N1836" s="846"/>
      <c r="O1836" s="737">
        <f t="shared" si="231"/>
        <v>448961</v>
      </c>
      <c r="P1836" s="847">
        <v>454867</v>
      </c>
      <c r="Q1836" s="847"/>
      <c r="R1836" s="738">
        <f t="shared" si="234"/>
        <v>454867</v>
      </c>
      <c r="S1836" s="737">
        <f t="shared" si="235"/>
        <v>3607687</v>
      </c>
      <c r="T1836" s="739">
        <f t="shared" si="236"/>
        <v>3673573</v>
      </c>
      <c r="U1836" s="846"/>
      <c r="V1836" s="847"/>
      <c r="W1836" s="846"/>
      <c r="X1836" s="846"/>
      <c r="Y1836" s="740">
        <f t="shared" si="232"/>
        <v>0</v>
      </c>
      <c r="Z1836" s="847"/>
      <c r="AA1836" s="847"/>
      <c r="AB1836" s="741">
        <f t="shared" si="233"/>
        <v>0</v>
      </c>
      <c r="AC1836" s="846"/>
      <c r="AD1836" s="847"/>
      <c r="AE1836" s="846"/>
      <c r="AF1836" s="846"/>
      <c r="AG1836" s="847"/>
      <c r="AH1836" s="847"/>
      <c r="AI1836" s="742">
        <f t="shared" si="237"/>
        <v>3607687</v>
      </c>
      <c r="AJ1836" s="743">
        <f t="shared" si="238"/>
        <v>3673573</v>
      </c>
    </row>
    <row r="1837" spans="1:36">
      <c r="A1837" s="840" t="s">
        <v>153</v>
      </c>
      <c r="B1837" s="841" t="s">
        <v>264</v>
      </c>
      <c r="C1837" s="841" t="s">
        <v>1328</v>
      </c>
      <c r="D1837" s="872"/>
      <c r="E1837" s="844">
        <v>199856</v>
      </c>
      <c r="F1837" s="845">
        <v>8</v>
      </c>
      <c r="G1837" s="846">
        <v>51306986</v>
      </c>
      <c r="H1837" s="847">
        <v>56158648</v>
      </c>
      <c r="I1837" s="846"/>
      <c r="J1837" s="847"/>
      <c r="K1837" s="846">
        <v>16190938</v>
      </c>
      <c r="L1837" s="847">
        <v>16478000</v>
      </c>
      <c r="M1837" s="846">
        <v>26645646</v>
      </c>
      <c r="N1837" s="846"/>
      <c r="O1837" s="737">
        <f t="shared" si="231"/>
        <v>26645646</v>
      </c>
      <c r="P1837" s="847">
        <v>27466138</v>
      </c>
      <c r="Q1837" s="847"/>
      <c r="R1837" s="738">
        <f t="shared" si="234"/>
        <v>27466138</v>
      </c>
      <c r="S1837" s="737">
        <f t="shared" si="235"/>
        <v>94143570</v>
      </c>
      <c r="T1837" s="739">
        <f t="shared" si="236"/>
        <v>100102786</v>
      </c>
      <c r="U1837" s="846"/>
      <c r="V1837" s="847"/>
      <c r="W1837" s="846"/>
      <c r="X1837" s="846"/>
      <c r="Y1837" s="740">
        <f t="shared" si="232"/>
        <v>0</v>
      </c>
      <c r="Z1837" s="847"/>
      <c r="AA1837" s="847"/>
      <c r="AB1837" s="741">
        <f t="shared" si="233"/>
        <v>0</v>
      </c>
      <c r="AC1837" s="846"/>
      <c r="AD1837" s="847"/>
      <c r="AE1837" s="846"/>
      <c r="AF1837" s="846"/>
      <c r="AG1837" s="847"/>
      <c r="AH1837" s="847"/>
      <c r="AI1837" s="742">
        <f t="shared" si="237"/>
        <v>94143570</v>
      </c>
      <c r="AJ1837" s="743">
        <f t="shared" si="238"/>
        <v>100102786</v>
      </c>
    </row>
    <row r="1838" spans="1:36">
      <c r="A1838" s="840" t="s">
        <v>153</v>
      </c>
      <c r="B1838" s="841" t="s">
        <v>264</v>
      </c>
      <c r="C1838" s="848" t="s">
        <v>1320</v>
      </c>
      <c r="D1838" s="849"/>
      <c r="E1838" s="844">
        <v>199856</v>
      </c>
      <c r="F1838" s="845">
        <v>8</v>
      </c>
      <c r="G1838" s="846"/>
      <c r="H1838" s="847"/>
      <c r="I1838" s="846"/>
      <c r="J1838" s="847"/>
      <c r="K1838" s="846"/>
      <c r="L1838" s="847"/>
      <c r="M1838" s="846"/>
      <c r="N1838" s="846"/>
      <c r="O1838" s="737">
        <f t="shared" si="231"/>
        <v>0</v>
      </c>
      <c r="P1838" s="847"/>
      <c r="Q1838" s="847"/>
      <c r="R1838" s="738">
        <f t="shared" si="234"/>
        <v>0</v>
      </c>
      <c r="S1838" s="737">
        <f t="shared" si="235"/>
        <v>0</v>
      </c>
      <c r="T1838" s="739">
        <f t="shared" si="236"/>
        <v>0</v>
      </c>
      <c r="U1838" s="846"/>
      <c r="V1838" s="847"/>
      <c r="W1838" s="846"/>
      <c r="X1838" s="846"/>
      <c r="Y1838" s="740">
        <f t="shared" si="232"/>
        <v>0</v>
      </c>
      <c r="Z1838" s="847"/>
      <c r="AA1838" s="847"/>
      <c r="AB1838" s="741">
        <f t="shared" si="233"/>
        <v>0</v>
      </c>
      <c r="AC1838" s="846"/>
      <c r="AD1838" s="847"/>
      <c r="AE1838" s="846"/>
      <c r="AF1838" s="846"/>
      <c r="AG1838" s="847"/>
      <c r="AH1838" s="847"/>
      <c r="AI1838" s="742">
        <f t="shared" si="237"/>
        <v>0</v>
      </c>
      <c r="AJ1838" s="743">
        <f t="shared" si="238"/>
        <v>0</v>
      </c>
    </row>
    <row r="1839" spans="1:36">
      <c r="A1839" s="840" t="s">
        <v>153</v>
      </c>
      <c r="B1839" s="841" t="s">
        <v>266</v>
      </c>
      <c r="C1839" s="848" t="s">
        <v>319</v>
      </c>
      <c r="D1839" s="849"/>
      <c r="E1839" s="844">
        <v>199856</v>
      </c>
      <c r="F1839" s="845">
        <v>8</v>
      </c>
      <c r="G1839" s="846"/>
      <c r="H1839" s="847"/>
      <c r="I1839" s="846">
        <v>175056</v>
      </c>
      <c r="J1839" s="847">
        <v>176940</v>
      </c>
      <c r="K1839" s="846"/>
      <c r="L1839" s="847"/>
      <c r="M1839" s="846"/>
      <c r="N1839" s="846"/>
      <c r="O1839" s="737">
        <f t="shared" si="231"/>
        <v>0</v>
      </c>
      <c r="P1839" s="847"/>
      <c r="Q1839" s="847"/>
      <c r="R1839" s="738">
        <f t="shared" si="234"/>
        <v>0</v>
      </c>
      <c r="S1839" s="737">
        <f t="shared" si="235"/>
        <v>175056</v>
      </c>
      <c r="T1839" s="739">
        <f t="shared" si="236"/>
        <v>176940</v>
      </c>
      <c r="U1839" s="846"/>
      <c r="V1839" s="847"/>
      <c r="W1839" s="846"/>
      <c r="X1839" s="846"/>
      <c r="Y1839" s="740">
        <f t="shared" si="232"/>
        <v>0</v>
      </c>
      <c r="Z1839" s="847"/>
      <c r="AA1839" s="847"/>
      <c r="AB1839" s="741">
        <f t="shared" si="233"/>
        <v>0</v>
      </c>
      <c r="AC1839" s="846"/>
      <c r="AD1839" s="847"/>
      <c r="AE1839" s="846"/>
      <c r="AF1839" s="846"/>
      <c r="AG1839" s="847"/>
      <c r="AH1839" s="847"/>
      <c r="AI1839" s="742">
        <f t="shared" si="237"/>
        <v>175056</v>
      </c>
      <c r="AJ1839" s="743">
        <f t="shared" si="238"/>
        <v>176940</v>
      </c>
    </row>
    <row r="1840" spans="1:36">
      <c r="A1840" s="840" t="s">
        <v>153</v>
      </c>
      <c r="B1840" s="841" t="s">
        <v>275</v>
      </c>
      <c r="C1840" s="848" t="s">
        <v>258</v>
      </c>
      <c r="D1840" s="849"/>
      <c r="E1840" s="844">
        <v>199856</v>
      </c>
      <c r="F1840" s="845">
        <v>8</v>
      </c>
      <c r="G1840" s="846"/>
      <c r="H1840" s="847"/>
      <c r="I1840" s="846">
        <v>8263528</v>
      </c>
      <c r="J1840" s="847">
        <v>8610431</v>
      </c>
      <c r="K1840" s="846"/>
      <c r="L1840" s="847"/>
      <c r="M1840" s="846">
        <v>1036600</v>
      </c>
      <c r="N1840" s="846"/>
      <c r="O1840" s="737">
        <f t="shared" si="231"/>
        <v>1036600</v>
      </c>
      <c r="P1840" s="847">
        <v>1022355</v>
      </c>
      <c r="Q1840" s="847"/>
      <c r="R1840" s="738">
        <f t="shared" si="234"/>
        <v>1022355</v>
      </c>
      <c r="S1840" s="737">
        <f t="shared" si="235"/>
        <v>9300128</v>
      </c>
      <c r="T1840" s="739">
        <f t="shared" si="236"/>
        <v>9632786</v>
      </c>
      <c r="U1840" s="846"/>
      <c r="V1840" s="847"/>
      <c r="W1840" s="846"/>
      <c r="X1840" s="846"/>
      <c r="Y1840" s="740">
        <f t="shared" si="232"/>
        <v>0</v>
      </c>
      <c r="Z1840" s="847"/>
      <c r="AA1840" s="847"/>
      <c r="AB1840" s="741">
        <f t="shared" si="233"/>
        <v>0</v>
      </c>
      <c r="AC1840" s="846"/>
      <c r="AD1840" s="847"/>
      <c r="AE1840" s="846"/>
      <c r="AF1840" s="846"/>
      <c r="AG1840" s="847"/>
      <c r="AH1840" s="847"/>
      <c r="AI1840" s="742">
        <f t="shared" si="237"/>
        <v>9300128</v>
      </c>
      <c r="AJ1840" s="743">
        <f t="shared" si="238"/>
        <v>9632786</v>
      </c>
    </row>
    <row r="1841" spans="1:36">
      <c r="A1841" s="840" t="s">
        <v>153</v>
      </c>
      <c r="B1841" s="841" t="s">
        <v>264</v>
      </c>
      <c r="C1841" s="1057" t="s">
        <v>1329</v>
      </c>
      <c r="D1841" s="1231"/>
      <c r="E1841" s="844">
        <v>199786</v>
      </c>
      <c r="F1841" s="845">
        <v>9</v>
      </c>
      <c r="G1841" s="846">
        <v>13605058</v>
      </c>
      <c r="H1841" s="847">
        <v>13544921</v>
      </c>
      <c r="I1841" s="846"/>
      <c r="J1841" s="847"/>
      <c r="K1841" s="846">
        <v>2754515</v>
      </c>
      <c r="L1841" s="847">
        <v>2830115</v>
      </c>
      <c r="M1841" s="846">
        <v>6739376</v>
      </c>
      <c r="N1841" s="846"/>
      <c r="O1841" s="737">
        <f t="shared" si="231"/>
        <v>6739376</v>
      </c>
      <c r="P1841" s="847">
        <v>6288592</v>
      </c>
      <c r="Q1841" s="847"/>
      <c r="R1841" s="738">
        <f t="shared" si="234"/>
        <v>6288592</v>
      </c>
      <c r="S1841" s="737">
        <f t="shared" si="235"/>
        <v>23098949</v>
      </c>
      <c r="T1841" s="739">
        <f t="shared" si="236"/>
        <v>22663628</v>
      </c>
      <c r="U1841" s="846"/>
      <c r="V1841" s="847"/>
      <c r="W1841" s="846"/>
      <c r="X1841" s="846"/>
      <c r="Y1841" s="740">
        <f t="shared" si="232"/>
        <v>0</v>
      </c>
      <c r="Z1841" s="847"/>
      <c r="AA1841" s="847"/>
      <c r="AB1841" s="741">
        <f t="shared" si="233"/>
        <v>0</v>
      </c>
      <c r="AC1841" s="846"/>
      <c r="AD1841" s="847"/>
      <c r="AE1841" s="846"/>
      <c r="AF1841" s="846"/>
      <c r="AG1841" s="847"/>
      <c r="AH1841" s="847"/>
      <c r="AI1841" s="742">
        <f t="shared" si="237"/>
        <v>23098949</v>
      </c>
      <c r="AJ1841" s="743">
        <f t="shared" si="238"/>
        <v>22663628</v>
      </c>
    </row>
    <row r="1842" spans="1:36">
      <c r="A1842" s="840" t="s">
        <v>153</v>
      </c>
      <c r="B1842" s="841" t="s">
        <v>264</v>
      </c>
      <c r="C1842" s="848" t="s">
        <v>1320</v>
      </c>
      <c r="D1842" s="849"/>
      <c r="E1842" s="844">
        <v>199786</v>
      </c>
      <c r="F1842" s="845">
        <v>9</v>
      </c>
      <c r="G1842" s="846"/>
      <c r="H1842" s="847"/>
      <c r="I1842" s="846"/>
      <c r="J1842" s="847"/>
      <c r="K1842" s="846"/>
      <c r="L1842" s="847"/>
      <c r="M1842" s="846"/>
      <c r="N1842" s="846"/>
      <c r="O1842" s="737">
        <f t="shared" si="231"/>
        <v>0</v>
      </c>
      <c r="P1842" s="847"/>
      <c r="Q1842" s="847"/>
      <c r="R1842" s="738">
        <f t="shared" si="234"/>
        <v>0</v>
      </c>
      <c r="S1842" s="737">
        <f t="shared" si="235"/>
        <v>0</v>
      </c>
      <c r="T1842" s="739">
        <f t="shared" si="236"/>
        <v>0</v>
      </c>
      <c r="U1842" s="846"/>
      <c r="V1842" s="847"/>
      <c r="W1842" s="846"/>
      <c r="X1842" s="846"/>
      <c r="Y1842" s="740">
        <f t="shared" si="232"/>
        <v>0</v>
      </c>
      <c r="Z1842" s="847"/>
      <c r="AA1842" s="847"/>
      <c r="AB1842" s="741">
        <f t="shared" si="233"/>
        <v>0</v>
      </c>
      <c r="AC1842" s="846"/>
      <c r="AD1842" s="847"/>
      <c r="AE1842" s="846"/>
      <c r="AF1842" s="846"/>
      <c r="AG1842" s="847"/>
      <c r="AH1842" s="847"/>
      <c r="AI1842" s="742">
        <f t="shared" si="237"/>
        <v>0</v>
      </c>
      <c r="AJ1842" s="743">
        <f t="shared" si="238"/>
        <v>0</v>
      </c>
    </row>
    <row r="1843" spans="1:36">
      <c r="A1843" s="840" t="s">
        <v>153</v>
      </c>
      <c r="B1843" s="841" t="s">
        <v>266</v>
      </c>
      <c r="C1843" s="848" t="s">
        <v>319</v>
      </c>
      <c r="D1843" s="849"/>
      <c r="E1843" s="844">
        <v>199786</v>
      </c>
      <c r="F1843" s="845">
        <v>9</v>
      </c>
      <c r="G1843" s="846"/>
      <c r="H1843" s="847"/>
      <c r="I1843" s="846">
        <v>163976</v>
      </c>
      <c r="J1843" s="847">
        <v>166512</v>
      </c>
      <c r="K1843" s="846"/>
      <c r="L1843" s="847"/>
      <c r="M1843" s="846"/>
      <c r="N1843" s="846"/>
      <c r="O1843" s="737">
        <f t="shared" si="231"/>
        <v>0</v>
      </c>
      <c r="P1843" s="847"/>
      <c r="Q1843" s="847"/>
      <c r="R1843" s="738">
        <f t="shared" si="234"/>
        <v>0</v>
      </c>
      <c r="S1843" s="737">
        <f t="shared" si="235"/>
        <v>163976</v>
      </c>
      <c r="T1843" s="739">
        <f t="shared" si="236"/>
        <v>166512</v>
      </c>
      <c r="U1843" s="846"/>
      <c r="V1843" s="847"/>
      <c r="W1843" s="846"/>
      <c r="X1843" s="846"/>
      <c r="Y1843" s="740">
        <f t="shared" si="232"/>
        <v>0</v>
      </c>
      <c r="Z1843" s="847"/>
      <c r="AA1843" s="847"/>
      <c r="AB1843" s="741">
        <f t="shared" si="233"/>
        <v>0</v>
      </c>
      <c r="AC1843" s="846"/>
      <c r="AD1843" s="847"/>
      <c r="AE1843" s="846"/>
      <c r="AF1843" s="846"/>
      <c r="AG1843" s="847"/>
      <c r="AH1843" s="847"/>
      <c r="AI1843" s="742">
        <f t="shared" si="237"/>
        <v>163976</v>
      </c>
      <c r="AJ1843" s="743">
        <f t="shared" si="238"/>
        <v>166512</v>
      </c>
    </row>
    <row r="1844" spans="1:36">
      <c r="A1844" s="840" t="s">
        <v>153</v>
      </c>
      <c r="B1844" s="841" t="s">
        <v>275</v>
      </c>
      <c r="C1844" s="848" t="s">
        <v>258</v>
      </c>
      <c r="D1844" s="849"/>
      <c r="E1844" s="844">
        <v>199786</v>
      </c>
      <c r="F1844" s="845">
        <v>9</v>
      </c>
      <c r="G1844" s="846"/>
      <c r="H1844" s="847"/>
      <c r="I1844" s="846">
        <v>2025978</v>
      </c>
      <c r="J1844" s="847">
        <v>2003889</v>
      </c>
      <c r="K1844" s="846"/>
      <c r="L1844" s="847"/>
      <c r="M1844" s="846">
        <v>229863</v>
      </c>
      <c r="N1844" s="846"/>
      <c r="O1844" s="737">
        <f t="shared" si="231"/>
        <v>229863</v>
      </c>
      <c r="P1844" s="847">
        <v>219612</v>
      </c>
      <c r="Q1844" s="847"/>
      <c r="R1844" s="738">
        <f t="shared" si="234"/>
        <v>219612</v>
      </c>
      <c r="S1844" s="737">
        <f t="shared" si="235"/>
        <v>2255841</v>
      </c>
      <c r="T1844" s="739">
        <f t="shared" si="236"/>
        <v>2223501</v>
      </c>
      <c r="U1844" s="846"/>
      <c r="V1844" s="847"/>
      <c r="W1844" s="846"/>
      <c r="X1844" s="846"/>
      <c r="Y1844" s="740">
        <f t="shared" si="232"/>
        <v>0</v>
      </c>
      <c r="Z1844" s="847"/>
      <c r="AA1844" s="847"/>
      <c r="AB1844" s="741">
        <f t="shared" si="233"/>
        <v>0</v>
      </c>
      <c r="AC1844" s="846"/>
      <c r="AD1844" s="847"/>
      <c r="AE1844" s="846"/>
      <c r="AF1844" s="846"/>
      <c r="AG1844" s="847"/>
      <c r="AH1844" s="847"/>
      <c r="AI1844" s="742">
        <f t="shared" si="237"/>
        <v>2255841</v>
      </c>
      <c r="AJ1844" s="743">
        <f t="shared" si="238"/>
        <v>2223501</v>
      </c>
    </row>
    <row r="1845" spans="1:36">
      <c r="A1845" s="840" t="s">
        <v>153</v>
      </c>
      <c r="B1845" s="841" t="s">
        <v>264</v>
      </c>
      <c r="C1845" s="1057" t="s">
        <v>1330</v>
      </c>
      <c r="D1845" s="1231"/>
      <c r="E1845" s="844">
        <v>198118</v>
      </c>
      <c r="F1845" s="845">
        <v>9</v>
      </c>
      <c r="G1845" s="846">
        <v>13744649</v>
      </c>
      <c r="H1845" s="847">
        <v>13603794</v>
      </c>
      <c r="I1845" s="846"/>
      <c r="J1845" s="847"/>
      <c r="K1845" s="846">
        <v>3986130</v>
      </c>
      <c r="L1845" s="847">
        <v>4016951</v>
      </c>
      <c r="M1845" s="846">
        <v>6561690</v>
      </c>
      <c r="N1845" s="846"/>
      <c r="O1845" s="737">
        <f t="shared" si="231"/>
        <v>6561690</v>
      </c>
      <c r="P1845" s="847">
        <v>5876883</v>
      </c>
      <c r="Q1845" s="847"/>
      <c r="R1845" s="738">
        <f t="shared" si="234"/>
        <v>5876883</v>
      </c>
      <c r="S1845" s="737">
        <f t="shared" si="235"/>
        <v>24292469</v>
      </c>
      <c r="T1845" s="739">
        <f t="shared" si="236"/>
        <v>23497628</v>
      </c>
      <c r="U1845" s="846"/>
      <c r="V1845" s="847"/>
      <c r="W1845" s="846"/>
      <c r="X1845" s="846"/>
      <c r="Y1845" s="740">
        <f t="shared" si="232"/>
        <v>0</v>
      </c>
      <c r="Z1845" s="847"/>
      <c r="AA1845" s="847"/>
      <c r="AB1845" s="741">
        <f t="shared" si="233"/>
        <v>0</v>
      </c>
      <c r="AC1845" s="846"/>
      <c r="AD1845" s="847"/>
      <c r="AE1845" s="846"/>
      <c r="AF1845" s="846"/>
      <c r="AG1845" s="847"/>
      <c r="AH1845" s="847"/>
      <c r="AI1845" s="742">
        <f t="shared" si="237"/>
        <v>24292469</v>
      </c>
      <c r="AJ1845" s="743">
        <f t="shared" si="238"/>
        <v>23497628</v>
      </c>
    </row>
    <row r="1846" spans="1:36">
      <c r="A1846" s="840" t="s">
        <v>153</v>
      </c>
      <c r="B1846" s="841" t="s">
        <v>264</v>
      </c>
      <c r="C1846" s="848" t="s">
        <v>1320</v>
      </c>
      <c r="D1846" s="849"/>
      <c r="E1846" s="844">
        <v>198118</v>
      </c>
      <c r="F1846" s="845">
        <v>9</v>
      </c>
      <c r="G1846" s="846"/>
      <c r="H1846" s="847"/>
      <c r="I1846" s="846"/>
      <c r="J1846" s="847"/>
      <c r="K1846" s="846"/>
      <c r="L1846" s="847"/>
      <c r="M1846" s="846"/>
      <c r="N1846" s="846"/>
      <c r="O1846" s="737">
        <f t="shared" si="231"/>
        <v>0</v>
      </c>
      <c r="P1846" s="847"/>
      <c r="Q1846" s="847"/>
      <c r="R1846" s="738">
        <f t="shared" si="234"/>
        <v>0</v>
      </c>
      <c r="S1846" s="737">
        <f t="shared" si="235"/>
        <v>0</v>
      </c>
      <c r="T1846" s="739">
        <f t="shared" si="236"/>
        <v>0</v>
      </c>
      <c r="U1846" s="846"/>
      <c r="V1846" s="847"/>
      <c r="W1846" s="846"/>
      <c r="X1846" s="846"/>
      <c r="Y1846" s="740">
        <f t="shared" si="232"/>
        <v>0</v>
      </c>
      <c r="Z1846" s="847"/>
      <c r="AA1846" s="847"/>
      <c r="AB1846" s="741">
        <f t="shared" si="233"/>
        <v>0</v>
      </c>
      <c r="AC1846" s="846"/>
      <c r="AD1846" s="847"/>
      <c r="AE1846" s="846"/>
      <c r="AF1846" s="846"/>
      <c r="AG1846" s="847"/>
      <c r="AH1846" s="847"/>
      <c r="AI1846" s="742">
        <f t="shared" si="237"/>
        <v>0</v>
      </c>
      <c r="AJ1846" s="743">
        <f t="shared" si="238"/>
        <v>0</v>
      </c>
    </row>
    <row r="1847" spans="1:36">
      <c r="A1847" s="840" t="s">
        <v>153</v>
      </c>
      <c r="B1847" s="841" t="s">
        <v>266</v>
      </c>
      <c r="C1847" s="848" t="s">
        <v>319</v>
      </c>
      <c r="D1847" s="849"/>
      <c r="E1847" s="844">
        <v>198118</v>
      </c>
      <c r="F1847" s="845">
        <v>9</v>
      </c>
      <c r="G1847" s="846"/>
      <c r="H1847" s="847"/>
      <c r="I1847" s="846">
        <v>149814</v>
      </c>
      <c r="J1847" s="847">
        <v>154692</v>
      </c>
      <c r="K1847" s="846"/>
      <c r="L1847" s="847"/>
      <c r="M1847" s="846"/>
      <c r="N1847" s="846"/>
      <c r="O1847" s="737">
        <f t="shared" si="231"/>
        <v>0</v>
      </c>
      <c r="P1847" s="847"/>
      <c r="Q1847" s="847"/>
      <c r="R1847" s="738">
        <f t="shared" si="234"/>
        <v>0</v>
      </c>
      <c r="S1847" s="737">
        <f t="shared" si="235"/>
        <v>149814</v>
      </c>
      <c r="T1847" s="739">
        <f t="shared" si="236"/>
        <v>154692</v>
      </c>
      <c r="U1847" s="846"/>
      <c r="V1847" s="847"/>
      <c r="W1847" s="846"/>
      <c r="X1847" s="846"/>
      <c r="Y1847" s="740">
        <f t="shared" si="232"/>
        <v>0</v>
      </c>
      <c r="Z1847" s="847"/>
      <c r="AA1847" s="847"/>
      <c r="AB1847" s="741">
        <f t="shared" si="233"/>
        <v>0</v>
      </c>
      <c r="AC1847" s="846"/>
      <c r="AD1847" s="847"/>
      <c r="AE1847" s="846"/>
      <c r="AF1847" s="846"/>
      <c r="AG1847" s="847"/>
      <c r="AH1847" s="847"/>
      <c r="AI1847" s="742">
        <f t="shared" si="237"/>
        <v>149814</v>
      </c>
      <c r="AJ1847" s="743">
        <f t="shared" si="238"/>
        <v>154692</v>
      </c>
    </row>
    <row r="1848" spans="1:36">
      <c r="A1848" s="840" t="s">
        <v>153</v>
      </c>
      <c r="B1848" s="841" t="s">
        <v>275</v>
      </c>
      <c r="C1848" s="848" t="s">
        <v>258</v>
      </c>
      <c r="D1848" s="849"/>
      <c r="E1848" s="844">
        <v>198118</v>
      </c>
      <c r="F1848" s="845">
        <v>9</v>
      </c>
      <c r="G1848" s="846"/>
      <c r="H1848" s="847"/>
      <c r="I1848" s="846">
        <v>2300404</v>
      </c>
      <c r="J1848" s="847">
        <v>2440289</v>
      </c>
      <c r="K1848" s="846"/>
      <c r="L1848" s="847"/>
      <c r="M1848" s="846">
        <v>309650</v>
      </c>
      <c r="N1848" s="846"/>
      <c r="O1848" s="737">
        <f t="shared" si="231"/>
        <v>309650</v>
      </c>
      <c r="P1848" s="847">
        <v>340994</v>
      </c>
      <c r="Q1848" s="847"/>
      <c r="R1848" s="738">
        <f t="shared" si="234"/>
        <v>340994</v>
      </c>
      <c r="S1848" s="737">
        <f t="shared" si="235"/>
        <v>2610054</v>
      </c>
      <c r="T1848" s="739">
        <f t="shared" si="236"/>
        <v>2781283</v>
      </c>
      <c r="U1848" s="846"/>
      <c r="V1848" s="847"/>
      <c r="W1848" s="846"/>
      <c r="X1848" s="846"/>
      <c r="Y1848" s="740">
        <f t="shared" si="232"/>
        <v>0</v>
      </c>
      <c r="Z1848" s="847"/>
      <c r="AA1848" s="847"/>
      <c r="AB1848" s="741">
        <f t="shared" si="233"/>
        <v>0</v>
      </c>
      <c r="AC1848" s="846"/>
      <c r="AD1848" s="847"/>
      <c r="AE1848" s="846"/>
      <c r="AF1848" s="846"/>
      <c r="AG1848" s="847"/>
      <c r="AH1848" s="847"/>
      <c r="AI1848" s="742">
        <f t="shared" si="237"/>
        <v>2610054</v>
      </c>
      <c r="AJ1848" s="743">
        <f t="shared" si="238"/>
        <v>2781283</v>
      </c>
    </row>
    <row r="1849" spans="1:36">
      <c r="A1849" s="840" t="s">
        <v>153</v>
      </c>
      <c r="B1849" s="841" t="s">
        <v>264</v>
      </c>
      <c r="C1849" s="1057" t="s">
        <v>1331</v>
      </c>
      <c r="D1849" s="1231"/>
      <c r="E1849" s="844">
        <v>198233</v>
      </c>
      <c r="F1849" s="855">
        <v>9</v>
      </c>
      <c r="G1849" s="846">
        <v>15155755</v>
      </c>
      <c r="H1849" s="847">
        <v>15206150</v>
      </c>
      <c r="I1849" s="846"/>
      <c r="J1849" s="847"/>
      <c r="K1849" s="846">
        <v>3850000</v>
      </c>
      <c r="L1849" s="847">
        <v>3848000</v>
      </c>
      <c r="M1849" s="846">
        <v>7109253</v>
      </c>
      <c r="N1849" s="846"/>
      <c r="O1849" s="737">
        <f t="shared" si="231"/>
        <v>7109253</v>
      </c>
      <c r="P1849" s="847">
        <v>6645650</v>
      </c>
      <c r="Q1849" s="847"/>
      <c r="R1849" s="738">
        <f t="shared" si="234"/>
        <v>6645650</v>
      </c>
      <c r="S1849" s="737">
        <f t="shared" si="235"/>
        <v>26115008</v>
      </c>
      <c r="T1849" s="739">
        <f t="shared" si="236"/>
        <v>25699800</v>
      </c>
      <c r="U1849" s="846"/>
      <c r="V1849" s="847"/>
      <c r="W1849" s="846"/>
      <c r="X1849" s="846"/>
      <c r="Y1849" s="740">
        <f t="shared" si="232"/>
        <v>0</v>
      </c>
      <c r="Z1849" s="847"/>
      <c r="AA1849" s="847"/>
      <c r="AB1849" s="741">
        <f t="shared" si="233"/>
        <v>0</v>
      </c>
      <c r="AC1849" s="846"/>
      <c r="AD1849" s="847"/>
      <c r="AE1849" s="846"/>
      <c r="AF1849" s="846"/>
      <c r="AG1849" s="847"/>
      <c r="AH1849" s="847"/>
      <c r="AI1849" s="742">
        <f t="shared" si="237"/>
        <v>26115008</v>
      </c>
      <c r="AJ1849" s="743">
        <f t="shared" si="238"/>
        <v>25699800</v>
      </c>
    </row>
    <row r="1850" spans="1:36">
      <c r="A1850" s="840" t="s">
        <v>153</v>
      </c>
      <c r="B1850" s="841" t="s">
        <v>264</v>
      </c>
      <c r="C1850" s="848" t="s">
        <v>1320</v>
      </c>
      <c r="D1850" s="849"/>
      <c r="E1850" s="844">
        <v>198233</v>
      </c>
      <c r="F1850" s="855">
        <v>9</v>
      </c>
      <c r="G1850" s="846"/>
      <c r="H1850" s="847"/>
      <c r="I1850" s="846"/>
      <c r="J1850" s="847"/>
      <c r="K1850" s="846"/>
      <c r="L1850" s="847"/>
      <c r="M1850" s="846"/>
      <c r="N1850" s="846"/>
      <c r="O1850" s="737">
        <f t="shared" si="231"/>
        <v>0</v>
      </c>
      <c r="P1850" s="847"/>
      <c r="Q1850" s="847"/>
      <c r="R1850" s="738">
        <f t="shared" si="234"/>
        <v>0</v>
      </c>
      <c r="S1850" s="737">
        <f t="shared" si="235"/>
        <v>0</v>
      </c>
      <c r="T1850" s="739">
        <f t="shared" si="236"/>
        <v>0</v>
      </c>
      <c r="U1850" s="846"/>
      <c r="V1850" s="847"/>
      <c r="W1850" s="846"/>
      <c r="X1850" s="846"/>
      <c r="Y1850" s="740">
        <f t="shared" si="232"/>
        <v>0</v>
      </c>
      <c r="Z1850" s="847"/>
      <c r="AA1850" s="847"/>
      <c r="AB1850" s="741">
        <f t="shared" si="233"/>
        <v>0</v>
      </c>
      <c r="AC1850" s="846"/>
      <c r="AD1850" s="847"/>
      <c r="AE1850" s="846"/>
      <c r="AF1850" s="846"/>
      <c r="AG1850" s="847"/>
      <c r="AH1850" s="847"/>
      <c r="AI1850" s="742">
        <f t="shared" si="237"/>
        <v>0</v>
      </c>
      <c r="AJ1850" s="743">
        <f t="shared" si="238"/>
        <v>0</v>
      </c>
    </row>
    <row r="1851" spans="1:36">
      <c r="A1851" s="840" t="s">
        <v>153</v>
      </c>
      <c r="B1851" s="841" t="s">
        <v>266</v>
      </c>
      <c r="C1851" s="848" t="s">
        <v>319</v>
      </c>
      <c r="D1851" s="849"/>
      <c r="E1851" s="844">
        <v>198233</v>
      </c>
      <c r="F1851" s="855">
        <v>9</v>
      </c>
      <c r="G1851" s="846"/>
      <c r="H1851" s="847"/>
      <c r="I1851" s="846">
        <v>167327</v>
      </c>
      <c r="J1851" s="847">
        <v>170871</v>
      </c>
      <c r="K1851" s="846"/>
      <c r="L1851" s="847"/>
      <c r="M1851" s="846"/>
      <c r="N1851" s="846"/>
      <c r="O1851" s="737">
        <f t="shared" si="231"/>
        <v>0</v>
      </c>
      <c r="P1851" s="847"/>
      <c r="Q1851" s="847"/>
      <c r="R1851" s="738">
        <f t="shared" si="234"/>
        <v>0</v>
      </c>
      <c r="S1851" s="737">
        <f t="shared" si="235"/>
        <v>167327</v>
      </c>
      <c r="T1851" s="739">
        <f t="shared" si="236"/>
        <v>170871</v>
      </c>
      <c r="U1851" s="846"/>
      <c r="V1851" s="847"/>
      <c r="W1851" s="846"/>
      <c r="X1851" s="846"/>
      <c r="Y1851" s="740">
        <f t="shared" si="232"/>
        <v>0</v>
      </c>
      <c r="Z1851" s="847"/>
      <c r="AA1851" s="847"/>
      <c r="AB1851" s="741">
        <f t="shared" si="233"/>
        <v>0</v>
      </c>
      <c r="AC1851" s="846"/>
      <c r="AD1851" s="847"/>
      <c r="AE1851" s="846"/>
      <c r="AF1851" s="846"/>
      <c r="AG1851" s="847"/>
      <c r="AH1851" s="847"/>
      <c r="AI1851" s="742">
        <f t="shared" si="237"/>
        <v>167327</v>
      </c>
      <c r="AJ1851" s="743">
        <f t="shared" si="238"/>
        <v>170871</v>
      </c>
    </row>
    <row r="1852" spans="1:36">
      <c r="A1852" s="840" t="s">
        <v>153</v>
      </c>
      <c r="B1852" s="841" t="s">
        <v>275</v>
      </c>
      <c r="C1852" s="848" t="s">
        <v>258</v>
      </c>
      <c r="D1852" s="849"/>
      <c r="E1852" s="844">
        <v>198233</v>
      </c>
      <c r="F1852" s="855">
        <v>9</v>
      </c>
      <c r="G1852" s="846"/>
      <c r="H1852" s="847"/>
      <c r="I1852" s="846">
        <v>2363693</v>
      </c>
      <c r="J1852" s="847">
        <v>2330660</v>
      </c>
      <c r="K1852" s="846"/>
      <c r="L1852" s="847"/>
      <c r="M1852" s="846">
        <v>374873</v>
      </c>
      <c r="N1852" s="846"/>
      <c r="O1852" s="737">
        <f t="shared" si="231"/>
        <v>374873</v>
      </c>
      <c r="P1852" s="847">
        <v>377283</v>
      </c>
      <c r="Q1852" s="847"/>
      <c r="R1852" s="738">
        <f t="shared" si="234"/>
        <v>377283</v>
      </c>
      <c r="S1852" s="737">
        <f t="shared" si="235"/>
        <v>2738566</v>
      </c>
      <c r="T1852" s="739">
        <f t="shared" si="236"/>
        <v>2707943</v>
      </c>
      <c r="U1852" s="846"/>
      <c r="V1852" s="847"/>
      <c r="W1852" s="846"/>
      <c r="X1852" s="846"/>
      <c r="Y1852" s="740">
        <f t="shared" si="232"/>
        <v>0</v>
      </c>
      <c r="Z1852" s="847"/>
      <c r="AA1852" s="847"/>
      <c r="AB1852" s="741">
        <f t="shared" si="233"/>
        <v>0</v>
      </c>
      <c r="AC1852" s="846"/>
      <c r="AD1852" s="847"/>
      <c r="AE1852" s="846"/>
      <c r="AF1852" s="846"/>
      <c r="AG1852" s="847"/>
      <c r="AH1852" s="847"/>
      <c r="AI1852" s="742">
        <f t="shared" si="237"/>
        <v>2738566</v>
      </c>
      <c r="AJ1852" s="743">
        <f t="shared" si="238"/>
        <v>2707943</v>
      </c>
    </row>
    <row r="1853" spans="1:36">
      <c r="A1853" s="840" t="s">
        <v>153</v>
      </c>
      <c r="B1853" s="841" t="s">
        <v>264</v>
      </c>
      <c r="C1853" s="1057" t="s">
        <v>1332</v>
      </c>
      <c r="D1853" s="1231"/>
      <c r="E1853" s="844">
        <v>198251</v>
      </c>
      <c r="F1853" s="855">
        <v>9</v>
      </c>
      <c r="G1853" s="846">
        <v>15975446</v>
      </c>
      <c r="H1853" s="847">
        <v>17024699</v>
      </c>
      <c r="I1853" s="846"/>
      <c r="J1853" s="847"/>
      <c r="K1853" s="846">
        <v>4103793</v>
      </c>
      <c r="L1853" s="847">
        <v>3910197</v>
      </c>
      <c r="M1853" s="846">
        <v>6860855</v>
      </c>
      <c r="N1853" s="846"/>
      <c r="O1853" s="737">
        <f t="shared" si="231"/>
        <v>6860855</v>
      </c>
      <c r="P1853" s="847">
        <v>6966274</v>
      </c>
      <c r="Q1853" s="847"/>
      <c r="R1853" s="738">
        <f t="shared" si="234"/>
        <v>6966274</v>
      </c>
      <c r="S1853" s="737">
        <f t="shared" si="235"/>
        <v>26940094</v>
      </c>
      <c r="T1853" s="739">
        <f t="shared" si="236"/>
        <v>27901170</v>
      </c>
      <c r="U1853" s="846"/>
      <c r="V1853" s="847"/>
      <c r="W1853" s="846"/>
      <c r="X1853" s="846"/>
      <c r="Y1853" s="740">
        <f t="shared" si="232"/>
        <v>0</v>
      </c>
      <c r="Z1853" s="847"/>
      <c r="AA1853" s="847"/>
      <c r="AB1853" s="741">
        <f t="shared" si="233"/>
        <v>0</v>
      </c>
      <c r="AC1853" s="846"/>
      <c r="AD1853" s="847"/>
      <c r="AE1853" s="846"/>
      <c r="AF1853" s="846"/>
      <c r="AG1853" s="847"/>
      <c r="AH1853" s="847"/>
      <c r="AI1853" s="742">
        <f t="shared" si="237"/>
        <v>26940094</v>
      </c>
      <c r="AJ1853" s="743">
        <f t="shared" si="238"/>
        <v>27901170</v>
      </c>
    </row>
    <row r="1854" spans="1:36">
      <c r="A1854" s="840" t="s">
        <v>153</v>
      </c>
      <c r="B1854" s="841" t="s">
        <v>264</v>
      </c>
      <c r="C1854" s="848" t="s">
        <v>1320</v>
      </c>
      <c r="D1854" s="849"/>
      <c r="E1854" s="844">
        <v>198251</v>
      </c>
      <c r="F1854" s="855">
        <v>9</v>
      </c>
      <c r="G1854" s="846"/>
      <c r="H1854" s="847"/>
      <c r="I1854" s="846"/>
      <c r="J1854" s="847"/>
      <c r="K1854" s="846"/>
      <c r="L1854" s="847"/>
      <c r="M1854" s="846"/>
      <c r="N1854" s="846"/>
      <c r="O1854" s="737">
        <f t="shared" si="231"/>
        <v>0</v>
      </c>
      <c r="P1854" s="847"/>
      <c r="Q1854" s="847"/>
      <c r="R1854" s="738">
        <f t="shared" si="234"/>
        <v>0</v>
      </c>
      <c r="S1854" s="737">
        <f t="shared" si="235"/>
        <v>0</v>
      </c>
      <c r="T1854" s="739">
        <f t="shared" si="236"/>
        <v>0</v>
      </c>
      <c r="U1854" s="846"/>
      <c r="V1854" s="847"/>
      <c r="W1854" s="846"/>
      <c r="X1854" s="846"/>
      <c r="Y1854" s="740">
        <f t="shared" si="232"/>
        <v>0</v>
      </c>
      <c r="Z1854" s="847"/>
      <c r="AA1854" s="847"/>
      <c r="AB1854" s="741">
        <f t="shared" si="233"/>
        <v>0</v>
      </c>
      <c r="AC1854" s="846"/>
      <c r="AD1854" s="847"/>
      <c r="AE1854" s="846"/>
      <c r="AF1854" s="846"/>
      <c r="AG1854" s="847"/>
      <c r="AH1854" s="847"/>
      <c r="AI1854" s="742">
        <f t="shared" si="237"/>
        <v>0</v>
      </c>
      <c r="AJ1854" s="743">
        <f t="shared" si="238"/>
        <v>0</v>
      </c>
    </row>
    <row r="1855" spans="1:36">
      <c r="A1855" s="840" t="s">
        <v>153</v>
      </c>
      <c r="B1855" s="841" t="s">
        <v>266</v>
      </c>
      <c r="C1855" s="848" t="s">
        <v>319</v>
      </c>
      <c r="D1855" s="849"/>
      <c r="E1855" s="844">
        <v>198251</v>
      </c>
      <c r="F1855" s="855">
        <v>9</v>
      </c>
      <c r="G1855" s="846"/>
      <c r="H1855" s="847"/>
      <c r="I1855" s="846">
        <v>174029</v>
      </c>
      <c r="J1855" s="847">
        <v>175671</v>
      </c>
      <c r="K1855" s="846"/>
      <c r="L1855" s="847"/>
      <c r="M1855" s="846"/>
      <c r="N1855" s="846"/>
      <c r="O1855" s="737">
        <f t="shared" si="231"/>
        <v>0</v>
      </c>
      <c r="P1855" s="847"/>
      <c r="Q1855" s="847"/>
      <c r="R1855" s="738">
        <f t="shared" si="234"/>
        <v>0</v>
      </c>
      <c r="S1855" s="737">
        <f t="shared" si="235"/>
        <v>174029</v>
      </c>
      <c r="T1855" s="739">
        <f t="shared" si="236"/>
        <v>175671</v>
      </c>
      <c r="U1855" s="846"/>
      <c r="V1855" s="847"/>
      <c r="W1855" s="846"/>
      <c r="X1855" s="846"/>
      <c r="Y1855" s="740">
        <f t="shared" si="232"/>
        <v>0</v>
      </c>
      <c r="Z1855" s="847"/>
      <c r="AA1855" s="847"/>
      <c r="AB1855" s="741">
        <f t="shared" si="233"/>
        <v>0</v>
      </c>
      <c r="AC1855" s="846"/>
      <c r="AD1855" s="847"/>
      <c r="AE1855" s="846"/>
      <c r="AF1855" s="846"/>
      <c r="AG1855" s="847"/>
      <c r="AH1855" s="847"/>
      <c r="AI1855" s="742">
        <f t="shared" si="237"/>
        <v>174029</v>
      </c>
      <c r="AJ1855" s="743">
        <f t="shared" si="238"/>
        <v>175671</v>
      </c>
    </row>
    <row r="1856" spans="1:36">
      <c r="A1856" s="840" t="s">
        <v>153</v>
      </c>
      <c r="B1856" s="841" t="s">
        <v>275</v>
      </c>
      <c r="C1856" s="848" t="s">
        <v>258</v>
      </c>
      <c r="D1856" s="849"/>
      <c r="E1856" s="844">
        <v>198251</v>
      </c>
      <c r="F1856" s="855">
        <v>9</v>
      </c>
      <c r="G1856" s="846"/>
      <c r="H1856" s="847"/>
      <c r="I1856" s="846">
        <v>4740719</v>
      </c>
      <c r="J1856" s="847">
        <v>4682604</v>
      </c>
      <c r="K1856" s="846"/>
      <c r="L1856" s="847"/>
      <c r="M1856" s="846">
        <v>547745</v>
      </c>
      <c r="N1856" s="846"/>
      <c r="O1856" s="737">
        <f t="shared" si="231"/>
        <v>547745</v>
      </c>
      <c r="P1856" s="847">
        <v>534953</v>
      </c>
      <c r="Q1856" s="847"/>
      <c r="R1856" s="738">
        <f t="shared" si="234"/>
        <v>534953</v>
      </c>
      <c r="S1856" s="737">
        <f t="shared" si="235"/>
        <v>5288464</v>
      </c>
      <c r="T1856" s="739">
        <f t="shared" si="236"/>
        <v>5217557</v>
      </c>
      <c r="U1856" s="846"/>
      <c r="V1856" s="847"/>
      <c r="W1856" s="846"/>
      <c r="X1856" s="846"/>
      <c r="Y1856" s="740">
        <f t="shared" si="232"/>
        <v>0</v>
      </c>
      <c r="Z1856" s="847"/>
      <c r="AA1856" s="847"/>
      <c r="AB1856" s="741">
        <f t="shared" si="233"/>
        <v>0</v>
      </c>
      <c r="AC1856" s="846"/>
      <c r="AD1856" s="847"/>
      <c r="AE1856" s="846"/>
      <c r="AF1856" s="846"/>
      <c r="AG1856" s="847"/>
      <c r="AH1856" s="847"/>
      <c r="AI1856" s="742">
        <f t="shared" si="237"/>
        <v>5288464</v>
      </c>
      <c r="AJ1856" s="743">
        <f t="shared" si="238"/>
        <v>5217557</v>
      </c>
    </row>
    <row r="1857" spans="1:36">
      <c r="A1857" s="840" t="s">
        <v>153</v>
      </c>
      <c r="B1857" s="841" t="s">
        <v>264</v>
      </c>
      <c r="C1857" s="841" t="s">
        <v>1333</v>
      </c>
      <c r="D1857" s="872"/>
      <c r="E1857" s="844">
        <v>198321</v>
      </c>
      <c r="F1857" s="845">
        <v>9</v>
      </c>
      <c r="G1857" s="846">
        <v>10722327</v>
      </c>
      <c r="H1857" s="847">
        <v>11015152</v>
      </c>
      <c r="I1857" s="846"/>
      <c r="J1857" s="847"/>
      <c r="K1857" s="846">
        <v>1509973</v>
      </c>
      <c r="L1857" s="847">
        <v>1659976</v>
      </c>
      <c r="M1857" s="846">
        <v>5103939</v>
      </c>
      <c r="N1857" s="846"/>
      <c r="O1857" s="737">
        <f t="shared" si="231"/>
        <v>5103939</v>
      </c>
      <c r="P1857" s="847">
        <v>4898617</v>
      </c>
      <c r="Q1857" s="847"/>
      <c r="R1857" s="738">
        <f t="shared" si="234"/>
        <v>4898617</v>
      </c>
      <c r="S1857" s="737">
        <f t="shared" si="235"/>
        <v>17336239</v>
      </c>
      <c r="T1857" s="739">
        <f t="shared" si="236"/>
        <v>17573745</v>
      </c>
      <c r="U1857" s="846"/>
      <c r="V1857" s="847"/>
      <c r="W1857" s="846"/>
      <c r="X1857" s="846"/>
      <c r="Y1857" s="740">
        <f t="shared" si="232"/>
        <v>0</v>
      </c>
      <c r="Z1857" s="847"/>
      <c r="AA1857" s="847"/>
      <c r="AB1857" s="741">
        <f t="shared" si="233"/>
        <v>0</v>
      </c>
      <c r="AC1857" s="846"/>
      <c r="AD1857" s="847"/>
      <c r="AE1857" s="846"/>
      <c r="AF1857" s="846"/>
      <c r="AG1857" s="847"/>
      <c r="AH1857" s="847"/>
      <c r="AI1857" s="742">
        <f t="shared" si="237"/>
        <v>17336239</v>
      </c>
      <c r="AJ1857" s="743">
        <f t="shared" si="238"/>
        <v>17573745</v>
      </c>
    </row>
    <row r="1858" spans="1:36">
      <c r="A1858" s="840" t="s">
        <v>153</v>
      </c>
      <c r="B1858" s="841" t="s">
        <v>264</v>
      </c>
      <c r="C1858" s="848" t="s">
        <v>1320</v>
      </c>
      <c r="D1858" s="849"/>
      <c r="E1858" s="844">
        <v>198321</v>
      </c>
      <c r="F1858" s="845">
        <v>9</v>
      </c>
      <c r="G1858" s="846"/>
      <c r="H1858" s="847"/>
      <c r="I1858" s="846"/>
      <c r="J1858" s="847"/>
      <c r="K1858" s="846"/>
      <c r="L1858" s="847"/>
      <c r="M1858" s="846"/>
      <c r="N1858" s="846"/>
      <c r="O1858" s="737">
        <f t="shared" si="231"/>
        <v>0</v>
      </c>
      <c r="P1858" s="847"/>
      <c r="Q1858" s="847"/>
      <c r="R1858" s="738">
        <f t="shared" si="234"/>
        <v>0</v>
      </c>
      <c r="S1858" s="737">
        <f t="shared" si="235"/>
        <v>0</v>
      </c>
      <c r="T1858" s="739">
        <f t="shared" si="236"/>
        <v>0</v>
      </c>
      <c r="U1858" s="846"/>
      <c r="V1858" s="847"/>
      <c r="W1858" s="846"/>
      <c r="X1858" s="846"/>
      <c r="Y1858" s="740">
        <f t="shared" si="232"/>
        <v>0</v>
      </c>
      <c r="Z1858" s="847"/>
      <c r="AA1858" s="847"/>
      <c r="AB1858" s="741">
        <f t="shared" si="233"/>
        <v>0</v>
      </c>
      <c r="AC1858" s="846"/>
      <c r="AD1858" s="847"/>
      <c r="AE1858" s="846"/>
      <c r="AF1858" s="846"/>
      <c r="AG1858" s="847"/>
      <c r="AH1858" s="847"/>
      <c r="AI1858" s="742">
        <f t="shared" si="237"/>
        <v>0</v>
      </c>
      <c r="AJ1858" s="743">
        <f t="shared" si="238"/>
        <v>0</v>
      </c>
    </row>
    <row r="1859" spans="1:36">
      <c r="A1859" s="840" t="s">
        <v>153</v>
      </c>
      <c r="B1859" s="841" t="s">
        <v>266</v>
      </c>
      <c r="C1859" s="848" t="s">
        <v>319</v>
      </c>
      <c r="D1859" s="849"/>
      <c r="E1859" s="844">
        <v>198321</v>
      </c>
      <c r="F1859" s="845">
        <v>9</v>
      </c>
      <c r="G1859" s="846"/>
      <c r="H1859" s="847"/>
      <c r="I1859" s="846">
        <v>153274</v>
      </c>
      <c r="J1859" s="847">
        <v>154967</v>
      </c>
      <c r="K1859" s="846"/>
      <c r="L1859" s="847"/>
      <c r="M1859" s="846"/>
      <c r="N1859" s="846"/>
      <c r="O1859" s="737">
        <f t="shared" si="231"/>
        <v>0</v>
      </c>
      <c r="P1859" s="847"/>
      <c r="Q1859" s="847"/>
      <c r="R1859" s="738">
        <f t="shared" si="234"/>
        <v>0</v>
      </c>
      <c r="S1859" s="737">
        <f t="shared" si="235"/>
        <v>153274</v>
      </c>
      <c r="T1859" s="739">
        <f t="shared" si="236"/>
        <v>154967</v>
      </c>
      <c r="U1859" s="846"/>
      <c r="V1859" s="847"/>
      <c r="W1859" s="846"/>
      <c r="X1859" s="846"/>
      <c r="Y1859" s="740">
        <f t="shared" si="232"/>
        <v>0</v>
      </c>
      <c r="Z1859" s="847"/>
      <c r="AA1859" s="847"/>
      <c r="AB1859" s="741">
        <f t="shared" si="233"/>
        <v>0</v>
      </c>
      <c r="AC1859" s="846"/>
      <c r="AD1859" s="847"/>
      <c r="AE1859" s="846"/>
      <c r="AF1859" s="846"/>
      <c r="AG1859" s="847"/>
      <c r="AH1859" s="847"/>
      <c r="AI1859" s="742">
        <f t="shared" si="237"/>
        <v>153274</v>
      </c>
      <c r="AJ1859" s="743">
        <f t="shared" si="238"/>
        <v>154967</v>
      </c>
    </row>
    <row r="1860" spans="1:36">
      <c r="A1860" s="840" t="s">
        <v>153</v>
      </c>
      <c r="B1860" s="841" t="s">
        <v>275</v>
      </c>
      <c r="C1860" s="848" t="s">
        <v>258</v>
      </c>
      <c r="D1860" s="849"/>
      <c r="E1860" s="844">
        <v>198321</v>
      </c>
      <c r="F1860" s="845">
        <v>9</v>
      </c>
      <c r="G1860" s="846"/>
      <c r="H1860" s="847"/>
      <c r="I1860" s="846">
        <v>1509790</v>
      </c>
      <c r="J1860" s="847">
        <v>1691932</v>
      </c>
      <c r="K1860" s="846"/>
      <c r="L1860" s="847"/>
      <c r="M1860" s="846">
        <v>262791</v>
      </c>
      <c r="N1860" s="846"/>
      <c r="O1860" s="737">
        <f t="shared" si="231"/>
        <v>262791</v>
      </c>
      <c r="P1860" s="847">
        <v>286560</v>
      </c>
      <c r="Q1860" s="847"/>
      <c r="R1860" s="738">
        <f t="shared" si="234"/>
        <v>286560</v>
      </c>
      <c r="S1860" s="737">
        <f t="shared" si="235"/>
        <v>1772581</v>
      </c>
      <c r="T1860" s="739">
        <f t="shared" si="236"/>
        <v>1978492</v>
      </c>
      <c r="U1860" s="846"/>
      <c r="V1860" s="847"/>
      <c r="W1860" s="846"/>
      <c r="X1860" s="846"/>
      <c r="Y1860" s="740">
        <f t="shared" si="232"/>
        <v>0</v>
      </c>
      <c r="Z1860" s="847"/>
      <c r="AA1860" s="847"/>
      <c r="AB1860" s="741">
        <f t="shared" si="233"/>
        <v>0</v>
      </c>
      <c r="AC1860" s="846"/>
      <c r="AD1860" s="847"/>
      <c r="AE1860" s="846"/>
      <c r="AF1860" s="846"/>
      <c r="AG1860" s="847"/>
      <c r="AH1860" s="847"/>
      <c r="AI1860" s="742">
        <f t="shared" si="237"/>
        <v>1772581</v>
      </c>
      <c r="AJ1860" s="743">
        <f t="shared" si="238"/>
        <v>1978492</v>
      </c>
    </row>
    <row r="1861" spans="1:36">
      <c r="A1861" s="840" t="s">
        <v>153</v>
      </c>
      <c r="B1861" s="841" t="s">
        <v>264</v>
      </c>
      <c r="C1861" s="1232" t="s">
        <v>1334</v>
      </c>
      <c r="D1861" s="1233"/>
      <c r="E1861" s="844">
        <v>198330</v>
      </c>
      <c r="F1861" s="845">
        <v>9</v>
      </c>
      <c r="G1861" s="846">
        <v>14089659</v>
      </c>
      <c r="H1861" s="847">
        <v>14609749</v>
      </c>
      <c r="I1861" s="846"/>
      <c r="J1861" s="847"/>
      <c r="K1861" s="846">
        <v>2266027</v>
      </c>
      <c r="L1861" s="847">
        <v>4169023</v>
      </c>
      <c r="M1861" s="846">
        <v>6859042</v>
      </c>
      <c r="N1861" s="846"/>
      <c r="O1861" s="737">
        <f t="shared" si="231"/>
        <v>6859042</v>
      </c>
      <c r="P1861" s="847">
        <v>6683907</v>
      </c>
      <c r="Q1861" s="847"/>
      <c r="R1861" s="738">
        <f t="shared" si="234"/>
        <v>6683907</v>
      </c>
      <c r="S1861" s="737">
        <f t="shared" si="235"/>
        <v>23214728</v>
      </c>
      <c r="T1861" s="739">
        <f t="shared" si="236"/>
        <v>25462679</v>
      </c>
      <c r="U1861" s="846"/>
      <c r="V1861" s="847"/>
      <c r="W1861" s="846"/>
      <c r="X1861" s="846"/>
      <c r="Y1861" s="740">
        <f t="shared" si="232"/>
        <v>0</v>
      </c>
      <c r="Z1861" s="847"/>
      <c r="AA1861" s="847"/>
      <c r="AB1861" s="741">
        <f t="shared" si="233"/>
        <v>0</v>
      </c>
      <c r="AC1861" s="846"/>
      <c r="AD1861" s="847"/>
      <c r="AE1861" s="846"/>
      <c r="AF1861" s="846"/>
      <c r="AG1861" s="847"/>
      <c r="AH1861" s="847"/>
      <c r="AI1861" s="742">
        <f t="shared" si="237"/>
        <v>23214728</v>
      </c>
      <c r="AJ1861" s="743">
        <f t="shared" si="238"/>
        <v>25462679</v>
      </c>
    </row>
    <row r="1862" spans="1:36">
      <c r="A1862" s="840" t="s">
        <v>153</v>
      </c>
      <c r="B1862" s="841" t="s">
        <v>264</v>
      </c>
      <c r="C1862" s="848" t="s">
        <v>1320</v>
      </c>
      <c r="D1862" s="849"/>
      <c r="E1862" s="844">
        <v>198330</v>
      </c>
      <c r="F1862" s="845">
        <v>9</v>
      </c>
      <c r="G1862" s="846"/>
      <c r="H1862" s="847"/>
      <c r="I1862" s="846"/>
      <c r="J1862" s="847"/>
      <c r="K1862" s="846"/>
      <c r="L1862" s="847"/>
      <c r="M1862" s="846"/>
      <c r="N1862" s="846"/>
      <c r="O1862" s="737">
        <f t="shared" si="231"/>
        <v>0</v>
      </c>
      <c r="P1862" s="847"/>
      <c r="Q1862" s="847"/>
      <c r="R1862" s="738">
        <f t="shared" si="234"/>
        <v>0</v>
      </c>
      <c r="S1862" s="737">
        <f t="shared" si="235"/>
        <v>0</v>
      </c>
      <c r="T1862" s="739">
        <f t="shared" si="236"/>
        <v>0</v>
      </c>
      <c r="U1862" s="846"/>
      <c r="V1862" s="847"/>
      <c r="W1862" s="846"/>
      <c r="X1862" s="846"/>
      <c r="Y1862" s="740">
        <f t="shared" si="232"/>
        <v>0</v>
      </c>
      <c r="Z1862" s="847"/>
      <c r="AA1862" s="847"/>
      <c r="AB1862" s="741">
        <f t="shared" si="233"/>
        <v>0</v>
      </c>
      <c r="AC1862" s="846"/>
      <c r="AD1862" s="847"/>
      <c r="AE1862" s="846"/>
      <c r="AF1862" s="846"/>
      <c r="AG1862" s="847"/>
      <c r="AH1862" s="847"/>
      <c r="AI1862" s="742">
        <f t="shared" si="237"/>
        <v>0</v>
      </c>
      <c r="AJ1862" s="743">
        <f t="shared" si="238"/>
        <v>0</v>
      </c>
    </row>
    <row r="1863" spans="1:36">
      <c r="A1863" s="840" t="s">
        <v>153</v>
      </c>
      <c r="B1863" s="841" t="s">
        <v>266</v>
      </c>
      <c r="C1863" s="848" t="s">
        <v>319</v>
      </c>
      <c r="D1863" s="849"/>
      <c r="E1863" s="844">
        <v>198330</v>
      </c>
      <c r="F1863" s="845">
        <v>9</v>
      </c>
      <c r="G1863" s="846"/>
      <c r="H1863" s="847"/>
      <c r="I1863" s="846">
        <v>158773</v>
      </c>
      <c r="J1863" s="847">
        <v>162123</v>
      </c>
      <c r="K1863" s="846"/>
      <c r="L1863" s="847"/>
      <c r="M1863" s="846"/>
      <c r="N1863" s="846"/>
      <c r="O1863" s="737">
        <f t="shared" si="231"/>
        <v>0</v>
      </c>
      <c r="P1863" s="847"/>
      <c r="Q1863" s="847"/>
      <c r="R1863" s="738">
        <f t="shared" si="234"/>
        <v>0</v>
      </c>
      <c r="S1863" s="737">
        <f t="shared" si="235"/>
        <v>158773</v>
      </c>
      <c r="T1863" s="739">
        <f t="shared" si="236"/>
        <v>162123</v>
      </c>
      <c r="U1863" s="846"/>
      <c r="V1863" s="847"/>
      <c r="W1863" s="846"/>
      <c r="X1863" s="846"/>
      <c r="Y1863" s="740">
        <f t="shared" si="232"/>
        <v>0</v>
      </c>
      <c r="Z1863" s="847"/>
      <c r="AA1863" s="847"/>
      <c r="AB1863" s="741">
        <f t="shared" si="233"/>
        <v>0</v>
      </c>
      <c r="AC1863" s="846"/>
      <c r="AD1863" s="847"/>
      <c r="AE1863" s="846"/>
      <c r="AF1863" s="846"/>
      <c r="AG1863" s="847"/>
      <c r="AH1863" s="847"/>
      <c r="AI1863" s="742">
        <f t="shared" si="237"/>
        <v>158773</v>
      </c>
      <c r="AJ1863" s="743">
        <f t="shared" si="238"/>
        <v>162123</v>
      </c>
    </row>
    <row r="1864" spans="1:36">
      <c r="A1864" s="840" t="s">
        <v>153</v>
      </c>
      <c r="B1864" s="841" t="s">
        <v>275</v>
      </c>
      <c r="C1864" s="848" t="s">
        <v>258</v>
      </c>
      <c r="D1864" s="849"/>
      <c r="E1864" s="844">
        <v>198330</v>
      </c>
      <c r="F1864" s="845">
        <v>9</v>
      </c>
      <c r="G1864" s="846"/>
      <c r="H1864" s="847"/>
      <c r="I1864" s="846">
        <v>2582041</v>
      </c>
      <c r="J1864" s="847">
        <v>2454130</v>
      </c>
      <c r="K1864" s="846"/>
      <c r="L1864" s="847"/>
      <c r="M1864" s="846">
        <v>502153</v>
      </c>
      <c r="N1864" s="846"/>
      <c r="O1864" s="737">
        <f t="shared" si="231"/>
        <v>502153</v>
      </c>
      <c r="P1864" s="847">
        <v>446733</v>
      </c>
      <c r="Q1864" s="847"/>
      <c r="R1864" s="738">
        <f t="shared" si="234"/>
        <v>446733</v>
      </c>
      <c r="S1864" s="737">
        <f t="shared" si="235"/>
        <v>3084194</v>
      </c>
      <c r="T1864" s="739">
        <f t="shared" si="236"/>
        <v>2900863</v>
      </c>
      <c r="U1864" s="846"/>
      <c r="V1864" s="847"/>
      <c r="W1864" s="846"/>
      <c r="X1864" s="846"/>
      <c r="Y1864" s="740">
        <f t="shared" si="232"/>
        <v>0</v>
      </c>
      <c r="Z1864" s="847"/>
      <c r="AA1864" s="847"/>
      <c r="AB1864" s="741">
        <f t="shared" si="233"/>
        <v>0</v>
      </c>
      <c r="AC1864" s="846"/>
      <c r="AD1864" s="847"/>
      <c r="AE1864" s="846"/>
      <c r="AF1864" s="846"/>
      <c r="AG1864" s="847"/>
      <c r="AH1864" s="847"/>
      <c r="AI1864" s="742">
        <f t="shared" si="237"/>
        <v>3084194</v>
      </c>
      <c r="AJ1864" s="743">
        <f t="shared" si="238"/>
        <v>2900863</v>
      </c>
    </row>
    <row r="1865" spans="1:36">
      <c r="A1865" s="840" t="s">
        <v>153</v>
      </c>
      <c r="B1865" s="841" t="s">
        <v>264</v>
      </c>
      <c r="C1865" s="841" t="s">
        <v>1335</v>
      </c>
      <c r="D1865" s="872"/>
      <c r="E1865" s="844">
        <v>198367</v>
      </c>
      <c r="F1865" s="845">
        <v>9</v>
      </c>
      <c r="G1865" s="846">
        <v>10197689</v>
      </c>
      <c r="H1865" s="847">
        <v>10730229</v>
      </c>
      <c r="I1865" s="846"/>
      <c r="J1865" s="847"/>
      <c r="K1865" s="846">
        <v>3461090</v>
      </c>
      <c r="L1865" s="847">
        <v>3482948</v>
      </c>
      <c r="M1865" s="846">
        <v>4616209</v>
      </c>
      <c r="N1865" s="846"/>
      <c r="O1865" s="737">
        <f t="shared" si="231"/>
        <v>4616209</v>
      </c>
      <c r="P1865" s="847">
        <v>4528807</v>
      </c>
      <c r="Q1865" s="847"/>
      <c r="R1865" s="738">
        <f t="shared" si="234"/>
        <v>4528807</v>
      </c>
      <c r="S1865" s="737">
        <f t="shared" si="235"/>
        <v>18274988</v>
      </c>
      <c r="T1865" s="739">
        <f t="shared" si="236"/>
        <v>18741984</v>
      </c>
      <c r="U1865" s="846"/>
      <c r="V1865" s="847"/>
      <c r="W1865" s="846"/>
      <c r="X1865" s="846"/>
      <c r="Y1865" s="740">
        <f t="shared" si="232"/>
        <v>0</v>
      </c>
      <c r="Z1865" s="847"/>
      <c r="AA1865" s="847"/>
      <c r="AB1865" s="741">
        <f t="shared" si="233"/>
        <v>0</v>
      </c>
      <c r="AC1865" s="846"/>
      <c r="AD1865" s="847"/>
      <c r="AE1865" s="846"/>
      <c r="AF1865" s="846"/>
      <c r="AG1865" s="847"/>
      <c r="AH1865" s="847"/>
      <c r="AI1865" s="742">
        <f t="shared" si="237"/>
        <v>18274988</v>
      </c>
      <c r="AJ1865" s="743">
        <f t="shared" si="238"/>
        <v>18741984</v>
      </c>
    </row>
    <row r="1866" spans="1:36">
      <c r="A1866" s="840" t="s">
        <v>153</v>
      </c>
      <c r="B1866" s="841" t="s">
        <v>264</v>
      </c>
      <c r="C1866" s="848" t="s">
        <v>1320</v>
      </c>
      <c r="D1866" s="849"/>
      <c r="E1866" s="844">
        <v>198367</v>
      </c>
      <c r="F1866" s="845">
        <v>9</v>
      </c>
      <c r="G1866" s="846"/>
      <c r="H1866" s="847"/>
      <c r="I1866" s="846"/>
      <c r="J1866" s="847"/>
      <c r="K1866" s="846"/>
      <c r="L1866" s="847"/>
      <c r="M1866" s="846"/>
      <c r="N1866" s="846"/>
      <c r="O1866" s="737">
        <f t="shared" ref="O1866:O1929" si="239">SUM(M1866:N1866)</f>
        <v>0</v>
      </c>
      <c r="P1866" s="847"/>
      <c r="Q1866" s="847"/>
      <c r="R1866" s="738">
        <f t="shared" si="234"/>
        <v>0</v>
      </c>
      <c r="S1866" s="737">
        <f t="shared" si="235"/>
        <v>0</v>
      </c>
      <c r="T1866" s="739">
        <f t="shared" si="236"/>
        <v>0</v>
      </c>
      <c r="U1866" s="846"/>
      <c r="V1866" s="847"/>
      <c r="W1866" s="846"/>
      <c r="X1866" s="846"/>
      <c r="Y1866" s="740">
        <f t="shared" ref="Y1866:Y1929" si="240">SUM(W1866:X1866)</f>
        <v>0</v>
      </c>
      <c r="Z1866" s="847"/>
      <c r="AA1866" s="847"/>
      <c r="AB1866" s="741">
        <f t="shared" ref="AB1866:AB1929" si="241">SUM(Z1866:AA1866)</f>
        <v>0</v>
      </c>
      <c r="AC1866" s="846"/>
      <c r="AD1866" s="847"/>
      <c r="AE1866" s="846"/>
      <c r="AF1866" s="846"/>
      <c r="AG1866" s="847"/>
      <c r="AH1866" s="847"/>
      <c r="AI1866" s="742">
        <f t="shared" si="237"/>
        <v>0</v>
      </c>
      <c r="AJ1866" s="743">
        <f t="shared" si="238"/>
        <v>0</v>
      </c>
    </row>
    <row r="1867" spans="1:36">
      <c r="A1867" s="840" t="s">
        <v>153</v>
      </c>
      <c r="B1867" s="841" t="s">
        <v>266</v>
      </c>
      <c r="C1867" s="848" t="s">
        <v>319</v>
      </c>
      <c r="D1867" s="849"/>
      <c r="E1867" s="844">
        <v>198367</v>
      </c>
      <c r="F1867" s="845">
        <v>9</v>
      </c>
      <c r="G1867" s="846"/>
      <c r="H1867" s="847"/>
      <c r="I1867" s="846">
        <v>155111</v>
      </c>
      <c r="J1867" s="847">
        <v>158223</v>
      </c>
      <c r="K1867" s="846"/>
      <c r="L1867" s="847"/>
      <c r="M1867" s="846"/>
      <c r="N1867" s="846"/>
      <c r="O1867" s="737">
        <f t="shared" si="239"/>
        <v>0</v>
      </c>
      <c r="P1867" s="847"/>
      <c r="Q1867" s="847"/>
      <c r="R1867" s="738">
        <f t="shared" ref="R1867:R1930" si="242">SUM(P1867:Q1867)</f>
        <v>0</v>
      </c>
      <c r="S1867" s="737">
        <f t="shared" ref="S1867:S1930" si="243">SUM(G1867,I1867,K1867,M1867)</f>
        <v>155111</v>
      </c>
      <c r="T1867" s="739">
        <f t="shared" ref="T1867:T1930" si="244">SUM(H1867,J1867,L1867,P1867)</f>
        <v>158223</v>
      </c>
      <c r="U1867" s="846"/>
      <c r="V1867" s="847"/>
      <c r="W1867" s="846"/>
      <c r="X1867" s="846"/>
      <c r="Y1867" s="740">
        <f t="shared" si="240"/>
        <v>0</v>
      </c>
      <c r="Z1867" s="847"/>
      <c r="AA1867" s="847"/>
      <c r="AB1867" s="741">
        <f t="shared" si="241"/>
        <v>0</v>
      </c>
      <c r="AC1867" s="846"/>
      <c r="AD1867" s="847"/>
      <c r="AE1867" s="846"/>
      <c r="AF1867" s="846"/>
      <c r="AG1867" s="847"/>
      <c r="AH1867" s="847"/>
      <c r="AI1867" s="742">
        <f t="shared" ref="AI1867:AI1930" si="245">SUM(S1867,U1867,W1867,AC1867,AE1867)</f>
        <v>155111</v>
      </c>
      <c r="AJ1867" s="743">
        <f t="shared" ref="AJ1867:AJ1930" si="246">SUM(T1867,V1867,Z1867,AD1867,AG1867)</f>
        <v>158223</v>
      </c>
    </row>
    <row r="1868" spans="1:36">
      <c r="A1868" s="840" t="s">
        <v>153</v>
      </c>
      <c r="B1868" s="841" t="s">
        <v>275</v>
      </c>
      <c r="C1868" s="848" t="s">
        <v>258</v>
      </c>
      <c r="D1868" s="849"/>
      <c r="E1868" s="844">
        <v>198367</v>
      </c>
      <c r="F1868" s="845">
        <v>9</v>
      </c>
      <c r="G1868" s="846"/>
      <c r="H1868" s="847"/>
      <c r="I1868" s="846">
        <v>1295438</v>
      </c>
      <c r="J1868" s="847">
        <v>1469219</v>
      </c>
      <c r="K1868" s="846"/>
      <c r="L1868" s="847"/>
      <c r="M1868" s="846">
        <v>210866</v>
      </c>
      <c r="N1868" s="846"/>
      <c r="O1868" s="737">
        <f t="shared" si="239"/>
        <v>210866</v>
      </c>
      <c r="P1868" s="847">
        <v>236506</v>
      </c>
      <c r="Q1868" s="847"/>
      <c r="R1868" s="738">
        <f t="shared" si="242"/>
        <v>236506</v>
      </c>
      <c r="S1868" s="737">
        <f t="shared" si="243"/>
        <v>1506304</v>
      </c>
      <c r="T1868" s="739">
        <f t="shared" si="244"/>
        <v>1705725</v>
      </c>
      <c r="U1868" s="846"/>
      <c r="V1868" s="847"/>
      <c r="W1868" s="846"/>
      <c r="X1868" s="846"/>
      <c r="Y1868" s="740">
        <f t="shared" si="240"/>
        <v>0</v>
      </c>
      <c r="Z1868" s="847"/>
      <c r="AA1868" s="847"/>
      <c r="AB1868" s="741">
        <f t="shared" si="241"/>
        <v>0</v>
      </c>
      <c r="AC1868" s="846"/>
      <c r="AD1868" s="847"/>
      <c r="AE1868" s="846"/>
      <c r="AF1868" s="846"/>
      <c r="AG1868" s="847"/>
      <c r="AH1868" s="847"/>
      <c r="AI1868" s="742">
        <f t="shared" si="245"/>
        <v>1506304</v>
      </c>
      <c r="AJ1868" s="743">
        <f t="shared" si="246"/>
        <v>1705725</v>
      </c>
    </row>
    <row r="1869" spans="1:36">
      <c r="A1869" s="840" t="s">
        <v>153</v>
      </c>
      <c r="B1869" s="841" t="s">
        <v>264</v>
      </c>
      <c r="C1869" s="841" t="s">
        <v>1336</v>
      </c>
      <c r="D1869" s="872"/>
      <c r="E1869" s="844">
        <v>198376</v>
      </c>
      <c r="F1869" s="845">
        <v>9</v>
      </c>
      <c r="G1869" s="846">
        <v>13061476</v>
      </c>
      <c r="H1869" s="847">
        <v>13617051</v>
      </c>
      <c r="I1869" s="846"/>
      <c r="J1869" s="847"/>
      <c r="K1869" s="846">
        <v>3613577</v>
      </c>
      <c r="L1869" s="847">
        <v>3684789</v>
      </c>
      <c r="M1869" s="846">
        <v>6010501</v>
      </c>
      <c r="N1869" s="846"/>
      <c r="O1869" s="737">
        <f t="shared" si="239"/>
        <v>6010501</v>
      </c>
      <c r="P1869" s="847">
        <v>5860487</v>
      </c>
      <c r="Q1869" s="847"/>
      <c r="R1869" s="738">
        <f t="shared" si="242"/>
        <v>5860487</v>
      </c>
      <c r="S1869" s="737">
        <f t="shared" si="243"/>
        <v>22685554</v>
      </c>
      <c r="T1869" s="739">
        <f t="shared" si="244"/>
        <v>23162327</v>
      </c>
      <c r="U1869" s="846"/>
      <c r="V1869" s="847"/>
      <c r="W1869" s="846"/>
      <c r="X1869" s="846"/>
      <c r="Y1869" s="740">
        <f t="shared" si="240"/>
        <v>0</v>
      </c>
      <c r="Z1869" s="847"/>
      <c r="AA1869" s="847"/>
      <c r="AB1869" s="741">
        <f t="shared" si="241"/>
        <v>0</v>
      </c>
      <c r="AC1869" s="846"/>
      <c r="AD1869" s="847"/>
      <c r="AE1869" s="846"/>
      <c r="AF1869" s="846"/>
      <c r="AG1869" s="847"/>
      <c r="AH1869" s="847"/>
      <c r="AI1869" s="742">
        <f t="shared" si="245"/>
        <v>22685554</v>
      </c>
      <c r="AJ1869" s="743">
        <f t="shared" si="246"/>
        <v>23162327</v>
      </c>
    </row>
    <row r="1870" spans="1:36">
      <c r="A1870" s="840" t="s">
        <v>153</v>
      </c>
      <c r="B1870" s="841" t="s">
        <v>264</v>
      </c>
      <c r="C1870" s="848" t="s">
        <v>1320</v>
      </c>
      <c r="D1870" s="849"/>
      <c r="E1870" s="844">
        <v>198376</v>
      </c>
      <c r="F1870" s="845">
        <v>9</v>
      </c>
      <c r="G1870" s="846"/>
      <c r="H1870" s="847"/>
      <c r="I1870" s="846"/>
      <c r="J1870" s="847"/>
      <c r="K1870" s="846"/>
      <c r="L1870" s="847"/>
      <c r="M1870" s="846"/>
      <c r="N1870" s="846"/>
      <c r="O1870" s="737">
        <f t="shared" si="239"/>
        <v>0</v>
      </c>
      <c r="P1870" s="847"/>
      <c r="Q1870" s="847"/>
      <c r="R1870" s="738">
        <f t="shared" si="242"/>
        <v>0</v>
      </c>
      <c r="S1870" s="737">
        <f t="shared" si="243"/>
        <v>0</v>
      </c>
      <c r="T1870" s="739">
        <f t="shared" si="244"/>
        <v>0</v>
      </c>
      <c r="U1870" s="846"/>
      <c r="V1870" s="847"/>
      <c r="W1870" s="846"/>
      <c r="X1870" s="846"/>
      <c r="Y1870" s="740">
        <f t="shared" si="240"/>
        <v>0</v>
      </c>
      <c r="Z1870" s="847"/>
      <c r="AA1870" s="847"/>
      <c r="AB1870" s="741">
        <f t="shared" si="241"/>
        <v>0</v>
      </c>
      <c r="AC1870" s="846"/>
      <c r="AD1870" s="847"/>
      <c r="AE1870" s="846"/>
      <c r="AF1870" s="846"/>
      <c r="AG1870" s="847"/>
      <c r="AH1870" s="847"/>
      <c r="AI1870" s="742">
        <f t="shared" si="245"/>
        <v>0</v>
      </c>
      <c r="AJ1870" s="743">
        <f t="shared" si="246"/>
        <v>0</v>
      </c>
    </row>
    <row r="1871" spans="1:36">
      <c r="A1871" s="840" t="s">
        <v>153</v>
      </c>
      <c r="B1871" s="841" t="s">
        <v>266</v>
      </c>
      <c r="C1871" s="848" t="s">
        <v>319</v>
      </c>
      <c r="D1871" s="849"/>
      <c r="E1871" s="844">
        <v>198376</v>
      </c>
      <c r="F1871" s="845">
        <v>9</v>
      </c>
      <c r="G1871" s="846"/>
      <c r="H1871" s="847"/>
      <c r="I1871" s="846">
        <v>156518</v>
      </c>
      <c r="J1871" s="847">
        <v>159174</v>
      </c>
      <c r="K1871" s="846"/>
      <c r="L1871" s="847"/>
      <c r="M1871" s="846"/>
      <c r="N1871" s="846"/>
      <c r="O1871" s="737">
        <f t="shared" si="239"/>
        <v>0</v>
      </c>
      <c r="P1871" s="847"/>
      <c r="Q1871" s="847"/>
      <c r="R1871" s="738">
        <f t="shared" si="242"/>
        <v>0</v>
      </c>
      <c r="S1871" s="737">
        <f t="shared" si="243"/>
        <v>156518</v>
      </c>
      <c r="T1871" s="739">
        <f t="shared" si="244"/>
        <v>159174</v>
      </c>
      <c r="U1871" s="846"/>
      <c r="V1871" s="847"/>
      <c r="W1871" s="846"/>
      <c r="X1871" s="846"/>
      <c r="Y1871" s="740">
        <f t="shared" si="240"/>
        <v>0</v>
      </c>
      <c r="Z1871" s="847"/>
      <c r="AA1871" s="847"/>
      <c r="AB1871" s="741">
        <f t="shared" si="241"/>
        <v>0</v>
      </c>
      <c r="AC1871" s="846"/>
      <c r="AD1871" s="847"/>
      <c r="AE1871" s="846"/>
      <c r="AF1871" s="846"/>
      <c r="AG1871" s="847"/>
      <c r="AH1871" s="847"/>
      <c r="AI1871" s="742">
        <f t="shared" si="245"/>
        <v>156518</v>
      </c>
      <c r="AJ1871" s="743">
        <f t="shared" si="246"/>
        <v>159174</v>
      </c>
    </row>
    <row r="1872" spans="1:36">
      <c r="A1872" s="840" t="s">
        <v>153</v>
      </c>
      <c r="B1872" s="841" t="s">
        <v>275</v>
      </c>
      <c r="C1872" s="848" t="s">
        <v>258</v>
      </c>
      <c r="D1872" s="849"/>
      <c r="E1872" s="844">
        <v>198376</v>
      </c>
      <c r="F1872" s="845">
        <v>9</v>
      </c>
      <c r="G1872" s="846"/>
      <c r="H1872" s="847"/>
      <c r="I1872" s="846">
        <v>2590072</v>
      </c>
      <c r="J1872" s="847">
        <v>2512078</v>
      </c>
      <c r="K1872" s="846"/>
      <c r="L1872" s="847"/>
      <c r="M1872" s="846">
        <v>277355</v>
      </c>
      <c r="N1872" s="846"/>
      <c r="O1872" s="737">
        <f t="shared" si="239"/>
        <v>277355</v>
      </c>
      <c r="P1872" s="847">
        <v>263410</v>
      </c>
      <c r="Q1872" s="847"/>
      <c r="R1872" s="738">
        <f t="shared" si="242"/>
        <v>263410</v>
      </c>
      <c r="S1872" s="737">
        <f t="shared" si="243"/>
        <v>2867427</v>
      </c>
      <c r="T1872" s="739">
        <f t="shared" si="244"/>
        <v>2775488</v>
      </c>
      <c r="U1872" s="846"/>
      <c r="V1872" s="847"/>
      <c r="W1872" s="846"/>
      <c r="X1872" s="846"/>
      <c r="Y1872" s="740">
        <f t="shared" si="240"/>
        <v>0</v>
      </c>
      <c r="Z1872" s="847"/>
      <c r="AA1872" s="847"/>
      <c r="AB1872" s="741">
        <f t="shared" si="241"/>
        <v>0</v>
      </c>
      <c r="AC1872" s="846"/>
      <c r="AD1872" s="847"/>
      <c r="AE1872" s="846"/>
      <c r="AF1872" s="846"/>
      <c r="AG1872" s="847"/>
      <c r="AH1872" s="847"/>
      <c r="AI1872" s="742">
        <f t="shared" si="245"/>
        <v>2867427</v>
      </c>
      <c r="AJ1872" s="743">
        <f t="shared" si="246"/>
        <v>2775488</v>
      </c>
    </row>
    <row r="1873" spans="1:36">
      <c r="A1873" s="840" t="s">
        <v>153</v>
      </c>
      <c r="B1873" s="841" t="s">
        <v>264</v>
      </c>
      <c r="C1873" s="1057" t="s">
        <v>1337</v>
      </c>
      <c r="D1873" s="1231"/>
      <c r="E1873" s="844">
        <v>198455</v>
      </c>
      <c r="F1873" s="855">
        <v>9</v>
      </c>
      <c r="G1873" s="846">
        <v>14016429</v>
      </c>
      <c r="H1873" s="847">
        <v>14767448</v>
      </c>
      <c r="I1873" s="846"/>
      <c r="J1873" s="847"/>
      <c r="K1873" s="846">
        <v>6265689</v>
      </c>
      <c r="L1873" s="847">
        <v>6647695</v>
      </c>
      <c r="M1873" s="846">
        <v>6801022</v>
      </c>
      <c r="N1873" s="846"/>
      <c r="O1873" s="737">
        <f t="shared" si="239"/>
        <v>6801022</v>
      </c>
      <c r="P1873" s="847">
        <v>6765884</v>
      </c>
      <c r="Q1873" s="847"/>
      <c r="R1873" s="738">
        <f t="shared" si="242"/>
        <v>6765884</v>
      </c>
      <c r="S1873" s="737">
        <f t="shared" si="243"/>
        <v>27083140</v>
      </c>
      <c r="T1873" s="739">
        <f t="shared" si="244"/>
        <v>28181027</v>
      </c>
      <c r="U1873" s="846"/>
      <c r="V1873" s="847"/>
      <c r="W1873" s="846"/>
      <c r="X1873" s="846"/>
      <c r="Y1873" s="740">
        <f t="shared" si="240"/>
        <v>0</v>
      </c>
      <c r="Z1873" s="847"/>
      <c r="AA1873" s="847"/>
      <c r="AB1873" s="741">
        <f t="shared" si="241"/>
        <v>0</v>
      </c>
      <c r="AC1873" s="846"/>
      <c r="AD1873" s="847"/>
      <c r="AE1873" s="846"/>
      <c r="AF1873" s="846"/>
      <c r="AG1873" s="847"/>
      <c r="AH1873" s="847"/>
      <c r="AI1873" s="742">
        <f t="shared" si="245"/>
        <v>27083140</v>
      </c>
      <c r="AJ1873" s="743">
        <f t="shared" si="246"/>
        <v>28181027</v>
      </c>
    </row>
    <row r="1874" spans="1:36">
      <c r="A1874" s="840" t="s">
        <v>153</v>
      </c>
      <c r="B1874" s="841" t="s">
        <v>264</v>
      </c>
      <c r="C1874" s="848" t="s">
        <v>1320</v>
      </c>
      <c r="D1874" s="849"/>
      <c r="E1874" s="844">
        <v>198455</v>
      </c>
      <c r="F1874" s="855">
        <v>9</v>
      </c>
      <c r="G1874" s="846"/>
      <c r="H1874" s="847"/>
      <c r="I1874" s="846"/>
      <c r="J1874" s="847"/>
      <c r="K1874" s="846"/>
      <c r="L1874" s="847"/>
      <c r="M1874" s="846"/>
      <c r="N1874" s="846"/>
      <c r="O1874" s="737">
        <f t="shared" si="239"/>
        <v>0</v>
      </c>
      <c r="P1874" s="847"/>
      <c r="Q1874" s="847"/>
      <c r="R1874" s="738">
        <f t="shared" si="242"/>
        <v>0</v>
      </c>
      <c r="S1874" s="737">
        <f t="shared" si="243"/>
        <v>0</v>
      </c>
      <c r="T1874" s="739">
        <f t="shared" si="244"/>
        <v>0</v>
      </c>
      <c r="U1874" s="846"/>
      <c r="V1874" s="847"/>
      <c r="W1874" s="846"/>
      <c r="X1874" s="846"/>
      <c r="Y1874" s="740">
        <f t="shared" si="240"/>
        <v>0</v>
      </c>
      <c r="Z1874" s="847"/>
      <c r="AA1874" s="847"/>
      <c r="AB1874" s="741">
        <f t="shared" si="241"/>
        <v>0</v>
      </c>
      <c r="AC1874" s="846"/>
      <c r="AD1874" s="847"/>
      <c r="AE1874" s="846"/>
      <c r="AF1874" s="846"/>
      <c r="AG1874" s="847"/>
      <c r="AH1874" s="847"/>
      <c r="AI1874" s="742">
        <f t="shared" si="245"/>
        <v>0</v>
      </c>
      <c r="AJ1874" s="743">
        <f t="shared" si="246"/>
        <v>0</v>
      </c>
    </row>
    <row r="1875" spans="1:36">
      <c r="A1875" s="840" t="s">
        <v>153</v>
      </c>
      <c r="B1875" s="841" t="s">
        <v>266</v>
      </c>
      <c r="C1875" s="848" t="s">
        <v>319</v>
      </c>
      <c r="D1875" s="849"/>
      <c r="E1875" s="844">
        <v>198455</v>
      </c>
      <c r="F1875" s="855">
        <v>9</v>
      </c>
      <c r="G1875" s="846"/>
      <c r="H1875" s="847"/>
      <c r="I1875" s="846">
        <v>165760</v>
      </c>
      <c r="J1875" s="847">
        <v>169271</v>
      </c>
      <c r="K1875" s="846"/>
      <c r="L1875" s="847"/>
      <c r="M1875" s="846"/>
      <c r="N1875" s="846"/>
      <c r="O1875" s="737">
        <f t="shared" si="239"/>
        <v>0</v>
      </c>
      <c r="P1875" s="847"/>
      <c r="Q1875" s="847"/>
      <c r="R1875" s="738">
        <f t="shared" si="242"/>
        <v>0</v>
      </c>
      <c r="S1875" s="737">
        <f t="shared" si="243"/>
        <v>165760</v>
      </c>
      <c r="T1875" s="739">
        <f t="shared" si="244"/>
        <v>169271</v>
      </c>
      <c r="U1875" s="846"/>
      <c r="V1875" s="847"/>
      <c r="W1875" s="846"/>
      <c r="X1875" s="846"/>
      <c r="Y1875" s="740">
        <f t="shared" si="240"/>
        <v>0</v>
      </c>
      <c r="Z1875" s="847"/>
      <c r="AA1875" s="847"/>
      <c r="AB1875" s="741">
        <f t="shared" si="241"/>
        <v>0</v>
      </c>
      <c r="AC1875" s="846"/>
      <c r="AD1875" s="847"/>
      <c r="AE1875" s="846"/>
      <c r="AF1875" s="846"/>
      <c r="AG1875" s="847"/>
      <c r="AH1875" s="847"/>
      <c r="AI1875" s="742">
        <f t="shared" si="245"/>
        <v>165760</v>
      </c>
      <c r="AJ1875" s="743">
        <f t="shared" si="246"/>
        <v>169271</v>
      </c>
    </row>
    <row r="1876" spans="1:36">
      <c r="A1876" s="840" t="s">
        <v>153</v>
      </c>
      <c r="B1876" s="841" t="s">
        <v>275</v>
      </c>
      <c r="C1876" s="848" t="s">
        <v>258</v>
      </c>
      <c r="D1876" s="849"/>
      <c r="E1876" s="844">
        <v>198455</v>
      </c>
      <c r="F1876" s="855">
        <v>9</v>
      </c>
      <c r="G1876" s="846"/>
      <c r="H1876" s="847"/>
      <c r="I1876" s="846">
        <v>2726325</v>
      </c>
      <c r="J1876" s="847">
        <v>2522023</v>
      </c>
      <c r="K1876" s="846"/>
      <c r="L1876" s="847"/>
      <c r="M1876" s="846">
        <v>385005</v>
      </c>
      <c r="N1876" s="846"/>
      <c r="O1876" s="737">
        <f t="shared" si="239"/>
        <v>385005</v>
      </c>
      <c r="P1876" s="847">
        <v>339117</v>
      </c>
      <c r="Q1876" s="847"/>
      <c r="R1876" s="738">
        <f t="shared" si="242"/>
        <v>339117</v>
      </c>
      <c r="S1876" s="737">
        <f t="shared" si="243"/>
        <v>3111330</v>
      </c>
      <c r="T1876" s="739">
        <f t="shared" si="244"/>
        <v>2861140</v>
      </c>
      <c r="U1876" s="846"/>
      <c r="V1876" s="847"/>
      <c r="W1876" s="846"/>
      <c r="X1876" s="846"/>
      <c r="Y1876" s="740">
        <f t="shared" si="240"/>
        <v>0</v>
      </c>
      <c r="Z1876" s="847"/>
      <c r="AA1876" s="847"/>
      <c r="AB1876" s="741">
        <f t="shared" si="241"/>
        <v>0</v>
      </c>
      <c r="AC1876" s="846"/>
      <c r="AD1876" s="847"/>
      <c r="AE1876" s="846"/>
      <c r="AF1876" s="846"/>
      <c r="AG1876" s="847"/>
      <c r="AH1876" s="847"/>
      <c r="AI1876" s="742">
        <f t="shared" si="245"/>
        <v>3111330</v>
      </c>
      <c r="AJ1876" s="743">
        <f t="shared" si="246"/>
        <v>2861140</v>
      </c>
    </row>
    <row r="1877" spans="1:36">
      <c r="A1877" s="840" t="s">
        <v>153</v>
      </c>
      <c r="B1877" s="841" t="s">
        <v>264</v>
      </c>
      <c r="C1877" s="841" t="s">
        <v>1338</v>
      </c>
      <c r="D1877" s="872"/>
      <c r="E1877" s="844">
        <v>198491</v>
      </c>
      <c r="F1877" s="845">
        <v>9</v>
      </c>
      <c r="G1877" s="846">
        <v>9963238</v>
      </c>
      <c r="H1877" s="847">
        <v>9909217</v>
      </c>
      <c r="I1877" s="846"/>
      <c r="J1877" s="847"/>
      <c r="K1877" s="846">
        <v>1406000</v>
      </c>
      <c r="L1877" s="847">
        <v>1344420</v>
      </c>
      <c r="M1877" s="846">
        <v>4485665</v>
      </c>
      <c r="N1877" s="846"/>
      <c r="O1877" s="737">
        <f t="shared" si="239"/>
        <v>4485665</v>
      </c>
      <c r="P1877" s="847">
        <v>4175392</v>
      </c>
      <c r="Q1877" s="847"/>
      <c r="R1877" s="738">
        <f t="shared" si="242"/>
        <v>4175392</v>
      </c>
      <c r="S1877" s="737">
        <f t="shared" si="243"/>
        <v>15854903</v>
      </c>
      <c r="T1877" s="739">
        <f t="shared" si="244"/>
        <v>15429029</v>
      </c>
      <c r="U1877" s="846"/>
      <c r="V1877" s="847"/>
      <c r="W1877" s="846"/>
      <c r="X1877" s="846"/>
      <c r="Y1877" s="740">
        <f t="shared" si="240"/>
        <v>0</v>
      </c>
      <c r="Z1877" s="847"/>
      <c r="AA1877" s="847"/>
      <c r="AB1877" s="741">
        <f t="shared" si="241"/>
        <v>0</v>
      </c>
      <c r="AC1877" s="846"/>
      <c r="AD1877" s="847"/>
      <c r="AE1877" s="846"/>
      <c r="AF1877" s="846"/>
      <c r="AG1877" s="847"/>
      <c r="AH1877" s="847"/>
      <c r="AI1877" s="742">
        <f t="shared" si="245"/>
        <v>15854903</v>
      </c>
      <c r="AJ1877" s="743">
        <f t="shared" si="246"/>
        <v>15429029</v>
      </c>
    </row>
    <row r="1878" spans="1:36">
      <c r="A1878" s="840" t="s">
        <v>153</v>
      </c>
      <c r="B1878" s="841" t="s">
        <v>264</v>
      </c>
      <c r="C1878" s="848" t="s">
        <v>1320</v>
      </c>
      <c r="D1878" s="849"/>
      <c r="E1878" s="844">
        <v>198491</v>
      </c>
      <c r="F1878" s="845">
        <v>9</v>
      </c>
      <c r="G1878" s="846"/>
      <c r="H1878" s="847"/>
      <c r="I1878" s="846"/>
      <c r="J1878" s="847"/>
      <c r="K1878" s="846"/>
      <c r="L1878" s="847"/>
      <c r="M1878" s="846"/>
      <c r="N1878" s="846"/>
      <c r="O1878" s="737">
        <f t="shared" si="239"/>
        <v>0</v>
      </c>
      <c r="P1878" s="847"/>
      <c r="Q1878" s="847"/>
      <c r="R1878" s="738">
        <f t="shared" si="242"/>
        <v>0</v>
      </c>
      <c r="S1878" s="737">
        <f t="shared" si="243"/>
        <v>0</v>
      </c>
      <c r="T1878" s="739">
        <f t="shared" si="244"/>
        <v>0</v>
      </c>
      <c r="U1878" s="846"/>
      <c r="V1878" s="847"/>
      <c r="W1878" s="846"/>
      <c r="X1878" s="846"/>
      <c r="Y1878" s="740">
        <f t="shared" si="240"/>
        <v>0</v>
      </c>
      <c r="Z1878" s="847"/>
      <c r="AA1878" s="847"/>
      <c r="AB1878" s="741">
        <f t="shared" si="241"/>
        <v>0</v>
      </c>
      <c r="AC1878" s="846"/>
      <c r="AD1878" s="847"/>
      <c r="AE1878" s="846"/>
      <c r="AF1878" s="846"/>
      <c r="AG1878" s="847"/>
      <c r="AH1878" s="847"/>
      <c r="AI1878" s="742">
        <f t="shared" si="245"/>
        <v>0</v>
      </c>
      <c r="AJ1878" s="743">
        <f t="shared" si="246"/>
        <v>0</v>
      </c>
    </row>
    <row r="1879" spans="1:36">
      <c r="A1879" s="840" t="s">
        <v>153</v>
      </c>
      <c r="B1879" s="841" t="s">
        <v>266</v>
      </c>
      <c r="C1879" s="848" t="s">
        <v>319</v>
      </c>
      <c r="D1879" s="849"/>
      <c r="E1879" s="844">
        <v>198491</v>
      </c>
      <c r="F1879" s="845">
        <v>9</v>
      </c>
      <c r="G1879" s="846"/>
      <c r="H1879" s="847"/>
      <c r="I1879" s="846">
        <v>149476</v>
      </c>
      <c r="J1879" s="847">
        <v>151474</v>
      </c>
      <c r="K1879" s="846"/>
      <c r="L1879" s="847"/>
      <c r="M1879" s="846"/>
      <c r="N1879" s="846"/>
      <c r="O1879" s="737">
        <f t="shared" si="239"/>
        <v>0</v>
      </c>
      <c r="P1879" s="847"/>
      <c r="Q1879" s="847"/>
      <c r="R1879" s="738">
        <f t="shared" si="242"/>
        <v>0</v>
      </c>
      <c r="S1879" s="737">
        <f t="shared" si="243"/>
        <v>149476</v>
      </c>
      <c r="T1879" s="739">
        <f t="shared" si="244"/>
        <v>151474</v>
      </c>
      <c r="U1879" s="846"/>
      <c r="V1879" s="847"/>
      <c r="W1879" s="846"/>
      <c r="X1879" s="846"/>
      <c r="Y1879" s="740">
        <f t="shared" si="240"/>
        <v>0</v>
      </c>
      <c r="Z1879" s="847"/>
      <c r="AA1879" s="847"/>
      <c r="AB1879" s="741">
        <f t="shared" si="241"/>
        <v>0</v>
      </c>
      <c r="AC1879" s="846"/>
      <c r="AD1879" s="847"/>
      <c r="AE1879" s="846"/>
      <c r="AF1879" s="846"/>
      <c r="AG1879" s="847"/>
      <c r="AH1879" s="847"/>
      <c r="AI1879" s="742">
        <f t="shared" si="245"/>
        <v>149476</v>
      </c>
      <c r="AJ1879" s="743">
        <f t="shared" si="246"/>
        <v>151474</v>
      </c>
    </row>
    <row r="1880" spans="1:36">
      <c r="A1880" s="840" t="s">
        <v>153</v>
      </c>
      <c r="B1880" s="841" t="s">
        <v>275</v>
      </c>
      <c r="C1880" s="848" t="s">
        <v>258</v>
      </c>
      <c r="D1880" s="849"/>
      <c r="E1880" s="844">
        <v>198491</v>
      </c>
      <c r="F1880" s="845">
        <v>9</v>
      </c>
      <c r="G1880" s="846"/>
      <c r="H1880" s="847"/>
      <c r="I1880" s="846">
        <v>1507854</v>
      </c>
      <c r="J1880" s="847">
        <v>1443250</v>
      </c>
      <c r="K1880" s="846"/>
      <c r="L1880" s="847"/>
      <c r="M1880" s="846">
        <v>184904</v>
      </c>
      <c r="N1880" s="846"/>
      <c r="O1880" s="737">
        <f t="shared" si="239"/>
        <v>184904</v>
      </c>
      <c r="P1880" s="847">
        <v>183323</v>
      </c>
      <c r="Q1880" s="847"/>
      <c r="R1880" s="738">
        <f t="shared" si="242"/>
        <v>183323</v>
      </c>
      <c r="S1880" s="737">
        <f t="shared" si="243"/>
        <v>1692758</v>
      </c>
      <c r="T1880" s="739">
        <f t="shared" si="244"/>
        <v>1626573</v>
      </c>
      <c r="U1880" s="846"/>
      <c r="V1880" s="847"/>
      <c r="W1880" s="846"/>
      <c r="X1880" s="846"/>
      <c r="Y1880" s="740">
        <f t="shared" si="240"/>
        <v>0</v>
      </c>
      <c r="Z1880" s="847"/>
      <c r="AA1880" s="847"/>
      <c r="AB1880" s="741">
        <f t="shared" si="241"/>
        <v>0</v>
      </c>
      <c r="AC1880" s="846"/>
      <c r="AD1880" s="847"/>
      <c r="AE1880" s="846"/>
      <c r="AF1880" s="846"/>
      <c r="AG1880" s="847"/>
      <c r="AH1880" s="847"/>
      <c r="AI1880" s="742">
        <f t="shared" si="245"/>
        <v>1692758</v>
      </c>
      <c r="AJ1880" s="743">
        <f t="shared" si="246"/>
        <v>1626573</v>
      </c>
    </row>
    <row r="1881" spans="1:36">
      <c r="A1881" s="840" t="s">
        <v>153</v>
      </c>
      <c r="B1881" s="841" t="s">
        <v>264</v>
      </c>
      <c r="C1881" s="1057" t="s">
        <v>1339</v>
      </c>
      <c r="D1881" s="1234"/>
      <c r="E1881" s="1059">
        <v>198570</v>
      </c>
      <c r="F1881" s="882">
        <v>9</v>
      </c>
      <c r="G1881" s="846">
        <v>18482177</v>
      </c>
      <c r="H1881" s="847">
        <v>18899813</v>
      </c>
      <c r="I1881" s="846"/>
      <c r="J1881" s="847"/>
      <c r="K1881" s="846">
        <v>4735723</v>
      </c>
      <c r="L1881" s="847">
        <v>4896926</v>
      </c>
      <c r="M1881" s="846">
        <v>8791830</v>
      </c>
      <c r="N1881" s="846"/>
      <c r="O1881" s="737">
        <f t="shared" si="239"/>
        <v>8791830</v>
      </c>
      <c r="P1881" s="847">
        <v>8456444</v>
      </c>
      <c r="Q1881" s="847"/>
      <c r="R1881" s="738">
        <f t="shared" si="242"/>
        <v>8456444</v>
      </c>
      <c r="S1881" s="737">
        <f t="shared" si="243"/>
        <v>32009730</v>
      </c>
      <c r="T1881" s="739">
        <f t="shared" si="244"/>
        <v>32253183</v>
      </c>
      <c r="U1881" s="846"/>
      <c r="V1881" s="847"/>
      <c r="W1881" s="846"/>
      <c r="X1881" s="846"/>
      <c r="Y1881" s="740">
        <f t="shared" si="240"/>
        <v>0</v>
      </c>
      <c r="Z1881" s="847"/>
      <c r="AA1881" s="847"/>
      <c r="AB1881" s="741">
        <f t="shared" si="241"/>
        <v>0</v>
      </c>
      <c r="AC1881" s="846"/>
      <c r="AD1881" s="847"/>
      <c r="AE1881" s="846"/>
      <c r="AF1881" s="846"/>
      <c r="AG1881" s="847"/>
      <c r="AH1881" s="847"/>
      <c r="AI1881" s="742">
        <f t="shared" si="245"/>
        <v>32009730</v>
      </c>
      <c r="AJ1881" s="743">
        <f t="shared" si="246"/>
        <v>32253183</v>
      </c>
    </row>
    <row r="1882" spans="1:36">
      <c r="A1882" s="840" t="s">
        <v>153</v>
      </c>
      <c r="B1882" s="841" t="s">
        <v>264</v>
      </c>
      <c r="C1882" s="848" t="s">
        <v>1320</v>
      </c>
      <c r="D1882" s="849"/>
      <c r="E1882" s="844">
        <v>198570</v>
      </c>
      <c r="F1882" s="882">
        <v>9</v>
      </c>
      <c r="G1882" s="846"/>
      <c r="H1882" s="847"/>
      <c r="I1882" s="846"/>
      <c r="J1882" s="847"/>
      <c r="K1882" s="846"/>
      <c r="L1882" s="847"/>
      <c r="M1882" s="846"/>
      <c r="N1882" s="846"/>
      <c r="O1882" s="737">
        <f t="shared" si="239"/>
        <v>0</v>
      </c>
      <c r="P1882" s="847"/>
      <c r="Q1882" s="847"/>
      <c r="R1882" s="738">
        <f t="shared" si="242"/>
        <v>0</v>
      </c>
      <c r="S1882" s="737">
        <f t="shared" si="243"/>
        <v>0</v>
      </c>
      <c r="T1882" s="739">
        <f t="shared" si="244"/>
        <v>0</v>
      </c>
      <c r="U1882" s="846"/>
      <c r="V1882" s="847"/>
      <c r="W1882" s="846"/>
      <c r="X1882" s="846"/>
      <c r="Y1882" s="740">
        <f t="shared" si="240"/>
        <v>0</v>
      </c>
      <c r="Z1882" s="847"/>
      <c r="AA1882" s="847"/>
      <c r="AB1882" s="741">
        <f t="shared" si="241"/>
        <v>0</v>
      </c>
      <c r="AC1882" s="846"/>
      <c r="AD1882" s="847"/>
      <c r="AE1882" s="846"/>
      <c r="AF1882" s="846"/>
      <c r="AG1882" s="847"/>
      <c r="AH1882" s="847"/>
      <c r="AI1882" s="742">
        <f t="shared" si="245"/>
        <v>0</v>
      </c>
      <c r="AJ1882" s="743">
        <f t="shared" si="246"/>
        <v>0</v>
      </c>
    </row>
    <row r="1883" spans="1:36">
      <c r="A1883" s="840" t="s">
        <v>153</v>
      </c>
      <c r="B1883" s="841" t="s">
        <v>266</v>
      </c>
      <c r="C1883" s="848" t="s">
        <v>319</v>
      </c>
      <c r="D1883" s="849"/>
      <c r="E1883" s="844">
        <v>198570</v>
      </c>
      <c r="F1883" s="882">
        <v>9</v>
      </c>
      <c r="G1883" s="846"/>
      <c r="H1883" s="847"/>
      <c r="I1883" s="846">
        <v>168246</v>
      </c>
      <c r="J1883" s="847">
        <v>170761</v>
      </c>
      <c r="K1883" s="846"/>
      <c r="L1883" s="847"/>
      <c r="M1883" s="846"/>
      <c r="N1883" s="846"/>
      <c r="O1883" s="737">
        <f t="shared" si="239"/>
        <v>0</v>
      </c>
      <c r="P1883" s="847"/>
      <c r="Q1883" s="847"/>
      <c r="R1883" s="738">
        <f t="shared" si="242"/>
        <v>0</v>
      </c>
      <c r="S1883" s="737">
        <f t="shared" si="243"/>
        <v>168246</v>
      </c>
      <c r="T1883" s="739">
        <f t="shared" si="244"/>
        <v>170761</v>
      </c>
      <c r="U1883" s="846"/>
      <c r="V1883" s="847"/>
      <c r="W1883" s="846"/>
      <c r="X1883" s="846"/>
      <c r="Y1883" s="740">
        <f t="shared" si="240"/>
        <v>0</v>
      </c>
      <c r="Z1883" s="847"/>
      <c r="AA1883" s="847"/>
      <c r="AB1883" s="741">
        <f t="shared" si="241"/>
        <v>0</v>
      </c>
      <c r="AC1883" s="846"/>
      <c r="AD1883" s="847"/>
      <c r="AE1883" s="846"/>
      <c r="AF1883" s="846"/>
      <c r="AG1883" s="847"/>
      <c r="AH1883" s="847"/>
      <c r="AI1883" s="742">
        <f t="shared" si="245"/>
        <v>168246</v>
      </c>
      <c r="AJ1883" s="743">
        <f t="shared" si="246"/>
        <v>170761</v>
      </c>
    </row>
    <row r="1884" spans="1:36">
      <c r="A1884" s="840" t="s">
        <v>153</v>
      </c>
      <c r="B1884" s="841" t="s">
        <v>275</v>
      </c>
      <c r="C1884" s="848" t="s">
        <v>258</v>
      </c>
      <c r="D1884" s="849"/>
      <c r="E1884" s="844">
        <v>198570</v>
      </c>
      <c r="F1884" s="882">
        <v>9</v>
      </c>
      <c r="G1884" s="846"/>
      <c r="H1884" s="847"/>
      <c r="I1884" s="846">
        <v>2047183</v>
      </c>
      <c r="J1884" s="847">
        <v>1847947</v>
      </c>
      <c r="K1884" s="846"/>
      <c r="L1884" s="847"/>
      <c r="M1884" s="846">
        <v>233029</v>
      </c>
      <c r="N1884" s="846"/>
      <c r="O1884" s="737">
        <f t="shared" si="239"/>
        <v>233029</v>
      </c>
      <c r="P1884" s="847">
        <v>222115</v>
      </c>
      <c r="Q1884" s="847"/>
      <c r="R1884" s="738">
        <f t="shared" si="242"/>
        <v>222115</v>
      </c>
      <c r="S1884" s="737">
        <f t="shared" si="243"/>
        <v>2280212</v>
      </c>
      <c r="T1884" s="739">
        <f t="shared" si="244"/>
        <v>2070062</v>
      </c>
      <c r="U1884" s="846"/>
      <c r="V1884" s="847"/>
      <c r="W1884" s="846"/>
      <c r="X1884" s="846"/>
      <c r="Y1884" s="740">
        <f t="shared" si="240"/>
        <v>0</v>
      </c>
      <c r="Z1884" s="847"/>
      <c r="AA1884" s="847"/>
      <c r="AB1884" s="741">
        <f t="shared" si="241"/>
        <v>0</v>
      </c>
      <c r="AC1884" s="846"/>
      <c r="AD1884" s="847"/>
      <c r="AE1884" s="846"/>
      <c r="AF1884" s="846"/>
      <c r="AG1884" s="847"/>
      <c r="AH1884" s="847"/>
      <c r="AI1884" s="742">
        <f t="shared" si="245"/>
        <v>2280212</v>
      </c>
      <c r="AJ1884" s="743">
        <f t="shared" si="246"/>
        <v>2070062</v>
      </c>
    </row>
    <row r="1885" spans="1:36">
      <c r="A1885" s="840" t="s">
        <v>153</v>
      </c>
      <c r="B1885" s="841" t="s">
        <v>264</v>
      </c>
      <c r="C1885" s="841" t="s">
        <v>1340</v>
      </c>
      <c r="D1885" s="1329" t="s">
        <v>712</v>
      </c>
      <c r="E1885" s="1235">
        <v>198710</v>
      </c>
      <c r="F1885" s="1236">
        <v>10</v>
      </c>
      <c r="G1885" s="846">
        <v>8067333</v>
      </c>
      <c r="H1885" s="847">
        <v>8211985</v>
      </c>
      <c r="I1885" s="846"/>
      <c r="J1885" s="847"/>
      <c r="K1885" s="846">
        <v>2098872</v>
      </c>
      <c r="L1885" s="847">
        <v>2329009</v>
      </c>
      <c r="M1885" s="846">
        <v>3715088</v>
      </c>
      <c r="N1885" s="846"/>
      <c r="O1885" s="737">
        <f t="shared" si="239"/>
        <v>3715088</v>
      </c>
      <c r="P1885" s="847">
        <v>3519571</v>
      </c>
      <c r="Q1885" s="847"/>
      <c r="R1885" s="738">
        <f t="shared" si="242"/>
        <v>3519571</v>
      </c>
      <c r="S1885" s="737">
        <f t="shared" si="243"/>
        <v>13881293</v>
      </c>
      <c r="T1885" s="739">
        <f t="shared" si="244"/>
        <v>14060565</v>
      </c>
      <c r="U1885" s="846"/>
      <c r="V1885" s="847"/>
      <c r="W1885" s="846"/>
      <c r="X1885" s="846"/>
      <c r="Y1885" s="740">
        <f t="shared" si="240"/>
        <v>0</v>
      </c>
      <c r="Z1885" s="847"/>
      <c r="AA1885" s="847"/>
      <c r="AB1885" s="741">
        <f t="shared" si="241"/>
        <v>0</v>
      </c>
      <c r="AC1885" s="846"/>
      <c r="AD1885" s="847"/>
      <c r="AE1885" s="846"/>
      <c r="AF1885" s="846"/>
      <c r="AG1885" s="847"/>
      <c r="AH1885" s="847"/>
      <c r="AI1885" s="742">
        <f t="shared" si="245"/>
        <v>13881293</v>
      </c>
      <c r="AJ1885" s="743">
        <f t="shared" si="246"/>
        <v>14060565</v>
      </c>
    </row>
    <row r="1886" spans="1:36">
      <c r="A1886" s="840" t="s">
        <v>153</v>
      </c>
      <c r="B1886" s="841" t="s">
        <v>264</v>
      </c>
      <c r="C1886" s="848" t="s">
        <v>1320</v>
      </c>
      <c r="D1886" s="849"/>
      <c r="E1886" s="1235">
        <v>198710</v>
      </c>
      <c r="F1886" s="1236">
        <v>10</v>
      </c>
      <c r="G1886" s="846"/>
      <c r="H1886" s="847"/>
      <c r="I1886" s="846"/>
      <c r="J1886" s="847"/>
      <c r="K1886" s="846"/>
      <c r="L1886" s="847"/>
      <c r="M1886" s="846"/>
      <c r="N1886" s="846"/>
      <c r="O1886" s="737">
        <f t="shared" si="239"/>
        <v>0</v>
      </c>
      <c r="P1886" s="847"/>
      <c r="Q1886" s="847"/>
      <c r="R1886" s="738">
        <f t="shared" si="242"/>
        <v>0</v>
      </c>
      <c r="S1886" s="737">
        <f t="shared" si="243"/>
        <v>0</v>
      </c>
      <c r="T1886" s="739">
        <f t="shared" si="244"/>
        <v>0</v>
      </c>
      <c r="U1886" s="846"/>
      <c r="V1886" s="847"/>
      <c r="W1886" s="846"/>
      <c r="X1886" s="846"/>
      <c r="Y1886" s="740">
        <f t="shared" si="240"/>
        <v>0</v>
      </c>
      <c r="Z1886" s="847"/>
      <c r="AA1886" s="847"/>
      <c r="AB1886" s="741">
        <f t="shared" si="241"/>
        <v>0</v>
      </c>
      <c r="AC1886" s="846"/>
      <c r="AD1886" s="847"/>
      <c r="AE1886" s="846"/>
      <c r="AF1886" s="846"/>
      <c r="AG1886" s="847"/>
      <c r="AH1886" s="847"/>
      <c r="AI1886" s="742">
        <f t="shared" si="245"/>
        <v>0</v>
      </c>
      <c r="AJ1886" s="743">
        <f t="shared" si="246"/>
        <v>0</v>
      </c>
    </row>
    <row r="1887" spans="1:36">
      <c r="A1887" s="840" t="s">
        <v>153</v>
      </c>
      <c r="B1887" s="841" t="s">
        <v>266</v>
      </c>
      <c r="C1887" s="848" t="s">
        <v>319</v>
      </c>
      <c r="D1887" s="849"/>
      <c r="E1887" s="1235">
        <v>198710</v>
      </c>
      <c r="F1887" s="1236">
        <v>10</v>
      </c>
      <c r="G1887" s="846"/>
      <c r="H1887" s="847"/>
      <c r="I1887" s="846">
        <v>154395</v>
      </c>
      <c r="J1887" s="847">
        <v>153681</v>
      </c>
      <c r="K1887" s="846"/>
      <c r="L1887" s="847"/>
      <c r="M1887" s="846"/>
      <c r="N1887" s="846"/>
      <c r="O1887" s="737">
        <f t="shared" si="239"/>
        <v>0</v>
      </c>
      <c r="P1887" s="847"/>
      <c r="Q1887" s="847"/>
      <c r="R1887" s="738">
        <f t="shared" si="242"/>
        <v>0</v>
      </c>
      <c r="S1887" s="737">
        <f t="shared" si="243"/>
        <v>154395</v>
      </c>
      <c r="T1887" s="739">
        <f t="shared" si="244"/>
        <v>153681</v>
      </c>
      <c r="U1887" s="846"/>
      <c r="V1887" s="847"/>
      <c r="W1887" s="846"/>
      <c r="X1887" s="846"/>
      <c r="Y1887" s="740">
        <f t="shared" si="240"/>
        <v>0</v>
      </c>
      <c r="Z1887" s="847"/>
      <c r="AA1887" s="847"/>
      <c r="AB1887" s="741">
        <f t="shared" si="241"/>
        <v>0</v>
      </c>
      <c r="AC1887" s="846"/>
      <c r="AD1887" s="847"/>
      <c r="AE1887" s="846"/>
      <c r="AF1887" s="846"/>
      <c r="AG1887" s="847"/>
      <c r="AH1887" s="847"/>
      <c r="AI1887" s="742">
        <f t="shared" si="245"/>
        <v>154395</v>
      </c>
      <c r="AJ1887" s="743">
        <f t="shared" si="246"/>
        <v>153681</v>
      </c>
    </row>
    <row r="1888" spans="1:36">
      <c r="A1888" s="840" t="s">
        <v>153</v>
      </c>
      <c r="B1888" s="841" t="s">
        <v>275</v>
      </c>
      <c r="C1888" s="848" t="s">
        <v>258</v>
      </c>
      <c r="D1888" s="849"/>
      <c r="E1888" s="1235">
        <v>198710</v>
      </c>
      <c r="F1888" s="1236">
        <v>10</v>
      </c>
      <c r="G1888" s="846"/>
      <c r="H1888" s="847"/>
      <c r="I1888" s="846">
        <v>1236247</v>
      </c>
      <c r="J1888" s="847">
        <v>1127151</v>
      </c>
      <c r="K1888" s="846"/>
      <c r="L1888" s="847"/>
      <c r="M1888" s="846">
        <v>169706</v>
      </c>
      <c r="N1888" s="846"/>
      <c r="O1888" s="737">
        <f t="shared" si="239"/>
        <v>169706</v>
      </c>
      <c r="P1888" s="847">
        <v>150162</v>
      </c>
      <c r="Q1888" s="847"/>
      <c r="R1888" s="738">
        <f t="shared" si="242"/>
        <v>150162</v>
      </c>
      <c r="S1888" s="737">
        <f t="shared" si="243"/>
        <v>1405953</v>
      </c>
      <c r="T1888" s="739">
        <f t="shared" si="244"/>
        <v>1277313</v>
      </c>
      <c r="U1888" s="846"/>
      <c r="V1888" s="847"/>
      <c r="W1888" s="846"/>
      <c r="X1888" s="846"/>
      <c r="Y1888" s="740">
        <f t="shared" si="240"/>
        <v>0</v>
      </c>
      <c r="Z1888" s="847"/>
      <c r="AA1888" s="847"/>
      <c r="AB1888" s="741">
        <f t="shared" si="241"/>
        <v>0</v>
      </c>
      <c r="AC1888" s="846"/>
      <c r="AD1888" s="847"/>
      <c r="AE1888" s="846"/>
      <c r="AF1888" s="846"/>
      <c r="AG1888" s="847"/>
      <c r="AH1888" s="847"/>
      <c r="AI1888" s="742">
        <f t="shared" si="245"/>
        <v>1405953</v>
      </c>
      <c r="AJ1888" s="743">
        <f t="shared" si="246"/>
        <v>1277313</v>
      </c>
    </row>
    <row r="1889" spans="1:36">
      <c r="A1889" s="840" t="s">
        <v>153</v>
      </c>
      <c r="B1889" s="841" t="s">
        <v>264</v>
      </c>
      <c r="C1889" s="841" t="s">
        <v>1341</v>
      </c>
      <c r="D1889" s="872"/>
      <c r="E1889" s="844">
        <v>198774</v>
      </c>
      <c r="F1889" s="845">
        <v>9</v>
      </c>
      <c r="G1889" s="846">
        <v>13303682</v>
      </c>
      <c r="H1889" s="847">
        <v>14133901</v>
      </c>
      <c r="I1889" s="846"/>
      <c r="J1889" s="847"/>
      <c r="K1889" s="846">
        <v>3843000</v>
      </c>
      <c r="L1889" s="847">
        <v>3900000</v>
      </c>
      <c r="M1889" s="846">
        <v>6621523</v>
      </c>
      <c r="N1889" s="846"/>
      <c r="O1889" s="737">
        <f t="shared" si="239"/>
        <v>6621523</v>
      </c>
      <c r="P1889" s="847">
        <v>6439796</v>
      </c>
      <c r="Q1889" s="847"/>
      <c r="R1889" s="738">
        <f t="shared" si="242"/>
        <v>6439796</v>
      </c>
      <c r="S1889" s="737">
        <f t="shared" si="243"/>
        <v>23768205</v>
      </c>
      <c r="T1889" s="739">
        <f t="shared" si="244"/>
        <v>24473697</v>
      </c>
      <c r="U1889" s="846"/>
      <c r="V1889" s="847"/>
      <c r="W1889" s="846"/>
      <c r="X1889" s="846"/>
      <c r="Y1889" s="740">
        <f t="shared" si="240"/>
        <v>0</v>
      </c>
      <c r="Z1889" s="847"/>
      <c r="AA1889" s="847"/>
      <c r="AB1889" s="741">
        <f t="shared" si="241"/>
        <v>0</v>
      </c>
      <c r="AC1889" s="846"/>
      <c r="AD1889" s="847"/>
      <c r="AE1889" s="846"/>
      <c r="AF1889" s="846"/>
      <c r="AG1889" s="847"/>
      <c r="AH1889" s="847"/>
      <c r="AI1889" s="742">
        <f t="shared" si="245"/>
        <v>23768205</v>
      </c>
      <c r="AJ1889" s="743">
        <f t="shared" si="246"/>
        <v>24473697</v>
      </c>
    </row>
    <row r="1890" spans="1:36">
      <c r="A1890" s="840" t="s">
        <v>153</v>
      </c>
      <c r="B1890" s="841" t="s">
        <v>264</v>
      </c>
      <c r="C1890" s="848" t="s">
        <v>1320</v>
      </c>
      <c r="D1890" s="849"/>
      <c r="E1890" s="844">
        <v>198774</v>
      </c>
      <c r="F1890" s="845">
        <v>9</v>
      </c>
      <c r="G1890" s="846"/>
      <c r="H1890" s="847"/>
      <c r="I1890" s="846"/>
      <c r="J1890" s="847"/>
      <c r="K1890" s="846"/>
      <c r="L1890" s="847"/>
      <c r="M1890" s="846"/>
      <c r="N1890" s="846"/>
      <c r="O1890" s="737">
        <f t="shared" si="239"/>
        <v>0</v>
      </c>
      <c r="P1890" s="847"/>
      <c r="Q1890" s="847"/>
      <c r="R1890" s="738">
        <f t="shared" si="242"/>
        <v>0</v>
      </c>
      <c r="S1890" s="737">
        <f t="shared" si="243"/>
        <v>0</v>
      </c>
      <c r="T1890" s="739">
        <f t="shared" si="244"/>
        <v>0</v>
      </c>
      <c r="U1890" s="846"/>
      <c r="V1890" s="847"/>
      <c r="W1890" s="846"/>
      <c r="X1890" s="846"/>
      <c r="Y1890" s="740">
        <f t="shared" si="240"/>
        <v>0</v>
      </c>
      <c r="Z1890" s="847"/>
      <c r="AA1890" s="847"/>
      <c r="AB1890" s="741">
        <f t="shared" si="241"/>
        <v>0</v>
      </c>
      <c r="AC1890" s="846"/>
      <c r="AD1890" s="847"/>
      <c r="AE1890" s="846"/>
      <c r="AF1890" s="846"/>
      <c r="AG1890" s="847"/>
      <c r="AH1890" s="847"/>
      <c r="AI1890" s="742">
        <f t="shared" si="245"/>
        <v>0</v>
      </c>
      <c r="AJ1890" s="743">
        <f t="shared" si="246"/>
        <v>0</v>
      </c>
    </row>
    <row r="1891" spans="1:36">
      <c r="A1891" s="840" t="s">
        <v>153</v>
      </c>
      <c r="B1891" s="841" t="s">
        <v>266</v>
      </c>
      <c r="C1891" s="848" t="s">
        <v>319</v>
      </c>
      <c r="D1891" s="849"/>
      <c r="E1891" s="844">
        <v>198774</v>
      </c>
      <c r="F1891" s="845">
        <v>9</v>
      </c>
      <c r="G1891" s="846"/>
      <c r="H1891" s="847"/>
      <c r="I1891" s="846">
        <v>156192</v>
      </c>
      <c r="J1891" s="847">
        <v>158830</v>
      </c>
      <c r="K1891" s="846"/>
      <c r="L1891" s="847"/>
      <c r="M1891" s="846"/>
      <c r="N1891" s="846"/>
      <c r="O1891" s="737">
        <f t="shared" si="239"/>
        <v>0</v>
      </c>
      <c r="P1891" s="847"/>
      <c r="Q1891" s="847"/>
      <c r="R1891" s="738">
        <f t="shared" si="242"/>
        <v>0</v>
      </c>
      <c r="S1891" s="737">
        <f t="shared" si="243"/>
        <v>156192</v>
      </c>
      <c r="T1891" s="739">
        <f t="shared" si="244"/>
        <v>158830</v>
      </c>
      <c r="U1891" s="846"/>
      <c r="V1891" s="847"/>
      <c r="W1891" s="846"/>
      <c r="X1891" s="846"/>
      <c r="Y1891" s="740">
        <f t="shared" si="240"/>
        <v>0</v>
      </c>
      <c r="Z1891" s="847"/>
      <c r="AA1891" s="847"/>
      <c r="AB1891" s="741">
        <f t="shared" si="241"/>
        <v>0</v>
      </c>
      <c r="AC1891" s="846"/>
      <c r="AD1891" s="847"/>
      <c r="AE1891" s="846"/>
      <c r="AF1891" s="846"/>
      <c r="AG1891" s="847"/>
      <c r="AH1891" s="847"/>
      <c r="AI1891" s="742">
        <f t="shared" si="245"/>
        <v>156192</v>
      </c>
      <c r="AJ1891" s="743">
        <f t="shared" si="246"/>
        <v>158830</v>
      </c>
    </row>
    <row r="1892" spans="1:36">
      <c r="A1892" s="840" t="s">
        <v>153</v>
      </c>
      <c r="B1892" s="841" t="s">
        <v>275</v>
      </c>
      <c r="C1892" s="848" t="s">
        <v>258</v>
      </c>
      <c r="D1892" s="849"/>
      <c r="E1892" s="844">
        <v>198774</v>
      </c>
      <c r="F1892" s="845">
        <v>9</v>
      </c>
      <c r="G1892" s="846"/>
      <c r="H1892" s="847"/>
      <c r="I1892" s="846">
        <v>2241938</v>
      </c>
      <c r="J1892" s="847">
        <v>2246255</v>
      </c>
      <c r="K1892" s="846"/>
      <c r="L1892" s="847"/>
      <c r="M1892" s="846">
        <v>339412</v>
      </c>
      <c r="N1892" s="846"/>
      <c r="O1892" s="737">
        <f t="shared" si="239"/>
        <v>339412</v>
      </c>
      <c r="P1892" s="847">
        <v>343496</v>
      </c>
      <c r="Q1892" s="847"/>
      <c r="R1892" s="738">
        <f t="shared" si="242"/>
        <v>343496</v>
      </c>
      <c r="S1892" s="737">
        <f t="shared" si="243"/>
        <v>2581350</v>
      </c>
      <c r="T1892" s="739">
        <f t="shared" si="244"/>
        <v>2589751</v>
      </c>
      <c r="U1892" s="846"/>
      <c r="V1892" s="847"/>
      <c r="W1892" s="846"/>
      <c r="X1892" s="846"/>
      <c r="Y1892" s="740">
        <f t="shared" si="240"/>
        <v>0</v>
      </c>
      <c r="Z1892" s="847"/>
      <c r="AA1892" s="847"/>
      <c r="AB1892" s="741">
        <f t="shared" si="241"/>
        <v>0</v>
      </c>
      <c r="AC1892" s="846"/>
      <c r="AD1892" s="847"/>
      <c r="AE1892" s="846"/>
      <c r="AF1892" s="846"/>
      <c r="AG1892" s="847"/>
      <c r="AH1892" s="847"/>
      <c r="AI1892" s="742">
        <f t="shared" si="245"/>
        <v>2581350</v>
      </c>
      <c r="AJ1892" s="743">
        <f t="shared" si="246"/>
        <v>2589751</v>
      </c>
    </row>
    <row r="1893" spans="1:36">
      <c r="A1893" s="840" t="s">
        <v>153</v>
      </c>
      <c r="B1893" s="841" t="s">
        <v>264</v>
      </c>
      <c r="C1893" s="841" t="s">
        <v>1342</v>
      </c>
      <c r="D1893" s="872"/>
      <c r="E1893" s="844">
        <v>198817</v>
      </c>
      <c r="F1893" s="845">
        <v>9</v>
      </c>
      <c r="G1893" s="846">
        <v>11440378</v>
      </c>
      <c r="H1893" s="847">
        <v>11643049</v>
      </c>
      <c r="I1893" s="846"/>
      <c r="J1893" s="847"/>
      <c r="K1893" s="846">
        <v>2727264</v>
      </c>
      <c r="L1893" s="847">
        <v>2478708</v>
      </c>
      <c r="M1893" s="846">
        <v>4404074</v>
      </c>
      <c r="N1893" s="846"/>
      <c r="O1893" s="737">
        <f t="shared" si="239"/>
        <v>4404074</v>
      </c>
      <c r="P1893" s="847">
        <v>4191788</v>
      </c>
      <c r="Q1893" s="847"/>
      <c r="R1893" s="738">
        <f t="shared" si="242"/>
        <v>4191788</v>
      </c>
      <c r="S1893" s="737">
        <f t="shared" si="243"/>
        <v>18571716</v>
      </c>
      <c r="T1893" s="739">
        <f t="shared" si="244"/>
        <v>18313545</v>
      </c>
      <c r="U1893" s="846"/>
      <c r="V1893" s="847"/>
      <c r="W1893" s="846"/>
      <c r="X1893" s="846"/>
      <c r="Y1893" s="740">
        <f t="shared" si="240"/>
        <v>0</v>
      </c>
      <c r="Z1893" s="847"/>
      <c r="AA1893" s="847"/>
      <c r="AB1893" s="741">
        <f t="shared" si="241"/>
        <v>0</v>
      </c>
      <c r="AC1893" s="846"/>
      <c r="AD1893" s="847"/>
      <c r="AE1893" s="846"/>
      <c r="AF1893" s="846"/>
      <c r="AG1893" s="847"/>
      <c r="AH1893" s="847"/>
      <c r="AI1893" s="742">
        <f t="shared" si="245"/>
        <v>18571716</v>
      </c>
      <c r="AJ1893" s="743">
        <f t="shared" si="246"/>
        <v>18313545</v>
      </c>
    </row>
    <row r="1894" spans="1:36">
      <c r="A1894" s="840" t="s">
        <v>153</v>
      </c>
      <c r="B1894" s="841" t="s">
        <v>264</v>
      </c>
      <c r="C1894" s="848" t="s">
        <v>1320</v>
      </c>
      <c r="D1894" s="849"/>
      <c r="E1894" s="844">
        <v>198817</v>
      </c>
      <c r="F1894" s="845">
        <v>9</v>
      </c>
      <c r="G1894" s="846"/>
      <c r="H1894" s="847"/>
      <c r="I1894" s="846"/>
      <c r="J1894" s="847"/>
      <c r="K1894" s="846"/>
      <c r="L1894" s="847"/>
      <c r="M1894" s="846"/>
      <c r="N1894" s="846"/>
      <c r="O1894" s="737">
        <f t="shared" si="239"/>
        <v>0</v>
      </c>
      <c r="P1894" s="847"/>
      <c r="Q1894" s="847"/>
      <c r="R1894" s="738">
        <f t="shared" si="242"/>
        <v>0</v>
      </c>
      <c r="S1894" s="737">
        <f t="shared" si="243"/>
        <v>0</v>
      </c>
      <c r="T1894" s="739">
        <f t="shared" si="244"/>
        <v>0</v>
      </c>
      <c r="U1894" s="846"/>
      <c r="V1894" s="847"/>
      <c r="W1894" s="846"/>
      <c r="X1894" s="846"/>
      <c r="Y1894" s="740">
        <f t="shared" si="240"/>
        <v>0</v>
      </c>
      <c r="Z1894" s="847"/>
      <c r="AA1894" s="847"/>
      <c r="AB1894" s="741">
        <f t="shared" si="241"/>
        <v>0</v>
      </c>
      <c r="AC1894" s="846"/>
      <c r="AD1894" s="847"/>
      <c r="AE1894" s="846"/>
      <c r="AF1894" s="846"/>
      <c r="AG1894" s="847"/>
      <c r="AH1894" s="847"/>
      <c r="AI1894" s="742">
        <f t="shared" si="245"/>
        <v>0</v>
      </c>
      <c r="AJ1894" s="743">
        <f t="shared" si="246"/>
        <v>0</v>
      </c>
    </row>
    <row r="1895" spans="1:36">
      <c r="A1895" s="840" t="s">
        <v>153</v>
      </c>
      <c r="B1895" s="841" t="s">
        <v>266</v>
      </c>
      <c r="C1895" s="848" t="s">
        <v>319</v>
      </c>
      <c r="D1895" s="849"/>
      <c r="E1895" s="844">
        <v>198817</v>
      </c>
      <c r="F1895" s="845">
        <v>9</v>
      </c>
      <c r="G1895" s="846"/>
      <c r="H1895" s="847"/>
      <c r="I1895" s="846">
        <v>154084</v>
      </c>
      <c r="J1895" s="847">
        <v>156457</v>
      </c>
      <c r="K1895" s="846"/>
      <c r="L1895" s="847"/>
      <c r="M1895" s="846"/>
      <c r="N1895" s="846"/>
      <c r="O1895" s="737">
        <f t="shared" si="239"/>
        <v>0</v>
      </c>
      <c r="P1895" s="847"/>
      <c r="Q1895" s="847"/>
      <c r="R1895" s="738">
        <f t="shared" si="242"/>
        <v>0</v>
      </c>
      <c r="S1895" s="737">
        <f t="shared" si="243"/>
        <v>154084</v>
      </c>
      <c r="T1895" s="739">
        <f t="shared" si="244"/>
        <v>156457</v>
      </c>
      <c r="U1895" s="846"/>
      <c r="V1895" s="847"/>
      <c r="W1895" s="846"/>
      <c r="X1895" s="846"/>
      <c r="Y1895" s="740">
        <f t="shared" si="240"/>
        <v>0</v>
      </c>
      <c r="Z1895" s="847"/>
      <c r="AA1895" s="847"/>
      <c r="AB1895" s="741">
        <f t="shared" si="241"/>
        <v>0</v>
      </c>
      <c r="AC1895" s="846"/>
      <c r="AD1895" s="847"/>
      <c r="AE1895" s="846"/>
      <c r="AF1895" s="846"/>
      <c r="AG1895" s="847"/>
      <c r="AH1895" s="847"/>
      <c r="AI1895" s="742">
        <f t="shared" si="245"/>
        <v>154084</v>
      </c>
      <c r="AJ1895" s="743">
        <f t="shared" si="246"/>
        <v>156457</v>
      </c>
    </row>
    <row r="1896" spans="1:36">
      <c r="A1896" s="840" t="s">
        <v>153</v>
      </c>
      <c r="B1896" s="841" t="s">
        <v>275</v>
      </c>
      <c r="C1896" s="848" t="s">
        <v>258</v>
      </c>
      <c r="D1896" s="849"/>
      <c r="E1896" s="844">
        <v>198817</v>
      </c>
      <c r="F1896" s="845">
        <v>9</v>
      </c>
      <c r="G1896" s="846"/>
      <c r="H1896" s="847"/>
      <c r="I1896" s="846">
        <v>5115259</v>
      </c>
      <c r="J1896" s="847">
        <v>5158920</v>
      </c>
      <c r="K1896" s="846"/>
      <c r="L1896" s="847"/>
      <c r="M1896" s="846">
        <v>1007471</v>
      </c>
      <c r="N1896" s="846"/>
      <c r="O1896" s="737">
        <f t="shared" si="239"/>
        <v>1007471</v>
      </c>
      <c r="P1896" s="847">
        <v>985440</v>
      </c>
      <c r="Q1896" s="847"/>
      <c r="R1896" s="738">
        <f t="shared" si="242"/>
        <v>985440</v>
      </c>
      <c r="S1896" s="737">
        <f t="shared" si="243"/>
        <v>6122730</v>
      </c>
      <c r="T1896" s="739">
        <f t="shared" si="244"/>
        <v>6144360</v>
      </c>
      <c r="U1896" s="846"/>
      <c r="V1896" s="847"/>
      <c r="W1896" s="846"/>
      <c r="X1896" s="846"/>
      <c r="Y1896" s="740">
        <f t="shared" si="240"/>
        <v>0</v>
      </c>
      <c r="Z1896" s="847"/>
      <c r="AA1896" s="847"/>
      <c r="AB1896" s="741">
        <f t="shared" si="241"/>
        <v>0</v>
      </c>
      <c r="AC1896" s="846"/>
      <c r="AD1896" s="847"/>
      <c r="AE1896" s="846"/>
      <c r="AF1896" s="846"/>
      <c r="AG1896" s="847"/>
      <c r="AH1896" s="847"/>
      <c r="AI1896" s="742">
        <f t="shared" si="245"/>
        <v>6122730</v>
      </c>
      <c r="AJ1896" s="743">
        <f t="shared" si="246"/>
        <v>6144360</v>
      </c>
    </row>
    <row r="1897" spans="1:36">
      <c r="A1897" s="840" t="s">
        <v>153</v>
      </c>
      <c r="B1897" s="841" t="s">
        <v>264</v>
      </c>
      <c r="C1897" s="841" t="s">
        <v>1343</v>
      </c>
      <c r="D1897" s="872"/>
      <c r="E1897" s="844">
        <v>198987</v>
      </c>
      <c r="F1897" s="845">
        <v>9</v>
      </c>
      <c r="G1897" s="846">
        <v>9714569</v>
      </c>
      <c r="H1897" s="847">
        <v>9872468</v>
      </c>
      <c r="I1897" s="846"/>
      <c r="J1897" s="847"/>
      <c r="K1897" s="846">
        <v>2935071</v>
      </c>
      <c r="L1897" s="847">
        <v>3050713</v>
      </c>
      <c r="M1897" s="846">
        <v>4705052</v>
      </c>
      <c r="N1897" s="846"/>
      <c r="O1897" s="737">
        <f t="shared" si="239"/>
        <v>4705052</v>
      </c>
      <c r="P1897" s="847">
        <v>4412216</v>
      </c>
      <c r="Q1897" s="847"/>
      <c r="R1897" s="738">
        <f t="shared" si="242"/>
        <v>4412216</v>
      </c>
      <c r="S1897" s="737">
        <f t="shared" si="243"/>
        <v>17354692</v>
      </c>
      <c r="T1897" s="739">
        <f t="shared" si="244"/>
        <v>17335397</v>
      </c>
      <c r="U1897" s="846"/>
      <c r="V1897" s="847"/>
      <c r="W1897" s="846"/>
      <c r="X1897" s="846"/>
      <c r="Y1897" s="740">
        <f t="shared" si="240"/>
        <v>0</v>
      </c>
      <c r="Z1897" s="847"/>
      <c r="AA1897" s="847"/>
      <c r="AB1897" s="741">
        <f t="shared" si="241"/>
        <v>0</v>
      </c>
      <c r="AC1897" s="846"/>
      <c r="AD1897" s="847"/>
      <c r="AE1897" s="846"/>
      <c r="AF1897" s="846"/>
      <c r="AG1897" s="847"/>
      <c r="AH1897" s="847"/>
      <c r="AI1897" s="742">
        <f t="shared" si="245"/>
        <v>17354692</v>
      </c>
      <c r="AJ1897" s="743">
        <f t="shared" si="246"/>
        <v>17335397</v>
      </c>
    </row>
    <row r="1898" spans="1:36">
      <c r="A1898" s="840" t="s">
        <v>153</v>
      </c>
      <c r="B1898" s="841" t="s">
        <v>264</v>
      </c>
      <c r="C1898" s="848" t="s">
        <v>1320</v>
      </c>
      <c r="D1898" s="849"/>
      <c r="E1898" s="844">
        <v>198987</v>
      </c>
      <c r="F1898" s="845">
        <v>9</v>
      </c>
      <c r="G1898" s="846"/>
      <c r="H1898" s="847"/>
      <c r="I1898" s="846"/>
      <c r="J1898" s="847"/>
      <c r="K1898" s="846"/>
      <c r="L1898" s="847"/>
      <c r="M1898" s="846"/>
      <c r="N1898" s="846"/>
      <c r="O1898" s="737">
        <f t="shared" si="239"/>
        <v>0</v>
      </c>
      <c r="P1898" s="847"/>
      <c r="Q1898" s="847"/>
      <c r="R1898" s="738">
        <f t="shared" si="242"/>
        <v>0</v>
      </c>
      <c r="S1898" s="737">
        <f t="shared" si="243"/>
        <v>0</v>
      </c>
      <c r="T1898" s="739">
        <f t="shared" si="244"/>
        <v>0</v>
      </c>
      <c r="U1898" s="846"/>
      <c r="V1898" s="847"/>
      <c r="W1898" s="846"/>
      <c r="X1898" s="846"/>
      <c r="Y1898" s="740">
        <f t="shared" si="240"/>
        <v>0</v>
      </c>
      <c r="Z1898" s="847"/>
      <c r="AA1898" s="847"/>
      <c r="AB1898" s="741">
        <f t="shared" si="241"/>
        <v>0</v>
      </c>
      <c r="AC1898" s="846"/>
      <c r="AD1898" s="847"/>
      <c r="AE1898" s="846"/>
      <c r="AF1898" s="846"/>
      <c r="AG1898" s="847"/>
      <c r="AH1898" s="847"/>
      <c r="AI1898" s="742">
        <f t="shared" si="245"/>
        <v>0</v>
      </c>
      <c r="AJ1898" s="743">
        <f t="shared" si="246"/>
        <v>0</v>
      </c>
    </row>
    <row r="1899" spans="1:36">
      <c r="A1899" s="840" t="s">
        <v>153</v>
      </c>
      <c r="B1899" s="841" t="s">
        <v>266</v>
      </c>
      <c r="C1899" s="848" t="s">
        <v>319</v>
      </c>
      <c r="D1899" s="849"/>
      <c r="E1899" s="844">
        <v>198987</v>
      </c>
      <c r="F1899" s="845">
        <v>9</v>
      </c>
      <c r="G1899" s="846"/>
      <c r="H1899" s="847"/>
      <c r="I1899" s="846">
        <v>166354</v>
      </c>
      <c r="J1899" s="847">
        <v>169712</v>
      </c>
      <c r="K1899" s="846"/>
      <c r="L1899" s="847"/>
      <c r="M1899" s="846"/>
      <c r="N1899" s="846"/>
      <c r="O1899" s="737">
        <f t="shared" si="239"/>
        <v>0</v>
      </c>
      <c r="P1899" s="847"/>
      <c r="Q1899" s="847"/>
      <c r="R1899" s="738">
        <f t="shared" si="242"/>
        <v>0</v>
      </c>
      <c r="S1899" s="737">
        <f t="shared" si="243"/>
        <v>166354</v>
      </c>
      <c r="T1899" s="739">
        <f t="shared" si="244"/>
        <v>169712</v>
      </c>
      <c r="U1899" s="846"/>
      <c r="V1899" s="847"/>
      <c r="W1899" s="846"/>
      <c r="X1899" s="846"/>
      <c r="Y1899" s="740">
        <f t="shared" si="240"/>
        <v>0</v>
      </c>
      <c r="Z1899" s="847"/>
      <c r="AA1899" s="847"/>
      <c r="AB1899" s="741">
        <f t="shared" si="241"/>
        <v>0</v>
      </c>
      <c r="AC1899" s="846"/>
      <c r="AD1899" s="847"/>
      <c r="AE1899" s="846"/>
      <c r="AF1899" s="846"/>
      <c r="AG1899" s="847"/>
      <c r="AH1899" s="847"/>
      <c r="AI1899" s="742">
        <f t="shared" si="245"/>
        <v>166354</v>
      </c>
      <c r="AJ1899" s="743">
        <f t="shared" si="246"/>
        <v>169712</v>
      </c>
    </row>
    <row r="1900" spans="1:36">
      <c r="A1900" s="840" t="s">
        <v>153</v>
      </c>
      <c r="B1900" s="841" t="s">
        <v>275</v>
      </c>
      <c r="C1900" s="848" t="s">
        <v>258</v>
      </c>
      <c r="D1900" s="849"/>
      <c r="E1900" s="844">
        <v>198987</v>
      </c>
      <c r="F1900" s="845">
        <v>9</v>
      </c>
      <c r="G1900" s="846"/>
      <c r="H1900" s="847"/>
      <c r="I1900" s="846">
        <v>1601450</v>
      </c>
      <c r="J1900" s="847">
        <v>1580885</v>
      </c>
      <c r="K1900" s="846"/>
      <c r="L1900" s="847"/>
      <c r="M1900" s="846">
        <v>198201</v>
      </c>
      <c r="N1900" s="846"/>
      <c r="O1900" s="737">
        <f t="shared" si="239"/>
        <v>198201</v>
      </c>
      <c r="P1900" s="847">
        <v>207099</v>
      </c>
      <c r="Q1900" s="847"/>
      <c r="R1900" s="738">
        <f t="shared" si="242"/>
        <v>207099</v>
      </c>
      <c r="S1900" s="737">
        <f t="shared" si="243"/>
        <v>1799651</v>
      </c>
      <c r="T1900" s="739">
        <f t="shared" si="244"/>
        <v>1787984</v>
      </c>
      <c r="U1900" s="846"/>
      <c r="V1900" s="847"/>
      <c r="W1900" s="846"/>
      <c r="X1900" s="846"/>
      <c r="Y1900" s="740">
        <f t="shared" si="240"/>
        <v>0</v>
      </c>
      <c r="Z1900" s="847"/>
      <c r="AA1900" s="847"/>
      <c r="AB1900" s="741">
        <f t="shared" si="241"/>
        <v>0</v>
      </c>
      <c r="AC1900" s="846"/>
      <c r="AD1900" s="847"/>
      <c r="AE1900" s="846"/>
      <c r="AF1900" s="846"/>
      <c r="AG1900" s="847"/>
      <c r="AH1900" s="847"/>
      <c r="AI1900" s="742">
        <f t="shared" si="245"/>
        <v>1799651</v>
      </c>
      <c r="AJ1900" s="743">
        <f t="shared" si="246"/>
        <v>1787984</v>
      </c>
    </row>
    <row r="1901" spans="1:36">
      <c r="A1901" s="840" t="s">
        <v>153</v>
      </c>
      <c r="B1901" s="841" t="s">
        <v>264</v>
      </c>
      <c r="C1901" s="841" t="s">
        <v>1344</v>
      </c>
      <c r="D1901" s="872"/>
      <c r="E1901" s="844">
        <v>199087</v>
      </c>
      <c r="F1901" s="845">
        <v>9</v>
      </c>
      <c r="G1901" s="846">
        <v>9681560</v>
      </c>
      <c r="H1901" s="847">
        <v>10734180</v>
      </c>
      <c r="I1901" s="846"/>
      <c r="J1901" s="847"/>
      <c r="K1901" s="846">
        <v>1641676</v>
      </c>
      <c r="L1901" s="847">
        <v>1645000</v>
      </c>
      <c r="M1901" s="846">
        <v>4614396</v>
      </c>
      <c r="N1901" s="846"/>
      <c r="O1901" s="737">
        <f t="shared" si="239"/>
        <v>4614396</v>
      </c>
      <c r="P1901" s="847">
        <v>4769274</v>
      </c>
      <c r="Q1901" s="847"/>
      <c r="R1901" s="738">
        <f t="shared" si="242"/>
        <v>4769274</v>
      </c>
      <c r="S1901" s="737">
        <f t="shared" si="243"/>
        <v>15937632</v>
      </c>
      <c r="T1901" s="739">
        <f t="shared" si="244"/>
        <v>17148454</v>
      </c>
      <c r="U1901" s="846"/>
      <c r="V1901" s="847"/>
      <c r="W1901" s="846"/>
      <c r="X1901" s="846"/>
      <c r="Y1901" s="740">
        <f t="shared" si="240"/>
        <v>0</v>
      </c>
      <c r="Z1901" s="847"/>
      <c r="AA1901" s="847"/>
      <c r="AB1901" s="741">
        <f t="shared" si="241"/>
        <v>0</v>
      </c>
      <c r="AC1901" s="846"/>
      <c r="AD1901" s="847"/>
      <c r="AE1901" s="846"/>
      <c r="AF1901" s="846"/>
      <c r="AG1901" s="847"/>
      <c r="AH1901" s="847"/>
      <c r="AI1901" s="742">
        <f t="shared" si="245"/>
        <v>15937632</v>
      </c>
      <c r="AJ1901" s="743">
        <f t="shared" si="246"/>
        <v>17148454</v>
      </c>
    </row>
    <row r="1902" spans="1:36">
      <c r="A1902" s="840" t="s">
        <v>153</v>
      </c>
      <c r="B1902" s="841" t="s">
        <v>264</v>
      </c>
      <c r="C1902" s="848" t="s">
        <v>1320</v>
      </c>
      <c r="D1902" s="849"/>
      <c r="E1902" s="844">
        <v>199087</v>
      </c>
      <c r="F1902" s="845">
        <v>9</v>
      </c>
      <c r="G1902" s="846"/>
      <c r="H1902" s="847"/>
      <c r="I1902" s="846"/>
      <c r="J1902" s="847"/>
      <c r="K1902" s="846"/>
      <c r="L1902" s="847"/>
      <c r="M1902" s="846"/>
      <c r="N1902" s="846"/>
      <c r="O1902" s="737">
        <f t="shared" si="239"/>
        <v>0</v>
      </c>
      <c r="P1902" s="847"/>
      <c r="Q1902" s="847"/>
      <c r="R1902" s="738">
        <f t="shared" si="242"/>
        <v>0</v>
      </c>
      <c r="S1902" s="737">
        <f t="shared" si="243"/>
        <v>0</v>
      </c>
      <c r="T1902" s="739">
        <f t="shared" si="244"/>
        <v>0</v>
      </c>
      <c r="U1902" s="846"/>
      <c r="V1902" s="847"/>
      <c r="W1902" s="846"/>
      <c r="X1902" s="846"/>
      <c r="Y1902" s="740">
        <f t="shared" si="240"/>
        <v>0</v>
      </c>
      <c r="Z1902" s="847"/>
      <c r="AA1902" s="847"/>
      <c r="AB1902" s="741">
        <f t="shared" si="241"/>
        <v>0</v>
      </c>
      <c r="AC1902" s="846"/>
      <c r="AD1902" s="847"/>
      <c r="AE1902" s="846"/>
      <c r="AF1902" s="846"/>
      <c r="AG1902" s="847"/>
      <c r="AH1902" s="847"/>
      <c r="AI1902" s="742">
        <f t="shared" si="245"/>
        <v>0</v>
      </c>
      <c r="AJ1902" s="743">
        <f t="shared" si="246"/>
        <v>0</v>
      </c>
    </row>
    <row r="1903" spans="1:36">
      <c r="A1903" s="840" t="s">
        <v>153</v>
      </c>
      <c r="B1903" s="841" t="s">
        <v>266</v>
      </c>
      <c r="C1903" s="848" t="s">
        <v>319</v>
      </c>
      <c r="D1903" s="849"/>
      <c r="E1903" s="844">
        <v>199087</v>
      </c>
      <c r="F1903" s="845">
        <v>9</v>
      </c>
      <c r="G1903" s="846"/>
      <c r="H1903" s="847"/>
      <c r="I1903" s="846">
        <v>161490</v>
      </c>
      <c r="J1903" s="847">
        <v>152209</v>
      </c>
      <c r="K1903" s="846"/>
      <c r="L1903" s="847"/>
      <c r="M1903" s="846"/>
      <c r="N1903" s="846"/>
      <c r="O1903" s="737">
        <f t="shared" si="239"/>
        <v>0</v>
      </c>
      <c r="P1903" s="847"/>
      <c r="Q1903" s="847"/>
      <c r="R1903" s="738">
        <f t="shared" si="242"/>
        <v>0</v>
      </c>
      <c r="S1903" s="737">
        <f t="shared" si="243"/>
        <v>161490</v>
      </c>
      <c r="T1903" s="739">
        <f t="shared" si="244"/>
        <v>152209</v>
      </c>
      <c r="U1903" s="846"/>
      <c r="V1903" s="847"/>
      <c r="W1903" s="846"/>
      <c r="X1903" s="846"/>
      <c r="Y1903" s="740">
        <f t="shared" si="240"/>
        <v>0</v>
      </c>
      <c r="Z1903" s="847"/>
      <c r="AA1903" s="847"/>
      <c r="AB1903" s="741">
        <f t="shared" si="241"/>
        <v>0</v>
      </c>
      <c r="AC1903" s="846"/>
      <c r="AD1903" s="847"/>
      <c r="AE1903" s="846"/>
      <c r="AF1903" s="846"/>
      <c r="AG1903" s="847"/>
      <c r="AH1903" s="847"/>
      <c r="AI1903" s="742">
        <f t="shared" si="245"/>
        <v>161490</v>
      </c>
      <c r="AJ1903" s="743">
        <f t="shared" si="246"/>
        <v>152209</v>
      </c>
    </row>
    <row r="1904" spans="1:36">
      <c r="A1904" s="840" t="s">
        <v>153</v>
      </c>
      <c r="B1904" s="841" t="s">
        <v>275</v>
      </c>
      <c r="C1904" s="848" t="s">
        <v>258</v>
      </c>
      <c r="D1904" s="849"/>
      <c r="E1904" s="844">
        <v>199087</v>
      </c>
      <c r="F1904" s="845">
        <v>9</v>
      </c>
      <c r="G1904" s="846"/>
      <c r="H1904" s="847"/>
      <c r="I1904" s="846">
        <v>1564714</v>
      </c>
      <c r="J1904" s="847">
        <v>1563943</v>
      </c>
      <c r="K1904" s="846"/>
      <c r="L1904" s="847"/>
      <c r="M1904" s="846">
        <v>271023</v>
      </c>
      <c r="N1904" s="846"/>
      <c r="O1904" s="737">
        <f t="shared" si="239"/>
        <v>271023</v>
      </c>
      <c r="P1904" s="847">
        <v>265287</v>
      </c>
      <c r="Q1904" s="847"/>
      <c r="R1904" s="738">
        <f t="shared" si="242"/>
        <v>265287</v>
      </c>
      <c r="S1904" s="737">
        <f t="shared" si="243"/>
        <v>1835737</v>
      </c>
      <c r="T1904" s="739">
        <f t="shared" si="244"/>
        <v>1829230</v>
      </c>
      <c r="U1904" s="846"/>
      <c r="V1904" s="847"/>
      <c r="W1904" s="846"/>
      <c r="X1904" s="846"/>
      <c r="Y1904" s="740">
        <f t="shared" si="240"/>
        <v>0</v>
      </c>
      <c r="Z1904" s="847"/>
      <c r="AA1904" s="847"/>
      <c r="AB1904" s="741">
        <f t="shared" si="241"/>
        <v>0</v>
      </c>
      <c r="AC1904" s="846"/>
      <c r="AD1904" s="847"/>
      <c r="AE1904" s="846"/>
      <c r="AF1904" s="846"/>
      <c r="AG1904" s="847"/>
      <c r="AH1904" s="847"/>
      <c r="AI1904" s="742">
        <f t="shared" si="245"/>
        <v>1835737</v>
      </c>
      <c r="AJ1904" s="743">
        <f t="shared" si="246"/>
        <v>1829230</v>
      </c>
    </row>
    <row r="1905" spans="1:36">
      <c r="A1905" s="840" t="s">
        <v>153</v>
      </c>
      <c r="B1905" s="841" t="s">
        <v>264</v>
      </c>
      <c r="C1905" s="841" t="s">
        <v>1345</v>
      </c>
      <c r="D1905" s="872"/>
      <c r="E1905" s="844">
        <v>199421</v>
      </c>
      <c r="F1905" s="845">
        <v>9</v>
      </c>
      <c r="G1905" s="846">
        <v>9064461</v>
      </c>
      <c r="H1905" s="847">
        <v>10099897</v>
      </c>
      <c r="I1905" s="846"/>
      <c r="J1905" s="847"/>
      <c r="K1905" s="846">
        <v>2328000</v>
      </c>
      <c r="L1905" s="847">
        <v>2328000</v>
      </c>
      <c r="M1905" s="846">
        <v>4193752</v>
      </c>
      <c r="N1905" s="846"/>
      <c r="O1905" s="737">
        <f t="shared" si="239"/>
        <v>4193752</v>
      </c>
      <c r="P1905" s="847">
        <v>4415860</v>
      </c>
      <c r="Q1905" s="847"/>
      <c r="R1905" s="738">
        <f t="shared" si="242"/>
        <v>4415860</v>
      </c>
      <c r="S1905" s="737">
        <f t="shared" si="243"/>
        <v>15586213</v>
      </c>
      <c r="T1905" s="739">
        <f t="shared" si="244"/>
        <v>16843757</v>
      </c>
      <c r="U1905" s="846"/>
      <c r="V1905" s="847"/>
      <c r="W1905" s="846"/>
      <c r="X1905" s="846"/>
      <c r="Y1905" s="740">
        <f t="shared" si="240"/>
        <v>0</v>
      </c>
      <c r="Z1905" s="847"/>
      <c r="AA1905" s="847"/>
      <c r="AB1905" s="741">
        <f t="shared" si="241"/>
        <v>0</v>
      </c>
      <c r="AC1905" s="846"/>
      <c r="AD1905" s="847"/>
      <c r="AE1905" s="846"/>
      <c r="AF1905" s="846"/>
      <c r="AG1905" s="847"/>
      <c r="AH1905" s="847"/>
      <c r="AI1905" s="742">
        <f t="shared" si="245"/>
        <v>15586213</v>
      </c>
      <c r="AJ1905" s="743">
        <f t="shared" si="246"/>
        <v>16843757</v>
      </c>
    </row>
    <row r="1906" spans="1:36">
      <c r="A1906" s="840" t="s">
        <v>153</v>
      </c>
      <c r="B1906" s="841" t="s">
        <v>264</v>
      </c>
      <c r="C1906" s="848" t="s">
        <v>1320</v>
      </c>
      <c r="D1906" s="849"/>
      <c r="E1906" s="844">
        <v>199421</v>
      </c>
      <c r="F1906" s="845">
        <v>9</v>
      </c>
      <c r="G1906" s="846"/>
      <c r="H1906" s="847"/>
      <c r="I1906" s="846"/>
      <c r="J1906" s="847"/>
      <c r="K1906" s="846"/>
      <c r="L1906" s="847"/>
      <c r="M1906" s="846"/>
      <c r="N1906" s="846"/>
      <c r="O1906" s="737">
        <f t="shared" si="239"/>
        <v>0</v>
      </c>
      <c r="P1906" s="847"/>
      <c r="Q1906" s="847"/>
      <c r="R1906" s="738">
        <f t="shared" si="242"/>
        <v>0</v>
      </c>
      <c r="S1906" s="737">
        <f t="shared" si="243"/>
        <v>0</v>
      </c>
      <c r="T1906" s="739">
        <f t="shared" si="244"/>
        <v>0</v>
      </c>
      <c r="U1906" s="846"/>
      <c r="V1906" s="847"/>
      <c r="W1906" s="846"/>
      <c r="X1906" s="846"/>
      <c r="Y1906" s="740">
        <f t="shared" si="240"/>
        <v>0</v>
      </c>
      <c r="Z1906" s="847"/>
      <c r="AA1906" s="847"/>
      <c r="AB1906" s="741">
        <f t="shared" si="241"/>
        <v>0</v>
      </c>
      <c r="AC1906" s="846"/>
      <c r="AD1906" s="847"/>
      <c r="AE1906" s="846"/>
      <c r="AF1906" s="846"/>
      <c r="AG1906" s="847"/>
      <c r="AH1906" s="847"/>
      <c r="AI1906" s="742">
        <f t="shared" si="245"/>
        <v>0</v>
      </c>
      <c r="AJ1906" s="743">
        <f t="shared" si="246"/>
        <v>0</v>
      </c>
    </row>
    <row r="1907" spans="1:36">
      <c r="A1907" s="840" t="s">
        <v>153</v>
      </c>
      <c r="B1907" s="841" t="s">
        <v>266</v>
      </c>
      <c r="C1907" s="848" t="s">
        <v>319</v>
      </c>
      <c r="D1907" s="849"/>
      <c r="E1907" s="844">
        <v>199421</v>
      </c>
      <c r="F1907" s="845">
        <v>9</v>
      </c>
      <c r="G1907" s="846"/>
      <c r="H1907" s="847"/>
      <c r="I1907" s="846">
        <v>162787</v>
      </c>
      <c r="J1907" s="847">
        <v>161436</v>
      </c>
      <c r="K1907" s="846"/>
      <c r="L1907" s="847"/>
      <c r="M1907" s="846"/>
      <c r="N1907" s="846"/>
      <c r="O1907" s="737">
        <f t="shared" si="239"/>
        <v>0</v>
      </c>
      <c r="P1907" s="847"/>
      <c r="Q1907" s="847"/>
      <c r="R1907" s="738">
        <f t="shared" si="242"/>
        <v>0</v>
      </c>
      <c r="S1907" s="737">
        <f t="shared" si="243"/>
        <v>162787</v>
      </c>
      <c r="T1907" s="739">
        <f t="shared" si="244"/>
        <v>161436</v>
      </c>
      <c r="U1907" s="846"/>
      <c r="V1907" s="847"/>
      <c r="W1907" s="846"/>
      <c r="X1907" s="846"/>
      <c r="Y1907" s="740">
        <f t="shared" si="240"/>
        <v>0</v>
      </c>
      <c r="Z1907" s="847"/>
      <c r="AA1907" s="847"/>
      <c r="AB1907" s="741">
        <f t="shared" si="241"/>
        <v>0</v>
      </c>
      <c r="AC1907" s="846"/>
      <c r="AD1907" s="847"/>
      <c r="AE1907" s="846"/>
      <c r="AF1907" s="846"/>
      <c r="AG1907" s="847"/>
      <c r="AH1907" s="847"/>
      <c r="AI1907" s="742">
        <f t="shared" si="245"/>
        <v>162787</v>
      </c>
      <c r="AJ1907" s="743">
        <f t="shared" si="246"/>
        <v>161436</v>
      </c>
    </row>
    <row r="1908" spans="1:36">
      <c r="A1908" s="840" t="s">
        <v>153</v>
      </c>
      <c r="B1908" s="841" t="s">
        <v>275</v>
      </c>
      <c r="C1908" s="848" t="s">
        <v>258</v>
      </c>
      <c r="D1908" s="849"/>
      <c r="E1908" s="844">
        <v>199421</v>
      </c>
      <c r="F1908" s="845">
        <v>9</v>
      </c>
      <c r="G1908" s="846"/>
      <c r="H1908" s="847"/>
      <c r="I1908" s="846">
        <v>1804875</v>
      </c>
      <c r="J1908" s="847">
        <v>1717040</v>
      </c>
      <c r="K1908" s="846"/>
      <c r="L1908" s="847"/>
      <c r="M1908" s="846">
        <v>207700</v>
      </c>
      <c r="N1908" s="846"/>
      <c r="O1908" s="737">
        <f t="shared" si="239"/>
        <v>207700</v>
      </c>
      <c r="P1908" s="847">
        <v>193960</v>
      </c>
      <c r="Q1908" s="847"/>
      <c r="R1908" s="738">
        <f t="shared" si="242"/>
        <v>193960</v>
      </c>
      <c r="S1908" s="737">
        <f t="shared" si="243"/>
        <v>2012575</v>
      </c>
      <c r="T1908" s="739">
        <f t="shared" si="244"/>
        <v>1911000</v>
      </c>
      <c r="U1908" s="846"/>
      <c r="V1908" s="847"/>
      <c r="W1908" s="846"/>
      <c r="X1908" s="846"/>
      <c r="Y1908" s="740">
        <f t="shared" si="240"/>
        <v>0</v>
      </c>
      <c r="Z1908" s="847"/>
      <c r="AA1908" s="847"/>
      <c r="AB1908" s="741">
        <f t="shared" si="241"/>
        <v>0</v>
      </c>
      <c r="AC1908" s="846"/>
      <c r="AD1908" s="847"/>
      <c r="AE1908" s="846"/>
      <c r="AF1908" s="846"/>
      <c r="AG1908" s="847"/>
      <c r="AH1908" s="847"/>
      <c r="AI1908" s="742">
        <f t="shared" si="245"/>
        <v>2012575</v>
      </c>
      <c r="AJ1908" s="743">
        <f t="shared" si="246"/>
        <v>1911000</v>
      </c>
    </row>
    <row r="1909" spans="1:36">
      <c r="A1909" s="840" t="s">
        <v>153</v>
      </c>
      <c r="B1909" s="841" t="s">
        <v>264</v>
      </c>
      <c r="C1909" s="841" t="s">
        <v>1346</v>
      </c>
      <c r="D1909" s="872"/>
      <c r="E1909" s="844">
        <v>199476</v>
      </c>
      <c r="F1909" s="845">
        <v>9</v>
      </c>
      <c r="G1909" s="846">
        <v>10082993</v>
      </c>
      <c r="H1909" s="847">
        <v>9738382</v>
      </c>
      <c r="I1909" s="846"/>
      <c r="J1909" s="847"/>
      <c r="K1909" s="846">
        <v>2116520</v>
      </c>
      <c r="L1909" s="847">
        <v>2237797</v>
      </c>
      <c r="M1909" s="846">
        <v>4224575</v>
      </c>
      <c r="N1909" s="846"/>
      <c r="O1909" s="737">
        <f t="shared" si="239"/>
        <v>4224575</v>
      </c>
      <c r="P1909" s="847">
        <v>3736357</v>
      </c>
      <c r="Q1909" s="847"/>
      <c r="R1909" s="738">
        <f t="shared" si="242"/>
        <v>3736357</v>
      </c>
      <c r="S1909" s="737">
        <f t="shared" si="243"/>
        <v>16424088</v>
      </c>
      <c r="T1909" s="739">
        <f t="shared" si="244"/>
        <v>15712536</v>
      </c>
      <c r="U1909" s="846"/>
      <c r="V1909" s="847"/>
      <c r="W1909" s="846"/>
      <c r="X1909" s="846"/>
      <c r="Y1909" s="740">
        <f t="shared" si="240"/>
        <v>0</v>
      </c>
      <c r="Z1909" s="847"/>
      <c r="AA1909" s="847"/>
      <c r="AB1909" s="741">
        <f t="shared" si="241"/>
        <v>0</v>
      </c>
      <c r="AC1909" s="846"/>
      <c r="AD1909" s="847"/>
      <c r="AE1909" s="846"/>
      <c r="AF1909" s="846"/>
      <c r="AG1909" s="847"/>
      <c r="AH1909" s="847"/>
      <c r="AI1909" s="742">
        <f t="shared" si="245"/>
        <v>16424088</v>
      </c>
      <c r="AJ1909" s="743">
        <f t="shared" si="246"/>
        <v>15712536</v>
      </c>
    </row>
    <row r="1910" spans="1:36">
      <c r="A1910" s="840" t="s">
        <v>153</v>
      </c>
      <c r="B1910" s="841" t="s">
        <v>264</v>
      </c>
      <c r="C1910" s="848" t="s">
        <v>1320</v>
      </c>
      <c r="D1910" s="849"/>
      <c r="E1910" s="844">
        <v>199476</v>
      </c>
      <c r="F1910" s="845">
        <v>9</v>
      </c>
      <c r="G1910" s="846"/>
      <c r="H1910" s="847"/>
      <c r="I1910" s="846"/>
      <c r="J1910" s="847"/>
      <c r="K1910" s="846"/>
      <c r="L1910" s="847"/>
      <c r="M1910" s="846"/>
      <c r="N1910" s="846"/>
      <c r="O1910" s="737">
        <f t="shared" si="239"/>
        <v>0</v>
      </c>
      <c r="P1910" s="847"/>
      <c r="Q1910" s="847"/>
      <c r="R1910" s="738">
        <f t="shared" si="242"/>
        <v>0</v>
      </c>
      <c r="S1910" s="737">
        <f t="shared" si="243"/>
        <v>0</v>
      </c>
      <c r="T1910" s="739">
        <f t="shared" si="244"/>
        <v>0</v>
      </c>
      <c r="U1910" s="846"/>
      <c r="V1910" s="847"/>
      <c r="W1910" s="846"/>
      <c r="X1910" s="846"/>
      <c r="Y1910" s="740">
        <f t="shared" si="240"/>
        <v>0</v>
      </c>
      <c r="Z1910" s="847"/>
      <c r="AA1910" s="847"/>
      <c r="AB1910" s="741">
        <f t="shared" si="241"/>
        <v>0</v>
      </c>
      <c r="AC1910" s="846"/>
      <c r="AD1910" s="847"/>
      <c r="AE1910" s="846"/>
      <c r="AF1910" s="846"/>
      <c r="AG1910" s="847"/>
      <c r="AH1910" s="847"/>
      <c r="AI1910" s="742">
        <f t="shared" si="245"/>
        <v>0</v>
      </c>
      <c r="AJ1910" s="743">
        <f t="shared" si="246"/>
        <v>0</v>
      </c>
    </row>
    <row r="1911" spans="1:36">
      <c r="A1911" s="840" t="s">
        <v>153</v>
      </c>
      <c r="B1911" s="841" t="s">
        <v>266</v>
      </c>
      <c r="C1911" s="848" t="s">
        <v>319</v>
      </c>
      <c r="D1911" s="849"/>
      <c r="E1911" s="844">
        <v>199476</v>
      </c>
      <c r="F1911" s="845">
        <v>9</v>
      </c>
      <c r="G1911" s="846"/>
      <c r="H1911" s="847"/>
      <c r="I1911" s="846">
        <v>160354</v>
      </c>
      <c r="J1911" s="847">
        <v>161368</v>
      </c>
      <c r="K1911" s="846"/>
      <c r="L1911" s="847"/>
      <c r="M1911" s="846"/>
      <c r="N1911" s="846"/>
      <c r="O1911" s="737">
        <f t="shared" si="239"/>
        <v>0</v>
      </c>
      <c r="P1911" s="847"/>
      <c r="Q1911" s="847"/>
      <c r="R1911" s="738">
        <f t="shared" si="242"/>
        <v>0</v>
      </c>
      <c r="S1911" s="737">
        <f t="shared" si="243"/>
        <v>160354</v>
      </c>
      <c r="T1911" s="739">
        <f t="shared" si="244"/>
        <v>161368</v>
      </c>
      <c r="U1911" s="846"/>
      <c r="V1911" s="847"/>
      <c r="W1911" s="846"/>
      <c r="X1911" s="846"/>
      <c r="Y1911" s="740">
        <f t="shared" si="240"/>
        <v>0</v>
      </c>
      <c r="Z1911" s="847"/>
      <c r="AA1911" s="847"/>
      <c r="AB1911" s="741">
        <f t="shared" si="241"/>
        <v>0</v>
      </c>
      <c r="AC1911" s="846"/>
      <c r="AD1911" s="847"/>
      <c r="AE1911" s="846"/>
      <c r="AF1911" s="846"/>
      <c r="AG1911" s="847"/>
      <c r="AH1911" s="847"/>
      <c r="AI1911" s="742">
        <f t="shared" si="245"/>
        <v>160354</v>
      </c>
      <c r="AJ1911" s="743">
        <f t="shared" si="246"/>
        <v>161368</v>
      </c>
    </row>
    <row r="1912" spans="1:36">
      <c r="A1912" s="840" t="s">
        <v>153</v>
      </c>
      <c r="B1912" s="841" t="s">
        <v>275</v>
      </c>
      <c r="C1912" s="848" t="s">
        <v>258</v>
      </c>
      <c r="D1912" s="849"/>
      <c r="E1912" s="844">
        <v>199476</v>
      </c>
      <c r="F1912" s="845">
        <v>9</v>
      </c>
      <c r="G1912" s="846"/>
      <c r="H1912" s="847"/>
      <c r="I1912" s="846">
        <v>3709409</v>
      </c>
      <c r="J1912" s="847">
        <v>3379523</v>
      </c>
      <c r="K1912" s="846"/>
      <c r="L1912" s="847"/>
      <c r="M1912" s="846">
        <v>377406</v>
      </c>
      <c r="N1912" s="846"/>
      <c r="O1912" s="737">
        <f t="shared" si="239"/>
        <v>377406</v>
      </c>
      <c r="P1912" s="847">
        <v>391673</v>
      </c>
      <c r="Q1912" s="847"/>
      <c r="R1912" s="738">
        <f t="shared" si="242"/>
        <v>391673</v>
      </c>
      <c r="S1912" s="737">
        <f t="shared" si="243"/>
        <v>4086815</v>
      </c>
      <c r="T1912" s="739">
        <f t="shared" si="244"/>
        <v>3771196</v>
      </c>
      <c r="U1912" s="846"/>
      <c r="V1912" s="847"/>
      <c r="W1912" s="846"/>
      <c r="X1912" s="846"/>
      <c r="Y1912" s="740">
        <f t="shared" si="240"/>
        <v>0</v>
      </c>
      <c r="Z1912" s="847"/>
      <c r="AA1912" s="847"/>
      <c r="AB1912" s="741">
        <f t="shared" si="241"/>
        <v>0</v>
      </c>
      <c r="AC1912" s="846"/>
      <c r="AD1912" s="847"/>
      <c r="AE1912" s="846"/>
      <c r="AF1912" s="846"/>
      <c r="AG1912" s="847"/>
      <c r="AH1912" s="847"/>
      <c r="AI1912" s="742">
        <f t="shared" si="245"/>
        <v>4086815</v>
      </c>
      <c r="AJ1912" s="743">
        <f t="shared" si="246"/>
        <v>3771196</v>
      </c>
    </row>
    <row r="1913" spans="1:36">
      <c r="A1913" s="840" t="s">
        <v>153</v>
      </c>
      <c r="B1913" s="841" t="s">
        <v>264</v>
      </c>
      <c r="C1913" s="841" t="s">
        <v>1347</v>
      </c>
      <c r="D1913" s="872"/>
      <c r="E1913" s="844">
        <v>199634</v>
      </c>
      <c r="F1913" s="845">
        <v>9</v>
      </c>
      <c r="G1913" s="846">
        <v>12094243</v>
      </c>
      <c r="H1913" s="847">
        <v>12789405</v>
      </c>
      <c r="I1913" s="846"/>
      <c r="J1913" s="847"/>
      <c r="K1913" s="846">
        <v>4554581</v>
      </c>
      <c r="L1913" s="847">
        <v>4697826</v>
      </c>
      <c r="M1913" s="846">
        <v>5948854</v>
      </c>
      <c r="N1913" s="846"/>
      <c r="O1913" s="737">
        <f t="shared" si="239"/>
        <v>5948854</v>
      </c>
      <c r="P1913" s="847">
        <v>5844092</v>
      </c>
      <c r="Q1913" s="847"/>
      <c r="R1913" s="738">
        <f t="shared" si="242"/>
        <v>5844092</v>
      </c>
      <c r="S1913" s="737">
        <f t="shared" si="243"/>
        <v>22597678</v>
      </c>
      <c r="T1913" s="739">
        <f t="shared" si="244"/>
        <v>23331323</v>
      </c>
      <c r="U1913" s="846"/>
      <c r="V1913" s="847"/>
      <c r="W1913" s="846"/>
      <c r="X1913" s="846"/>
      <c r="Y1913" s="740">
        <f t="shared" si="240"/>
        <v>0</v>
      </c>
      <c r="Z1913" s="847"/>
      <c r="AA1913" s="847"/>
      <c r="AB1913" s="741">
        <f t="shared" si="241"/>
        <v>0</v>
      </c>
      <c r="AC1913" s="846"/>
      <c r="AD1913" s="847"/>
      <c r="AE1913" s="846"/>
      <c r="AF1913" s="846"/>
      <c r="AG1913" s="847"/>
      <c r="AH1913" s="847"/>
      <c r="AI1913" s="742">
        <f t="shared" si="245"/>
        <v>22597678</v>
      </c>
      <c r="AJ1913" s="743">
        <f t="shared" si="246"/>
        <v>23331323</v>
      </c>
    </row>
    <row r="1914" spans="1:36">
      <c r="A1914" s="840" t="s">
        <v>153</v>
      </c>
      <c r="B1914" s="841" t="s">
        <v>264</v>
      </c>
      <c r="C1914" s="848" t="s">
        <v>1320</v>
      </c>
      <c r="D1914" s="849"/>
      <c r="E1914" s="844">
        <v>199634</v>
      </c>
      <c r="F1914" s="845">
        <v>9</v>
      </c>
      <c r="G1914" s="846"/>
      <c r="H1914" s="847"/>
      <c r="I1914" s="846"/>
      <c r="J1914" s="847"/>
      <c r="K1914" s="846"/>
      <c r="L1914" s="847"/>
      <c r="M1914" s="846"/>
      <c r="N1914" s="846"/>
      <c r="O1914" s="737">
        <f t="shared" si="239"/>
        <v>0</v>
      </c>
      <c r="P1914" s="847"/>
      <c r="Q1914" s="847"/>
      <c r="R1914" s="738">
        <f t="shared" si="242"/>
        <v>0</v>
      </c>
      <c r="S1914" s="737">
        <f t="shared" si="243"/>
        <v>0</v>
      </c>
      <c r="T1914" s="739">
        <f t="shared" si="244"/>
        <v>0</v>
      </c>
      <c r="U1914" s="846"/>
      <c r="V1914" s="847"/>
      <c r="W1914" s="846"/>
      <c r="X1914" s="846"/>
      <c r="Y1914" s="740">
        <f t="shared" si="240"/>
        <v>0</v>
      </c>
      <c r="Z1914" s="847"/>
      <c r="AA1914" s="847"/>
      <c r="AB1914" s="741">
        <f t="shared" si="241"/>
        <v>0</v>
      </c>
      <c r="AC1914" s="846"/>
      <c r="AD1914" s="847"/>
      <c r="AE1914" s="846"/>
      <c r="AF1914" s="846"/>
      <c r="AG1914" s="847"/>
      <c r="AH1914" s="847"/>
      <c r="AI1914" s="742">
        <f t="shared" si="245"/>
        <v>0</v>
      </c>
      <c r="AJ1914" s="743">
        <f t="shared" si="246"/>
        <v>0</v>
      </c>
    </row>
    <row r="1915" spans="1:36">
      <c r="A1915" s="840" t="s">
        <v>153</v>
      </c>
      <c r="B1915" s="841" t="s">
        <v>266</v>
      </c>
      <c r="C1915" s="848" t="s">
        <v>319</v>
      </c>
      <c r="D1915" s="849"/>
      <c r="E1915" s="844">
        <v>199634</v>
      </c>
      <c r="F1915" s="845">
        <v>9</v>
      </c>
      <c r="G1915" s="846"/>
      <c r="H1915" s="847"/>
      <c r="I1915" s="846">
        <v>153814</v>
      </c>
      <c r="J1915" s="847">
        <v>155795</v>
      </c>
      <c r="K1915" s="846"/>
      <c r="L1915" s="847"/>
      <c r="M1915" s="846"/>
      <c r="N1915" s="846"/>
      <c r="O1915" s="737">
        <f t="shared" si="239"/>
        <v>0</v>
      </c>
      <c r="P1915" s="847"/>
      <c r="Q1915" s="847"/>
      <c r="R1915" s="738">
        <f t="shared" si="242"/>
        <v>0</v>
      </c>
      <c r="S1915" s="737">
        <f t="shared" si="243"/>
        <v>153814</v>
      </c>
      <c r="T1915" s="739">
        <f t="shared" si="244"/>
        <v>155795</v>
      </c>
      <c r="U1915" s="846"/>
      <c r="V1915" s="847"/>
      <c r="W1915" s="846"/>
      <c r="X1915" s="846"/>
      <c r="Y1915" s="740">
        <f t="shared" si="240"/>
        <v>0</v>
      </c>
      <c r="Z1915" s="847"/>
      <c r="AA1915" s="847"/>
      <c r="AB1915" s="741">
        <f t="shared" si="241"/>
        <v>0</v>
      </c>
      <c r="AC1915" s="846"/>
      <c r="AD1915" s="847"/>
      <c r="AE1915" s="846"/>
      <c r="AF1915" s="846"/>
      <c r="AG1915" s="847"/>
      <c r="AH1915" s="847"/>
      <c r="AI1915" s="742">
        <f t="shared" si="245"/>
        <v>153814</v>
      </c>
      <c r="AJ1915" s="743">
        <f t="shared" si="246"/>
        <v>155795</v>
      </c>
    </row>
    <row r="1916" spans="1:36">
      <c r="A1916" s="840" t="s">
        <v>153</v>
      </c>
      <c r="B1916" s="841" t="s">
        <v>275</v>
      </c>
      <c r="C1916" s="848" t="s">
        <v>258</v>
      </c>
      <c r="D1916" s="849"/>
      <c r="E1916" s="844">
        <v>199634</v>
      </c>
      <c r="F1916" s="845">
        <v>9</v>
      </c>
      <c r="G1916" s="846"/>
      <c r="H1916" s="847"/>
      <c r="I1916" s="846">
        <v>1821652</v>
      </c>
      <c r="J1916" s="847">
        <v>1983180</v>
      </c>
      <c r="K1916" s="846"/>
      <c r="L1916" s="847"/>
      <c r="M1916" s="846">
        <v>185537</v>
      </c>
      <c r="N1916" s="846"/>
      <c r="O1916" s="737">
        <f t="shared" si="239"/>
        <v>185537</v>
      </c>
      <c r="P1916" s="847">
        <v>222741</v>
      </c>
      <c r="Q1916" s="847"/>
      <c r="R1916" s="738">
        <f t="shared" si="242"/>
        <v>222741</v>
      </c>
      <c r="S1916" s="737">
        <f t="shared" si="243"/>
        <v>2007189</v>
      </c>
      <c r="T1916" s="739">
        <f t="shared" si="244"/>
        <v>2205921</v>
      </c>
      <c r="U1916" s="846"/>
      <c r="V1916" s="847"/>
      <c r="W1916" s="846"/>
      <c r="X1916" s="846"/>
      <c r="Y1916" s="740">
        <f t="shared" si="240"/>
        <v>0</v>
      </c>
      <c r="Z1916" s="847"/>
      <c r="AA1916" s="847"/>
      <c r="AB1916" s="741">
        <f t="shared" si="241"/>
        <v>0</v>
      </c>
      <c r="AC1916" s="846"/>
      <c r="AD1916" s="847"/>
      <c r="AE1916" s="846"/>
      <c r="AF1916" s="846"/>
      <c r="AG1916" s="847"/>
      <c r="AH1916" s="847"/>
      <c r="AI1916" s="742">
        <f t="shared" si="245"/>
        <v>2007189</v>
      </c>
      <c r="AJ1916" s="743">
        <f t="shared" si="246"/>
        <v>2205921</v>
      </c>
    </row>
    <row r="1917" spans="1:36">
      <c r="A1917" s="840" t="s">
        <v>153</v>
      </c>
      <c r="B1917" s="841" t="s">
        <v>264</v>
      </c>
      <c r="C1917" s="841" t="s">
        <v>1348</v>
      </c>
      <c r="D1917" s="872"/>
      <c r="E1917" s="844">
        <v>199740</v>
      </c>
      <c r="F1917" s="845">
        <v>9</v>
      </c>
      <c r="G1917" s="846">
        <v>9635241</v>
      </c>
      <c r="H1917" s="847">
        <v>9855366</v>
      </c>
      <c r="I1917" s="846"/>
      <c r="J1917" s="847"/>
      <c r="K1917" s="846">
        <v>1267820</v>
      </c>
      <c r="L1917" s="847">
        <v>1312498</v>
      </c>
      <c r="M1917" s="846">
        <v>4186499</v>
      </c>
      <c r="N1917" s="846"/>
      <c r="O1917" s="737">
        <f t="shared" si="239"/>
        <v>4186499</v>
      </c>
      <c r="P1917" s="847">
        <v>3960429</v>
      </c>
      <c r="Q1917" s="847"/>
      <c r="R1917" s="738">
        <f t="shared" si="242"/>
        <v>3960429</v>
      </c>
      <c r="S1917" s="737">
        <f t="shared" si="243"/>
        <v>15089560</v>
      </c>
      <c r="T1917" s="739">
        <f t="shared" si="244"/>
        <v>15128293</v>
      </c>
      <c r="U1917" s="846"/>
      <c r="V1917" s="847"/>
      <c r="W1917" s="846"/>
      <c r="X1917" s="846"/>
      <c r="Y1917" s="740">
        <f t="shared" si="240"/>
        <v>0</v>
      </c>
      <c r="Z1917" s="847"/>
      <c r="AA1917" s="847"/>
      <c r="AB1917" s="741">
        <f t="shared" si="241"/>
        <v>0</v>
      </c>
      <c r="AC1917" s="846"/>
      <c r="AD1917" s="847"/>
      <c r="AE1917" s="846"/>
      <c r="AF1917" s="846"/>
      <c r="AG1917" s="847"/>
      <c r="AH1917" s="847"/>
      <c r="AI1917" s="742">
        <f t="shared" si="245"/>
        <v>15089560</v>
      </c>
      <c r="AJ1917" s="743">
        <f t="shared" si="246"/>
        <v>15128293</v>
      </c>
    </row>
    <row r="1918" spans="1:36">
      <c r="A1918" s="840" t="s">
        <v>153</v>
      </c>
      <c r="B1918" s="841" t="s">
        <v>264</v>
      </c>
      <c r="C1918" s="848" t="s">
        <v>1320</v>
      </c>
      <c r="D1918" s="849"/>
      <c r="E1918" s="844">
        <v>199740</v>
      </c>
      <c r="F1918" s="845">
        <v>9</v>
      </c>
      <c r="G1918" s="846"/>
      <c r="H1918" s="847"/>
      <c r="I1918" s="846"/>
      <c r="J1918" s="847"/>
      <c r="K1918" s="846"/>
      <c r="L1918" s="847"/>
      <c r="M1918" s="846"/>
      <c r="N1918" s="846"/>
      <c r="O1918" s="737">
        <f t="shared" si="239"/>
        <v>0</v>
      </c>
      <c r="P1918" s="847"/>
      <c r="Q1918" s="847"/>
      <c r="R1918" s="738">
        <f t="shared" si="242"/>
        <v>0</v>
      </c>
      <c r="S1918" s="737">
        <f t="shared" si="243"/>
        <v>0</v>
      </c>
      <c r="T1918" s="739">
        <f t="shared" si="244"/>
        <v>0</v>
      </c>
      <c r="U1918" s="846"/>
      <c r="V1918" s="847"/>
      <c r="W1918" s="846"/>
      <c r="X1918" s="846"/>
      <c r="Y1918" s="740">
        <f t="shared" si="240"/>
        <v>0</v>
      </c>
      <c r="Z1918" s="847"/>
      <c r="AA1918" s="847"/>
      <c r="AB1918" s="741">
        <f t="shared" si="241"/>
        <v>0</v>
      </c>
      <c r="AC1918" s="846"/>
      <c r="AD1918" s="847"/>
      <c r="AE1918" s="846"/>
      <c r="AF1918" s="846"/>
      <c r="AG1918" s="847"/>
      <c r="AH1918" s="847"/>
      <c r="AI1918" s="742">
        <f t="shared" si="245"/>
        <v>0</v>
      </c>
      <c r="AJ1918" s="743">
        <f t="shared" si="246"/>
        <v>0</v>
      </c>
    </row>
    <row r="1919" spans="1:36">
      <c r="A1919" s="840" t="s">
        <v>153</v>
      </c>
      <c r="B1919" s="841" t="s">
        <v>266</v>
      </c>
      <c r="C1919" s="848" t="s">
        <v>319</v>
      </c>
      <c r="D1919" s="849"/>
      <c r="E1919" s="844">
        <v>199740</v>
      </c>
      <c r="F1919" s="845">
        <v>9</v>
      </c>
      <c r="G1919" s="846"/>
      <c r="H1919" s="847"/>
      <c r="I1919" s="846">
        <v>149314</v>
      </c>
      <c r="J1919" s="847">
        <v>150095</v>
      </c>
      <c r="K1919" s="846"/>
      <c r="L1919" s="847"/>
      <c r="M1919" s="846"/>
      <c r="N1919" s="846"/>
      <c r="O1919" s="737">
        <f t="shared" si="239"/>
        <v>0</v>
      </c>
      <c r="P1919" s="847"/>
      <c r="Q1919" s="847"/>
      <c r="R1919" s="738">
        <f t="shared" si="242"/>
        <v>0</v>
      </c>
      <c r="S1919" s="737">
        <f t="shared" si="243"/>
        <v>149314</v>
      </c>
      <c r="T1919" s="739">
        <f t="shared" si="244"/>
        <v>150095</v>
      </c>
      <c r="U1919" s="846"/>
      <c r="V1919" s="847"/>
      <c r="W1919" s="846"/>
      <c r="X1919" s="846"/>
      <c r="Y1919" s="740">
        <f t="shared" si="240"/>
        <v>0</v>
      </c>
      <c r="Z1919" s="847"/>
      <c r="AA1919" s="847"/>
      <c r="AB1919" s="741">
        <f t="shared" si="241"/>
        <v>0</v>
      </c>
      <c r="AC1919" s="846"/>
      <c r="AD1919" s="847"/>
      <c r="AE1919" s="846"/>
      <c r="AF1919" s="846"/>
      <c r="AG1919" s="847"/>
      <c r="AH1919" s="847"/>
      <c r="AI1919" s="742">
        <f t="shared" si="245"/>
        <v>149314</v>
      </c>
      <c r="AJ1919" s="743">
        <f t="shared" si="246"/>
        <v>150095</v>
      </c>
    </row>
    <row r="1920" spans="1:36">
      <c r="A1920" s="840" t="s">
        <v>153</v>
      </c>
      <c r="B1920" s="841" t="s">
        <v>275</v>
      </c>
      <c r="C1920" s="848" t="s">
        <v>258</v>
      </c>
      <c r="D1920" s="849"/>
      <c r="E1920" s="844">
        <v>199740</v>
      </c>
      <c r="F1920" s="845">
        <v>9</v>
      </c>
      <c r="G1920" s="846"/>
      <c r="H1920" s="847"/>
      <c r="I1920" s="846">
        <v>1831012</v>
      </c>
      <c r="J1920" s="847">
        <v>1749563</v>
      </c>
      <c r="K1920" s="846"/>
      <c r="L1920" s="847"/>
      <c r="M1920" s="846">
        <v>281155</v>
      </c>
      <c r="N1920" s="846"/>
      <c r="O1920" s="737">
        <f t="shared" si="239"/>
        <v>281155</v>
      </c>
      <c r="P1920" s="847">
        <v>275923</v>
      </c>
      <c r="Q1920" s="847"/>
      <c r="R1920" s="738">
        <f t="shared" si="242"/>
        <v>275923</v>
      </c>
      <c r="S1920" s="737">
        <f t="shared" si="243"/>
        <v>2112167</v>
      </c>
      <c r="T1920" s="739">
        <f t="shared" si="244"/>
        <v>2025486</v>
      </c>
      <c r="U1920" s="846"/>
      <c r="V1920" s="847"/>
      <c r="W1920" s="846"/>
      <c r="X1920" s="846"/>
      <c r="Y1920" s="740">
        <f t="shared" si="240"/>
        <v>0</v>
      </c>
      <c r="Z1920" s="847"/>
      <c r="AA1920" s="847"/>
      <c r="AB1920" s="741">
        <f t="shared" si="241"/>
        <v>0</v>
      </c>
      <c r="AC1920" s="846"/>
      <c r="AD1920" s="847"/>
      <c r="AE1920" s="846"/>
      <c r="AF1920" s="846"/>
      <c r="AG1920" s="847"/>
      <c r="AH1920" s="847"/>
      <c r="AI1920" s="742">
        <f t="shared" si="245"/>
        <v>2112167</v>
      </c>
      <c r="AJ1920" s="743">
        <f t="shared" si="246"/>
        <v>2025486</v>
      </c>
    </row>
    <row r="1921" spans="1:36">
      <c r="A1921" s="840" t="s">
        <v>153</v>
      </c>
      <c r="B1921" s="841" t="s">
        <v>264</v>
      </c>
      <c r="C1921" s="841" t="s">
        <v>1349</v>
      </c>
      <c r="D1921" s="872"/>
      <c r="E1921" s="844">
        <v>199768</v>
      </c>
      <c r="F1921" s="845">
        <v>9</v>
      </c>
      <c r="G1921" s="846">
        <v>10491372</v>
      </c>
      <c r="H1921" s="847">
        <v>11124138</v>
      </c>
      <c r="I1921" s="846"/>
      <c r="J1921" s="847"/>
      <c r="K1921" s="846">
        <v>2462538</v>
      </c>
      <c r="L1921" s="847">
        <v>2462538</v>
      </c>
      <c r="M1921" s="846">
        <v>4935319</v>
      </c>
      <c r="N1921" s="846"/>
      <c r="O1921" s="737">
        <f t="shared" si="239"/>
        <v>4935319</v>
      </c>
      <c r="P1921" s="847">
        <v>4867647</v>
      </c>
      <c r="Q1921" s="847"/>
      <c r="R1921" s="738">
        <f t="shared" si="242"/>
        <v>4867647</v>
      </c>
      <c r="S1921" s="737">
        <f t="shared" si="243"/>
        <v>17889229</v>
      </c>
      <c r="T1921" s="739">
        <f t="shared" si="244"/>
        <v>18454323</v>
      </c>
      <c r="U1921" s="846"/>
      <c r="V1921" s="847"/>
      <c r="W1921" s="846"/>
      <c r="X1921" s="846"/>
      <c r="Y1921" s="740">
        <f t="shared" si="240"/>
        <v>0</v>
      </c>
      <c r="Z1921" s="847"/>
      <c r="AA1921" s="847"/>
      <c r="AB1921" s="741">
        <f t="shared" si="241"/>
        <v>0</v>
      </c>
      <c r="AC1921" s="846"/>
      <c r="AD1921" s="847"/>
      <c r="AE1921" s="846"/>
      <c r="AF1921" s="846"/>
      <c r="AG1921" s="847"/>
      <c r="AH1921" s="847"/>
      <c r="AI1921" s="742">
        <f t="shared" si="245"/>
        <v>17889229</v>
      </c>
      <c r="AJ1921" s="743">
        <f t="shared" si="246"/>
        <v>18454323</v>
      </c>
    </row>
    <row r="1922" spans="1:36">
      <c r="A1922" s="840" t="s">
        <v>153</v>
      </c>
      <c r="B1922" s="841" t="s">
        <v>264</v>
      </c>
      <c r="C1922" s="848" t="s">
        <v>1320</v>
      </c>
      <c r="D1922" s="849"/>
      <c r="E1922" s="844">
        <v>199768</v>
      </c>
      <c r="F1922" s="845">
        <v>9</v>
      </c>
      <c r="G1922" s="846"/>
      <c r="H1922" s="847"/>
      <c r="I1922" s="846"/>
      <c r="J1922" s="847"/>
      <c r="K1922" s="846"/>
      <c r="L1922" s="847"/>
      <c r="M1922" s="846"/>
      <c r="N1922" s="846"/>
      <c r="O1922" s="737">
        <f t="shared" si="239"/>
        <v>0</v>
      </c>
      <c r="P1922" s="847"/>
      <c r="Q1922" s="847"/>
      <c r="R1922" s="738">
        <f t="shared" si="242"/>
        <v>0</v>
      </c>
      <c r="S1922" s="737">
        <f t="shared" si="243"/>
        <v>0</v>
      </c>
      <c r="T1922" s="739">
        <f t="shared" si="244"/>
        <v>0</v>
      </c>
      <c r="U1922" s="846"/>
      <c r="V1922" s="847"/>
      <c r="W1922" s="846"/>
      <c r="X1922" s="846"/>
      <c r="Y1922" s="740">
        <f t="shared" si="240"/>
        <v>0</v>
      </c>
      <c r="Z1922" s="847"/>
      <c r="AA1922" s="847"/>
      <c r="AB1922" s="741">
        <f t="shared" si="241"/>
        <v>0</v>
      </c>
      <c r="AC1922" s="846"/>
      <c r="AD1922" s="847"/>
      <c r="AE1922" s="846"/>
      <c r="AF1922" s="846"/>
      <c r="AG1922" s="847"/>
      <c r="AH1922" s="847"/>
      <c r="AI1922" s="742">
        <f t="shared" si="245"/>
        <v>0</v>
      </c>
      <c r="AJ1922" s="743">
        <f t="shared" si="246"/>
        <v>0</v>
      </c>
    </row>
    <row r="1923" spans="1:36">
      <c r="A1923" s="840" t="s">
        <v>153</v>
      </c>
      <c r="B1923" s="841" t="s">
        <v>266</v>
      </c>
      <c r="C1923" s="848" t="s">
        <v>319</v>
      </c>
      <c r="D1923" s="849"/>
      <c r="E1923" s="844">
        <v>199768</v>
      </c>
      <c r="F1923" s="845">
        <v>9</v>
      </c>
      <c r="G1923" s="846"/>
      <c r="H1923" s="847"/>
      <c r="I1923" s="846">
        <v>149977</v>
      </c>
      <c r="J1923" s="847">
        <v>148701</v>
      </c>
      <c r="K1923" s="846"/>
      <c r="L1923" s="847"/>
      <c r="M1923" s="846"/>
      <c r="N1923" s="846"/>
      <c r="O1923" s="737">
        <f t="shared" si="239"/>
        <v>0</v>
      </c>
      <c r="P1923" s="847"/>
      <c r="Q1923" s="847"/>
      <c r="R1923" s="738">
        <f t="shared" si="242"/>
        <v>0</v>
      </c>
      <c r="S1923" s="737">
        <f t="shared" si="243"/>
        <v>149977</v>
      </c>
      <c r="T1923" s="739">
        <f t="shared" si="244"/>
        <v>148701</v>
      </c>
      <c r="U1923" s="846"/>
      <c r="V1923" s="847"/>
      <c r="W1923" s="846"/>
      <c r="X1923" s="846"/>
      <c r="Y1923" s="740">
        <f t="shared" si="240"/>
        <v>0</v>
      </c>
      <c r="Z1923" s="847"/>
      <c r="AA1923" s="847"/>
      <c r="AB1923" s="741">
        <f t="shared" si="241"/>
        <v>0</v>
      </c>
      <c r="AC1923" s="846"/>
      <c r="AD1923" s="847"/>
      <c r="AE1923" s="846"/>
      <c r="AF1923" s="846"/>
      <c r="AG1923" s="847"/>
      <c r="AH1923" s="847"/>
      <c r="AI1923" s="742">
        <f t="shared" si="245"/>
        <v>149977</v>
      </c>
      <c r="AJ1923" s="743">
        <f t="shared" si="246"/>
        <v>148701</v>
      </c>
    </row>
    <row r="1924" spans="1:36">
      <c r="A1924" s="840" t="s">
        <v>153</v>
      </c>
      <c r="B1924" s="841" t="s">
        <v>275</v>
      </c>
      <c r="C1924" s="848" t="s">
        <v>258</v>
      </c>
      <c r="D1924" s="849"/>
      <c r="E1924" s="844">
        <v>199768</v>
      </c>
      <c r="F1924" s="845">
        <v>9</v>
      </c>
      <c r="G1924" s="846"/>
      <c r="H1924" s="847"/>
      <c r="I1924" s="846">
        <v>2027519</v>
      </c>
      <c r="J1924" s="847">
        <v>2028946</v>
      </c>
      <c r="K1924" s="846"/>
      <c r="L1924" s="847"/>
      <c r="M1924" s="846">
        <v>324214</v>
      </c>
      <c r="N1924" s="846"/>
      <c r="O1924" s="737">
        <f t="shared" si="239"/>
        <v>324214</v>
      </c>
      <c r="P1924" s="847">
        <v>304704</v>
      </c>
      <c r="Q1924" s="847"/>
      <c r="R1924" s="738">
        <f t="shared" si="242"/>
        <v>304704</v>
      </c>
      <c r="S1924" s="737">
        <f t="shared" si="243"/>
        <v>2351733</v>
      </c>
      <c r="T1924" s="739">
        <f t="shared" si="244"/>
        <v>2333650</v>
      </c>
      <c r="U1924" s="846"/>
      <c r="V1924" s="847"/>
      <c r="W1924" s="846"/>
      <c r="X1924" s="846"/>
      <c r="Y1924" s="740">
        <f t="shared" si="240"/>
        <v>0</v>
      </c>
      <c r="Z1924" s="847"/>
      <c r="AA1924" s="847"/>
      <c r="AB1924" s="741">
        <f t="shared" si="241"/>
        <v>0</v>
      </c>
      <c r="AC1924" s="846"/>
      <c r="AD1924" s="847"/>
      <c r="AE1924" s="846"/>
      <c r="AF1924" s="846"/>
      <c r="AG1924" s="847"/>
      <c r="AH1924" s="847"/>
      <c r="AI1924" s="742">
        <f t="shared" si="245"/>
        <v>2351733</v>
      </c>
      <c r="AJ1924" s="743">
        <f t="shared" si="246"/>
        <v>2333650</v>
      </c>
    </row>
    <row r="1925" spans="1:36">
      <c r="A1925" s="840" t="s">
        <v>153</v>
      </c>
      <c r="B1925" s="841" t="s">
        <v>264</v>
      </c>
      <c r="C1925" s="841" t="s">
        <v>1350</v>
      </c>
      <c r="D1925" s="872"/>
      <c r="E1925" s="844">
        <v>199838</v>
      </c>
      <c r="F1925" s="845">
        <v>9</v>
      </c>
      <c r="G1925" s="846">
        <v>12564212</v>
      </c>
      <c r="H1925" s="847">
        <v>12824425</v>
      </c>
      <c r="I1925" s="846"/>
      <c r="J1925" s="847"/>
      <c r="K1925" s="846">
        <v>2168622</v>
      </c>
      <c r="L1925" s="847">
        <v>2351262</v>
      </c>
      <c r="M1925" s="846">
        <v>5470190</v>
      </c>
      <c r="N1925" s="846"/>
      <c r="O1925" s="737">
        <f t="shared" si="239"/>
        <v>5470190</v>
      </c>
      <c r="P1925" s="847">
        <v>5180984</v>
      </c>
      <c r="Q1925" s="847"/>
      <c r="R1925" s="738">
        <f t="shared" si="242"/>
        <v>5180984</v>
      </c>
      <c r="S1925" s="737">
        <f t="shared" si="243"/>
        <v>20203024</v>
      </c>
      <c r="T1925" s="739">
        <f t="shared" si="244"/>
        <v>20356671</v>
      </c>
      <c r="U1925" s="846"/>
      <c r="V1925" s="847"/>
      <c r="W1925" s="846"/>
      <c r="X1925" s="846"/>
      <c r="Y1925" s="740">
        <f t="shared" si="240"/>
        <v>0</v>
      </c>
      <c r="Z1925" s="847"/>
      <c r="AA1925" s="847"/>
      <c r="AB1925" s="741">
        <f t="shared" si="241"/>
        <v>0</v>
      </c>
      <c r="AC1925" s="846"/>
      <c r="AD1925" s="847"/>
      <c r="AE1925" s="846"/>
      <c r="AF1925" s="846"/>
      <c r="AG1925" s="847"/>
      <c r="AH1925" s="847"/>
      <c r="AI1925" s="742">
        <f t="shared" si="245"/>
        <v>20203024</v>
      </c>
      <c r="AJ1925" s="743">
        <f t="shared" si="246"/>
        <v>20356671</v>
      </c>
    </row>
    <row r="1926" spans="1:36">
      <c r="A1926" s="840" t="s">
        <v>153</v>
      </c>
      <c r="B1926" s="841" t="s">
        <v>264</v>
      </c>
      <c r="C1926" s="848" t="s">
        <v>1320</v>
      </c>
      <c r="D1926" s="849"/>
      <c r="E1926" s="844">
        <v>199838</v>
      </c>
      <c r="F1926" s="845">
        <v>9</v>
      </c>
      <c r="G1926" s="846"/>
      <c r="H1926" s="847"/>
      <c r="I1926" s="846"/>
      <c r="J1926" s="847"/>
      <c r="K1926" s="846"/>
      <c r="L1926" s="847"/>
      <c r="M1926" s="846"/>
      <c r="N1926" s="846"/>
      <c r="O1926" s="737">
        <f t="shared" si="239"/>
        <v>0</v>
      </c>
      <c r="P1926" s="847"/>
      <c r="Q1926" s="847"/>
      <c r="R1926" s="738">
        <f t="shared" si="242"/>
        <v>0</v>
      </c>
      <c r="S1926" s="737">
        <f t="shared" si="243"/>
        <v>0</v>
      </c>
      <c r="T1926" s="739">
        <f t="shared" si="244"/>
        <v>0</v>
      </c>
      <c r="U1926" s="846"/>
      <c r="V1926" s="847"/>
      <c r="W1926" s="846"/>
      <c r="X1926" s="846"/>
      <c r="Y1926" s="740">
        <f t="shared" si="240"/>
        <v>0</v>
      </c>
      <c r="Z1926" s="847"/>
      <c r="AA1926" s="847"/>
      <c r="AB1926" s="741">
        <f t="shared" si="241"/>
        <v>0</v>
      </c>
      <c r="AC1926" s="846"/>
      <c r="AD1926" s="847"/>
      <c r="AE1926" s="846"/>
      <c r="AF1926" s="846"/>
      <c r="AG1926" s="847"/>
      <c r="AH1926" s="847"/>
      <c r="AI1926" s="742">
        <f t="shared" si="245"/>
        <v>0</v>
      </c>
      <c r="AJ1926" s="743">
        <f t="shared" si="246"/>
        <v>0</v>
      </c>
    </row>
    <row r="1927" spans="1:36">
      <c r="A1927" s="840" t="s">
        <v>153</v>
      </c>
      <c r="B1927" s="841" t="s">
        <v>266</v>
      </c>
      <c r="C1927" s="848" t="s">
        <v>319</v>
      </c>
      <c r="D1927" s="849"/>
      <c r="E1927" s="844">
        <v>199838</v>
      </c>
      <c r="F1927" s="845">
        <v>9</v>
      </c>
      <c r="G1927" s="846"/>
      <c r="H1927" s="847"/>
      <c r="I1927" s="846">
        <v>161760</v>
      </c>
      <c r="J1927" s="847">
        <v>163974</v>
      </c>
      <c r="K1927" s="846"/>
      <c r="L1927" s="847"/>
      <c r="M1927" s="846"/>
      <c r="N1927" s="846"/>
      <c r="O1927" s="737">
        <f t="shared" si="239"/>
        <v>0</v>
      </c>
      <c r="P1927" s="847"/>
      <c r="Q1927" s="847"/>
      <c r="R1927" s="738">
        <f t="shared" si="242"/>
        <v>0</v>
      </c>
      <c r="S1927" s="737">
        <f t="shared" si="243"/>
        <v>161760</v>
      </c>
      <c r="T1927" s="739">
        <f t="shared" si="244"/>
        <v>163974</v>
      </c>
      <c r="U1927" s="846"/>
      <c r="V1927" s="847"/>
      <c r="W1927" s="846"/>
      <c r="X1927" s="846"/>
      <c r="Y1927" s="740">
        <f t="shared" si="240"/>
        <v>0</v>
      </c>
      <c r="Z1927" s="847"/>
      <c r="AA1927" s="847"/>
      <c r="AB1927" s="741">
        <f t="shared" si="241"/>
        <v>0</v>
      </c>
      <c r="AC1927" s="846"/>
      <c r="AD1927" s="847"/>
      <c r="AE1927" s="846"/>
      <c r="AF1927" s="846"/>
      <c r="AG1927" s="847"/>
      <c r="AH1927" s="847"/>
      <c r="AI1927" s="742">
        <f t="shared" si="245"/>
        <v>161760</v>
      </c>
      <c r="AJ1927" s="743">
        <f t="shared" si="246"/>
        <v>163974</v>
      </c>
    </row>
    <row r="1928" spans="1:36">
      <c r="A1928" s="840" t="s">
        <v>153</v>
      </c>
      <c r="B1928" s="841" t="s">
        <v>275</v>
      </c>
      <c r="C1928" s="848" t="s">
        <v>258</v>
      </c>
      <c r="D1928" s="849"/>
      <c r="E1928" s="844">
        <v>199838</v>
      </c>
      <c r="F1928" s="845">
        <v>9</v>
      </c>
      <c r="G1928" s="846"/>
      <c r="H1928" s="847"/>
      <c r="I1928" s="846">
        <v>3069389</v>
      </c>
      <c r="J1928" s="847">
        <v>2647957</v>
      </c>
      <c r="K1928" s="846"/>
      <c r="L1928" s="847"/>
      <c r="M1928" s="846">
        <v>389437</v>
      </c>
      <c r="N1928" s="846"/>
      <c r="O1928" s="737">
        <f t="shared" si="239"/>
        <v>389437</v>
      </c>
      <c r="P1928" s="847">
        <v>356010</v>
      </c>
      <c r="Q1928" s="847"/>
      <c r="R1928" s="738">
        <f t="shared" si="242"/>
        <v>356010</v>
      </c>
      <c r="S1928" s="737">
        <f t="shared" si="243"/>
        <v>3458826</v>
      </c>
      <c r="T1928" s="739">
        <f t="shared" si="244"/>
        <v>3003967</v>
      </c>
      <c r="U1928" s="846"/>
      <c r="V1928" s="847"/>
      <c r="W1928" s="846"/>
      <c r="X1928" s="846"/>
      <c r="Y1928" s="740">
        <f t="shared" si="240"/>
        <v>0</v>
      </c>
      <c r="Z1928" s="847"/>
      <c r="AA1928" s="847"/>
      <c r="AB1928" s="741">
        <f t="shared" si="241"/>
        <v>0</v>
      </c>
      <c r="AC1928" s="846"/>
      <c r="AD1928" s="847"/>
      <c r="AE1928" s="846"/>
      <c r="AF1928" s="846"/>
      <c r="AG1928" s="847"/>
      <c r="AH1928" s="847"/>
      <c r="AI1928" s="742">
        <f t="shared" si="245"/>
        <v>3458826</v>
      </c>
      <c r="AJ1928" s="743">
        <f t="shared" si="246"/>
        <v>3003967</v>
      </c>
    </row>
    <row r="1929" spans="1:36">
      <c r="A1929" s="840" t="s">
        <v>153</v>
      </c>
      <c r="B1929" s="841" t="s">
        <v>264</v>
      </c>
      <c r="C1929" s="841" t="s">
        <v>1351</v>
      </c>
      <c r="D1929" s="872"/>
      <c r="E1929" s="844">
        <v>199892</v>
      </c>
      <c r="F1929" s="845">
        <v>9</v>
      </c>
      <c r="G1929" s="846">
        <v>11858514</v>
      </c>
      <c r="H1929" s="847">
        <v>12827920</v>
      </c>
      <c r="I1929" s="846"/>
      <c r="J1929" s="847"/>
      <c r="K1929" s="846">
        <v>3318403</v>
      </c>
      <c r="L1929" s="847">
        <v>3364685</v>
      </c>
      <c r="M1929" s="846">
        <v>5709522</v>
      </c>
      <c r="N1929" s="846"/>
      <c r="O1929" s="737">
        <f t="shared" si="239"/>
        <v>5709522</v>
      </c>
      <c r="P1929" s="847">
        <v>5782153</v>
      </c>
      <c r="Q1929" s="847"/>
      <c r="R1929" s="738">
        <f t="shared" si="242"/>
        <v>5782153</v>
      </c>
      <c r="S1929" s="737">
        <f t="shared" si="243"/>
        <v>20886439</v>
      </c>
      <c r="T1929" s="739">
        <f t="shared" si="244"/>
        <v>21974758</v>
      </c>
      <c r="U1929" s="846"/>
      <c r="V1929" s="847"/>
      <c r="W1929" s="846"/>
      <c r="X1929" s="846"/>
      <c r="Y1929" s="740">
        <f t="shared" si="240"/>
        <v>0</v>
      </c>
      <c r="Z1929" s="847"/>
      <c r="AA1929" s="847"/>
      <c r="AB1929" s="741">
        <f t="shared" si="241"/>
        <v>0</v>
      </c>
      <c r="AC1929" s="846"/>
      <c r="AD1929" s="847"/>
      <c r="AE1929" s="846"/>
      <c r="AF1929" s="846"/>
      <c r="AG1929" s="847"/>
      <c r="AH1929" s="847"/>
      <c r="AI1929" s="742">
        <f t="shared" si="245"/>
        <v>20886439</v>
      </c>
      <c r="AJ1929" s="743">
        <f t="shared" si="246"/>
        <v>21974758</v>
      </c>
    </row>
    <row r="1930" spans="1:36">
      <c r="A1930" s="840" t="s">
        <v>153</v>
      </c>
      <c r="B1930" s="841" t="s">
        <v>264</v>
      </c>
      <c r="C1930" s="848" t="s">
        <v>1320</v>
      </c>
      <c r="D1930" s="849"/>
      <c r="E1930" s="844">
        <v>199892</v>
      </c>
      <c r="F1930" s="845">
        <v>9</v>
      </c>
      <c r="G1930" s="846"/>
      <c r="H1930" s="847"/>
      <c r="I1930" s="846"/>
      <c r="J1930" s="847"/>
      <c r="K1930" s="846"/>
      <c r="L1930" s="847"/>
      <c r="M1930" s="846"/>
      <c r="N1930" s="846"/>
      <c r="O1930" s="737">
        <f t="shared" ref="O1930:O1993" si="247">SUM(M1930:N1930)</f>
        <v>0</v>
      </c>
      <c r="P1930" s="847"/>
      <c r="Q1930" s="847"/>
      <c r="R1930" s="738">
        <f t="shared" si="242"/>
        <v>0</v>
      </c>
      <c r="S1930" s="737">
        <f t="shared" si="243"/>
        <v>0</v>
      </c>
      <c r="T1930" s="739">
        <f t="shared" si="244"/>
        <v>0</v>
      </c>
      <c r="U1930" s="846"/>
      <c r="V1930" s="847"/>
      <c r="W1930" s="846"/>
      <c r="X1930" s="846"/>
      <c r="Y1930" s="740">
        <f t="shared" ref="Y1930:Y1993" si="248">SUM(W1930:X1930)</f>
        <v>0</v>
      </c>
      <c r="Z1930" s="847"/>
      <c r="AA1930" s="847"/>
      <c r="AB1930" s="741">
        <f t="shared" ref="AB1930:AB1993" si="249">SUM(Z1930:AA1930)</f>
        <v>0</v>
      </c>
      <c r="AC1930" s="846"/>
      <c r="AD1930" s="847"/>
      <c r="AE1930" s="846"/>
      <c r="AF1930" s="846"/>
      <c r="AG1930" s="847"/>
      <c r="AH1930" s="847"/>
      <c r="AI1930" s="742">
        <f t="shared" si="245"/>
        <v>0</v>
      </c>
      <c r="AJ1930" s="743">
        <f t="shared" si="246"/>
        <v>0</v>
      </c>
    </row>
    <row r="1931" spans="1:36">
      <c r="A1931" s="840" t="s">
        <v>153</v>
      </c>
      <c r="B1931" s="841" t="s">
        <v>266</v>
      </c>
      <c r="C1931" s="848" t="s">
        <v>319</v>
      </c>
      <c r="D1931" s="849"/>
      <c r="E1931" s="844">
        <v>199892</v>
      </c>
      <c r="F1931" s="845">
        <v>9</v>
      </c>
      <c r="G1931" s="846"/>
      <c r="H1931" s="847"/>
      <c r="I1931" s="846">
        <v>152463</v>
      </c>
      <c r="J1931" s="847">
        <v>154967</v>
      </c>
      <c r="K1931" s="846"/>
      <c r="L1931" s="847"/>
      <c r="M1931" s="846"/>
      <c r="N1931" s="846"/>
      <c r="O1931" s="737">
        <f t="shared" si="247"/>
        <v>0</v>
      </c>
      <c r="P1931" s="847"/>
      <c r="Q1931" s="847"/>
      <c r="R1931" s="738">
        <f t="shared" ref="R1931:R1994" si="250">SUM(P1931:Q1931)</f>
        <v>0</v>
      </c>
      <c r="S1931" s="737">
        <f t="shared" ref="S1931:S1994" si="251">SUM(G1931,I1931,K1931,M1931)</f>
        <v>152463</v>
      </c>
      <c r="T1931" s="739">
        <f t="shared" ref="T1931:T1994" si="252">SUM(H1931,J1931,L1931,P1931)</f>
        <v>154967</v>
      </c>
      <c r="U1931" s="846"/>
      <c r="V1931" s="847"/>
      <c r="W1931" s="846"/>
      <c r="X1931" s="846"/>
      <c r="Y1931" s="740">
        <f t="shared" si="248"/>
        <v>0</v>
      </c>
      <c r="Z1931" s="847"/>
      <c r="AA1931" s="847"/>
      <c r="AB1931" s="741">
        <f t="shared" si="249"/>
        <v>0</v>
      </c>
      <c r="AC1931" s="846"/>
      <c r="AD1931" s="847"/>
      <c r="AE1931" s="846"/>
      <c r="AF1931" s="846"/>
      <c r="AG1931" s="847"/>
      <c r="AH1931" s="847"/>
      <c r="AI1931" s="742">
        <f t="shared" ref="AI1931:AI1994" si="253">SUM(S1931,U1931,W1931,AC1931,AE1931)</f>
        <v>152463</v>
      </c>
      <c r="AJ1931" s="743">
        <f t="shared" ref="AJ1931:AJ1994" si="254">SUM(T1931,V1931,Z1931,AD1931,AG1931)</f>
        <v>154967</v>
      </c>
    </row>
    <row r="1932" spans="1:36">
      <c r="A1932" s="840" t="s">
        <v>153</v>
      </c>
      <c r="B1932" s="841" t="s">
        <v>275</v>
      </c>
      <c r="C1932" s="848" t="s">
        <v>258</v>
      </c>
      <c r="D1932" s="849"/>
      <c r="E1932" s="844">
        <v>199892</v>
      </c>
      <c r="F1932" s="845">
        <v>9</v>
      </c>
      <c r="G1932" s="846"/>
      <c r="H1932" s="847"/>
      <c r="I1932" s="846">
        <v>2254643</v>
      </c>
      <c r="J1932" s="847">
        <v>2180461</v>
      </c>
      <c r="K1932" s="846"/>
      <c r="L1932" s="847"/>
      <c r="M1932" s="846">
        <v>314716</v>
      </c>
      <c r="N1932" s="846"/>
      <c r="O1932" s="737">
        <f t="shared" si="247"/>
        <v>314716</v>
      </c>
      <c r="P1932" s="847">
        <v>276549</v>
      </c>
      <c r="Q1932" s="847"/>
      <c r="R1932" s="738">
        <f t="shared" si="250"/>
        <v>276549</v>
      </c>
      <c r="S1932" s="737">
        <f t="shared" si="251"/>
        <v>2569359</v>
      </c>
      <c r="T1932" s="739">
        <f t="shared" si="252"/>
        <v>2457010</v>
      </c>
      <c r="U1932" s="846"/>
      <c r="V1932" s="847"/>
      <c r="W1932" s="846"/>
      <c r="X1932" s="846"/>
      <c r="Y1932" s="740">
        <f t="shared" si="248"/>
        <v>0</v>
      </c>
      <c r="Z1932" s="847"/>
      <c r="AA1932" s="847"/>
      <c r="AB1932" s="741">
        <f t="shared" si="249"/>
        <v>0</v>
      </c>
      <c r="AC1932" s="846"/>
      <c r="AD1932" s="847"/>
      <c r="AE1932" s="846"/>
      <c r="AF1932" s="846"/>
      <c r="AG1932" s="847"/>
      <c r="AH1932" s="847"/>
      <c r="AI1932" s="742">
        <f t="shared" si="253"/>
        <v>2569359</v>
      </c>
      <c r="AJ1932" s="743">
        <f t="shared" si="254"/>
        <v>2457010</v>
      </c>
    </row>
    <row r="1933" spans="1:36">
      <c r="A1933" s="840" t="s">
        <v>153</v>
      </c>
      <c r="B1933" s="841" t="s">
        <v>264</v>
      </c>
      <c r="C1933" s="841" t="s">
        <v>1352</v>
      </c>
      <c r="D1933" s="872"/>
      <c r="E1933" s="844">
        <v>199908</v>
      </c>
      <c r="F1933" s="845">
        <v>9</v>
      </c>
      <c r="G1933" s="846">
        <v>9557563</v>
      </c>
      <c r="H1933" s="847">
        <v>9135441</v>
      </c>
      <c r="I1933" s="846"/>
      <c r="J1933" s="847"/>
      <c r="K1933" s="846">
        <v>2182000</v>
      </c>
      <c r="L1933" s="847">
        <v>2431329</v>
      </c>
      <c r="M1933" s="846">
        <v>4171994</v>
      </c>
      <c r="N1933" s="846"/>
      <c r="O1933" s="737">
        <f t="shared" si="247"/>
        <v>4171994</v>
      </c>
      <c r="P1933" s="847">
        <v>3730891</v>
      </c>
      <c r="Q1933" s="847"/>
      <c r="R1933" s="738">
        <f t="shared" si="250"/>
        <v>3730891</v>
      </c>
      <c r="S1933" s="737">
        <f t="shared" si="251"/>
        <v>15911557</v>
      </c>
      <c r="T1933" s="739">
        <f t="shared" si="252"/>
        <v>15297661</v>
      </c>
      <c r="U1933" s="846"/>
      <c r="V1933" s="847"/>
      <c r="W1933" s="846"/>
      <c r="X1933" s="846"/>
      <c r="Y1933" s="740">
        <f t="shared" si="248"/>
        <v>0</v>
      </c>
      <c r="Z1933" s="847"/>
      <c r="AA1933" s="847"/>
      <c r="AB1933" s="741">
        <f t="shared" si="249"/>
        <v>0</v>
      </c>
      <c r="AC1933" s="846"/>
      <c r="AD1933" s="847"/>
      <c r="AE1933" s="846"/>
      <c r="AF1933" s="846"/>
      <c r="AG1933" s="847"/>
      <c r="AH1933" s="847"/>
      <c r="AI1933" s="742">
        <f t="shared" si="253"/>
        <v>15911557</v>
      </c>
      <c r="AJ1933" s="743">
        <f t="shared" si="254"/>
        <v>15297661</v>
      </c>
    </row>
    <row r="1934" spans="1:36">
      <c r="A1934" s="840" t="s">
        <v>153</v>
      </c>
      <c r="B1934" s="841" t="s">
        <v>264</v>
      </c>
      <c r="C1934" s="848" t="s">
        <v>1320</v>
      </c>
      <c r="D1934" s="849"/>
      <c r="E1934" s="844">
        <v>199908</v>
      </c>
      <c r="F1934" s="845">
        <v>9</v>
      </c>
      <c r="G1934" s="846"/>
      <c r="H1934" s="847"/>
      <c r="I1934" s="846"/>
      <c r="J1934" s="847"/>
      <c r="K1934" s="846"/>
      <c r="L1934" s="847"/>
      <c r="M1934" s="846"/>
      <c r="N1934" s="846"/>
      <c r="O1934" s="737">
        <f t="shared" si="247"/>
        <v>0</v>
      </c>
      <c r="P1934" s="847"/>
      <c r="Q1934" s="847"/>
      <c r="R1934" s="738">
        <f t="shared" si="250"/>
        <v>0</v>
      </c>
      <c r="S1934" s="737">
        <f t="shared" si="251"/>
        <v>0</v>
      </c>
      <c r="T1934" s="739">
        <f t="shared" si="252"/>
        <v>0</v>
      </c>
      <c r="U1934" s="846"/>
      <c r="V1934" s="847"/>
      <c r="W1934" s="846"/>
      <c r="X1934" s="846"/>
      <c r="Y1934" s="740">
        <f t="shared" si="248"/>
        <v>0</v>
      </c>
      <c r="Z1934" s="847"/>
      <c r="AA1934" s="847"/>
      <c r="AB1934" s="741">
        <f t="shared" si="249"/>
        <v>0</v>
      </c>
      <c r="AC1934" s="846"/>
      <c r="AD1934" s="847"/>
      <c r="AE1934" s="846"/>
      <c r="AF1934" s="846"/>
      <c r="AG1934" s="847"/>
      <c r="AH1934" s="847"/>
      <c r="AI1934" s="742">
        <f t="shared" si="253"/>
        <v>0</v>
      </c>
      <c r="AJ1934" s="743">
        <f t="shared" si="254"/>
        <v>0</v>
      </c>
    </row>
    <row r="1935" spans="1:36">
      <c r="A1935" s="840" t="s">
        <v>153</v>
      </c>
      <c r="B1935" s="841" t="s">
        <v>266</v>
      </c>
      <c r="C1935" s="848" t="s">
        <v>319</v>
      </c>
      <c r="D1935" s="849"/>
      <c r="E1935" s="844">
        <v>199908</v>
      </c>
      <c r="F1935" s="845">
        <v>9</v>
      </c>
      <c r="G1935" s="846"/>
      <c r="H1935" s="847"/>
      <c r="I1935" s="846">
        <v>158408</v>
      </c>
      <c r="J1935" s="847">
        <v>160209</v>
      </c>
      <c r="K1935" s="846"/>
      <c r="L1935" s="847"/>
      <c r="M1935" s="846"/>
      <c r="N1935" s="846"/>
      <c r="O1935" s="737">
        <f t="shared" si="247"/>
        <v>0</v>
      </c>
      <c r="P1935" s="847"/>
      <c r="Q1935" s="847"/>
      <c r="R1935" s="738">
        <f t="shared" si="250"/>
        <v>0</v>
      </c>
      <c r="S1935" s="737">
        <f t="shared" si="251"/>
        <v>158408</v>
      </c>
      <c r="T1935" s="739">
        <f t="shared" si="252"/>
        <v>160209</v>
      </c>
      <c r="U1935" s="846"/>
      <c r="V1935" s="847"/>
      <c r="W1935" s="846"/>
      <c r="X1935" s="846"/>
      <c r="Y1935" s="740">
        <f t="shared" si="248"/>
        <v>0</v>
      </c>
      <c r="Z1935" s="847"/>
      <c r="AA1935" s="847"/>
      <c r="AB1935" s="741">
        <f t="shared" si="249"/>
        <v>0</v>
      </c>
      <c r="AC1935" s="846"/>
      <c r="AD1935" s="847"/>
      <c r="AE1935" s="846"/>
      <c r="AF1935" s="846"/>
      <c r="AG1935" s="847"/>
      <c r="AH1935" s="847"/>
      <c r="AI1935" s="742">
        <f t="shared" si="253"/>
        <v>158408</v>
      </c>
      <c r="AJ1935" s="743">
        <f t="shared" si="254"/>
        <v>160209</v>
      </c>
    </row>
    <row r="1936" spans="1:36">
      <c r="A1936" s="840" t="s">
        <v>153</v>
      </c>
      <c r="B1936" s="841" t="s">
        <v>275</v>
      </c>
      <c r="C1936" s="848" t="s">
        <v>258</v>
      </c>
      <c r="D1936" s="849"/>
      <c r="E1936" s="844">
        <v>199908</v>
      </c>
      <c r="F1936" s="845">
        <v>9</v>
      </c>
      <c r="G1936" s="846"/>
      <c r="H1936" s="847"/>
      <c r="I1936" s="846">
        <v>2323033</v>
      </c>
      <c r="J1936" s="847">
        <v>2110943</v>
      </c>
      <c r="K1936" s="846"/>
      <c r="L1936" s="847"/>
      <c r="M1936" s="846">
        <v>233662</v>
      </c>
      <c r="N1936" s="846"/>
      <c r="O1936" s="737">
        <f t="shared" si="247"/>
        <v>233662</v>
      </c>
      <c r="P1936" s="847">
        <v>222741</v>
      </c>
      <c r="Q1936" s="847"/>
      <c r="R1936" s="738">
        <f t="shared" si="250"/>
        <v>222741</v>
      </c>
      <c r="S1936" s="737">
        <f t="shared" si="251"/>
        <v>2556695</v>
      </c>
      <c r="T1936" s="739">
        <f t="shared" si="252"/>
        <v>2333684</v>
      </c>
      <c r="U1936" s="846"/>
      <c r="V1936" s="847"/>
      <c r="W1936" s="846"/>
      <c r="X1936" s="846"/>
      <c r="Y1936" s="740">
        <f t="shared" si="248"/>
        <v>0</v>
      </c>
      <c r="Z1936" s="847"/>
      <c r="AA1936" s="847"/>
      <c r="AB1936" s="741">
        <f t="shared" si="249"/>
        <v>0</v>
      </c>
      <c r="AC1936" s="846"/>
      <c r="AD1936" s="847"/>
      <c r="AE1936" s="846"/>
      <c r="AF1936" s="846"/>
      <c r="AG1936" s="847"/>
      <c r="AH1936" s="847"/>
      <c r="AI1936" s="742">
        <f t="shared" si="253"/>
        <v>2556695</v>
      </c>
      <c r="AJ1936" s="743">
        <f t="shared" si="254"/>
        <v>2333684</v>
      </c>
    </row>
    <row r="1937" spans="1:36">
      <c r="A1937" s="840" t="s">
        <v>153</v>
      </c>
      <c r="B1937" s="841" t="s">
        <v>264</v>
      </c>
      <c r="C1937" s="841" t="s">
        <v>1353</v>
      </c>
      <c r="D1937" s="872"/>
      <c r="E1937" s="844">
        <v>199926</v>
      </c>
      <c r="F1937" s="845">
        <v>9</v>
      </c>
      <c r="G1937" s="846">
        <v>9880749</v>
      </c>
      <c r="H1937" s="847">
        <v>10826987</v>
      </c>
      <c r="I1937" s="846"/>
      <c r="J1937" s="847"/>
      <c r="K1937" s="846">
        <v>3806179</v>
      </c>
      <c r="L1937" s="847">
        <v>3905521</v>
      </c>
      <c r="M1937" s="846">
        <v>4242706</v>
      </c>
      <c r="N1937" s="846"/>
      <c r="O1937" s="737">
        <f t="shared" si="247"/>
        <v>4242706</v>
      </c>
      <c r="P1937" s="847">
        <v>4353921</v>
      </c>
      <c r="Q1937" s="847"/>
      <c r="R1937" s="738">
        <f t="shared" si="250"/>
        <v>4353921</v>
      </c>
      <c r="S1937" s="737">
        <f t="shared" si="251"/>
        <v>17929634</v>
      </c>
      <c r="T1937" s="739">
        <f t="shared" si="252"/>
        <v>19086429</v>
      </c>
      <c r="U1937" s="846"/>
      <c r="V1937" s="847"/>
      <c r="W1937" s="846"/>
      <c r="X1937" s="846"/>
      <c r="Y1937" s="740">
        <f t="shared" si="248"/>
        <v>0</v>
      </c>
      <c r="Z1937" s="847"/>
      <c r="AA1937" s="847"/>
      <c r="AB1937" s="741">
        <f t="shared" si="249"/>
        <v>0</v>
      </c>
      <c r="AC1937" s="846"/>
      <c r="AD1937" s="847"/>
      <c r="AE1937" s="846"/>
      <c r="AF1937" s="846"/>
      <c r="AG1937" s="847"/>
      <c r="AH1937" s="847"/>
      <c r="AI1937" s="742">
        <f t="shared" si="253"/>
        <v>17929634</v>
      </c>
      <c r="AJ1937" s="743">
        <f t="shared" si="254"/>
        <v>19086429</v>
      </c>
    </row>
    <row r="1938" spans="1:36">
      <c r="A1938" s="840" t="s">
        <v>153</v>
      </c>
      <c r="B1938" s="841" t="s">
        <v>264</v>
      </c>
      <c r="C1938" s="848" t="s">
        <v>1320</v>
      </c>
      <c r="D1938" s="849"/>
      <c r="E1938" s="844">
        <v>199926</v>
      </c>
      <c r="F1938" s="845">
        <v>9</v>
      </c>
      <c r="G1938" s="846"/>
      <c r="H1938" s="847"/>
      <c r="I1938" s="846"/>
      <c r="J1938" s="847"/>
      <c r="K1938" s="846"/>
      <c r="L1938" s="847"/>
      <c r="M1938" s="846"/>
      <c r="N1938" s="846"/>
      <c r="O1938" s="737">
        <f t="shared" si="247"/>
        <v>0</v>
      </c>
      <c r="P1938" s="847"/>
      <c r="Q1938" s="847"/>
      <c r="R1938" s="738">
        <f t="shared" si="250"/>
        <v>0</v>
      </c>
      <c r="S1938" s="737">
        <f t="shared" si="251"/>
        <v>0</v>
      </c>
      <c r="T1938" s="739">
        <f t="shared" si="252"/>
        <v>0</v>
      </c>
      <c r="U1938" s="846"/>
      <c r="V1938" s="847"/>
      <c r="W1938" s="846"/>
      <c r="X1938" s="846"/>
      <c r="Y1938" s="740">
        <f t="shared" si="248"/>
        <v>0</v>
      </c>
      <c r="Z1938" s="847"/>
      <c r="AA1938" s="847"/>
      <c r="AB1938" s="741">
        <f t="shared" si="249"/>
        <v>0</v>
      </c>
      <c r="AC1938" s="846"/>
      <c r="AD1938" s="847"/>
      <c r="AE1938" s="846"/>
      <c r="AF1938" s="846"/>
      <c r="AG1938" s="847"/>
      <c r="AH1938" s="847"/>
      <c r="AI1938" s="742">
        <f t="shared" si="253"/>
        <v>0</v>
      </c>
      <c r="AJ1938" s="743">
        <f t="shared" si="254"/>
        <v>0</v>
      </c>
    </row>
    <row r="1939" spans="1:36">
      <c r="A1939" s="840" t="s">
        <v>153</v>
      </c>
      <c r="B1939" s="841" t="s">
        <v>266</v>
      </c>
      <c r="C1939" s="848" t="s">
        <v>319</v>
      </c>
      <c r="D1939" s="849"/>
      <c r="E1939" s="844">
        <v>199926</v>
      </c>
      <c r="F1939" s="845">
        <v>9</v>
      </c>
      <c r="G1939" s="846"/>
      <c r="H1939" s="847"/>
      <c r="I1939" s="846">
        <v>149328</v>
      </c>
      <c r="J1939" s="847">
        <v>152540</v>
      </c>
      <c r="K1939" s="846"/>
      <c r="L1939" s="847"/>
      <c r="M1939" s="846"/>
      <c r="N1939" s="846"/>
      <c r="O1939" s="737">
        <f t="shared" si="247"/>
        <v>0</v>
      </c>
      <c r="P1939" s="847"/>
      <c r="Q1939" s="847"/>
      <c r="R1939" s="738">
        <f t="shared" si="250"/>
        <v>0</v>
      </c>
      <c r="S1939" s="737">
        <f t="shared" si="251"/>
        <v>149328</v>
      </c>
      <c r="T1939" s="739">
        <f t="shared" si="252"/>
        <v>152540</v>
      </c>
      <c r="U1939" s="846"/>
      <c r="V1939" s="847"/>
      <c r="W1939" s="846"/>
      <c r="X1939" s="846"/>
      <c r="Y1939" s="740">
        <f t="shared" si="248"/>
        <v>0</v>
      </c>
      <c r="Z1939" s="847"/>
      <c r="AA1939" s="847"/>
      <c r="AB1939" s="741">
        <f t="shared" si="249"/>
        <v>0</v>
      </c>
      <c r="AC1939" s="846"/>
      <c r="AD1939" s="847"/>
      <c r="AE1939" s="846"/>
      <c r="AF1939" s="846"/>
      <c r="AG1939" s="847"/>
      <c r="AH1939" s="847"/>
      <c r="AI1939" s="742">
        <f t="shared" si="253"/>
        <v>149328</v>
      </c>
      <c r="AJ1939" s="743">
        <f t="shared" si="254"/>
        <v>152540</v>
      </c>
    </row>
    <row r="1940" spans="1:36">
      <c r="A1940" s="840" t="s">
        <v>153</v>
      </c>
      <c r="B1940" s="841" t="s">
        <v>275</v>
      </c>
      <c r="C1940" s="848" t="s">
        <v>258</v>
      </c>
      <c r="D1940" s="849"/>
      <c r="E1940" s="844">
        <v>199926</v>
      </c>
      <c r="F1940" s="845">
        <v>9</v>
      </c>
      <c r="G1940" s="846"/>
      <c r="H1940" s="847"/>
      <c r="I1940" s="846">
        <v>2116589</v>
      </c>
      <c r="J1940" s="847">
        <v>1999142</v>
      </c>
      <c r="K1940" s="846"/>
      <c r="L1940" s="847"/>
      <c r="M1940" s="846">
        <v>324214</v>
      </c>
      <c r="N1940" s="846"/>
      <c r="O1940" s="737">
        <f t="shared" si="247"/>
        <v>324214</v>
      </c>
      <c r="P1940" s="847">
        <v>295945</v>
      </c>
      <c r="Q1940" s="847"/>
      <c r="R1940" s="738">
        <f t="shared" si="250"/>
        <v>295945</v>
      </c>
      <c r="S1940" s="737">
        <f t="shared" si="251"/>
        <v>2440803</v>
      </c>
      <c r="T1940" s="739">
        <f t="shared" si="252"/>
        <v>2295087</v>
      </c>
      <c r="U1940" s="846"/>
      <c r="V1940" s="847"/>
      <c r="W1940" s="846"/>
      <c r="X1940" s="846"/>
      <c r="Y1940" s="740">
        <f t="shared" si="248"/>
        <v>0</v>
      </c>
      <c r="Z1940" s="847"/>
      <c r="AA1940" s="847"/>
      <c r="AB1940" s="741">
        <f t="shared" si="249"/>
        <v>0</v>
      </c>
      <c r="AC1940" s="846"/>
      <c r="AD1940" s="847"/>
      <c r="AE1940" s="846"/>
      <c r="AF1940" s="846"/>
      <c r="AG1940" s="847"/>
      <c r="AH1940" s="847"/>
      <c r="AI1940" s="742">
        <f t="shared" si="253"/>
        <v>2440803</v>
      </c>
      <c r="AJ1940" s="743">
        <f t="shared" si="254"/>
        <v>2295087</v>
      </c>
    </row>
    <row r="1941" spans="1:36">
      <c r="A1941" s="840" t="s">
        <v>153</v>
      </c>
      <c r="B1941" s="841" t="s">
        <v>264</v>
      </c>
      <c r="C1941" s="1057" t="s">
        <v>1354</v>
      </c>
      <c r="D1941" s="1231"/>
      <c r="E1941" s="844">
        <v>197966</v>
      </c>
      <c r="F1941" s="845">
        <v>10</v>
      </c>
      <c r="G1941" s="846">
        <v>6551773</v>
      </c>
      <c r="H1941" s="847">
        <v>6943175</v>
      </c>
      <c r="I1941" s="846"/>
      <c r="J1941" s="847"/>
      <c r="K1941" s="846">
        <v>2232403</v>
      </c>
      <c r="L1941" s="847">
        <v>2270934</v>
      </c>
      <c r="M1941" s="846">
        <v>2868360</v>
      </c>
      <c r="N1941" s="846"/>
      <c r="O1941" s="737">
        <f t="shared" si="247"/>
        <v>2868360</v>
      </c>
      <c r="P1941" s="847">
        <v>2841890</v>
      </c>
      <c r="Q1941" s="847"/>
      <c r="R1941" s="738">
        <f t="shared" si="250"/>
        <v>2841890</v>
      </c>
      <c r="S1941" s="737">
        <f t="shared" si="251"/>
        <v>11652536</v>
      </c>
      <c r="T1941" s="739">
        <f t="shared" si="252"/>
        <v>12055999</v>
      </c>
      <c r="U1941" s="846"/>
      <c r="V1941" s="847"/>
      <c r="W1941" s="846"/>
      <c r="X1941" s="846"/>
      <c r="Y1941" s="740">
        <f t="shared" si="248"/>
        <v>0</v>
      </c>
      <c r="Z1941" s="847"/>
      <c r="AA1941" s="847"/>
      <c r="AB1941" s="741">
        <f t="shared" si="249"/>
        <v>0</v>
      </c>
      <c r="AC1941" s="846"/>
      <c r="AD1941" s="847"/>
      <c r="AE1941" s="846"/>
      <c r="AF1941" s="846"/>
      <c r="AG1941" s="847"/>
      <c r="AH1941" s="847"/>
      <c r="AI1941" s="742">
        <f t="shared" si="253"/>
        <v>11652536</v>
      </c>
      <c r="AJ1941" s="743">
        <f t="shared" si="254"/>
        <v>12055999</v>
      </c>
    </row>
    <row r="1942" spans="1:36">
      <c r="A1942" s="840" t="s">
        <v>153</v>
      </c>
      <c r="B1942" s="841" t="s">
        <v>264</v>
      </c>
      <c r="C1942" s="848" t="s">
        <v>1320</v>
      </c>
      <c r="D1942" s="849"/>
      <c r="E1942" s="844">
        <v>197966</v>
      </c>
      <c r="F1942" s="845">
        <v>10</v>
      </c>
      <c r="G1942" s="846"/>
      <c r="H1942" s="847"/>
      <c r="I1942" s="846"/>
      <c r="J1942" s="847"/>
      <c r="K1942" s="846"/>
      <c r="L1942" s="847"/>
      <c r="M1942" s="846"/>
      <c r="N1942" s="846"/>
      <c r="O1942" s="737">
        <f t="shared" si="247"/>
        <v>0</v>
      </c>
      <c r="P1942" s="847"/>
      <c r="Q1942" s="847"/>
      <c r="R1942" s="738">
        <f t="shared" si="250"/>
        <v>0</v>
      </c>
      <c r="S1942" s="737">
        <f t="shared" si="251"/>
        <v>0</v>
      </c>
      <c r="T1942" s="739">
        <f t="shared" si="252"/>
        <v>0</v>
      </c>
      <c r="U1942" s="846"/>
      <c r="V1942" s="847"/>
      <c r="W1942" s="846"/>
      <c r="X1942" s="846"/>
      <c r="Y1942" s="740">
        <f t="shared" si="248"/>
        <v>0</v>
      </c>
      <c r="Z1942" s="847"/>
      <c r="AA1942" s="847"/>
      <c r="AB1942" s="741">
        <f t="shared" si="249"/>
        <v>0</v>
      </c>
      <c r="AC1942" s="846"/>
      <c r="AD1942" s="847"/>
      <c r="AE1942" s="846"/>
      <c r="AF1942" s="846"/>
      <c r="AG1942" s="847"/>
      <c r="AH1942" s="847"/>
      <c r="AI1942" s="742">
        <f t="shared" si="253"/>
        <v>0</v>
      </c>
      <c r="AJ1942" s="743">
        <f t="shared" si="254"/>
        <v>0</v>
      </c>
    </row>
    <row r="1943" spans="1:36">
      <c r="A1943" s="840" t="s">
        <v>153</v>
      </c>
      <c r="B1943" s="841" t="s">
        <v>266</v>
      </c>
      <c r="C1943" s="848" t="s">
        <v>319</v>
      </c>
      <c r="D1943" s="849"/>
      <c r="E1943" s="844">
        <v>197966</v>
      </c>
      <c r="F1943" s="845">
        <v>10</v>
      </c>
      <c r="G1943" s="846"/>
      <c r="H1943" s="847"/>
      <c r="I1943" s="846">
        <v>148287</v>
      </c>
      <c r="J1943" s="847">
        <v>150923</v>
      </c>
      <c r="K1943" s="846"/>
      <c r="L1943" s="847"/>
      <c r="M1943" s="846"/>
      <c r="N1943" s="846"/>
      <c r="O1943" s="737">
        <f t="shared" si="247"/>
        <v>0</v>
      </c>
      <c r="P1943" s="847"/>
      <c r="Q1943" s="847"/>
      <c r="R1943" s="738">
        <f t="shared" si="250"/>
        <v>0</v>
      </c>
      <c r="S1943" s="737">
        <f t="shared" si="251"/>
        <v>148287</v>
      </c>
      <c r="T1943" s="739">
        <f t="shared" si="252"/>
        <v>150923</v>
      </c>
      <c r="U1943" s="846"/>
      <c r="V1943" s="847"/>
      <c r="W1943" s="846"/>
      <c r="X1943" s="846"/>
      <c r="Y1943" s="740">
        <f t="shared" si="248"/>
        <v>0</v>
      </c>
      <c r="Z1943" s="847"/>
      <c r="AA1943" s="847"/>
      <c r="AB1943" s="741">
        <f t="shared" si="249"/>
        <v>0</v>
      </c>
      <c r="AC1943" s="846"/>
      <c r="AD1943" s="847"/>
      <c r="AE1943" s="846"/>
      <c r="AF1943" s="846"/>
      <c r="AG1943" s="847"/>
      <c r="AH1943" s="847"/>
      <c r="AI1943" s="742">
        <f t="shared" si="253"/>
        <v>148287</v>
      </c>
      <c r="AJ1943" s="743">
        <f t="shared" si="254"/>
        <v>150923</v>
      </c>
    </row>
    <row r="1944" spans="1:36">
      <c r="A1944" s="840" t="s">
        <v>153</v>
      </c>
      <c r="B1944" s="841" t="s">
        <v>275</v>
      </c>
      <c r="C1944" s="848" t="s">
        <v>258</v>
      </c>
      <c r="D1944" s="849"/>
      <c r="E1944" s="844">
        <v>197966</v>
      </c>
      <c r="F1944" s="845">
        <v>10</v>
      </c>
      <c r="G1944" s="846"/>
      <c r="H1944" s="847"/>
      <c r="I1944" s="846">
        <v>1107472</v>
      </c>
      <c r="J1944" s="847">
        <v>1014031</v>
      </c>
      <c r="K1944" s="846"/>
      <c r="L1944" s="847"/>
      <c r="M1944" s="846">
        <v>136145</v>
      </c>
      <c r="N1944" s="846"/>
      <c r="O1944" s="737">
        <f t="shared" si="247"/>
        <v>136145</v>
      </c>
      <c r="P1944" s="847">
        <v>127012</v>
      </c>
      <c r="Q1944" s="847"/>
      <c r="R1944" s="738">
        <f t="shared" si="250"/>
        <v>127012</v>
      </c>
      <c r="S1944" s="737">
        <f t="shared" si="251"/>
        <v>1243617</v>
      </c>
      <c r="T1944" s="739">
        <f t="shared" si="252"/>
        <v>1141043</v>
      </c>
      <c r="U1944" s="846"/>
      <c r="V1944" s="847"/>
      <c r="W1944" s="846"/>
      <c r="X1944" s="846"/>
      <c r="Y1944" s="740">
        <f t="shared" si="248"/>
        <v>0</v>
      </c>
      <c r="Z1944" s="847"/>
      <c r="AA1944" s="847"/>
      <c r="AB1944" s="741">
        <f t="shared" si="249"/>
        <v>0</v>
      </c>
      <c r="AC1944" s="846"/>
      <c r="AD1944" s="847"/>
      <c r="AE1944" s="846"/>
      <c r="AF1944" s="846"/>
      <c r="AG1944" s="847"/>
      <c r="AH1944" s="847"/>
      <c r="AI1944" s="742">
        <f t="shared" si="253"/>
        <v>1243617</v>
      </c>
      <c r="AJ1944" s="743">
        <f t="shared" si="254"/>
        <v>1141043</v>
      </c>
    </row>
    <row r="1945" spans="1:36">
      <c r="A1945" s="840" t="s">
        <v>153</v>
      </c>
      <c r="B1945" s="841" t="s">
        <v>264</v>
      </c>
      <c r="C1945" s="841" t="s">
        <v>1355</v>
      </c>
      <c r="D1945" s="872"/>
      <c r="E1945" s="844">
        <v>198011</v>
      </c>
      <c r="F1945" s="845">
        <v>10</v>
      </c>
      <c r="G1945" s="846">
        <v>5725840</v>
      </c>
      <c r="H1945" s="847">
        <v>5484586</v>
      </c>
      <c r="I1945" s="846"/>
      <c r="J1945" s="847"/>
      <c r="K1945" s="846">
        <v>765803</v>
      </c>
      <c r="L1945" s="847">
        <v>765803</v>
      </c>
      <c r="M1945" s="846">
        <v>2322610</v>
      </c>
      <c r="N1945" s="846"/>
      <c r="O1945" s="737">
        <f t="shared" si="247"/>
        <v>2322610</v>
      </c>
      <c r="P1945" s="847">
        <v>2094983</v>
      </c>
      <c r="Q1945" s="847"/>
      <c r="R1945" s="738">
        <f t="shared" si="250"/>
        <v>2094983</v>
      </c>
      <c r="S1945" s="737">
        <f t="shared" si="251"/>
        <v>8814253</v>
      </c>
      <c r="T1945" s="739">
        <f t="shared" si="252"/>
        <v>8345372</v>
      </c>
      <c r="U1945" s="846"/>
      <c r="V1945" s="847"/>
      <c r="W1945" s="846"/>
      <c r="X1945" s="846"/>
      <c r="Y1945" s="740">
        <f t="shared" si="248"/>
        <v>0</v>
      </c>
      <c r="Z1945" s="847"/>
      <c r="AA1945" s="847"/>
      <c r="AB1945" s="741">
        <f t="shared" si="249"/>
        <v>0</v>
      </c>
      <c r="AC1945" s="846"/>
      <c r="AD1945" s="847"/>
      <c r="AE1945" s="846"/>
      <c r="AF1945" s="846"/>
      <c r="AG1945" s="847"/>
      <c r="AH1945" s="847"/>
      <c r="AI1945" s="742">
        <f t="shared" si="253"/>
        <v>8814253</v>
      </c>
      <c r="AJ1945" s="743">
        <f t="shared" si="254"/>
        <v>8345372</v>
      </c>
    </row>
    <row r="1946" spans="1:36">
      <c r="A1946" s="840" t="s">
        <v>153</v>
      </c>
      <c r="B1946" s="841" t="s">
        <v>264</v>
      </c>
      <c r="C1946" s="848" t="s">
        <v>1320</v>
      </c>
      <c r="D1946" s="849"/>
      <c r="E1946" s="844">
        <v>198011</v>
      </c>
      <c r="F1946" s="845">
        <v>10</v>
      </c>
      <c r="G1946" s="846"/>
      <c r="H1946" s="847"/>
      <c r="I1946" s="846"/>
      <c r="J1946" s="847"/>
      <c r="K1946" s="846"/>
      <c r="L1946" s="847"/>
      <c r="M1946" s="846"/>
      <c r="N1946" s="846"/>
      <c r="O1946" s="737">
        <f t="shared" si="247"/>
        <v>0</v>
      </c>
      <c r="P1946" s="847"/>
      <c r="Q1946" s="847"/>
      <c r="R1946" s="738">
        <f t="shared" si="250"/>
        <v>0</v>
      </c>
      <c r="S1946" s="737">
        <f t="shared" si="251"/>
        <v>0</v>
      </c>
      <c r="T1946" s="739">
        <f t="shared" si="252"/>
        <v>0</v>
      </c>
      <c r="U1946" s="846"/>
      <c r="V1946" s="847"/>
      <c r="W1946" s="846"/>
      <c r="X1946" s="846"/>
      <c r="Y1946" s="740">
        <f t="shared" si="248"/>
        <v>0</v>
      </c>
      <c r="Z1946" s="847"/>
      <c r="AA1946" s="847"/>
      <c r="AB1946" s="741">
        <f t="shared" si="249"/>
        <v>0</v>
      </c>
      <c r="AC1946" s="846"/>
      <c r="AD1946" s="847"/>
      <c r="AE1946" s="846"/>
      <c r="AF1946" s="846"/>
      <c r="AG1946" s="847"/>
      <c r="AH1946" s="847"/>
      <c r="AI1946" s="742">
        <f t="shared" si="253"/>
        <v>0</v>
      </c>
      <c r="AJ1946" s="743">
        <f t="shared" si="254"/>
        <v>0</v>
      </c>
    </row>
    <row r="1947" spans="1:36">
      <c r="A1947" s="840" t="s">
        <v>153</v>
      </c>
      <c r="B1947" s="841" t="s">
        <v>266</v>
      </c>
      <c r="C1947" s="848" t="s">
        <v>319</v>
      </c>
      <c r="D1947" s="849"/>
      <c r="E1947" s="844">
        <v>198011</v>
      </c>
      <c r="F1947" s="845">
        <v>10</v>
      </c>
      <c r="G1947" s="846"/>
      <c r="H1947" s="847"/>
      <c r="I1947" s="846">
        <v>145977</v>
      </c>
      <c r="J1947" s="847">
        <v>147078</v>
      </c>
      <c r="K1947" s="846"/>
      <c r="L1947" s="847"/>
      <c r="M1947" s="846"/>
      <c r="N1947" s="846"/>
      <c r="O1947" s="737">
        <f t="shared" si="247"/>
        <v>0</v>
      </c>
      <c r="P1947" s="847"/>
      <c r="Q1947" s="847"/>
      <c r="R1947" s="738">
        <f t="shared" si="250"/>
        <v>0</v>
      </c>
      <c r="S1947" s="737">
        <f t="shared" si="251"/>
        <v>145977</v>
      </c>
      <c r="T1947" s="739">
        <f t="shared" si="252"/>
        <v>147078</v>
      </c>
      <c r="U1947" s="846"/>
      <c r="V1947" s="847"/>
      <c r="W1947" s="846"/>
      <c r="X1947" s="846"/>
      <c r="Y1947" s="740">
        <f t="shared" si="248"/>
        <v>0</v>
      </c>
      <c r="Z1947" s="847"/>
      <c r="AA1947" s="847"/>
      <c r="AB1947" s="741">
        <f t="shared" si="249"/>
        <v>0</v>
      </c>
      <c r="AC1947" s="846"/>
      <c r="AD1947" s="847"/>
      <c r="AE1947" s="846"/>
      <c r="AF1947" s="846"/>
      <c r="AG1947" s="847"/>
      <c r="AH1947" s="847"/>
      <c r="AI1947" s="742">
        <f t="shared" si="253"/>
        <v>145977</v>
      </c>
      <c r="AJ1947" s="743">
        <f t="shared" si="254"/>
        <v>147078</v>
      </c>
    </row>
    <row r="1948" spans="1:36">
      <c r="A1948" s="840" t="s">
        <v>153</v>
      </c>
      <c r="B1948" s="841" t="s">
        <v>275</v>
      </c>
      <c r="C1948" s="848" t="s">
        <v>258</v>
      </c>
      <c r="D1948" s="849"/>
      <c r="E1948" s="844">
        <v>198011</v>
      </c>
      <c r="F1948" s="845">
        <v>10</v>
      </c>
      <c r="G1948" s="846"/>
      <c r="H1948" s="847"/>
      <c r="I1948" s="846">
        <v>924977</v>
      </c>
      <c r="J1948" s="847">
        <v>867955</v>
      </c>
      <c r="K1948" s="846"/>
      <c r="L1948" s="847"/>
      <c r="M1948" s="846">
        <v>153875</v>
      </c>
      <c r="N1948" s="846"/>
      <c r="O1948" s="737">
        <f t="shared" si="247"/>
        <v>153875</v>
      </c>
      <c r="P1948" s="847">
        <v>141403</v>
      </c>
      <c r="Q1948" s="847"/>
      <c r="R1948" s="738">
        <f t="shared" si="250"/>
        <v>141403</v>
      </c>
      <c r="S1948" s="737">
        <f t="shared" si="251"/>
        <v>1078852</v>
      </c>
      <c r="T1948" s="739">
        <f t="shared" si="252"/>
        <v>1009358</v>
      </c>
      <c r="U1948" s="846"/>
      <c r="V1948" s="847"/>
      <c r="W1948" s="846"/>
      <c r="X1948" s="846"/>
      <c r="Y1948" s="740">
        <f t="shared" si="248"/>
        <v>0</v>
      </c>
      <c r="Z1948" s="847"/>
      <c r="AA1948" s="847"/>
      <c r="AB1948" s="741">
        <f t="shared" si="249"/>
        <v>0</v>
      </c>
      <c r="AC1948" s="846"/>
      <c r="AD1948" s="847"/>
      <c r="AE1948" s="846"/>
      <c r="AF1948" s="846"/>
      <c r="AG1948" s="847"/>
      <c r="AH1948" s="847"/>
      <c r="AI1948" s="742">
        <f t="shared" si="253"/>
        <v>1078852</v>
      </c>
      <c r="AJ1948" s="743">
        <f t="shared" si="254"/>
        <v>1009358</v>
      </c>
    </row>
    <row r="1949" spans="1:36">
      <c r="A1949" s="840" t="s">
        <v>153</v>
      </c>
      <c r="B1949" s="841" t="s">
        <v>264</v>
      </c>
      <c r="C1949" s="1057" t="s">
        <v>1356</v>
      </c>
      <c r="D1949" s="1231"/>
      <c r="E1949" s="844">
        <v>198039</v>
      </c>
      <c r="F1949" s="855">
        <v>10</v>
      </c>
      <c r="G1949" s="846">
        <v>7999994</v>
      </c>
      <c r="H1949" s="847">
        <v>8420799</v>
      </c>
      <c r="I1949" s="846"/>
      <c r="J1949" s="847"/>
      <c r="K1949" s="846">
        <v>2440308</v>
      </c>
      <c r="L1949" s="847">
        <v>2493841</v>
      </c>
      <c r="M1949" s="846">
        <v>3232797</v>
      </c>
      <c r="N1949" s="846"/>
      <c r="O1949" s="737">
        <f t="shared" si="247"/>
        <v>3232797</v>
      </c>
      <c r="P1949" s="847">
        <v>3164335</v>
      </c>
      <c r="Q1949" s="847"/>
      <c r="R1949" s="738">
        <f t="shared" si="250"/>
        <v>3164335</v>
      </c>
      <c r="S1949" s="737">
        <f t="shared" si="251"/>
        <v>13673099</v>
      </c>
      <c r="T1949" s="739">
        <f t="shared" si="252"/>
        <v>14078975</v>
      </c>
      <c r="U1949" s="846"/>
      <c r="V1949" s="847"/>
      <c r="W1949" s="846"/>
      <c r="X1949" s="846"/>
      <c r="Y1949" s="740">
        <f t="shared" si="248"/>
        <v>0</v>
      </c>
      <c r="Z1949" s="847"/>
      <c r="AA1949" s="847"/>
      <c r="AB1949" s="741">
        <f t="shared" si="249"/>
        <v>0</v>
      </c>
      <c r="AC1949" s="846"/>
      <c r="AD1949" s="847"/>
      <c r="AE1949" s="846"/>
      <c r="AF1949" s="846"/>
      <c r="AG1949" s="847"/>
      <c r="AH1949" s="847"/>
      <c r="AI1949" s="742">
        <f t="shared" si="253"/>
        <v>13673099</v>
      </c>
      <c r="AJ1949" s="743">
        <f t="shared" si="254"/>
        <v>14078975</v>
      </c>
    </row>
    <row r="1950" spans="1:36">
      <c r="A1950" s="840" t="s">
        <v>153</v>
      </c>
      <c r="B1950" s="841" t="s">
        <v>264</v>
      </c>
      <c r="C1950" s="848" t="s">
        <v>1320</v>
      </c>
      <c r="D1950" s="849"/>
      <c r="E1950" s="844">
        <v>198039</v>
      </c>
      <c r="F1950" s="855">
        <v>10</v>
      </c>
      <c r="G1950" s="846"/>
      <c r="H1950" s="847"/>
      <c r="I1950" s="846"/>
      <c r="J1950" s="847"/>
      <c r="K1950" s="846"/>
      <c r="L1950" s="847"/>
      <c r="M1950" s="846"/>
      <c r="N1950" s="846"/>
      <c r="O1950" s="737">
        <f t="shared" si="247"/>
        <v>0</v>
      </c>
      <c r="P1950" s="847"/>
      <c r="Q1950" s="847"/>
      <c r="R1950" s="738">
        <f t="shared" si="250"/>
        <v>0</v>
      </c>
      <c r="S1950" s="737">
        <f t="shared" si="251"/>
        <v>0</v>
      </c>
      <c r="T1950" s="739">
        <f t="shared" si="252"/>
        <v>0</v>
      </c>
      <c r="U1950" s="846"/>
      <c r="V1950" s="847"/>
      <c r="W1950" s="846"/>
      <c r="X1950" s="846"/>
      <c r="Y1950" s="740">
        <f t="shared" si="248"/>
        <v>0</v>
      </c>
      <c r="Z1950" s="847"/>
      <c r="AA1950" s="847"/>
      <c r="AB1950" s="741">
        <f t="shared" si="249"/>
        <v>0</v>
      </c>
      <c r="AC1950" s="846"/>
      <c r="AD1950" s="847"/>
      <c r="AE1950" s="846"/>
      <c r="AF1950" s="846"/>
      <c r="AG1950" s="847"/>
      <c r="AH1950" s="847"/>
      <c r="AI1950" s="742">
        <f t="shared" si="253"/>
        <v>0</v>
      </c>
      <c r="AJ1950" s="743">
        <f t="shared" si="254"/>
        <v>0</v>
      </c>
    </row>
    <row r="1951" spans="1:36">
      <c r="A1951" s="840" t="s">
        <v>153</v>
      </c>
      <c r="B1951" s="841" t="s">
        <v>266</v>
      </c>
      <c r="C1951" s="848" t="s">
        <v>319</v>
      </c>
      <c r="D1951" s="849"/>
      <c r="E1951" s="844">
        <v>198039</v>
      </c>
      <c r="F1951" s="855">
        <v>10</v>
      </c>
      <c r="G1951" s="846"/>
      <c r="H1951" s="847"/>
      <c r="I1951" s="846">
        <v>162840</v>
      </c>
      <c r="J1951" s="847">
        <v>164126</v>
      </c>
      <c r="K1951" s="846"/>
      <c r="L1951" s="847"/>
      <c r="M1951" s="846"/>
      <c r="N1951" s="846"/>
      <c r="O1951" s="737">
        <f t="shared" si="247"/>
        <v>0</v>
      </c>
      <c r="P1951" s="847"/>
      <c r="Q1951" s="847"/>
      <c r="R1951" s="738">
        <f t="shared" si="250"/>
        <v>0</v>
      </c>
      <c r="S1951" s="737">
        <f t="shared" si="251"/>
        <v>162840</v>
      </c>
      <c r="T1951" s="739">
        <f t="shared" si="252"/>
        <v>164126</v>
      </c>
      <c r="U1951" s="846"/>
      <c r="V1951" s="847"/>
      <c r="W1951" s="846"/>
      <c r="X1951" s="846"/>
      <c r="Y1951" s="740">
        <f t="shared" si="248"/>
        <v>0</v>
      </c>
      <c r="Z1951" s="847"/>
      <c r="AA1951" s="847"/>
      <c r="AB1951" s="741">
        <f t="shared" si="249"/>
        <v>0</v>
      </c>
      <c r="AC1951" s="846"/>
      <c r="AD1951" s="847"/>
      <c r="AE1951" s="846"/>
      <c r="AF1951" s="846"/>
      <c r="AG1951" s="847"/>
      <c r="AH1951" s="847"/>
      <c r="AI1951" s="742">
        <f t="shared" si="253"/>
        <v>162840</v>
      </c>
      <c r="AJ1951" s="743">
        <f t="shared" si="254"/>
        <v>164126</v>
      </c>
    </row>
    <row r="1952" spans="1:36">
      <c r="A1952" s="840" t="s">
        <v>153</v>
      </c>
      <c r="B1952" s="841" t="s">
        <v>275</v>
      </c>
      <c r="C1952" s="848" t="s">
        <v>258</v>
      </c>
      <c r="D1952" s="849"/>
      <c r="E1952" s="844">
        <v>198039</v>
      </c>
      <c r="F1952" s="855">
        <v>10</v>
      </c>
      <c r="G1952" s="846"/>
      <c r="H1952" s="847"/>
      <c r="I1952" s="846">
        <v>1685472</v>
      </c>
      <c r="J1952" s="847">
        <v>1656372</v>
      </c>
      <c r="K1952" s="846"/>
      <c r="L1952" s="847"/>
      <c r="M1952" s="846">
        <v>307117</v>
      </c>
      <c r="N1952" s="846"/>
      <c r="O1952" s="737">
        <f t="shared" si="247"/>
        <v>307117</v>
      </c>
      <c r="P1952" s="847">
        <v>293442</v>
      </c>
      <c r="Q1952" s="847"/>
      <c r="R1952" s="738">
        <f t="shared" si="250"/>
        <v>293442</v>
      </c>
      <c r="S1952" s="737">
        <f t="shared" si="251"/>
        <v>1992589</v>
      </c>
      <c r="T1952" s="739">
        <f t="shared" si="252"/>
        <v>1949814</v>
      </c>
      <c r="U1952" s="846"/>
      <c r="V1952" s="847"/>
      <c r="W1952" s="846"/>
      <c r="X1952" s="846"/>
      <c r="Y1952" s="740">
        <f t="shared" si="248"/>
        <v>0</v>
      </c>
      <c r="Z1952" s="847"/>
      <c r="AA1952" s="847"/>
      <c r="AB1952" s="741">
        <f t="shared" si="249"/>
        <v>0</v>
      </c>
      <c r="AC1952" s="846"/>
      <c r="AD1952" s="847"/>
      <c r="AE1952" s="846"/>
      <c r="AF1952" s="846"/>
      <c r="AG1952" s="847"/>
      <c r="AH1952" s="847"/>
      <c r="AI1952" s="742">
        <f t="shared" si="253"/>
        <v>1992589</v>
      </c>
      <c r="AJ1952" s="743">
        <f t="shared" si="254"/>
        <v>1949814</v>
      </c>
    </row>
    <row r="1953" spans="1:36">
      <c r="A1953" s="840" t="s">
        <v>153</v>
      </c>
      <c r="B1953" s="841" t="s">
        <v>264</v>
      </c>
      <c r="C1953" s="841" t="s">
        <v>1357</v>
      </c>
      <c r="D1953" s="872"/>
      <c r="E1953" s="844">
        <v>198084</v>
      </c>
      <c r="F1953" s="845">
        <v>10</v>
      </c>
      <c r="G1953" s="846">
        <v>5864510</v>
      </c>
      <c r="H1953" s="847">
        <v>6420867</v>
      </c>
      <c r="I1953" s="846"/>
      <c r="J1953" s="847"/>
      <c r="K1953" s="846">
        <v>3781447</v>
      </c>
      <c r="L1953" s="847">
        <v>3699447</v>
      </c>
      <c r="M1953" s="846">
        <v>2299039</v>
      </c>
      <c r="N1953" s="846"/>
      <c r="O1953" s="737">
        <f t="shared" si="247"/>
        <v>2299039</v>
      </c>
      <c r="P1953" s="847">
        <v>2355490</v>
      </c>
      <c r="Q1953" s="847"/>
      <c r="R1953" s="738">
        <f t="shared" si="250"/>
        <v>2355490</v>
      </c>
      <c r="S1953" s="737">
        <f t="shared" si="251"/>
        <v>11944996</v>
      </c>
      <c r="T1953" s="739">
        <f t="shared" si="252"/>
        <v>12475804</v>
      </c>
      <c r="U1953" s="846"/>
      <c r="V1953" s="847"/>
      <c r="W1953" s="846"/>
      <c r="X1953" s="846"/>
      <c r="Y1953" s="740">
        <f t="shared" si="248"/>
        <v>0</v>
      </c>
      <c r="Z1953" s="847"/>
      <c r="AA1953" s="847"/>
      <c r="AB1953" s="741">
        <f t="shared" si="249"/>
        <v>0</v>
      </c>
      <c r="AC1953" s="846"/>
      <c r="AD1953" s="847"/>
      <c r="AE1953" s="846"/>
      <c r="AF1953" s="846"/>
      <c r="AG1953" s="847"/>
      <c r="AH1953" s="847"/>
      <c r="AI1953" s="742">
        <f t="shared" si="253"/>
        <v>11944996</v>
      </c>
      <c r="AJ1953" s="743">
        <f t="shared" si="254"/>
        <v>12475804</v>
      </c>
    </row>
    <row r="1954" spans="1:36">
      <c r="A1954" s="840" t="s">
        <v>153</v>
      </c>
      <c r="B1954" s="841" t="s">
        <v>264</v>
      </c>
      <c r="C1954" s="848" t="s">
        <v>1320</v>
      </c>
      <c r="D1954" s="849"/>
      <c r="E1954" s="844">
        <v>198084</v>
      </c>
      <c r="F1954" s="845">
        <v>10</v>
      </c>
      <c r="G1954" s="846"/>
      <c r="H1954" s="847"/>
      <c r="I1954" s="846"/>
      <c r="J1954" s="847"/>
      <c r="K1954" s="846"/>
      <c r="L1954" s="847"/>
      <c r="M1954" s="846"/>
      <c r="N1954" s="846"/>
      <c r="O1954" s="737">
        <f t="shared" si="247"/>
        <v>0</v>
      </c>
      <c r="P1954" s="847"/>
      <c r="Q1954" s="847"/>
      <c r="R1954" s="738">
        <f t="shared" si="250"/>
        <v>0</v>
      </c>
      <c r="S1954" s="737">
        <f t="shared" si="251"/>
        <v>0</v>
      </c>
      <c r="T1954" s="739">
        <f t="shared" si="252"/>
        <v>0</v>
      </c>
      <c r="U1954" s="846"/>
      <c r="V1954" s="847"/>
      <c r="W1954" s="846"/>
      <c r="X1954" s="846"/>
      <c r="Y1954" s="740">
        <f t="shared" si="248"/>
        <v>0</v>
      </c>
      <c r="Z1954" s="847"/>
      <c r="AA1954" s="847"/>
      <c r="AB1954" s="741">
        <f t="shared" si="249"/>
        <v>0</v>
      </c>
      <c r="AC1954" s="846"/>
      <c r="AD1954" s="847"/>
      <c r="AE1954" s="846"/>
      <c r="AF1954" s="846"/>
      <c r="AG1954" s="847"/>
      <c r="AH1954" s="847"/>
      <c r="AI1954" s="742">
        <f t="shared" si="253"/>
        <v>0</v>
      </c>
      <c r="AJ1954" s="743">
        <f t="shared" si="254"/>
        <v>0</v>
      </c>
    </row>
    <row r="1955" spans="1:36">
      <c r="A1955" s="840" t="s">
        <v>153</v>
      </c>
      <c r="B1955" s="841" t="s">
        <v>266</v>
      </c>
      <c r="C1955" s="848" t="s">
        <v>319</v>
      </c>
      <c r="D1955" s="849"/>
      <c r="E1955" s="844">
        <v>198084</v>
      </c>
      <c r="F1955" s="845">
        <v>10</v>
      </c>
      <c r="G1955" s="846"/>
      <c r="H1955" s="847"/>
      <c r="I1955" s="846">
        <v>148287</v>
      </c>
      <c r="J1955" s="847">
        <v>149433</v>
      </c>
      <c r="K1955" s="846"/>
      <c r="L1955" s="847"/>
      <c r="M1955" s="846"/>
      <c r="N1955" s="846"/>
      <c r="O1955" s="737">
        <f t="shared" si="247"/>
        <v>0</v>
      </c>
      <c r="P1955" s="847"/>
      <c r="Q1955" s="847"/>
      <c r="R1955" s="738">
        <f t="shared" si="250"/>
        <v>0</v>
      </c>
      <c r="S1955" s="737">
        <f t="shared" si="251"/>
        <v>148287</v>
      </c>
      <c r="T1955" s="739">
        <f t="shared" si="252"/>
        <v>149433</v>
      </c>
      <c r="U1955" s="846"/>
      <c r="V1955" s="847"/>
      <c r="W1955" s="846"/>
      <c r="X1955" s="846"/>
      <c r="Y1955" s="740">
        <f t="shared" si="248"/>
        <v>0</v>
      </c>
      <c r="Z1955" s="847"/>
      <c r="AA1955" s="847"/>
      <c r="AB1955" s="741">
        <f t="shared" si="249"/>
        <v>0</v>
      </c>
      <c r="AC1955" s="846"/>
      <c r="AD1955" s="847"/>
      <c r="AE1955" s="846"/>
      <c r="AF1955" s="846"/>
      <c r="AG1955" s="847"/>
      <c r="AH1955" s="847"/>
      <c r="AI1955" s="742">
        <f t="shared" si="253"/>
        <v>148287</v>
      </c>
      <c r="AJ1955" s="743">
        <f t="shared" si="254"/>
        <v>149433</v>
      </c>
    </row>
    <row r="1956" spans="1:36">
      <c r="A1956" s="840" t="s">
        <v>153</v>
      </c>
      <c r="B1956" s="841" t="s">
        <v>275</v>
      </c>
      <c r="C1956" s="848" t="s">
        <v>258</v>
      </c>
      <c r="D1956" s="849"/>
      <c r="E1956" s="844">
        <v>198084</v>
      </c>
      <c r="F1956" s="845">
        <v>10</v>
      </c>
      <c r="G1956" s="846"/>
      <c r="H1956" s="847"/>
      <c r="I1956" s="846">
        <v>1479578</v>
      </c>
      <c r="J1956" s="847">
        <v>1584071</v>
      </c>
      <c r="K1956" s="846"/>
      <c r="L1956" s="847"/>
      <c r="M1956" s="846">
        <v>178571</v>
      </c>
      <c r="N1956" s="846"/>
      <c r="O1956" s="737">
        <f t="shared" si="247"/>
        <v>178571</v>
      </c>
      <c r="P1956" s="847">
        <v>204596</v>
      </c>
      <c r="Q1956" s="847"/>
      <c r="R1956" s="738">
        <f t="shared" si="250"/>
        <v>204596</v>
      </c>
      <c r="S1956" s="737">
        <f t="shared" si="251"/>
        <v>1658149</v>
      </c>
      <c r="T1956" s="739">
        <f t="shared" si="252"/>
        <v>1788667</v>
      </c>
      <c r="U1956" s="846"/>
      <c r="V1956" s="847"/>
      <c r="W1956" s="846"/>
      <c r="X1956" s="846"/>
      <c r="Y1956" s="740">
        <f t="shared" si="248"/>
        <v>0</v>
      </c>
      <c r="Z1956" s="847"/>
      <c r="AA1956" s="847"/>
      <c r="AB1956" s="741">
        <f t="shared" si="249"/>
        <v>0</v>
      </c>
      <c r="AC1956" s="846"/>
      <c r="AD1956" s="847"/>
      <c r="AE1956" s="846"/>
      <c r="AF1956" s="846"/>
      <c r="AG1956" s="847"/>
      <c r="AH1956" s="847"/>
      <c r="AI1956" s="742">
        <f t="shared" si="253"/>
        <v>1658149</v>
      </c>
      <c r="AJ1956" s="743">
        <f t="shared" si="254"/>
        <v>1788667</v>
      </c>
    </row>
    <row r="1957" spans="1:36">
      <c r="A1957" s="840" t="s">
        <v>153</v>
      </c>
      <c r="B1957" s="841" t="s">
        <v>264</v>
      </c>
      <c r="C1957" s="1057" t="s">
        <v>1358</v>
      </c>
      <c r="D1957" s="1231"/>
      <c r="E1957" s="844">
        <v>198206</v>
      </c>
      <c r="F1957" s="845">
        <v>10</v>
      </c>
      <c r="G1957" s="846">
        <v>6251001</v>
      </c>
      <c r="H1957" s="847">
        <v>6557061</v>
      </c>
      <c r="I1957" s="846"/>
      <c r="J1957" s="847"/>
      <c r="K1957" s="846">
        <v>2130955</v>
      </c>
      <c r="L1957" s="847">
        <v>2440000</v>
      </c>
      <c r="M1957" s="846">
        <v>2605457</v>
      </c>
      <c r="N1957" s="846"/>
      <c r="O1957" s="737">
        <f t="shared" si="247"/>
        <v>2605457</v>
      </c>
      <c r="P1957" s="847">
        <v>2564988</v>
      </c>
      <c r="Q1957" s="847"/>
      <c r="R1957" s="738">
        <f t="shared" si="250"/>
        <v>2564988</v>
      </c>
      <c r="S1957" s="737">
        <f t="shared" si="251"/>
        <v>10987413</v>
      </c>
      <c r="T1957" s="739">
        <f t="shared" si="252"/>
        <v>11562049</v>
      </c>
      <c r="U1957" s="846"/>
      <c r="V1957" s="847"/>
      <c r="W1957" s="846"/>
      <c r="X1957" s="846"/>
      <c r="Y1957" s="740">
        <f t="shared" si="248"/>
        <v>0</v>
      </c>
      <c r="Z1957" s="847"/>
      <c r="AA1957" s="847"/>
      <c r="AB1957" s="741">
        <f t="shared" si="249"/>
        <v>0</v>
      </c>
      <c r="AC1957" s="846"/>
      <c r="AD1957" s="847"/>
      <c r="AE1957" s="846"/>
      <c r="AF1957" s="846"/>
      <c r="AG1957" s="847"/>
      <c r="AH1957" s="847"/>
      <c r="AI1957" s="742">
        <f t="shared" si="253"/>
        <v>10987413</v>
      </c>
      <c r="AJ1957" s="743">
        <f t="shared" si="254"/>
        <v>11562049</v>
      </c>
    </row>
    <row r="1958" spans="1:36">
      <c r="A1958" s="840" t="s">
        <v>153</v>
      </c>
      <c r="B1958" s="841" t="s">
        <v>264</v>
      </c>
      <c r="C1958" s="848" t="s">
        <v>1320</v>
      </c>
      <c r="D1958" s="849"/>
      <c r="E1958" s="844">
        <v>198206</v>
      </c>
      <c r="F1958" s="845">
        <v>10</v>
      </c>
      <c r="G1958" s="846"/>
      <c r="H1958" s="847"/>
      <c r="I1958" s="846"/>
      <c r="J1958" s="847"/>
      <c r="K1958" s="846"/>
      <c r="L1958" s="847"/>
      <c r="M1958" s="846"/>
      <c r="N1958" s="846"/>
      <c r="O1958" s="737">
        <f t="shared" si="247"/>
        <v>0</v>
      </c>
      <c r="P1958" s="847"/>
      <c r="Q1958" s="847"/>
      <c r="R1958" s="738">
        <f t="shared" si="250"/>
        <v>0</v>
      </c>
      <c r="S1958" s="737">
        <f t="shared" si="251"/>
        <v>0</v>
      </c>
      <c r="T1958" s="739">
        <f t="shared" si="252"/>
        <v>0</v>
      </c>
      <c r="U1958" s="846"/>
      <c r="V1958" s="847"/>
      <c r="W1958" s="846"/>
      <c r="X1958" s="846"/>
      <c r="Y1958" s="740">
        <f t="shared" si="248"/>
        <v>0</v>
      </c>
      <c r="Z1958" s="847"/>
      <c r="AA1958" s="847"/>
      <c r="AB1958" s="741">
        <f t="shared" si="249"/>
        <v>0</v>
      </c>
      <c r="AC1958" s="846"/>
      <c r="AD1958" s="847"/>
      <c r="AE1958" s="846"/>
      <c r="AF1958" s="846"/>
      <c r="AG1958" s="847"/>
      <c r="AH1958" s="847"/>
      <c r="AI1958" s="742">
        <f t="shared" si="253"/>
        <v>0</v>
      </c>
      <c r="AJ1958" s="743">
        <f t="shared" si="254"/>
        <v>0</v>
      </c>
    </row>
    <row r="1959" spans="1:36">
      <c r="A1959" s="840" t="s">
        <v>153</v>
      </c>
      <c r="B1959" s="841" t="s">
        <v>266</v>
      </c>
      <c r="C1959" s="848" t="s">
        <v>319</v>
      </c>
      <c r="D1959" s="849"/>
      <c r="E1959" s="844">
        <v>198206</v>
      </c>
      <c r="F1959" s="845">
        <v>10</v>
      </c>
      <c r="G1959" s="846"/>
      <c r="H1959" s="847"/>
      <c r="I1959" s="846">
        <v>151044</v>
      </c>
      <c r="J1959" s="847">
        <v>152302</v>
      </c>
      <c r="K1959" s="846"/>
      <c r="L1959" s="847"/>
      <c r="M1959" s="846"/>
      <c r="N1959" s="846"/>
      <c r="O1959" s="737">
        <f t="shared" si="247"/>
        <v>0</v>
      </c>
      <c r="P1959" s="847"/>
      <c r="Q1959" s="847"/>
      <c r="R1959" s="738">
        <f t="shared" si="250"/>
        <v>0</v>
      </c>
      <c r="S1959" s="737">
        <f t="shared" si="251"/>
        <v>151044</v>
      </c>
      <c r="T1959" s="739">
        <f t="shared" si="252"/>
        <v>152302</v>
      </c>
      <c r="U1959" s="846"/>
      <c r="V1959" s="847"/>
      <c r="W1959" s="846"/>
      <c r="X1959" s="846"/>
      <c r="Y1959" s="740">
        <f t="shared" si="248"/>
        <v>0</v>
      </c>
      <c r="Z1959" s="847"/>
      <c r="AA1959" s="847"/>
      <c r="AB1959" s="741">
        <f t="shared" si="249"/>
        <v>0</v>
      </c>
      <c r="AC1959" s="846"/>
      <c r="AD1959" s="847"/>
      <c r="AE1959" s="846"/>
      <c r="AF1959" s="846"/>
      <c r="AG1959" s="847"/>
      <c r="AH1959" s="847"/>
      <c r="AI1959" s="742">
        <f t="shared" si="253"/>
        <v>151044</v>
      </c>
      <c r="AJ1959" s="743">
        <f t="shared" si="254"/>
        <v>152302</v>
      </c>
    </row>
    <row r="1960" spans="1:36">
      <c r="A1960" s="840" t="s">
        <v>153</v>
      </c>
      <c r="B1960" s="841" t="s">
        <v>275</v>
      </c>
      <c r="C1960" s="848" t="s">
        <v>258</v>
      </c>
      <c r="D1960" s="849"/>
      <c r="E1960" s="844">
        <v>198206</v>
      </c>
      <c r="F1960" s="845">
        <v>10</v>
      </c>
      <c r="G1960" s="846"/>
      <c r="H1960" s="847"/>
      <c r="I1960" s="846">
        <v>1267877</v>
      </c>
      <c r="J1960" s="847">
        <v>1249011</v>
      </c>
      <c r="K1960" s="846"/>
      <c r="L1960" s="847"/>
      <c r="M1960" s="846">
        <v>221631</v>
      </c>
      <c r="N1960" s="846"/>
      <c r="O1960" s="737">
        <f t="shared" si="247"/>
        <v>221631</v>
      </c>
      <c r="P1960" s="847">
        <v>215233</v>
      </c>
      <c r="Q1960" s="847"/>
      <c r="R1960" s="738">
        <f t="shared" si="250"/>
        <v>215233</v>
      </c>
      <c r="S1960" s="737">
        <f t="shared" si="251"/>
        <v>1489508</v>
      </c>
      <c r="T1960" s="739">
        <f t="shared" si="252"/>
        <v>1464244</v>
      </c>
      <c r="U1960" s="846"/>
      <c r="V1960" s="847"/>
      <c r="W1960" s="846"/>
      <c r="X1960" s="846"/>
      <c r="Y1960" s="740">
        <f t="shared" si="248"/>
        <v>0</v>
      </c>
      <c r="Z1960" s="847"/>
      <c r="AA1960" s="847"/>
      <c r="AB1960" s="741">
        <f t="shared" si="249"/>
        <v>0</v>
      </c>
      <c r="AC1960" s="846"/>
      <c r="AD1960" s="847"/>
      <c r="AE1960" s="846"/>
      <c r="AF1960" s="846"/>
      <c r="AG1960" s="847"/>
      <c r="AH1960" s="847"/>
      <c r="AI1960" s="742">
        <f t="shared" si="253"/>
        <v>1489508</v>
      </c>
      <c r="AJ1960" s="743">
        <f t="shared" si="254"/>
        <v>1464244</v>
      </c>
    </row>
    <row r="1961" spans="1:36">
      <c r="A1961" s="840" t="s">
        <v>153</v>
      </c>
      <c r="B1961" s="841" t="s">
        <v>264</v>
      </c>
      <c r="C1961" s="1057" t="s">
        <v>1359</v>
      </c>
      <c r="D1961" s="1231"/>
      <c r="E1961" s="844">
        <v>197814</v>
      </c>
      <c r="F1961" s="855">
        <v>10</v>
      </c>
      <c r="G1961" s="846">
        <v>8597582</v>
      </c>
      <c r="H1961" s="847">
        <v>8950887</v>
      </c>
      <c r="I1961" s="846"/>
      <c r="J1961" s="847"/>
      <c r="K1961" s="846">
        <v>3913869</v>
      </c>
      <c r="L1961" s="847">
        <v>2281477</v>
      </c>
      <c r="M1961" s="846">
        <v>3753163</v>
      </c>
      <c r="N1961" s="846"/>
      <c r="O1961" s="737">
        <f t="shared" si="247"/>
        <v>3753163</v>
      </c>
      <c r="P1961" s="847">
        <v>3636162</v>
      </c>
      <c r="Q1961" s="847"/>
      <c r="R1961" s="738">
        <f t="shared" si="250"/>
        <v>3636162</v>
      </c>
      <c r="S1961" s="737">
        <f t="shared" si="251"/>
        <v>16264614</v>
      </c>
      <c r="T1961" s="739">
        <f t="shared" si="252"/>
        <v>14868526</v>
      </c>
      <c r="U1961" s="846"/>
      <c r="V1961" s="847"/>
      <c r="W1961" s="846"/>
      <c r="X1961" s="846"/>
      <c r="Y1961" s="740">
        <f t="shared" si="248"/>
        <v>0</v>
      </c>
      <c r="Z1961" s="847"/>
      <c r="AA1961" s="847"/>
      <c r="AB1961" s="741">
        <f t="shared" si="249"/>
        <v>0</v>
      </c>
      <c r="AC1961" s="846"/>
      <c r="AD1961" s="847"/>
      <c r="AE1961" s="846"/>
      <c r="AF1961" s="846"/>
      <c r="AG1961" s="847"/>
      <c r="AH1961" s="847"/>
      <c r="AI1961" s="742">
        <f t="shared" si="253"/>
        <v>16264614</v>
      </c>
      <c r="AJ1961" s="743">
        <f t="shared" si="254"/>
        <v>14868526</v>
      </c>
    </row>
    <row r="1962" spans="1:36">
      <c r="A1962" s="840" t="s">
        <v>153</v>
      </c>
      <c r="B1962" s="841" t="s">
        <v>264</v>
      </c>
      <c r="C1962" s="848" t="s">
        <v>1320</v>
      </c>
      <c r="D1962" s="849"/>
      <c r="E1962" s="844">
        <v>197814</v>
      </c>
      <c r="F1962" s="855">
        <v>10</v>
      </c>
      <c r="G1962" s="846"/>
      <c r="H1962" s="847"/>
      <c r="I1962" s="846"/>
      <c r="J1962" s="847"/>
      <c r="K1962" s="846"/>
      <c r="L1962" s="847"/>
      <c r="M1962" s="846"/>
      <c r="N1962" s="846"/>
      <c r="O1962" s="737">
        <f t="shared" si="247"/>
        <v>0</v>
      </c>
      <c r="P1962" s="847"/>
      <c r="Q1962" s="847"/>
      <c r="R1962" s="738">
        <f t="shared" si="250"/>
        <v>0</v>
      </c>
      <c r="S1962" s="737">
        <f t="shared" si="251"/>
        <v>0</v>
      </c>
      <c r="T1962" s="739">
        <f t="shared" si="252"/>
        <v>0</v>
      </c>
      <c r="U1962" s="846"/>
      <c r="V1962" s="847"/>
      <c r="W1962" s="846"/>
      <c r="X1962" s="846"/>
      <c r="Y1962" s="740">
        <f t="shared" si="248"/>
        <v>0</v>
      </c>
      <c r="Z1962" s="847"/>
      <c r="AA1962" s="847"/>
      <c r="AB1962" s="741">
        <f t="shared" si="249"/>
        <v>0</v>
      </c>
      <c r="AC1962" s="846"/>
      <c r="AD1962" s="847"/>
      <c r="AE1962" s="846"/>
      <c r="AF1962" s="846"/>
      <c r="AG1962" s="847"/>
      <c r="AH1962" s="847"/>
      <c r="AI1962" s="742">
        <f t="shared" si="253"/>
        <v>0</v>
      </c>
      <c r="AJ1962" s="743">
        <f t="shared" si="254"/>
        <v>0</v>
      </c>
    </row>
    <row r="1963" spans="1:36">
      <c r="A1963" s="840" t="s">
        <v>153</v>
      </c>
      <c r="B1963" s="841" t="s">
        <v>266</v>
      </c>
      <c r="C1963" s="848" t="s">
        <v>319</v>
      </c>
      <c r="D1963" s="849"/>
      <c r="E1963" s="844">
        <v>197814</v>
      </c>
      <c r="F1963" s="855">
        <v>10</v>
      </c>
      <c r="G1963" s="846"/>
      <c r="H1963" s="847"/>
      <c r="I1963" s="846">
        <v>153638</v>
      </c>
      <c r="J1963" s="847">
        <v>157047</v>
      </c>
      <c r="K1963" s="846"/>
      <c r="L1963" s="847"/>
      <c r="M1963" s="846"/>
      <c r="N1963" s="846"/>
      <c r="O1963" s="737">
        <f t="shared" si="247"/>
        <v>0</v>
      </c>
      <c r="P1963" s="847"/>
      <c r="Q1963" s="847"/>
      <c r="R1963" s="738">
        <f t="shared" si="250"/>
        <v>0</v>
      </c>
      <c r="S1963" s="737">
        <f t="shared" si="251"/>
        <v>153638</v>
      </c>
      <c r="T1963" s="739">
        <f t="shared" si="252"/>
        <v>157047</v>
      </c>
      <c r="U1963" s="846"/>
      <c r="V1963" s="847"/>
      <c r="W1963" s="846"/>
      <c r="X1963" s="846"/>
      <c r="Y1963" s="740">
        <f t="shared" si="248"/>
        <v>0</v>
      </c>
      <c r="Z1963" s="847"/>
      <c r="AA1963" s="847"/>
      <c r="AB1963" s="741">
        <f t="shared" si="249"/>
        <v>0</v>
      </c>
      <c r="AC1963" s="846"/>
      <c r="AD1963" s="847"/>
      <c r="AE1963" s="846"/>
      <c r="AF1963" s="846"/>
      <c r="AG1963" s="847"/>
      <c r="AH1963" s="847"/>
      <c r="AI1963" s="742">
        <f t="shared" si="253"/>
        <v>153638</v>
      </c>
      <c r="AJ1963" s="743">
        <f t="shared" si="254"/>
        <v>157047</v>
      </c>
    </row>
    <row r="1964" spans="1:36">
      <c r="A1964" s="840" t="s">
        <v>153</v>
      </c>
      <c r="B1964" s="841" t="s">
        <v>275</v>
      </c>
      <c r="C1964" s="848" t="s">
        <v>258</v>
      </c>
      <c r="D1964" s="849"/>
      <c r="E1964" s="844">
        <v>197814</v>
      </c>
      <c r="F1964" s="855">
        <v>10</v>
      </c>
      <c r="G1964" s="846"/>
      <c r="H1964" s="847"/>
      <c r="I1964" s="846">
        <v>1468880</v>
      </c>
      <c r="J1964" s="847">
        <v>1337308</v>
      </c>
      <c r="K1964" s="846"/>
      <c r="L1964" s="847"/>
      <c r="M1964" s="846">
        <v>172239</v>
      </c>
      <c r="N1964" s="846"/>
      <c r="O1964" s="737">
        <f t="shared" si="247"/>
        <v>172239</v>
      </c>
      <c r="P1964" s="847">
        <v>161424</v>
      </c>
      <c r="Q1964" s="847"/>
      <c r="R1964" s="738">
        <f t="shared" si="250"/>
        <v>161424</v>
      </c>
      <c r="S1964" s="737">
        <f t="shared" si="251"/>
        <v>1641119</v>
      </c>
      <c r="T1964" s="739">
        <f t="shared" si="252"/>
        <v>1498732</v>
      </c>
      <c r="U1964" s="846"/>
      <c r="V1964" s="847"/>
      <c r="W1964" s="846"/>
      <c r="X1964" s="846"/>
      <c r="Y1964" s="740">
        <f t="shared" si="248"/>
        <v>0</v>
      </c>
      <c r="Z1964" s="847"/>
      <c r="AA1964" s="847"/>
      <c r="AB1964" s="741">
        <f t="shared" si="249"/>
        <v>0</v>
      </c>
      <c r="AC1964" s="846"/>
      <c r="AD1964" s="847"/>
      <c r="AE1964" s="846"/>
      <c r="AF1964" s="846"/>
      <c r="AG1964" s="847"/>
      <c r="AH1964" s="847"/>
      <c r="AI1964" s="742">
        <f t="shared" si="253"/>
        <v>1641119</v>
      </c>
      <c r="AJ1964" s="743">
        <f t="shared" si="254"/>
        <v>1498732</v>
      </c>
    </row>
    <row r="1965" spans="1:36">
      <c r="A1965" s="840" t="s">
        <v>153</v>
      </c>
      <c r="B1965" s="841" t="s">
        <v>264</v>
      </c>
      <c r="C1965" s="841" t="s">
        <v>1360</v>
      </c>
      <c r="D1965" s="872"/>
      <c r="E1965" s="844">
        <v>198640</v>
      </c>
      <c r="F1965" s="845">
        <v>10</v>
      </c>
      <c r="G1965" s="846">
        <v>6102368</v>
      </c>
      <c r="H1965" s="847">
        <v>6096191</v>
      </c>
      <c r="I1965" s="846"/>
      <c r="J1965" s="847"/>
      <c r="K1965" s="846">
        <v>1035404</v>
      </c>
      <c r="L1965" s="847">
        <v>1073364</v>
      </c>
      <c r="M1965" s="846">
        <v>2491230</v>
      </c>
      <c r="N1965" s="846"/>
      <c r="O1965" s="737">
        <f t="shared" si="247"/>
        <v>2491230</v>
      </c>
      <c r="P1965" s="847">
        <v>2289907</v>
      </c>
      <c r="Q1965" s="847"/>
      <c r="R1965" s="738">
        <f t="shared" si="250"/>
        <v>2289907</v>
      </c>
      <c r="S1965" s="737">
        <f t="shared" si="251"/>
        <v>9629002</v>
      </c>
      <c r="T1965" s="739">
        <f t="shared" si="252"/>
        <v>9459462</v>
      </c>
      <c r="U1965" s="846"/>
      <c r="V1965" s="847"/>
      <c r="W1965" s="846"/>
      <c r="X1965" s="846"/>
      <c r="Y1965" s="740">
        <f t="shared" si="248"/>
        <v>0</v>
      </c>
      <c r="Z1965" s="847"/>
      <c r="AA1965" s="847"/>
      <c r="AB1965" s="741">
        <f t="shared" si="249"/>
        <v>0</v>
      </c>
      <c r="AC1965" s="846"/>
      <c r="AD1965" s="847"/>
      <c r="AE1965" s="846"/>
      <c r="AF1965" s="846"/>
      <c r="AG1965" s="847"/>
      <c r="AH1965" s="847"/>
      <c r="AI1965" s="742">
        <f t="shared" si="253"/>
        <v>9629002</v>
      </c>
      <c r="AJ1965" s="743">
        <f t="shared" si="254"/>
        <v>9459462</v>
      </c>
    </row>
    <row r="1966" spans="1:36">
      <c r="A1966" s="840" t="s">
        <v>153</v>
      </c>
      <c r="B1966" s="841" t="s">
        <v>264</v>
      </c>
      <c r="C1966" s="848" t="s">
        <v>1320</v>
      </c>
      <c r="D1966" s="849"/>
      <c r="E1966" s="844">
        <v>198640</v>
      </c>
      <c r="F1966" s="845">
        <v>10</v>
      </c>
      <c r="G1966" s="846"/>
      <c r="H1966" s="847"/>
      <c r="I1966" s="846"/>
      <c r="J1966" s="847"/>
      <c r="K1966" s="846"/>
      <c r="L1966" s="847"/>
      <c r="M1966" s="846"/>
      <c r="N1966" s="846"/>
      <c r="O1966" s="737">
        <f t="shared" si="247"/>
        <v>0</v>
      </c>
      <c r="P1966" s="847"/>
      <c r="Q1966" s="847"/>
      <c r="R1966" s="738">
        <f t="shared" si="250"/>
        <v>0</v>
      </c>
      <c r="S1966" s="737">
        <f t="shared" si="251"/>
        <v>0</v>
      </c>
      <c r="T1966" s="739">
        <f t="shared" si="252"/>
        <v>0</v>
      </c>
      <c r="U1966" s="846"/>
      <c r="V1966" s="847"/>
      <c r="W1966" s="846"/>
      <c r="X1966" s="846"/>
      <c r="Y1966" s="740">
        <f t="shared" si="248"/>
        <v>0</v>
      </c>
      <c r="Z1966" s="847"/>
      <c r="AA1966" s="847"/>
      <c r="AB1966" s="741">
        <f t="shared" si="249"/>
        <v>0</v>
      </c>
      <c r="AC1966" s="846"/>
      <c r="AD1966" s="847"/>
      <c r="AE1966" s="846"/>
      <c r="AF1966" s="846"/>
      <c r="AG1966" s="847"/>
      <c r="AH1966" s="847"/>
      <c r="AI1966" s="742">
        <f t="shared" si="253"/>
        <v>0</v>
      </c>
      <c r="AJ1966" s="743">
        <f t="shared" si="254"/>
        <v>0</v>
      </c>
    </row>
    <row r="1967" spans="1:36">
      <c r="A1967" s="840" t="s">
        <v>153</v>
      </c>
      <c r="B1967" s="841" t="s">
        <v>266</v>
      </c>
      <c r="C1967" s="848" t="s">
        <v>319</v>
      </c>
      <c r="D1967" s="849"/>
      <c r="E1967" s="844">
        <v>198640</v>
      </c>
      <c r="F1967" s="845">
        <v>10</v>
      </c>
      <c r="G1967" s="846"/>
      <c r="H1967" s="847"/>
      <c r="I1967" s="846">
        <v>149422</v>
      </c>
      <c r="J1967" s="847">
        <v>150260</v>
      </c>
      <c r="K1967" s="846"/>
      <c r="L1967" s="847"/>
      <c r="M1967" s="846"/>
      <c r="N1967" s="846"/>
      <c r="O1967" s="737">
        <f t="shared" si="247"/>
        <v>0</v>
      </c>
      <c r="P1967" s="847"/>
      <c r="Q1967" s="847"/>
      <c r="R1967" s="738">
        <f t="shared" si="250"/>
        <v>0</v>
      </c>
      <c r="S1967" s="737">
        <f t="shared" si="251"/>
        <v>149422</v>
      </c>
      <c r="T1967" s="739">
        <f t="shared" si="252"/>
        <v>150260</v>
      </c>
      <c r="U1967" s="846"/>
      <c r="V1967" s="847"/>
      <c r="W1967" s="846"/>
      <c r="X1967" s="846"/>
      <c r="Y1967" s="740">
        <f t="shared" si="248"/>
        <v>0</v>
      </c>
      <c r="Z1967" s="847"/>
      <c r="AA1967" s="847"/>
      <c r="AB1967" s="741">
        <f t="shared" si="249"/>
        <v>0</v>
      </c>
      <c r="AC1967" s="846"/>
      <c r="AD1967" s="847"/>
      <c r="AE1967" s="846"/>
      <c r="AF1967" s="846"/>
      <c r="AG1967" s="847"/>
      <c r="AH1967" s="847"/>
      <c r="AI1967" s="742">
        <f t="shared" si="253"/>
        <v>149422</v>
      </c>
      <c r="AJ1967" s="743">
        <f t="shared" si="254"/>
        <v>150260</v>
      </c>
    </row>
    <row r="1968" spans="1:36">
      <c r="A1968" s="840" t="s">
        <v>153</v>
      </c>
      <c r="B1968" s="841" t="s">
        <v>275</v>
      </c>
      <c r="C1968" s="848" t="s">
        <v>258</v>
      </c>
      <c r="D1968" s="849"/>
      <c r="E1968" s="844">
        <v>198640</v>
      </c>
      <c r="F1968" s="845">
        <v>10</v>
      </c>
      <c r="G1968" s="846"/>
      <c r="H1968" s="847"/>
      <c r="I1968" s="846">
        <v>1238695</v>
      </c>
      <c r="J1968" s="847">
        <v>1066292</v>
      </c>
      <c r="K1968" s="846"/>
      <c r="L1968" s="847"/>
      <c r="M1968" s="846">
        <v>220998</v>
      </c>
      <c r="N1968" s="846"/>
      <c r="O1968" s="737">
        <f t="shared" si="247"/>
        <v>220998</v>
      </c>
      <c r="P1968" s="847">
        <v>183323</v>
      </c>
      <c r="Q1968" s="847"/>
      <c r="R1968" s="738">
        <f t="shared" si="250"/>
        <v>183323</v>
      </c>
      <c r="S1968" s="737">
        <f t="shared" si="251"/>
        <v>1459693</v>
      </c>
      <c r="T1968" s="739">
        <f t="shared" si="252"/>
        <v>1249615</v>
      </c>
      <c r="U1968" s="846"/>
      <c r="V1968" s="847"/>
      <c r="W1968" s="846"/>
      <c r="X1968" s="846"/>
      <c r="Y1968" s="740">
        <f t="shared" si="248"/>
        <v>0</v>
      </c>
      <c r="Z1968" s="847"/>
      <c r="AA1968" s="847"/>
      <c r="AB1968" s="741">
        <f t="shared" si="249"/>
        <v>0</v>
      </c>
      <c r="AC1968" s="846"/>
      <c r="AD1968" s="847"/>
      <c r="AE1968" s="846"/>
      <c r="AF1968" s="846"/>
      <c r="AG1968" s="847"/>
      <c r="AH1968" s="847"/>
      <c r="AI1968" s="742">
        <f t="shared" si="253"/>
        <v>1459693</v>
      </c>
      <c r="AJ1968" s="743">
        <f t="shared" si="254"/>
        <v>1249615</v>
      </c>
    </row>
    <row r="1969" spans="1:36">
      <c r="A1969" s="840" t="s">
        <v>153</v>
      </c>
      <c r="B1969" s="841" t="s">
        <v>264</v>
      </c>
      <c r="C1969" s="841" t="s">
        <v>1361</v>
      </c>
      <c r="D1969" s="1234"/>
      <c r="E1969" s="1235">
        <v>198668</v>
      </c>
      <c r="F1969" s="883">
        <v>10</v>
      </c>
      <c r="G1969" s="846">
        <v>7243292</v>
      </c>
      <c r="H1969" s="847">
        <v>7391522</v>
      </c>
      <c r="I1969" s="846"/>
      <c r="J1969" s="847"/>
      <c r="K1969" s="846">
        <v>2100456</v>
      </c>
      <c r="L1969" s="847">
        <v>2141106</v>
      </c>
      <c r="M1969" s="846">
        <v>3341584</v>
      </c>
      <c r="N1969" s="846"/>
      <c r="O1969" s="737">
        <f t="shared" si="247"/>
        <v>3341584</v>
      </c>
      <c r="P1969" s="847">
        <v>3142474</v>
      </c>
      <c r="Q1969" s="847"/>
      <c r="R1969" s="738">
        <f t="shared" si="250"/>
        <v>3142474</v>
      </c>
      <c r="S1969" s="737">
        <f t="shared" si="251"/>
        <v>12685332</v>
      </c>
      <c r="T1969" s="739">
        <f t="shared" si="252"/>
        <v>12675102</v>
      </c>
      <c r="U1969" s="846"/>
      <c r="V1969" s="847"/>
      <c r="W1969" s="846"/>
      <c r="X1969" s="846"/>
      <c r="Y1969" s="740">
        <f t="shared" si="248"/>
        <v>0</v>
      </c>
      <c r="Z1969" s="847"/>
      <c r="AA1969" s="847"/>
      <c r="AB1969" s="741">
        <f t="shared" si="249"/>
        <v>0</v>
      </c>
      <c r="AC1969" s="846"/>
      <c r="AD1969" s="847"/>
      <c r="AE1969" s="846"/>
      <c r="AF1969" s="846"/>
      <c r="AG1969" s="847"/>
      <c r="AH1969" s="847"/>
      <c r="AI1969" s="742">
        <f t="shared" si="253"/>
        <v>12685332</v>
      </c>
      <c r="AJ1969" s="743">
        <f t="shared" si="254"/>
        <v>12675102</v>
      </c>
    </row>
    <row r="1970" spans="1:36">
      <c r="A1970" s="840" t="s">
        <v>153</v>
      </c>
      <c r="B1970" s="841" t="s">
        <v>264</v>
      </c>
      <c r="C1970" s="848" t="s">
        <v>1320</v>
      </c>
      <c r="D1970" s="849"/>
      <c r="E1970" s="844">
        <v>198668</v>
      </c>
      <c r="F1970" s="883">
        <v>10</v>
      </c>
      <c r="G1970" s="846"/>
      <c r="H1970" s="847"/>
      <c r="I1970" s="846"/>
      <c r="J1970" s="847"/>
      <c r="K1970" s="846"/>
      <c r="L1970" s="847"/>
      <c r="M1970" s="846"/>
      <c r="N1970" s="846"/>
      <c r="O1970" s="737">
        <f t="shared" si="247"/>
        <v>0</v>
      </c>
      <c r="P1970" s="847"/>
      <c r="Q1970" s="847"/>
      <c r="R1970" s="738">
        <f t="shared" si="250"/>
        <v>0</v>
      </c>
      <c r="S1970" s="737">
        <f t="shared" si="251"/>
        <v>0</v>
      </c>
      <c r="T1970" s="739">
        <f t="shared" si="252"/>
        <v>0</v>
      </c>
      <c r="U1970" s="846"/>
      <c r="V1970" s="847"/>
      <c r="W1970" s="846"/>
      <c r="X1970" s="846"/>
      <c r="Y1970" s="740">
        <f t="shared" si="248"/>
        <v>0</v>
      </c>
      <c r="Z1970" s="847"/>
      <c r="AA1970" s="847"/>
      <c r="AB1970" s="741">
        <f t="shared" si="249"/>
        <v>0</v>
      </c>
      <c r="AC1970" s="846"/>
      <c r="AD1970" s="847"/>
      <c r="AE1970" s="846"/>
      <c r="AF1970" s="846"/>
      <c r="AG1970" s="847"/>
      <c r="AH1970" s="847"/>
      <c r="AI1970" s="742">
        <f t="shared" si="253"/>
        <v>0</v>
      </c>
      <c r="AJ1970" s="743">
        <f t="shared" si="254"/>
        <v>0</v>
      </c>
    </row>
    <row r="1971" spans="1:36">
      <c r="A1971" s="840" t="s">
        <v>153</v>
      </c>
      <c r="B1971" s="841" t="s">
        <v>266</v>
      </c>
      <c r="C1971" s="848" t="s">
        <v>319</v>
      </c>
      <c r="D1971" s="849"/>
      <c r="E1971" s="844">
        <v>198668</v>
      </c>
      <c r="F1971" s="883">
        <v>10</v>
      </c>
      <c r="G1971" s="846"/>
      <c r="H1971" s="847"/>
      <c r="I1971" s="846">
        <v>153044</v>
      </c>
      <c r="J1971" s="847">
        <v>155833</v>
      </c>
      <c r="K1971" s="846"/>
      <c r="L1971" s="847"/>
      <c r="M1971" s="846"/>
      <c r="N1971" s="846"/>
      <c r="O1971" s="737">
        <f t="shared" si="247"/>
        <v>0</v>
      </c>
      <c r="P1971" s="847"/>
      <c r="Q1971" s="847"/>
      <c r="R1971" s="738">
        <f t="shared" si="250"/>
        <v>0</v>
      </c>
      <c r="S1971" s="737">
        <f t="shared" si="251"/>
        <v>153044</v>
      </c>
      <c r="T1971" s="739">
        <f t="shared" si="252"/>
        <v>155833</v>
      </c>
      <c r="U1971" s="846"/>
      <c r="V1971" s="847"/>
      <c r="W1971" s="846"/>
      <c r="X1971" s="846"/>
      <c r="Y1971" s="740">
        <f t="shared" si="248"/>
        <v>0</v>
      </c>
      <c r="Z1971" s="847"/>
      <c r="AA1971" s="847"/>
      <c r="AB1971" s="741">
        <f t="shared" si="249"/>
        <v>0</v>
      </c>
      <c r="AC1971" s="846"/>
      <c r="AD1971" s="847"/>
      <c r="AE1971" s="846"/>
      <c r="AF1971" s="846"/>
      <c r="AG1971" s="847"/>
      <c r="AH1971" s="847"/>
      <c r="AI1971" s="742">
        <f t="shared" si="253"/>
        <v>153044</v>
      </c>
      <c r="AJ1971" s="743">
        <f t="shared" si="254"/>
        <v>155833</v>
      </c>
    </row>
    <row r="1972" spans="1:36">
      <c r="A1972" s="840" t="s">
        <v>153</v>
      </c>
      <c r="B1972" s="841" t="s">
        <v>275</v>
      </c>
      <c r="C1972" s="848" t="s">
        <v>258</v>
      </c>
      <c r="D1972" s="849"/>
      <c r="E1972" s="844">
        <v>198668</v>
      </c>
      <c r="F1972" s="883">
        <v>10</v>
      </c>
      <c r="G1972" s="846"/>
      <c r="H1972" s="847"/>
      <c r="I1972" s="846">
        <v>874276</v>
      </c>
      <c r="J1972" s="847">
        <v>884013</v>
      </c>
      <c r="K1972" s="846"/>
      <c r="L1972" s="847"/>
      <c r="M1972" s="846">
        <v>164640</v>
      </c>
      <c r="N1972" s="846"/>
      <c r="O1972" s="737">
        <f t="shared" si="247"/>
        <v>164640</v>
      </c>
      <c r="P1972" s="847">
        <v>162676</v>
      </c>
      <c r="Q1972" s="847"/>
      <c r="R1972" s="738">
        <f t="shared" si="250"/>
        <v>162676</v>
      </c>
      <c r="S1972" s="737">
        <f t="shared" si="251"/>
        <v>1038916</v>
      </c>
      <c r="T1972" s="739">
        <f t="shared" si="252"/>
        <v>1046689</v>
      </c>
      <c r="U1972" s="846"/>
      <c r="V1972" s="847"/>
      <c r="W1972" s="846"/>
      <c r="X1972" s="846"/>
      <c r="Y1972" s="740">
        <f t="shared" si="248"/>
        <v>0</v>
      </c>
      <c r="Z1972" s="847"/>
      <c r="AA1972" s="847"/>
      <c r="AB1972" s="741">
        <f t="shared" si="249"/>
        <v>0</v>
      </c>
      <c r="AC1972" s="846"/>
      <c r="AD1972" s="847"/>
      <c r="AE1972" s="846"/>
      <c r="AF1972" s="846"/>
      <c r="AG1972" s="847"/>
      <c r="AH1972" s="847"/>
      <c r="AI1972" s="742">
        <f t="shared" si="253"/>
        <v>1038916</v>
      </c>
      <c r="AJ1972" s="743">
        <f t="shared" si="254"/>
        <v>1046689</v>
      </c>
    </row>
    <row r="1973" spans="1:36">
      <c r="A1973" s="840" t="s">
        <v>153</v>
      </c>
      <c r="B1973" s="841" t="s">
        <v>264</v>
      </c>
      <c r="C1973" s="841" t="s">
        <v>1362</v>
      </c>
      <c r="D1973" s="872"/>
      <c r="E1973" s="844">
        <v>198729</v>
      </c>
      <c r="F1973" s="845">
        <v>10</v>
      </c>
      <c r="G1973" s="846">
        <v>5656510</v>
      </c>
      <c r="H1973" s="847">
        <v>5693296</v>
      </c>
      <c r="I1973" s="846"/>
      <c r="J1973" s="847"/>
      <c r="K1973" s="846">
        <v>1543970</v>
      </c>
      <c r="L1973" s="847">
        <v>1621168</v>
      </c>
      <c r="M1973" s="846">
        <v>2387882</v>
      </c>
      <c r="N1973" s="846"/>
      <c r="O1973" s="737">
        <f t="shared" si="247"/>
        <v>2387882</v>
      </c>
      <c r="P1973" s="847">
        <v>2209752</v>
      </c>
      <c r="Q1973" s="847"/>
      <c r="R1973" s="738">
        <f t="shared" si="250"/>
        <v>2209752</v>
      </c>
      <c r="S1973" s="737">
        <f t="shared" si="251"/>
        <v>9588362</v>
      </c>
      <c r="T1973" s="739">
        <f t="shared" si="252"/>
        <v>9524216</v>
      </c>
      <c r="U1973" s="846"/>
      <c r="V1973" s="847"/>
      <c r="W1973" s="846"/>
      <c r="X1973" s="846"/>
      <c r="Y1973" s="740">
        <f t="shared" si="248"/>
        <v>0</v>
      </c>
      <c r="Z1973" s="847"/>
      <c r="AA1973" s="847"/>
      <c r="AB1973" s="741">
        <f t="shared" si="249"/>
        <v>0</v>
      </c>
      <c r="AC1973" s="846"/>
      <c r="AD1973" s="847"/>
      <c r="AE1973" s="846"/>
      <c r="AF1973" s="846"/>
      <c r="AG1973" s="847"/>
      <c r="AH1973" s="847"/>
      <c r="AI1973" s="742">
        <f t="shared" si="253"/>
        <v>9588362</v>
      </c>
      <c r="AJ1973" s="743">
        <f t="shared" si="254"/>
        <v>9524216</v>
      </c>
    </row>
    <row r="1974" spans="1:36">
      <c r="A1974" s="840" t="s">
        <v>153</v>
      </c>
      <c r="B1974" s="841" t="s">
        <v>264</v>
      </c>
      <c r="C1974" s="848" t="s">
        <v>1320</v>
      </c>
      <c r="D1974" s="849"/>
      <c r="E1974" s="844">
        <v>198729</v>
      </c>
      <c r="F1974" s="845">
        <v>10</v>
      </c>
      <c r="G1974" s="846"/>
      <c r="H1974" s="847"/>
      <c r="I1974" s="846"/>
      <c r="J1974" s="847"/>
      <c r="K1974" s="846"/>
      <c r="L1974" s="847"/>
      <c r="M1974" s="846"/>
      <c r="N1974" s="846"/>
      <c r="O1974" s="737">
        <f t="shared" si="247"/>
        <v>0</v>
      </c>
      <c r="P1974" s="847"/>
      <c r="Q1974" s="847"/>
      <c r="R1974" s="738">
        <f t="shared" si="250"/>
        <v>0</v>
      </c>
      <c r="S1974" s="737">
        <f t="shared" si="251"/>
        <v>0</v>
      </c>
      <c r="T1974" s="739">
        <f t="shared" si="252"/>
        <v>0</v>
      </c>
      <c r="U1974" s="846"/>
      <c r="V1974" s="847"/>
      <c r="W1974" s="846"/>
      <c r="X1974" s="846"/>
      <c r="Y1974" s="740">
        <f t="shared" si="248"/>
        <v>0</v>
      </c>
      <c r="Z1974" s="847"/>
      <c r="AA1974" s="847"/>
      <c r="AB1974" s="741">
        <f t="shared" si="249"/>
        <v>0</v>
      </c>
      <c r="AC1974" s="846"/>
      <c r="AD1974" s="847"/>
      <c r="AE1974" s="846"/>
      <c r="AF1974" s="846"/>
      <c r="AG1974" s="847"/>
      <c r="AH1974" s="847"/>
      <c r="AI1974" s="742">
        <f t="shared" si="253"/>
        <v>0</v>
      </c>
      <c r="AJ1974" s="743">
        <f t="shared" si="254"/>
        <v>0</v>
      </c>
    </row>
    <row r="1975" spans="1:36">
      <c r="A1975" s="840" t="s">
        <v>153</v>
      </c>
      <c r="B1975" s="841" t="s">
        <v>266</v>
      </c>
      <c r="C1975" s="848" t="s">
        <v>319</v>
      </c>
      <c r="D1975" s="849"/>
      <c r="E1975" s="844">
        <v>198729</v>
      </c>
      <c r="F1975" s="845">
        <v>10</v>
      </c>
      <c r="G1975" s="846"/>
      <c r="H1975" s="847"/>
      <c r="I1975" s="846">
        <v>156354</v>
      </c>
      <c r="J1975" s="847">
        <v>156126</v>
      </c>
      <c r="K1975" s="846"/>
      <c r="L1975" s="847"/>
      <c r="M1975" s="846"/>
      <c r="N1975" s="846"/>
      <c r="O1975" s="737">
        <f t="shared" si="247"/>
        <v>0</v>
      </c>
      <c r="P1975" s="847"/>
      <c r="Q1975" s="847"/>
      <c r="R1975" s="738">
        <f t="shared" si="250"/>
        <v>0</v>
      </c>
      <c r="S1975" s="737">
        <f t="shared" si="251"/>
        <v>156354</v>
      </c>
      <c r="T1975" s="739">
        <f t="shared" si="252"/>
        <v>156126</v>
      </c>
      <c r="U1975" s="846"/>
      <c r="V1975" s="847"/>
      <c r="W1975" s="846"/>
      <c r="X1975" s="846"/>
      <c r="Y1975" s="740">
        <f t="shared" si="248"/>
        <v>0</v>
      </c>
      <c r="Z1975" s="847"/>
      <c r="AA1975" s="847"/>
      <c r="AB1975" s="741">
        <f t="shared" si="249"/>
        <v>0</v>
      </c>
      <c r="AC1975" s="846"/>
      <c r="AD1975" s="847"/>
      <c r="AE1975" s="846"/>
      <c r="AF1975" s="846"/>
      <c r="AG1975" s="847"/>
      <c r="AH1975" s="847"/>
      <c r="AI1975" s="742">
        <f t="shared" si="253"/>
        <v>156354</v>
      </c>
      <c r="AJ1975" s="743">
        <f t="shared" si="254"/>
        <v>156126</v>
      </c>
    </row>
    <row r="1976" spans="1:36">
      <c r="A1976" s="840" t="s">
        <v>153</v>
      </c>
      <c r="B1976" s="841" t="s">
        <v>275</v>
      </c>
      <c r="C1976" s="848" t="s">
        <v>258</v>
      </c>
      <c r="D1976" s="849"/>
      <c r="E1976" s="844">
        <v>198729</v>
      </c>
      <c r="F1976" s="845">
        <v>10</v>
      </c>
      <c r="G1976" s="846"/>
      <c r="H1976" s="847"/>
      <c r="I1976" s="846">
        <v>946097</v>
      </c>
      <c r="J1976" s="847">
        <v>858902</v>
      </c>
      <c r="K1976" s="846"/>
      <c r="L1976" s="847"/>
      <c r="M1976" s="846">
        <v>164640</v>
      </c>
      <c r="N1976" s="846"/>
      <c r="O1976" s="737">
        <f t="shared" si="247"/>
        <v>164640</v>
      </c>
      <c r="P1976" s="847">
        <v>142029</v>
      </c>
      <c r="Q1976" s="847"/>
      <c r="R1976" s="738">
        <f t="shared" si="250"/>
        <v>142029</v>
      </c>
      <c r="S1976" s="737">
        <f t="shared" si="251"/>
        <v>1110737</v>
      </c>
      <c r="T1976" s="739">
        <f t="shared" si="252"/>
        <v>1000931</v>
      </c>
      <c r="U1976" s="846"/>
      <c r="V1976" s="847"/>
      <c r="W1976" s="846"/>
      <c r="X1976" s="846"/>
      <c r="Y1976" s="740">
        <f t="shared" si="248"/>
        <v>0</v>
      </c>
      <c r="Z1976" s="847"/>
      <c r="AA1976" s="847"/>
      <c r="AB1976" s="741">
        <f t="shared" si="249"/>
        <v>0</v>
      </c>
      <c r="AC1976" s="846"/>
      <c r="AD1976" s="847"/>
      <c r="AE1976" s="846"/>
      <c r="AF1976" s="846"/>
      <c r="AG1976" s="847"/>
      <c r="AH1976" s="847"/>
      <c r="AI1976" s="742">
        <f t="shared" si="253"/>
        <v>1110737</v>
      </c>
      <c r="AJ1976" s="743">
        <f t="shared" si="254"/>
        <v>1000931</v>
      </c>
    </row>
    <row r="1977" spans="1:36">
      <c r="A1977" s="840" t="s">
        <v>153</v>
      </c>
      <c r="B1977" s="841" t="s">
        <v>264</v>
      </c>
      <c r="C1977" s="841" t="s">
        <v>1363</v>
      </c>
      <c r="D1977" s="872"/>
      <c r="E1977" s="844">
        <v>198905</v>
      </c>
      <c r="F1977" s="845">
        <v>10</v>
      </c>
      <c r="G1977" s="846">
        <v>3807260</v>
      </c>
      <c r="H1977" s="847">
        <v>3929674</v>
      </c>
      <c r="I1977" s="846"/>
      <c r="J1977" s="847"/>
      <c r="K1977" s="846">
        <v>916649</v>
      </c>
      <c r="L1977" s="847">
        <v>923950</v>
      </c>
      <c r="M1977" s="846">
        <v>1223858</v>
      </c>
      <c r="N1977" s="846"/>
      <c r="O1977" s="737">
        <f t="shared" si="247"/>
        <v>1223858</v>
      </c>
      <c r="P1977" s="847">
        <v>1144043</v>
      </c>
      <c r="Q1977" s="847"/>
      <c r="R1977" s="738">
        <f t="shared" si="250"/>
        <v>1144043</v>
      </c>
      <c r="S1977" s="737">
        <f t="shared" si="251"/>
        <v>5947767</v>
      </c>
      <c r="T1977" s="739">
        <f t="shared" si="252"/>
        <v>5997667</v>
      </c>
      <c r="U1977" s="846"/>
      <c r="V1977" s="847"/>
      <c r="W1977" s="846"/>
      <c r="X1977" s="846"/>
      <c r="Y1977" s="740">
        <f t="shared" si="248"/>
        <v>0</v>
      </c>
      <c r="Z1977" s="847"/>
      <c r="AA1977" s="847"/>
      <c r="AB1977" s="741">
        <f t="shared" si="249"/>
        <v>0</v>
      </c>
      <c r="AC1977" s="846"/>
      <c r="AD1977" s="847"/>
      <c r="AE1977" s="846"/>
      <c r="AF1977" s="846"/>
      <c r="AG1977" s="847"/>
      <c r="AH1977" s="847"/>
      <c r="AI1977" s="742">
        <f t="shared" si="253"/>
        <v>5947767</v>
      </c>
      <c r="AJ1977" s="743">
        <f t="shared" si="254"/>
        <v>5997667</v>
      </c>
    </row>
    <row r="1978" spans="1:36">
      <c r="A1978" s="840" t="s">
        <v>153</v>
      </c>
      <c r="B1978" s="841" t="s">
        <v>264</v>
      </c>
      <c r="C1978" s="848" t="s">
        <v>1320</v>
      </c>
      <c r="D1978" s="849"/>
      <c r="E1978" s="844">
        <v>198905</v>
      </c>
      <c r="F1978" s="845">
        <v>10</v>
      </c>
      <c r="G1978" s="846"/>
      <c r="H1978" s="847"/>
      <c r="I1978" s="846"/>
      <c r="J1978" s="847"/>
      <c r="K1978" s="846"/>
      <c r="L1978" s="847"/>
      <c r="M1978" s="846"/>
      <c r="N1978" s="846"/>
      <c r="O1978" s="737">
        <f t="shared" si="247"/>
        <v>0</v>
      </c>
      <c r="P1978" s="847"/>
      <c r="Q1978" s="847"/>
      <c r="R1978" s="738">
        <f t="shared" si="250"/>
        <v>0</v>
      </c>
      <c r="S1978" s="737">
        <f t="shared" si="251"/>
        <v>0</v>
      </c>
      <c r="T1978" s="739">
        <f t="shared" si="252"/>
        <v>0</v>
      </c>
      <c r="U1978" s="846"/>
      <c r="V1978" s="847"/>
      <c r="W1978" s="846"/>
      <c r="X1978" s="846"/>
      <c r="Y1978" s="740">
        <f t="shared" si="248"/>
        <v>0</v>
      </c>
      <c r="Z1978" s="847"/>
      <c r="AA1978" s="847"/>
      <c r="AB1978" s="741">
        <f t="shared" si="249"/>
        <v>0</v>
      </c>
      <c r="AC1978" s="846"/>
      <c r="AD1978" s="847"/>
      <c r="AE1978" s="846"/>
      <c r="AF1978" s="846"/>
      <c r="AG1978" s="847"/>
      <c r="AH1978" s="847"/>
      <c r="AI1978" s="742">
        <f t="shared" si="253"/>
        <v>0</v>
      </c>
      <c r="AJ1978" s="743">
        <f t="shared" si="254"/>
        <v>0</v>
      </c>
    </row>
    <row r="1979" spans="1:36">
      <c r="A1979" s="840" t="s">
        <v>153</v>
      </c>
      <c r="B1979" s="841" t="s">
        <v>266</v>
      </c>
      <c r="C1979" s="848" t="s">
        <v>319</v>
      </c>
      <c r="D1979" s="849"/>
      <c r="E1979" s="844">
        <v>198905</v>
      </c>
      <c r="F1979" s="845">
        <v>10</v>
      </c>
      <c r="G1979" s="846"/>
      <c r="H1979" s="847"/>
      <c r="I1979" s="846">
        <v>145963</v>
      </c>
      <c r="J1979" s="847">
        <v>145626</v>
      </c>
      <c r="K1979" s="846"/>
      <c r="L1979" s="847"/>
      <c r="M1979" s="846"/>
      <c r="N1979" s="846"/>
      <c r="O1979" s="737">
        <f t="shared" si="247"/>
        <v>0</v>
      </c>
      <c r="P1979" s="847"/>
      <c r="Q1979" s="847"/>
      <c r="R1979" s="738">
        <f t="shared" si="250"/>
        <v>0</v>
      </c>
      <c r="S1979" s="737">
        <f t="shared" si="251"/>
        <v>145963</v>
      </c>
      <c r="T1979" s="739">
        <f t="shared" si="252"/>
        <v>145626</v>
      </c>
      <c r="U1979" s="846"/>
      <c r="V1979" s="847"/>
      <c r="W1979" s="846"/>
      <c r="X1979" s="846"/>
      <c r="Y1979" s="740">
        <f t="shared" si="248"/>
        <v>0</v>
      </c>
      <c r="Z1979" s="847"/>
      <c r="AA1979" s="847"/>
      <c r="AB1979" s="741">
        <f t="shared" si="249"/>
        <v>0</v>
      </c>
      <c r="AC1979" s="846"/>
      <c r="AD1979" s="847"/>
      <c r="AE1979" s="846"/>
      <c r="AF1979" s="846"/>
      <c r="AG1979" s="847"/>
      <c r="AH1979" s="847"/>
      <c r="AI1979" s="742">
        <f t="shared" si="253"/>
        <v>145963</v>
      </c>
      <c r="AJ1979" s="743">
        <f t="shared" si="254"/>
        <v>145626</v>
      </c>
    </row>
    <row r="1980" spans="1:36">
      <c r="A1980" s="840" t="s">
        <v>153</v>
      </c>
      <c r="B1980" s="841" t="s">
        <v>275</v>
      </c>
      <c r="C1980" s="848" t="s">
        <v>258</v>
      </c>
      <c r="D1980" s="849"/>
      <c r="E1980" s="844">
        <v>198905</v>
      </c>
      <c r="F1980" s="845">
        <v>10</v>
      </c>
      <c r="G1980" s="846"/>
      <c r="H1980" s="847"/>
      <c r="I1980" s="846">
        <v>985809</v>
      </c>
      <c r="J1980" s="847">
        <v>1011241</v>
      </c>
      <c r="K1980" s="846"/>
      <c r="L1980" s="847"/>
      <c r="M1980" s="846">
        <v>117148</v>
      </c>
      <c r="N1980" s="846"/>
      <c r="O1980" s="737">
        <f t="shared" si="247"/>
        <v>117148</v>
      </c>
      <c r="P1980" s="847">
        <v>129515</v>
      </c>
      <c r="Q1980" s="847"/>
      <c r="R1980" s="738">
        <f t="shared" si="250"/>
        <v>129515</v>
      </c>
      <c r="S1980" s="737">
        <f t="shared" si="251"/>
        <v>1102957</v>
      </c>
      <c r="T1980" s="739">
        <f t="shared" si="252"/>
        <v>1140756</v>
      </c>
      <c r="U1980" s="846"/>
      <c r="V1980" s="847"/>
      <c r="W1980" s="846"/>
      <c r="X1980" s="846"/>
      <c r="Y1980" s="740">
        <f t="shared" si="248"/>
        <v>0</v>
      </c>
      <c r="Z1980" s="847"/>
      <c r="AA1980" s="847"/>
      <c r="AB1980" s="741">
        <f t="shared" si="249"/>
        <v>0</v>
      </c>
      <c r="AC1980" s="846"/>
      <c r="AD1980" s="847"/>
      <c r="AE1980" s="846"/>
      <c r="AF1980" s="846"/>
      <c r="AG1980" s="847"/>
      <c r="AH1980" s="847"/>
      <c r="AI1980" s="742">
        <f t="shared" si="253"/>
        <v>1102957</v>
      </c>
      <c r="AJ1980" s="743">
        <f t="shared" si="254"/>
        <v>1140756</v>
      </c>
    </row>
    <row r="1981" spans="1:36">
      <c r="A1981" s="840" t="s">
        <v>153</v>
      </c>
      <c r="B1981" s="841" t="s">
        <v>264</v>
      </c>
      <c r="C1981" s="1057" t="s">
        <v>1364</v>
      </c>
      <c r="D1981" s="1231"/>
      <c r="E1981" s="844">
        <v>198914</v>
      </c>
      <c r="F1981" s="855">
        <v>10</v>
      </c>
      <c r="G1981" s="846">
        <v>5420931</v>
      </c>
      <c r="H1981" s="847">
        <v>5620380</v>
      </c>
      <c r="I1981" s="846"/>
      <c r="J1981" s="847"/>
      <c r="K1981" s="846">
        <v>910047</v>
      </c>
      <c r="L1981" s="847">
        <v>937616</v>
      </c>
      <c r="M1981" s="846">
        <v>1834880</v>
      </c>
      <c r="N1981" s="846"/>
      <c r="O1981" s="737">
        <f t="shared" si="247"/>
        <v>1834880</v>
      </c>
      <c r="P1981" s="847">
        <v>1754321</v>
      </c>
      <c r="Q1981" s="847"/>
      <c r="R1981" s="738">
        <f t="shared" si="250"/>
        <v>1754321</v>
      </c>
      <c r="S1981" s="737">
        <f t="shared" si="251"/>
        <v>8165858</v>
      </c>
      <c r="T1981" s="739">
        <f t="shared" si="252"/>
        <v>8312317</v>
      </c>
      <c r="U1981" s="846"/>
      <c r="V1981" s="847"/>
      <c r="W1981" s="846"/>
      <c r="X1981" s="846"/>
      <c r="Y1981" s="740">
        <f t="shared" si="248"/>
        <v>0</v>
      </c>
      <c r="Z1981" s="847"/>
      <c r="AA1981" s="847"/>
      <c r="AB1981" s="741">
        <f t="shared" si="249"/>
        <v>0</v>
      </c>
      <c r="AC1981" s="846"/>
      <c r="AD1981" s="847"/>
      <c r="AE1981" s="846"/>
      <c r="AF1981" s="846"/>
      <c r="AG1981" s="847"/>
      <c r="AH1981" s="847"/>
      <c r="AI1981" s="742">
        <f t="shared" si="253"/>
        <v>8165858</v>
      </c>
      <c r="AJ1981" s="743">
        <f t="shared" si="254"/>
        <v>8312317</v>
      </c>
    </row>
    <row r="1982" spans="1:36">
      <c r="A1982" s="840" t="s">
        <v>153</v>
      </c>
      <c r="B1982" s="841" t="s">
        <v>264</v>
      </c>
      <c r="C1982" s="848" t="s">
        <v>1320</v>
      </c>
      <c r="D1982" s="849"/>
      <c r="E1982" s="844">
        <v>198914</v>
      </c>
      <c r="F1982" s="855">
        <v>10</v>
      </c>
      <c r="G1982" s="846"/>
      <c r="H1982" s="847"/>
      <c r="I1982" s="846"/>
      <c r="J1982" s="847"/>
      <c r="K1982" s="846"/>
      <c r="L1982" s="847"/>
      <c r="M1982" s="846"/>
      <c r="N1982" s="846"/>
      <c r="O1982" s="737">
        <f t="shared" si="247"/>
        <v>0</v>
      </c>
      <c r="P1982" s="847"/>
      <c r="Q1982" s="847"/>
      <c r="R1982" s="738">
        <f t="shared" si="250"/>
        <v>0</v>
      </c>
      <c r="S1982" s="737">
        <f t="shared" si="251"/>
        <v>0</v>
      </c>
      <c r="T1982" s="739">
        <f t="shared" si="252"/>
        <v>0</v>
      </c>
      <c r="U1982" s="846"/>
      <c r="V1982" s="847"/>
      <c r="W1982" s="846"/>
      <c r="X1982" s="846"/>
      <c r="Y1982" s="740">
        <f t="shared" si="248"/>
        <v>0</v>
      </c>
      <c r="Z1982" s="847"/>
      <c r="AA1982" s="847"/>
      <c r="AB1982" s="741">
        <f t="shared" si="249"/>
        <v>0</v>
      </c>
      <c r="AC1982" s="846"/>
      <c r="AD1982" s="847"/>
      <c r="AE1982" s="846"/>
      <c r="AF1982" s="846"/>
      <c r="AG1982" s="847"/>
      <c r="AH1982" s="847"/>
      <c r="AI1982" s="742">
        <f t="shared" si="253"/>
        <v>0</v>
      </c>
      <c r="AJ1982" s="743">
        <f t="shared" si="254"/>
        <v>0</v>
      </c>
    </row>
    <row r="1983" spans="1:36">
      <c r="A1983" s="840" t="s">
        <v>153</v>
      </c>
      <c r="B1983" s="841" t="s">
        <v>266</v>
      </c>
      <c r="C1983" s="848" t="s">
        <v>319</v>
      </c>
      <c r="D1983" s="849"/>
      <c r="E1983" s="844">
        <v>198914</v>
      </c>
      <c r="F1983" s="855">
        <v>10</v>
      </c>
      <c r="G1983" s="846"/>
      <c r="H1983" s="847"/>
      <c r="I1983" s="846">
        <v>151800</v>
      </c>
      <c r="J1983" s="847">
        <v>152964</v>
      </c>
      <c r="K1983" s="846"/>
      <c r="L1983" s="847"/>
      <c r="M1983" s="846"/>
      <c r="N1983" s="846"/>
      <c r="O1983" s="737">
        <f t="shared" si="247"/>
        <v>0</v>
      </c>
      <c r="P1983" s="847"/>
      <c r="Q1983" s="847"/>
      <c r="R1983" s="738">
        <f t="shared" si="250"/>
        <v>0</v>
      </c>
      <c r="S1983" s="737">
        <f t="shared" si="251"/>
        <v>151800</v>
      </c>
      <c r="T1983" s="739">
        <f t="shared" si="252"/>
        <v>152964</v>
      </c>
      <c r="U1983" s="846"/>
      <c r="V1983" s="847"/>
      <c r="W1983" s="846"/>
      <c r="X1983" s="846"/>
      <c r="Y1983" s="740">
        <f t="shared" si="248"/>
        <v>0</v>
      </c>
      <c r="Z1983" s="847"/>
      <c r="AA1983" s="847"/>
      <c r="AB1983" s="741">
        <f t="shared" si="249"/>
        <v>0</v>
      </c>
      <c r="AC1983" s="846"/>
      <c r="AD1983" s="847"/>
      <c r="AE1983" s="846"/>
      <c r="AF1983" s="846"/>
      <c r="AG1983" s="847"/>
      <c r="AH1983" s="847"/>
      <c r="AI1983" s="742">
        <f t="shared" si="253"/>
        <v>151800</v>
      </c>
      <c r="AJ1983" s="743">
        <f t="shared" si="254"/>
        <v>152964</v>
      </c>
    </row>
    <row r="1984" spans="1:36">
      <c r="A1984" s="840" t="s">
        <v>153</v>
      </c>
      <c r="B1984" s="841" t="s">
        <v>275</v>
      </c>
      <c r="C1984" s="848" t="s">
        <v>258</v>
      </c>
      <c r="D1984" s="849"/>
      <c r="E1984" s="844">
        <v>198914</v>
      </c>
      <c r="F1984" s="855">
        <v>10</v>
      </c>
      <c r="G1984" s="846"/>
      <c r="H1984" s="847"/>
      <c r="I1984" s="846">
        <v>2108177</v>
      </c>
      <c r="J1984" s="847">
        <v>2080864</v>
      </c>
      <c r="K1984" s="846"/>
      <c r="L1984" s="847"/>
      <c r="M1984" s="846">
        <v>278622</v>
      </c>
      <c r="N1984" s="846"/>
      <c r="O1984" s="737">
        <f t="shared" si="247"/>
        <v>278622</v>
      </c>
      <c r="P1984" s="847">
        <v>263410</v>
      </c>
      <c r="Q1984" s="847"/>
      <c r="R1984" s="738">
        <f t="shared" si="250"/>
        <v>263410</v>
      </c>
      <c r="S1984" s="737">
        <f t="shared" si="251"/>
        <v>2386799</v>
      </c>
      <c r="T1984" s="739">
        <f t="shared" si="252"/>
        <v>2344274</v>
      </c>
      <c r="U1984" s="846"/>
      <c r="V1984" s="847"/>
      <c r="W1984" s="846"/>
      <c r="X1984" s="846"/>
      <c r="Y1984" s="740">
        <f t="shared" si="248"/>
        <v>0</v>
      </c>
      <c r="Z1984" s="847"/>
      <c r="AA1984" s="847"/>
      <c r="AB1984" s="741">
        <f t="shared" si="249"/>
        <v>0</v>
      </c>
      <c r="AC1984" s="846"/>
      <c r="AD1984" s="847"/>
      <c r="AE1984" s="846"/>
      <c r="AF1984" s="846"/>
      <c r="AG1984" s="847"/>
      <c r="AH1984" s="847"/>
      <c r="AI1984" s="742">
        <f t="shared" si="253"/>
        <v>2386799</v>
      </c>
      <c r="AJ1984" s="743">
        <f t="shared" si="254"/>
        <v>2344274</v>
      </c>
    </row>
    <row r="1985" spans="1:36">
      <c r="A1985" s="840" t="s">
        <v>153</v>
      </c>
      <c r="B1985" s="841" t="s">
        <v>264</v>
      </c>
      <c r="C1985" s="841" t="s">
        <v>1365</v>
      </c>
      <c r="D1985" s="872"/>
      <c r="E1985" s="844">
        <v>198923</v>
      </c>
      <c r="F1985" s="845">
        <v>10</v>
      </c>
      <c r="G1985" s="846">
        <v>5208609</v>
      </c>
      <c r="H1985" s="847">
        <v>5345154</v>
      </c>
      <c r="I1985" s="846"/>
      <c r="J1985" s="847"/>
      <c r="K1985" s="846">
        <v>881290</v>
      </c>
      <c r="L1985" s="847">
        <v>889650</v>
      </c>
      <c r="M1985" s="846">
        <v>1987182</v>
      </c>
      <c r="N1985" s="846"/>
      <c r="O1985" s="737">
        <f t="shared" si="247"/>
        <v>1987182</v>
      </c>
      <c r="P1985" s="847">
        <v>1883663</v>
      </c>
      <c r="Q1985" s="847"/>
      <c r="R1985" s="738">
        <f t="shared" si="250"/>
        <v>1883663</v>
      </c>
      <c r="S1985" s="737">
        <f t="shared" si="251"/>
        <v>8077081</v>
      </c>
      <c r="T1985" s="739">
        <f t="shared" si="252"/>
        <v>8118467</v>
      </c>
      <c r="U1985" s="846"/>
      <c r="V1985" s="847"/>
      <c r="W1985" s="846"/>
      <c r="X1985" s="846"/>
      <c r="Y1985" s="740">
        <f t="shared" si="248"/>
        <v>0</v>
      </c>
      <c r="Z1985" s="847"/>
      <c r="AA1985" s="847"/>
      <c r="AB1985" s="741">
        <f t="shared" si="249"/>
        <v>0</v>
      </c>
      <c r="AC1985" s="846"/>
      <c r="AD1985" s="847"/>
      <c r="AE1985" s="846"/>
      <c r="AF1985" s="846"/>
      <c r="AG1985" s="847"/>
      <c r="AH1985" s="847"/>
      <c r="AI1985" s="742">
        <f t="shared" si="253"/>
        <v>8077081</v>
      </c>
      <c r="AJ1985" s="743">
        <f t="shared" si="254"/>
        <v>8118467</v>
      </c>
    </row>
    <row r="1986" spans="1:36">
      <c r="A1986" s="840" t="s">
        <v>153</v>
      </c>
      <c r="B1986" s="841" t="s">
        <v>264</v>
      </c>
      <c r="C1986" s="848" t="s">
        <v>1320</v>
      </c>
      <c r="D1986" s="849"/>
      <c r="E1986" s="844">
        <v>198923</v>
      </c>
      <c r="F1986" s="845">
        <v>10</v>
      </c>
      <c r="G1986" s="846"/>
      <c r="H1986" s="847"/>
      <c r="I1986" s="846"/>
      <c r="J1986" s="847"/>
      <c r="K1986" s="846"/>
      <c r="L1986" s="847"/>
      <c r="M1986" s="846"/>
      <c r="N1986" s="846"/>
      <c r="O1986" s="737">
        <f t="shared" si="247"/>
        <v>0</v>
      </c>
      <c r="P1986" s="847"/>
      <c r="Q1986" s="847"/>
      <c r="R1986" s="738">
        <f t="shared" si="250"/>
        <v>0</v>
      </c>
      <c r="S1986" s="737">
        <f t="shared" si="251"/>
        <v>0</v>
      </c>
      <c r="T1986" s="739">
        <f t="shared" si="252"/>
        <v>0</v>
      </c>
      <c r="U1986" s="846"/>
      <c r="V1986" s="847"/>
      <c r="W1986" s="846"/>
      <c r="X1986" s="846"/>
      <c r="Y1986" s="740">
        <f t="shared" si="248"/>
        <v>0</v>
      </c>
      <c r="Z1986" s="847"/>
      <c r="AA1986" s="847"/>
      <c r="AB1986" s="741">
        <f t="shared" si="249"/>
        <v>0</v>
      </c>
      <c r="AC1986" s="846"/>
      <c r="AD1986" s="847"/>
      <c r="AE1986" s="846"/>
      <c r="AF1986" s="846"/>
      <c r="AG1986" s="847"/>
      <c r="AH1986" s="847"/>
      <c r="AI1986" s="742">
        <f t="shared" si="253"/>
        <v>0</v>
      </c>
      <c r="AJ1986" s="743">
        <f t="shared" si="254"/>
        <v>0</v>
      </c>
    </row>
    <row r="1987" spans="1:36">
      <c r="A1987" s="840" t="s">
        <v>153</v>
      </c>
      <c r="B1987" s="841" t="s">
        <v>266</v>
      </c>
      <c r="C1987" s="848" t="s">
        <v>319</v>
      </c>
      <c r="D1987" s="849"/>
      <c r="E1987" s="844">
        <v>198923</v>
      </c>
      <c r="F1987" s="845">
        <v>10</v>
      </c>
      <c r="G1987" s="846"/>
      <c r="H1987" s="847"/>
      <c r="I1987" s="846">
        <v>148734</v>
      </c>
      <c r="J1987" s="847">
        <v>152319</v>
      </c>
      <c r="K1987" s="846"/>
      <c r="L1987" s="847"/>
      <c r="M1987" s="846"/>
      <c r="N1987" s="846"/>
      <c r="O1987" s="737">
        <f t="shared" si="247"/>
        <v>0</v>
      </c>
      <c r="P1987" s="847"/>
      <c r="Q1987" s="847"/>
      <c r="R1987" s="738">
        <f t="shared" si="250"/>
        <v>0</v>
      </c>
      <c r="S1987" s="737">
        <f t="shared" si="251"/>
        <v>148734</v>
      </c>
      <c r="T1987" s="739">
        <f t="shared" si="252"/>
        <v>152319</v>
      </c>
      <c r="U1987" s="846"/>
      <c r="V1987" s="847"/>
      <c r="W1987" s="846"/>
      <c r="X1987" s="846"/>
      <c r="Y1987" s="740">
        <f t="shared" si="248"/>
        <v>0</v>
      </c>
      <c r="Z1987" s="847"/>
      <c r="AA1987" s="847"/>
      <c r="AB1987" s="741">
        <f t="shared" si="249"/>
        <v>0</v>
      </c>
      <c r="AC1987" s="846"/>
      <c r="AD1987" s="847"/>
      <c r="AE1987" s="846"/>
      <c r="AF1987" s="846"/>
      <c r="AG1987" s="847"/>
      <c r="AH1987" s="847"/>
      <c r="AI1987" s="742">
        <f t="shared" si="253"/>
        <v>148734</v>
      </c>
      <c r="AJ1987" s="743">
        <f t="shared" si="254"/>
        <v>152319</v>
      </c>
    </row>
    <row r="1988" spans="1:36">
      <c r="A1988" s="840" t="s">
        <v>153</v>
      </c>
      <c r="B1988" s="841" t="s">
        <v>275</v>
      </c>
      <c r="C1988" s="848" t="s">
        <v>258</v>
      </c>
      <c r="D1988" s="849"/>
      <c r="E1988" s="844">
        <v>198923</v>
      </c>
      <c r="F1988" s="845">
        <v>10</v>
      </c>
      <c r="G1988" s="846"/>
      <c r="H1988" s="847"/>
      <c r="I1988" s="846">
        <v>1017433</v>
      </c>
      <c r="J1988" s="847">
        <v>983712</v>
      </c>
      <c r="K1988" s="846"/>
      <c r="L1988" s="847"/>
      <c r="M1988" s="846">
        <v>148176</v>
      </c>
      <c r="N1988" s="846"/>
      <c r="O1988" s="737">
        <f t="shared" si="247"/>
        <v>148176</v>
      </c>
      <c r="P1988" s="847">
        <v>148285</v>
      </c>
      <c r="Q1988" s="847"/>
      <c r="R1988" s="738">
        <f t="shared" si="250"/>
        <v>148285</v>
      </c>
      <c r="S1988" s="737">
        <f t="shared" si="251"/>
        <v>1165609</v>
      </c>
      <c r="T1988" s="739">
        <f t="shared" si="252"/>
        <v>1131997</v>
      </c>
      <c r="U1988" s="846"/>
      <c r="V1988" s="847"/>
      <c r="W1988" s="846"/>
      <c r="X1988" s="846"/>
      <c r="Y1988" s="740">
        <f t="shared" si="248"/>
        <v>0</v>
      </c>
      <c r="Z1988" s="847"/>
      <c r="AA1988" s="847"/>
      <c r="AB1988" s="741">
        <f t="shared" si="249"/>
        <v>0</v>
      </c>
      <c r="AC1988" s="846"/>
      <c r="AD1988" s="847"/>
      <c r="AE1988" s="846"/>
      <c r="AF1988" s="846"/>
      <c r="AG1988" s="847"/>
      <c r="AH1988" s="847"/>
      <c r="AI1988" s="742">
        <f t="shared" si="253"/>
        <v>1165609</v>
      </c>
      <c r="AJ1988" s="743">
        <f t="shared" si="254"/>
        <v>1131997</v>
      </c>
    </row>
    <row r="1989" spans="1:36">
      <c r="A1989" s="840" t="s">
        <v>153</v>
      </c>
      <c r="B1989" s="841" t="s">
        <v>264</v>
      </c>
      <c r="C1989" s="841" t="s">
        <v>1366</v>
      </c>
      <c r="D1989" s="872"/>
      <c r="E1989" s="844">
        <v>199023</v>
      </c>
      <c r="F1989" s="845">
        <v>10</v>
      </c>
      <c r="G1989" s="846">
        <v>3784302</v>
      </c>
      <c r="H1989" s="847">
        <v>4123734</v>
      </c>
      <c r="I1989" s="846"/>
      <c r="J1989" s="847"/>
      <c r="K1989" s="846">
        <v>784000</v>
      </c>
      <c r="L1989" s="847">
        <v>728792</v>
      </c>
      <c r="M1989" s="846">
        <v>1227484</v>
      </c>
      <c r="N1989" s="846"/>
      <c r="O1989" s="737">
        <f t="shared" si="247"/>
        <v>1227484</v>
      </c>
      <c r="P1989" s="847">
        <v>1271564</v>
      </c>
      <c r="Q1989" s="847"/>
      <c r="R1989" s="738">
        <f t="shared" si="250"/>
        <v>1271564</v>
      </c>
      <c r="S1989" s="737">
        <f t="shared" si="251"/>
        <v>5795786</v>
      </c>
      <c r="T1989" s="739">
        <f t="shared" si="252"/>
        <v>6124090</v>
      </c>
      <c r="U1989" s="846"/>
      <c r="V1989" s="847"/>
      <c r="W1989" s="846"/>
      <c r="X1989" s="846"/>
      <c r="Y1989" s="740">
        <f t="shared" si="248"/>
        <v>0</v>
      </c>
      <c r="Z1989" s="847"/>
      <c r="AA1989" s="847"/>
      <c r="AB1989" s="741">
        <f t="shared" si="249"/>
        <v>0</v>
      </c>
      <c r="AC1989" s="846"/>
      <c r="AD1989" s="847"/>
      <c r="AE1989" s="846"/>
      <c r="AF1989" s="846"/>
      <c r="AG1989" s="847"/>
      <c r="AH1989" s="847"/>
      <c r="AI1989" s="742">
        <f t="shared" si="253"/>
        <v>5795786</v>
      </c>
      <c r="AJ1989" s="743">
        <f t="shared" si="254"/>
        <v>6124090</v>
      </c>
    </row>
    <row r="1990" spans="1:36">
      <c r="A1990" s="840" t="s">
        <v>153</v>
      </c>
      <c r="B1990" s="841" t="s">
        <v>264</v>
      </c>
      <c r="C1990" s="848" t="s">
        <v>1320</v>
      </c>
      <c r="D1990" s="849"/>
      <c r="E1990" s="844">
        <v>199023</v>
      </c>
      <c r="F1990" s="845">
        <v>10</v>
      </c>
      <c r="G1990" s="846"/>
      <c r="H1990" s="847"/>
      <c r="I1990" s="846"/>
      <c r="J1990" s="847"/>
      <c r="K1990" s="846"/>
      <c r="L1990" s="847"/>
      <c r="M1990" s="846"/>
      <c r="N1990" s="846"/>
      <c r="O1990" s="737">
        <f t="shared" si="247"/>
        <v>0</v>
      </c>
      <c r="P1990" s="847"/>
      <c r="Q1990" s="847"/>
      <c r="R1990" s="738">
        <f t="shared" si="250"/>
        <v>0</v>
      </c>
      <c r="S1990" s="737">
        <f t="shared" si="251"/>
        <v>0</v>
      </c>
      <c r="T1990" s="739">
        <f t="shared" si="252"/>
        <v>0</v>
      </c>
      <c r="U1990" s="846"/>
      <c r="V1990" s="847"/>
      <c r="W1990" s="846"/>
      <c r="X1990" s="846"/>
      <c r="Y1990" s="740">
        <f t="shared" si="248"/>
        <v>0</v>
      </c>
      <c r="Z1990" s="847"/>
      <c r="AA1990" s="847"/>
      <c r="AB1990" s="741">
        <f t="shared" si="249"/>
        <v>0</v>
      </c>
      <c r="AC1990" s="846"/>
      <c r="AD1990" s="847"/>
      <c r="AE1990" s="846"/>
      <c r="AF1990" s="846"/>
      <c r="AG1990" s="847"/>
      <c r="AH1990" s="847"/>
      <c r="AI1990" s="742">
        <f t="shared" si="253"/>
        <v>0</v>
      </c>
      <c r="AJ1990" s="743">
        <f t="shared" si="254"/>
        <v>0</v>
      </c>
    </row>
    <row r="1991" spans="1:36">
      <c r="A1991" s="840" t="s">
        <v>153</v>
      </c>
      <c r="B1991" s="841" t="s">
        <v>266</v>
      </c>
      <c r="C1991" s="848" t="s">
        <v>319</v>
      </c>
      <c r="D1991" s="849"/>
      <c r="E1991" s="844">
        <v>199023</v>
      </c>
      <c r="F1991" s="845">
        <v>10</v>
      </c>
      <c r="G1991" s="846"/>
      <c r="H1991" s="847"/>
      <c r="I1991" s="846">
        <v>151530</v>
      </c>
      <c r="J1991" s="847">
        <v>149985</v>
      </c>
      <c r="K1991" s="846"/>
      <c r="L1991" s="847"/>
      <c r="M1991" s="846"/>
      <c r="N1991" s="846"/>
      <c r="O1991" s="737">
        <f t="shared" si="247"/>
        <v>0</v>
      </c>
      <c r="P1991" s="847"/>
      <c r="Q1991" s="847"/>
      <c r="R1991" s="738">
        <f t="shared" si="250"/>
        <v>0</v>
      </c>
      <c r="S1991" s="737">
        <f t="shared" si="251"/>
        <v>151530</v>
      </c>
      <c r="T1991" s="739">
        <f t="shared" si="252"/>
        <v>149985</v>
      </c>
      <c r="U1991" s="846"/>
      <c r="V1991" s="847"/>
      <c r="W1991" s="846"/>
      <c r="X1991" s="846"/>
      <c r="Y1991" s="740">
        <f t="shared" si="248"/>
        <v>0</v>
      </c>
      <c r="Z1991" s="847"/>
      <c r="AA1991" s="847"/>
      <c r="AB1991" s="741">
        <f t="shared" si="249"/>
        <v>0</v>
      </c>
      <c r="AC1991" s="846"/>
      <c r="AD1991" s="847"/>
      <c r="AE1991" s="846"/>
      <c r="AF1991" s="846"/>
      <c r="AG1991" s="847"/>
      <c r="AH1991" s="847"/>
      <c r="AI1991" s="742">
        <f t="shared" si="253"/>
        <v>151530</v>
      </c>
      <c r="AJ1991" s="743">
        <f t="shared" si="254"/>
        <v>149985</v>
      </c>
    </row>
    <row r="1992" spans="1:36">
      <c r="A1992" s="840" t="s">
        <v>153</v>
      </c>
      <c r="B1992" s="841" t="s">
        <v>275</v>
      </c>
      <c r="C1992" s="848" t="s">
        <v>258</v>
      </c>
      <c r="D1992" s="849"/>
      <c r="E1992" s="844">
        <v>199023</v>
      </c>
      <c r="F1992" s="845">
        <v>10</v>
      </c>
      <c r="G1992" s="846"/>
      <c r="H1992" s="847"/>
      <c r="I1992" s="846">
        <v>887137</v>
      </c>
      <c r="J1992" s="847">
        <v>855787</v>
      </c>
      <c r="K1992" s="846"/>
      <c r="L1992" s="847"/>
      <c r="M1992" s="846">
        <v>157675</v>
      </c>
      <c r="N1992" s="846"/>
      <c r="O1992" s="737">
        <f t="shared" si="247"/>
        <v>157675</v>
      </c>
      <c r="P1992" s="847">
        <v>144531</v>
      </c>
      <c r="Q1992" s="847"/>
      <c r="R1992" s="738">
        <f t="shared" si="250"/>
        <v>144531</v>
      </c>
      <c r="S1992" s="737">
        <f t="shared" si="251"/>
        <v>1044812</v>
      </c>
      <c r="T1992" s="739">
        <f t="shared" si="252"/>
        <v>1000318</v>
      </c>
      <c r="U1992" s="846"/>
      <c r="V1992" s="847"/>
      <c r="W1992" s="846"/>
      <c r="X1992" s="846"/>
      <c r="Y1992" s="740">
        <f t="shared" si="248"/>
        <v>0</v>
      </c>
      <c r="Z1992" s="847"/>
      <c r="AA1992" s="847"/>
      <c r="AB1992" s="741">
        <f t="shared" si="249"/>
        <v>0</v>
      </c>
      <c r="AC1992" s="846"/>
      <c r="AD1992" s="847"/>
      <c r="AE1992" s="846"/>
      <c r="AF1992" s="846"/>
      <c r="AG1992" s="847"/>
      <c r="AH1992" s="847"/>
      <c r="AI1992" s="742">
        <f t="shared" si="253"/>
        <v>1044812</v>
      </c>
      <c r="AJ1992" s="743">
        <f t="shared" si="254"/>
        <v>1000318</v>
      </c>
    </row>
    <row r="1993" spans="1:36">
      <c r="A1993" s="840" t="s">
        <v>153</v>
      </c>
      <c r="B1993" s="841" t="s">
        <v>264</v>
      </c>
      <c r="C1993" s="841" t="s">
        <v>1367</v>
      </c>
      <c r="D1993" s="872"/>
      <c r="E1993" s="844">
        <v>199263</v>
      </c>
      <c r="F1993" s="845">
        <v>10</v>
      </c>
      <c r="G1993" s="846">
        <v>3134781</v>
      </c>
      <c r="H1993" s="847">
        <v>3341610</v>
      </c>
      <c r="I1993" s="846"/>
      <c r="J1993" s="847"/>
      <c r="K1993" s="846">
        <v>547993</v>
      </c>
      <c r="L1993" s="847">
        <v>562411</v>
      </c>
      <c r="M1993" s="846">
        <v>859420</v>
      </c>
      <c r="N1993" s="846"/>
      <c r="O1993" s="737">
        <f t="shared" si="247"/>
        <v>859420</v>
      </c>
      <c r="P1993" s="847">
        <v>856210</v>
      </c>
      <c r="Q1993" s="847"/>
      <c r="R1993" s="738">
        <f t="shared" si="250"/>
        <v>856210</v>
      </c>
      <c r="S1993" s="737">
        <f t="shared" si="251"/>
        <v>4542194</v>
      </c>
      <c r="T1993" s="739">
        <f t="shared" si="252"/>
        <v>4760231</v>
      </c>
      <c r="U1993" s="846"/>
      <c r="V1993" s="847"/>
      <c r="W1993" s="846"/>
      <c r="X1993" s="846"/>
      <c r="Y1993" s="740">
        <f t="shared" si="248"/>
        <v>0</v>
      </c>
      <c r="Z1993" s="847"/>
      <c r="AA1993" s="847"/>
      <c r="AB1993" s="741">
        <f t="shared" si="249"/>
        <v>0</v>
      </c>
      <c r="AC1993" s="846"/>
      <c r="AD1993" s="847"/>
      <c r="AE1993" s="846"/>
      <c r="AF1993" s="846"/>
      <c r="AG1993" s="847"/>
      <c r="AH1993" s="847"/>
      <c r="AI1993" s="742">
        <f t="shared" si="253"/>
        <v>4542194</v>
      </c>
      <c r="AJ1993" s="743">
        <f t="shared" si="254"/>
        <v>4760231</v>
      </c>
    </row>
    <row r="1994" spans="1:36">
      <c r="A1994" s="840" t="s">
        <v>153</v>
      </c>
      <c r="B1994" s="841" t="s">
        <v>264</v>
      </c>
      <c r="C1994" s="848" t="s">
        <v>1320</v>
      </c>
      <c r="D1994" s="849"/>
      <c r="E1994" s="844">
        <v>199263</v>
      </c>
      <c r="F1994" s="845">
        <v>10</v>
      </c>
      <c r="G1994" s="846"/>
      <c r="H1994" s="847"/>
      <c r="I1994" s="846"/>
      <c r="J1994" s="847"/>
      <c r="K1994" s="846"/>
      <c r="L1994" s="847"/>
      <c r="M1994" s="846"/>
      <c r="N1994" s="846"/>
      <c r="O1994" s="737">
        <f t="shared" ref="O1994:O2057" si="255">SUM(M1994:N1994)</f>
        <v>0</v>
      </c>
      <c r="P1994" s="847"/>
      <c r="Q1994" s="847"/>
      <c r="R1994" s="738">
        <f t="shared" si="250"/>
        <v>0</v>
      </c>
      <c r="S1994" s="737">
        <f t="shared" si="251"/>
        <v>0</v>
      </c>
      <c r="T1994" s="739">
        <f t="shared" si="252"/>
        <v>0</v>
      </c>
      <c r="U1994" s="846"/>
      <c r="V1994" s="847"/>
      <c r="W1994" s="846"/>
      <c r="X1994" s="846"/>
      <c r="Y1994" s="740">
        <f t="shared" ref="Y1994:Y2057" si="256">SUM(W1994:X1994)</f>
        <v>0</v>
      </c>
      <c r="Z1994" s="847"/>
      <c r="AA1994" s="847"/>
      <c r="AB1994" s="741">
        <f t="shared" ref="AB1994:AB2057" si="257">SUM(Z1994:AA1994)</f>
        <v>0</v>
      </c>
      <c r="AC1994" s="846"/>
      <c r="AD1994" s="847"/>
      <c r="AE1994" s="846"/>
      <c r="AF1994" s="846"/>
      <c r="AG1994" s="847"/>
      <c r="AH1994" s="847"/>
      <c r="AI1994" s="742">
        <f t="shared" si="253"/>
        <v>0</v>
      </c>
      <c r="AJ1994" s="743">
        <f t="shared" si="254"/>
        <v>0</v>
      </c>
    </row>
    <row r="1995" spans="1:36">
      <c r="A1995" s="840" t="s">
        <v>153</v>
      </c>
      <c r="B1995" s="841" t="s">
        <v>266</v>
      </c>
      <c r="C1995" s="848" t="s">
        <v>319</v>
      </c>
      <c r="D1995" s="849"/>
      <c r="E1995" s="844">
        <v>199263</v>
      </c>
      <c r="F1995" s="845">
        <v>10</v>
      </c>
      <c r="G1995" s="846"/>
      <c r="H1995" s="847"/>
      <c r="I1995" s="846">
        <v>98788</v>
      </c>
      <c r="J1995" s="847">
        <v>98953</v>
      </c>
      <c r="K1995" s="846"/>
      <c r="L1995" s="847"/>
      <c r="M1995" s="846"/>
      <c r="N1995" s="846"/>
      <c r="O1995" s="737">
        <f t="shared" si="255"/>
        <v>0</v>
      </c>
      <c r="P1995" s="847"/>
      <c r="Q1995" s="847"/>
      <c r="R1995" s="738">
        <f t="shared" ref="R1995:R2058" si="258">SUM(P1995:Q1995)</f>
        <v>0</v>
      </c>
      <c r="S1995" s="737">
        <f t="shared" ref="S1995:S2058" si="259">SUM(G1995,I1995,K1995,M1995)</f>
        <v>98788</v>
      </c>
      <c r="T1995" s="739">
        <f t="shared" ref="T1995:T2058" si="260">SUM(H1995,J1995,L1995,P1995)</f>
        <v>98953</v>
      </c>
      <c r="U1995" s="846"/>
      <c r="V1995" s="847"/>
      <c r="W1995" s="846"/>
      <c r="X1995" s="846"/>
      <c r="Y1995" s="740">
        <f t="shared" si="256"/>
        <v>0</v>
      </c>
      <c r="Z1995" s="847"/>
      <c r="AA1995" s="847"/>
      <c r="AB1995" s="741">
        <f t="shared" si="257"/>
        <v>0</v>
      </c>
      <c r="AC1995" s="846"/>
      <c r="AD1995" s="847"/>
      <c r="AE1995" s="846"/>
      <c r="AF1995" s="846"/>
      <c r="AG1995" s="847"/>
      <c r="AH1995" s="847"/>
      <c r="AI1995" s="742">
        <f t="shared" ref="AI1995:AI2058" si="261">SUM(S1995,U1995,W1995,AC1995,AE1995)</f>
        <v>98788</v>
      </c>
      <c r="AJ1995" s="743">
        <f t="shared" ref="AJ1995:AJ2058" si="262">SUM(T1995,V1995,Z1995,AD1995,AG1995)</f>
        <v>98953</v>
      </c>
    </row>
    <row r="1996" spans="1:36">
      <c r="A1996" s="840" t="s">
        <v>153</v>
      </c>
      <c r="B1996" s="841" t="s">
        <v>275</v>
      </c>
      <c r="C1996" s="848" t="s">
        <v>258</v>
      </c>
      <c r="D1996" s="849"/>
      <c r="E1996" s="844">
        <v>199263</v>
      </c>
      <c r="F1996" s="845">
        <v>10</v>
      </c>
      <c r="G1996" s="846"/>
      <c r="H1996" s="847"/>
      <c r="I1996" s="846">
        <v>723598</v>
      </c>
      <c r="J1996" s="847">
        <v>689213</v>
      </c>
      <c r="K1996" s="846"/>
      <c r="L1996" s="847"/>
      <c r="M1996" s="846">
        <v>114615</v>
      </c>
      <c r="N1996" s="846"/>
      <c r="O1996" s="737">
        <f t="shared" si="255"/>
        <v>114615</v>
      </c>
      <c r="P1996" s="847">
        <v>103237</v>
      </c>
      <c r="Q1996" s="847"/>
      <c r="R1996" s="738">
        <f t="shared" si="258"/>
        <v>103237</v>
      </c>
      <c r="S1996" s="737">
        <f t="shared" si="259"/>
        <v>838213</v>
      </c>
      <c r="T1996" s="739">
        <f t="shared" si="260"/>
        <v>792450</v>
      </c>
      <c r="U1996" s="846"/>
      <c r="V1996" s="847"/>
      <c r="W1996" s="846"/>
      <c r="X1996" s="846"/>
      <c r="Y1996" s="740">
        <f t="shared" si="256"/>
        <v>0</v>
      </c>
      <c r="Z1996" s="847"/>
      <c r="AA1996" s="847"/>
      <c r="AB1996" s="741">
        <f t="shared" si="257"/>
        <v>0</v>
      </c>
      <c r="AC1996" s="846"/>
      <c r="AD1996" s="847"/>
      <c r="AE1996" s="846"/>
      <c r="AF1996" s="846"/>
      <c r="AG1996" s="847"/>
      <c r="AH1996" s="847"/>
      <c r="AI1996" s="742">
        <f t="shared" si="261"/>
        <v>838213</v>
      </c>
      <c r="AJ1996" s="743">
        <f t="shared" si="262"/>
        <v>792450</v>
      </c>
    </row>
    <row r="1997" spans="1:36">
      <c r="A1997" s="840" t="s">
        <v>153</v>
      </c>
      <c r="B1997" s="841" t="s">
        <v>264</v>
      </c>
      <c r="C1997" s="1057" t="s">
        <v>1368</v>
      </c>
      <c r="D1997" s="1231"/>
      <c r="E1997" s="844">
        <v>199324</v>
      </c>
      <c r="F1997" s="855">
        <v>10</v>
      </c>
      <c r="G1997" s="846">
        <v>7910007</v>
      </c>
      <c r="H1997" s="847">
        <v>7335924</v>
      </c>
      <c r="I1997" s="846"/>
      <c r="J1997" s="847"/>
      <c r="K1997" s="846">
        <v>1246263</v>
      </c>
      <c r="L1997" s="847">
        <v>1328263</v>
      </c>
      <c r="M1997" s="846">
        <v>2833910</v>
      </c>
      <c r="N1997" s="846"/>
      <c r="O1997" s="737">
        <f t="shared" si="255"/>
        <v>2833910</v>
      </c>
      <c r="P1997" s="847">
        <v>2450219</v>
      </c>
      <c r="Q1997" s="847"/>
      <c r="R1997" s="738">
        <f t="shared" si="258"/>
        <v>2450219</v>
      </c>
      <c r="S1997" s="737">
        <f t="shared" si="259"/>
        <v>11990180</v>
      </c>
      <c r="T1997" s="739">
        <f t="shared" si="260"/>
        <v>11114406</v>
      </c>
      <c r="U1997" s="846"/>
      <c r="V1997" s="847"/>
      <c r="W1997" s="846"/>
      <c r="X1997" s="846"/>
      <c r="Y1997" s="740">
        <f t="shared" si="256"/>
        <v>0</v>
      </c>
      <c r="Z1997" s="847"/>
      <c r="AA1997" s="847"/>
      <c r="AB1997" s="741">
        <f t="shared" si="257"/>
        <v>0</v>
      </c>
      <c r="AC1997" s="846"/>
      <c r="AD1997" s="847"/>
      <c r="AE1997" s="846"/>
      <c r="AF1997" s="846"/>
      <c r="AG1997" s="847"/>
      <c r="AH1997" s="847"/>
      <c r="AI1997" s="742">
        <f t="shared" si="261"/>
        <v>11990180</v>
      </c>
      <c r="AJ1997" s="743">
        <f t="shared" si="262"/>
        <v>11114406</v>
      </c>
    </row>
    <row r="1998" spans="1:36">
      <c r="A1998" s="840" t="s">
        <v>153</v>
      </c>
      <c r="B1998" s="841" t="s">
        <v>264</v>
      </c>
      <c r="C1998" s="848" t="s">
        <v>1320</v>
      </c>
      <c r="D1998" s="849"/>
      <c r="E1998" s="844">
        <v>199324</v>
      </c>
      <c r="F1998" s="855">
        <v>10</v>
      </c>
      <c r="G1998" s="846"/>
      <c r="H1998" s="847"/>
      <c r="I1998" s="846"/>
      <c r="J1998" s="847"/>
      <c r="K1998" s="846"/>
      <c r="L1998" s="847"/>
      <c r="M1998" s="846"/>
      <c r="N1998" s="846"/>
      <c r="O1998" s="737">
        <f t="shared" si="255"/>
        <v>0</v>
      </c>
      <c r="P1998" s="847"/>
      <c r="Q1998" s="847"/>
      <c r="R1998" s="738">
        <f t="shared" si="258"/>
        <v>0</v>
      </c>
      <c r="S1998" s="737">
        <f t="shared" si="259"/>
        <v>0</v>
      </c>
      <c r="T1998" s="739">
        <f t="shared" si="260"/>
        <v>0</v>
      </c>
      <c r="U1998" s="846"/>
      <c r="V1998" s="847"/>
      <c r="W1998" s="846"/>
      <c r="X1998" s="846"/>
      <c r="Y1998" s="740">
        <f t="shared" si="256"/>
        <v>0</v>
      </c>
      <c r="Z1998" s="847"/>
      <c r="AA1998" s="847"/>
      <c r="AB1998" s="741">
        <f t="shared" si="257"/>
        <v>0</v>
      </c>
      <c r="AC1998" s="846"/>
      <c r="AD1998" s="847"/>
      <c r="AE1998" s="846"/>
      <c r="AF1998" s="846"/>
      <c r="AG1998" s="847"/>
      <c r="AH1998" s="847"/>
      <c r="AI1998" s="742">
        <f t="shared" si="261"/>
        <v>0</v>
      </c>
      <c r="AJ1998" s="743">
        <f t="shared" si="262"/>
        <v>0</v>
      </c>
    </row>
    <row r="1999" spans="1:36">
      <c r="A1999" s="840" t="s">
        <v>153</v>
      </c>
      <c r="B1999" s="841" t="s">
        <v>266</v>
      </c>
      <c r="C1999" s="848" t="s">
        <v>319</v>
      </c>
      <c r="D1999" s="849"/>
      <c r="E1999" s="844">
        <v>199324</v>
      </c>
      <c r="F1999" s="855">
        <v>10</v>
      </c>
      <c r="G1999" s="846"/>
      <c r="H1999" s="847"/>
      <c r="I1999" s="846">
        <v>146612</v>
      </c>
      <c r="J1999" s="847">
        <v>146398</v>
      </c>
      <c r="K1999" s="846"/>
      <c r="L1999" s="847"/>
      <c r="M1999" s="846"/>
      <c r="N1999" s="846"/>
      <c r="O1999" s="737">
        <f t="shared" si="255"/>
        <v>0</v>
      </c>
      <c r="P1999" s="847"/>
      <c r="Q1999" s="847"/>
      <c r="R1999" s="738">
        <f t="shared" si="258"/>
        <v>0</v>
      </c>
      <c r="S1999" s="737">
        <f t="shared" si="259"/>
        <v>146612</v>
      </c>
      <c r="T1999" s="739">
        <f t="shared" si="260"/>
        <v>146398</v>
      </c>
      <c r="U1999" s="846"/>
      <c r="V1999" s="847"/>
      <c r="W1999" s="846"/>
      <c r="X1999" s="846"/>
      <c r="Y1999" s="740">
        <f t="shared" si="256"/>
        <v>0</v>
      </c>
      <c r="Z1999" s="847"/>
      <c r="AA1999" s="847"/>
      <c r="AB1999" s="741">
        <f t="shared" si="257"/>
        <v>0</v>
      </c>
      <c r="AC1999" s="846"/>
      <c r="AD1999" s="847"/>
      <c r="AE1999" s="846"/>
      <c r="AF1999" s="846"/>
      <c r="AG1999" s="847"/>
      <c r="AH1999" s="847"/>
      <c r="AI1999" s="742">
        <f t="shared" si="261"/>
        <v>146612</v>
      </c>
      <c r="AJ1999" s="743">
        <f t="shared" si="262"/>
        <v>146398</v>
      </c>
    </row>
    <row r="2000" spans="1:36">
      <c r="A2000" s="840" t="s">
        <v>153</v>
      </c>
      <c r="B2000" s="841" t="s">
        <v>275</v>
      </c>
      <c r="C2000" s="848" t="s">
        <v>258</v>
      </c>
      <c r="D2000" s="849"/>
      <c r="E2000" s="844">
        <v>199324</v>
      </c>
      <c r="F2000" s="855">
        <v>10</v>
      </c>
      <c r="G2000" s="846"/>
      <c r="H2000" s="847"/>
      <c r="I2000" s="846">
        <v>1998952</v>
      </c>
      <c r="J2000" s="847">
        <v>2097523</v>
      </c>
      <c r="K2000" s="846"/>
      <c r="L2000" s="847"/>
      <c r="M2000" s="846">
        <v>378039</v>
      </c>
      <c r="N2000" s="846"/>
      <c r="O2000" s="737">
        <f t="shared" si="255"/>
        <v>378039</v>
      </c>
      <c r="P2000" s="847">
        <v>371652</v>
      </c>
      <c r="Q2000" s="847"/>
      <c r="R2000" s="738">
        <f t="shared" si="258"/>
        <v>371652</v>
      </c>
      <c r="S2000" s="737">
        <f t="shared" si="259"/>
        <v>2376991</v>
      </c>
      <c r="T2000" s="739">
        <f t="shared" si="260"/>
        <v>2469175</v>
      </c>
      <c r="U2000" s="846"/>
      <c r="V2000" s="847"/>
      <c r="W2000" s="846"/>
      <c r="X2000" s="846"/>
      <c r="Y2000" s="740">
        <f t="shared" si="256"/>
        <v>0</v>
      </c>
      <c r="Z2000" s="847"/>
      <c r="AA2000" s="847"/>
      <c r="AB2000" s="741">
        <f t="shared" si="257"/>
        <v>0</v>
      </c>
      <c r="AC2000" s="846"/>
      <c r="AD2000" s="847"/>
      <c r="AE2000" s="846"/>
      <c r="AF2000" s="846"/>
      <c r="AG2000" s="847"/>
      <c r="AH2000" s="847"/>
      <c r="AI2000" s="742">
        <f t="shared" si="261"/>
        <v>2376991</v>
      </c>
      <c r="AJ2000" s="743">
        <f t="shared" si="262"/>
        <v>2469175</v>
      </c>
    </row>
    <row r="2001" spans="1:36">
      <c r="A2001" s="840" t="s">
        <v>153</v>
      </c>
      <c r="B2001" s="841" t="s">
        <v>264</v>
      </c>
      <c r="C2001" s="1057" t="s">
        <v>1369</v>
      </c>
      <c r="D2001" s="1329" t="s">
        <v>711</v>
      </c>
      <c r="E2001" s="1059">
        <v>199449</v>
      </c>
      <c r="F2001" s="853">
        <v>9</v>
      </c>
      <c r="G2001" s="846">
        <v>8255809</v>
      </c>
      <c r="H2001" s="847">
        <v>8802019</v>
      </c>
      <c r="I2001" s="846"/>
      <c r="J2001" s="847"/>
      <c r="K2001" s="846">
        <v>1999285</v>
      </c>
      <c r="L2001" s="847">
        <v>2111479</v>
      </c>
      <c r="M2001" s="846">
        <v>3542841</v>
      </c>
      <c r="N2001" s="846"/>
      <c r="O2001" s="737">
        <f t="shared" si="255"/>
        <v>3542841</v>
      </c>
      <c r="P2001" s="847">
        <v>3501354</v>
      </c>
      <c r="Q2001" s="847"/>
      <c r="R2001" s="738">
        <f t="shared" si="258"/>
        <v>3501354</v>
      </c>
      <c r="S2001" s="737">
        <f t="shared" si="259"/>
        <v>13797935</v>
      </c>
      <c r="T2001" s="739">
        <f t="shared" si="260"/>
        <v>14414852</v>
      </c>
      <c r="U2001" s="846"/>
      <c r="V2001" s="847"/>
      <c r="W2001" s="846"/>
      <c r="X2001" s="846"/>
      <c r="Y2001" s="740">
        <f t="shared" si="256"/>
        <v>0</v>
      </c>
      <c r="Z2001" s="847"/>
      <c r="AA2001" s="847"/>
      <c r="AB2001" s="741">
        <f t="shared" si="257"/>
        <v>0</v>
      </c>
      <c r="AC2001" s="846"/>
      <c r="AD2001" s="847"/>
      <c r="AE2001" s="846"/>
      <c r="AF2001" s="846"/>
      <c r="AG2001" s="847"/>
      <c r="AH2001" s="847"/>
      <c r="AI2001" s="742">
        <f t="shared" si="261"/>
        <v>13797935</v>
      </c>
      <c r="AJ2001" s="743">
        <f t="shared" si="262"/>
        <v>14414852</v>
      </c>
    </row>
    <row r="2002" spans="1:36">
      <c r="A2002" s="840" t="s">
        <v>153</v>
      </c>
      <c r="B2002" s="841" t="s">
        <v>264</v>
      </c>
      <c r="C2002" s="848" t="s">
        <v>1320</v>
      </c>
      <c r="D2002" s="849"/>
      <c r="E2002" s="1059">
        <v>199449</v>
      </c>
      <c r="F2002" s="853">
        <v>9</v>
      </c>
      <c r="G2002" s="846"/>
      <c r="H2002" s="847"/>
      <c r="I2002" s="846"/>
      <c r="J2002" s="847"/>
      <c r="K2002" s="846"/>
      <c r="L2002" s="847"/>
      <c r="M2002" s="846"/>
      <c r="N2002" s="846"/>
      <c r="O2002" s="737">
        <f t="shared" si="255"/>
        <v>0</v>
      </c>
      <c r="P2002" s="847"/>
      <c r="Q2002" s="847"/>
      <c r="R2002" s="738">
        <f t="shared" si="258"/>
        <v>0</v>
      </c>
      <c r="S2002" s="737">
        <f t="shared" si="259"/>
        <v>0</v>
      </c>
      <c r="T2002" s="739">
        <f t="shared" si="260"/>
        <v>0</v>
      </c>
      <c r="U2002" s="846"/>
      <c r="V2002" s="847"/>
      <c r="W2002" s="846"/>
      <c r="X2002" s="846"/>
      <c r="Y2002" s="740">
        <f t="shared" si="256"/>
        <v>0</v>
      </c>
      <c r="Z2002" s="847"/>
      <c r="AA2002" s="847"/>
      <c r="AB2002" s="741">
        <f t="shared" si="257"/>
        <v>0</v>
      </c>
      <c r="AC2002" s="846"/>
      <c r="AD2002" s="847"/>
      <c r="AE2002" s="846"/>
      <c r="AF2002" s="846"/>
      <c r="AG2002" s="847"/>
      <c r="AH2002" s="847"/>
      <c r="AI2002" s="742">
        <f t="shared" si="261"/>
        <v>0</v>
      </c>
      <c r="AJ2002" s="743">
        <f t="shared" si="262"/>
        <v>0</v>
      </c>
    </row>
    <row r="2003" spans="1:36">
      <c r="A2003" s="840" t="s">
        <v>153</v>
      </c>
      <c r="B2003" s="841" t="s">
        <v>266</v>
      </c>
      <c r="C2003" s="848" t="s">
        <v>319</v>
      </c>
      <c r="D2003" s="849"/>
      <c r="E2003" s="1059">
        <v>199449</v>
      </c>
      <c r="F2003" s="853">
        <v>9</v>
      </c>
      <c r="G2003" s="846"/>
      <c r="H2003" s="847"/>
      <c r="I2003" s="846">
        <v>156733</v>
      </c>
      <c r="J2003" s="847">
        <v>156236</v>
      </c>
      <c r="K2003" s="846"/>
      <c r="L2003" s="847"/>
      <c r="M2003" s="846"/>
      <c r="N2003" s="846"/>
      <c r="O2003" s="737">
        <f t="shared" si="255"/>
        <v>0</v>
      </c>
      <c r="P2003" s="847"/>
      <c r="Q2003" s="847"/>
      <c r="R2003" s="738">
        <f t="shared" si="258"/>
        <v>0</v>
      </c>
      <c r="S2003" s="737">
        <f t="shared" si="259"/>
        <v>156733</v>
      </c>
      <c r="T2003" s="739">
        <f t="shared" si="260"/>
        <v>156236</v>
      </c>
      <c r="U2003" s="846"/>
      <c r="V2003" s="847"/>
      <c r="W2003" s="846"/>
      <c r="X2003" s="846"/>
      <c r="Y2003" s="740">
        <f t="shared" si="256"/>
        <v>0</v>
      </c>
      <c r="Z2003" s="847"/>
      <c r="AA2003" s="847"/>
      <c r="AB2003" s="741">
        <f t="shared" si="257"/>
        <v>0</v>
      </c>
      <c r="AC2003" s="846"/>
      <c r="AD2003" s="847"/>
      <c r="AE2003" s="846"/>
      <c r="AF2003" s="846"/>
      <c r="AG2003" s="847"/>
      <c r="AH2003" s="847"/>
      <c r="AI2003" s="742">
        <f t="shared" si="261"/>
        <v>156733</v>
      </c>
      <c r="AJ2003" s="743">
        <f t="shared" si="262"/>
        <v>156236</v>
      </c>
    </row>
    <row r="2004" spans="1:36">
      <c r="A2004" s="840" t="s">
        <v>153</v>
      </c>
      <c r="B2004" s="841" t="s">
        <v>275</v>
      </c>
      <c r="C2004" s="848" t="s">
        <v>258</v>
      </c>
      <c r="D2004" s="849"/>
      <c r="E2004" s="1059">
        <v>199449</v>
      </c>
      <c r="F2004" s="853">
        <v>9</v>
      </c>
      <c r="G2004" s="846"/>
      <c r="H2004" s="847"/>
      <c r="I2004" s="846">
        <v>2279520</v>
      </c>
      <c r="J2004" s="847">
        <v>2381037</v>
      </c>
      <c r="K2004" s="846"/>
      <c r="L2004" s="847"/>
      <c r="M2004" s="846">
        <v>217832</v>
      </c>
      <c r="N2004" s="846"/>
      <c r="O2004" s="737">
        <f t="shared" si="255"/>
        <v>217832</v>
      </c>
      <c r="P2004" s="847">
        <v>225243</v>
      </c>
      <c r="Q2004" s="847"/>
      <c r="R2004" s="738">
        <f t="shared" si="258"/>
        <v>225243</v>
      </c>
      <c r="S2004" s="737">
        <f t="shared" si="259"/>
        <v>2497352</v>
      </c>
      <c r="T2004" s="739">
        <f t="shared" si="260"/>
        <v>2606280</v>
      </c>
      <c r="U2004" s="846"/>
      <c r="V2004" s="847"/>
      <c r="W2004" s="846"/>
      <c r="X2004" s="846"/>
      <c r="Y2004" s="740">
        <f t="shared" si="256"/>
        <v>0</v>
      </c>
      <c r="Z2004" s="847"/>
      <c r="AA2004" s="847"/>
      <c r="AB2004" s="741">
        <f t="shared" si="257"/>
        <v>0</v>
      </c>
      <c r="AC2004" s="846"/>
      <c r="AD2004" s="847"/>
      <c r="AE2004" s="846"/>
      <c r="AF2004" s="846"/>
      <c r="AG2004" s="847"/>
      <c r="AH2004" s="847"/>
      <c r="AI2004" s="742">
        <f t="shared" si="261"/>
        <v>2497352</v>
      </c>
      <c r="AJ2004" s="743">
        <f t="shared" si="262"/>
        <v>2606280</v>
      </c>
    </row>
    <row r="2005" spans="1:36">
      <c r="A2005" s="840" t="s">
        <v>153</v>
      </c>
      <c r="B2005" s="841" t="s">
        <v>264</v>
      </c>
      <c r="C2005" s="841" t="s">
        <v>1370</v>
      </c>
      <c r="D2005" s="872"/>
      <c r="E2005" s="844">
        <v>199467</v>
      </c>
      <c r="F2005" s="845">
        <v>10</v>
      </c>
      <c r="G2005" s="846">
        <v>3826328</v>
      </c>
      <c r="H2005" s="847">
        <v>3928150</v>
      </c>
      <c r="I2005" s="846"/>
      <c r="J2005" s="847"/>
      <c r="K2005" s="846">
        <v>932389</v>
      </c>
      <c r="L2005" s="847">
        <v>930839</v>
      </c>
      <c r="M2005" s="846">
        <v>1283691</v>
      </c>
      <c r="N2005" s="846"/>
      <c r="O2005" s="737">
        <f t="shared" si="255"/>
        <v>1283691</v>
      </c>
      <c r="P2005" s="847">
        <v>1227842</v>
      </c>
      <c r="Q2005" s="847"/>
      <c r="R2005" s="738">
        <f t="shared" si="258"/>
        <v>1227842</v>
      </c>
      <c r="S2005" s="737">
        <f t="shared" si="259"/>
        <v>6042408</v>
      </c>
      <c r="T2005" s="739">
        <f t="shared" si="260"/>
        <v>6086831</v>
      </c>
      <c r="U2005" s="846"/>
      <c r="V2005" s="847"/>
      <c r="W2005" s="846"/>
      <c r="X2005" s="846"/>
      <c r="Y2005" s="740">
        <f t="shared" si="256"/>
        <v>0</v>
      </c>
      <c r="Z2005" s="847"/>
      <c r="AA2005" s="847"/>
      <c r="AB2005" s="741">
        <f t="shared" si="257"/>
        <v>0</v>
      </c>
      <c r="AC2005" s="846"/>
      <c r="AD2005" s="847"/>
      <c r="AE2005" s="846"/>
      <c r="AF2005" s="846"/>
      <c r="AG2005" s="847"/>
      <c r="AH2005" s="847"/>
      <c r="AI2005" s="742">
        <f t="shared" si="261"/>
        <v>6042408</v>
      </c>
      <c r="AJ2005" s="743">
        <f t="shared" si="262"/>
        <v>6086831</v>
      </c>
    </row>
    <row r="2006" spans="1:36">
      <c r="A2006" s="840" t="s">
        <v>153</v>
      </c>
      <c r="B2006" s="841" t="s">
        <v>264</v>
      </c>
      <c r="C2006" s="848" t="s">
        <v>1320</v>
      </c>
      <c r="D2006" s="849"/>
      <c r="E2006" s="844">
        <v>199467</v>
      </c>
      <c r="F2006" s="845">
        <v>10</v>
      </c>
      <c r="G2006" s="846"/>
      <c r="H2006" s="847"/>
      <c r="I2006" s="846"/>
      <c r="J2006" s="847"/>
      <c r="K2006" s="846"/>
      <c r="L2006" s="847"/>
      <c r="M2006" s="846"/>
      <c r="N2006" s="846"/>
      <c r="O2006" s="737">
        <f t="shared" si="255"/>
        <v>0</v>
      </c>
      <c r="P2006" s="847"/>
      <c r="Q2006" s="847"/>
      <c r="R2006" s="738">
        <f t="shared" si="258"/>
        <v>0</v>
      </c>
      <c r="S2006" s="737">
        <f t="shared" si="259"/>
        <v>0</v>
      </c>
      <c r="T2006" s="739">
        <f t="shared" si="260"/>
        <v>0</v>
      </c>
      <c r="U2006" s="846"/>
      <c r="V2006" s="847"/>
      <c r="W2006" s="846"/>
      <c r="X2006" s="846"/>
      <c r="Y2006" s="740">
        <f t="shared" si="256"/>
        <v>0</v>
      </c>
      <c r="Z2006" s="847"/>
      <c r="AA2006" s="847"/>
      <c r="AB2006" s="741">
        <f t="shared" si="257"/>
        <v>0</v>
      </c>
      <c r="AC2006" s="846"/>
      <c r="AD2006" s="847"/>
      <c r="AE2006" s="846"/>
      <c r="AF2006" s="846"/>
      <c r="AG2006" s="847"/>
      <c r="AH2006" s="847"/>
      <c r="AI2006" s="742">
        <f t="shared" si="261"/>
        <v>0</v>
      </c>
      <c r="AJ2006" s="743">
        <f t="shared" si="262"/>
        <v>0</v>
      </c>
    </row>
    <row r="2007" spans="1:36">
      <c r="A2007" s="840" t="s">
        <v>153</v>
      </c>
      <c r="B2007" s="841" t="s">
        <v>266</v>
      </c>
      <c r="C2007" s="848" t="s">
        <v>319</v>
      </c>
      <c r="D2007" s="849"/>
      <c r="E2007" s="844">
        <v>199467</v>
      </c>
      <c r="F2007" s="845">
        <v>10</v>
      </c>
      <c r="G2007" s="846"/>
      <c r="H2007" s="847"/>
      <c r="I2007" s="846">
        <v>147855</v>
      </c>
      <c r="J2007" s="847">
        <v>150592</v>
      </c>
      <c r="K2007" s="846"/>
      <c r="L2007" s="847"/>
      <c r="M2007" s="846"/>
      <c r="N2007" s="846"/>
      <c r="O2007" s="737">
        <f t="shared" si="255"/>
        <v>0</v>
      </c>
      <c r="P2007" s="847"/>
      <c r="Q2007" s="847"/>
      <c r="R2007" s="738">
        <f t="shared" si="258"/>
        <v>0</v>
      </c>
      <c r="S2007" s="737">
        <f t="shared" si="259"/>
        <v>147855</v>
      </c>
      <c r="T2007" s="739">
        <f t="shared" si="260"/>
        <v>150592</v>
      </c>
      <c r="U2007" s="846"/>
      <c r="V2007" s="847"/>
      <c r="W2007" s="846"/>
      <c r="X2007" s="846"/>
      <c r="Y2007" s="740">
        <f t="shared" si="256"/>
        <v>0</v>
      </c>
      <c r="Z2007" s="847"/>
      <c r="AA2007" s="847"/>
      <c r="AB2007" s="741">
        <f t="shared" si="257"/>
        <v>0</v>
      </c>
      <c r="AC2007" s="846"/>
      <c r="AD2007" s="847"/>
      <c r="AE2007" s="846"/>
      <c r="AF2007" s="846"/>
      <c r="AG2007" s="847"/>
      <c r="AH2007" s="847"/>
      <c r="AI2007" s="742">
        <f t="shared" si="261"/>
        <v>147855</v>
      </c>
      <c r="AJ2007" s="743">
        <f t="shared" si="262"/>
        <v>150592</v>
      </c>
    </row>
    <row r="2008" spans="1:36">
      <c r="A2008" s="840" t="s">
        <v>153</v>
      </c>
      <c r="B2008" s="841" t="s">
        <v>275</v>
      </c>
      <c r="C2008" s="848" t="s">
        <v>258</v>
      </c>
      <c r="D2008" s="849"/>
      <c r="E2008" s="844">
        <v>199467</v>
      </c>
      <c r="F2008" s="845">
        <v>10</v>
      </c>
      <c r="G2008" s="846"/>
      <c r="H2008" s="847"/>
      <c r="I2008" s="846">
        <v>839018</v>
      </c>
      <c r="J2008" s="847">
        <v>734634</v>
      </c>
      <c r="K2008" s="846"/>
      <c r="L2008" s="847"/>
      <c r="M2008" s="846">
        <v>115881</v>
      </c>
      <c r="N2008" s="846"/>
      <c r="O2008" s="737">
        <f t="shared" si="255"/>
        <v>115881</v>
      </c>
      <c r="P2008" s="847">
        <v>105739</v>
      </c>
      <c r="Q2008" s="847"/>
      <c r="R2008" s="738">
        <f t="shared" si="258"/>
        <v>105739</v>
      </c>
      <c r="S2008" s="737">
        <f t="shared" si="259"/>
        <v>954899</v>
      </c>
      <c r="T2008" s="739">
        <f t="shared" si="260"/>
        <v>840373</v>
      </c>
      <c r="U2008" s="846"/>
      <c r="V2008" s="847"/>
      <c r="W2008" s="846"/>
      <c r="X2008" s="846"/>
      <c r="Y2008" s="740">
        <f t="shared" si="256"/>
        <v>0</v>
      </c>
      <c r="Z2008" s="847"/>
      <c r="AA2008" s="847"/>
      <c r="AB2008" s="741">
        <f t="shared" si="257"/>
        <v>0</v>
      </c>
      <c r="AC2008" s="846"/>
      <c r="AD2008" s="847"/>
      <c r="AE2008" s="846"/>
      <c r="AF2008" s="846"/>
      <c r="AG2008" s="847"/>
      <c r="AH2008" s="847"/>
      <c r="AI2008" s="742">
        <f t="shared" si="261"/>
        <v>954899</v>
      </c>
      <c r="AJ2008" s="743">
        <f t="shared" si="262"/>
        <v>840373</v>
      </c>
    </row>
    <row r="2009" spans="1:36">
      <c r="A2009" s="840" t="s">
        <v>153</v>
      </c>
      <c r="B2009" s="841" t="s">
        <v>264</v>
      </c>
      <c r="C2009" s="1057" t="s">
        <v>1371</v>
      </c>
      <c r="D2009" s="1231"/>
      <c r="E2009" s="844">
        <v>199485</v>
      </c>
      <c r="F2009" s="855">
        <v>10</v>
      </c>
      <c r="G2009" s="846">
        <v>7068317</v>
      </c>
      <c r="H2009" s="847">
        <v>6987539</v>
      </c>
      <c r="I2009" s="846"/>
      <c r="J2009" s="847"/>
      <c r="K2009" s="846">
        <v>2364473</v>
      </c>
      <c r="L2009" s="847">
        <v>2504877</v>
      </c>
      <c r="M2009" s="846">
        <v>3069616</v>
      </c>
      <c r="N2009" s="846"/>
      <c r="O2009" s="737">
        <f t="shared" si="255"/>
        <v>3069616</v>
      </c>
      <c r="P2009" s="847">
        <v>2841890</v>
      </c>
      <c r="Q2009" s="847"/>
      <c r="R2009" s="738">
        <f t="shared" si="258"/>
        <v>2841890</v>
      </c>
      <c r="S2009" s="737">
        <f t="shared" si="259"/>
        <v>12502406</v>
      </c>
      <c r="T2009" s="739">
        <f t="shared" si="260"/>
        <v>12334306</v>
      </c>
      <c r="U2009" s="846"/>
      <c r="V2009" s="847"/>
      <c r="W2009" s="846"/>
      <c r="X2009" s="846"/>
      <c r="Y2009" s="740">
        <f t="shared" si="256"/>
        <v>0</v>
      </c>
      <c r="Z2009" s="847"/>
      <c r="AA2009" s="847"/>
      <c r="AB2009" s="741">
        <f t="shared" si="257"/>
        <v>0</v>
      </c>
      <c r="AC2009" s="846"/>
      <c r="AD2009" s="847"/>
      <c r="AE2009" s="846"/>
      <c r="AF2009" s="846"/>
      <c r="AG2009" s="847"/>
      <c r="AH2009" s="847"/>
      <c r="AI2009" s="742">
        <f t="shared" si="261"/>
        <v>12502406</v>
      </c>
      <c r="AJ2009" s="743">
        <f t="shared" si="262"/>
        <v>12334306</v>
      </c>
    </row>
    <row r="2010" spans="1:36">
      <c r="A2010" s="840" t="s">
        <v>153</v>
      </c>
      <c r="B2010" s="841" t="s">
        <v>264</v>
      </c>
      <c r="C2010" s="848" t="s">
        <v>1320</v>
      </c>
      <c r="D2010" s="849"/>
      <c r="E2010" s="844">
        <v>199485</v>
      </c>
      <c r="F2010" s="855">
        <v>10</v>
      </c>
      <c r="G2010" s="846"/>
      <c r="H2010" s="847"/>
      <c r="I2010" s="846"/>
      <c r="J2010" s="847"/>
      <c r="K2010" s="846"/>
      <c r="L2010" s="847"/>
      <c r="M2010" s="846"/>
      <c r="N2010" s="846"/>
      <c r="O2010" s="737">
        <f t="shared" si="255"/>
        <v>0</v>
      </c>
      <c r="P2010" s="847"/>
      <c r="Q2010" s="847"/>
      <c r="R2010" s="738">
        <f t="shared" si="258"/>
        <v>0</v>
      </c>
      <c r="S2010" s="737">
        <f t="shared" si="259"/>
        <v>0</v>
      </c>
      <c r="T2010" s="739">
        <f t="shared" si="260"/>
        <v>0</v>
      </c>
      <c r="U2010" s="846"/>
      <c r="V2010" s="847"/>
      <c r="W2010" s="846"/>
      <c r="X2010" s="846"/>
      <c r="Y2010" s="740">
        <f t="shared" si="256"/>
        <v>0</v>
      </c>
      <c r="Z2010" s="847"/>
      <c r="AA2010" s="847"/>
      <c r="AB2010" s="741">
        <f t="shared" si="257"/>
        <v>0</v>
      </c>
      <c r="AC2010" s="846"/>
      <c r="AD2010" s="847"/>
      <c r="AE2010" s="846"/>
      <c r="AF2010" s="846"/>
      <c r="AG2010" s="847"/>
      <c r="AH2010" s="847"/>
      <c r="AI2010" s="742">
        <f t="shared" si="261"/>
        <v>0</v>
      </c>
      <c r="AJ2010" s="743">
        <f t="shared" si="262"/>
        <v>0</v>
      </c>
    </row>
    <row r="2011" spans="1:36">
      <c r="A2011" s="840" t="s">
        <v>153</v>
      </c>
      <c r="B2011" s="841" t="s">
        <v>266</v>
      </c>
      <c r="C2011" s="848" t="s">
        <v>319</v>
      </c>
      <c r="D2011" s="849"/>
      <c r="E2011" s="844">
        <v>199485</v>
      </c>
      <c r="F2011" s="855">
        <v>10</v>
      </c>
      <c r="G2011" s="846"/>
      <c r="H2011" s="847"/>
      <c r="I2011" s="846">
        <v>154030</v>
      </c>
      <c r="J2011" s="847">
        <v>145312</v>
      </c>
      <c r="K2011" s="846"/>
      <c r="L2011" s="847"/>
      <c r="M2011" s="846"/>
      <c r="N2011" s="846"/>
      <c r="O2011" s="737">
        <f t="shared" si="255"/>
        <v>0</v>
      </c>
      <c r="P2011" s="847"/>
      <c r="Q2011" s="847"/>
      <c r="R2011" s="738">
        <f t="shared" si="258"/>
        <v>0</v>
      </c>
      <c r="S2011" s="737">
        <f t="shared" si="259"/>
        <v>154030</v>
      </c>
      <c r="T2011" s="739">
        <f t="shared" si="260"/>
        <v>145312</v>
      </c>
      <c r="U2011" s="846"/>
      <c r="V2011" s="847"/>
      <c r="W2011" s="846"/>
      <c r="X2011" s="846"/>
      <c r="Y2011" s="740">
        <f t="shared" si="256"/>
        <v>0</v>
      </c>
      <c r="Z2011" s="847"/>
      <c r="AA2011" s="847"/>
      <c r="AB2011" s="741">
        <f t="shared" si="257"/>
        <v>0</v>
      </c>
      <c r="AC2011" s="846"/>
      <c r="AD2011" s="847"/>
      <c r="AE2011" s="846"/>
      <c r="AF2011" s="846"/>
      <c r="AG2011" s="847"/>
      <c r="AH2011" s="847"/>
      <c r="AI2011" s="742">
        <f t="shared" si="261"/>
        <v>154030</v>
      </c>
      <c r="AJ2011" s="743">
        <f t="shared" si="262"/>
        <v>145312</v>
      </c>
    </row>
    <row r="2012" spans="1:36">
      <c r="A2012" s="840" t="s">
        <v>153</v>
      </c>
      <c r="B2012" s="841" t="s">
        <v>275</v>
      </c>
      <c r="C2012" s="848" t="s">
        <v>258</v>
      </c>
      <c r="D2012" s="849"/>
      <c r="E2012" s="844">
        <v>199485</v>
      </c>
      <c r="F2012" s="855">
        <v>10</v>
      </c>
      <c r="G2012" s="846"/>
      <c r="H2012" s="847"/>
      <c r="I2012" s="846">
        <v>1065473</v>
      </c>
      <c r="J2012" s="847">
        <v>1055012</v>
      </c>
      <c r="K2012" s="846"/>
      <c r="L2012" s="847"/>
      <c r="M2012" s="846">
        <v>172239</v>
      </c>
      <c r="N2012" s="846"/>
      <c r="O2012" s="737">
        <f t="shared" si="255"/>
        <v>172239</v>
      </c>
      <c r="P2012" s="847">
        <v>165179</v>
      </c>
      <c r="Q2012" s="847"/>
      <c r="R2012" s="738">
        <f t="shared" si="258"/>
        <v>165179</v>
      </c>
      <c r="S2012" s="737">
        <f t="shared" si="259"/>
        <v>1237712</v>
      </c>
      <c r="T2012" s="739">
        <f t="shared" si="260"/>
        <v>1220191</v>
      </c>
      <c r="U2012" s="846"/>
      <c r="V2012" s="847"/>
      <c r="W2012" s="846"/>
      <c r="X2012" s="846"/>
      <c r="Y2012" s="740">
        <f t="shared" si="256"/>
        <v>0</v>
      </c>
      <c r="Z2012" s="847"/>
      <c r="AA2012" s="847"/>
      <c r="AB2012" s="741">
        <f t="shared" si="257"/>
        <v>0</v>
      </c>
      <c r="AC2012" s="846"/>
      <c r="AD2012" s="847"/>
      <c r="AE2012" s="846"/>
      <c r="AF2012" s="846"/>
      <c r="AG2012" s="847"/>
      <c r="AH2012" s="847"/>
      <c r="AI2012" s="742">
        <f t="shared" si="261"/>
        <v>1237712</v>
      </c>
      <c r="AJ2012" s="743">
        <f t="shared" si="262"/>
        <v>1220191</v>
      </c>
    </row>
    <row r="2013" spans="1:36">
      <c r="A2013" s="840" t="s">
        <v>153</v>
      </c>
      <c r="B2013" s="841" t="s">
        <v>264</v>
      </c>
      <c r="C2013" s="1057" t="s">
        <v>1372</v>
      </c>
      <c r="D2013" s="1231"/>
      <c r="E2013" s="844">
        <v>199625</v>
      </c>
      <c r="F2013" s="845">
        <v>10</v>
      </c>
      <c r="G2013" s="846">
        <v>5764508</v>
      </c>
      <c r="H2013" s="847">
        <v>6102643</v>
      </c>
      <c r="I2013" s="846"/>
      <c r="J2013" s="847"/>
      <c r="K2013" s="846">
        <v>1300754</v>
      </c>
      <c r="L2013" s="847">
        <v>1436064</v>
      </c>
      <c r="M2013" s="846">
        <v>2175747</v>
      </c>
      <c r="N2013" s="846"/>
      <c r="O2013" s="737">
        <f t="shared" si="255"/>
        <v>2175747</v>
      </c>
      <c r="P2013" s="847">
        <v>2136883</v>
      </c>
      <c r="Q2013" s="847"/>
      <c r="R2013" s="738">
        <f t="shared" si="258"/>
        <v>2136883</v>
      </c>
      <c r="S2013" s="737">
        <f t="shared" si="259"/>
        <v>9241009</v>
      </c>
      <c r="T2013" s="739">
        <f t="shared" si="260"/>
        <v>9675590</v>
      </c>
      <c r="U2013" s="846"/>
      <c r="V2013" s="847"/>
      <c r="W2013" s="846"/>
      <c r="X2013" s="846"/>
      <c r="Y2013" s="740">
        <f t="shared" si="256"/>
        <v>0</v>
      </c>
      <c r="Z2013" s="847"/>
      <c r="AA2013" s="847"/>
      <c r="AB2013" s="741">
        <f t="shared" si="257"/>
        <v>0</v>
      </c>
      <c r="AC2013" s="846"/>
      <c r="AD2013" s="847"/>
      <c r="AE2013" s="846"/>
      <c r="AF2013" s="846"/>
      <c r="AG2013" s="847"/>
      <c r="AH2013" s="847"/>
      <c r="AI2013" s="742">
        <f t="shared" si="261"/>
        <v>9241009</v>
      </c>
      <c r="AJ2013" s="743">
        <f t="shared" si="262"/>
        <v>9675590</v>
      </c>
    </row>
    <row r="2014" spans="1:36">
      <c r="A2014" s="840" t="s">
        <v>153</v>
      </c>
      <c r="B2014" s="841" t="s">
        <v>264</v>
      </c>
      <c r="C2014" s="848" t="s">
        <v>1320</v>
      </c>
      <c r="D2014" s="849"/>
      <c r="E2014" s="844">
        <v>199625</v>
      </c>
      <c r="F2014" s="845">
        <v>10</v>
      </c>
      <c r="G2014" s="846"/>
      <c r="H2014" s="847"/>
      <c r="I2014" s="846"/>
      <c r="J2014" s="847"/>
      <c r="K2014" s="846"/>
      <c r="L2014" s="847"/>
      <c r="M2014" s="846"/>
      <c r="N2014" s="846"/>
      <c r="O2014" s="737">
        <f t="shared" si="255"/>
        <v>0</v>
      </c>
      <c r="P2014" s="847"/>
      <c r="Q2014" s="847"/>
      <c r="R2014" s="738">
        <f t="shared" si="258"/>
        <v>0</v>
      </c>
      <c r="S2014" s="737">
        <f t="shared" si="259"/>
        <v>0</v>
      </c>
      <c r="T2014" s="739">
        <f t="shared" si="260"/>
        <v>0</v>
      </c>
      <c r="U2014" s="846"/>
      <c r="V2014" s="847"/>
      <c r="W2014" s="846"/>
      <c r="X2014" s="846"/>
      <c r="Y2014" s="740">
        <f t="shared" si="256"/>
        <v>0</v>
      </c>
      <c r="Z2014" s="847"/>
      <c r="AA2014" s="847"/>
      <c r="AB2014" s="741">
        <f t="shared" si="257"/>
        <v>0</v>
      </c>
      <c r="AC2014" s="846"/>
      <c r="AD2014" s="847"/>
      <c r="AE2014" s="846"/>
      <c r="AF2014" s="846"/>
      <c r="AG2014" s="847"/>
      <c r="AH2014" s="847"/>
      <c r="AI2014" s="742">
        <f t="shared" si="261"/>
        <v>0</v>
      </c>
      <c r="AJ2014" s="743">
        <f t="shared" si="262"/>
        <v>0</v>
      </c>
    </row>
    <row r="2015" spans="1:36">
      <c r="A2015" s="840" t="s">
        <v>153</v>
      </c>
      <c r="B2015" s="841" t="s">
        <v>266</v>
      </c>
      <c r="C2015" s="848" t="s">
        <v>319</v>
      </c>
      <c r="D2015" s="849"/>
      <c r="E2015" s="844">
        <v>199625</v>
      </c>
      <c r="F2015" s="845">
        <v>10</v>
      </c>
      <c r="G2015" s="846"/>
      <c r="H2015" s="847"/>
      <c r="I2015" s="846">
        <v>150503</v>
      </c>
      <c r="J2015" s="847">
        <v>152688</v>
      </c>
      <c r="K2015" s="846"/>
      <c r="L2015" s="847"/>
      <c r="M2015" s="846"/>
      <c r="N2015" s="846"/>
      <c r="O2015" s="737">
        <f t="shared" si="255"/>
        <v>0</v>
      </c>
      <c r="P2015" s="847"/>
      <c r="Q2015" s="847"/>
      <c r="R2015" s="738">
        <f t="shared" si="258"/>
        <v>0</v>
      </c>
      <c r="S2015" s="737">
        <f t="shared" si="259"/>
        <v>150503</v>
      </c>
      <c r="T2015" s="739">
        <f t="shared" si="260"/>
        <v>152688</v>
      </c>
      <c r="U2015" s="846"/>
      <c r="V2015" s="847"/>
      <c r="W2015" s="846"/>
      <c r="X2015" s="846"/>
      <c r="Y2015" s="740">
        <f t="shared" si="256"/>
        <v>0</v>
      </c>
      <c r="Z2015" s="847"/>
      <c r="AA2015" s="847"/>
      <c r="AB2015" s="741">
        <f t="shared" si="257"/>
        <v>0</v>
      </c>
      <c r="AC2015" s="846"/>
      <c r="AD2015" s="847"/>
      <c r="AE2015" s="846"/>
      <c r="AF2015" s="846"/>
      <c r="AG2015" s="847"/>
      <c r="AH2015" s="847"/>
      <c r="AI2015" s="742">
        <f t="shared" si="261"/>
        <v>150503</v>
      </c>
      <c r="AJ2015" s="743">
        <f t="shared" si="262"/>
        <v>152688</v>
      </c>
    </row>
    <row r="2016" spans="1:36">
      <c r="A2016" s="840" t="s">
        <v>153</v>
      </c>
      <c r="B2016" s="841" t="s">
        <v>275</v>
      </c>
      <c r="C2016" s="848" t="s">
        <v>258</v>
      </c>
      <c r="D2016" s="849"/>
      <c r="E2016" s="844">
        <v>199625</v>
      </c>
      <c r="F2016" s="845">
        <v>10</v>
      </c>
      <c r="G2016" s="846"/>
      <c r="H2016" s="847"/>
      <c r="I2016" s="846">
        <v>1873764</v>
      </c>
      <c r="J2016" s="847">
        <v>1900401</v>
      </c>
      <c r="K2016" s="846"/>
      <c r="L2016" s="847"/>
      <c r="M2016" s="846">
        <v>200734</v>
      </c>
      <c r="N2016" s="846"/>
      <c r="O2016" s="737">
        <f t="shared" si="255"/>
        <v>200734</v>
      </c>
      <c r="P2016" s="847">
        <v>202719</v>
      </c>
      <c r="Q2016" s="847"/>
      <c r="R2016" s="738">
        <f t="shared" si="258"/>
        <v>202719</v>
      </c>
      <c r="S2016" s="737">
        <f t="shared" si="259"/>
        <v>2074498</v>
      </c>
      <c r="T2016" s="739">
        <f t="shared" si="260"/>
        <v>2103120</v>
      </c>
      <c r="U2016" s="846"/>
      <c r="V2016" s="847"/>
      <c r="W2016" s="846"/>
      <c r="X2016" s="846"/>
      <c r="Y2016" s="740">
        <f t="shared" si="256"/>
        <v>0</v>
      </c>
      <c r="Z2016" s="847"/>
      <c r="AA2016" s="847"/>
      <c r="AB2016" s="741">
        <f t="shared" si="257"/>
        <v>0</v>
      </c>
      <c r="AC2016" s="846"/>
      <c r="AD2016" s="847"/>
      <c r="AE2016" s="846"/>
      <c r="AF2016" s="846"/>
      <c r="AG2016" s="847"/>
      <c r="AH2016" s="847"/>
      <c r="AI2016" s="742">
        <f t="shared" si="261"/>
        <v>2074498</v>
      </c>
      <c r="AJ2016" s="743">
        <f t="shared" si="262"/>
        <v>2103120</v>
      </c>
    </row>
    <row r="2017" spans="1:36">
      <c r="A2017" s="840" t="s">
        <v>153</v>
      </c>
      <c r="B2017" s="841" t="s">
        <v>264</v>
      </c>
      <c r="C2017" s="1057" t="s">
        <v>1373</v>
      </c>
      <c r="D2017" s="1231"/>
      <c r="E2017" s="844">
        <v>197850</v>
      </c>
      <c r="F2017" s="855">
        <v>10</v>
      </c>
      <c r="G2017" s="846">
        <v>8300390</v>
      </c>
      <c r="H2017" s="847">
        <v>8702504</v>
      </c>
      <c r="I2017" s="846"/>
      <c r="J2017" s="847"/>
      <c r="K2017" s="846">
        <v>1792129</v>
      </c>
      <c r="L2017" s="847">
        <v>3406670</v>
      </c>
      <c r="M2017" s="846">
        <v>3122197</v>
      </c>
      <c r="N2017" s="846"/>
      <c r="O2017" s="737">
        <f t="shared" si="255"/>
        <v>3122197</v>
      </c>
      <c r="P2017" s="847">
        <v>3093288</v>
      </c>
      <c r="Q2017" s="847"/>
      <c r="R2017" s="738">
        <f t="shared" si="258"/>
        <v>3093288</v>
      </c>
      <c r="S2017" s="737">
        <f t="shared" si="259"/>
        <v>13214716</v>
      </c>
      <c r="T2017" s="739">
        <f t="shared" si="260"/>
        <v>15202462</v>
      </c>
      <c r="U2017" s="846"/>
      <c r="V2017" s="847"/>
      <c r="W2017" s="846"/>
      <c r="X2017" s="846"/>
      <c r="Y2017" s="740">
        <f t="shared" si="256"/>
        <v>0</v>
      </c>
      <c r="Z2017" s="847"/>
      <c r="AA2017" s="847"/>
      <c r="AB2017" s="741">
        <f t="shared" si="257"/>
        <v>0</v>
      </c>
      <c r="AC2017" s="846"/>
      <c r="AD2017" s="847"/>
      <c r="AE2017" s="846"/>
      <c r="AF2017" s="846"/>
      <c r="AG2017" s="847"/>
      <c r="AH2017" s="847"/>
      <c r="AI2017" s="742">
        <f t="shared" si="261"/>
        <v>13214716</v>
      </c>
      <c r="AJ2017" s="743">
        <f t="shared" si="262"/>
        <v>15202462</v>
      </c>
    </row>
    <row r="2018" spans="1:36">
      <c r="A2018" s="840" t="s">
        <v>153</v>
      </c>
      <c r="B2018" s="841" t="s">
        <v>264</v>
      </c>
      <c r="C2018" s="848" t="s">
        <v>1320</v>
      </c>
      <c r="D2018" s="849"/>
      <c r="E2018" s="844">
        <v>197850</v>
      </c>
      <c r="F2018" s="855">
        <v>10</v>
      </c>
      <c r="G2018" s="846"/>
      <c r="H2018" s="847"/>
      <c r="I2018" s="846"/>
      <c r="J2018" s="847"/>
      <c r="K2018" s="846"/>
      <c r="L2018" s="847"/>
      <c r="M2018" s="846"/>
      <c r="N2018" s="846"/>
      <c r="O2018" s="737">
        <f t="shared" si="255"/>
        <v>0</v>
      </c>
      <c r="P2018" s="847"/>
      <c r="Q2018" s="847"/>
      <c r="R2018" s="738">
        <f t="shared" si="258"/>
        <v>0</v>
      </c>
      <c r="S2018" s="737">
        <f t="shared" si="259"/>
        <v>0</v>
      </c>
      <c r="T2018" s="739">
        <f t="shared" si="260"/>
        <v>0</v>
      </c>
      <c r="U2018" s="846"/>
      <c r="V2018" s="847"/>
      <c r="W2018" s="846"/>
      <c r="X2018" s="846"/>
      <c r="Y2018" s="740">
        <f t="shared" si="256"/>
        <v>0</v>
      </c>
      <c r="Z2018" s="847"/>
      <c r="AA2018" s="847"/>
      <c r="AB2018" s="741">
        <f t="shared" si="257"/>
        <v>0</v>
      </c>
      <c r="AC2018" s="846"/>
      <c r="AD2018" s="847"/>
      <c r="AE2018" s="846"/>
      <c r="AF2018" s="846"/>
      <c r="AG2018" s="847"/>
      <c r="AH2018" s="847"/>
      <c r="AI2018" s="742">
        <f t="shared" si="261"/>
        <v>0</v>
      </c>
      <c r="AJ2018" s="743">
        <f t="shared" si="262"/>
        <v>0</v>
      </c>
    </row>
    <row r="2019" spans="1:36">
      <c r="A2019" s="840" t="s">
        <v>153</v>
      </c>
      <c r="B2019" s="841" t="s">
        <v>266</v>
      </c>
      <c r="C2019" s="848" t="s">
        <v>319</v>
      </c>
      <c r="D2019" s="849"/>
      <c r="E2019" s="844">
        <v>197850</v>
      </c>
      <c r="F2019" s="855">
        <v>10</v>
      </c>
      <c r="G2019" s="846"/>
      <c r="H2019" s="847"/>
      <c r="I2019" s="846">
        <v>157058</v>
      </c>
      <c r="J2019" s="847">
        <v>159947</v>
      </c>
      <c r="K2019" s="846"/>
      <c r="L2019" s="847"/>
      <c r="M2019" s="846"/>
      <c r="N2019" s="846"/>
      <c r="O2019" s="737">
        <f t="shared" si="255"/>
        <v>0</v>
      </c>
      <c r="P2019" s="847"/>
      <c r="Q2019" s="847"/>
      <c r="R2019" s="738">
        <f t="shared" si="258"/>
        <v>0</v>
      </c>
      <c r="S2019" s="737">
        <f t="shared" si="259"/>
        <v>157058</v>
      </c>
      <c r="T2019" s="739">
        <f t="shared" si="260"/>
        <v>159947</v>
      </c>
      <c r="U2019" s="846"/>
      <c r="V2019" s="847"/>
      <c r="W2019" s="846"/>
      <c r="X2019" s="846"/>
      <c r="Y2019" s="740">
        <f t="shared" si="256"/>
        <v>0</v>
      </c>
      <c r="Z2019" s="847"/>
      <c r="AA2019" s="847"/>
      <c r="AB2019" s="741">
        <f t="shared" si="257"/>
        <v>0</v>
      </c>
      <c r="AC2019" s="846"/>
      <c r="AD2019" s="847"/>
      <c r="AE2019" s="846"/>
      <c r="AF2019" s="846"/>
      <c r="AG2019" s="847"/>
      <c r="AH2019" s="847"/>
      <c r="AI2019" s="742">
        <f t="shared" si="261"/>
        <v>157058</v>
      </c>
      <c r="AJ2019" s="743">
        <f t="shared" si="262"/>
        <v>159947</v>
      </c>
    </row>
    <row r="2020" spans="1:36">
      <c r="A2020" s="840" t="s">
        <v>153</v>
      </c>
      <c r="B2020" s="841" t="s">
        <v>275</v>
      </c>
      <c r="C2020" s="848" t="s">
        <v>258</v>
      </c>
      <c r="D2020" s="849"/>
      <c r="E2020" s="844">
        <v>197850</v>
      </c>
      <c r="F2020" s="855">
        <v>10</v>
      </c>
      <c r="G2020" s="846"/>
      <c r="H2020" s="847"/>
      <c r="I2020" s="846">
        <v>2744396</v>
      </c>
      <c r="J2020" s="847">
        <v>2645489</v>
      </c>
      <c r="K2020" s="846"/>
      <c r="L2020" s="847"/>
      <c r="M2020" s="846">
        <v>426165</v>
      </c>
      <c r="N2020" s="846"/>
      <c r="O2020" s="737">
        <f t="shared" si="255"/>
        <v>426165</v>
      </c>
      <c r="P2020" s="847">
        <v>391673</v>
      </c>
      <c r="Q2020" s="847"/>
      <c r="R2020" s="738">
        <f t="shared" si="258"/>
        <v>391673</v>
      </c>
      <c r="S2020" s="737">
        <f t="shared" si="259"/>
        <v>3170561</v>
      </c>
      <c r="T2020" s="739">
        <f t="shared" si="260"/>
        <v>3037162</v>
      </c>
      <c r="U2020" s="846"/>
      <c r="V2020" s="847"/>
      <c r="W2020" s="846"/>
      <c r="X2020" s="846"/>
      <c r="Y2020" s="740">
        <f t="shared" si="256"/>
        <v>0</v>
      </c>
      <c r="Z2020" s="847"/>
      <c r="AA2020" s="847"/>
      <c r="AB2020" s="741">
        <f t="shared" si="257"/>
        <v>0</v>
      </c>
      <c r="AC2020" s="846"/>
      <c r="AD2020" s="847"/>
      <c r="AE2020" s="846"/>
      <c r="AF2020" s="846"/>
      <c r="AG2020" s="847"/>
      <c r="AH2020" s="847"/>
      <c r="AI2020" s="742">
        <f t="shared" si="261"/>
        <v>3170561</v>
      </c>
      <c r="AJ2020" s="743">
        <f t="shared" si="262"/>
        <v>3037162</v>
      </c>
    </row>
    <row r="2021" spans="1:36">
      <c r="A2021" s="840" t="s">
        <v>153</v>
      </c>
      <c r="B2021" s="841" t="s">
        <v>264</v>
      </c>
      <c r="C2021" s="1057" t="s">
        <v>1374</v>
      </c>
      <c r="D2021" s="1231"/>
      <c r="E2021" s="844">
        <v>199722</v>
      </c>
      <c r="F2021" s="855">
        <v>10</v>
      </c>
      <c r="G2021" s="846">
        <v>7379271</v>
      </c>
      <c r="H2021" s="847">
        <v>7040397</v>
      </c>
      <c r="I2021" s="846"/>
      <c r="J2021" s="847"/>
      <c r="K2021" s="846">
        <v>1242525</v>
      </c>
      <c r="L2021" s="847">
        <v>1267376</v>
      </c>
      <c r="M2021" s="846">
        <v>2743254</v>
      </c>
      <c r="N2021" s="846"/>
      <c r="O2021" s="737">
        <f t="shared" si="255"/>
        <v>2743254</v>
      </c>
      <c r="P2021" s="847">
        <v>2368242</v>
      </c>
      <c r="Q2021" s="847"/>
      <c r="R2021" s="738">
        <f t="shared" si="258"/>
        <v>2368242</v>
      </c>
      <c r="S2021" s="737">
        <f t="shared" si="259"/>
        <v>11365050</v>
      </c>
      <c r="T2021" s="739">
        <f t="shared" si="260"/>
        <v>10676015</v>
      </c>
      <c r="U2021" s="846"/>
      <c r="V2021" s="847"/>
      <c r="W2021" s="846"/>
      <c r="X2021" s="846"/>
      <c r="Y2021" s="740">
        <f t="shared" si="256"/>
        <v>0</v>
      </c>
      <c r="Z2021" s="847"/>
      <c r="AA2021" s="847"/>
      <c r="AB2021" s="741">
        <f t="shared" si="257"/>
        <v>0</v>
      </c>
      <c r="AC2021" s="846"/>
      <c r="AD2021" s="847"/>
      <c r="AE2021" s="846"/>
      <c r="AF2021" s="846"/>
      <c r="AG2021" s="847"/>
      <c r="AH2021" s="847"/>
      <c r="AI2021" s="742">
        <f t="shared" si="261"/>
        <v>11365050</v>
      </c>
      <c r="AJ2021" s="743">
        <f t="shared" si="262"/>
        <v>10676015</v>
      </c>
    </row>
    <row r="2022" spans="1:36">
      <c r="A2022" s="840" t="s">
        <v>153</v>
      </c>
      <c r="B2022" s="841" t="s">
        <v>264</v>
      </c>
      <c r="C2022" s="848" t="s">
        <v>1320</v>
      </c>
      <c r="D2022" s="849"/>
      <c r="E2022" s="844">
        <v>199722</v>
      </c>
      <c r="F2022" s="855">
        <v>10</v>
      </c>
      <c r="G2022" s="846"/>
      <c r="H2022" s="847"/>
      <c r="I2022" s="846"/>
      <c r="J2022" s="847"/>
      <c r="K2022" s="846"/>
      <c r="L2022" s="847"/>
      <c r="M2022" s="846"/>
      <c r="N2022" s="846"/>
      <c r="O2022" s="737">
        <f t="shared" si="255"/>
        <v>0</v>
      </c>
      <c r="P2022" s="847"/>
      <c r="Q2022" s="847"/>
      <c r="R2022" s="738">
        <f t="shared" si="258"/>
        <v>0</v>
      </c>
      <c r="S2022" s="737">
        <f t="shared" si="259"/>
        <v>0</v>
      </c>
      <c r="T2022" s="739">
        <f t="shared" si="260"/>
        <v>0</v>
      </c>
      <c r="U2022" s="846"/>
      <c r="V2022" s="847"/>
      <c r="W2022" s="846"/>
      <c r="X2022" s="846"/>
      <c r="Y2022" s="740">
        <f t="shared" si="256"/>
        <v>0</v>
      </c>
      <c r="Z2022" s="847"/>
      <c r="AA2022" s="847"/>
      <c r="AB2022" s="741">
        <f t="shared" si="257"/>
        <v>0</v>
      </c>
      <c r="AC2022" s="846"/>
      <c r="AD2022" s="847"/>
      <c r="AE2022" s="846"/>
      <c r="AF2022" s="846"/>
      <c r="AG2022" s="847"/>
      <c r="AH2022" s="847"/>
      <c r="AI2022" s="742">
        <f t="shared" si="261"/>
        <v>0</v>
      </c>
      <c r="AJ2022" s="743">
        <f t="shared" si="262"/>
        <v>0</v>
      </c>
    </row>
    <row r="2023" spans="1:36">
      <c r="A2023" s="840" t="s">
        <v>153</v>
      </c>
      <c r="B2023" s="841" t="s">
        <v>266</v>
      </c>
      <c r="C2023" s="848" t="s">
        <v>319</v>
      </c>
      <c r="D2023" s="849"/>
      <c r="E2023" s="844">
        <v>199722</v>
      </c>
      <c r="F2023" s="855">
        <v>10</v>
      </c>
      <c r="G2023" s="846"/>
      <c r="H2023" s="847"/>
      <c r="I2023" s="846">
        <v>155260</v>
      </c>
      <c r="J2023" s="847">
        <v>156606</v>
      </c>
      <c r="K2023" s="846"/>
      <c r="L2023" s="847"/>
      <c r="M2023" s="846"/>
      <c r="N2023" s="846"/>
      <c r="O2023" s="737">
        <f t="shared" si="255"/>
        <v>0</v>
      </c>
      <c r="P2023" s="847"/>
      <c r="Q2023" s="847"/>
      <c r="R2023" s="738">
        <f t="shared" si="258"/>
        <v>0</v>
      </c>
      <c r="S2023" s="737">
        <f t="shared" si="259"/>
        <v>155260</v>
      </c>
      <c r="T2023" s="739">
        <f t="shared" si="260"/>
        <v>156606</v>
      </c>
      <c r="U2023" s="846"/>
      <c r="V2023" s="847"/>
      <c r="W2023" s="846"/>
      <c r="X2023" s="846"/>
      <c r="Y2023" s="740">
        <f t="shared" si="256"/>
        <v>0</v>
      </c>
      <c r="Z2023" s="847"/>
      <c r="AA2023" s="847"/>
      <c r="AB2023" s="741">
        <f t="shared" si="257"/>
        <v>0</v>
      </c>
      <c r="AC2023" s="846"/>
      <c r="AD2023" s="847"/>
      <c r="AE2023" s="846"/>
      <c r="AF2023" s="846"/>
      <c r="AG2023" s="847"/>
      <c r="AH2023" s="847"/>
      <c r="AI2023" s="742">
        <f t="shared" si="261"/>
        <v>155260</v>
      </c>
      <c r="AJ2023" s="743">
        <f t="shared" si="262"/>
        <v>156606</v>
      </c>
    </row>
    <row r="2024" spans="1:36">
      <c r="A2024" s="840" t="s">
        <v>153</v>
      </c>
      <c r="B2024" s="841" t="s">
        <v>275</v>
      </c>
      <c r="C2024" s="848" t="s">
        <v>258</v>
      </c>
      <c r="D2024" s="849"/>
      <c r="E2024" s="844">
        <v>199722</v>
      </c>
      <c r="F2024" s="855">
        <v>10</v>
      </c>
      <c r="G2024" s="846"/>
      <c r="H2024" s="847"/>
      <c r="I2024" s="846">
        <v>2637054</v>
      </c>
      <c r="J2024" s="847">
        <v>2607053</v>
      </c>
      <c r="K2024" s="846"/>
      <c r="L2024" s="847"/>
      <c r="M2024" s="846">
        <v>405901</v>
      </c>
      <c r="N2024" s="846"/>
      <c r="O2024" s="737">
        <f t="shared" si="255"/>
        <v>405901</v>
      </c>
      <c r="P2024" s="847">
        <v>397304</v>
      </c>
      <c r="Q2024" s="847"/>
      <c r="R2024" s="738">
        <f t="shared" si="258"/>
        <v>397304</v>
      </c>
      <c r="S2024" s="737">
        <f t="shared" si="259"/>
        <v>3042955</v>
      </c>
      <c r="T2024" s="739">
        <f t="shared" si="260"/>
        <v>3004357</v>
      </c>
      <c r="U2024" s="846"/>
      <c r="V2024" s="847"/>
      <c r="W2024" s="846"/>
      <c r="X2024" s="846"/>
      <c r="Y2024" s="740">
        <f t="shared" si="256"/>
        <v>0</v>
      </c>
      <c r="Z2024" s="847"/>
      <c r="AA2024" s="847"/>
      <c r="AB2024" s="741">
        <f t="shared" si="257"/>
        <v>0</v>
      </c>
      <c r="AC2024" s="846"/>
      <c r="AD2024" s="847"/>
      <c r="AE2024" s="846"/>
      <c r="AF2024" s="846"/>
      <c r="AG2024" s="847"/>
      <c r="AH2024" s="847"/>
      <c r="AI2024" s="742">
        <f t="shared" si="261"/>
        <v>3042955</v>
      </c>
      <c r="AJ2024" s="743">
        <f t="shared" si="262"/>
        <v>3004357</v>
      </c>
    </row>
    <row r="2025" spans="1:36">
      <c r="A2025" s="840" t="s">
        <v>153</v>
      </c>
      <c r="B2025" s="841" t="s">
        <v>264</v>
      </c>
      <c r="C2025" s="1057" t="s">
        <v>1375</v>
      </c>
      <c r="D2025" s="1231"/>
      <c r="E2025" s="844">
        <v>199731</v>
      </c>
      <c r="F2025" s="855">
        <v>10</v>
      </c>
      <c r="G2025" s="846">
        <v>8761926</v>
      </c>
      <c r="H2025" s="847">
        <v>9163310</v>
      </c>
      <c r="I2025" s="846"/>
      <c r="J2025" s="847"/>
      <c r="K2025" s="846">
        <v>2154623</v>
      </c>
      <c r="L2025" s="847">
        <v>2182523</v>
      </c>
      <c r="M2025" s="846">
        <v>3707835</v>
      </c>
      <c r="N2025" s="846"/>
      <c r="O2025" s="737">
        <f t="shared" si="255"/>
        <v>3707835</v>
      </c>
      <c r="P2025" s="847">
        <v>3612479</v>
      </c>
      <c r="Q2025" s="847"/>
      <c r="R2025" s="738">
        <f t="shared" si="258"/>
        <v>3612479</v>
      </c>
      <c r="S2025" s="737">
        <f t="shared" si="259"/>
        <v>14624384</v>
      </c>
      <c r="T2025" s="739">
        <f t="shared" si="260"/>
        <v>14958312</v>
      </c>
      <c r="U2025" s="846"/>
      <c r="V2025" s="847"/>
      <c r="W2025" s="846"/>
      <c r="X2025" s="846"/>
      <c r="Y2025" s="740">
        <f t="shared" si="256"/>
        <v>0</v>
      </c>
      <c r="Z2025" s="847"/>
      <c r="AA2025" s="847"/>
      <c r="AB2025" s="741">
        <f t="shared" si="257"/>
        <v>0</v>
      </c>
      <c r="AC2025" s="846"/>
      <c r="AD2025" s="847"/>
      <c r="AE2025" s="846"/>
      <c r="AF2025" s="846"/>
      <c r="AG2025" s="847"/>
      <c r="AH2025" s="847"/>
      <c r="AI2025" s="742">
        <f t="shared" si="261"/>
        <v>14624384</v>
      </c>
      <c r="AJ2025" s="743">
        <f t="shared" si="262"/>
        <v>14958312</v>
      </c>
    </row>
    <row r="2026" spans="1:36">
      <c r="A2026" s="840" t="s">
        <v>153</v>
      </c>
      <c r="B2026" s="841" t="s">
        <v>264</v>
      </c>
      <c r="C2026" s="848" t="s">
        <v>1320</v>
      </c>
      <c r="D2026" s="849"/>
      <c r="E2026" s="844">
        <v>199731</v>
      </c>
      <c r="F2026" s="855">
        <v>10</v>
      </c>
      <c r="G2026" s="846"/>
      <c r="H2026" s="847"/>
      <c r="I2026" s="846"/>
      <c r="J2026" s="847"/>
      <c r="K2026" s="846"/>
      <c r="L2026" s="847"/>
      <c r="M2026" s="846"/>
      <c r="N2026" s="846"/>
      <c r="O2026" s="737">
        <f t="shared" si="255"/>
        <v>0</v>
      </c>
      <c r="P2026" s="847"/>
      <c r="Q2026" s="847"/>
      <c r="R2026" s="738">
        <f t="shared" si="258"/>
        <v>0</v>
      </c>
      <c r="S2026" s="737">
        <f t="shared" si="259"/>
        <v>0</v>
      </c>
      <c r="T2026" s="739">
        <f t="shared" si="260"/>
        <v>0</v>
      </c>
      <c r="U2026" s="846"/>
      <c r="V2026" s="847"/>
      <c r="W2026" s="846"/>
      <c r="X2026" s="846"/>
      <c r="Y2026" s="740">
        <f t="shared" si="256"/>
        <v>0</v>
      </c>
      <c r="Z2026" s="847"/>
      <c r="AA2026" s="847"/>
      <c r="AB2026" s="741">
        <f t="shared" si="257"/>
        <v>0</v>
      </c>
      <c r="AC2026" s="846"/>
      <c r="AD2026" s="847"/>
      <c r="AE2026" s="846"/>
      <c r="AF2026" s="846"/>
      <c r="AG2026" s="847"/>
      <c r="AH2026" s="847"/>
      <c r="AI2026" s="742">
        <f t="shared" si="261"/>
        <v>0</v>
      </c>
      <c r="AJ2026" s="743">
        <f t="shared" si="262"/>
        <v>0</v>
      </c>
    </row>
    <row r="2027" spans="1:36">
      <c r="A2027" s="840" t="s">
        <v>153</v>
      </c>
      <c r="B2027" s="841" t="s">
        <v>266</v>
      </c>
      <c r="C2027" s="848" t="s">
        <v>319</v>
      </c>
      <c r="D2027" s="849"/>
      <c r="E2027" s="844">
        <v>199731</v>
      </c>
      <c r="F2027" s="855">
        <v>10</v>
      </c>
      <c r="G2027" s="846"/>
      <c r="H2027" s="847"/>
      <c r="I2027" s="846">
        <v>144396</v>
      </c>
      <c r="J2027" s="847">
        <v>146509</v>
      </c>
      <c r="K2027" s="846"/>
      <c r="L2027" s="847"/>
      <c r="M2027" s="846"/>
      <c r="N2027" s="846"/>
      <c r="O2027" s="737">
        <f t="shared" si="255"/>
        <v>0</v>
      </c>
      <c r="P2027" s="847"/>
      <c r="Q2027" s="847"/>
      <c r="R2027" s="738">
        <f t="shared" si="258"/>
        <v>0</v>
      </c>
      <c r="S2027" s="737">
        <f t="shared" si="259"/>
        <v>144396</v>
      </c>
      <c r="T2027" s="739">
        <f t="shared" si="260"/>
        <v>146509</v>
      </c>
      <c r="U2027" s="846"/>
      <c r="V2027" s="847"/>
      <c r="W2027" s="846"/>
      <c r="X2027" s="846"/>
      <c r="Y2027" s="740">
        <f t="shared" si="256"/>
        <v>0</v>
      </c>
      <c r="Z2027" s="847"/>
      <c r="AA2027" s="847"/>
      <c r="AB2027" s="741">
        <f t="shared" si="257"/>
        <v>0</v>
      </c>
      <c r="AC2027" s="846"/>
      <c r="AD2027" s="847"/>
      <c r="AE2027" s="846"/>
      <c r="AF2027" s="846"/>
      <c r="AG2027" s="847"/>
      <c r="AH2027" s="847"/>
      <c r="AI2027" s="742">
        <f t="shared" si="261"/>
        <v>144396</v>
      </c>
      <c r="AJ2027" s="743">
        <f t="shared" si="262"/>
        <v>146509</v>
      </c>
    </row>
    <row r="2028" spans="1:36">
      <c r="A2028" s="840" t="s">
        <v>153</v>
      </c>
      <c r="B2028" s="841" t="s">
        <v>275</v>
      </c>
      <c r="C2028" s="848" t="s">
        <v>258</v>
      </c>
      <c r="D2028" s="849"/>
      <c r="E2028" s="844">
        <v>199731</v>
      </c>
      <c r="F2028" s="855">
        <v>10</v>
      </c>
      <c r="G2028" s="846"/>
      <c r="H2028" s="847"/>
      <c r="I2028" s="846">
        <v>1660944</v>
      </c>
      <c r="J2028" s="847">
        <v>1567526</v>
      </c>
      <c r="K2028" s="846"/>
      <c r="L2028" s="847"/>
      <c r="M2028" s="846">
        <v>285587</v>
      </c>
      <c r="N2028" s="846"/>
      <c r="O2028" s="737">
        <f t="shared" si="255"/>
        <v>285587</v>
      </c>
      <c r="P2028" s="847">
        <v>286560</v>
      </c>
      <c r="Q2028" s="847"/>
      <c r="R2028" s="738">
        <f t="shared" si="258"/>
        <v>286560</v>
      </c>
      <c r="S2028" s="737">
        <f t="shared" si="259"/>
        <v>1946531</v>
      </c>
      <c r="T2028" s="739">
        <f t="shared" si="260"/>
        <v>1854086</v>
      </c>
      <c r="U2028" s="846"/>
      <c r="V2028" s="847"/>
      <c r="W2028" s="846"/>
      <c r="X2028" s="846"/>
      <c r="Y2028" s="740">
        <f t="shared" si="256"/>
        <v>0</v>
      </c>
      <c r="Z2028" s="847"/>
      <c r="AA2028" s="847"/>
      <c r="AB2028" s="741">
        <f t="shared" si="257"/>
        <v>0</v>
      </c>
      <c r="AC2028" s="846"/>
      <c r="AD2028" s="847"/>
      <c r="AE2028" s="846"/>
      <c r="AF2028" s="846"/>
      <c r="AG2028" s="847"/>
      <c r="AH2028" s="847"/>
      <c r="AI2028" s="742">
        <f t="shared" si="261"/>
        <v>1946531</v>
      </c>
      <c r="AJ2028" s="743">
        <f t="shared" si="262"/>
        <v>1854086</v>
      </c>
    </row>
    <row r="2029" spans="1:36">
      <c r="A2029" s="840" t="s">
        <v>153</v>
      </c>
      <c r="B2029" s="841" t="s">
        <v>264</v>
      </c>
      <c r="C2029" s="841" t="s">
        <v>1376</v>
      </c>
      <c r="D2029" s="872"/>
      <c r="E2029" s="844">
        <v>199795</v>
      </c>
      <c r="F2029" s="845">
        <v>10</v>
      </c>
      <c r="G2029" s="846">
        <v>5001305</v>
      </c>
      <c r="H2029" s="847">
        <v>5296552</v>
      </c>
      <c r="I2029" s="846"/>
      <c r="J2029" s="847"/>
      <c r="K2029" s="846">
        <v>894205</v>
      </c>
      <c r="L2029" s="847">
        <v>969581</v>
      </c>
      <c r="M2029" s="846">
        <v>2057894</v>
      </c>
      <c r="N2029" s="846"/>
      <c r="O2029" s="737">
        <f t="shared" si="255"/>
        <v>2057894</v>
      </c>
      <c r="P2029" s="847">
        <v>2054905</v>
      </c>
      <c r="Q2029" s="847"/>
      <c r="R2029" s="738">
        <f t="shared" si="258"/>
        <v>2054905</v>
      </c>
      <c r="S2029" s="737">
        <f t="shared" si="259"/>
        <v>7953404</v>
      </c>
      <c r="T2029" s="739">
        <f t="shared" si="260"/>
        <v>8321038</v>
      </c>
      <c r="U2029" s="846"/>
      <c r="V2029" s="847"/>
      <c r="W2029" s="846"/>
      <c r="X2029" s="846"/>
      <c r="Y2029" s="740">
        <f t="shared" si="256"/>
        <v>0</v>
      </c>
      <c r="Z2029" s="847"/>
      <c r="AA2029" s="847"/>
      <c r="AB2029" s="741">
        <f t="shared" si="257"/>
        <v>0</v>
      </c>
      <c r="AC2029" s="846"/>
      <c r="AD2029" s="847"/>
      <c r="AE2029" s="846"/>
      <c r="AF2029" s="846"/>
      <c r="AG2029" s="847"/>
      <c r="AH2029" s="847"/>
      <c r="AI2029" s="742">
        <f t="shared" si="261"/>
        <v>7953404</v>
      </c>
      <c r="AJ2029" s="743">
        <f t="shared" si="262"/>
        <v>8321038</v>
      </c>
    </row>
    <row r="2030" spans="1:36">
      <c r="A2030" s="840" t="s">
        <v>153</v>
      </c>
      <c r="B2030" s="841" t="s">
        <v>264</v>
      </c>
      <c r="C2030" s="848" t="s">
        <v>1320</v>
      </c>
      <c r="D2030" s="849"/>
      <c r="E2030" s="844">
        <v>199795</v>
      </c>
      <c r="F2030" s="845">
        <v>10</v>
      </c>
      <c r="G2030" s="846"/>
      <c r="H2030" s="847"/>
      <c r="I2030" s="846"/>
      <c r="J2030" s="847"/>
      <c r="K2030" s="846"/>
      <c r="L2030" s="847"/>
      <c r="M2030" s="846"/>
      <c r="N2030" s="846"/>
      <c r="O2030" s="737">
        <f t="shared" si="255"/>
        <v>0</v>
      </c>
      <c r="P2030" s="847"/>
      <c r="Q2030" s="847"/>
      <c r="R2030" s="738">
        <f t="shared" si="258"/>
        <v>0</v>
      </c>
      <c r="S2030" s="737">
        <f t="shared" si="259"/>
        <v>0</v>
      </c>
      <c r="T2030" s="739">
        <f t="shared" si="260"/>
        <v>0</v>
      </c>
      <c r="U2030" s="846"/>
      <c r="V2030" s="847"/>
      <c r="W2030" s="846"/>
      <c r="X2030" s="846"/>
      <c r="Y2030" s="740">
        <f t="shared" si="256"/>
        <v>0</v>
      </c>
      <c r="Z2030" s="847"/>
      <c r="AA2030" s="847"/>
      <c r="AB2030" s="741">
        <f t="shared" si="257"/>
        <v>0</v>
      </c>
      <c r="AC2030" s="846"/>
      <c r="AD2030" s="847"/>
      <c r="AE2030" s="846"/>
      <c r="AF2030" s="846"/>
      <c r="AG2030" s="847"/>
      <c r="AH2030" s="847"/>
      <c r="AI2030" s="742">
        <f t="shared" si="261"/>
        <v>0</v>
      </c>
      <c r="AJ2030" s="743">
        <f t="shared" si="262"/>
        <v>0</v>
      </c>
    </row>
    <row r="2031" spans="1:36">
      <c r="A2031" s="840" t="s">
        <v>153</v>
      </c>
      <c r="B2031" s="841" t="s">
        <v>266</v>
      </c>
      <c r="C2031" s="848" t="s">
        <v>319</v>
      </c>
      <c r="D2031" s="849"/>
      <c r="E2031" s="844">
        <v>199795</v>
      </c>
      <c r="F2031" s="845">
        <v>10</v>
      </c>
      <c r="G2031" s="846"/>
      <c r="H2031" s="847"/>
      <c r="I2031" s="846">
        <v>147206</v>
      </c>
      <c r="J2031" s="847">
        <v>147502</v>
      </c>
      <c r="K2031" s="846"/>
      <c r="L2031" s="847"/>
      <c r="M2031" s="846"/>
      <c r="N2031" s="846"/>
      <c r="O2031" s="737">
        <f t="shared" si="255"/>
        <v>0</v>
      </c>
      <c r="P2031" s="847"/>
      <c r="Q2031" s="847"/>
      <c r="R2031" s="738">
        <f t="shared" si="258"/>
        <v>0</v>
      </c>
      <c r="S2031" s="737">
        <f t="shared" si="259"/>
        <v>147206</v>
      </c>
      <c r="T2031" s="739">
        <f t="shared" si="260"/>
        <v>147502</v>
      </c>
      <c r="U2031" s="846"/>
      <c r="V2031" s="847"/>
      <c r="W2031" s="846"/>
      <c r="X2031" s="846"/>
      <c r="Y2031" s="740">
        <f t="shared" si="256"/>
        <v>0</v>
      </c>
      <c r="Z2031" s="847"/>
      <c r="AA2031" s="847"/>
      <c r="AB2031" s="741">
        <f t="shared" si="257"/>
        <v>0</v>
      </c>
      <c r="AC2031" s="846"/>
      <c r="AD2031" s="847"/>
      <c r="AE2031" s="846"/>
      <c r="AF2031" s="846"/>
      <c r="AG2031" s="847"/>
      <c r="AH2031" s="847"/>
      <c r="AI2031" s="742">
        <f t="shared" si="261"/>
        <v>147206</v>
      </c>
      <c r="AJ2031" s="743">
        <f t="shared" si="262"/>
        <v>147502</v>
      </c>
    </row>
    <row r="2032" spans="1:36">
      <c r="A2032" s="840" t="s">
        <v>153</v>
      </c>
      <c r="B2032" s="841" t="s">
        <v>275</v>
      </c>
      <c r="C2032" s="848" t="s">
        <v>258</v>
      </c>
      <c r="D2032" s="849"/>
      <c r="E2032" s="844">
        <v>199795</v>
      </c>
      <c r="F2032" s="845">
        <v>10</v>
      </c>
      <c r="G2032" s="846"/>
      <c r="H2032" s="847"/>
      <c r="I2032" s="846">
        <v>643495</v>
      </c>
      <c r="J2032" s="847">
        <v>583966</v>
      </c>
      <c r="K2032" s="846"/>
      <c r="L2032" s="847"/>
      <c r="M2032" s="846">
        <v>105750</v>
      </c>
      <c r="N2032" s="846"/>
      <c r="O2032" s="737">
        <f t="shared" si="255"/>
        <v>105750</v>
      </c>
      <c r="P2032" s="847">
        <v>88220</v>
      </c>
      <c r="Q2032" s="847"/>
      <c r="R2032" s="738">
        <f t="shared" si="258"/>
        <v>88220</v>
      </c>
      <c r="S2032" s="737">
        <f t="shared" si="259"/>
        <v>749245</v>
      </c>
      <c r="T2032" s="739">
        <f t="shared" si="260"/>
        <v>672186</v>
      </c>
      <c r="U2032" s="846"/>
      <c r="V2032" s="847"/>
      <c r="W2032" s="846"/>
      <c r="X2032" s="846"/>
      <c r="Y2032" s="740">
        <f t="shared" si="256"/>
        <v>0</v>
      </c>
      <c r="Z2032" s="847"/>
      <c r="AA2032" s="847"/>
      <c r="AB2032" s="741">
        <f t="shared" si="257"/>
        <v>0</v>
      </c>
      <c r="AC2032" s="846"/>
      <c r="AD2032" s="847"/>
      <c r="AE2032" s="846"/>
      <c r="AF2032" s="846"/>
      <c r="AG2032" s="847"/>
      <c r="AH2032" s="847"/>
      <c r="AI2032" s="742">
        <f t="shared" si="261"/>
        <v>749245</v>
      </c>
      <c r="AJ2032" s="743">
        <f t="shared" si="262"/>
        <v>672186</v>
      </c>
    </row>
    <row r="2033" spans="1:36">
      <c r="A2033" s="840" t="s">
        <v>153</v>
      </c>
      <c r="B2033" s="841" t="s">
        <v>264</v>
      </c>
      <c r="C2033" s="1057" t="s">
        <v>1377</v>
      </c>
      <c r="D2033" s="1231"/>
      <c r="E2033" s="844">
        <v>199953</v>
      </c>
      <c r="F2033" s="855">
        <v>10</v>
      </c>
      <c r="G2033" s="846">
        <v>6427771</v>
      </c>
      <c r="H2033" s="847">
        <v>6764111</v>
      </c>
      <c r="I2033" s="846"/>
      <c r="J2033" s="847"/>
      <c r="K2033" s="846">
        <v>1949294</v>
      </c>
      <c r="L2033" s="847">
        <v>2309259</v>
      </c>
      <c r="M2033" s="846">
        <v>2625400</v>
      </c>
      <c r="N2033" s="846"/>
      <c r="O2033" s="737">
        <f t="shared" si="255"/>
        <v>2625400</v>
      </c>
      <c r="P2033" s="847">
        <v>2636035</v>
      </c>
      <c r="Q2033" s="847"/>
      <c r="R2033" s="738">
        <f t="shared" si="258"/>
        <v>2636035</v>
      </c>
      <c r="S2033" s="737">
        <f t="shared" si="259"/>
        <v>11002465</v>
      </c>
      <c r="T2033" s="739">
        <f t="shared" si="260"/>
        <v>11709405</v>
      </c>
      <c r="U2033" s="846"/>
      <c r="V2033" s="847"/>
      <c r="W2033" s="846"/>
      <c r="X2033" s="846"/>
      <c r="Y2033" s="740">
        <f t="shared" si="256"/>
        <v>0</v>
      </c>
      <c r="Z2033" s="847"/>
      <c r="AA2033" s="847"/>
      <c r="AB2033" s="741">
        <f t="shared" si="257"/>
        <v>0</v>
      </c>
      <c r="AC2033" s="846"/>
      <c r="AD2033" s="847"/>
      <c r="AE2033" s="846"/>
      <c r="AF2033" s="846"/>
      <c r="AG2033" s="847"/>
      <c r="AH2033" s="847"/>
      <c r="AI2033" s="742">
        <f t="shared" si="261"/>
        <v>11002465</v>
      </c>
      <c r="AJ2033" s="743">
        <f t="shared" si="262"/>
        <v>11709405</v>
      </c>
    </row>
    <row r="2034" spans="1:36">
      <c r="A2034" s="840" t="s">
        <v>153</v>
      </c>
      <c r="B2034" s="841" t="s">
        <v>264</v>
      </c>
      <c r="C2034" s="848" t="s">
        <v>1320</v>
      </c>
      <c r="D2034" s="849"/>
      <c r="E2034" s="844">
        <v>199953</v>
      </c>
      <c r="F2034" s="855">
        <v>10</v>
      </c>
      <c r="G2034" s="846"/>
      <c r="H2034" s="847"/>
      <c r="I2034" s="846"/>
      <c r="J2034" s="847"/>
      <c r="K2034" s="846"/>
      <c r="L2034" s="847"/>
      <c r="M2034" s="846"/>
      <c r="N2034" s="846"/>
      <c r="O2034" s="737">
        <f t="shared" si="255"/>
        <v>0</v>
      </c>
      <c r="P2034" s="847"/>
      <c r="Q2034" s="847"/>
      <c r="R2034" s="738">
        <f t="shared" si="258"/>
        <v>0</v>
      </c>
      <c r="S2034" s="737">
        <f t="shared" si="259"/>
        <v>0</v>
      </c>
      <c r="T2034" s="739">
        <f t="shared" si="260"/>
        <v>0</v>
      </c>
      <c r="U2034" s="846"/>
      <c r="V2034" s="847"/>
      <c r="W2034" s="846"/>
      <c r="X2034" s="846"/>
      <c r="Y2034" s="740">
        <f t="shared" si="256"/>
        <v>0</v>
      </c>
      <c r="Z2034" s="847"/>
      <c r="AA2034" s="847"/>
      <c r="AB2034" s="741">
        <f t="shared" si="257"/>
        <v>0</v>
      </c>
      <c r="AC2034" s="846"/>
      <c r="AD2034" s="847"/>
      <c r="AE2034" s="846"/>
      <c r="AF2034" s="846"/>
      <c r="AG2034" s="847"/>
      <c r="AH2034" s="847"/>
      <c r="AI2034" s="742">
        <f t="shared" si="261"/>
        <v>0</v>
      </c>
      <c r="AJ2034" s="743">
        <f t="shared" si="262"/>
        <v>0</v>
      </c>
    </row>
    <row r="2035" spans="1:36">
      <c r="A2035" s="840" t="s">
        <v>153</v>
      </c>
      <c r="B2035" s="841" t="s">
        <v>266</v>
      </c>
      <c r="C2035" s="848" t="s">
        <v>319</v>
      </c>
      <c r="D2035" s="849"/>
      <c r="E2035" s="844">
        <v>199953</v>
      </c>
      <c r="F2035" s="855">
        <v>10</v>
      </c>
      <c r="G2035" s="846"/>
      <c r="H2035" s="847"/>
      <c r="I2035" s="846">
        <v>170464</v>
      </c>
      <c r="J2035" s="847">
        <v>171370</v>
      </c>
      <c r="K2035" s="846"/>
      <c r="L2035" s="847"/>
      <c r="M2035" s="846"/>
      <c r="N2035" s="846"/>
      <c r="O2035" s="737">
        <f t="shared" si="255"/>
        <v>0</v>
      </c>
      <c r="P2035" s="847"/>
      <c r="Q2035" s="847"/>
      <c r="R2035" s="738">
        <f t="shared" si="258"/>
        <v>0</v>
      </c>
      <c r="S2035" s="737">
        <f t="shared" si="259"/>
        <v>170464</v>
      </c>
      <c r="T2035" s="739">
        <f t="shared" si="260"/>
        <v>171370</v>
      </c>
      <c r="U2035" s="846"/>
      <c r="V2035" s="847"/>
      <c r="W2035" s="846"/>
      <c r="X2035" s="846"/>
      <c r="Y2035" s="740">
        <f t="shared" si="256"/>
        <v>0</v>
      </c>
      <c r="Z2035" s="847"/>
      <c r="AA2035" s="847"/>
      <c r="AB2035" s="741">
        <f t="shared" si="257"/>
        <v>0</v>
      </c>
      <c r="AC2035" s="846"/>
      <c r="AD2035" s="847"/>
      <c r="AE2035" s="846"/>
      <c r="AF2035" s="846"/>
      <c r="AG2035" s="847"/>
      <c r="AH2035" s="847"/>
      <c r="AI2035" s="742">
        <f t="shared" si="261"/>
        <v>170464</v>
      </c>
      <c r="AJ2035" s="743">
        <f t="shared" si="262"/>
        <v>171370</v>
      </c>
    </row>
    <row r="2036" spans="1:36">
      <c r="A2036" s="840" t="s">
        <v>153</v>
      </c>
      <c r="B2036" s="841" t="s">
        <v>275</v>
      </c>
      <c r="C2036" s="848" t="s">
        <v>258</v>
      </c>
      <c r="D2036" s="849"/>
      <c r="E2036" s="844">
        <v>199953</v>
      </c>
      <c r="F2036" s="855">
        <v>10</v>
      </c>
      <c r="G2036" s="846"/>
      <c r="H2036" s="847"/>
      <c r="I2036" s="846">
        <v>1487618</v>
      </c>
      <c r="J2036" s="847">
        <v>1481062</v>
      </c>
      <c r="K2036" s="846"/>
      <c r="L2036" s="847"/>
      <c r="M2036" s="846">
        <v>197570</v>
      </c>
      <c r="N2036" s="846"/>
      <c r="O2036" s="737">
        <f t="shared" si="255"/>
        <v>197570</v>
      </c>
      <c r="P2036" s="847">
        <v>196464</v>
      </c>
      <c r="Q2036" s="847"/>
      <c r="R2036" s="738">
        <f t="shared" si="258"/>
        <v>196464</v>
      </c>
      <c r="S2036" s="737">
        <f t="shared" si="259"/>
        <v>1685188</v>
      </c>
      <c r="T2036" s="739">
        <f t="shared" si="260"/>
        <v>1677526</v>
      </c>
      <c r="U2036" s="846"/>
      <c r="V2036" s="847"/>
      <c r="W2036" s="846"/>
      <c r="X2036" s="846"/>
      <c r="Y2036" s="740">
        <f t="shared" si="256"/>
        <v>0</v>
      </c>
      <c r="Z2036" s="847"/>
      <c r="AA2036" s="847"/>
      <c r="AB2036" s="741">
        <f t="shared" si="257"/>
        <v>0</v>
      </c>
      <c r="AC2036" s="846"/>
      <c r="AD2036" s="847"/>
      <c r="AE2036" s="846"/>
      <c r="AF2036" s="846"/>
      <c r="AG2036" s="847"/>
      <c r="AH2036" s="847"/>
      <c r="AI2036" s="742">
        <f t="shared" si="261"/>
        <v>1685188</v>
      </c>
      <c r="AJ2036" s="743">
        <f t="shared" si="262"/>
        <v>1677526</v>
      </c>
    </row>
    <row r="2037" spans="1:36">
      <c r="A2037" s="840" t="s">
        <v>153</v>
      </c>
      <c r="B2037" s="841" t="s">
        <v>279</v>
      </c>
      <c r="C2037" s="871" t="s">
        <v>12</v>
      </c>
      <c r="D2037" s="872"/>
      <c r="E2037" s="866"/>
      <c r="F2037" s="867"/>
      <c r="G2037" s="846"/>
      <c r="H2037" s="847"/>
      <c r="I2037" s="846"/>
      <c r="J2037" s="847"/>
      <c r="K2037" s="846"/>
      <c r="L2037" s="847"/>
      <c r="M2037" s="846"/>
      <c r="N2037" s="846"/>
      <c r="O2037" s="737">
        <f t="shared" si="255"/>
        <v>0</v>
      </c>
      <c r="P2037" s="847"/>
      <c r="Q2037" s="847"/>
      <c r="R2037" s="738">
        <f t="shared" si="258"/>
        <v>0</v>
      </c>
      <c r="S2037" s="737">
        <f t="shared" si="259"/>
        <v>0</v>
      </c>
      <c r="T2037" s="739">
        <f t="shared" si="260"/>
        <v>0</v>
      </c>
      <c r="U2037" s="846"/>
      <c r="V2037" s="847"/>
      <c r="W2037" s="846"/>
      <c r="X2037" s="846"/>
      <c r="Y2037" s="740">
        <f t="shared" si="256"/>
        <v>0</v>
      </c>
      <c r="Z2037" s="847"/>
      <c r="AA2037" s="847"/>
      <c r="AB2037" s="741">
        <f t="shared" si="257"/>
        <v>0</v>
      </c>
      <c r="AC2037" s="846"/>
      <c r="AD2037" s="847"/>
      <c r="AE2037" s="846"/>
      <c r="AF2037" s="846"/>
      <c r="AG2037" s="847"/>
      <c r="AH2037" s="847"/>
      <c r="AI2037" s="742">
        <f t="shared" si="261"/>
        <v>0</v>
      </c>
      <c r="AJ2037" s="743">
        <f t="shared" si="262"/>
        <v>0</v>
      </c>
    </row>
    <row r="2038" spans="1:36">
      <c r="A2038" s="840" t="s">
        <v>153</v>
      </c>
      <c r="B2038" s="841" t="s">
        <v>279</v>
      </c>
      <c r="C2038" s="850" t="s">
        <v>1378</v>
      </c>
      <c r="D2038" s="849"/>
      <c r="E2038" s="866"/>
      <c r="F2038" s="845"/>
      <c r="G2038" s="846"/>
      <c r="H2038" s="847"/>
      <c r="I2038" s="846">
        <v>1405957</v>
      </c>
      <c r="J2038" s="847">
        <v>1071079</v>
      </c>
      <c r="K2038" s="846"/>
      <c r="L2038" s="847"/>
      <c r="M2038" s="846"/>
      <c r="N2038" s="846"/>
      <c r="O2038" s="737">
        <f t="shared" si="255"/>
        <v>0</v>
      </c>
      <c r="P2038" s="847"/>
      <c r="Q2038" s="847"/>
      <c r="R2038" s="738">
        <f t="shared" si="258"/>
        <v>0</v>
      </c>
      <c r="S2038" s="737">
        <f t="shared" si="259"/>
        <v>1405957</v>
      </c>
      <c r="T2038" s="739">
        <f t="shared" si="260"/>
        <v>1071079</v>
      </c>
      <c r="U2038" s="846"/>
      <c r="V2038" s="847"/>
      <c r="W2038" s="846"/>
      <c r="X2038" s="846"/>
      <c r="Y2038" s="740">
        <f t="shared" si="256"/>
        <v>0</v>
      </c>
      <c r="Z2038" s="847"/>
      <c r="AA2038" s="847"/>
      <c r="AB2038" s="741">
        <f t="shared" si="257"/>
        <v>0</v>
      </c>
      <c r="AC2038" s="846"/>
      <c r="AD2038" s="847"/>
      <c r="AE2038" s="846"/>
      <c r="AF2038" s="846"/>
      <c r="AG2038" s="847"/>
      <c r="AH2038" s="847"/>
      <c r="AI2038" s="742">
        <f t="shared" si="261"/>
        <v>1405957</v>
      </c>
      <c r="AJ2038" s="743">
        <f t="shared" si="262"/>
        <v>1071079</v>
      </c>
    </row>
    <row r="2039" spans="1:36">
      <c r="A2039" s="840" t="s">
        <v>153</v>
      </c>
      <c r="B2039" s="841" t="s">
        <v>279</v>
      </c>
      <c r="C2039" s="850" t="s">
        <v>1379</v>
      </c>
      <c r="D2039" s="849"/>
      <c r="E2039" s="866"/>
      <c r="F2039" s="845"/>
      <c r="G2039" s="846"/>
      <c r="H2039" s="847"/>
      <c r="I2039" s="846">
        <v>19635508</v>
      </c>
      <c r="J2039" s="847">
        <v>20198683</v>
      </c>
      <c r="K2039" s="846"/>
      <c r="L2039" s="847"/>
      <c r="M2039" s="846"/>
      <c r="N2039" s="846"/>
      <c r="O2039" s="737">
        <f t="shared" si="255"/>
        <v>0</v>
      </c>
      <c r="P2039" s="847"/>
      <c r="Q2039" s="847"/>
      <c r="R2039" s="738">
        <f t="shared" si="258"/>
        <v>0</v>
      </c>
      <c r="S2039" s="737">
        <f t="shared" si="259"/>
        <v>19635508</v>
      </c>
      <c r="T2039" s="739">
        <f t="shared" si="260"/>
        <v>20198683</v>
      </c>
      <c r="U2039" s="846"/>
      <c r="V2039" s="847"/>
      <c r="W2039" s="846"/>
      <c r="X2039" s="846"/>
      <c r="Y2039" s="740">
        <f t="shared" si="256"/>
        <v>0</v>
      </c>
      <c r="Z2039" s="847"/>
      <c r="AA2039" s="847"/>
      <c r="AB2039" s="741">
        <f t="shared" si="257"/>
        <v>0</v>
      </c>
      <c r="AC2039" s="846"/>
      <c r="AD2039" s="847"/>
      <c r="AE2039" s="846"/>
      <c r="AF2039" s="846"/>
      <c r="AG2039" s="847"/>
      <c r="AH2039" s="847"/>
      <c r="AI2039" s="742">
        <f t="shared" si="261"/>
        <v>19635508</v>
      </c>
      <c r="AJ2039" s="743">
        <f t="shared" si="262"/>
        <v>20198683</v>
      </c>
    </row>
    <row r="2040" spans="1:36">
      <c r="A2040" s="840" t="s">
        <v>153</v>
      </c>
      <c r="B2040" s="841" t="s">
        <v>281</v>
      </c>
      <c r="C2040" s="871" t="s">
        <v>109</v>
      </c>
      <c r="D2040" s="872"/>
      <c r="E2040" s="844"/>
      <c r="F2040" s="845"/>
      <c r="G2040" s="846"/>
      <c r="H2040" s="847"/>
      <c r="I2040" s="846"/>
      <c r="J2040" s="847"/>
      <c r="K2040" s="846"/>
      <c r="L2040" s="847"/>
      <c r="M2040" s="846"/>
      <c r="N2040" s="846"/>
      <c r="O2040" s="737">
        <f t="shared" si="255"/>
        <v>0</v>
      </c>
      <c r="P2040" s="847"/>
      <c r="Q2040" s="847"/>
      <c r="R2040" s="738">
        <f t="shared" si="258"/>
        <v>0</v>
      </c>
      <c r="S2040" s="737">
        <f t="shared" si="259"/>
        <v>0</v>
      </c>
      <c r="T2040" s="739">
        <f t="shared" si="260"/>
        <v>0</v>
      </c>
      <c r="U2040" s="846"/>
      <c r="V2040" s="847"/>
      <c r="W2040" s="846"/>
      <c r="X2040" s="846"/>
      <c r="Y2040" s="740">
        <f t="shared" si="256"/>
        <v>0</v>
      </c>
      <c r="Z2040" s="847"/>
      <c r="AA2040" s="847"/>
      <c r="AB2040" s="741">
        <f t="shared" si="257"/>
        <v>0</v>
      </c>
      <c r="AC2040" s="846"/>
      <c r="AD2040" s="847"/>
      <c r="AE2040" s="846"/>
      <c r="AF2040" s="846"/>
      <c r="AG2040" s="847"/>
      <c r="AH2040" s="847"/>
      <c r="AI2040" s="742">
        <f t="shared" si="261"/>
        <v>0</v>
      </c>
      <c r="AJ2040" s="743">
        <f t="shared" si="262"/>
        <v>0</v>
      </c>
    </row>
    <row r="2041" spans="1:36">
      <c r="A2041" s="840" t="s">
        <v>153</v>
      </c>
      <c r="B2041" s="841" t="s">
        <v>283</v>
      </c>
      <c r="C2041" s="848" t="s">
        <v>139</v>
      </c>
      <c r="D2041" s="849"/>
      <c r="E2041" s="844"/>
      <c r="F2041" s="845"/>
      <c r="G2041" s="846"/>
      <c r="H2041" s="847"/>
      <c r="I2041" s="846"/>
      <c r="J2041" s="847"/>
      <c r="K2041" s="846"/>
      <c r="L2041" s="847"/>
      <c r="M2041" s="846"/>
      <c r="N2041" s="846"/>
      <c r="O2041" s="737">
        <f t="shared" si="255"/>
        <v>0</v>
      </c>
      <c r="P2041" s="847"/>
      <c r="Q2041" s="847"/>
      <c r="R2041" s="738">
        <f t="shared" si="258"/>
        <v>0</v>
      </c>
      <c r="S2041" s="737">
        <f t="shared" si="259"/>
        <v>0</v>
      </c>
      <c r="T2041" s="739">
        <f t="shared" si="260"/>
        <v>0</v>
      </c>
      <c r="U2041" s="846"/>
      <c r="V2041" s="847"/>
      <c r="W2041" s="846"/>
      <c r="X2041" s="846"/>
      <c r="Y2041" s="740">
        <f t="shared" si="256"/>
        <v>0</v>
      </c>
      <c r="Z2041" s="847"/>
      <c r="AA2041" s="847"/>
      <c r="AB2041" s="741">
        <f t="shared" si="257"/>
        <v>0</v>
      </c>
      <c r="AC2041" s="846"/>
      <c r="AD2041" s="847"/>
      <c r="AE2041" s="846"/>
      <c r="AF2041" s="846"/>
      <c r="AG2041" s="847"/>
      <c r="AH2041" s="847"/>
      <c r="AI2041" s="742">
        <f t="shared" si="261"/>
        <v>0</v>
      </c>
      <c r="AJ2041" s="743">
        <f t="shared" si="262"/>
        <v>0</v>
      </c>
    </row>
    <row r="2042" spans="1:36">
      <c r="A2042" s="840" t="s">
        <v>153</v>
      </c>
      <c r="B2042" s="841" t="s">
        <v>283</v>
      </c>
      <c r="C2042" s="850" t="s">
        <v>1380</v>
      </c>
      <c r="D2042" s="849"/>
      <c r="E2042" s="844"/>
      <c r="F2042" s="845"/>
      <c r="G2042" s="846"/>
      <c r="H2042" s="847"/>
      <c r="I2042" s="846"/>
      <c r="J2042" s="847"/>
      <c r="K2042" s="846"/>
      <c r="L2042" s="847"/>
      <c r="M2042" s="846"/>
      <c r="N2042" s="846"/>
      <c r="O2042" s="737">
        <f t="shared" si="255"/>
        <v>0</v>
      </c>
      <c r="P2042" s="847"/>
      <c r="Q2042" s="847"/>
      <c r="R2042" s="738">
        <f t="shared" si="258"/>
        <v>0</v>
      </c>
      <c r="S2042" s="737">
        <f t="shared" si="259"/>
        <v>0</v>
      </c>
      <c r="T2042" s="739">
        <f t="shared" si="260"/>
        <v>0</v>
      </c>
      <c r="U2042" s="846">
        <v>24555569</v>
      </c>
      <c r="V2042" s="847">
        <v>25670137</v>
      </c>
      <c r="W2042" s="846"/>
      <c r="X2042" s="846"/>
      <c r="Y2042" s="740">
        <f t="shared" si="256"/>
        <v>0</v>
      </c>
      <c r="Z2042" s="847"/>
      <c r="AA2042" s="847"/>
      <c r="AB2042" s="741">
        <f t="shared" si="257"/>
        <v>0</v>
      </c>
      <c r="AC2042" s="846"/>
      <c r="AD2042" s="847"/>
      <c r="AE2042" s="846"/>
      <c r="AF2042" s="846"/>
      <c r="AG2042" s="847"/>
      <c r="AH2042" s="847"/>
      <c r="AI2042" s="742">
        <f t="shared" si="261"/>
        <v>24555569</v>
      </c>
      <c r="AJ2042" s="743">
        <f t="shared" si="262"/>
        <v>25670137</v>
      </c>
    </row>
    <row r="2043" spans="1:36">
      <c r="A2043" s="1237" t="s">
        <v>154</v>
      </c>
      <c r="B2043" s="916" t="s">
        <v>264</v>
      </c>
      <c r="C2043" s="923" t="s">
        <v>1381</v>
      </c>
      <c r="D2043" s="924"/>
      <c r="E2043" s="1238">
        <v>207388</v>
      </c>
      <c r="F2043" s="919">
        <v>1</v>
      </c>
      <c r="G2043" s="846">
        <v>120972506</v>
      </c>
      <c r="H2043" s="847">
        <v>120972506</v>
      </c>
      <c r="I2043" s="846"/>
      <c r="J2043" s="847"/>
      <c r="K2043" s="846"/>
      <c r="L2043" s="847"/>
      <c r="M2043" s="846">
        <v>216489111</v>
      </c>
      <c r="N2043" s="846"/>
      <c r="O2043" s="737">
        <f t="shared" si="255"/>
        <v>216489111</v>
      </c>
      <c r="P2043" s="847">
        <v>228882812</v>
      </c>
      <c r="Q2043" s="847"/>
      <c r="R2043" s="738">
        <f t="shared" si="258"/>
        <v>228882812</v>
      </c>
      <c r="S2043" s="737">
        <f t="shared" si="259"/>
        <v>337461617</v>
      </c>
      <c r="T2043" s="739">
        <f t="shared" si="260"/>
        <v>349855318</v>
      </c>
      <c r="U2043" s="846"/>
      <c r="V2043" s="847"/>
      <c r="W2043" s="846"/>
      <c r="X2043" s="846"/>
      <c r="Y2043" s="740">
        <f t="shared" si="256"/>
        <v>0</v>
      </c>
      <c r="Z2043" s="847"/>
      <c r="AA2043" s="847"/>
      <c r="AB2043" s="741">
        <f t="shared" si="257"/>
        <v>0</v>
      </c>
      <c r="AC2043" s="846"/>
      <c r="AD2043" s="847"/>
      <c r="AE2043" s="846"/>
      <c r="AF2043" s="846"/>
      <c r="AG2043" s="847"/>
      <c r="AH2043" s="847"/>
      <c r="AI2043" s="742">
        <f t="shared" si="261"/>
        <v>337461617</v>
      </c>
      <c r="AJ2043" s="743">
        <f t="shared" si="262"/>
        <v>349855318</v>
      </c>
    </row>
    <row r="2044" spans="1:36">
      <c r="A2044" s="1237" t="s">
        <v>154</v>
      </c>
      <c r="B2044" s="916" t="s">
        <v>280</v>
      </c>
      <c r="C2044" s="922" t="s">
        <v>587</v>
      </c>
      <c r="D2044" s="917"/>
      <c r="E2044" s="1238">
        <v>207388</v>
      </c>
      <c r="F2044" s="919">
        <v>1</v>
      </c>
      <c r="G2044" s="846"/>
      <c r="H2044" s="847"/>
      <c r="I2044" s="846"/>
      <c r="J2044" s="847"/>
      <c r="K2044" s="846"/>
      <c r="L2044" s="847"/>
      <c r="M2044" s="846"/>
      <c r="N2044" s="846"/>
      <c r="O2044" s="737">
        <f t="shared" si="255"/>
        <v>0</v>
      </c>
      <c r="P2044" s="847"/>
      <c r="Q2044" s="847"/>
      <c r="R2044" s="738">
        <f t="shared" si="258"/>
        <v>0</v>
      </c>
      <c r="S2044" s="737">
        <f t="shared" si="259"/>
        <v>0</v>
      </c>
      <c r="T2044" s="739">
        <f t="shared" si="260"/>
        <v>0</v>
      </c>
      <c r="U2044" s="846"/>
      <c r="V2044" s="847"/>
      <c r="W2044" s="846"/>
      <c r="X2044" s="846"/>
      <c r="Y2044" s="740">
        <f t="shared" si="256"/>
        <v>0</v>
      </c>
      <c r="Z2044" s="847"/>
      <c r="AA2044" s="847"/>
      <c r="AB2044" s="741">
        <f t="shared" si="257"/>
        <v>0</v>
      </c>
      <c r="AC2044" s="846">
        <v>10902937</v>
      </c>
      <c r="AD2044" s="847">
        <v>10902937</v>
      </c>
      <c r="AE2044" s="846"/>
      <c r="AF2044" s="846"/>
      <c r="AG2044" s="847"/>
      <c r="AH2044" s="847"/>
      <c r="AI2044" s="742">
        <f t="shared" si="261"/>
        <v>10902937</v>
      </c>
      <c r="AJ2044" s="743">
        <f t="shared" si="262"/>
        <v>10902937</v>
      </c>
    </row>
    <row r="2045" spans="1:36">
      <c r="A2045" s="1237" t="s">
        <v>154</v>
      </c>
      <c r="B2045" s="916" t="s">
        <v>280</v>
      </c>
      <c r="C2045" s="921" t="s">
        <v>1382</v>
      </c>
      <c r="D2045" s="917"/>
      <c r="E2045" s="1238">
        <v>207389</v>
      </c>
      <c r="F2045" s="919">
        <v>1</v>
      </c>
      <c r="G2045" s="846"/>
      <c r="H2045" s="847"/>
      <c r="I2045" s="846"/>
      <c r="J2045" s="847"/>
      <c r="K2045" s="846"/>
      <c r="L2045" s="847"/>
      <c r="M2045" s="846"/>
      <c r="N2045" s="846"/>
      <c r="O2045" s="737">
        <f t="shared" si="255"/>
        <v>0</v>
      </c>
      <c r="P2045" s="847"/>
      <c r="Q2045" s="847"/>
      <c r="R2045" s="738">
        <f t="shared" si="258"/>
        <v>0</v>
      </c>
      <c r="S2045" s="737">
        <f t="shared" si="259"/>
        <v>0</v>
      </c>
      <c r="T2045" s="739">
        <f t="shared" si="260"/>
        <v>0</v>
      </c>
      <c r="U2045" s="846"/>
      <c r="V2045" s="847"/>
      <c r="W2045" s="846"/>
      <c r="X2045" s="846"/>
      <c r="Y2045" s="740">
        <f t="shared" si="256"/>
        <v>0</v>
      </c>
      <c r="Z2045" s="847"/>
      <c r="AA2045" s="847"/>
      <c r="AB2045" s="741">
        <f t="shared" si="257"/>
        <v>0</v>
      </c>
      <c r="AC2045" s="846">
        <v>14194766</v>
      </c>
      <c r="AD2045" s="847">
        <v>14194766</v>
      </c>
      <c r="AE2045" s="846"/>
      <c r="AF2045" s="846"/>
      <c r="AG2045" s="847"/>
      <c r="AH2045" s="847"/>
      <c r="AI2045" s="742">
        <f t="shared" si="261"/>
        <v>14194766</v>
      </c>
      <c r="AJ2045" s="743">
        <f t="shared" si="262"/>
        <v>14194766</v>
      </c>
    </row>
    <row r="2046" spans="1:36">
      <c r="A2046" s="1237" t="s">
        <v>154</v>
      </c>
      <c r="B2046" s="916" t="s">
        <v>268</v>
      </c>
      <c r="C2046" s="921" t="s">
        <v>257</v>
      </c>
      <c r="D2046" s="917"/>
      <c r="E2046" s="1238">
        <v>207388</v>
      </c>
      <c r="F2046" s="919">
        <v>1</v>
      </c>
      <c r="G2046" s="846"/>
      <c r="H2046" s="847"/>
      <c r="I2046" s="846"/>
      <c r="J2046" s="847"/>
      <c r="K2046" s="846"/>
      <c r="L2046" s="847"/>
      <c r="M2046" s="846"/>
      <c r="N2046" s="846"/>
      <c r="O2046" s="737">
        <f t="shared" si="255"/>
        <v>0</v>
      </c>
      <c r="P2046" s="847"/>
      <c r="Q2046" s="847"/>
      <c r="R2046" s="738">
        <f t="shared" si="258"/>
        <v>0</v>
      </c>
      <c r="S2046" s="737">
        <f t="shared" si="259"/>
        <v>0</v>
      </c>
      <c r="T2046" s="739">
        <f t="shared" si="260"/>
        <v>0</v>
      </c>
      <c r="U2046" s="846"/>
      <c r="V2046" s="847"/>
      <c r="W2046" s="846"/>
      <c r="X2046" s="846"/>
      <c r="Y2046" s="740">
        <f t="shared" si="256"/>
        <v>0</v>
      </c>
      <c r="Z2046" s="847"/>
      <c r="AA2046" s="847"/>
      <c r="AB2046" s="741">
        <f t="shared" si="257"/>
        <v>0</v>
      </c>
      <c r="AC2046" s="846"/>
      <c r="AD2046" s="847"/>
      <c r="AE2046" s="846"/>
      <c r="AF2046" s="846"/>
      <c r="AG2046" s="847"/>
      <c r="AH2046" s="847"/>
      <c r="AI2046" s="742">
        <f t="shared" si="261"/>
        <v>0</v>
      </c>
      <c r="AJ2046" s="743">
        <f t="shared" si="262"/>
        <v>0</v>
      </c>
    </row>
    <row r="2047" spans="1:36">
      <c r="A2047" s="1237" t="s">
        <v>154</v>
      </c>
      <c r="B2047" s="916" t="s">
        <v>269</v>
      </c>
      <c r="C2047" s="921" t="s">
        <v>256</v>
      </c>
      <c r="D2047" s="917"/>
      <c r="E2047" s="1238">
        <v>207388</v>
      </c>
      <c r="F2047" s="919">
        <v>1</v>
      </c>
      <c r="G2047" s="846"/>
      <c r="H2047" s="847"/>
      <c r="I2047" s="846"/>
      <c r="J2047" s="847"/>
      <c r="K2047" s="846"/>
      <c r="L2047" s="847"/>
      <c r="M2047" s="846"/>
      <c r="N2047" s="846"/>
      <c r="O2047" s="737">
        <f t="shared" si="255"/>
        <v>0</v>
      </c>
      <c r="P2047" s="847"/>
      <c r="Q2047" s="847"/>
      <c r="R2047" s="738">
        <f t="shared" si="258"/>
        <v>0</v>
      </c>
      <c r="S2047" s="737">
        <f t="shared" si="259"/>
        <v>0</v>
      </c>
      <c r="T2047" s="739">
        <f t="shared" si="260"/>
        <v>0</v>
      </c>
      <c r="U2047" s="846"/>
      <c r="V2047" s="847"/>
      <c r="W2047" s="846"/>
      <c r="X2047" s="846"/>
      <c r="Y2047" s="740">
        <f t="shared" si="256"/>
        <v>0</v>
      </c>
      <c r="Z2047" s="847"/>
      <c r="AA2047" s="847"/>
      <c r="AB2047" s="741">
        <f t="shared" si="257"/>
        <v>0</v>
      </c>
      <c r="AC2047" s="846"/>
      <c r="AD2047" s="847"/>
      <c r="AE2047" s="846"/>
      <c r="AF2047" s="846"/>
      <c r="AG2047" s="847"/>
      <c r="AH2047" s="847"/>
      <c r="AI2047" s="742">
        <f t="shared" si="261"/>
        <v>0</v>
      </c>
      <c r="AJ2047" s="743">
        <f t="shared" si="262"/>
        <v>0</v>
      </c>
    </row>
    <row r="2048" spans="1:36">
      <c r="A2048" s="1237" t="s">
        <v>154</v>
      </c>
      <c r="B2048" s="916" t="s">
        <v>264</v>
      </c>
      <c r="C2048" s="921" t="s">
        <v>1383</v>
      </c>
      <c r="D2048" s="917"/>
      <c r="E2048" s="1238">
        <v>207388</v>
      </c>
      <c r="F2048" s="919">
        <v>1</v>
      </c>
      <c r="G2048" s="846">
        <v>11295149</v>
      </c>
      <c r="H2048" s="847">
        <v>11295149</v>
      </c>
      <c r="I2048" s="846"/>
      <c r="J2048" s="847"/>
      <c r="K2048" s="846"/>
      <c r="L2048" s="847"/>
      <c r="M2048" s="846">
        <v>9829677</v>
      </c>
      <c r="N2048" s="846"/>
      <c r="O2048" s="737">
        <f t="shared" si="255"/>
        <v>9829677</v>
      </c>
      <c r="P2048" s="847">
        <v>9405253</v>
      </c>
      <c r="Q2048" s="847"/>
      <c r="R2048" s="738">
        <f t="shared" si="258"/>
        <v>9405253</v>
      </c>
      <c r="S2048" s="737">
        <f t="shared" si="259"/>
        <v>21124826</v>
      </c>
      <c r="T2048" s="739">
        <f t="shared" si="260"/>
        <v>20700402</v>
      </c>
      <c r="U2048" s="846"/>
      <c r="V2048" s="847"/>
      <c r="W2048" s="846"/>
      <c r="X2048" s="846"/>
      <c r="Y2048" s="740">
        <f t="shared" si="256"/>
        <v>0</v>
      </c>
      <c r="Z2048" s="847"/>
      <c r="AA2048" s="847"/>
      <c r="AB2048" s="741">
        <f t="shared" si="257"/>
        <v>0</v>
      </c>
      <c r="AC2048" s="846"/>
      <c r="AD2048" s="847"/>
      <c r="AE2048" s="846"/>
      <c r="AF2048" s="846"/>
      <c r="AG2048" s="847"/>
      <c r="AH2048" s="847"/>
      <c r="AI2048" s="742">
        <f t="shared" si="261"/>
        <v>21124826</v>
      </c>
      <c r="AJ2048" s="743">
        <f t="shared" si="262"/>
        <v>20700402</v>
      </c>
    </row>
    <row r="2049" spans="1:36">
      <c r="A2049" s="1237" t="s">
        <v>154</v>
      </c>
      <c r="B2049" s="916" t="s">
        <v>264</v>
      </c>
      <c r="C2049" s="923" t="s">
        <v>1384</v>
      </c>
      <c r="D2049" s="924"/>
      <c r="E2049" s="1238">
        <v>207500</v>
      </c>
      <c r="F2049" s="919">
        <v>1</v>
      </c>
      <c r="G2049" s="846">
        <v>136742638</v>
      </c>
      <c r="H2049" s="847">
        <v>136742658</v>
      </c>
      <c r="I2049" s="846"/>
      <c r="J2049" s="847"/>
      <c r="K2049" s="846"/>
      <c r="L2049" s="847"/>
      <c r="M2049" s="846">
        <v>248258976</v>
      </c>
      <c r="N2049" s="846"/>
      <c r="O2049" s="737">
        <f t="shared" si="255"/>
        <v>248258976</v>
      </c>
      <c r="P2049" s="847">
        <v>268540868</v>
      </c>
      <c r="Q2049" s="847"/>
      <c r="R2049" s="738">
        <f t="shared" si="258"/>
        <v>268540868</v>
      </c>
      <c r="S2049" s="737">
        <f t="shared" si="259"/>
        <v>385001614</v>
      </c>
      <c r="T2049" s="739">
        <f t="shared" si="260"/>
        <v>405283526</v>
      </c>
      <c r="U2049" s="846"/>
      <c r="V2049" s="847"/>
      <c r="W2049" s="846"/>
      <c r="X2049" s="846"/>
      <c r="Y2049" s="740">
        <f t="shared" si="256"/>
        <v>0</v>
      </c>
      <c r="Z2049" s="847"/>
      <c r="AA2049" s="847"/>
      <c r="AB2049" s="741">
        <f t="shared" si="257"/>
        <v>0</v>
      </c>
      <c r="AC2049" s="846"/>
      <c r="AD2049" s="847"/>
      <c r="AE2049" s="846"/>
      <c r="AF2049" s="846"/>
      <c r="AG2049" s="847"/>
      <c r="AH2049" s="847"/>
      <c r="AI2049" s="742">
        <f t="shared" si="261"/>
        <v>385001614</v>
      </c>
      <c r="AJ2049" s="743">
        <f t="shared" si="262"/>
        <v>405283526</v>
      </c>
    </row>
    <row r="2050" spans="1:36">
      <c r="A2050" s="1237" t="s">
        <v>154</v>
      </c>
      <c r="B2050" s="916" t="s">
        <v>280</v>
      </c>
      <c r="C2050" s="922" t="s">
        <v>1385</v>
      </c>
      <c r="D2050" s="917"/>
      <c r="E2050" s="918">
        <v>207500</v>
      </c>
      <c r="F2050" s="919">
        <v>1</v>
      </c>
      <c r="G2050" s="846"/>
      <c r="H2050" s="847"/>
      <c r="I2050" s="846"/>
      <c r="J2050" s="847"/>
      <c r="K2050" s="846"/>
      <c r="L2050" s="847"/>
      <c r="M2050" s="846"/>
      <c r="N2050" s="846"/>
      <c r="O2050" s="737">
        <f t="shared" si="255"/>
        <v>0</v>
      </c>
      <c r="P2050" s="847"/>
      <c r="Q2050" s="847"/>
      <c r="R2050" s="738">
        <f t="shared" si="258"/>
        <v>0</v>
      </c>
      <c r="S2050" s="737">
        <f t="shared" si="259"/>
        <v>0</v>
      </c>
      <c r="T2050" s="739">
        <f t="shared" si="260"/>
        <v>0</v>
      </c>
      <c r="U2050" s="846"/>
      <c r="V2050" s="847"/>
      <c r="W2050" s="846"/>
      <c r="X2050" s="846"/>
      <c r="Y2050" s="740">
        <f t="shared" si="256"/>
        <v>0</v>
      </c>
      <c r="Z2050" s="847"/>
      <c r="AA2050" s="847"/>
      <c r="AB2050" s="741">
        <f t="shared" si="257"/>
        <v>0</v>
      </c>
      <c r="AC2050" s="846">
        <v>93389130</v>
      </c>
      <c r="AD2050" s="847">
        <v>93389130</v>
      </c>
      <c r="AE2050" s="846"/>
      <c r="AF2050" s="846"/>
      <c r="AG2050" s="847"/>
      <c r="AH2050" s="847"/>
      <c r="AI2050" s="742">
        <f t="shared" si="261"/>
        <v>93389130</v>
      </c>
      <c r="AJ2050" s="743">
        <f t="shared" si="262"/>
        <v>93389130</v>
      </c>
    </row>
    <row r="2051" spans="1:36">
      <c r="A2051" s="1237" t="s">
        <v>154</v>
      </c>
      <c r="B2051" s="916" t="s">
        <v>264</v>
      </c>
      <c r="C2051" s="922" t="s">
        <v>1049</v>
      </c>
      <c r="D2051" s="917"/>
      <c r="E2051" s="1238">
        <v>207500</v>
      </c>
      <c r="F2051" s="919">
        <v>1</v>
      </c>
      <c r="G2051" s="846">
        <v>5991730</v>
      </c>
      <c r="H2051" s="847">
        <v>5991730</v>
      </c>
      <c r="I2051" s="846"/>
      <c r="J2051" s="847"/>
      <c r="K2051" s="846"/>
      <c r="L2051" s="847"/>
      <c r="M2051" s="846">
        <v>9830839</v>
      </c>
      <c r="N2051" s="846"/>
      <c r="O2051" s="737">
        <f t="shared" si="255"/>
        <v>9830839</v>
      </c>
      <c r="P2051" s="847">
        <v>10389944</v>
      </c>
      <c r="Q2051" s="847"/>
      <c r="R2051" s="738">
        <f t="shared" si="258"/>
        <v>10389944</v>
      </c>
      <c r="S2051" s="737">
        <f t="shared" si="259"/>
        <v>15822569</v>
      </c>
      <c r="T2051" s="739">
        <f t="shared" si="260"/>
        <v>16381674</v>
      </c>
      <c r="U2051" s="846"/>
      <c r="V2051" s="847"/>
      <c r="W2051" s="846"/>
      <c r="X2051" s="846"/>
      <c r="Y2051" s="740">
        <f t="shared" si="256"/>
        <v>0</v>
      </c>
      <c r="Z2051" s="847"/>
      <c r="AA2051" s="847"/>
      <c r="AB2051" s="741">
        <f t="shared" si="257"/>
        <v>0</v>
      </c>
      <c r="AC2051" s="846"/>
      <c r="AD2051" s="847"/>
      <c r="AE2051" s="846"/>
      <c r="AF2051" s="846"/>
      <c r="AG2051" s="847"/>
      <c r="AH2051" s="847"/>
      <c r="AI2051" s="742">
        <f t="shared" si="261"/>
        <v>15822569</v>
      </c>
      <c r="AJ2051" s="743">
        <f t="shared" si="262"/>
        <v>16381674</v>
      </c>
    </row>
    <row r="2052" spans="1:36">
      <c r="A2052" s="1237" t="s">
        <v>154</v>
      </c>
      <c r="B2052" s="916" t="s">
        <v>264</v>
      </c>
      <c r="C2052" s="923" t="s">
        <v>1386</v>
      </c>
      <c r="D2052" s="1051"/>
      <c r="E2052" s="1046">
        <v>207263</v>
      </c>
      <c r="F2052" s="1047">
        <v>3</v>
      </c>
      <c r="G2052" s="846">
        <v>37109185</v>
      </c>
      <c r="H2052" s="847">
        <v>37109185</v>
      </c>
      <c r="I2052" s="846"/>
      <c r="J2052" s="847"/>
      <c r="K2052" s="846"/>
      <c r="L2052" s="847"/>
      <c r="M2052" s="846">
        <v>39455396</v>
      </c>
      <c r="N2052" s="846"/>
      <c r="O2052" s="737">
        <f t="shared" si="255"/>
        <v>39455396</v>
      </c>
      <c r="P2052" s="847">
        <v>41572323</v>
      </c>
      <c r="Q2052" s="847"/>
      <c r="R2052" s="738">
        <f t="shared" si="258"/>
        <v>41572323</v>
      </c>
      <c r="S2052" s="737">
        <f t="shared" si="259"/>
        <v>76564581</v>
      </c>
      <c r="T2052" s="739">
        <f t="shared" si="260"/>
        <v>78681508</v>
      </c>
      <c r="U2052" s="846"/>
      <c r="V2052" s="847"/>
      <c r="W2052" s="846"/>
      <c r="X2052" s="846"/>
      <c r="Y2052" s="740">
        <f t="shared" si="256"/>
        <v>0</v>
      </c>
      <c r="Z2052" s="847"/>
      <c r="AA2052" s="847"/>
      <c r="AB2052" s="741">
        <f t="shared" si="257"/>
        <v>0</v>
      </c>
      <c r="AC2052" s="846"/>
      <c r="AD2052" s="847"/>
      <c r="AE2052" s="846"/>
      <c r="AF2052" s="846"/>
      <c r="AG2052" s="847"/>
      <c r="AH2052" s="847"/>
      <c r="AI2052" s="742">
        <f t="shared" si="261"/>
        <v>76564581</v>
      </c>
      <c r="AJ2052" s="743">
        <f t="shared" si="262"/>
        <v>78681508</v>
      </c>
    </row>
    <row r="2053" spans="1:36">
      <c r="A2053" s="1237" t="s">
        <v>154</v>
      </c>
      <c r="B2053" s="916" t="s">
        <v>264</v>
      </c>
      <c r="C2053" s="923" t="s">
        <v>1387</v>
      </c>
      <c r="D2053" s="1051"/>
      <c r="E2053" s="1046">
        <v>206941</v>
      </c>
      <c r="F2053" s="1047">
        <v>3</v>
      </c>
      <c r="G2053" s="846">
        <v>53342761</v>
      </c>
      <c r="H2053" s="847">
        <v>53342761</v>
      </c>
      <c r="I2053" s="846"/>
      <c r="J2053" s="847"/>
      <c r="K2053" s="846"/>
      <c r="L2053" s="847"/>
      <c r="M2053" s="846">
        <v>94953747</v>
      </c>
      <c r="N2053" s="846"/>
      <c r="O2053" s="737">
        <f t="shared" si="255"/>
        <v>94953747</v>
      </c>
      <c r="P2053" s="847">
        <v>101677180</v>
      </c>
      <c r="Q2053" s="847"/>
      <c r="R2053" s="738">
        <f t="shared" si="258"/>
        <v>101677180</v>
      </c>
      <c r="S2053" s="737">
        <f t="shared" si="259"/>
        <v>148296508</v>
      </c>
      <c r="T2053" s="739">
        <f t="shared" si="260"/>
        <v>155019941</v>
      </c>
      <c r="U2053" s="846"/>
      <c r="V2053" s="847"/>
      <c r="W2053" s="846"/>
      <c r="X2053" s="846"/>
      <c r="Y2053" s="740">
        <f t="shared" si="256"/>
        <v>0</v>
      </c>
      <c r="Z2053" s="847"/>
      <c r="AA2053" s="847"/>
      <c r="AB2053" s="741">
        <f t="shared" si="257"/>
        <v>0</v>
      </c>
      <c r="AC2053" s="846"/>
      <c r="AD2053" s="847"/>
      <c r="AE2053" s="846"/>
      <c r="AF2053" s="846"/>
      <c r="AG2053" s="847"/>
      <c r="AH2053" s="847"/>
      <c r="AI2053" s="742">
        <f t="shared" si="261"/>
        <v>148296508</v>
      </c>
      <c r="AJ2053" s="743">
        <f t="shared" si="262"/>
        <v>155019941</v>
      </c>
    </row>
    <row r="2054" spans="1:36">
      <c r="A2054" s="1237" t="s">
        <v>154</v>
      </c>
      <c r="B2054" s="916" t="s">
        <v>264</v>
      </c>
      <c r="C2054" s="1050" t="s">
        <v>1388</v>
      </c>
      <c r="D2054" s="1239"/>
      <c r="E2054" s="1046">
        <v>207847</v>
      </c>
      <c r="F2054" s="1047">
        <v>4</v>
      </c>
      <c r="G2054" s="846">
        <v>18844628</v>
      </c>
      <c r="H2054" s="847">
        <v>18844628</v>
      </c>
      <c r="I2054" s="846"/>
      <c r="J2054" s="847"/>
      <c r="K2054" s="846"/>
      <c r="L2054" s="847"/>
      <c r="M2054" s="846">
        <v>26379334</v>
      </c>
      <c r="N2054" s="846"/>
      <c r="O2054" s="737">
        <f t="shared" si="255"/>
        <v>26379334</v>
      </c>
      <c r="P2054" s="847">
        <v>27501405</v>
      </c>
      <c r="Q2054" s="847"/>
      <c r="R2054" s="738">
        <f t="shared" si="258"/>
        <v>27501405</v>
      </c>
      <c r="S2054" s="737">
        <f t="shared" si="259"/>
        <v>45223962</v>
      </c>
      <c r="T2054" s="739">
        <f t="shared" si="260"/>
        <v>46346033</v>
      </c>
      <c r="U2054" s="846"/>
      <c r="V2054" s="847"/>
      <c r="W2054" s="846"/>
      <c r="X2054" s="846"/>
      <c r="Y2054" s="740">
        <f t="shared" si="256"/>
        <v>0</v>
      </c>
      <c r="Z2054" s="847"/>
      <c r="AA2054" s="847"/>
      <c r="AB2054" s="741">
        <f t="shared" si="257"/>
        <v>0</v>
      </c>
      <c r="AC2054" s="846"/>
      <c r="AD2054" s="847"/>
      <c r="AE2054" s="846"/>
      <c r="AF2054" s="846"/>
      <c r="AG2054" s="847"/>
      <c r="AH2054" s="847"/>
      <c r="AI2054" s="742">
        <f t="shared" si="261"/>
        <v>45223962</v>
      </c>
      <c r="AJ2054" s="743">
        <f t="shared" si="262"/>
        <v>46346033</v>
      </c>
    </row>
    <row r="2055" spans="1:36">
      <c r="A2055" s="1237" t="s">
        <v>154</v>
      </c>
      <c r="B2055" s="916" t="s">
        <v>264</v>
      </c>
      <c r="C2055" s="923" t="s">
        <v>1389</v>
      </c>
      <c r="D2055" s="1051"/>
      <c r="E2055" s="1046">
        <v>206914</v>
      </c>
      <c r="F2055" s="1047">
        <v>5</v>
      </c>
      <c r="G2055" s="846">
        <v>21783765</v>
      </c>
      <c r="H2055" s="847">
        <v>21783765</v>
      </c>
      <c r="I2055" s="846"/>
      <c r="J2055" s="847"/>
      <c r="K2055" s="846"/>
      <c r="L2055" s="847"/>
      <c r="M2055" s="846">
        <v>25514344</v>
      </c>
      <c r="N2055" s="846"/>
      <c r="O2055" s="737">
        <f t="shared" si="255"/>
        <v>25514344</v>
      </c>
      <c r="P2055" s="847">
        <v>27482792</v>
      </c>
      <c r="Q2055" s="847"/>
      <c r="R2055" s="738">
        <f t="shared" si="258"/>
        <v>27482792</v>
      </c>
      <c r="S2055" s="737">
        <f t="shared" si="259"/>
        <v>47298109</v>
      </c>
      <c r="T2055" s="739">
        <f t="shared" si="260"/>
        <v>49266557</v>
      </c>
      <c r="U2055" s="846"/>
      <c r="V2055" s="847"/>
      <c r="W2055" s="846"/>
      <c r="X2055" s="846"/>
      <c r="Y2055" s="740">
        <f t="shared" si="256"/>
        <v>0</v>
      </c>
      <c r="Z2055" s="847"/>
      <c r="AA2055" s="847"/>
      <c r="AB2055" s="741">
        <f t="shared" si="257"/>
        <v>0</v>
      </c>
      <c r="AC2055" s="846"/>
      <c r="AD2055" s="847"/>
      <c r="AE2055" s="846"/>
      <c r="AF2055" s="846"/>
      <c r="AG2055" s="847"/>
      <c r="AH2055" s="847"/>
      <c r="AI2055" s="742">
        <f t="shared" si="261"/>
        <v>47298109</v>
      </c>
      <c r="AJ2055" s="743">
        <f t="shared" si="262"/>
        <v>49266557</v>
      </c>
    </row>
    <row r="2056" spans="1:36">
      <c r="A2056" s="1237" t="s">
        <v>154</v>
      </c>
      <c r="B2056" s="916" t="s">
        <v>264</v>
      </c>
      <c r="C2056" s="923" t="s">
        <v>1390</v>
      </c>
      <c r="D2056" s="1051"/>
      <c r="E2056" s="1046">
        <v>207041</v>
      </c>
      <c r="F2056" s="1047">
        <v>5</v>
      </c>
      <c r="G2056" s="846">
        <v>17647803</v>
      </c>
      <c r="H2056" s="847">
        <v>17647803</v>
      </c>
      <c r="I2056" s="846"/>
      <c r="J2056" s="847"/>
      <c r="K2056" s="846"/>
      <c r="L2056" s="847"/>
      <c r="M2056" s="846">
        <v>18994692</v>
      </c>
      <c r="N2056" s="846"/>
      <c r="O2056" s="737">
        <f t="shared" si="255"/>
        <v>18994692</v>
      </c>
      <c r="P2056" s="847">
        <v>21662849</v>
      </c>
      <c r="Q2056" s="847"/>
      <c r="R2056" s="738">
        <f t="shared" si="258"/>
        <v>21662849</v>
      </c>
      <c r="S2056" s="737">
        <f t="shared" si="259"/>
        <v>36642495</v>
      </c>
      <c r="T2056" s="739">
        <f t="shared" si="260"/>
        <v>39310652</v>
      </c>
      <c r="U2056" s="846"/>
      <c r="V2056" s="847"/>
      <c r="W2056" s="846"/>
      <c r="X2056" s="846"/>
      <c r="Y2056" s="740">
        <f t="shared" si="256"/>
        <v>0</v>
      </c>
      <c r="Z2056" s="847"/>
      <c r="AA2056" s="847"/>
      <c r="AB2056" s="741">
        <f t="shared" si="257"/>
        <v>0</v>
      </c>
      <c r="AC2056" s="846"/>
      <c r="AD2056" s="847"/>
      <c r="AE2056" s="846"/>
      <c r="AF2056" s="846"/>
      <c r="AG2056" s="847"/>
      <c r="AH2056" s="847"/>
      <c r="AI2056" s="742">
        <f t="shared" si="261"/>
        <v>36642495</v>
      </c>
      <c r="AJ2056" s="743">
        <f t="shared" si="262"/>
        <v>39310652</v>
      </c>
    </row>
    <row r="2057" spans="1:36">
      <c r="A2057" s="1237" t="s">
        <v>154</v>
      </c>
      <c r="B2057" s="916" t="s">
        <v>264</v>
      </c>
      <c r="C2057" s="923" t="s">
        <v>1391</v>
      </c>
      <c r="D2057" s="1051"/>
      <c r="E2057" s="1046">
        <v>207209</v>
      </c>
      <c r="F2057" s="1047">
        <v>5</v>
      </c>
      <c r="G2057" s="846">
        <v>18764155</v>
      </c>
      <c r="H2057" s="847">
        <v>18764155</v>
      </c>
      <c r="I2057" s="846"/>
      <c r="J2057" s="847"/>
      <c r="K2057" s="846"/>
      <c r="L2057" s="847"/>
      <c r="M2057" s="846">
        <v>13206005</v>
      </c>
      <c r="N2057" s="846"/>
      <c r="O2057" s="737">
        <f t="shared" si="255"/>
        <v>13206005</v>
      </c>
      <c r="P2057" s="847">
        <v>14201713</v>
      </c>
      <c r="Q2057" s="847"/>
      <c r="R2057" s="738">
        <f t="shared" si="258"/>
        <v>14201713</v>
      </c>
      <c r="S2057" s="737">
        <f t="shared" si="259"/>
        <v>31970160</v>
      </c>
      <c r="T2057" s="739">
        <f t="shared" si="260"/>
        <v>32965868</v>
      </c>
      <c r="U2057" s="846"/>
      <c r="V2057" s="847"/>
      <c r="W2057" s="846"/>
      <c r="X2057" s="846"/>
      <c r="Y2057" s="740">
        <f t="shared" si="256"/>
        <v>0</v>
      </c>
      <c r="Z2057" s="847"/>
      <c r="AA2057" s="847"/>
      <c r="AB2057" s="741">
        <f t="shared" si="257"/>
        <v>0</v>
      </c>
      <c r="AC2057" s="846"/>
      <c r="AD2057" s="847"/>
      <c r="AE2057" s="846"/>
      <c r="AF2057" s="846"/>
      <c r="AG2057" s="847"/>
      <c r="AH2057" s="847"/>
      <c r="AI2057" s="742">
        <f t="shared" si="261"/>
        <v>31970160</v>
      </c>
      <c r="AJ2057" s="743">
        <f t="shared" si="262"/>
        <v>32965868</v>
      </c>
    </row>
    <row r="2058" spans="1:36">
      <c r="A2058" s="1237" t="s">
        <v>154</v>
      </c>
      <c r="B2058" s="916" t="s">
        <v>264</v>
      </c>
      <c r="C2058" s="923" t="s">
        <v>1392</v>
      </c>
      <c r="D2058" s="1051"/>
      <c r="E2058" s="1046">
        <v>207306</v>
      </c>
      <c r="F2058" s="1047">
        <v>5</v>
      </c>
      <c r="G2058" s="846">
        <v>10241745</v>
      </c>
      <c r="H2058" s="847">
        <v>10241745</v>
      </c>
      <c r="I2058" s="846"/>
      <c r="J2058" s="847"/>
      <c r="K2058" s="846"/>
      <c r="L2058" s="847"/>
      <c r="M2058" s="846">
        <v>13583205</v>
      </c>
      <c r="N2058" s="846"/>
      <c r="O2058" s="737">
        <f t="shared" ref="O2058:O2121" si="263">SUM(M2058:N2058)</f>
        <v>13583205</v>
      </c>
      <c r="P2058" s="847">
        <v>14166968</v>
      </c>
      <c r="Q2058" s="847"/>
      <c r="R2058" s="738">
        <f t="shared" si="258"/>
        <v>14166968</v>
      </c>
      <c r="S2058" s="737">
        <f t="shared" si="259"/>
        <v>23824950</v>
      </c>
      <c r="T2058" s="739">
        <f t="shared" si="260"/>
        <v>24408713</v>
      </c>
      <c r="U2058" s="846"/>
      <c r="V2058" s="847"/>
      <c r="W2058" s="846"/>
      <c r="X2058" s="846"/>
      <c r="Y2058" s="740">
        <f t="shared" ref="Y2058:Y2121" si="264">SUM(W2058:X2058)</f>
        <v>0</v>
      </c>
      <c r="Z2058" s="847"/>
      <c r="AA2058" s="847"/>
      <c r="AB2058" s="741">
        <f t="shared" ref="AB2058:AB2121" si="265">SUM(Z2058:AA2058)</f>
        <v>0</v>
      </c>
      <c r="AC2058" s="846"/>
      <c r="AD2058" s="847"/>
      <c r="AE2058" s="846"/>
      <c r="AF2058" s="846"/>
      <c r="AG2058" s="847"/>
      <c r="AH2058" s="847"/>
      <c r="AI2058" s="742">
        <f t="shared" si="261"/>
        <v>23824950</v>
      </c>
      <c r="AJ2058" s="743">
        <f t="shared" si="262"/>
        <v>24408713</v>
      </c>
    </row>
    <row r="2059" spans="1:36">
      <c r="A2059" s="1237" t="s">
        <v>154</v>
      </c>
      <c r="B2059" s="916" t="s">
        <v>264</v>
      </c>
      <c r="C2059" s="923" t="s">
        <v>1393</v>
      </c>
      <c r="D2059" s="1051"/>
      <c r="E2059" s="1046">
        <v>207865</v>
      </c>
      <c r="F2059" s="1047">
        <v>5</v>
      </c>
      <c r="G2059" s="846">
        <v>22841203</v>
      </c>
      <c r="H2059" s="847">
        <v>22841203</v>
      </c>
      <c r="I2059" s="846"/>
      <c r="J2059" s="847"/>
      <c r="K2059" s="846"/>
      <c r="L2059" s="847"/>
      <c r="M2059" s="846">
        <v>29064356</v>
      </c>
      <c r="N2059" s="846"/>
      <c r="O2059" s="737">
        <f t="shared" si="263"/>
        <v>29064356</v>
      </c>
      <c r="P2059" s="847">
        <v>30879450</v>
      </c>
      <c r="Q2059" s="847"/>
      <c r="R2059" s="738">
        <f t="shared" ref="R2059:R2122" si="266">SUM(P2059:Q2059)</f>
        <v>30879450</v>
      </c>
      <c r="S2059" s="737">
        <f t="shared" ref="S2059:S2122" si="267">SUM(G2059,I2059,K2059,M2059)</f>
        <v>51905559</v>
      </c>
      <c r="T2059" s="739">
        <f t="shared" ref="T2059:T2122" si="268">SUM(H2059,J2059,L2059,P2059)</f>
        <v>53720653</v>
      </c>
      <c r="U2059" s="846"/>
      <c r="V2059" s="847"/>
      <c r="W2059" s="846"/>
      <c r="X2059" s="846"/>
      <c r="Y2059" s="740">
        <f t="shared" si="264"/>
        <v>0</v>
      </c>
      <c r="Z2059" s="847"/>
      <c r="AA2059" s="847"/>
      <c r="AB2059" s="741">
        <f t="shared" si="265"/>
        <v>0</v>
      </c>
      <c r="AC2059" s="846"/>
      <c r="AD2059" s="847"/>
      <c r="AE2059" s="846"/>
      <c r="AF2059" s="846"/>
      <c r="AG2059" s="847"/>
      <c r="AH2059" s="847"/>
      <c r="AI2059" s="742">
        <f t="shared" ref="AI2059:AI2122" si="269">SUM(S2059,U2059,W2059,AC2059,AE2059)</f>
        <v>51905559</v>
      </c>
      <c r="AJ2059" s="743">
        <f t="shared" ref="AJ2059:AJ2122" si="270">SUM(T2059,V2059,Z2059,AD2059,AG2059)</f>
        <v>53720653</v>
      </c>
    </row>
    <row r="2060" spans="1:36">
      <c r="A2060" s="1237" t="s">
        <v>154</v>
      </c>
      <c r="B2060" s="916" t="s">
        <v>264</v>
      </c>
      <c r="C2060" s="923" t="s">
        <v>1394</v>
      </c>
      <c r="D2060" s="1051"/>
      <c r="E2060" s="1046">
        <v>207351</v>
      </c>
      <c r="F2060" s="1047">
        <v>6</v>
      </c>
      <c r="G2060" s="846">
        <v>7274030</v>
      </c>
      <c r="H2060" s="847">
        <v>7274030</v>
      </c>
      <c r="I2060" s="846"/>
      <c r="J2060" s="847"/>
      <c r="K2060" s="846"/>
      <c r="L2060" s="847"/>
      <c r="M2060" s="846">
        <v>10428175</v>
      </c>
      <c r="N2060" s="846"/>
      <c r="O2060" s="737">
        <f t="shared" si="263"/>
        <v>10428175</v>
      </c>
      <c r="P2060" s="847">
        <v>9920738</v>
      </c>
      <c r="Q2060" s="847"/>
      <c r="R2060" s="738">
        <f t="shared" si="266"/>
        <v>9920738</v>
      </c>
      <c r="S2060" s="737">
        <f t="shared" si="267"/>
        <v>17702205</v>
      </c>
      <c r="T2060" s="739">
        <f t="shared" si="268"/>
        <v>17194768</v>
      </c>
      <c r="U2060" s="846"/>
      <c r="V2060" s="847"/>
      <c r="W2060" s="846"/>
      <c r="X2060" s="846"/>
      <c r="Y2060" s="740">
        <f t="shared" si="264"/>
        <v>0</v>
      </c>
      <c r="Z2060" s="847"/>
      <c r="AA2060" s="847"/>
      <c r="AB2060" s="741">
        <f t="shared" si="265"/>
        <v>0</v>
      </c>
      <c r="AC2060" s="846"/>
      <c r="AD2060" s="847"/>
      <c r="AE2060" s="846"/>
      <c r="AF2060" s="846"/>
      <c r="AG2060" s="847"/>
      <c r="AH2060" s="847"/>
      <c r="AI2060" s="742">
        <f t="shared" si="269"/>
        <v>17702205</v>
      </c>
      <c r="AJ2060" s="743">
        <f t="shared" si="270"/>
        <v>17194768</v>
      </c>
    </row>
    <row r="2061" spans="1:36">
      <c r="A2061" s="1237" t="s">
        <v>154</v>
      </c>
      <c r="B2061" s="916" t="s">
        <v>264</v>
      </c>
      <c r="C2061" s="923" t="s">
        <v>1395</v>
      </c>
      <c r="D2061" s="1241"/>
      <c r="E2061" s="1055">
        <v>207661</v>
      </c>
      <c r="F2061" s="1242">
        <v>6</v>
      </c>
      <c r="G2061" s="846">
        <v>14129080</v>
      </c>
      <c r="H2061" s="847">
        <v>14129080</v>
      </c>
      <c r="I2061" s="846"/>
      <c r="J2061" s="847"/>
      <c r="K2061" s="846"/>
      <c r="L2061" s="847"/>
      <c r="M2061" s="846">
        <v>16737076</v>
      </c>
      <c r="N2061" s="846"/>
      <c r="O2061" s="737">
        <f t="shared" si="263"/>
        <v>16737076</v>
      </c>
      <c r="P2061" s="847">
        <v>16288835</v>
      </c>
      <c r="Q2061" s="847"/>
      <c r="R2061" s="738">
        <f t="shared" si="266"/>
        <v>16288835</v>
      </c>
      <c r="S2061" s="737">
        <f t="shared" si="267"/>
        <v>30866156</v>
      </c>
      <c r="T2061" s="739">
        <f t="shared" si="268"/>
        <v>30417915</v>
      </c>
      <c r="U2061" s="846"/>
      <c r="V2061" s="847"/>
      <c r="W2061" s="846"/>
      <c r="X2061" s="846"/>
      <c r="Y2061" s="740">
        <f t="shared" si="264"/>
        <v>0</v>
      </c>
      <c r="Z2061" s="847"/>
      <c r="AA2061" s="847"/>
      <c r="AB2061" s="741">
        <f t="shared" si="265"/>
        <v>0</v>
      </c>
      <c r="AC2061" s="846"/>
      <c r="AD2061" s="847"/>
      <c r="AE2061" s="846"/>
      <c r="AF2061" s="846"/>
      <c r="AG2061" s="847"/>
      <c r="AH2061" s="847"/>
      <c r="AI2061" s="742">
        <f t="shared" si="269"/>
        <v>30866156</v>
      </c>
      <c r="AJ2061" s="743">
        <f t="shared" si="270"/>
        <v>30417915</v>
      </c>
    </row>
    <row r="2062" spans="1:36">
      <c r="A2062" s="1237" t="s">
        <v>154</v>
      </c>
      <c r="B2062" s="916" t="s">
        <v>264</v>
      </c>
      <c r="C2062" s="923" t="s">
        <v>1396</v>
      </c>
      <c r="D2062" s="1051"/>
      <c r="E2062" s="1046">
        <v>207722</v>
      </c>
      <c r="F2062" s="1047">
        <v>6</v>
      </c>
      <c r="G2062" s="846">
        <v>7463210</v>
      </c>
      <c r="H2062" s="847">
        <v>7463210</v>
      </c>
      <c r="I2062" s="846"/>
      <c r="J2062" s="847"/>
      <c r="K2062" s="846"/>
      <c r="L2062" s="847"/>
      <c r="M2062" s="846">
        <v>4871123</v>
      </c>
      <c r="N2062" s="846"/>
      <c r="O2062" s="737">
        <f t="shared" si="263"/>
        <v>4871123</v>
      </c>
      <c r="P2062" s="847">
        <v>5128115</v>
      </c>
      <c r="Q2062" s="847"/>
      <c r="R2062" s="738">
        <f t="shared" si="266"/>
        <v>5128115</v>
      </c>
      <c r="S2062" s="737">
        <f t="shared" si="267"/>
        <v>12334333</v>
      </c>
      <c r="T2062" s="739">
        <f t="shared" si="268"/>
        <v>12591325</v>
      </c>
      <c r="U2062" s="846"/>
      <c r="V2062" s="847"/>
      <c r="W2062" s="846"/>
      <c r="X2062" s="846"/>
      <c r="Y2062" s="740">
        <f t="shared" si="264"/>
        <v>0</v>
      </c>
      <c r="Z2062" s="847"/>
      <c r="AA2062" s="847"/>
      <c r="AB2062" s="741">
        <f t="shared" si="265"/>
        <v>0</v>
      </c>
      <c r="AC2062" s="846"/>
      <c r="AD2062" s="847"/>
      <c r="AE2062" s="846"/>
      <c r="AF2062" s="846"/>
      <c r="AG2062" s="847"/>
      <c r="AH2062" s="847"/>
      <c r="AI2062" s="742">
        <f t="shared" si="269"/>
        <v>12334333</v>
      </c>
      <c r="AJ2062" s="743">
        <f t="shared" si="270"/>
        <v>12591325</v>
      </c>
    </row>
    <row r="2063" spans="1:36">
      <c r="A2063" s="1237" t="s">
        <v>154</v>
      </c>
      <c r="B2063" s="916" t="s">
        <v>264</v>
      </c>
      <c r="C2063" s="1050" t="s">
        <v>1397</v>
      </c>
      <c r="D2063" s="1051"/>
      <c r="E2063" s="1046">
        <v>207564</v>
      </c>
      <c r="F2063" s="1047">
        <v>7</v>
      </c>
      <c r="G2063" s="846">
        <v>11663314</v>
      </c>
      <c r="H2063" s="847">
        <v>11663314</v>
      </c>
      <c r="I2063" s="846"/>
      <c r="J2063" s="847"/>
      <c r="K2063" s="846"/>
      <c r="L2063" s="847"/>
      <c r="M2063" s="846">
        <v>14353583</v>
      </c>
      <c r="N2063" s="846"/>
      <c r="O2063" s="737">
        <f t="shared" si="263"/>
        <v>14353583</v>
      </c>
      <c r="P2063" s="847">
        <v>13585450</v>
      </c>
      <c r="Q2063" s="847"/>
      <c r="R2063" s="738">
        <f t="shared" si="266"/>
        <v>13585450</v>
      </c>
      <c r="S2063" s="737">
        <f t="shared" si="267"/>
        <v>26016897</v>
      </c>
      <c r="T2063" s="739">
        <f t="shared" si="268"/>
        <v>25248764</v>
      </c>
      <c r="U2063" s="846"/>
      <c r="V2063" s="847"/>
      <c r="W2063" s="846"/>
      <c r="X2063" s="846"/>
      <c r="Y2063" s="740">
        <f t="shared" si="264"/>
        <v>0</v>
      </c>
      <c r="Z2063" s="847"/>
      <c r="AA2063" s="847"/>
      <c r="AB2063" s="741">
        <f t="shared" si="265"/>
        <v>0</v>
      </c>
      <c r="AC2063" s="846"/>
      <c r="AD2063" s="847"/>
      <c r="AE2063" s="846"/>
      <c r="AF2063" s="846"/>
      <c r="AG2063" s="847"/>
      <c r="AH2063" s="847"/>
      <c r="AI2063" s="742">
        <f t="shared" si="269"/>
        <v>26016897</v>
      </c>
      <c r="AJ2063" s="743">
        <f t="shared" si="270"/>
        <v>25248764</v>
      </c>
    </row>
    <row r="2064" spans="1:36">
      <c r="A2064" s="1237" t="s">
        <v>154</v>
      </c>
      <c r="B2064" s="916" t="s">
        <v>264</v>
      </c>
      <c r="C2064" s="923" t="s">
        <v>1398</v>
      </c>
      <c r="D2064" s="1051"/>
      <c r="E2064" s="1046">
        <v>207397</v>
      </c>
      <c r="F2064" s="1047">
        <v>7</v>
      </c>
      <c r="G2064" s="846">
        <v>14553129</v>
      </c>
      <c r="H2064" s="847">
        <v>14553129</v>
      </c>
      <c r="I2064" s="846"/>
      <c r="J2064" s="847"/>
      <c r="K2064" s="846"/>
      <c r="L2064" s="847"/>
      <c r="M2064" s="846">
        <v>14151789</v>
      </c>
      <c r="N2064" s="846"/>
      <c r="O2064" s="737">
        <f t="shared" si="263"/>
        <v>14151789</v>
      </c>
      <c r="P2064" s="847">
        <v>14802928</v>
      </c>
      <c r="Q2064" s="847"/>
      <c r="R2064" s="738">
        <f t="shared" si="266"/>
        <v>14802928</v>
      </c>
      <c r="S2064" s="737">
        <f t="shared" si="267"/>
        <v>28704918</v>
      </c>
      <c r="T2064" s="739">
        <f t="shared" si="268"/>
        <v>29356057</v>
      </c>
      <c r="U2064" s="846"/>
      <c r="V2064" s="847"/>
      <c r="W2064" s="846"/>
      <c r="X2064" s="846"/>
      <c r="Y2064" s="740">
        <f t="shared" si="264"/>
        <v>0</v>
      </c>
      <c r="Z2064" s="847"/>
      <c r="AA2064" s="847"/>
      <c r="AB2064" s="741">
        <f t="shared" si="265"/>
        <v>0</v>
      </c>
      <c r="AC2064" s="846"/>
      <c r="AD2064" s="847"/>
      <c r="AE2064" s="846"/>
      <c r="AF2064" s="846"/>
      <c r="AG2064" s="847"/>
      <c r="AH2064" s="847"/>
      <c r="AI2064" s="742">
        <f t="shared" si="269"/>
        <v>28704918</v>
      </c>
      <c r="AJ2064" s="743">
        <f t="shared" si="270"/>
        <v>29356057</v>
      </c>
    </row>
    <row r="2065" spans="1:36">
      <c r="A2065" s="1237" t="s">
        <v>154</v>
      </c>
      <c r="B2065" s="916" t="s">
        <v>264</v>
      </c>
      <c r="C2065" s="923" t="s">
        <v>1399</v>
      </c>
      <c r="D2065" s="1051"/>
      <c r="E2065" s="1046">
        <v>207449</v>
      </c>
      <c r="F2065" s="1047">
        <v>8</v>
      </c>
      <c r="G2065" s="846">
        <v>25464664</v>
      </c>
      <c r="H2065" s="847">
        <v>25464664</v>
      </c>
      <c r="I2065" s="846"/>
      <c r="J2065" s="847"/>
      <c r="K2065" s="846">
        <v>5000000</v>
      </c>
      <c r="L2065" s="847">
        <v>5000000</v>
      </c>
      <c r="M2065" s="846">
        <v>24744180</v>
      </c>
      <c r="N2065" s="846"/>
      <c r="O2065" s="737">
        <f t="shared" si="263"/>
        <v>24744180</v>
      </c>
      <c r="P2065" s="847">
        <v>25607935</v>
      </c>
      <c r="Q2065" s="847"/>
      <c r="R2065" s="738">
        <f t="shared" si="266"/>
        <v>25607935</v>
      </c>
      <c r="S2065" s="737">
        <f t="shared" si="267"/>
        <v>55208844</v>
      </c>
      <c r="T2065" s="739">
        <f t="shared" si="268"/>
        <v>56072599</v>
      </c>
      <c r="U2065" s="846"/>
      <c r="V2065" s="847"/>
      <c r="W2065" s="846"/>
      <c r="X2065" s="846"/>
      <c r="Y2065" s="740">
        <f t="shared" si="264"/>
        <v>0</v>
      </c>
      <c r="Z2065" s="847"/>
      <c r="AA2065" s="847"/>
      <c r="AB2065" s="741">
        <f t="shared" si="265"/>
        <v>0</v>
      </c>
      <c r="AC2065" s="846"/>
      <c r="AD2065" s="847"/>
      <c r="AE2065" s="846"/>
      <c r="AF2065" s="846"/>
      <c r="AG2065" s="847"/>
      <c r="AH2065" s="847"/>
      <c r="AI2065" s="742">
        <f t="shared" si="269"/>
        <v>55208844</v>
      </c>
      <c r="AJ2065" s="743">
        <f t="shared" si="270"/>
        <v>56072599</v>
      </c>
    </row>
    <row r="2066" spans="1:36">
      <c r="A2066" s="1237" t="s">
        <v>154</v>
      </c>
      <c r="B2066" s="916" t="s">
        <v>264</v>
      </c>
      <c r="C2066" s="1050" t="s">
        <v>1400</v>
      </c>
      <c r="D2066" s="1051" t="s">
        <v>1431</v>
      </c>
      <c r="E2066" s="1046">
        <v>207670</v>
      </c>
      <c r="F2066" s="1047">
        <v>8</v>
      </c>
      <c r="G2066" s="846">
        <v>20970932</v>
      </c>
      <c r="H2066" s="847">
        <v>20970932</v>
      </c>
      <c r="I2066" s="846"/>
      <c r="J2066" s="847"/>
      <c r="K2066" s="846">
        <v>1300000</v>
      </c>
      <c r="L2066" s="847">
        <v>1300000</v>
      </c>
      <c r="M2066" s="846">
        <v>14440134</v>
      </c>
      <c r="N2066" s="846"/>
      <c r="O2066" s="737">
        <f t="shared" si="263"/>
        <v>14440134</v>
      </c>
      <c r="P2066" s="847">
        <v>14637441</v>
      </c>
      <c r="Q2066" s="847"/>
      <c r="R2066" s="738">
        <f t="shared" si="266"/>
        <v>14637441</v>
      </c>
      <c r="S2066" s="737">
        <f t="shared" si="267"/>
        <v>36711066</v>
      </c>
      <c r="T2066" s="739">
        <f t="shared" si="268"/>
        <v>36908373</v>
      </c>
      <c r="U2066" s="846"/>
      <c r="V2066" s="847"/>
      <c r="W2066" s="846"/>
      <c r="X2066" s="846"/>
      <c r="Y2066" s="740">
        <f t="shared" si="264"/>
        <v>0</v>
      </c>
      <c r="Z2066" s="847"/>
      <c r="AA2066" s="847"/>
      <c r="AB2066" s="741">
        <f t="shared" si="265"/>
        <v>0</v>
      </c>
      <c r="AC2066" s="846"/>
      <c r="AD2066" s="847"/>
      <c r="AE2066" s="846"/>
      <c r="AF2066" s="846"/>
      <c r="AG2066" s="847"/>
      <c r="AH2066" s="847"/>
      <c r="AI2066" s="742">
        <f t="shared" si="269"/>
        <v>36711066</v>
      </c>
      <c r="AJ2066" s="743">
        <f t="shared" si="270"/>
        <v>36908373</v>
      </c>
    </row>
    <row r="2067" spans="1:36">
      <c r="A2067" s="1237" t="s">
        <v>154</v>
      </c>
      <c r="B2067" s="916" t="s">
        <v>264</v>
      </c>
      <c r="C2067" s="923" t="s">
        <v>1401</v>
      </c>
      <c r="D2067" s="1051"/>
      <c r="E2067" s="1046">
        <v>207935</v>
      </c>
      <c r="F2067" s="1047">
        <v>8</v>
      </c>
      <c r="G2067" s="846">
        <v>36946614</v>
      </c>
      <c r="H2067" s="847">
        <v>36946914</v>
      </c>
      <c r="I2067" s="846"/>
      <c r="J2067" s="847"/>
      <c r="K2067" s="846">
        <v>40325073</v>
      </c>
      <c r="L2067" s="847">
        <v>36912149</v>
      </c>
      <c r="M2067" s="846">
        <v>37061333</v>
      </c>
      <c r="N2067" s="846"/>
      <c r="O2067" s="737">
        <f t="shared" si="263"/>
        <v>37061333</v>
      </c>
      <c r="P2067" s="847">
        <v>38360581</v>
      </c>
      <c r="Q2067" s="847"/>
      <c r="R2067" s="738">
        <f t="shared" si="266"/>
        <v>38360581</v>
      </c>
      <c r="S2067" s="737">
        <f t="shared" si="267"/>
        <v>114333020</v>
      </c>
      <c r="T2067" s="739">
        <f t="shared" si="268"/>
        <v>112219644</v>
      </c>
      <c r="U2067" s="846"/>
      <c r="V2067" s="847"/>
      <c r="W2067" s="846"/>
      <c r="X2067" s="846"/>
      <c r="Y2067" s="740">
        <f t="shared" si="264"/>
        <v>0</v>
      </c>
      <c r="Z2067" s="847"/>
      <c r="AA2067" s="847"/>
      <c r="AB2067" s="741">
        <f t="shared" si="265"/>
        <v>0</v>
      </c>
      <c r="AC2067" s="846"/>
      <c r="AD2067" s="847"/>
      <c r="AE2067" s="846"/>
      <c r="AF2067" s="846"/>
      <c r="AG2067" s="847"/>
      <c r="AH2067" s="847"/>
      <c r="AI2067" s="742">
        <f t="shared" si="269"/>
        <v>114333020</v>
      </c>
      <c r="AJ2067" s="743">
        <f t="shared" si="270"/>
        <v>112219644</v>
      </c>
    </row>
    <row r="2068" spans="1:36">
      <c r="A2068" s="1237" t="s">
        <v>154</v>
      </c>
      <c r="B2068" s="916" t="s">
        <v>264</v>
      </c>
      <c r="C2068" s="1050" t="s">
        <v>1402</v>
      </c>
      <c r="D2068" s="1051" t="s">
        <v>1432</v>
      </c>
      <c r="E2068" s="1046">
        <v>206923</v>
      </c>
      <c r="F2068" s="1047">
        <v>9</v>
      </c>
      <c r="G2068" s="846">
        <v>6488628</v>
      </c>
      <c r="H2068" s="847">
        <v>6488628</v>
      </c>
      <c r="I2068" s="846"/>
      <c r="J2068" s="847"/>
      <c r="K2068" s="846"/>
      <c r="L2068" s="847"/>
      <c r="M2068" s="846">
        <v>5911877</v>
      </c>
      <c r="N2068" s="846"/>
      <c r="O2068" s="737">
        <f t="shared" si="263"/>
        <v>5911877</v>
      </c>
      <c r="P2068" s="847">
        <v>5271417</v>
      </c>
      <c r="Q2068" s="847"/>
      <c r="R2068" s="738">
        <f t="shared" si="266"/>
        <v>5271417</v>
      </c>
      <c r="S2068" s="737">
        <f t="shared" si="267"/>
        <v>12400505</v>
      </c>
      <c r="T2068" s="739">
        <f t="shared" si="268"/>
        <v>11760045</v>
      </c>
      <c r="U2068" s="846"/>
      <c r="V2068" s="847"/>
      <c r="W2068" s="846"/>
      <c r="X2068" s="846"/>
      <c r="Y2068" s="740">
        <f t="shared" si="264"/>
        <v>0</v>
      </c>
      <c r="Z2068" s="847"/>
      <c r="AA2068" s="847"/>
      <c r="AB2068" s="741">
        <f t="shared" si="265"/>
        <v>0</v>
      </c>
      <c r="AC2068" s="846"/>
      <c r="AD2068" s="847"/>
      <c r="AE2068" s="846"/>
      <c r="AF2068" s="846"/>
      <c r="AG2068" s="847"/>
      <c r="AH2068" s="847"/>
      <c r="AI2068" s="742">
        <f t="shared" si="269"/>
        <v>12400505</v>
      </c>
      <c r="AJ2068" s="743">
        <f t="shared" si="270"/>
        <v>11760045</v>
      </c>
    </row>
    <row r="2069" spans="1:36">
      <c r="A2069" s="1237" t="s">
        <v>154</v>
      </c>
      <c r="B2069" s="916" t="s">
        <v>264</v>
      </c>
      <c r="C2069" s="923" t="s">
        <v>1403</v>
      </c>
      <c r="D2069" s="1051"/>
      <c r="E2069" s="1046">
        <v>207281</v>
      </c>
      <c r="F2069" s="1047">
        <v>9</v>
      </c>
      <c r="G2069" s="846">
        <v>10292753</v>
      </c>
      <c r="H2069" s="847">
        <v>10292753</v>
      </c>
      <c r="I2069" s="846"/>
      <c r="J2069" s="847"/>
      <c r="K2069" s="846"/>
      <c r="L2069" s="847"/>
      <c r="M2069" s="846">
        <v>14033769</v>
      </c>
      <c r="N2069" s="846"/>
      <c r="O2069" s="737">
        <f t="shared" si="263"/>
        <v>14033769</v>
      </c>
      <c r="P2069" s="847">
        <v>14946119</v>
      </c>
      <c r="Q2069" s="847"/>
      <c r="R2069" s="738">
        <f t="shared" si="266"/>
        <v>14946119</v>
      </c>
      <c r="S2069" s="737">
        <f t="shared" si="267"/>
        <v>24326522</v>
      </c>
      <c r="T2069" s="739">
        <f t="shared" si="268"/>
        <v>25238872</v>
      </c>
      <c r="U2069" s="846"/>
      <c r="V2069" s="847"/>
      <c r="W2069" s="846"/>
      <c r="X2069" s="846"/>
      <c r="Y2069" s="740">
        <f t="shared" si="264"/>
        <v>0</v>
      </c>
      <c r="Z2069" s="847"/>
      <c r="AA2069" s="847"/>
      <c r="AB2069" s="741">
        <f t="shared" si="265"/>
        <v>0</v>
      </c>
      <c r="AC2069" s="846"/>
      <c r="AD2069" s="847"/>
      <c r="AE2069" s="846"/>
      <c r="AF2069" s="846"/>
      <c r="AG2069" s="847"/>
      <c r="AH2069" s="847"/>
      <c r="AI2069" s="742">
        <f t="shared" si="269"/>
        <v>24326522</v>
      </c>
      <c r="AJ2069" s="743">
        <f t="shared" si="270"/>
        <v>25238872</v>
      </c>
    </row>
    <row r="2070" spans="1:36">
      <c r="A2070" s="1237" t="s">
        <v>154</v>
      </c>
      <c r="B2070" s="916" t="s">
        <v>264</v>
      </c>
      <c r="C2070" s="923" t="s">
        <v>1404</v>
      </c>
      <c r="D2070" s="1051"/>
      <c r="E2070" s="1046">
        <v>206996</v>
      </c>
      <c r="F2070" s="1047">
        <v>10</v>
      </c>
      <c r="G2070" s="846">
        <v>6859019</v>
      </c>
      <c r="H2070" s="847">
        <v>6859019</v>
      </c>
      <c r="I2070" s="846"/>
      <c r="J2070" s="847"/>
      <c r="K2070" s="846"/>
      <c r="L2070" s="847"/>
      <c r="M2070" s="846">
        <v>5406922</v>
      </c>
      <c r="N2070" s="846"/>
      <c r="O2070" s="737">
        <f t="shared" si="263"/>
        <v>5406922</v>
      </c>
      <c r="P2070" s="847">
        <v>5716486</v>
      </c>
      <c r="Q2070" s="847"/>
      <c r="R2070" s="738">
        <f t="shared" si="266"/>
        <v>5716486</v>
      </c>
      <c r="S2070" s="737">
        <f t="shared" si="267"/>
        <v>12265941</v>
      </c>
      <c r="T2070" s="739">
        <f t="shared" si="268"/>
        <v>12575505</v>
      </c>
      <c r="U2070" s="846"/>
      <c r="V2070" s="847"/>
      <c r="W2070" s="846"/>
      <c r="X2070" s="846"/>
      <c r="Y2070" s="740">
        <f t="shared" si="264"/>
        <v>0</v>
      </c>
      <c r="Z2070" s="847"/>
      <c r="AA2070" s="847"/>
      <c r="AB2070" s="741">
        <f t="shared" si="265"/>
        <v>0</v>
      </c>
      <c r="AC2070" s="846"/>
      <c r="AD2070" s="847"/>
      <c r="AE2070" s="846"/>
      <c r="AF2070" s="846"/>
      <c r="AG2070" s="847"/>
      <c r="AH2070" s="847"/>
      <c r="AI2070" s="742">
        <f t="shared" si="269"/>
        <v>12265941</v>
      </c>
      <c r="AJ2070" s="743">
        <f t="shared" si="270"/>
        <v>12575505</v>
      </c>
    </row>
    <row r="2071" spans="1:36">
      <c r="A2071" s="1237" t="s">
        <v>154</v>
      </c>
      <c r="B2071" s="916" t="s">
        <v>264</v>
      </c>
      <c r="C2071" s="923" t="s">
        <v>1405</v>
      </c>
      <c r="D2071" s="1051"/>
      <c r="E2071" s="1046">
        <v>207050</v>
      </c>
      <c r="F2071" s="1047">
        <v>10</v>
      </c>
      <c r="G2071" s="846">
        <v>6545605</v>
      </c>
      <c r="H2071" s="847">
        <v>6545605</v>
      </c>
      <c r="I2071" s="846"/>
      <c r="J2071" s="847"/>
      <c r="K2071" s="846"/>
      <c r="L2071" s="847"/>
      <c r="M2071" s="846">
        <v>4026416</v>
      </c>
      <c r="N2071" s="846"/>
      <c r="O2071" s="737">
        <f t="shared" si="263"/>
        <v>4026416</v>
      </c>
      <c r="P2071" s="847">
        <v>4747803</v>
      </c>
      <c r="Q2071" s="847"/>
      <c r="R2071" s="738">
        <f t="shared" si="266"/>
        <v>4747803</v>
      </c>
      <c r="S2071" s="737">
        <f t="shared" si="267"/>
        <v>10572021</v>
      </c>
      <c r="T2071" s="739">
        <f t="shared" si="268"/>
        <v>11293408</v>
      </c>
      <c r="U2071" s="846"/>
      <c r="V2071" s="847"/>
      <c r="W2071" s="846"/>
      <c r="X2071" s="846"/>
      <c r="Y2071" s="740">
        <f t="shared" si="264"/>
        <v>0</v>
      </c>
      <c r="Z2071" s="847"/>
      <c r="AA2071" s="847"/>
      <c r="AB2071" s="741">
        <f t="shared" si="265"/>
        <v>0</v>
      </c>
      <c r="AC2071" s="846"/>
      <c r="AD2071" s="847"/>
      <c r="AE2071" s="846"/>
      <c r="AF2071" s="846"/>
      <c r="AG2071" s="847"/>
      <c r="AH2071" s="847"/>
      <c r="AI2071" s="742">
        <f t="shared" si="269"/>
        <v>10572021</v>
      </c>
      <c r="AJ2071" s="743">
        <f t="shared" si="270"/>
        <v>11293408</v>
      </c>
    </row>
    <row r="2072" spans="1:36">
      <c r="A2072" s="1237" t="s">
        <v>154</v>
      </c>
      <c r="B2072" s="916" t="s">
        <v>264</v>
      </c>
      <c r="C2072" s="1050" t="s">
        <v>1406</v>
      </c>
      <c r="D2072" s="1051"/>
      <c r="E2072" s="1046">
        <v>207236</v>
      </c>
      <c r="F2072" s="1047">
        <v>10</v>
      </c>
      <c r="G2072" s="846">
        <v>5827964</v>
      </c>
      <c r="H2072" s="847">
        <v>5827964</v>
      </c>
      <c r="I2072" s="846"/>
      <c r="J2072" s="847"/>
      <c r="K2072" s="846"/>
      <c r="L2072" s="847"/>
      <c r="M2072" s="846">
        <v>7072634</v>
      </c>
      <c r="N2072" s="846"/>
      <c r="O2072" s="737">
        <f t="shared" si="263"/>
        <v>7072634</v>
      </c>
      <c r="P2072" s="847">
        <v>6889187</v>
      </c>
      <c r="Q2072" s="847"/>
      <c r="R2072" s="738">
        <f t="shared" si="266"/>
        <v>6889187</v>
      </c>
      <c r="S2072" s="737">
        <f t="shared" si="267"/>
        <v>12900598</v>
      </c>
      <c r="T2072" s="739">
        <f t="shared" si="268"/>
        <v>12717151</v>
      </c>
      <c r="U2072" s="846"/>
      <c r="V2072" s="847"/>
      <c r="W2072" s="846"/>
      <c r="X2072" s="846"/>
      <c r="Y2072" s="740">
        <f t="shared" si="264"/>
        <v>0</v>
      </c>
      <c r="Z2072" s="847"/>
      <c r="AA2072" s="847"/>
      <c r="AB2072" s="741">
        <f t="shared" si="265"/>
        <v>0</v>
      </c>
      <c r="AC2072" s="846"/>
      <c r="AD2072" s="847"/>
      <c r="AE2072" s="846"/>
      <c r="AF2072" s="846"/>
      <c r="AG2072" s="847"/>
      <c r="AH2072" s="847"/>
      <c r="AI2072" s="742">
        <f t="shared" si="269"/>
        <v>12900598</v>
      </c>
      <c r="AJ2072" s="743">
        <f t="shared" si="270"/>
        <v>12717151</v>
      </c>
    </row>
    <row r="2073" spans="1:36">
      <c r="A2073" s="1237" t="s">
        <v>154</v>
      </c>
      <c r="B2073" s="916" t="s">
        <v>264</v>
      </c>
      <c r="C2073" s="923" t="s">
        <v>1407</v>
      </c>
      <c r="D2073" s="1051"/>
      <c r="E2073" s="1046">
        <v>207290</v>
      </c>
      <c r="F2073" s="1047">
        <v>10</v>
      </c>
      <c r="G2073" s="846">
        <v>8971076</v>
      </c>
      <c r="H2073" s="847">
        <v>8971076</v>
      </c>
      <c r="I2073" s="846"/>
      <c r="J2073" s="847"/>
      <c r="K2073" s="846"/>
      <c r="L2073" s="847"/>
      <c r="M2073" s="846">
        <v>7416107</v>
      </c>
      <c r="N2073" s="846"/>
      <c r="O2073" s="737">
        <f t="shared" si="263"/>
        <v>7416107</v>
      </c>
      <c r="P2073" s="847">
        <v>7827500</v>
      </c>
      <c r="Q2073" s="847"/>
      <c r="R2073" s="738">
        <f t="shared" si="266"/>
        <v>7827500</v>
      </c>
      <c r="S2073" s="737">
        <f t="shared" si="267"/>
        <v>16387183</v>
      </c>
      <c r="T2073" s="739">
        <f t="shared" si="268"/>
        <v>16798576</v>
      </c>
      <c r="U2073" s="846"/>
      <c r="V2073" s="847"/>
      <c r="W2073" s="846"/>
      <c r="X2073" s="846"/>
      <c r="Y2073" s="740">
        <f t="shared" si="264"/>
        <v>0</v>
      </c>
      <c r="Z2073" s="847"/>
      <c r="AA2073" s="847"/>
      <c r="AB2073" s="741">
        <f t="shared" si="265"/>
        <v>0</v>
      </c>
      <c r="AC2073" s="846"/>
      <c r="AD2073" s="847"/>
      <c r="AE2073" s="846"/>
      <c r="AF2073" s="846"/>
      <c r="AG2073" s="847"/>
      <c r="AH2073" s="847"/>
      <c r="AI2073" s="742">
        <f t="shared" si="269"/>
        <v>16387183</v>
      </c>
      <c r="AJ2073" s="743">
        <f t="shared" si="270"/>
        <v>16798576</v>
      </c>
    </row>
    <row r="2074" spans="1:36">
      <c r="A2074" s="1237" t="s">
        <v>154</v>
      </c>
      <c r="B2074" s="916" t="s">
        <v>264</v>
      </c>
      <c r="C2074" s="923" t="s">
        <v>1408</v>
      </c>
      <c r="D2074" s="1051"/>
      <c r="E2074" s="1046">
        <v>207069</v>
      </c>
      <c r="F2074" s="1047">
        <v>10</v>
      </c>
      <c r="G2074" s="846">
        <v>6435417</v>
      </c>
      <c r="H2074" s="847">
        <v>6435417</v>
      </c>
      <c r="I2074" s="846"/>
      <c r="J2074" s="847"/>
      <c r="K2074" s="846"/>
      <c r="L2074" s="847"/>
      <c r="M2074" s="846">
        <v>5151638</v>
      </c>
      <c r="N2074" s="846"/>
      <c r="O2074" s="737">
        <f t="shared" si="263"/>
        <v>5151638</v>
      </c>
      <c r="P2074" s="847">
        <v>3330968</v>
      </c>
      <c r="Q2074" s="847"/>
      <c r="R2074" s="738">
        <f t="shared" si="266"/>
        <v>3330968</v>
      </c>
      <c r="S2074" s="737">
        <f t="shared" si="267"/>
        <v>11587055</v>
      </c>
      <c r="T2074" s="739">
        <f t="shared" si="268"/>
        <v>9766385</v>
      </c>
      <c r="U2074" s="846"/>
      <c r="V2074" s="847"/>
      <c r="W2074" s="846"/>
      <c r="X2074" s="846"/>
      <c r="Y2074" s="740">
        <f t="shared" si="264"/>
        <v>0</v>
      </c>
      <c r="Z2074" s="847"/>
      <c r="AA2074" s="847"/>
      <c r="AB2074" s="741">
        <f t="shared" si="265"/>
        <v>0</v>
      </c>
      <c r="AC2074" s="846"/>
      <c r="AD2074" s="847"/>
      <c r="AE2074" s="846"/>
      <c r="AF2074" s="846"/>
      <c r="AG2074" s="847"/>
      <c r="AH2074" s="847"/>
      <c r="AI2074" s="742">
        <f t="shared" si="269"/>
        <v>11587055</v>
      </c>
      <c r="AJ2074" s="743">
        <f t="shared" si="270"/>
        <v>9766385</v>
      </c>
    </row>
    <row r="2075" spans="1:36">
      <c r="A2075" s="1237" t="s">
        <v>154</v>
      </c>
      <c r="B2075" s="916" t="s">
        <v>264</v>
      </c>
      <c r="C2075" s="923" t="s">
        <v>1409</v>
      </c>
      <c r="D2075" s="1051"/>
      <c r="E2075" s="1046">
        <v>207740</v>
      </c>
      <c r="F2075" s="1047">
        <v>10</v>
      </c>
      <c r="G2075" s="846">
        <v>6026195</v>
      </c>
      <c r="H2075" s="847">
        <v>6026195</v>
      </c>
      <c r="I2075" s="846"/>
      <c r="J2075" s="847"/>
      <c r="K2075" s="846"/>
      <c r="L2075" s="847"/>
      <c r="M2075" s="846">
        <v>5044681</v>
      </c>
      <c r="N2075" s="846"/>
      <c r="O2075" s="737">
        <f t="shared" si="263"/>
        <v>5044681</v>
      </c>
      <c r="P2075" s="847">
        <v>5162517</v>
      </c>
      <c r="Q2075" s="847"/>
      <c r="R2075" s="738">
        <f t="shared" si="266"/>
        <v>5162517</v>
      </c>
      <c r="S2075" s="737">
        <f t="shared" si="267"/>
        <v>11070876</v>
      </c>
      <c r="T2075" s="739">
        <f t="shared" si="268"/>
        <v>11188712</v>
      </c>
      <c r="U2075" s="846"/>
      <c r="V2075" s="847"/>
      <c r="W2075" s="846"/>
      <c r="X2075" s="846"/>
      <c r="Y2075" s="740">
        <f t="shared" si="264"/>
        <v>0</v>
      </c>
      <c r="Z2075" s="847"/>
      <c r="AA2075" s="847"/>
      <c r="AB2075" s="741">
        <f t="shared" si="265"/>
        <v>0</v>
      </c>
      <c r="AC2075" s="846"/>
      <c r="AD2075" s="847"/>
      <c r="AE2075" s="846"/>
      <c r="AF2075" s="846"/>
      <c r="AG2075" s="847"/>
      <c r="AH2075" s="847"/>
      <c r="AI2075" s="742">
        <f t="shared" si="269"/>
        <v>11070876</v>
      </c>
      <c r="AJ2075" s="743">
        <f t="shared" si="270"/>
        <v>11188712</v>
      </c>
    </row>
    <row r="2076" spans="1:36">
      <c r="A2076" s="1237" t="s">
        <v>154</v>
      </c>
      <c r="B2076" s="916" t="s">
        <v>264</v>
      </c>
      <c r="C2076" s="923" t="s">
        <v>1410</v>
      </c>
      <c r="D2076" s="1051"/>
      <c r="E2076" s="1046">
        <v>208035</v>
      </c>
      <c r="F2076" s="1047">
        <v>10</v>
      </c>
      <c r="G2076" s="846">
        <v>5810048</v>
      </c>
      <c r="H2076" s="847">
        <v>5810048</v>
      </c>
      <c r="I2076" s="846"/>
      <c r="J2076" s="847"/>
      <c r="K2076" s="846"/>
      <c r="L2076" s="847"/>
      <c r="M2076" s="846">
        <v>3982800</v>
      </c>
      <c r="N2076" s="846"/>
      <c r="O2076" s="737">
        <f t="shared" si="263"/>
        <v>3982800</v>
      </c>
      <c r="P2076" s="847">
        <v>3818000</v>
      </c>
      <c r="Q2076" s="847"/>
      <c r="R2076" s="738">
        <f t="shared" si="266"/>
        <v>3818000</v>
      </c>
      <c r="S2076" s="737">
        <f t="shared" si="267"/>
        <v>9792848</v>
      </c>
      <c r="T2076" s="739">
        <f t="shared" si="268"/>
        <v>9628048</v>
      </c>
      <c r="U2076" s="846"/>
      <c r="V2076" s="847"/>
      <c r="W2076" s="846"/>
      <c r="X2076" s="846"/>
      <c r="Y2076" s="740">
        <f t="shared" si="264"/>
        <v>0</v>
      </c>
      <c r="Z2076" s="847"/>
      <c r="AA2076" s="847"/>
      <c r="AB2076" s="741">
        <f t="shared" si="265"/>
        <v>0</v>
      </c>
      <c r="AC2076" s="846"/>
      <c r="AD2076" s="847"/>
      <c r="AE2076" s="846"/>
      <c r="AF2076" s="846"/>
      <c r="AG2076" s="847"/>
      <c r="AH2076" s="847"/>
      <c r="AI2076" s="742">
        <f t="shared" si="269"/>
        <v>9792848</v>
      </c>
      <c r="AJ2076" s="743">
        <f t="shared" si="270"/>
        <v>9628048</v>
      </c>
    </row>
    <row r="2077" spans="1:36">
      <c r="A2077" s="1237" t="s">
        <v>154</v>
      </c>
      <c r="B2077" s="916" t="s">
        <v>273</v>
      </c>
      <c r="C2077" s="935" t="s">
        <v>493</v>
      </c>
      <c r="D2077" s="924"/>
      <c r="E2077" s="918"/>
      <c r="F2077" s="919"/>
      <c r="G2077" s="846"/>
      <c r="H2077" s="847"/>
      <c r="I2077" s="846"/>
      <c r="J2077" s="847"/>
      <c r="K2077" s="846"/>
      <c r="L2077" s="847"/>
      <c r="M2077" s="846"/>
      <c r="N2077" s="846"/>
      <c r="O2077" s="737">
        <f t="shared" si="263"/>
        <v>0</v>
      </c>
      <c r="P2077" s="847"/>
      <c r="Q2077" s="847"/>
      <c r="R2077" s="738">
        <f t="shared" si="266"/>
        <v>0</v>
      </c>
      <c r="S2077" s="737">
        <f t="shared" si="267"/>
        <v>0</v>
      </c>
      <c r="T2077" s="739">
        <f t="shared" si="268"/>
        <v>0</v>
      </c>
      <c r="U2077" s="846"/>
      <c r="V2077" s="847"/>
      <c r="W2077" s="846"/>
      <c r="X2077" s="846"/>
      <c r="Y2077" s="740">
        <f t="shared" si="264"/>
        <v>0</v>
      </c>
      <c r="Z2077" s="847"/>
      <c r="AA2077" s="847"/>
      <c r="AB2077" s="741">
        <f t="shared" si="265"/>
        <v>0</v>
      </c>
      <c r="AC2077" s="846"/>
      <c r="AD2077" s="847"/>
      <c r="AE2077" s="846"/>
      <c r="AF2077" s="846"/>
      <c r="AG2077" s="847"/>
      <c r="AH2077" s="847"/>
      <c r="AI2077" s="742">
        <f t="shared" si="269"/>
        <v>0</v>
      </c>
      <c r="AJ2077" s="743">
        <f t="shared" si="270"/>
        <v>0</v>
      </c>
    </row>
    <row r="2078" spans="1:36">
      <c r="A2078" s="1237" t="s">
        <v>154</v>
      </c>
      <c r="B2078" s="944" t="s">
        <v>274</v>
      </c>
      <c r="C2078" s="921" t="s">
        <v>319</v>
      </c>
      <c r="D2078" s="917"/>
      <c r="E2078" s="918"/>
      <c r="F2078" s="919"/>
      <c r="G2078" s="846"/>
      <c r="H2078" s="847"/>
      <c r="I2078" s="846"/>
      <c r="J2078" s="847"/>
      <c r="K2078" s="846"/>
      <c r="L2078" s="847"/>
      <c r="M2078" s="846"/>
      <c r="N2078" s="846"/>
      <c r="O2078" s="737">
        <f t="shared" si="263"/>
        <v>0</v>
      </c>
      <c r="P2078" s="847"/>
      <c r="Q2078" s="847"/>
      <c r="R2078" s="738">
        <f t="shared" si="266"/>
        <v>0</v>
      </c>
      <c r="S2078" s="737">
        <f t="shared" si="267"/>
        <v>0</v>
      </c>
      <c r="T2078" s="739">
        <f t="shared" si="268"/>
        <v>0</v>
      </c>
      <c r="U2078" s="846"/>
      <c r="V2078" s="847"/>
      <c r="W2078" s="846"/>
      <c r="X2078" s="846"/>
      <c r="Y2078" s="740">
        <f t="shared" si="264"/>
        <v>0</v>
      </c>
      <c r="Z2078" s="847"/>
      <c r="AA2078" s="847"/>
      <c r="AB2078" s="741">
        <f t="shared" si="265"/>
        <v>0</v>
      </c>
      <c r="AC2078" s="846"/>
      <c r="AD2078" s="847"/>
      <c r="AE2078" s="846"/>
      <c r="AF2078" s="846"/>
      <c r="AG2078" s="847"/>
      <c r="AH2078" s="847"/>
      <c r="AI2078" s="742">
        <f t="shared" si="269"/>
        <v>0</v>
      </c>
      <c r="AJ2078" s="743">
        <f t="shared" si="270"/>
        <v>0</v>
      </c>
    </row>
    <row r="2079" spans="1:36">
      <c r="A2079" s="1237" t="s">
        <v>154</v>
      </c>
      <c r="B2079" s="944" t="s">
        <v>274</v>
      </c>
      <c r="C2079" s="922" t="s">
        <v>1411</v>
      </c>
      <c r="D2079" s="917"/>
      <c r="E2079" s="918"/>
      <c r="F2079" s="919"/>
      <c r="G2079" s="846"/>
      <c r="H2079" s="847"/>
      <c r="I2079" s="846">
        <v>0</v>
      </c>
      <c r="J2079" s="847"/>
      <c r="K2079" s="846"/>
      <c r="L2079" s="847"/>
      <c r="M2079" s="846"/>
      <c r="N2079" s="846"/>
      <c r="O2079" s="737">
        <f t="shared" si="263"/>
        <v>0</v>
      </c>
      <c r="P2079" s="847"/>
      <c r="Q2079" s="847"/>
      <c r="R2079" s="738">
        <f t="shared" si="266"/>
        <v>0</v>
      </c>
      <c r="S2079" s="737">
        <f t="shared" si="267"/>
        <v>0</v>
      </c>
      <c r="T2079" s="739">
        <f t="shared" si="268"/>
        <v>0</v>
      </c>
      <c r="U2079" s="846"/>
      <c r="V2079" s="847"/>
      <c r="W2079" s="846"/>
      <c r="X2079" s="846"/>
      <c r="Y2079" s="740">
        <f t="shared" si="264"/>
        <v>0</v>
      </c>
      <c r="Z2079" s="847"/>
      <c r="AA2079" s="847"/>
      <c r="AB2079" s="741">
        <f t="shared" si="265"/>
        <v>0</v>
      </c>
      <c r="AC2079" s="846"/>
      <c r="AD2079" s="847"/>
      <c r="AE2079" s="846"/>
      <c r="AF2079" s="846"/>
      <c r="AG2079" s="847"/>
      <c r="AH2079" s="847"/>
      <c r="AI2079" s="742">
        <f t="shared" si="269"/>
        <v>0</v>
      </c>
      <c r="AJ2079" s="743">
        <f t="shared" si="270"/>
        <v>0</v>
      </c>
    </row>
    <row r="2080" spans="1:36">
      <c r="A2080" s="1237" t="s">
        <v>154</v>
      </c>
      <c r="B2080" s="944" t="s">
        <v>303</v>
      </c>
      <c r="C2080" s="935" t="s">
        <v>1412</v>
      </c>
      <c r="D2080" s="924"/>
      <c r="E2080" s="918"/>
      <c r="F2080" s="919"/>
      <c r="G2080" s="846"/>
      <c r="H2080" s="847"/>
      <c r="I2080" s="846"/>
      <c r="J2080" s="847"/>
      <c r="K2080" s="846"/>
      <c r="L2080" s="847"/>
      <c r="M2080" s="846"/>
      <c r="N2080" s="846"/>
      <c r="O2080" s="737">
        <f t="shared" si="263"/>
        <v>0</v>
      </c>
      <c r="P2080" s="847"/>
      <c r="Q2080" s="847"/>
      <c r="R2080" s="738">
        <f t="shared" si="266"/>
        <v>0</v>
      </c>
      <c r="S2080" s="737">
        <f t="shared" si="267"/>
        <v>0</v>
      </c>
      <c r="T2080" s="739">
        <f t="shared" si="268"/>
        <v>0</v>
      </c>
      <c r="U2080" s="846"/>
      <c r="V2080" s="847"/>
      <c r="W2080" s="846"/>
      <c r="X2080" s="846"/>
      <c r="Y2080" s="740">
        <f t="shared" si="264"/>
        <v>0</v>
      </c>
      <c r="Z2080" s="847"/>
      <c r="AA2080" s="847"/>
      <c r="AB2080" s="741">
        <f t="shared" si="265"/>
        <v>0</v>
      </c>
      <c r="AC2080" s="846"/>
      <c r="AD2080" s="847"/>
      <c r="AE2080" s="846"/>
      <c r="AF2080" s="846"/>
      <c r="AG2080" s="847"/>
      <c r="AH2080" s="847"/>
      <c r="AI2080" s="742">
        <f t="shared" si="269"/>
        <v>0</v>
      </c>
      <c r="AJ2080" s="743">
        <f t="shared" si="270"/>
        <v>0</v>
      </c>
    </row>
    <row r="2081" spans="1:36">
      <c r="A2081" s="1237" t="s">
        <v>154</v>
      </c>
      <c r="B2081" s="944" t="s">
        <v>303</v>
      </c>
      <c r="C2081" s="922" t="s">
        <v>1413</v>
      </c>
      <c r="D2081" s="917"/>
      <c r="E2081" s="918"/>
      <c r="F2081" s="919"/>
      <c r="G2081" s="846"/>
      <c r="H2081" s="847"/>
      <c r="I2081" s="846">
        <v>647396</v>
      </c>
      <c r="J2081" s="847">
        <v>647396</v>
      </c>
      <c r="K2081" s="846"/>
      <c r="L2081" s="847"/>
      <c r="M2081" s="846"/>
      <c r="N2081" s="846"/>
      <c r="O2081" s="737">
        <f t="shared" si="263"/>
        <v>0</v>
      </c>
      <c r="P2081" s="847"/>
      <c r="Q2081" s="847"/>
      <c r="R2081" s="738">
        <f t="shared" si="266"/>
        <v>0</v>
      </c>
      <c r="S2081" s="737">
        <f t="shared" si="267"/>
        <v>647396</v>
      </c>
      <c r="T2081" s="739">
        <f t="shared" si="268"/>
        <v>647396</v>
      </c>
      <c r="U2081" s="846"/>
      <c r="V2081" s="847"/>
      <c r="W2081" s="846"/>
      <c r="X2081" s="846"/>
      <c r="Y2081" s="740">
        <f t="shared" si="264"/>
        <v>0</v>
      </c>
      <c r="Z2081" s="847"/>
      <c r="AA2081" s="847"/>
      <c r="AB2081" s="741">
        <f t="shared" si="265"/>
        <v>0</v>
      </c>
      <c r="AC2081" s="846"/>
      <c r="AD2081" s="847"/>
      <c r="AE2081" s="846"/>
      <c r="AF2081" s="846"/>
      <c r="AG2081" s="847"/>
      <c r="AH2081" s="847"/>
      <c r="AI2081" s="742">
        <f t="shared" si="269"/>
        <v>647396</v>
      </c>
      <c r="AJ2081" s="743">
        <f t="shared" si="270"/>
        <v>647396</v>
      </c>
    </row>
    <row r="2082" spans="1:36">
      <c r="A2082" s="1237" t="s">
        <v>154</v>
      </c>
      <c r="B2082" s="944" t="s">
        <v>303</v>
      </c>
      <c r="C2082" s="922" t="s">
        <v>1414</v>
      </c>
      <c r="D2082" s="917"/>
      <c r="E2082" s="918"/>
      <c r="F2082" s="919"/>
      <c r="G2082" s="846"/>
      <c r="H2082" s="847"/>
      <c r="I2082" s="846">
        <v>25283</v>
      </c>
      <c r="J2082" s="847">
        <v>25283</v>
      </c>
      <c r="K2082" s="846"/>
      <c r="L2082" s="847"/>
      <c r="M2082" s="846"/>
      <c r="N2082" s="846"/>
      <c r="O2082" s="737">
        <f t="shared" si="263"/>
        <v>0</v>
      </c>
      <c r="P2082" s="847"/>
      <c r="Q2082" s="847"/>
      <c r="R2082" s="738">
        <f t="shared" si="266"/>
        <v>0</v>
      </c>
      <c r="S2082" s="737">
        <f t="shared" si="267"/>
        <v>25283</v>
      </c>
      <c r="T2082" s="739">
        <f t="shared" si="268"/>
        <v>25283</v>
      </c>
      <c r="U2082" s="846"/>
      <c r="V2082" s="847"/>
      <c r="W2082" s="846"/>
      <c r="X2082" s="846"/>
      <c r="Y2082" s="740">
        <f t="shared" si="264"/>
        <v>0</v>
      </c>
      <c r="Z2082" s="847"/>
      <c r="AA2082" s="847"/>
      <c r="AB2082" s="741">
        <f t="shared" si="265"/>
        <v>0</v>
      </c>
      <c r="AC2082" s="846"/>
      <c r="AD2082" s="847"/>
      <c r="AE2082" s="846"/>
      <c r="AF2082" s="846"/>
      <c r="AG2082" s="847"/>
      <c r="AH2082" s="847"/>
      <c r="AI2082" s="742">
        <f t="shared" si="269"/>
        <v>25283</v>
      </c>
      <c r="AJ2082" s="743">
        <f t="shared" si="270"/>
        <v>25283</v>
      </c>
    </row>
    <row r="2083" spans="1:36">
      <c r="A2083" s="1237" t="s">
        <v>154</v>
      </c>
      <c r="B2083" s="944" t="s">
        <v>303</v>
      </c>
      <c r="C2083" s="922" t="s">
        <v>1415</v>
      </c>
      <c r="D2083" s="917"/>
      <c r="E2083" s="918"/>
      <c r="F2083" s="919"/>
      <c r="G2083" s="846"/>
      <c r="H2083" s="847"/>
      <c r="I2083" s="846">
        <v>1686184</v>
      </c>
      <c r="J2083" s="847">
        <v>1686184</v>
      </c>
      <c r="K2083" s="846"/>
      <c r="L2083" s="847"/>
      <c r="M2083" s="846"/>
      <c r="N2083" s="846"/>
      <c r="O2083" s="737">
        <f t="shared" si="263"/>
        <v>0</v>
      </c>
      <c r="P2083" s="847"/>
      <c r="Q2083" s="847"/>
      <c r="R2083" s="738">
        <f t="shared" si="266"/>
        <v>0</v>
      </c>
      <c r="S2083" s="737">
        <f t="shared" si="267"/>
        <v>1686184</v>
      </c>
      <c r="T2083" s="739">
        <f t="shared" si="268"/>
        <v>1686184</v>
      </c>
      <c r="U2083" s="846"/>
      <c r="V2083" s="847"/>
      <c r="W2083" s="846"/>
      <c r="X2083" s="846"/>
      <c r="Y2083" s="740">
        <f t="shared" si="264"/>
        <v>0</v>
      </c>
      <c r="Z2083" s="847"/>
      <c r="AA2083" s="847"/>
      <c r="AB2083" s="741">
        <f t="shared" si="265"/>
        <v>0</v>
      </c>
      <c r="AC2083" s="846"/>
      <c r="AD2083" s="847"/>
      <c r="AE2083" s="846"/>
      <c r="AF2083" s="846"/>
      <c r="AG2083" s="847"/>
      <c r="AH2083" s="847"/>
      <c r="AI2083" s="742">
        <f t="shared" si="269"/>
        <v>1686184</v>
      </c>
      <c r="AJ2083" s="743">
        <f t="shared" si="270"/>
        <v>1686184</v>
      </c>
    </row>
    <row r="2084" spans="1:36">
      <c r="A2084" s="1237" t="s">
        <v>154</v>
      </c>
      <c r="B2084" s="944" t="s">
        <v>303</v>
      </c>
      <c r="C2084" s="922" t="s">
        <v>1416</v>
      </c>
      <c r="D2084" s="917"/>
      <c r="E2084" s="918"/>
      <c r="F2084" s="919"/>
      <c r="G2084" s="846"/>
      <c r="H2084" s="847"/>
      <c r="I2084" s="846">
        <v>286030</v>
      </c>
      <c r="J2084" s="847">
        <v>286030</v>
      </c>
      <c r="K2084" s="846"/>
      <c r="L2084" s="847"/>
      <c r="M2084" s="846"/>
      <c r="N2084" s="846"/>
      <c r="O2084" s="737">
        <f t="shared" si="263"/>
        <v>0</v>
      </c>
      <c r="P2084" s="847"/>
      <c r="Q2084" s="847"/>
      <c r="R2084" s="738">
        <f t="shared" si="266"/>
        <v>0</v>
      </c>
      <c r="S2084" s="737">
        <f t="shared" si="267"/>
        <v>286030</v>
      </c>
      <c r="T2084" s="739">
        <f t="shared" si="268"/>
        <v>286030</v>
      </c>
      <c r="U2084" s="846"/>
      <c r="V2084" s="847"/>
      <c r="W2084" s="846"/>
      <c r="X2084" s="846"/>
      <c r="Y2084" s="740">
        <f t="shared" si="264"/>
        <v>0</v>
      </c>
      <c r="Z2084" s="847"/>
      <c r="AA2084" s="847"/>
      <c r="AB2084" s="741">
        <f t="shared" si="265"/>
        <v>0</v>
      </c>
      <c r="AC2084" s="846"/>
      <c r="AD2084" s="847"/>
      <c r="AE2084" s="846"/>
      <c r="AF2084" s="846"/>
      <c r="AG2084" s="847"/>
      <c r="AH2084" s="847"/>
      <c r="AI2084" s="742">
        <f t="shared" si="269"/>
        <v>286030</v>
      </c>
      <c r="AJ2084" s="743">
        <f t="shared" si="270"/>
        <v>286030</v>
      </c>
    </row>
    <row r="2085" spans="1:36">
      <c r="A2085" s="1237" t="s">
        <v>154</v>
      </c>
      <c r="B2085" s="944" t="s">
        <v>303</v>
      </c>
      <c r="C2085" s="922" t="s">
        <v>1417</v>
      </c>
      <c r="D2085" s="917"/>
      <c r="E2085" s="918"/>
      <c r="F2085" s="919"/>
      <c r="G2085" s="846"/>
      <c r="H2085" s="847"/>
      <c r="I2085" s="846">
        <v>8329363</v>
      </c>
      <c r="J2085" s="847">
        <v>8329363</v>
      </c>
      <c r="K2085" s="846"/>
      <c r="L2085" s="847"/>
      <c r="M2085" s="846"/>
      <c r="N2085" s="846"/>
      <c r="O2085" s="737">
        <f t="shared" si="263"/>
        <v>0</v>
      </c>
      <c r="P2085" s="847"/>
      <c r="Q2085" s="847"/>
      <c r="R2085" s="738">
        <f t="shared" si="266"/>
        <v>0</v>
      </c>
      <c r="S2085" s="737">
        <f t="shared" si="267"/>
        <v>8329363</v>
      </c>
      <c r="T2085" s="739">
        <f t="shared" si="268"/>
        <v>8329363</v>
      </c>
      <c r="U2085" s="846"/>
      <c r="V2085" s="847"/>
      <c r="W2085" s="846"/>
      <c r="X2085" s="846"/>
      <c r="Y2085" s="740">
        <f t="shared" si="264"/>
        <v>0</v>
      </c>
      <c r="Z2085" s="847"/>
      <c r="AA2085" s="847"/>
      <c r="AB2085" s="741">
        <f t="shared" si="265"/>
        <v>0</v>
      </c>
      <c r="AC2085" s="846"/>
      <c r="AD2085" s="847"/>
      <c r="AE2085" s="846"/>
      <c r="AF2085" s="846"/>
      <c r="AG2085" s="847"/>
      <c r="AH2085" s="847"/>
      <c r="AI2085" s="742">
        <f t="shared" si="269"/>
        <v>8329363</v>
      </c>
      <c r="AJ2085" s="743">
        <f t="shared" si="270"/>
        <v>8329363</v>
      </c>
    </row>
    <row r="2086" spans="1:36">
      <c r="A2086" s="1237" t="s">
        <v>154</v>
      </c>
      <c r="B2086" s="944" t="s">
        <v>303</v>
      </c>
      <c r="C2086" s="922" t="s">
        <v>1418</v>
      </c>
      <c r="D2086" s="917"/>
      <c r="E2086" s="918"/>
      <c r="F2086" s="919"/>
      <c r="G2086" s="846"/>
      <c r="H2086" s="847"/>
      <c r="I2086" s="846">
        <v>391220</v>
      </c>
      <c r="J2086" s="847">
        <v>391220</v>
      </c>
      <c r="K2086" s="846"/>
      <c r="L2086" s="847"/>
      <c r="M2086" s="846"/>
      <c r="N2086" s="846"/>
      <c r="O2086" s="737">
        <f t="shared" si="263"/>
        <v>0</v>
      </c>
      <c r="P2086" s="847"/>
      <c r="Q2086" s="847"/>
      <c r="R2086" s="738">
        <f t="shared" si="266"/>
        <v>0</v>
      </c>
      <c r="S2086" s="737">
        <f t="shared" si="267"/>
        <v>391220</v>
      </c>
      <c r="T2086" s="739">
        <f t="shared" si="268"/>
        <v>391220</v>
      </c>
      <c r="U2086" s="846"/>
      <c r="V2086" s="847"/>
      <c r="W2086" s="846"/>
      <c r="X2086" s="846"/>
      <c r="Y2086" s="740">
        <f t="shared" si="264"/>
        <v>0</v>
      </c>
      <c r="Z2086" s="847"/>
      <c r="AA2086" s="847"/>
      <c r="AB2086" s="741">
        <f t="shared" si="265"/>
        <v>0</v>
      </c>
      <c r="AC2086" s="846"/>
      <c r="AD2086" s="847"/>
      <c r="AE2086" s="846"/>
      <c r="AF2086" s="846"/>
      <c r="AG2086" s="847"/>
      <c r="AH2086" s="847"/>
      <c r="AI2086" s="742">
        <f t="shared" si="269"/>
        <v>391220</v>
      </c>
      <c r="AJ2086" s="743">
        <f t="shared" si="270"/>
        <v>391220</v>
      </c>
    </row>
    <row r="2087" spans="1:36">
      <c r="A2087" s="1237" t="s">
        <v>154</v>
      </c>
      <c r="B2087" s="944" t="s">
        <v>303</v>
      </c>
      <c r="C2087" s="922" t="s">
        <v>1419</v>
      </c>
      <c r="D2087" s="917"/>
      <c r="E2087" s="918"/>
      <c r="F2087" s="919"/>
      <c r="G2087" s="846"/>
      <c r="H2087" s="847"/>
      <c r="I2087" s="846">
        <v>3120185</v>
      </c>
      <c r="J2087" s="847">
        <v>3120185</v>
      </c>
      <c r="K2087" s="846"/>
      <c r="L2087" s="847"/>
      <c r="M2087" s="846"/>
      <c r="N2087" s="846"/>
      <c r="O2087" s="737">
        <f t="shared" si="263"/>
        <v>0</v>
      </c>
      <c r="P2087" s="847"/>
      <c r="Q2087" s="847"/>
      <c r="R2087" s="738">
        <f t="shared" si="266"/>
        <v>0</v>
      </c>
      <c r="S2087" s="737">
        <f t="shared" si="267"/>
        <v>3120185</v>
      </c>
      <c r="T2087" s="739">
        <f t="shared" si="268"/>
        <v>3120185</v>
      </c>
      <c r="U2087" s="846"/>
      <c r="V2087" s="847"/>
      <c r="W2087" s="846"/>
      <c r="X2087" s="846"/>
      <c r="Y2087" s="740">
        <f t="shared" si="264"/>
        <v>0</v>
      </c>
      <c r="Z2087" s="847"/>
      <c r="AA2087" s="847"/>
      <c r="AB2087" s="741">
        <f t="shared" si="265"/>
        <v>0</v>
      </c>
      <c r="AC2087" s="846"/>
      <c r="AD2087" s="847"/>
      <c r="AE2087" s="846"/>
      <c r="AF2087" s="846"/>
      <c r="AG2087" s="847"/>
      <c r="AH2087" s="847"/>
      <c r="AI2087" s="742">
        <f t="shared" si="269"/>
        <v>3120185</v>
      </c>
      <c r="AJ2087" s="743">
        <f t="shared" si="270"/>
        <v>3120185</v>
      </c>
    </row>
    <row r="2088" spans="1:36">
      <c r="A2088" s="1237" t="s">
        <v>154</v>
      </c>
      <c r="B2088" s="944" t="s">
        <v>303</v>
      </c>
      <c r="C2088" s="922" t="s">
        <v>1420</v>
      </c>
      <c r="D2088" s="917"/>
      <c r="E2088" s="918"/>
      <c r="F2088" s="919"/>
      <c r="G2088" s="846"/>
      <c r="H2088" s="847"/>
      <c r="I2088" s="846">
        <v>1098472</v>
      </c>
      <c r="J2088" s="847">
        <v>1098472</v>
      </c>
      <c r="K2088" s="846"/>
      <c r="L2088" s="847"/>
      <c r="M2088" s="846"/>
      <c r="N2088" s="846"/>
      <c r="O2088" s="737">
        <f t="shared" si="263"/>
        <v>0</v>
      </c>
      <c r="P2088" s="847"/>
      <c r="Q2088" s="847"/>
      <c r="R2088" s="738">
        <f t="shared" si="266"/>
        <v>0</v>
      </c>
      <c r="S2088" s="737">
        <f t="shared" si="267"/>
        <v>1098472</v>
      </c>
      <c r="T2088" s="739">
        <f t="shared" si="268"/>
        <v>1098472</v>
      </c>
      <c r="U2088" s="846"/>
      <c r="V2088" s="847"/>
      <c r="W2088" s="846"/>
      <c r="X2088" s="846"/>
      <c r="Y2088" s="740">
        <f t="shared" si="264"/>
        <v>0</v>
      </c>
      <c r="Z2088" s="847"/>
      <c r="AA2088" s="847"/>
      <c r="AB2088" s="741">
        <f t="shared" si="265"/>
        <v>0</v>
      </c>
      <c r="AC2088" s="846"/>
      <c r="AD2088" s="847"/>
      <c r="AE2088" s="846"/>
      <c r="AF2088" s="846"/>
      <c r="AG2088" s="847"/>
      <c r="AH2088" s="847"/>
      <c r="AI2088" s="742">
        <f t="shared" si="269"/>
        <v>1098472</v>
      </c>
      <c r="AJ2088" s="743">
        <f t="shared" si="270"/>
        <v>1098472</v>
      </c>
    </row>
    <row r="2089" spans="1:36">
      <c r="A2089" s="1237" t="s">
        <v>154</v>
      </c>
      <c r="B2089" s="944" t="s">
        <v>303</v>
      </c>
      <c r="C2089" s="922" t="s">
        <v>1421</v>
      </c>
      <c r="D2089" s="917"/>
      <c r="E2089" s="918"/>
      <c r="F2089" s="919"/>
      <c r="G2089" s="846"/>
      <c r="H2089" s="847"/>
      <c r="I2089" s="846">
        <v>68476</v>
      </c>
      <c r="J2089" s="847">
        <v>68476</v>
      </c>
      <c r="K2089" s="846"/>
      <c r="L2089" s="847"/>
      <c r="M2089" s="846"/>
      <c r="N2089" s="846"/>
      <c r="O2089" s="737">
        <f t="shared" si="263"/>
        <v>0</v>
      </c>
      <c r="P2089" s="847"/>
      <c r="Q2089" s="847"/>
      <c r="R2089" s="738">
        <f t="shared" si="266"/>
        <v>0</v>
      </c>
      <c r="S2089" s="737">
        <f t="shared" si="267"/>
        <v>68476</v>
      </c>
      <c r="T2089" s="739">
        <f t="shared" si="268"/>
        <v>68476</v>
      </c>
      <c r="U2089" s="846"/>
      <c r="V2089" s="847"/>
      <c r="W2089" s="846"/>
      <c r="X2089" s="846"/>
      <c r="Y2089" s="740">
        <f t="shared" si="264"/>
        <v>0</v>
      </c>
      <c r="Z2089" s="847"/>
      <c r="AA2089" s="847"/>
      <c r="AB2089" s="741">
        <f t="shared" si="265"/>
        <v>0</v>
      </c>
      <c r="AC2089" s="846"/>
      <c r="AD2089" s="847"/>
      <c r="AE2089" s="846"/>
      <c r="AF2089" s="846"/>
      <c r="AG2089" s="847"/>
      <c r="AH2089" s="847"/>
      <c r="AI2089" s="742">
        <f t="shared" si="269"/>
        <v>68476</v>
      </c>
      <c r="AJ2089" s="743">
        <f t="shared" si="270"/>
        <v>68476</v>
      </c>
    </row>
    <row r="2090" spans="1:36">
      <c r="A2090" s="1237" t="s">
        <v>154</v>
      </c>
      <c r="B2090" s="944" t="s">
        <v>281</v>
      </c>
      <c r="C2090" s="935" t="s">
        <v>109</v>
      </c>
      <c r="D2090" s="924"/>
      <c r="E2090" s="918"/>
      <c r="F2090" s="919"/>
      <c r="G2090" s="846"/>
      <c r="H2090" s="847"/>
      <c r="I2090" s="846"/>
      <c r="J2090" s="847"/>
      <c r="K2090" s="846"/>
      <c r="L2090" s="847"/>
      <c r="M2090" s="846"/>
      <c r="N2090" s="846"/>
      <c r="O2090" s="737">
        <f t="shared" si="263"/>
        <v>0</v>
      </c>
      <c r="P2090" s="847"/>
      <c r="Q2090" s="847"/>
      <c r="R2090" s="738">
        <f t="shared" si="266"/>
        <v>0</v>
      </c>
      <c r="S2090" s="737">
        <f t="shared" si="267"/>
        <v>0</v>
      </c>
      <c r="T2090" s="739">
        <f t="shared" si="268"/>
        <v>0</v>
      </c>
      <c r="U2090" s="846"/>
      <c r="V2090" s="847"/>
      <c r="W2090" s="846"/>
      <c r="X2090" s="846"/>
      <c r="Y2090" s="740">
        <f t="shared" si="264"/>
        <v>0</v>
      </c>
      <c r="Z2090" s="847"/>
      <c r="AA2090" s="847"/>
      <c r="AB2090" s="741">
        <f t="shared" si="265"/>
        <v>0</v>
      </c>
      <c r="AC2090" s="846"/>
      <c r="AD2090" s="847"/>
      <c r="AE2090" s="846"/>
      <c r="AF2090" s="846"/>
      <c r="AG2090" s="847"/>
      <c r="AH2090" s="847"/>
      <c r="AI2090" s="742">
        <f t="shared" si="269"/>
        <v>0</v>
      </c>
      <c r="AJ2090" s="743">
        <f t="shared" si="270"/>
        <v>0</v>
      </c>
    </row>
    <row r="2091" spans="1:36">
      <c r="A2091" s="1237" t="s">
        <v>154</v>
      </c>
      <c r="B2091" s="944" t="s">
        <v>282</v>
      </c>
      <c r="C2091" s="921" t="s">
        <v>140</v>
      </c>
      <c r="D2091" s="917"/>
      <c r="E2091" s="918"/>
      <c r="F2091" s="919"/>
      <c r="G2091" s="846"/>
      <c r="H2091" s="847"/>
      <c r="I2091" s="846"/>
      <c r="J2091" s="847"/>
      <c r="K2091" s="846"/>
      <c r="L2091" s="847"/>
      <c r="M2091" s="846"/>
      <c r="N2091" s="846"/>
      <c r="O2091" s="737">
        <f t="shared" si="263"/>
        <v>0</v>
      </c>
      <c r="P2091" s="847"/>
      <c r="Q2091" s="847"/>
      <c r="R2091" s="738">
        <f t="shared" si="266"/>
        <v>0</v>
      </c>
      <c r="S2091" s="737">
        <f t="shared" si="267"/>
        <v>0</v>
      </c>
      <c r="T2091" s="739">
        <f t="shared" si="268"/>
        <v>0</v>
      </c>
      <c r="U2091" s="846"/>
      <c r="V2091" s="847"/>
      <c r="W2091" s="846"/>
      <c r="X2091" s="846"/>
      <c r="Y2091" s="740">
        <f t="shared" si="264"/>
        <v>0</v>
      </c>
      <c r="Z2091" s="847"/>
      <c r="AA2091" s="847"/>
      <c r="AB2091" s="741">
        <f t="shared" si="265"/>
        <v>0</v>
      </c>
      <c r="AC2091" s="846"/>
      <c r="AD2091" s="847"/>
      <c r="AE2091" s="846"/>
      <c r="AF2091" s="846"/>
      <c r="AG2091" s="847"/>
      <c r="AH2091" s="847"/>
      <c r="AI2091" s="742">
        <f t="shared" si="269"/>
        <v>0</v>
      </c>
      <c r="AJ2091" s="743">
        <f t="shared" si="270"/>
        <v>0</v>
      </c>
    </row>
    <row r="2092" spans="1:36">
      <c r="A2092" s="1237" t="s">
        <v>154</v>
      </c>
      <c r="B2092" s="944" t="s">
        <v>282</v>
      </c>
      <c r="C2092" s="922" t="s">
        <v>1422</v>
      </c>
      <c r="D2092" s="917"/>
      <c r="E2092" s="918"/>
      <c r="F2092" s="919"/>
      <c r="G2092" s="846"/>
      <c r="H2092" s="847"/>
      <c r="I2092" s="846"/>
      <c r="J2092" s="847"/>
      <c r="K2092" s="846"/>
      <c r="L2092" s="847"/>
      <c r="M2092" s="846"/>
      <c r="N2092" s="846"/>
      <c r="O2092" s="737">
        <f t="shared" si="263"/>
        <v>0</v>
      </c>
      <c r="P2092" s="847"/>
      <c r="Q2092" s="847"/>
      <c r="R2092" s="738">
        <f t="shared" si="266"/>
        <v>0</v>
      </c>
      <c r="S2092" s="737">
        <f t="shared" si="267"/>
        <v>0</v>
      </c>
      <c r="T2092" s="739">
        <f t="shared" si="268"/>
        <v>0</v>
      </c>
      <c r="U2092" s="846">
        <v>10139942</v>
      </c>
      <c r="V2092" s="847">
        <v>10139942</v>
      </c>
      <c r="W2092" s="846"/>
      <c r="X2092" s="846"/>
      <c r="Y2092" s="740">
        <f t="shared" si="264"/>
        <v>0</v>
      </c>
      <c r="Z2092" s="847"/>
      <c r="AA2092" s="847"/>
      <c r="AB2092" s="741">
        <f t="shared" si="265"/>
        <v>0</v>
      </c>
      <c r="AC2092" s="846"/>
      <c r="AD2092" s="847"/>
      <c r="AE2092" s="846"/>
      <c r="AF2092" s="846"/>
      <c r="AG2092" s="847"/>
      <c r="AH2092" s="847"/>
      <c r="AI2092" s="742">
        <f t="shared" si="269"/>
        <v>10139942</v>
      </c>
      <c r="AJ2092" s="743">
        <f t="shared" si="270"/>
        <v>10139942</v>
      </c>
    </row>
    <row r="2093" spans="1:36">
      <c r="A2093" s="1237" t="s">
        <v>154</v>
      </c>
      <c r="B2093" s="944" t="s">
        <v>282</v>
      </c>
      <c r="C2093" s="922" t="s">
        <v>1423</v>
      </c>
      <c r="D2093" s="917"/>
      <c r="E2093" s="918"/>
      <c r="F2093" s="919"/>
      <c r="G2093" s="846"/>
      <c r="H2093" s="847"/>
      <c r="I2093" s="846"/>
      <c r="J2093" s="847"/>
      <c r="K2093" s="846"/>
      <c r="L2093" s="847"/>
      <c r="M2093" s="846"/>
      <c r="N2093" s="846"/>
      <c r="O2093" s="737">
        <f t="shared" si="263"/>
        <v>0</v>
      </c>
      <c r="P2093" s="847"/>
      <c r="Q2093" s="847"/>
      <c r="R2093" s="738">
        <f t="shared" si="266"/>
        <v>0</v>
      </c>
      <c r="S2093" s="737">
        <f t="shared" si="267"/>
        <v>0</v>
      </c>
      <c r="T2093" s="739">
        <f t="shared" si="268"/>
        <v>0</v>
      </c>
      <c r="U2093" s="846"/>
      <c r="V2093" s="847"/>
      <c r="W2093" s="846"/>
      <c r="X2093" s="846"/>
      <c r="Y2093" s="740">
        <f t="shared" si="264"/>
        <v>0</v>
      </c>
      <c r="Z2093" s="847"/>
      <c r="AA2093" s="847"/>
      <c r="AB2093" s="741">
        <f t="shared" si="265"/>
        <v>0</v>
      </c>
      <c r="AC2093" s="846"/>
      <c r="AD2093" s="847"/>
      <c r="AE2093" s="846"/>
      <c r="AF2093" s="846"/>
      <c r="AG2093" s="847"/>
      <c r="AH2093" s="847"/>
      <c r="AI2093" s="742">
        <f t="shared" si="269"/>
        <v>0</v>
      </c>
      <c r="AJ2093" s="743">
        <f t="shared" si="270"/>
        <v>0</v>
      </c>
    </row>
    <row r="2094" spans="1:36">
      <c r="A2094" s="1237" t="s">
        <v>154</v>
      </c>
      <c r="B2094" s="944" t="s">
        <v>283</v>
      </c>
      <c r="C2094" s="921" t="s">
        <v>139</v>
      </c>
      <c r="D2094" s="917"/>
      <c r="E2094" s="918"/>
      <c r="F2094" s="919"/>
      <c r="G2094" s="846"/>
      <c r="H2094" s="847"/>
      <c r="I2094" s="846"/>
      <c r="J2094" s="847"/>
      <c r="K2094" s="846"/>
      <c r="L2094" s="847"/>
      <c r="M2094" s="846"/>
      <c r="N2094" s="846"/>
      <c r="O2094" s="737">
        <f t="shared" si="263"/>
        <v>0</v>
      </c>
      <c r="P2094" s="847"/>
      <c r="Q2094" s="847"/>
      <c r="R2094" s="738">
        <f t="shared" si="266"/>
        <v>0</v>
      </c>
      <c r="S2094" s="737">
        <f t="shared" si="267"/>
        <v>0</v>
      </c>
      <c r="T2094" s="739">
        <f t="shared" si="268"/>
        <v>0</v>
      </c>
      <c r="U2094" s="846"/>
      <c r="V2094" s="847"/>
      <c r="W2094" s="846"/>
      <c r="X2094" s="846"/>
      <c r="Y2094" s="740">
        <f t="shared" si="264"/>
        <v>0</v>
      </c>
      <c r="Z2094" s="847"/>
      <c r="AA2094" s="847"/>
      <c r="AB2094" s="741">
        <f t="shared" si="265"/>
        <v>0</v>
      </c>
      <c r="AC2094" s="846"/>
      <c r="AD2094" s="847"/>
      <c r="AE2094" s="846"/>
      <c r="AF2094" s="846"/>
      <c r="AG2094" s="847"/>
      <c r="AH2094" s="847"/>
      <c r="AI2094" s="742">
        <f t="shared" si="269"/>
        <v>0</v>
      </c>
      <c r="AJ2094" s="743">
        <f t="shared" si="270"/>
        <v>0</v>
      </c>
    </row>
    <row r="2095" spans="1:36">
      <c r="A2095" s="1237" t="s">
        <v>154</v>
      </c>
      <c r="B2095" s="944" t="s">
        <v>284</v>
      </c>
      <c r="C2095" s="921" t="s">
        <v>138</v>
      </c>
      <c r="D2095" s="917"/>
      <c r="E2095" s="918"/>
      <c r="F2095" s="919"/>
      <c r="G2095" s="846"/>
      <c r="H2095" s="847"/>
      <c r="I2095" s="846"/>
      <c r="J2095" s="847"/>
      <c r="K2095" s="846"/>
      <c r="L2095" s="847"/>
      <c r="M2095" s="846"/>
      <c r="N2095" s="846"/>
      <c r="O2095" s="737">
        <f t="shared" si="263"/>
        <v>0</v>
      </c>
      <c r="P2095" s="847"/>
      <c r="Q2095" s="847"/>
      <c r="R2095" s="738">
        <f t="shared" si="266"/>
        <v>0</v>
      </c>
      <c r="S2095" s="737">
        <f t="shared" si="267"/>
        <v>0</v>
      </c>
      <c r="T2095" s="739">
        <f t="shared" si="268"/>
        <v>0</v>
      </c>
      <c r="U2095" s="846"/>
      <c r="V2095" s="847"/>
      <c r="W2095" s="846"/>
      <c r="X2095" s="846"/>
      <c r="Y2095" s="740">
        <f t="shared" si="264"/>
        <v>0</v>
      </c>
      <c r="Z2095" s="847"/>
      <c r="AA2095" s="847"/>
      <c r="AB2095" s="741">
        <f t="shared" si="265"/>
        <v>0</v>
      </c>
      <c r="AC2095" s="846"/>
      <c r="AD2095" s="847"/>
      <c r="AE2095" s="846"/>
      <c r="AF2095" s="846"/>
      <c r="AG2095" s="847"/>
      <c r="AH2095" s="847"/>
      <c r="AI2095" s="742">
        <f t="shared" si="269"/>
        <v>0</v>
      </c>
      <c r="AJ2095" s="743">
        <f t="shared" si="270"/>
        <v>0</v>
      </c>
    </row>
    <row r="2096" spans="1:36">
      <c r="A2096" s="1237" t="s">
        <v>154</v>
      </c>
      <c r="B2096" s="944" t="s">
        <v>284</v>
      </c>
      <c r="C2096" s="922" t="s">
        <v>1424</v>
      </c>
      <c r="D2096" s="917"/>
      <c r="E2096" s="918"/>
      <c r="F2096" s="919"/>
      <c r="G2096" s="846"/>
      <c r="H2096" s="847"/>
      <c r="I2096" s="846"/>
      <c r="J2096" s="847"/>
      <c r="K2096" s="846"/>
      <c r="L2096" s="847"/>
      <c r="M2096" s="846"/>
      <c r="N2096" s="846"/>
      <c r="O2096" s="737">
        <f t="shared" si="263"/>
        <v>0</v>
      </c>
      <c r="P2096" s="847"/>
      <c r="Q2096" s="847"/>
      <c r="R2096" s="738">
        <f t="shared" si="266"/>
        <v>0</v>
      </c>
      <c r="S2096" s="737">
        <f t="shared" si="267"/>
        <v>0</v>
      </c>
      <c r="T2096" s="739">
        <f t="shared" si="268"/>
        <v>0</v>
      </c>
      <c r="U2096" s="846"/>
      <c r="V2096" s="847"/>
      <c r="W2096" s="846"/>
      <c r="X2096" s="846"/>
      <c r="Y2096" s="740">
        <f t="shared" si="264"/>
        <v>0</v>
      </c>
      <c r="Z2096" s="847"/>
      <c r="AA2096" s="847"/>
      <c r="AB2096" s="741">
        <f t="shared" si="265"/>
        <v>0</v>
      </c>
      <c r="AC2096" s="846"/>
      <c r="AD2096" s="847"/>
      <c r="AE2096" s="846"/>
      <c r="AF2096" s="846"/>
      <c r="AG2096" s="847"/>
      <c r="AH2096" s="847"/>
      <c r="AI2096" s="742">
        <f t="shared" si="269"/>
        <v>0</v>
      </c>
      <c r="AJ2096" s="743">
        <f t="shared" si="270"/>
        <v>0</v>
      </c>
    </row>
    <row r="2097" spans="1:36">
      <c r="A2097" s="1237" t="s">
        <v>154</v>
      </c>
      <c r="B2097" s="944" t="s">
        <v>285</v>
      </c>
      <c r="C2097" s="921" t="s">
        <v>504</v>
      </c>
      <c r="D2097" s="917"/>
      <c r="E2097" s="918"/>
      <c r="F2097" s="919"/>
      <c r="G2097" s="846"/>
      <c r="H2097" s="847"/>
      <c r="I2097" s="846"/>
      <c r="J2097" s="847"/>
      <c r="K2097" s="846"/>
      <c r="L2097" s="847"/>
      <c r="M2097" s="846"/>
      <c r="N2097" s="846"/>
      <c r="O2097" s="737">
        <f t="shared" si="263"/>
        <v>0</v>
      </c>
      <c r="P2097" s="847"/>
      <c r="Q2097" s="847"/>
      <c r="R2097" s="738">
        <f t="shared" si="266"/>
        <v>0</v>
      </c>
      <c r="S2097" s="737">
        <f t="shared" si="267"/>
        <v>0</v>
      </c>
      <c r="T2097" s="739">
        <f t="shared" si="268"/>
        <v>0</v>
      </c>
      <c r="U2097" s="846"/>
      <c r="V2097" s="847"/>
      <c r="W2097" s="846"/>
      <c r="X2097" s="846"/>
      <c r="Y2097" s="740">
        <f t="shared" si="264"/>
        <v>0</v>
      </c>
      <c r="Z2097" s="847"/>
      <c r="AA2097" s="847"/>
      <c r="AB2097" s="741">
        <f t="shared" si="265"/>
        <v>0</v>
      </c>
      <c r="AC2097" s="846"/>
      <c r="AD2097" s="847"/>
      <c r="AE2097" s="846"/>
      <c r="AF2097" s="846"/>
      <c r="AG2097" s="847"/>
      <c r="AH2097" s="847"/>
      <c r="AI2097" s="742">
        <f t="shared" si="269"/>
        <v>0</v>
      </c>
      <c r="AJ2097" s="743">
        <f t="shared" si="270"/>
        <v>0</v>
      </c>
    </row>
    <row r="2098" spans="1:36">
      <c r="A2098" s="1237" t="s">
        <v>154</v>
      </c>
      <c r="B2098" s="916" t="s">
        <v>286</v>
      </c>
      <c r="C2098" s="935" t="s">
        <v>506</v>
      </c>
      <c r="D2098" s="924"/>
      <c r="E2098" s="918"/>
      <c r="F2098" s="919"/>
      <c r="G2098" s="846"/>
      <c r="H2098" s="847"/>
      <c r="I2098" s="846"/>
      <c r="J2098" s="847"/>
      <c r="K2098" s="846"/>
      <c r="L2098" s="847"/>
      <c r="M2098" s="846"/>
      <c r="N2098" s="846"/>
      <c r="O2098" s="737">
        <f t="shared" si="263"/>
        <v>0</v>
      </c>
      <c r="P2098" s="847"/>
      <c r="Q2098" s="847"/>
      <c r="R2098" s="738">
        <f t="shared" si="266"/>
        <v>0</v>
      </c>
      <c r="S2098" s="737">
        <f t="shared" si="267"/>
        <v>0</v>
      </c>
      <c r="T2098" s="739">
        <f t="shared" si="268"/>
        <v>0</v>
      </c>
      <c r="U2098" s="846"/>
      <c r="V2098" s="847"/>
      <c r="W2098" s="846"/>
      <c r="X2098" s="846"/>
      <c r="Y2098" s="740">
        <f t="shared" si="264"/>
        <v>0</v>
      </c>
      <c r="Z2098" s="847"/>
      <c r="AA2098" s="847"/>
      <c r="AB2098" s="741">
        <f t="shared" si="265"/>
        <v>0</v>
      </c>
      <c r="AC2098" s="846"/>
      <c r="AD2098" s="847"/>
      <c r="AE2098" s="846"/>
      <c r="AF2098" s="846"/>
      <c r="AG2098" s="847"/>
      <c r="AH2098" s="847"/>
      <c r="AI2098" s="742">
        <f t="shared" si="269"/>
        <v>0</v>
      </c>
      <c r="AJ2098" s="743">
        <f t="shared" si="270"/>
        <v>0</v>
      </c>
    </row>
    <row r="2099" spans="1:36">
      <c r="A2099" s="1237" t="s">
        <v>154</v>
      </c>
      <c r="B2099" s="916" t="s">
        <v>287</v>
      </c>
      <c r="C2099" s="935" t="s">
        <v>510</v>
      </c>
      <c r="D2099" s="924"/>
      <c r="E2099" s="918"/>
      <c r="F2099" s="919"/>
      <c r="G2099" s="846"/>
      <c r="H2099" s="847"/>
      <c r="I2099" s="846"/>
      <c r="J2099" s="847"/>
      <c r="K2099" s="846"/>
      <c r="L2099" s="847"/>
      <c r="M2099" s="846"/>
      <c r="N2099" s="846"/>
      <c r="O2099" s="737">
        <f t="shared" si="263"/>
        <v>0</v>
      </c>
      <c r="P2099" s="847"/>
      <c r="Q2099" s="847"/>
      <c r="R2099" s="738">
        <f t="shared" si="266"/>
        <v>0</v>
      </c>
      <c r="S2099" s="737">
        <f t="shared" si="267"/>
        <v>0</v>
      </c>
      <c r="T2099" s="739">
        <f t="shared" si="268"/>
        <v>0</v>
      </c>
      <c r="U2099" s="846"/>
      <c r="V2099" s="847"/>
      <c r="W2099" s="846"/>
      <c r="X2099" s="846"/>
      <c r="Y2099" s="740">
        <f t="shared" si="264"/>
        <v>0</v>
      </c>
      <c r="Z2099" s="847"/>
      <c r="AA2099" s="847"/>
      <c r="AB2099" s="741">
        <f t="shared" si="265"/>
        <v>0</v>
      </c>
      <c r="AC2099" s="846"/>
      <c r="AD2099" s="847"/>
      <c r="AE2099" s="846"/>
      <c r="AF2099" s="846"/>
      <c r="AG2099" s="847"/>
      <c r="AH2099" s="847"/>
      <c r="AI2099" s="742">
        <f t="shared" si="269"/>
        <v>0</v>
      </c>
      <c r="AJ2099" s="743">
        <f t="shared" si="270"/>
        <v>0</v>
      </c>
    </row>
    <row r="2100" spans="1:36">
      <c r="A2100" s="1237" t="s">
        <v>154</v>
      </c>
      <c r="B2100" s="916" t="s">
        <v>288</v>
      </c>
      <c r="C2100" s="921" t="s">
        <v>511</v>
      </c>
      <c r="D2100" s="917"/>
      <c r="E2100" s="918"/>
      <c r="F2100" s="919"/>
      <c r="G2100" s="846"/>
      <c r="H2100" s="847"/>
      <c r="I2100" s="846"/>
      <c r="J2100" s="847"/>
      <c r="K2100" s="846"/>
      <c r="L2100" s="847"/>
      <c r="M2100" s="846"/>
      <c r="N2100" s="846"/>
      <c r="O2100" s="737">
        <f t="shared" si="263"/>
        <v>0</v>
      </c>
      <c r="P2100" s="847"/>
      <c r="Q2100" s="847"/>
      <c r="R2100" s="738">
        <f t="shared" si="266"/>
        <v>0</v>
      </c>
      <c r="S2100" s="737">
        <f t="shared" si="267"/>
        <v>0</v>
      </c>
      <c r="T2100" s="739">
        <f t="shared" si="268"/>
        <v>0</v>
      </c>
      <c r="U2100" s="846"/>
      <c r="V2100" s="847"/>
      <c r="W2100" s="846"/>
      <c r="X2100" s="846"/>
      <c r="Y2100" s="740">
        <f t="shared" si="264"/>
        <v>0</v>
      </c>
      <c r="Z2100" s="847"/>
      <c r="AA2100" s="847"/>
      <c r="AB2100" s="741">
        <f t="shared" si="265"/>
        <v>0</v>
      </c>
      <c r="AC2100" s="846"/>
      <c r="AD2100" s="847"/>
      <c r="AE2100" s="846"/>
      <c r="AF2100" s="846"/>
      <c r="AG2100" s="847"/>
      <c r="AH2100" s="847"/>
      <c r="AI2100" s="742">
        <f t="shared" si="269"/>
        <v>0</v>
      </c>
      <c r="AJ2100" s="743">
        <f t="shared" si="270"/>
        <v>0</v>
      </c>
    </row>
    <row r="2101" spans="1:36">
      <c r="A2101" s="1237" t="s">
        <v>154</v>
      </c>
      <c r="B2101" s="916" t="s">
        <v>289</v>
      </c>
      <c r="C2101" s="921" t="s">
        <v>515</v>
      </c>
      <c r="D2101" s="917"/>
      <c r="E2101" s="918"/>
      <c r="F2101" s="919"/>
      <c r="G2101" s="846"/>
      <c r="H2101" s="847"/>
      <c r="I2101" s="846"/>
      <c r="J2101" s="847"/>
      <c r="K2101" s="846"/>
      <c r="L2101" s="847"/>
      <c r="M2101" s="846"/>
      <c r="N2101" s="846"/>
      <c r="O2101" s="737">
        <f t="shared" si="263"/>
        <v>0</v>
      </c>
      <c r="P2101" s="847"/>
      <c r="Q2101" s="847"/>
      <c r="R2101" s="738">
        <f t="shared" si="266"/>
        <v>0</v>
      </c>
      <c r="S2101" s="737">
        <f t="shared" si="267"/>
        <v>0</v>
      </c>
      <c r="T2101" s="739">
        <f t="shared" si="268"/>
        <v>0</v>
      </c>
      <c r="U2101" s="846"/>
      <c r="V2101" s="847"/>
      <c r="W2101" s="846"/>
      <c r="X2101" s="846"/>
      <c r="Y2101" s="740">
        <f t="shared" si="264"/>
        <v>0</v>
      </c>
      <c r="Z2101" s="847"/>
      <c r="AA2101" s="847"/>
      <c r="AB2101" s="741">
        <f t="shared" si="265"/>
        <v>0</v>
      </c>
      <c r="AC2101" s="846"/>
      <c r="AD2101" s="847"/>
      <c r="AE2101" s="846"/>
      <c r="AF2101" s="846"/>
      <c r="AG2101" s="847"/>
      <c r="AH2101" s="847"/>
      <c r="AI2101" s="742">
        <f t="shared" si="269"/>
        <v>0</v>
      </c>
      <c r="AJ2101" s="743">
        <f t="shared" si="270"/>
        <v>0</v>
      </c>
    </row>
    <row r="2102" spans="1:36">
      <c r="A2102" s="1237" t="s">
        <v>154</v>
      </c>
      <c r="B2102" s="916" t="s">
        <v>290</v>
      </c>
      <c r="C2102" s="921" t="s">
        <v>137</v>
      </c>
      <c r="D2102" s="917"/>
      <c r="E2102" s="918"/>
      <c r="F2102" s="919"/>
      <c r="G2102" s="846"/>
      <c r="H2102" s="847"/>
      <c r="I2102" s="846"/>
      <c r="J2102" s="847"/>
      <c r="K2102" s="846"/>
      <c r="L2102" s="847"/>
      <c r="M2102" s="846"/>
      <c r="N2102" s="846"/>
      <c r="O2102" s="737">
        <f t="shared" si="263"/>
        <v>0</v>
      </c>
      <c r="P2102" s="847"/>
      <c r="Q2102" s="847"/>
      <c r="R2102" s="738">
        <f t="shared" si="266"/>
        <v>0</v>
      </c>
      <c r="S2102" s="737">
        <f t="shared" si="267"/>
        <v>0</v>
      </c>
      <c r="T2102" s="739">
        <f t="shared" si="268"/>
        <v>0</v>
      </c>
      <c r="U2102" s="846"/>
      <c r="V2102" s="847"/>
      <c r="W2102" s="846"/>
      <c r="X2102" s="846"/>
      <c r="Y2102" s="740">
        <f t="shared" si="264"/>
        <v>0</v>
      </c>
      <c r="Z2102" s="847"/>
      <c r="AA2102" s="847"/>
      <c r="AB2102" s="741">
        <f t="shared" si="265"/>
        <v>0</v>
      </c>
      <c r="AC2102" s="846"/>
      <c r="AD2102" s="847"/>
      <c r="AE2102" s="846"/>
      <c r="AF2102" s="846"/>
      <c r="AG2102" s="847"/>
      <c r="AH2102" s="847"/>
      <c r="AI2102" s="742">
        <f t="shared" si="269"/>
        <v>0</v>
      </c>
      <c r="AJ2102" s="743">
        <f t="shared" si="270"/>
        <v>0</v>
      </c>
    </row>
    <row r="2103" spans="1:36">
      <c r="A2103" s="1237" t="s">
        <v>154</v>
      </c>
      <c r="B2103" s="916" t="s">
        <v>291</v>
      </c>
      <c r="C2103" s="935" t="s">
        <v>520</v>
      </c>
      <c r="D2103" s="924"/>
      <c r="E2103" s="918"/>
      <c r="F2103" s="919"/>
      <c r="G2103" s="846"/>
      <c r="H2103" s="847"/>
      <c r="I2103" s="846"/>
      <c r="J2103" s="847"/>
      <c r="K2103" s="846"/>
      <c r="L2103" s="847"/>
      <c r="M2103" s="846"/>
      <c r="N2103" s="846"/>
      <c r="O2103" s="737">
        <f t="shared" si="263"/>
        <v>0</v>
      </c>
      <c r="P2103" s="847"/>
      <c r="Q2103" s="847"/>
      <c r="R2103" s="738">
        <f t="shared" si="266"/>
        <v>0</v>
      </c>
      <c r="S2103" s="737">
        <f t="shared" si="267"/>
        <v>0</v>
      </c>
      <c r="T2103" s="739">
        <f t="shared" si="268"/>
        <v>0</v>
      </c>
      <c r="U2103" s="846"/>
      <c r="V2103" s="847"/>
      <c r="W2103" s="846"/>
      <c r="X2103" s="846"/>
      <c r="Y2103" s="740">
        <f t="shared" si="264"/>
        <v>0</v>
      </c>
      <c r="Z2103" s="847"/>
      <c r="AA2103" s="847"/>
      <c r="AB2103" s="741">
        <f t="shared" si="265"/>
        <v>0</v>
      </c>
      <c r="AC2103" s="846"/>
      <c r="AD2103" s="847"/>
      <c r="AE2103" s="846"/>
      <c r="AF2103" s="846"/>
      <c r="AG2103" s="847"/>
      <c r="AH2103" s="847"/>
      <c r="AI2103" s="742">
        <f t="shared" si="269"/>
        <v>0</v>
      </c>
      <c r="AJ2103" s="743">
        <f t="shared" si="270"/>
        <v>0</v>
      </c>
    </row>
    <row r="2104" spans="1:36">
      <c r="A2104" s="1237" t="s">
        <v>154</v>
      </c>
      <c r="B2104" s="916" t="s">
        <v>292</v>
      </c>
      <c r="C2104" s="940" t="s">
        <v>34</v>
      </c>
      <c r="D2104" s="934"/>
      <c r="E2104" s="918"/>
      <c r="F2104" s="919"/>
      <c r="G2104" s="846"/>
      <c r="H2104" s="847"/>
      <c r="I2104" s="846"/>
      <c r="J2104" s="847"/>
      <c r="K2104" s="846"/>
      <c r="L2104" s="847"/>
      <c r="M2104" s="846"/>
      <c r="N2104" s="846"/>
      <c r="O2104" s="737">
        <f t="shared" si="263"/>
        <v>0</v>
      </c>
      <c r="P2104" s="847"/>
      <c r="Q2104" s="847"/>
      <c r="R2104" s="738">
        <f t="shared" si="266"/>
        <v>0</v>
      </c>
      <c r="S2104" s="737">
        <f t="shared" si="267"/>
        <v>0</v>
      </c>
      <c r="T2104" s="739">
        <f t="shared" si="268"/>
        <v>0</v>
      </c>
      <c r="U2104" s="846"/>
      <c r="V2104" s="847"/>
      <c r="W2104" s="846"/>
      <c r="X2104" s="846"/>
      <c r="Y2104" s="740">
        <f t="shared" si="264"/>
        <v>0</v>
      </c>
      <c r="Z2104" s="847"/>
      <c r="AA2104" s="847"/>
      <c r="AB2104" s="741">
        <f t="shared" si="265"/>
        <v>0</v>
      </c>
      <c r="AC2104" s="846"/>
      <c r="AD2104" s="847"/>
      <c r="AE2104" s="846"/>
      <c r="AF2104" s="846"/>
      <c r="AG2104" s="847"/>
      <c r="AH2104" s="847"/>
      <c r="AI2104" s="742">
        <f t="shared" si="269"/>
        <v>0</v>
      </c>
      <c r="AJ2104" s="743">
        <f t="shared" si="270"/>
        <v>0</v>
      </c>
    </row>
    <row r="2105" spans="1:36">
      <c r="A2105" s="1237" t="s">
        <v>154</v>
      </c>
      <c r="B2105" s="916" t="s">
        <v>292</v>
      </c>
      <c r="C2105" s="1240" t="s">
        <v>1425</v>
      </c>
      <c r="D2105" s="917"/>
      <c r="E2105" s="918"/>
      <c r="F2105" s="919"/>
      <c r="G2105" s="846"/>
      <c r="H2105" s="847"/>
      <c r="I2105" s="846"/>
      <c r="J2105" s="847"/>
      <c r="K2105" s="846"/>
      <c r="L2105" s="847"/>
      <c r="M2105" s="846"/>
      <c r="N2105" s="846"/>
      <c r="O2105" s="737">
        <f t="shared" si="263"/>
        <v>0</v>
      </c>
      <c r="P2105" s="847"/>
      <c r="Q2105" s="847"/>
      <c r="R2105" s="738">
        <f t="shared" si="266"/>
        <v>0</v>
      </c>
      <c r="S2105" s="737">
        <f t="shared" si="267"/>
        <v>0</v>
      </c>
      <c r="T2105" s="739">
        <f t="shared" si="268"/>
        <v>0</v>
      </c>
      <c r="U2105" s="846">
        <v>57000000</v>
      </c>
      <c r="V2105" s="847">
        <v>57000000</v>
      </c>
      <c r="W2105" s="846"/>
      <c r="X2105" s="846"/>
      <c r="Y2105" s="740">
        <f t="shared" si="264"/>
        <v>0</v>
      </c>
      <c r="Z2105" s="847"/>
      <c r="AA2105" s="847"/>
      <c r="AB2105" s="741">
        <f t="shared" si="265"/>
        <v>0</v>
      </c>
      <c r="AC2105" s="846"/>
      <c r="AD2105" s="847"/>
      <c r="AE2105" s="846"/>
      <c r="AF2105" s="846"/>
      <c r="AG2105" s="847"/>
      <c r="AH2105" s="847"/>
      <c r="AI2105" s="742">
        <f t="shared" si="269"/>
        <v>57000000</v>
      </c>
      <c r="AJ2105" s="743">
        <f t="shared" si="270"/>
        <v>57000000</v>
      </c>
    </row>
    <row r="2106" spans="1:36">
      <c r="A2106" s="1237" t="s">
        <v>154</v>
      </c>
      <c r="B2106" s="944" t="s">
        <v>310</v>
      </c>
      <c r="C2106" s="942" t="s">
        <v>311</v>
      </c>
      <c r="D2106" s="943"/>
      <c r="E2106" s="936"/>
      <c r="F2106" s="937"/>
      <c r="G2106" s="846"/>
      <c r="H2106" s="847"/>
      <c r="I2106" s="846"/>
      <c r="J2106" s="847"/>
      <c r="K2106" s="846"/>
      <c r="L2106" s="847"/>
      <c r="M2106" s="846"/>
      <c r="N2106" s="846"/>
      <c r="O2106" s="737">
        <f t="shared" si="263"/>
        <v>0</v>
      </c>
      <c r="P2106" s="847"/>
      <c r="Q2106" s="847"/>
      <c r="R2106" s="738">
        <f t="shared" si="266"/>
        <v>0</v>
      </c>
      <c r="S2106" s="737">
        <f t="shared" si="267"/>
        <v>0</v>
      </c>
      <c r="T2106" s="739">
        <f t="shared" si="268"/>
        <v>0</v>
      </c>
      <c r="U2106" s="846"/>
      <c r="V2106" s="847"/>
      <c r="W2106" s="846"/>
      <c r="X2106" s="846"/>
      <c r="Y2106" s="740">
        <f t="shared" si="264"/>
        <v>0</v>
      </c>
      <c r="Z2106" s="847"/>
      <c r="AA2106" s="847"/>
      <c r="AB2106" s="741">
        <f t="shared" si="265"/>
        <v>0</v>
      </c>
      <c r="AC2106" s="846"/>
      <c r="AD2106" s="847"/>
      <c r="AE2106" s="846"/>
      <c r="AF2106" s="846"/>
      <c r="AG2106" s="847"/>
      <c r="AH2106" s="847"/>
      <c r="AI2106" s="742">
        <f t="shared" si="269"/>
        <v>0</v>
      </c>
      <c r="AJ2106" s="743">
        <f t="shared" si="270"/>
        <v>0</v>
      </c>
    </row>
    <row r="2107" spans="1:36">
      <c r="A2107" s="1237" t="s">
        <v>154</v>
      </c>
      <c r="B2107" s="944" t="s">
        <v>251</v>
      </c>
      <c r="C2107" s="942" t="s">
        <v>249</v>
      </c>
      <c r="D2107" s="943"/>
      <c r="E2107" s="936"/>
      <c r="F2107" s="937"/>
      <c r="G2107" s="846"/>
      <c r="H2107" s="847"/>
      <c r="I2107" s="846"/>
      <c r="J2107" s="847"/>
      <c r="K2107" s="846"/>
      <c r="L2107" s="847"/>
      <c r="M2107" s="846"/>
      <c r="N2107" s="846"/>
      <c r="O2107" s="737">
        <f t="shared" si="263"/>
        <v>0</v>
      </c>
      <c r="P2107" s="847"/>
      <c r="Q2107" s="847"/>
      <c r="R2107" s="738">
        <f t="shared" si="266"/>
        <v>0</v>
      </c>
      <c r="S2107" s="737">
        <f t="shared" si="267"/>
        <v>0</v>
      </c>
      <c r="T2107" s="739">
        <f t="shared" si="268"/>
        <v>0</v>
      </c>
      <c r="U2107" s="846"/>
      <c r="V2107" s="847"/>
      <c r="W2107" s="846"/>
      <c r="X2107" s="846"/>
      <c r="Y2107" s="740">
        <f t="shared" si="264"/>
        <v>0</v>
      </c>
      <c r="Z2107" s="847"/>
      <c r="AA2107" s="847"/>
      <c r="AB2107" s="741">
        <f t="shared" si="265"/>
        <v>0</v>
      </c>
      <c r="AC2107" s="846"/>
      <c r="AD2107" s="847"/>
      <c r="AE2107" s="846"/>
      <c r="AF2107" s="846"/>
      <c r="AG2107" s="847"/>
      <c r="AH2107" s="847"/>
      <c r="AI2107" s="742">
        <f t="shared" si="269"/>
        <v>0</v>
      </c>
      <c r="AJ2107" s="743">
        <f t="shared" si="270"/>
        <v>0</v>
      </c>
    </row>
    <row r="2108" spans="1:36">
      <c r="A2108" s="1237" t="s">
        <v>154</v>
      </c>
      <c r="B2108" s="944" t="s">
        <v>209</v>
      </c>
      <c r="C2108" s="942" t="s">
        <v>522</v>
      </c>
      <c r="D2108" s="943"/>
      <c r="E2108" s="936"/>
      <c r="F2108" s="937"/>
      <c r="G2108" s="846"/>
      <c r="H2108" s="847"/>
      <c r="I2108" s="846"/>
      <c r="J2108" s="847"/>
      <c r="K2108" s="846"/>
      <c r="L2108" s="847"/>
      <c r="M2108" s="846"/>
      <c r="N2108" s="846"/>
      <c r="O2108" s="737">
        <f t="shared" si="263"/>
        <v>0</v>
      </c>
      <c r="P2108" s="847"/>
      <c r="Q2108" s="847"/>
      <c r="R2108" s="738">
        <f t="shared" si="266"/>
        <v>0</v>
      </c>
      <c r="S2108" s="737">
        <f t="shared" si="267"/>
        <v>0</v>
      </c>
      <c r="T2108" s="739">
        <f t="shared" si="268"/>
        <v>0</v>
      </c>
      <c r="U2108" s="846"/>
      <c r="V2108" s="847"/>
      <c r="W2108" s="846"/>
      <c r="X2108" s="846"/>
      <c r="Y2108" s="740">
        <f t="shared" si="264"/>
        <v>0</v>
      </c>
      <c r="Z2108" s="847"/>
      <c r="AA2108" s="847"/>
      <c r="AB2108" s="741">
        <f t="shared" si="265"/>
        <v>0</v>
      </c>
      <c r="AC2108" s="846"/>
      <c r="AD2108" s="847"/>
      <c r="AE2108" s="846"/>
      <c r="AF2108" s="846"/>
      <c r="AG2108" s="847"/>
      <c r="AH2108" s="847"/>
      <c r="AI2108" s="742">
        <f t="shared" si="269"/>
        <v>0</v>
      </c>
      <c r="AJ2108" s="743">
        <f t="shared" si="270"/>
        <v>0</v>
      </c>
    </row>
    <row r="2109" spans="1:36">
      <c r="A2109" s="1237" t="s">
        <v>154</v>
      </c>
      <c r="B2109" s="944" t="s">
        <v>210</v>
      </c>
      <c r="C2109" s="942" t="s">
        <v>311</v>
      </c>
      <c r="D2109" s="943"/>
      <c r="E2109" s="936"/>
      <c r="F2109" s="937"/>
      <c r="G2109" s="846"/>
      <c r="H2109" s="847"/>
      <c r="I2109" s="846"/>
      <c r="J2109" s="847"/>
      <c r="K2109" s="846"/>
      <c r="L2109" s="847"/>
      <c r="M2109" s="846"/>
      <c r="N2109" s="846"/>
      <c r="O2109" s="737">
        <f t="shared" si="263"/>
        <v>0</v>
      </c>
      <c r="P2109" s="847"/>
      <c r="Q2109" s="847"/>
      <c r="R2109" s="738">
        <f t="shared" si="266"/>
        <v>0</v>
      </c>
      <c r="S2109" s="737">
        <f t="shared" si="267"/>
        <v>0</v>
      </c>
      <c r="T2109" s="739">
        <f t="shared" si="268"/>
        <v>0</v>
      </c>
      <c r="U2109" s="846"/>
      <c r="V2109" s="847"/>
      <c r="W2109" s="846"/>
      <c r="X2109" s="846"/>
      <c r="Y2109" s="740">
        <f t="shared" si="264"/>
        <v>0</v>
      </c>
      <c r="Z2109" s="847"/>
      <c r="AA2109" s="847"/>
      <c r="AB2109" s="741">
        <f t="shared" si="265"/>
        <v>0</v>
      </c>
      <c r="AC2109" s="846"/>
      <c r="AD2109" s="847"/>
      <c r="AE2109" s="846"/>
      <c r="AF2109" s="846"/>
      <c r="AG2109" s="847"/>
      <c r="AH2109" s="847"/>
      <c r="AI2109" s="742">
        <f t="shared" si="269"/>
        <v>0</v>
      </c>
      <c r="AJ2109" s="743">
        <f t="shared" si="270"/>
        <v>0</v>
      </c>
    </row>
    <row r="2110" spans="1:36">
      <c r="A2110" s="1237" t="s">
        <v>154</v>
      </c>
      <c r="B2110" s="944" t="s">
        <v>251</v>
      </c>
      <c r="C2110" s="942" t="s">
        <v>249</v>
      </c>
      <c r="D2110" s="943"/>
      <c r="E2110" s="936"/>
      <c r="F2110" s="937"/>
      <c r="G2110" s="846"/>
      <c r="H2110" s="847"/>
      <c r="I2110" s="846"/>
      <c r="J2110" s="847"/>
      <c r="K2110" s="846"/>
      <c r="L2110" s="847"/>
      <c r="M2110" s="846"/>
      <c r="N2110" s="846"/>
      <c r="O2110" s="737">
        <f t="shared" si="263"/>
        <v>0</v>
      </c>
      <c r="P2110" s="847"/>
      <c r="Q2110" s="847"/>
      <c r="R2110" s="738">
        <f t="shared" si="266"/>
        <v>0</v>
      </c>
      <c r="S2110" s="737">
        <f t="shared" si="267"/>
        <v>0</v>
      </c>
      <c r="T2110" s="739">
        <f t="shared" si="268"/>
        <v>0</v>
      </c>
      <c r="U2110" s="846"/>
      <c r="V2110" s="847"/>
      <c r="W2110" s="846"/>
      <c r="X2110" s="846"/>
      <c r="Y2110" s="740">
        <f t="shared" si="264"/>
        <v>0</v>
      </c>
      <c r="Z2110" s="847"/>
      <c r="AA2110" s="847"/>
      <c r="AB2110" s="741">
        <f t="shared" si="265"/>
        <v>0</v>
      </c>
      <c r="AC2110" s="846"/>
      <c r="AD2110" s="847"/>
      <c r="AE2110" s="846"/>
      <c r="AF2110" s="846"/>
      <c r="AG2110" s="847"/>
      <c r="AH2110" s="847"/>
      <c r="AI2110" s="742">
        <f t="shared" si="269"/>
        <v>0</v>
      </c>
      <c r="AJ2110" s="743">
        <f t="shared" si="270"/>
        <v>0</v>
      </c>
    </row>
    <row r="2111" spans="1:36">
      <c r="A2111" s="1237" t="s">
        <v>154</v>
      </c>
      <c r="B2111" s="944" t="s">
        <v>205</v>
      </c>
      <c r="C2111" s="942" t="s">
        <v>523</v>
      </c>
      <c r="D2111" s="943"/>
      <c r="E2111" s="936"/>
      <c r="F2111" s="937"/>
      <c r="G2111" s="846"/>
      <c r="H2111" s="847"/>
      <c r="I2111" s="846"/>
      <c r="J2111" s="847"/>
      <c r="K2111" s="846"/>
      <c r="L2111" s="847"/>
      <c r="M2111" s="846"/>
      <c r="N2111" s="846"/>
      <c r="O2111" s="737">
        <f t="shared" si="263"/>
        <v>0</v>
      </c>
      <c r="P2111" s="847"/>
      <c r="Q2111" s="847"/>
      <c r="R2111" s="738">
        <f t="shared" si="266"/>
        <v>0</v>
      </c>
      <c r="S2111" s="737">
        <f t="shared" si="267"/>
        <v>0</v>
      </c>
      <c r="T2111" s="739">
        <f t="shared" si="268"/>
        <v>0</v>
      </c>
      <c r="U2111" s="846"/>
      <c r="V2111" s="847"/>
      <c r="W2111" s="846"/>
      <c r="X2111" s="846"/>
      <c r="Y2111" s="740">
        <f t="shared" si="264"/>
        <v>0</v>
      </c>
      <c r="Z2111" s="847"/>
      <c r="AA2111" s="847"/>
      <c r="AB2111" s="741">
        <f t="shared" si="265"/>
        <v>0</v>
      </c>
      <c r="AC2111" s="846"/>
      <c r="AD2111" s="847"/>
      <c r="AE2111" s="846"/>
      <c r="AF2111" s="846"/>
      <c r="AG2111" s="847"/>
      <c r="AH2111" s="847"/>
      <c r="AI2111" s="742">
        <f t="shared" si="269"/>
        <v>0</v>
      </c>
      <c r="AJ2111" s="743">
        <f t="shared" si="270"/>
        <v>0</v>
      </c>
    </row>
    <row r="2112" spans="1:36">
      <c r="A2112" s="1237" t="s">
        <v>154</v>
      </c>
      <c r="B2112" s="944" t="s">
        <v>218</v>
      </c>
      <c r="C2112" s="942" t="s">
        <v>311</v>
      </c>
      <c r="D2112" s="943"/>
      <c r="E2112" s="936"/>
      <c r="F2112" s="937"/>
      <c r="G2112" s="846"/>
      <c r="H2112" s="847"/>
      <c r="I2112" s="846"/>
      <c r="J2112" s="847"/>
      <c r="K2112" s="846"/>
      <c r="L2112" s="847"/>
      <c r="M2112" s="846"/>
      <c r="N2112" s="846"/>
      <c r="O2112" s="737">
        <f t="shared" si="263"/>
        <v>0</v>
      </c>
      <c r="P2112" s="847"/>
      <c r="Q2112" s="847"/>
      <c r="R2112" s="738">
        <f t="shared" si="266"/>
        <v>0</v>
      </c>
      <c r="S2112" s="737">
        <f t="shared" si="267"/>
        <v>0</v>
      </c>
      <c r="T2112" s="739">
        <f t="shared" si="268"/>
        <v>0</v>
      </c>
      <c r="U2112" s="846"/>
      <c r="V2112" s="847"/>
      <c r="W2112" s="846"/>
      <c r="X2112" s="846"/>
      <c r="Y2112" s="740">
        <f t="shared" si="264"/>
        <v>0</v>
      </c>
      <c r="Z2112" s="847"/>
      <c r="AA2112" s="847"/>
      <c r="AB2112" s="741">
        <f t="shared" si="265"/>
        <v>0</v>
      </c>
      <c r="AC2112" s="846"/>
      <c r="AD2112" s="847"/>
      <c r="AE2112" s="846"/>
      <c r="AF2112" s="846"/>
      <c r="AG2112" s="847"/>
      <c r="AH2112" s="847"/>
      <c r="AI2112" s="742">
        <f t="shared" si="269"/>
        <v>0</v>
      </c>
      <c r="AJ2112" s="743">
        <f t="shared" si="270"/>
        <v>0</v>
      </c>
    </row>
    <row r="2113" spans="1:36">
      <c r="A2113" s="1237" t="s">
        <v>154</v>
      </c>
      <c r="B2113" s="944" t="s">
        <v>251</v>
      </c>
      <c r="C2113" s="942" t="s">
        <v>249</v>
      </c>
      <c r="D2113" s="943"/>
      <c r="E2113" s="936"/>
      <c r="F2113" s="937"/>
      <c r="G2113" s="846"/>
      <c r="H2113" s="847"/>
      <c r="I2113" s="846"/>
      <c r="J2113" s="847"/>
      <c r="K2113" s="846"/>
      <c r="L2113" s="847"/>
      <c r="M2113" s="846"/>
      <c r="N2113" s="846"/>
      <c r="O2113" s="737">
        <f t="shared" si="263"/>
        <v>0</v>
      </c>
      <c r="P2113" s="847"/>
      <c r="Q2113" s="847"/>
      <c r="R2113" s="738">
        <f t="shared" si="266"/>
        <v>0</v>
      </c>
      <c r="S2113" s="737">
        <f t="shared" si="267"/>
        <v>0</v>
      </c>
      <c r="T2113" s="739">
        <f t="shared" si="268"/>
        <v>0</v>
      </c>
      <c r="U2113" s="846"/>
      <c r="V2113" s="847"/>
      <c r="W2113" s="846"/>
      <c r="X2113" s="846"/>
      <c r="Y2113" s="740">
        <f t="shared" si="264"/>
        <v>0</v>
      </c>
      <c r="Z2113" s="847"/>
      <c r="AA2113" s="847"/>
      <c r="AB2113" s="741">
        <f t="shared" si="265"/>
        <v>0</v>
      </c>
      <c r="AC2113" s="846"/>
      <c r="AD2113" s="847"/>
      <c r="AE2113" s="846"/>
      <c r="AF2113" s="846"/>
      <c r="AG2113" s="847"/>
      <c r="AH2113" s="847"/>
      <c r="AI2113" s="742">
        <f t="shared" si="269"/>
        <v>0</v>
      </c>
      <c r="AJ2113" s="743">
        <f t="shared" si="270"/>
        <v>0</v>
      </c>
    </row>
    <row r="2114" spans="1:36">
      <c r="A2114" s="1237" t="s">
        <v>154</v>
      </c>
      <c r="B2114" s="916" t="s">
        <v>292</v>
      </c>
      <c r="C2114" s="941" t="s">
        <v>1426</v>
      </c>
      <c r="D2114" s="917"/>
      <c r="E2114" s="918"/>
      <c r="F2114" s="919"/>
      <c r="G2114" s="846"/>
      <c r="H2114" s="847"/>
      <c r="I2114" s="846"/>
      <c r="J2114" s="847"/>
      <c r="K2114" s="846"/>
      <c r="L2114" s="847"/>
      <c r="M2114" s="846"/>
      <c r="N2114" s="846"/>
      <c r="O2114" s="737">
        <f t="shared" si="263"/>
        <v>0</v>
      </c>
      <c r="P2114" s="847"/>
      <c r="Q2114" s="847"/>
      <c r="R2114" s="738">
        <f t="shared" si="266"/>
        <v>0</v>
      </c>
      <c r="S2114" s="737">
        <f t="shared" si="267"/>
        <v>0</v>
      </c>
      <c r="T2114" s="739">
        <f t="shared" si="268"/>
        <v>0</v>
      </c>
      <c r="U2114" s="846">
        <v>37404</v>
      </c>
      <c r="V2114" s="847">
        <v>37404</v>
      </c>
      <c r="W2114" s="846"/>
      <c r="X2114" s="846"/>
      <c r="Y2114" s="740">
        <f t="shared" si="264"/>
        <v>0</v>
      </c>
      <c r="Z2114" s="847"/>
      <c r="AA2114" s="847"/>
      <c r="AB2114" s="741">
        <f t="shared" si="265"/>
        <v>0</v>
      </c>
      <c r="AC2114" s="846"/>
      <c r="AD2114" s="847"/>
      <c r="AE2114" s="846"/>
      <c r="AF2114" s="846"/>
      <c r="AG2114" s="847"/>
      <c r="AH2114" s="847"/>
      <c r="AI2114" s="742">
        <f t="shared" si="269"/>
        <v>37404</v>
      </c>
      <c r="AJ2114" s="743">
        <f t="shared" si="270"/>
        <v>37404</v>
      </c>
    </row>
    <row r="2115" spans="1:36">
      <c r="A2115" s="1237" t="s">
        <v>154</v>
      </c>
      <c r="B2115" s="944" t="s">
        <v>310</v>
      </c>
      <c r="C2115" s="942" t="s">
        <v>311</v>
      </c>
      <c r="D2115" s="943"/>
      <c r="E2115" s="936"/>
      <c r="F2115" s="937"/>
      <c r="G2115" s="846"/>
      <c r="H2115" s="847"/>
      <c r="I2115" s="846"/>
      <c r="J2115" s="847"/>
      <c r="K2115" s="846"/>
      <c r="L2115" s="847"/>
      <c r="M2115" s="846"/>
      <c r="N2115" s="846"/>
      <c r="O2115" s="737">
        <f t="shared" si="263"/>
        <v>0</v>
      </c>
      <c r="P2115" s="847"/>
      <c r="Q2115" s="847"/>
      <c r="R2115" s="738">
        <f t="shared" si="266"/>
        <v>0</v>
      </c>
      <c r="S2115" s="737">
        <f t="shared" si="267"/>
        <v>0</v>
      </c>
      <c r="T2115" s="739">
        <f t="shared" si="268"/>
        <v>0</v>
      </c>
      <c r="U2115" s="846"/>
      <c r="V2115" s="847"/>
      <c r="W2115" s="846"/>
      <c r="X2115" s="846"/>
      <c r="Y2115" s="740">
        <f t="shared" si="264"/>
        <v>0</v>
      </c>
      <c r="Z2115" s="847"/>
      <c r="AA2115" s="847"/>
      <c r="AB2115" s="741">
        <f t="shared" si="265"/>
        <v>0</v>
      </c>
      <c r="AC2115" s="846"/>
      <c r="AD2115" s="847"/>
      <c r="AE2115" s="846"/>
      <c r="AF2115" s="846"/>
      <c r="AG2115" s="847"/>
      <c r="AH2115" s="847"/>
      <c r="AI2115" s="742">
        <f t="shared" si="269"/>
        <v>0</v>
      </c>
      <c r="AJ2115" s="743">
        <f t="shared" si="270"/>
        <v>0</v>
      </c>
    </row>
    <row r="2116" spans="1:36">
      <c r="A2116" s="1237" t="s">
        <v>154</v>
      </c>
      <c r="B2116" s="944" t="s">
        <v>251</v>
      </c>
      <c r="C2116" s="942" t="s">
        <v>249</v>
      </c>
      <c r="D2116" s="943"/>
      <c r="E2116" s="936"/>
      <c r="F2116" s="937"/>
      <c r="G2116" s="846"/>
      <c r="H2116" s="847"/>
      <c r="I2116" s="846"/>
      <c r="J2116" s="847"/>
      <c r="K2116" s="846"/>
      <c r="L2116" s="847"/>
      <c r="M2116" s="846"/>
      <c r="N2116" s="846"/>
      <c r="O2116" s="737">
        <f t="shared" si="263"/>
        <v>0</v>
      </c>
      <c r="P2116" s="847"/>
      <c r="Q2116" s="847"/>
      <c r="R2116" s="738">
        <f t="shared" si="266"/>
        <v>0</v>
      </c>
      <c r="S2116" s="737">
        <f t="shared" si="267"/>
        <v>0</v>
      </c>
      <c r="T2116" s="739">
        <f t="shared" si="268"/>
        <v>0</v>
      </c>
      <c r="U2116" s="846"/>
      <c r="V2116" s="847"/>
      <c r="W2116" s="846"/>
      <c r="X2116" s="846"/>
      <c r="Y2116" s="740">
        <f t="shared" si="264"/>
        <v>0</v>
      </c>
      <c r="Z2116" s="847"/>
      <c r="AA2116" s="847"/>
      <c r="AB2116" s="741">
        <f t="shared" si="265"/>
        <v>0</v>
      </c>
      <c r="AC2116" s="846"/>
      <c r="AD2116" s="847"/>
      <c r="AE2116" s="846"/>
      <c r="AF2116" s="846"/>
      <c r="AG2116" s="847"/>
      <c r="AH2116" s="847"/>
      <c r="AI2116" s="742">
        <f t="shared" si="269"/>
        <v>0</v>
      </c>
      <c r="AJ2116" s="743">
        <f t="shared" si="270"/>
        <v>0</v>
      </c>
    </row>
    <row r="2117" spans="1:36">
      <c r="A2117" s="1237" t="s">
        <v>154</v>
      </c>
      <c r="B2117" s="944" t="s">
        <v>209</v>
      </c>
      <c r="C2117" s="942" t="s">
        <v>522</v>
      </c>
      <c r="D2117" s="943"/>
      <c r="E2117" s="936"/>
      <c r="F2117" s="937"/>
      <c r="G2117" s="846"/>
      <c r="H2117" s="847"/>
      <c r="I2117" s="846"/>
      <c r="J2117" s="847"/>
      <c r="K2117" s="846"/>
      <c r="L2117" s="847"/>
      <c r="M2117" s="846"/>
      <c r="N2117" s="846"/>
      <c r="O2117" s="737">
        <f t="shared" si="263"/>
        <v>0</v>
      </c>
      <c r="P2117" s="847"/>
      <c r="Q2117" s="847"/>
      <c r="R2117" s="738">
        <f t="shared" si="266"/>
        <v>0</v>
      </c>
      <c r="S2117" s="737">
        <f t="shared" si="267"/>
        <v>0</v>
      </c>
      <c r="T2117" s="739">
        <f t="shared" si="268"/>
        <v>0</v>
      </c>
      <c r="U2117" s="846"/>
      <c r="V2117" s="847"/>
      <c r="W2117" s="846"/>
      <c r="X2117" s="846"/>
      <c r="Y2117" s="740">
        <f t="shared" si="264"/>
        <v>0</v>
      </c>
      <c r="Z2117" s="847"/>
      <c r="AA2117" s="847"/>
      <c r="AB2117" s="741">
        <f t="shared" si="265"/>
        <v>0</v>
      </c>
      <c r="AC2117" s="846"/>
      <c r="AD2117" s="847"/>
      <c r="AE2117" s="846"/>
      <c r="AF2117" s="846"/>
      <c r="AG2117" s="847"/>
      <c r="AH2117" s="847"/>
      <c r="AI2117" s="742">
        <f t="shared" si="269"/>
        <v>0</v>
      </c>
      <c r="AJ2117" s="743">
        <f t="shared" si="270"/>
        <v>0</v>
      </c>
    </row>
    <row r="2118" spans="1:36">
      <c r="A2118" s="1237" t="s">
        <v>154</v>
      </c>
      <c r="B2118" s="944" t="s">
        <v>210</v>
      </c>
      <c r="C2118" s="942" t="s">
        <v>311</v>
      </c>
      <c r="D2118" s="943"/>
      <c r="E2118" s="936"/>
      <c r="F2118" s="937"/>
      <c r="G2118" s="846"/>
      <c r="H2118" s="847"/>
      <c r="I2118" s="846"/>
      <c r="J2118" s="847"/>
      <c r="K2118" s="846"/>
      <c r="L2118" s="847"/>
      <c r="M2118" s="846"/>
      <c r="N2118" s="846"/>
      <c r="O2118" s="737">
        <f t="shared" si="263"/>
        <v>0</v>
      </c>
      <c r="P2118" s="847"/>
      <c r="Q2118" s="847"/>
      <c r="R2118" s="738">
        <f t="shared" si="266"/>
        <v>0</v>
      </c>
      <c r="S2118" s="737">
        <f t="shared" si="267"/>
        <v>0</v>
      </c>
      <c r="T2118" s="739">
        <f t="shared" si="268"/>
        <v>0</v>
      </c>
      <c r="U2118" s="846"/>
      <c r="V2118" s="847"/>
      <c r="W2118" s="846"/>
      <c r="X2118" s="846"/>
      <c r="Y2118" s="740">
        <f t="shared" si="264"/>
        <v>0</v>
      </c>
      <c r="Z2118" s="847"/>
      <c r="AA2118" s="847"/>
      <c r="AB2118" s="741">
        <f t="shared" si="265"/>
        <v>0</v>
      </c>
      <c r="AC2118" s="846"/>
      <c r="AD2118" s="847"/>
      <c r="AE2118" s="846"/>
      <c r="AF2118" s="846"/>
      <c r="AG2118" s="847"/>
      <c r="AH2118" s="847"/>
      <c r="AI2118" s="742">
        <f t="shared" si="269"/>
        <v>0</v>
      </c>
      <c r="AJ2118" s="743">
        <f t="shared" si="270"/>
        <v>0</v>
      </c>
    </row>
    <row r="2119" spans="1:36">
      <c r="A2119" s="1237" t="s">
        <v>154</v>
      </c>
      <c r="B2119" s="944" t="s">
        <v>251</v>
      </c>
      <c r="C2119" s="942" t="s">
        <v>249</v>
      </c>
      <c r="D2119" s="943"/>
      <c r="E2119" s="936"/>
      <c r="F2119" s="937"/>
      <c r="G2119" s="846"/>
      <c r="H2119" s="847"/>
      <c r="I2119" s="846"/>
      <c r="J2119" s="847"/>
      <c r="K2119" s="846"/>
      <c r="L2119" s="847"/>
      <c r="M2119" s="846"/>
      <c r="N2119" s="846"/>
      <c r="O2119" s="737">
        <f t="shared" si="263"/>
        <v>0</v>
      </c>
      <c r="P2119" s="847"/>
      <c r="Q2119" s="847"/>
      <c r="R2119" s="738">
        <f t="shared" si="266"/>
        <v>0</v>
      </c>
      <c r="S2119" s="737">
        <f t="shared" si="267"/>
        <v>0</v>
      </c>
      <c r="T2119" s="739">
        <f t="shared" si="268"/>
        <v>0</v>
      </c>
      <c r="U2119" s="846"/>
      <c r="V2119" s="847"/>
      <c r="W2119" s="846"/>
      <c r="X2119" s="846"/>
      <c r="Y2119" s="740">
        <f t="shared" si="264"/>
        <v>0</v>
      </c>
      <c r="Z2119" s="847"/>
      <c r="AA2119" s="847"/>
      <c r="AB2119" s="741">
        <f t="shared" si="265"/>
        <v>0</v>
      </c>
      <c r="AC2119" s="846"/>
      <c r="AD2119" s="847"/>
      <c r="AE2119" s="846"/>
      <c r="AF2119" s="846"/>
      <c r="AG2119" s="847"/>
      <c r="AH2119" s="847"/>
      <c r="AI2119" s="742">
        <f t="shared" si="269"/>
        <v>0</v>
      </c>
      <c r="AJ2119" s="743">
        <f t="shared" si="270"/>
        <v>0</v>
      </c>
    </row>
    <row r="2120" spans="1:36">
      <c r="A2120" s="1237" t="s">
        <v>154</v>
      </c>
      <c r="B2120" s="944" t="s">
        <v>205</v>
      </c>
      <c r="C2120" s="942" t="s">
        <v>523</v>
      </c>
      <c r="D2120" s="943"/>
      <c r="E2120" s="936"/>
      <c r="F2120" s="937"/>
      <c r="G2120" s="846"/>
      <c r="H2120" s="847"/>
      <c r="I2120" s="846"/>
      <c r="J2120" s="847"/>
      <c r="K2120" s="846"/>
      <c r="L2120" s="847"/>
      <c r="M2120" s="846"/>
      <c r="N2120" s="846"/>
      <c r="O2120" s="737">
        <f t="shared" si="263"/>
        <v>0</v>
      </c>
      <c r="P2120" s="847"/>
      <c r="Q2120" s="847"/>
      <c r="R2120" s="738">
        <f t="shared" si="266"/>
        <v>0</v>
      </c>
      <c r="S2120" s="737">
        <f t="shared" si="267"/>
        <v>0</v>
      </c>
      <c r="T2120" s="739">
        <f t="shared" si="268"/>
        <v>0</v>
      </c>
      <c r="U2120" s="846"/>
      <c r="V2120" s="847"/>
      <c r="W2120" s="846"/>
      <c r="X2120" s="846"/>
      <c r="Y2120" s="740">
        <f t="shared" si="264"/>
        <v>0</v>
      </c>
      <c r="Z2120" s="847"/>
      <c r="AA2120" s="847"/>
      <c r="AB2120" s="741">
        <f t="shared" si="265"/>
        <v>0</v>
      </c>
      <c r="AC2120" s="846"/>
      <c r="AD2120" s="847"/>
      <c r="AE2120" s="846"/>
      <c r="AF2120" s="846"/>
      <c r="AG2120" s="847"/>
      <c r="AH2120" s="847"/>
      <c r="AI2120" s="742">
        <f t="shared" si="269"/>
        <v>0</v>
      </c>
      <c r="AJ2120" s="743">
        <f t="shared" si="270"/>
        <v>0</v>
      </c>
    </row>
    <row r="2121" spans="1:36">
      <c r="A2121" s="1237" t="s">
        <v>154</v>
      </c>
      <c r="B2121" s="944" t="s">
        <v>218</v>
      </c>
      <c r="C2121" s="942" t="s">
        <v>311</v>
      </c>
      <c r="D2121" s="943"/>
      <c r="E2121" s="936"/>
      <c r="F2121" s="937"/>
      <c r="G2121" s="846"/>
      <c r="H2121" s="847"/>
      <c r="I2121" s="846"/>
      <c r="J2121" s="847"/>
      <c r="K2121" s="846"/>
      <c r="L2121" s="847"/>
      <c r="M2121" s="846"/>
      <c r="N2121" s="846"/>
      <c r="O2121" s="737">
        <f t="shared" si="263"/>
        <v>0</v>
      </c>
      <c r="P2121" s="847"/>
      <c r="Q2121" s="847"/>
      <c r="R2121" s="738">
        <f t="shared" si="266"/>
        <v>0</v>
      </c>
      <c r="S2121" s="737">
        <f t="shared" si="267"/>
        <v>0</v>
      </c>
      <c r="T2121" s="739">
        <f t="shared" si="268"/>
        <v>0</v>
      </c>
      <c r="U2121" s="846"/>
      <c r="V2121" s="847"/>
      <c r="W2121" s="846"/>
      <c r="X2121" s="846"/>
      <c r="Y2121" s="740">
        <f t="shared" si="264"/>
        <v>0</v>
      </c>
      <c r="Z2121" s="847"/>
      <c r="AA2121" s="847"/>
      <c r="AB2121" s="741">
        <f t="shared" si="265"/>
        <v>0</v>
      </c>
      <c r="AC2121" s="846"/>
      <c r="AD2121" s="847"/>
      <c r="AE2121" s="846"/>
      <c r="AF2121" s="846"/>
      <c r="AG2121" s="847"/>
      <c r="AH2121" s="847"/>
      <c r="AI2121" s="742">
        <f t="shared" si="269"/>
        <v>0</v>
      </c>
      <c r="AJ2121" s="743">
        <f t="shared" si="270"/>
        <v>0</v>
      </c>
    </row>
    <row r="2122" spans="1:36">
      <c r="A2122" s="1237" t="s">
        <v>154</v>
      </c>
      <c r="B2122" s="944" t="s">
        <v>251</v>
      </c>
      <c r="C2122" s="942" t="s">
        <v>249</v>
      </c>
      <c r="D2122" s="943"/>
      <c r="E2122" s="936"/>
      <c r="F2122" s="937"/>
      <c r="G2122" s="846"/>
      <c r="H2122" s="847"/>
      <c r="I2122" s="846"/>
      <c r="J2122" s="847"/>
      <c r="K2122" s="846"/>
      <c r="L2122" s="847"/>
      <c r="M2122" s="846"/>
      <c r="N2122" s="846"/>
      <c r="O2122" s="737">
        <f t="shared" ref="O2122:O2185" si="271">SUM(M2122:N2122)</f>
        <v>0</v>
      </c>
      <c r="P2122" s="847"/>
      <c r="Q2122" s="847"/>
      <c r="R2122" s="738">
        <f t="shared" si="266"/>
        <v>0</v>
      </c>
      <c r="S2122" s="737">
        <f t="shared" si="267"/>
        <v>0</v>
      </c>
      <c r="T2122" s="739">
        <f t="shared" si="268"/>
        <v>0</v>
      </c>
      <c r="U2122" s="846"/>
      <c r="V2122" s="847"/>
      <c r="W2122" s="846"/>
      <c r="X2122" s="846"/>
      <c r="Y2122" s="740">
        <f t="shared" ref="Y2122:Y2185" si="272">SUM(W2122:X2122)</f>
        <v>0</v>
      </c>
      <c r="Z2122" s="847"/>
      <c r="AA2122" s="847"/>
      <c r="AB2122" s="741">
        <f t="shared" ref="AB2122:AB2185" si="273">SUM(Z2122:AA2122)</f>
        <v>0</v>
      </c>
      <c r="AC2122" s="846"/>
      <c r="AD2122" s="847"/>
      <c r="AE2122" s="846"/>
      <c r="AF2122" s="846"/>
      <c r="AG2122" s="847"/>
      <c r="AH2122" s="847"/>
      <c r="AI2122" s="742">
        <f t="shared" si="269"/>
        <v>0</v>
      </c>
      <c r="AJ2122" s="743">
        <f t="shared" si="270"/>
        <v>0</v>
      </c>
    </row>
    <row r="2123" spans="1:36">
      <c r="A2123" s="1237" t="s">
        <v>154</v>
      </c>
      <c r="B2123" s="916" t="s">
        <v>292</v>
      </c>
      <c r="C2123" s="941" t="s">
        <v>1427</v>
      </c>
      <c r="D2123" s="917"/>
      <c r="E2123" s="918"/>
      <c r="F2123" s="919"/>
      <c r="G2123" s="846"/>
      <c r="H2123" s="847"/>
      <c r="I2123" s="846"/>
      <c r="J2123" s="847"/>
      <c r="K2123" s="846"/>
      <c r="L2123" s="847"/>
      <c r="M2123" s="846"/>
      <c r="N2123" s="846"/>
      <c r="O2123" s="737">
        <f t="shared" si="271"/>
        <v>0</v>
      </c>
      <c r="P2123" s="847"/>
      <c r="Q2123" s="847"/>
      <c r="R2123" s="738">
        <f t="shared" ref="R2123:R2186" si="274">SUM(P2123:Q2123)</f>
        <v>0</v>
      </c>
      <c r="S2123" s="737">
        <f t="shared" ref="S2123:S2186" si="275">SUM(G2123,I2123,K2123,M2123)</f>
        <v>0</v>
      </c>
      <c r="T2123" s="739">
        <f t="shared" ref="T2123:T2186" si="276">SUM(H2123,J2123,L2123,P2123)</f>
        <v>0</v>
      </c>
      <c r="U2123" s="846">
        <v>93510</v>
      </c>
      <c r="V2123" s="847">
        <v>93510</v>
      </c>
      <c r="W2123" s="846"/>
      <c r="X2123" s="846"/>
      <c r="Y2123" s="740">
        <f t="shared" si="272"/>
        <v>0</v>
      </c>
      <c r="Z2123" s="847"/>
      <c r="AA2123" s="847"/>
      <c r="AB2123" s="741">
        <f t="shared" si="273"/>
        <v>0</v>
      </c>
      <c r="AC2123" s="846"/>
      <c r="AD2123" s="847"/>
      <c r="AE2123" s="846"/>
      <c r="AF2123" s="846"/>
      <c r="AG2123" s="847"/>
      <c r="AH2123" s="847"/>
      <c r="AI2123" s="742">
        <f t="shared" ref="AI2123:AI2186" si="277">SUM(S2123,U2123,W2123,AC2123,AE2123)</f>
        <v>93510</v>
      </c>
      <c r="AJ2123" s="743">
        <f t="shared" ref="AJ2123:AJ2186" si="278">SUM(T2123,V2123,Z2123,AD2123,AG2123)</f>
        <v>93510</v>
      </c>
    </row>
    <row r="2124" spans="1:36">
      <c r="A2124" s="1237" t="s">
        <v>154</v>
      </c>
      <c r="B2124" s="944" t="s">
        <v>310</v>
      </c>
      <c r="C2124" s="942" t="s">
        <v>311</v>
      </c>
      <c r="D2124" s="943"/>
      <c r="E2124" s="936"/>
      <c r="F2124" s="937"/>
      <c r="G2124" s="846"/>
      <c r="H2124" s="847"/>
      <c r="I2124" s="846"/>
      <c r="J2124" s="847"/>
      <c r="K2124" s="846"/>
      <c r="L2124" s="847"/>
      <c r="M2124" s="846"/>
      <c r="N2124" s="846"/>
      <c r="O2124" s="737">
        <f t="shared" si="271"/>
        <v>0</v>
      </c>
      <c r="P2124" s="847"/>
      <c r="Q2124" s="847"/>
      <c r="R2124" s="738">
        <f t="shared" si="274"/>
        <v>0</v>
      </c>
      <c r="S2124" s="737">
        <f t="shared" si="275"/>
        <v>0</v>
      </c>
      <c r="T2124" s="739">
        <f t="shared" si="276"/>
        <v>0</v>
      </c>
      <c r="U2124" s="846"/>
      <c r="V2124" s="847"/>
      <c r="W2124" s="846"/>
      <c r="X2124" s="846"/>
      <c r="Y2124" s="740">
        <f t="shared" si="272"/>
        <v>0</v>
      </c>
      <c r="Z2124" s="847"/>
      <c r="AA2124" s="847"/>
      <c r="AB2124" s="741">
        <f t="shared" si="273"/>
        <v>0</v>
      </c>
      <c r="AC2124" s="846"/>
      <c r="AD2124" s="847"/>
      <c r="AE2124" s="846"/>
      <c r="AF2124" s="846"/>
      <c r="AG2124" s="847"/>
      <c r="AH2124" s="847"/>
      <c r="AI2124" s="742">
        <f t="shared" si="277"/>
        <v>0</v>
      </c>
      <c r="AJ2124" s="743">
        <f t="shared" si="278"/>
        <v>0</v>
      </c>
    </row>
    <row r="2125" spans="1:36">
      <c r="A2125" s="1237" t="s">
        <v>154</v>
      </c>
      <c r="B2125" s="944" t="s">
        <v>251</v>
      </c>
      <c r="C2125" s="942" t="s">
        <v>249</v>
      </c>
      <c r="D2125" s="943"/>
      <c r="E2125" s="936"/>
      <c r="F2125" s="937"/>
      <c r="G2125" s="846"/>
      <c r="H2125" s="847"/>
      <c r="I2125" s="846"/>
      <c r="J2125" s="847"/>
      <c r="K2125" s="846"/>
      <c r="L2125" s="847"/>
      <c r="M2125" s="846"/>
      <c r="N2125" s="846"/>
      <c r="O2125" s="737">
        <f t="shared" si="271"/>
        <v>0</v>
      </c>
      <c r="P2125" s="847"/>
      <c r="Q2125" s="847"/>
      <c r="R2125" s="738">
        <f t="shared" si="274"/>
        <v>0</v>
      </c>
      <c r="S2125" s="737">
        <f t="shared" si="275"/>
        <v>0</v>
      </c>
      <c r="T2125" s="739">
        <f t="shared" si="276"/>
        <v>0</v>
      </c>
      <c r="U2125" s="846"/>
      <c r="V2125" s="847"/>
      <c r="W2125" s="846"/>
      <c r="X2125" s="846"/>
      <c r="Y2125" s="740">
        <f t="shared" si="272"/>
        <v>0</v>
      </c>
      <c r="Z2125" s="847"/>
      <c r="AA2125" s="847"/>
      <c r="AB2125" s="741">
        <f t="shared" si="273"/>
        <v>0</v>
      </c>
      <c r="AC2125" s="846"/>
      <c r="AD2125" s="847"/>
      <c r="AE2125" s="846"/>
      <c r="AF2125" s="846"/>
      <c r="AG2125" s="847"/>
      <c r="AH2125" s="847"/>
      <c r="AI2125" s="742">
        <f t="shared" si="277"/>
        <v>0</v>
      </c>
      <c r="AJ2125" s="743">
        <f t="shared" si="278"/>
        <v>0</v>
      </c>
    </row>
    <row r="2126" spans="1:36">
      <c r="A2126" s="1237" t="s">
        <v>154</v>
      </c>
      <c r="B2126" s="944" t="s">
        <v>209</v>
      </c>
      <c r="C2126" s="942" t="s">
        <v>522</v>
      </c>
      <c r="D2126" s="943"/>
      <c r="E2126" s="936"/>
      <c r="F2126" s="937"/>
      <c r="G2126" s="846"/>
      <c r="H2126" s="847"/>
      <c r="I2126" s="846"/>
      <c r="J2126" s="847"/>
      <c r="K2126" s="846"/>
      <c r="L2126" s="847"/>
      <c r="M2126" s="846"/>
      <c r="N2126" s="846"/>
      <c r="O2126" s="737">
        <f t="shared" si="271"/>
        <v>0</v>
      </c>
      <c r="P2126" s="847"/>
      <c r="Q2126" s="847"/>
      <c r="R2126" s="738">
        <f t="shared" si="274"/>
        <v>0</v>
      </c>
      <c r="S2126" s="737">
        <f t="shared" si="275"/>
        <v>0</v>
      </c>
      <c r="T2126" s="739">
        <f t="shared" si="276"/>
        <v>0</v>
      </c>
      <c r="U2126" s="846"/>
      <c r="V2126" s="847"/>
      <c r="W2126" s="846"/>
      <c r="X2126" s="846"/>
      <c r="Y2126" s="740">
        <f t="shared" si="272"/>
        <v>0</v>
      </c>
      <c r="Z2126" s="847"/>
      <c r="AA2126" s="847"/>
      <c r="AB2126" s="741">
        <f t="shared" si="273"/>
        <v>0</v>
      </c>
      <c r="AC2126" s="846"/>
      <c r="AD2126" s="847"/>
      <c r="AE2126" s="846"/>
      <c r="AF2126" s="846"/>
      <c r="AG2126" s="847"/>
      <c r="AH2126" s="847"/>
      <c r="AI2126" s="742">
        <f t="shared" si="277"/>
        <v>0</v>
      </c>
      <c r="AJ2126" s="743">
        <f t="shared" si="278"/>
        <v>0</v>
      </c>
    </row>
    <row r="2127" spans="1:36">
      <c r="A2127" s="1237" t="s">
        <v>154</v>
      </c>
      <c r="B2127" s="944" t="s">
        <v>210</v>
      </c>
      <c r="C2127" s="942" t="s">
        <v>311</v>
      </c>
      <c r="D2127" s="943"/>
      <c r="E2127" s="936"/>
      <c r="F2127" s="937"/>
      <c r="G2127" s="846"/>
      <c r="H2127" s="847"/>
      <c r="I2127" s="846"/>
      <c r="J2127" s="847"/>
      <c r="K2127" s="846"/>
      <c r="L2127" s="847"/>
      <c r="M2127" s="846"/>
      <c r="N2127" s="846"/>
      <c r="O2127" s="737">
        <f t="shared" si="271"/>
        <v>0</v>
      </c>
      <c r="P2127" s="847"/>
      <c r="Q2127" s="847"/>
      <c r="R2127" s="738">
        <f t="shared" si="274"/>
        <v>0</v>
      </c>
      <c r="S2127" s="737">
        <f t="shared" si="275"/>
        <v>0</v>
      </c>
      <c r="T2127" s="739">
        <f t="shared" si="276"/>
        <v>0</v>
      </c>
      <c r="U2127" s="846"/>
      <c r="V2127" s="847"/>
      <c r="W2127" s="846"/>
      <c r="X2127" s="846"/>
      <c r="Y2127" s="740">
        <f t="shared" si="272"/>
        <v>0</v>
      </c>
      <c r="Z2127" s="847"/>
      <c r="AA2127" s="847"/>
      <c r="AB2127" s="741">
        <f t="shared" si="273"/>
        <v>0</v>
      </c>
      <c r="AC2127" s="846"/>
      <c r="AD2127" s="847"/>
      <c r="AE2127" s="846"/>
      <c r="AF2127" s="846"/>
      <c r="AG2127" s="847"/>
      <c r="AH2127" s="847"/>
      <c r="AI2127" s="742">
        <f t="shared" si="277"/>
        <v>0</v>
      </c>
      <c r="AJ2127" s="743">
        <f t="shared" si="278"/>
        <v>0</v>
      </c>
    </row>
    <row r="2128" spans="1:36">
      <c r="A2128" s="1237" t="s">
        <v>154</v>
      </c>
      <c r="B2128" s="944" t="s">
        <v>251</v>
      </c>
      <c r="C2128" s="942" t="s">
        <v>249</v>
      </c>
      <c r="D2128" s="943"/>
      <c r="E2128" s="936"/>
      <c r="F2128" s="937"/>
      <c r="G2128" s="846"/>
      <c r="H2128" s="847"/>
      <c r="I2128" s="846"/>
      <c r="J2128" s="847"/>
      <c r="K2128" s="846"/>
      <c r="L2128" s="847"/>
      <c r="M2128" s="846"/>
      <c r="N2128" s="846"/>
      <c r="O2128" s="737">
        <f t="shared" si="271"/>
        <v>0</v>
      </c>
      <c r="P2128" s="847"/>
      <c r="Q2128" s="847"/>
      <c r="R2128" s="738">
        <f t="shared" si="274"/>
        <v>0</v>
      </c>
      <c r="S2128" s="737">
        <f t="shared" si="275"/>
        <v>0</v>
      </c>
      <c r="T2128" s="739">
        <f t="shared" si="276"/>
        <v>0</v>
      </c>
      <c r="U2128" s="846"/>
      <c r="V2128" s="847"/>
      <c r="W2128" s="846"/>
      <c r="X2128" s="846"/>
      <c r="Y2128" s="740">
        <f t="shared" si="272"/>
        <v>0</v>
      </c>
      <c r="Z2128" s="847"/>
      <c r="AA2128" s="847"/>
      <c r="AB2128" s="741">
        <f t="shared" si="273"/>
        <v>0</v>
      </c>
      <c r="AC2128" s="846"/>
      <c r="AD2128" s="847"/>
      <c r="AE2128" s="846"/>
      <c r="AF2128" s="846"/>
      <c r="AG2128" s="847"/>
      <c r="AH2128" s="847"/>
      <c r="AI2128" s="742">
        <f t="shared" si="277"/>
        <v>0</v>
      </c>
      <c r="AJ2128" s="743">
        <f t="shared" si="278"/>
        <v>0</v>
      </c>
    </row>
    <row r="2129" spans="1:36">
      <c r="A2129" s="1237" t="s">
        <v>154</v>
      </c>
      <c r="B2129" s="944" t="s">
        <v>205</v>
      </c>
      <c r="C2129" s="942" t="s">
        <v>523</v>
      </c>
      <c r="D2129" s="943"/>
      <c r="E2129" s="936"/>
      <c r="F2129" s="937"/>
      <c r="G2129" s="846"/>
      <c r="H2129" s="847"/>
      <c r="I2129" s="846"/>
      <c r="J2129" s="847"/>
      <c r="K2129" s="846"/>
      <c r="L2129" s="847"/>
      <c r="M2129" s="846"/>
      <c r="N2129" s="846"/>
      <c r="O2129" s="737">
        <f t="shared" si="271"/>
        <v>0</v>
      </c>
      <c r="P2129" s="847"/>
      <c r="Q2129" s="847"/>
      <c r="R2129" s="738">
        <f t="shared" si="274"/>
        <v>0</v>
      </c>
      <c r="S2129" s="737">
        <f t="shared" si="275"/>
        <v>0</v>
      </c>
      <c r="T2129" s="739">
        <f t="shared" si="276"/>
        <v>0</v>
      </c>
      <c r="U2129" s="846"/>
      <c r="V2129" s="847"/>
      <c r="W2129" s="846"/>
      <c r="X2129" s="846"/>
      <c r="Y2129" s="740">
        <f t="shared" si="272"/>
        <v>0</v>
      </c>
      <c r="Z2129" s="847"/>
      <c r="AA2129" s="847"/>
      <c r="AB2129" s="741">
        <f t="shared" si="273"/>
        <v>0</v>
      </c>
      <c r="AC2129" s="846"/>
      <c r="AD2129" s="847"/>
      <c r="AE2129" s="846"/>
      <c r="AF2129" s="846"/>
      <c r="AG2129" s="847"/>
      <c r="AH2129" s="847"/>
      <c r="AI2129" s="742">
        <f t="shared" si="277"/>
        <v>0</v>
      </c>
      <c r="AJ2129" s="743">
        <f t="shared" si="278"/>
        <v>0</v>
      </c>
    </row>
    <row r="2130" spans="1:36">
      <c r="A2130" s="1237" t="s">
        <v>154</v>
      </c>
      <c r="B2130" s="944" t="s">
        <v>218</v>
      </c>
      <c r="C2130" s="942" t="s">
        <v>311</v>
      </c>
      <c r="D2130" s="943"/>
      <c r="E2130" s="936"/>
      <c r="F2130" s="937"/>
      <c r="G2130" s="846"/>
      <c r="H2130" s="847"/>
      <c r="I2130" s="846"/>
      <c r="J2130" s="847"/>
      <c r="K2130" s="846"/>
      <c r="L2130" s="847"/>
      <c r="M2130" s="846"/>
      <c r="N2130" s="846"/>
      <c r="O2130" s="737">
        <f t="shared" si="271"/>
        <v>0</v>
      </c>
      <c r="P2130" s="847"/>
      <c r="Q2130" s="847"/>
      <c r="R2130" s="738">
        <f t="shared" si="274"/>
        <v>0</v>
      </c>
      <c r="S2130" s="737">
        <f t="shared" si="275"/>
        <v>0</v>
      </c>
      <c r="T2130" s="739">
        <f t="shared" si="276"/>
        <v>0</v>
      </c>
      <c r="U2130" s="846"/>
      <c r="V2130" s="847"/>
      <c r="W2130" s="846"/>
      <c r="X2130" s="846"/>
      <c r="Y2130" s="740">
        <f t="shared" si="272"/>
        <v>0</v>
      </c>
      <c r="Z2130" s="847"/>
      <c r="AA2130" s="847"/>
      <c r="AB2130" s="741">
        <f t="shared" si="273"/>
        <v>0</v>
      </c>
      <c r="AC2130" s="846"/>
      <c r="AD2130" s="847"/>
      <c r="AE2130" s="846"/>
      <c r="AF2130" s="846"/>
      <c r="AG2130" s="847"/>
      <c r="AH2130" s="847"/>
      <c r="AI2130" s="742">
        <f t="shared" si="277"/>
        <v>0</v>
      </c>
      <c r="AJ2130" s="743">
        <f t="shared" si="278"/>
        <v>0</v>
      </c>
    </row>
    <row r="2131" spans="1:36">
      <c r="A2131" s="1237" t="s">
        <v>154</v>
      </c>
      <c r="B2131" s="944" t="s">
        <v>251</v>
      </c>
      <c r="C2131" s="942" t="s">
        <v>249</v>
      </c>
      <c r="D2131" s="943"/>
      <c r="E2131" s="936"/>
      <c r="F2131" s="937"/>
      <c r="G2131" s="846"/>
      <c r="H2131" s="847"/>
      <c r="I2131" s="846"/>
      <c r="J2131" s="847"/>
      <c r="K2131" s="846"/>
      <c r="L2131" s="847"/>
      <c r="M2131" s="846"/>
      <c r="N2131" s="846"/>
      <c r="O2131" s="737">
        <f t="shared" si="271"/>
        <v>0</v>
      </c>
      <c r="P2131" s="847"/>
      <c r="Q2131" s="847"/>
      <c r="R2131" s="738">
        <f t="shared" si="274"/>
        <v>0</v>
      </c>
      <c r="S2131" s="737">
        <f t="shared" si="275"/>
        <v>0</v>
      </c>
      <c r="T2131" s="739">
        <f t="shared" si="276"/>
        <v>0</v>
      </c>
      <c r="U2131" s="846"/>
      <c r="V2131" s="847"/>
      <c r="W2131" s="846"/>
      <c r="X2131" s="846"/>
      <c r="Y2131" s="740">
        <f t="shared" si="272"/>
        <v>0</v>
      </c>
      <c r="Z2131" s="847"/>
      <c r="AA2131" s="847"/>
      <c r="AB2131" s="741">
        <f t="shared" si="273"/>
        <v>0</v>
      </c>
      <c r="AC2131" s="846"/>
      <c r="AD2131" s="847"/>
      <c r="AE2131" s="846"/>
      <c r="AF2131" s="846"/>
      <c r="AG2131" s="847"/>
      <c r="AH2131" s="847"/>
      <c r="AI2131" s="742">
        <f t="shared" si="277"/>
        <v>0</v>
      </c>
      <c r="AJ2131" s="743">
        <f t="shared" si="278"/>
        <v>0</v>
      </c>
    </row>
    <row r="2132" spans="1:36">
      <c r="A2132" s="1237" t="s">
        <v>154</v>
      </c>
      <c r="B2132" s="916" t="s">
        <v>292</v>
      </c>
      <c r="C2132" s="941" t="s">
        <v>1428</v>
      </c>
      <c r="D2132" s="917"/>
      <c r="E2132" s="918"/>
      <c r="F2132" s="919"/>
      <c r="G2132" s="846"/>
      <c r="H2132" s="847"/>
      <c r="I2132" s="846"/>
      <c r="J2132" s="847"/>
      <c r="K2132" s="846"/>
      <c r="L2132" s="847"/>
      <c r="M2132" s="846"/>
      <c r="N2132" s="846"/>
      <c r="O2132" s="737">
        <f t="shared" si="271"/>
        <v>0</v>
      </c>
      <c r="P2132" s="847"/>
      <c r="Q2132" s="847"/>
      <c r="R2132" s="738">
        <f t="shared" si="274"/>
        <v>0</v>
      </c>
      <c r="S2132" s="737">
        <f t="shared" si="275"/>
        <v>0</v>
      </c>
      <c r="T2132" s="739">
        <f t="shared" si="276"/>
        <v>0</v>
      </c>
      <c r="U2132" s="846">
        <v>986068</v>
      </c>
      <c r="V2132" s="847">
        <v>986068</v>
      </c>
      <c r="W2132" s="846"/>
      <c r="X2132" s="846"/>
      <c r="Y2132" s="740">
        <f t="shared" si="272"/>
        <v>0</v>
      </c>
      <c r="Z2132" s="847"/>
      <c r="AA2132" s="847"/>
      <c r="AB2132" s="741">
        <f t="shared" si="273"/>
        <v>0</v>
      </c>
      <c r="AC2132" s="846"/>
      <c r="AD2132" s="847"/>
      <c r="AE2132" s="846"/>
      <c r="AF2132" s="846"/>
      <c r="AG2132" s="847"/>
      <c r="AH2132" s="847"/>
      <c r="AI2132" s="742">
        <f t="shared" si="277"/>
        <v>986068</v>
      </c>
      <c r="AJ2132" s="743">
        <f t="shared" si="278"/>
        <v>986068</v>
      </c>
    </row>
    <row r="2133" spans="1:36">
      <c r="A2133" s="1237" t="s">
        <v>154</v>
      </c>
      <c r="B2133" s="944" t="s">
        <v>310</v>
      </c>
      <c r="C2133" s="942" t="s">
        <v>311</v>
      </c>
      <c r="D2133" s="943"/>
      <c r="E2133" s="936"/>
      <c r="F2133" s="937"/>
      <c r="G2133" s="846"/>
      <c r="H2133" s="847"/>
      <c r="I2133" s="846"/>
      <c r="J2133" s="847"/>
      <c r="K2133" s="846"/>
      <c r="L2133" s="847"/>
      <c r="M2133" s="846"/>
      <c r="N2133" s="846"/>
      <c r="O2133" s="737">
        <f t="shared" si="271"/>
        <v>0</v>
      </c>
      <c r="P2133" s="847"/>
      <c r="Q2133" s="847"/>
      <c r="R2133" s="738">
        <f t="shared" si="274"/>
        <v>0</v>
      </c>
      <c r="S2133" s="737">
        <f t="shared" si="275"/>
        <v>0</v>
      </c>
      <c r="T2133" s="739">
        <f t="shared" si="276"/>
        <v>0</v>
      </c>
      <c r="U2133" s="846"/>
      <c r="V2133" s="847"/>
      <c r="W2133" s="846"/>
      <c r="X2133" s="846"/>
      <c r="Y2133" s="740">
        <f t="shared" si="272"/>
        <v>0</v>
      </c>
      <c r="Z2133" s="847"/>
      <c r="AA2133" s="847"/>
      <c r="AB2133" s="741">
        <f t="shared" si="273"/>
        <v>0</v>
      </c>
      <c r="AC2133" s="846"/>
      <c r="AD2133" s="847"/>
      <c r="AE2133" s="846"/>
      <c r="AF2133" s="846"/>
      <c r="AG2133" s="847"/>
      <c r="AH2133" s="847"/>
      <c r="AI2133" s="742">
        <f t="shared" si="277"/>
        <v>0</v>
      </c>
      <c r="AJ2133" s="743">
        <f t="shared" si="278"/>
        <v>0</v>
      </c>
    </row>
    <row r="2134" spans="1:36">
      <c r="A2134" s="1237" t="s">
        <v>154</v>
      </c>
      <c r="B2134" s="944" t="s">
        <v>251</v>
      </c>
      <c r="C2134" s="942" t="s">
        <v>249</v>
      </c>
      <c r="D2134" s="943"/>
      <c r="E2134" s="936"/>
      <c r="F2134" s="937"/>
      <c r="G2134" s="846"/>
      <c r="H2134" s="847"/>
      <c r="I2134" s="846"/>
      <c r="J2134" s="847"/>
      <c r="K2134" s="846"/>
      <c r="L2134" s="847"/>
      <c r="M2134" s="846"/>
      <c r="N2134" s="846"/>
      <c r="O2134" s="737">
        <f t="shared" si="271"/>
        <v>0</v>
      </c>
      <c r="P2134" s="847"/>
      <c r="Q2134" s="847"/>
      <c r="R2134" s="738">
        <f t="shared" si="274"/>
        <v>0</v>
      </c>
      <c r="S2134" s="737">
        <f t="shared" si="275"/>
        <v>0</v>
      </c>
      <c r="T2134" s="739">
        <f t="shared" si="276"/>
        <v>0</v>
      </c>
      <c r="U2134" s="846"/>
      <c r="V2134" s="847"/>
      <c r="W2134" s="846"/>
      <c r="X2134" s="846"/>
      <c r="Y2134" s="740">
        <f t="shared" si="272"/>
        <v>0</v>
      </c>
      <c r="Z2134" s="847"/>
      <c r="AA2134" s="847"/>
      <c r="AB2134" s="741">
        <f t="shared" si="273"/>
        <v>0</v>
      </c>
      <c r="AC2134" s="846"/>
      <c r="AD2134" s="847"/>
      <c r="AE2134" s="846"/>
      <c r="AF2134" s="846"/>
      <c r="AG2134" s="847"/>
      <c r="AH2134" s="847"/>
      <c r="AI2134" s="742">
        <f t="shared" si="277"/>
        <v>0</v>
      </c>
      <c r="AJ2134" s="743">
        <f t="shared" si="278"/>
        <v>0</v>
      </c>
    </row>
    <row r="2135" spans="1:36">
      <c r="A2135" s="1237" t="s">
        <v>154</v>
      </c>
      <c r="B2135" s="944" t="s">
        <v>209</v>
      </c>
      <c r="C2135" s="942" t="s">
        <v>522</v>
      </c>
      <c r="D2135" s="943"/>
      <c r="E2135" s="936"/>
      <c r="F2135" s="937"/>
      <c r="G2135" s="846"/>
      <c r="H2135" s="847"/>
      <c r="I2135" s="846"/>
      <c r="J2135" s="847"/>
      <c r="K2135" s="846"/>
      <c r="L2135" s="847"/>
      <c r="M2135" s="846"/>
      <c r="N2135" s="846"/>
      <c r="O2135" s="737">
        <f t="shared" si="271"/>
        <v>0</v>
      </c>
      <c r="P2135" s="847"/>
      <c r="Q2135" s="847"/>
      <c r="R2135" s="738">
        <f t="shared" si="274"/>
        <v>0</v>
      </c>
      <c r="S2135" s="737">
        <f t="shared" si="275"/>
        <v>0</v>
      </c>
      <c r="T2135" s="739">
        <f t="shared" si="276"/>
        <v>0</v>
      </c>
      <c r="U2135" s="846"/>
      <c r="V2135" s="847"/>
      <c r="W2135" s="846"/>
      <c r="X2135" s="846"/>
      <c r="Y2135" s="740">
        <f t="shared" si="272"/>
        <v>0</v>
      </c>
      <c r="Z2135" s="847"/>
      <c r="AA2135" s="847"/>
      <c r="AB2135" s="741">
        <f t="shared" si="273"/>
        <v>0</v>
      </c>
      <c r="AC2135" s="846"/>
      <c r="AD2135" s="847"/>
      <c r="AE2135" s="846"/>
      <c r="AF2135" s="846"/>
      <c r="AG2135" s="847"/>
      <c r="AH2135" s="847"/>
      <c r="AI2135" s="742">
        <f t="shared" si="277"/>
        <v>0</v>
      </c>
      <c r="AJ2135" s="743">
        <f t="shared" si="278"/>
        <v>0</v>
      </c>
    </row>
    <row r="2136" spans="1:36">
      <c r="A2136" s="1237" t="s">
        <v>154</v>
      </c>
      <c r="B2136" s="944" t="s">
        <v>210</v>
      </c>
      <c r="C2136" s="942" t="s">
        <v>311</v>
      </c>
      <c r="D2136" s="943"/>
      <c r="E2136" s="936"/>
      <c r="F2136" s="937"/>
      <c r="G2136" s="846"/>
      <c r="H2136" s="847"/>
      <c r="I2136" s="846"/>
      <c r="J2136" s="847"/>
      <c r="K2136" s="846"/>
      <c r="L2136" s="847"/>
      <c r="M2136" s="846"/>
      <c r="N2136" s="846"/>
      <c r="O2136" s="737">
        <f t="shared" si="271"/>
        <v>0</v>
      </c>
      <c r="P2136" s="847"/>
      <c r="Q2136" s="847"/>
      <c r="R2136" s="738">
        <f t="shared" si="274"/>
        <v>0</v>
      </c>
      <c r="S2136" s="737">
        <f t="shared" si="275"/>
        <v>0</v>
      </c>
      <c r="T2136" s="739">
        <f t="shared" si="276"/>
        <v>0</v>
      </c>
      <c r="U2136" s="846"/>
      <c r="V2136" s="847"/>
      <c r="W2136" s="846"/>
      <c r="X2136" s="846"/>
      <c r="Y2136" s="740">
        <f t="shared" si="272"/>
        <v>0</v>
      </c>
      <c r="Z2136" s="847"/>
      <c r="AA2136" s="847"/>
      <c r="AB2136" s="741">
        <f t="shared" si="273"/>
        <v>0</v>
      </c>
      <c r="AC2136" s="846"/>
      <c r="AD2136" s="847"/>
      <c r="AE2136" s="846"/>
      <c r="AF2136" s="846"/>
      <c r="AG2136" s="847"/>
      <c r="AH2136" s="847"/>
      <c r="AI2136" s="742">
        <f t="shared" si="277"/>
        <v>0</v>
      </c>
      <c r="AJ2136" s="743">
        <f t="shared" si="278"/>
        <v>0</v>
      </c>
    </row>
    <row r="2137" spans="1:36">
      <c r="A2137" s="1237" t="s">
        <v>154</v>
      </c>
      <c r="B2137" s="944" t="s">
        <v>251</v>
      </c>
      <c r="C2137" s="942" t="s">
        <v>249</v>
      </c>
      <c r="D2137" s="943"/>
      <c r="E2137" s="936"/>
      <c r="F2137" s="937"/>
      <c r="G2137" s="846"/>
      <c r="H2137" s="847"/>
      <c r="I2137" s="846"/>
      <c r="J2137" s="847"/>
      <c r="K2137" s="846"/>
      <c r="L2137" s="847"/>
      <c r="M2137" s="846"/>
      <c r="N2137" s="846"/>
      <c r="O2137" s="737">
        <f t="shared" si="271"/>
        <v>0</v>
      </c>
      <c r="P2137" s="847"/>
      <c r="Q2137" s="847"/>
      <c r="R2137" s="738">
        <f t="shared" si="274"/>
        <v>0</v>
      </c>
      <c r="S2137" s="737">
        <f t="shared" si="275"/>
        <v>0</v>
      </c>
      <c r="T2137" s="739">
        <f t="shared" si="276"/>
        <v>0</v>
      </c>
      <c r="U2137" s="846"/>
      <c r="V2137" s="847"/>
      <c r="W2137" s="846"/>
      <c r="X2137" s="846"/>
      <c r="Y2137" s="740">
        <f t="shared" si="272"/>
        <v>0</v>
      </c>
      <c r="Z2137" s="847"/>
      <c r="AA2137" s="847"/>
      <c r="AB2137" s="741">
        <f t="shared" si="273"/>
        <v>0</v>
      </c>
      <c r="AC2137" s="846"/>
      <c r="AD2137" s="847"/>
      <c r="AE2137" s="846"/>
      <c r="AF2137" s="846"/>
      <c r="AG2137" s="847"/>
      <c r="AH2137" s="847"/>
      <c r="AI2137" s="742">
        <f t="shared" si="277"/>
        <v>0</v>
      </c>
      <c r="AJ2137" s="743">
        <f t="shared" si="278"/>
        <v>0</v>
      </c>
    </row>
    <row r="2138" spans="1:36">
      <c r="A2138" s="1237" t="s">
        <v>154</v>
      </c>
      <c r="B2138" s="944" t="s">
        <v>205</v>
      </c>
      <c r="C2138" s="942" t="s">
        <v>523</v>
      </c>
      <c r="D2138" s="943"/>
      <c r="E2138" s="936"/>
      <c r="F2138" s="937"/>
      <c r="G2138" s="846"/>
      <c r="H2138" s="847"/>
      <c r="I2138" s="846"/>
      <c r="J2138" s="847"/>
      <c r="K2138" s="846"/>
      <c r="L2138" s="847"/>
      <c r="M2138" s="846"/>
      <c r="N2138" s="846"/>
      <c r="O2138" s="737">
        <f t="shared" si="271"/>
        <v>0</v>
      </c>
      <c r="P2138" s="847"/>
      <c r="Q2138" s="847"/>
      <c r="R2138" s="738">
        <f t="shared" si="274"/>
        <v>0</v>
      </c>
      <c r="S2138" s="737">
        <f t="shared" si="275"/>
        <v>0</v>
      </c>
      <c r="T2138" s="739">
        <f t="shared" si="276"/>
        <v>0</v>
      </c>
      <c r="U2138" s="846"/>
      <c r="V2138" s="847"/>
      <c r="W2138" s="846"/>
      <c r="X2138" s="846"/>
      <c r="Y2138" s="740">
        <f t="shared" si="272"/>
        <v>0</v>
      </c>
      <c r="Z2138" s="847"/>
      <c r="AA2138" s="847"/>
      <c r="AB2138" s="741">
        <f t="shared" si="273"/>
        <v>0</v>
      </c>
      <c r="AC2138" s="846"/>
      <c r="AD2138" s="847"/>
      <c r="AE2138" s="846"/>
      <c r="AF2138" s="846"/>
      <c r="AG2138" s="847"/>
      <c r="AH2138" s="847"/>
      <c r="AI2138" s="742">
        <f t="shared" si="277"/>
        <v>0</v>
      </c>
      <c r="AJ2138" s="743">
        <f t="shared" si="278"/>
        <v>0</v>
      </c>
    </row>
    <row r="2139" spans="1:36">
      <c r="A2139" s="1237" t="s">
        <v>154</v>
      </c>
      <c r="B2139" s="944" t="s">
        <v>218</v>
      </c>
      <c r="C2139" s="942" t="s">
        <v>311</v>
      </c>
      <c r="D2139" s="943"/>
      <c r="E2139" s="936"/>
      <c r="F2139" s="937"/>
      <c r="G2139" s="846"/>
      <c r="H2139" s="847"/>
      <c r="I2139" s="846"/>
      <c r="J2139" s="847"/>
      <c r="K2139" s="846"/>
      <c r="L2139" s="847"/>
      <c r="M2139" s="846"/>
      <c r="N2139" s="846"/>
      <c r="O2139" s="737">
        <f t="shared" si="271"/>
        <v>0</v>
      </c>
      <c r="P2139" s="847"/>
      <c r="Q2139" s="847"/>
      <c r="R2139" s="738">
        <f t="shared" si="274"/>
        <v>0</v>
      </c>
      <c r="S2139" s="737">
        <f t="shared" si="275"/>
        <v>0</v>
      </c>
      <c r="T2139" s="739">
        <f t="shared" si="276"/>
        <v>0</v>
      </c>
      <c r="U2139" s="846"/>
      <c r="V2139" s="847"/>
      <c r="W2139" s="846"/>
      <c r="X2139" s="846"/>
      <c r="Y2139" s="740">
        <f t="shared" si="272"/>
        <v>0</v>
      </c>
      <c r="Z2139" s="847"/>
      <c r="AA2139" s="847"/>
      <c r="AB2139" s="741">
        <f t="shared" si="273"/>
        <v>0</v>
      </c>
      <c r="AC2139" s="846"/>
      <c r="AD2139" s="847"/>
      <c r="AE2139" s="846"/>
      <c r="AF2139" s="846"/>
      <c r="AG2139" s="847"/>
      <c r="AH2139" s="847"/>
      <c r="AI2139" s="742">
        <f t="shared" si="277"/>
        <v>0</v>
      </c>
      <c r="AJ2139" s="743">
        <f t="shared" si="278"/>
        <v>0</v>
      </c>
    </row>
    <row r="2140" spans="1:36">
      <c r="A2140" s="1237" t="s">
        <v>154</v>
      </c>
      <c r="B2140" s="944" t="s">
        <v>251</v>
      </c>
      <c r="C2140" s="942" t="s">
        <v>249</v>
      </c>
      <c r="D2140" s="943"/>
      <c r="E2140" s="936"/>
      <c r="F2140" s="937"/>
      <c r="G2140" s="846"/>
      <c r="H2140" s="847"/>
      <c r="I2140" s="846"/>
      <c r="J2140" s="847"/>
      <c r="K2140" s="846"/>
      <c r="L2140" s="847"/>
      <c r="M2140" s="846"/>
      <c r="N2140" s="846"/>
      <c r="O2140" s="737">
        <f t="shared" si="271"/>
        <v>0</v>
      </c>
      <c r="P2140" s="847"/>
      <c r="Q2140" s="847"/>
      <c r="R2140" s="738">
        <f t="shared" si="274"/>
        <v>0</v>
      </c>
      <c r="S2140" s="737">
        <f t="shared" si="275"/>
        <v>0</v>
      </c>
      <c r="T2140" s="739">
        <f t="shared" si="276"/>
        <v>0</v>
      </c>
      <c r="U2140" s="846"/>
      <c r="V2140" s="847"/>
      <c r="W2140" s="846"/>
      <c r="X2140" s="846"/>
      <c r="Y2140" s="740">
        <f t="shared" si="272"/>
        <v>0</v>
      </c>
      <c r="Z2140" s="847"/>
      <c r="AA2140" s="847"/>
      <c r="AB2140" s="741">
        <f t="shared" si="273"/>
        <v>0</v>
      </c>
      <c r="AC2140" s="846"/>
      <c r="AD2140" s="847"/>
      <c r="AE2140" s="846"/>
      <c r="AF2140" s="846"/>
      <c r="AG2140" s="847"/>
      <c r="AH2140" s="847"/>
      <c r="AI2140" s="742">
        <f t="shared" si="277"/>
        <v>0</v>
      </c>
      <c r="AJ2140" s="743">
        <f t="shared" si="278"/>
        <v>0</v>
      </c>
    </row>
    <row r="2141" spans="1:36">
      <c r="A2141" s="1237" t="s">
        <v>154</v>
      </c>
      <c r="B2141" s="916" t="s">
        <v>292</v>
      </c>
      <c r="C2141" s="941" t="s">
        <v>1429</v>
      </c>
      <c r="D2141" s="917"/>
      <c r="E2141" s="918"/>
      <c r="F2141" s="919"/>
      <c r="G2141" s="846"/>
      <c r="H2141" s="847"/>
      <c r="I2141" s="846"/>
      <c r="J2141" s="847"/>
      <c r="K2141" s="846"/>
      <c r="L2141" s="847"/>
      <c r="M2141" s="846"/>
      <c r="N2141" s="846"/>
      <c r="O2141" s="737">
        <f t="shared" si="271"/>
        <v>0</v>
      </c>
      <c r="P2141" s="847"/>
      <c r="Q2141" s="847"/>
      <c r="R2141" s="738">
        <f t="shared" si="274"/>
        <v>0</v>
      </c>
      <c r="S2141" s="737">
        <f t="shared" si="275"/>
        <v>0</v>
      </c>
      <c r="T2141" s="739">
        <f t="shared" si="276"/>
        <v>0</v>
      </c>
      <c r="U2141" s="846">
        <v>19115722</v>
      </c>
      <c r="V2141" s="847">
        <v>19115722</v>
      </c>
      <c r="W2141" s="846"/>
      <c r="X2141" s="846"/>
      <c r="Y2141" s="740">
        <f t="shared" si="272"/>
        <v>0</v>
      </c>
      <c r="Z2141" s="847"/>
      <c r="AA2141" s="847"/>
      <c r="AB2141" s="741">
        <f t="shared" si="273"/>
        <v>0</v>
      </c>
      <c r="AC2141" s="846"/>
      <c r="AD2141" s="847"/>
      <c r="AE2141" s="846"/>
      <c r="AF2141" s="846"/>
      <c r="AG2141" s="847"/>
      <c r="AH2141" s="847"/>
      <c r="AI2141" s="742">
        <f t="shared" si="277"/>
        <v>19115722</v>
      </c>
      <c r="AJ2141" s="743">
        <f t="shared" si="278"/>
        <v>19115722</v>
      </c>
    </row>
    <row r="2142" spans="1:36">
      <c r="A2142" s="1237" t="s">
        <v>154</v>
      </c>
      <c r="B2142" s="944" t="s">
        <v>310</v>
      </c>
      <c r="C2142" s="942" t="s">
        <v>311</v>
      </c>
      <c r="D2142" s="943"/>
      <c r="E2142" s="936"/>
      <c r="F2142" s="937"/>
      <c r="G2142" s="846"/>
      <c r="H2142" s="847"/>
      <c r="I2142" s="846"/>
      <c r="J2142" s="847"/>
      <c r="K2142" s="846"/>
      <c r="L2142" s="847"/>
      <c r="M2142" s="846"/>
      <c r="N2142" s="846"/>
      <c r="O2142" s="737">
        <f t="shared" si="271"/>
        <v>0</v>
      </c>
      <c r="P2142" s="847"/>
      <c r="Q2142" s="847"/>
      <c r="R2142" s="738">
        <f t="shared" si="274"/>
        <v>0</v>
      </c>
      <c r="S2142" s="737">
        <f t="shared" si="275"/>
        <v>0</v>
      </c>
      <c r="T2142" s="739">
        <f t="shared" si="276"/>
        <v>0</v>
      </c>
      <c r="U2142" s="846"/>
      <c r="V2142" s="847"/>
      <c r="W2142" s="846"/>
      <c r="X2142" s="846"/>
      <c r="Y2142" s="740">
        <f t="shared" si="272"/>
        <v>0</v>
      </c>
      <c r="Z2142" s="847"/>
      <c r="AA2142" s="847"/>
      <c r="AB2142" s="741">
        <f t="shared" si="273"/>
        <v>0</v>
      </c>
      <c r="AC2142" s="846"/>
      <c r="AD2142" s="847"/>
      <c r="AE2142" s="846"/>
      <c r="AF2142" s="846"/>
      <c r="AG2142" s="847"/>
      <c r="AH2142" s="847"/>
      <c r="AI2142" s="742">
        <f t="shared" si="277"/>
        <v>0</v>
      </c>
      <c r="AJ2142" s="743">
        <f t="shared" si="278"/>
        <v>0</v>
      </c>
    </row>
    <row r="2143" spans="1:36">
      <c r="A2143" s="1237" t="s">
        <v>154</v>
      </c>
      <c r="B2143" s="944" t="s">
        <v>251</v>
      </c>
      <c r="C2143" s="942" t="s">
        <v>249</v>
      </c>
      <c r="D2143" s="943"/>
      <c r="E2143" s="936"/>
      <c r="F2143" s="937"/>
      <c r="G2143" s="846"/>
      <c r="H2143" s="847"/>
      <c r="I2143" s="846"/>
      <c r="J2143" s="847"/>
      <c r="K2143" s="846"/>
      <c r="L2143" s="847"/>
      <c r="M2143" s="846"/>
      <c r="N2143" s="846"/>
      <c r="O2143" s="737">
        <f t="shared" si="271"/>
        <v>0</v>
      </c>
      <c r="P2143" s="847"/>
      <c r="Q2143" s="847"/>
      <c r="R2143" s="738">
        <f t="shared" si="274"/>
        <v>0</v>
      </c>
      <c r="S2143" s="737">
        <f t="shared" si="275"/>
        <v>0</v>
      </c>
      <c r="T2143" s="739">
        <f t="shared" si="276"/>
        <v>0</v>
      </c>
      <c r="U2143" s="846"/>
      <c r="V2143" s="847"/>
      <c r="W2143" s="846"/>
      <c r="X2143" s="846"/>
      <c r="Y2143" s="740">
        <f t="shared" si="272"/>
        <v>0</v>
      </c>
      <c r="Z2143" s="847"/>
      <c r="AA2143" s="847"/>
      <c r="AB2143" s="741">
        <f t="shared" si="273"/>
        <v>0</v>
      </c>
      <c r="AC2143" s="846"/>
      <c r="AD2143" s="847"/>
      <c r="AE2143" s="846"/>
      <c r="AF2143" s="846"/>
      <c r="AG2143" s="847"/>
      <c r="AH2143" s="847"/>
      <c r="AI2143" s="742">
        <f t="shared" si="277"/>
        <v>0</v>
      </c>
      <c r="AJ2143" s="743">
        <f t="shared" si="278"/>
        <v>0</v>
      </c>
    </row>
    <row r="2144" spans="1:36">
      <c r="A2144" s="1237" t="s">
        <v>154</v>
      </c>
      <c r="B2144" s="944" t="s">
        <v>209</v>
      </c>
      <c r="C2144" s="942" t="s">
        <v>522</v>
      </c>
      <c r="D2144" s="943"/>
      <c r="E2144" s="936"/>
      <c r="F2144" s="937"/>
      <c r="G2144" s="846"/>
      <c r="H2144" s="847"/>
      <c r="I2144" s="846"/>
      <c r="J2144" s="847"/>
      <c r="K2144" s="846"/>
      <c r="L2144" s="847"/>
      <c r="M2144" s="846"/>
      <c r="N2144" s="846"/>
      <c r="O2144" s="737">
        <f t="shared" si="271"/>
        <v>0</v>
      </c>
      <c r="P2144" s="847"/>
      <c r="Q2144" s="847"/>
      <c r="R2144" s="738">
        <f t="shared" si="274"/>
        <v>0</v>
      </c>
      <c r="S2144" s="737">
        <f t="shared" si="275"/>
        <v>0</v>
      </c>
      <c r="T2144" s="739">
        <f t="shared" si="276"/>
        <v>0</v>
      </c>
      <c r="U2144" s="846"/>
      <c r="V2144" s="847"/>
      <c r="W2144" s="846"/>
      <c r="X2144" s="846"/>
      <c r="Y2144" s="740">
        <f t="shared" si="272"/>
        <v>0</v>
      </c>
      <c r="Z2144" s="847"/>
      <c r="AA2144" s="847"/>
      <c r="AB2144" s="741">
        <f t="shared" si="273"/>
        <v>0</v>
      </c>
      <c r="AC2144" s="846"/>
      <c r="AD2144" s="847"/>
      <c r="AE2144" s="846"/>
      <c r="AF2144" s="846"/>
      <c r="AG2144" s="847"/>
      <c r="AH2144" s="847"/>
      <c r="AI2144" s="742">
        <f t="shared" si="277"/>
        <v>0</v>
      </c>
      <c r="AJ2144" s="743">
        <f t="shared" si="278"/>
        <v>0</v>
      </c>
    </row>
    <row r="2145" spans="1:36">
      <c r="A2145" s="1237" t="s">
        <v>154</v>
      </c>
      <c r="B2145" s="944" t="s">
        <v>210</v>
      </c>
      <c r="C2145" s="942" t="s">
        <v>311</v>
      </c>
      <c r="D2145" s="943"/>
      <c r="E2145" s="936"/>
      <c r="F2145" s="937"/>
      <c r="G2145" s="846"/>
      <c r="H2145" s="847"/>
      <c r="I2145" s="846"/>
      <c r="J2145" s="847"/>
      <c r="K2145" s="846"/>
      <c r="L2145" s="847"/>
      <c r="M2145" s="846"/>
      <c r="N2145" s="846"/>
      <c r="O2145" s="737">
        <f t="shared" si="271"/>
        <v>0</v>
      </c>
      <c r="P2145" s="847"/>
      <c r="Q2145" s="847"/>
      <c r="R2145" s="738">
        <f t="shared" si="274"/>
        <v>0</v>
      </c>
      <c r="S2145" s="737">
        <f t="shared" si="275"/>
        <v>0</v>
      </c>
      <c r="T2145" s="739">
        <f t="shared" si="276"/>
        <v>0</v>
      </c>
      <c r="U2145" s="846"/>
      <c r="V2145" s="847"/>
      <c r="W2145" s="846"/>
      <c r="X2145" s="846"/>
      <c r="Y2145" s="740">
        <f t="shared" si="272"/>
        <v>0</v>
      </c>
      <c r="Z2145" s="847"/>
      <c r="AA2145" s="847"/>
      <c r="AB2145" s="741">
        <f t="shared" si="273"/>
        <v>0</v>
      </c>
      <c r="AC2145" s="846"/>
      <c r="AD2145" s="847"/>
      <c r="AE2145" s="846"/>
      <c r="AF2145" s="846"/>
      <c r="AG2145" s="847"/>
      <c r="AH2145" s="847"/>
      <c r="AI2145" s="742">
        <f t="shared" si="277"/>
        <v>0</v>
      </c>
      <c r="AJ2145" s="743">
        <f t="shared" si="278"/>
        <v>0</v>
      </c>
    </row>
    <row r="2146" spans="1:36">
      <c r="A2146" s="1237" t="s">
        <v>154</v>
      </c>
      <c r="B2146" s="944" t="s">
        <v>251</v>
      </c>
      <c r="C2146" s="942" t="s">
        <v>249</v>
      </c>
      <c r="D2146" s="943"/>
      <c r="E2146" s="936"/>
      <c r="F2146" s="937"/>
      <c r="G2146" s="846"/>
      <c r="H2146" s="847"/>
      <c r="I2146" s="846"/>
      <c r="J2146" s="847"/>
      <c r="K2146" s="846"/>
      <c r="L2146" s="847"/>
      <c r="M2146" s="846"/>
      <c r="N2146" s="846"/>
      <c r="O2146" s="737">
        <f t="shared" si="271"/>
        <v>0</v>
      </c>
      <c r="P2146" s="847"/>
      <c r="Q2146" s="847"/>
      <c r="R2146" s="738">
        <f t="shared" si="274"/>
        <v>0</v>
      </c>
      <c r="S2146" s="737">
        <f t="shared" si="275"/>
        <v>0</v>
      </c>
      <c r="T2146" s="739">
        <f t="shared" si="276"/>
        <v>0</v>
      </c>
      <c r="U2146" s="846"/>
      <c r="V2146" s="847"/>
      <c r="W2146" s="846"/>
      <c r="X2146" s="846"/>
      <c r="Y2146" s="740">
        <f t="shared" si="272"/>
        <v>0</v>
      </c>
      <c r="Z2146" s="847"/>
      <c r="AA2146" s="847"/>
      <c r="AB2146" s="741">
        <f t="shared" si="273"/>
        <v>0</v>
      </c>
      <c r="AC2146" s="846"/>
      <c r="AD2146" s="847"/>
      <c r="AE2146" s="846"/>
      <c r="AF2146" s="846"/>
      <c r="AG2146" s="847"/>
      <c r="AH2146" s="847"/>
      <c r="AI2146" s="742">
        <f t="shared" si="277"/>
        <v>0</v>
      </c>
      <c r="AJ2146" s="743">
        <f t="shared" si="278"/>
        <v>0</v>
      </c>
    </row>
    <row r="2147" spans="1:36">
      <c r="A2147" s="1237" t="s">
        <v>154</v>
      </c>
      <c r="B2147" s="944" t="s">
        <v>205</v>
      </c>
      <c r="C2147" s="942" t="s">
        <v>523</v>
      </c>
      <c r="D2147" s="943"/>
      <c r="E2147" s="936"/>
      <c r="F2147" s="937"/>
      <c r="G2147" s="846"/>
      <c r="H2147" s="847"/>
      <c r="I2147" s="846"/>
      <c r="J2147" s="847"/>
      <c r="K2147" s="846"/>
      <c r="L2147" s="847"/>
      <c r="M2147" s="846"/>
      <c r="N2147" s="846"/>
      <c r="O2147" s="737">
        <f t="shared" si="271"/>
        <v>0</v>
      </c>
      <c r="P2147" s="847"/>
      <c r="Q2147" s="847"/>
      <c r="R2147" s="738">
        <f t="shared" si="274"/>
        <v>0</v>
      </c>
      <c r="S2147" s="737">
        <f t="shared" si="275"/>
        <v>0</v>
      </c>
      <c r="T2147" s="739">
        <f t="shared" si="276"/>
        <v>0</v>
      </c>
      <c r="U2147" s="846"/>
      <c r="V2147" s="847"/>
      <c r="W2147" s="846"/>
      <c r="X2147" s="846"/>
      <c r="Y2147" s="740">
        <f t="shared" si="272"/>
        <v>0</v>
      </c>
      <c r="Z2147" s="847"/>
      <c r="AA2147" s="847"/>
      <c r="AB2147" s="741">
        <f t="shared" si="273"/>
        <v>0</v>
      </c>
      <c r="AC2147" s="846"/>
      <c r="AD2147" s="847"/>
      <c r="AE2147" s="846"/>
      <c r="AF2147" s="846"/>
      <c r="AG2147" s="847"/>
      <c r="AH2147" s="847"/>
      <c r="AI2147" s="742">
        <f t="shared" si="277"/>
        <v>0</v>
      </c>
      <c r="AJ2147" s="743">
        <f t="shared" si="278"/>
        <v>0</v>
      </c>
    </row>
    <row r="2148" spans="1:36">
      <c r="A2148" s="1237" t="s">
        <v>154</v>
      </c>
      <c r="B2148" s="944" t="s">
        <v>218</v>
      </c>
      <c r="C2148" s="942" t="s">
        <v>311</v>
      </c>
      <c r="D2148" s="943"/>
      <c r="E2148" s="936"/>
      <c r="F2148" s="937"/>
      <c r="G2148" s="846"/>
      <c r="H2148" s="847"/>
      <c r="I2148" s="846"/>
      <c r="J2148" s="847"/>
      <c r="K2148" s="846"/>
      <c r="L2148" s="847"/>
      <c r="M2148" s="846"/>
      <c r="N2148" s="846"/>
      <c r="O2148" s="737">
        <f t="shared" si="271"/>
        <v>0</v>
      </c>
      <c r="P2148" s="847"/>
      <c r="Q2148" s="847"/>
      <c r="R2148" s="738">
        <f t="shared" si="274"/>
        <v>0</v>
      </c>
      <c r="S2148" s="737">
        <f t="shared" si="275"/>
        <v>0</v>
      </c>
      <c r="T2148" s="739">
        <f t="shared" si="276"/>
        <v>0</v>
      </c>
      <c r="U2148" s="846"/>
      <c r="V2148" s="847"/>
      <c r="W2148" s="846"/>
      <c r="X2148" s="846"/>
      <c r="Y2148" s="740">
        <f t="shared" si="272"/>
        <v>0</v>
      </c>
      <c r="Z2148" s="847"/>
      <c r="AA2148" s="847"/>
      <c r="AB2148" s="741">
        <f t="shared" si="273"/>
        <v>0</v>
      </c>
      <c r="AC2148" s="846"/>
      <c r="AD2148" s="847"/>
      <c r="AE2148" s="846"/>
      <c r="AF2148" s="846"/>
      <c r="AG2148" s="847"/>
      <c r="AH2148" s="847"/>
      <c r="AI2148" s="742">
        <f t="shared" si="277"/>
        <v>0</v>
      </c>
      <c r="AJ2148" s="743">
        <f t="shared" si="278"/>
        <v>0</v>
      </c>
    </row>
    <row r="2149" spans="1:36">
      <c r="A2149" s="1237" t="s">
        <v>154</v>
      </c>
      <c r="B2149" s="944" t="s">
        <v>251</v>
      </c>
      <c r="C2149" s="942" t="s">
        <v>249</v>
      </c>
      <c r="D2149" s="943"/>
      <c r="E2149" s="936"/>
      <c r="F2149" s="937"/>
      <c r="G2149" s="846"/>
      <c r="H2149" s="847"/>
      <c r="I2149" s="846"/>
      <c r="J2149" s="847"/>
      <c r="K2149" s="846"/>
      <c r="L2149" s="847"/>
      <c r="M2149" s="846"/>
      <c r="N2149" s="846"/>
      <c r="O2149" s="737">
        <f t="shared" si="271"/>
        <v>0</v>
      </c>
      <c r="P2149" s="847"/>
      <c r="Q2149" s="847"/>
      <c r="R2149" s="738">
        <f t="shared" si="274"/>
        <v>0</v>
      </c>
      <c r="S2149" s="737">
        <f t="shared" si="275"/>
        <v>0</v>
      </c>
      <c r="T2149" s="739">
        <f t="shared" si="276"/>
        <v>0</v>
      </c>
      <c r="U2149" s="846"/>
      <c r="V2149" s="847"/>
      <c r="W2149" s="846"/>
      <c r="X2149" s="846"/>
      <c r="Y2149" s="740">
        <f t="shared" si="272"/>
        <v>0</v>
      </c>
      <c r="Z2149" s="847"/>
      <c r="AA2149" s="847"/>
      <c r="AB2149" s="741">
        <f t="shared" si="273"/>
        <v>0</v>
      </c>
      <c r="AC2149" s="846"/>
      <c r="AD2149" s="847"/>
      <c r="AE2149" s="846"/>
      <c r="AF2149" s="846"/>
      <c r="AG2149" s="847"/>
      <c r="AH2149" s="847"/>
      <c r="AI2149" s="742">
        <f t="shared" si="277"/>
        <v>0</v>
      </c>
      <c r="AJ2149" s="743">
        <f t="shared" si="278"/>
        <v>0</v>
      </c>
    </row>
    <row r="2150" spans="1:36">
      <c r="A2150" s="1237" t="s">
        <v>154</v>
      </c>
      <c r="B2150" s="944" t="s">
        <v>293</v>
      </c>
      <c r="C2150" s="940" t="s">
        <v>525</v>
      </c>
      <c r="D2150" s="934"/>
      <c r="E2150" s="936"/>
      <c r="F2150" s="937"/>
      <c r="G2150" s="846"/>
      <c r="H2150" s="847"/>
      <c r="I2150" s="846"/>
      <c r="J2150" s="847"/>
      <c r="K2150" s="846"/>
      <c r="L2150" s="847"/>
      <c r="M2150" s="846"/>
      <c r="N2150" s="846"/>
      <c r="O2150" s="737">
        <f t="shared" si="271"/>
        <v>0</v>
      </c>
      <c r="P2150" s="847"/>
      <c r="Q2150" s="847"/>
      <c r="R2150" s="738">
        <f t="shared" si="274"/>
        <v>0</v>
      </c>
      <c r="S2150" s="737">
        <f t="shared" si="275"/>
        <v>0</v>
      </c>
      <c r="T2150" s="739">
        <f t="shared" si="276"/>
        <v>0</v>
      </c>
      <c r="U2150" s="846"/>
      <c r="V2150" s="847"/>
      <c r="W2150" s="846"/>
      <c r="X2150" s="846"/>
      <c r="Y2150" s="740">
        <f t="shared" si="272"/>
        <v>0</v>
      </c>
      <c r="Z2150" s="847"/>
      <c r="AA2150" s="847"/>
      <c r="AB2150" s="741">
        <f t="shared" si="273"/>
        <v>0</v>
      </c>
      <c r="AC2150" s="846"/>
      <c r="AD2150" s="847"/>
      <c r="AE2150" s="846"/>
      <c r="AF2150" s="846"/>
      <c r="AG2150" s="847"/>
      <c r="AH2150" s="847"/>
      <c r="AI2150" s="742">
        <f t="shared" si="277"/>
        <v>0</v>
      </c>
      <c r="AJ2150" s="743">
        <f t="shared" si="278"/>
        <v>0</v>
      </c>
    </row>
    <row r="2151" spans="1:36">
      <c r="A2151" s="1237" t="s">
        <v>154</v>
      </c>
      <c r="B2151" s="944" t="s">
        <v>252</v>
      </c>
      <c r="C2151" s="942" t="s">
        <v>311</v>
      </c>
      <c r="D2151" s="943"/>
      <c r="E2151" s="936"/>
      <c r="F2151" s="937"/>
      <c r="G2151" s="846"/>
      <c r="H2151" s="847"/>
      <c r="I2151" s="846"/>
      <c r="J2151" s="847"/>
      <c r="K2151" s="846"/>
      <c r="L2151" s="847"/>
      <c r="M2151" s="846"/>
      <c r="N2151" s="846"/>
      <c r="O2151" s="737">
        <f t="shared" si="271"/>
        <v>0</v>
      </c>
      <c r="P2151" s="847"/>
      <c r="Q2151" s="847"/>
      <c r="R2151" s="738">
        <f t="shared" si="274"/>
        <v>0</v>
      </c>
      <c r="S2151" s="737">
        <f t="shared" si="275"/>
        <v>0</v>
      </c>
      <c r="T2151" s="739">
        <f t="shared" si="276"/>
        <v>0</v>
      </c>
      <c r="U2151" s="846"/>
      <c r="V2151" s="847"/>
      <c r="W2151" s="846"/>
      <c r="X2151" s="846"/>
      <c r="Y2151" s="740">
        <f t="shared" si="272"/>
        <v>0</v>
      </c>
      <c r="Z2151" s="847"/>
      <c r="AA2151" s="847"/>
      <c r="AB2151" s="741">
        <f t="shared" si="273"/>
        <v>0</v>
      </c>
      <c r="AC2151" s="846"/>
      <c r="AD2151" s="847"/>
      <c r="AE2151" s="846"/>
      <c r="AF2151" s="846"/>
      <c r="AG2151" s="847"/>
      <c r="AH2151" s="847"/>
      <c r="AI2151" s="742">
        <f t="shared" si="277"/>
        <v>0</v>
      </c>
      <c r="AJ2151" s="743">
        <f t="shared" si="278"/>
        <v>0</v>
      </c>
    </row>
    <row r="2152" spans="1:36">
      <c r="A2152" s="1237" t="s">
        <v>154</v>
      </c>
      <c r="B2152" s="944" t="s">
        <v>253</v>
      </c>
      <c r="C2152" s="942" t="s">
        <v>249</v>
      </c>
      <c r="D2152" s="943"/>
      <c r="E2152" s="936"/>
      <c r="F2152" s="937"/>
      <c r="G2152" s="846"/>
      <c r="H2152" s="847"/>
      <c r="I2152" s="846"/>
      <c r="J2152" s="847"/>
      <c r="K2152" s="846"/>
      <c r="L2152" s="847"/>
      <c r="M2152" s="846"/>
      <c r="N2152" s="846"/>
      <c r="O2152" s="737">
        <f t="shared" si="271"/>
        <v>0</v>
      </c>
      <c r="P2152" s="847"/>
      <c r="Q2152" s="847"/>
      <c r="R2152" s="738">
        <f t="shared" si="274"/>
        <v>0</v>
      </c>
      <c r="S2152" s="737">
        <f t="shared" si="275"/>
        <v>0</v>
      </c>
      <c r="T2152" s="739">
        <f t="shared" si="276"/>
        <v>0</v>
      </c>
      <c r="U2152" s="846"/>
      <c r="V2152" s="847"/>
      <c r="W2152" s="846"/>
      <c r="X2152" s="846"/>
      <c r="Y2152" s="740">
        <f t="shared" si="272"/>
        <v>0</v>
      </c>
      <c r="Z2152" s="847"/>
      <c r="AA2152" s="847"/>
      <c r="AB2152" s="741">
        <f t="shared" si="273"/>
        <v>0</v>
      </c>
      <c r="AC2152" s="846"/>
      <c r="AD2152" s="847"/>
      <c r="AE2152" s="846"/>
      <c r="AF2152" s="846"/>
      <c r="AG2152" s="847"/>
      <c r="AH2152" s="847"/>
      <c r="AI2152" s="742">
        <f t="shared" si="277"/>
        <v>0</v>
      </c>
      <c r="AJ2152" s="743">
        <f t="shared" si="278"/>
        <v>0</v>
      </c>
    </row>
    <row r="2153" spans="1:36">
      <c r="A2153" s="915" t="s">
        <v>154</v>
      </c>
      <c r="B2153" s="944" t="s">
        <v>294</v>
      </c>
      <c r="C2153" s="940" t="s">
        <v>584</v>
      </c>
      <c r="D2153" s="934"/>
      <c r="E2153" s="936"/>
      <c r="F2153" s="937"/>
      <c r="G2153" s="846"/>
      <c r="H2153" s="847"/>
      <c r="I2153" s="846"/>
      <c r="J2153" s="847"/>
      <c r="K2153" s="846"/>
      <c r="L2153" s="847"/>
      <c r="M2153" s="846"/>
      <c r="N2153" s="846"/>
      <c r="O2153" s="737">
        <f t="shared" si="271"/>
        <v>0</v>
      </c>
      <c r="P2153" s="847"/>
      <c r="Q2153" s="847"/>
      <c r="R2153" s="738">
        <f t="shared" si="274"/>
        <v>0</v>
      </c>
      <c r="S2153" s="737">
        <f t="shared" si="275"/>
        <v>0</v>
      </c>
      <c r="T2153" s="739">
        <f t="shared" si="276"/>
        <v>0</v>
      </c>
      <c r="U2153" s="846"/>
      <c r="V2153" s="847"/>
      <c r="W2153" s="846"/>
      <c r="X2153" s="846"/>
      <c r="Y2153" s="740">
        <f t="shared" si="272"/>
        <v>0</v>
      </c>
      <c r="Z2153" s="847"/>
      <c r="AA2153" s="847"/>
      <c r="AB2153" s="741">
        <f t="shared" si="273"/>
        <v>0</v>
      </c>
      <c r="AC2153" s="846"/>
      <c r="AD2153" s="847"/>
      <c r="AE2153" s="846"/>
      <c r="AF2153" s="846"/>
      <c r="AG2153" s="847"/>
      <c r="AH2153" s="847"/>
      <c r="AI2153" s="742">
        <f t="shared" si="277"/>
        <v>0</v>
      </c>
      <c r="AJ2153" s="743">
        <f t="shared" si="278"/>
        <v>0</v>
      </c>
    </row>
    <row r="2154" spans="1:36">
      <c r="A2154" s="915" t="s">
        <v>154</v>
      </c>
      <c r="B2154" s="944" t="s">
        <v>294</v>
      </c>
      <c r="C2154" s="941" t="s">
        <v>1430</v>
      </c>
      <c r="D2154" s="917"/>
      <c r="E2154" s="936"/>
      <c r="F2154" s="937"/>
      <c r="G2154" s="846"/>
      <c r="H2154" s="847"/>
      <c r="I2154" s="846"/>
      <c r="J2154" s="847"/>
      <c r="K2154" s="846"/>
      <c r="L2154" s="847"/>
      <c r="M2154" s="846"/>
      <c r="N2154" s="846"/>
      <c r="O2154" s="737">
        <f t="shared" si="271"/>
        <v>0</v>
      </c>
      <c r="P2154" s="847"/>
      <c r="Q2154" s="847"/>
      <c r="R2154" s="738">
        <f t="shared" si="274"/>
        <v>0</v>
      </c>
      <c r="S2154" s="737">
        <f t="shared" si="275"/>
        <v>0</v>
      </c>
      <c r="T2154" s="739">
        <f t="shared" si="276"/>
        <v>0</v>
      </c>
      <c r="U2154" s="846">
        <v>3406848</v>
      </c>
      <c r="V2154" s="847">
        <v>3406848</v>
      </c>
      <c r="W2154" s="846"/>
      <c r="X2154" s="846"/>
      <c r="Y2154" s="740">
        <f t="shared" si="272"/>
        <v>0</v>
      </c>
      <c r="Z2154" s="847"/>
      <c r="AA2154" s="847"/>
      <c r="AB2154" s="741">
        <f t="shared" si="273"/>
        <v>0</v>
      </c>
      <c r="AC2154" s="846"/>
      <c r="AD2154" s="847"/>
      <c r="AE2154" s="846"/>
      <c r="AF2154" s="846"/>
      <c r="AG2154" s="847"/>
      <c r="AH2154" s="847"/>
      <c r="AI2154" s="742">
        <f t="shared" si="277"/>
        <v>3406848</v>
      </c>
      <c r="AJ2154" s="743">
        <f t="shared" si="278"/>
        <v>3406848</v>
      </c>
    </row>
    <row r="2155" spans="1:36">
      <c r="A2155" s="1237" t="s">
        <v>154</v>
      </c>
      <c r="B2155" s="944" t="s">
        <v>254</v>
      </c>
      <c r="C2155" s="942" t="s">
        <v>311</v>
      </c>
      <c r="D2155" s="943"/>
      <c r="E2155" s="936"/>
      <c r="F2155" s="937"/>
      <c r="G2155" s="846"/>
      <c r="H2155" s="847"/>
      <c r="I2155" s="846"/>
      <c r="J2155" s="847"/>
      <c r="K2155" s="846"/>
      <c r="L2155" s="847"/>
      <c r="M2155" s="846"/>
      <c r="N2155" s="846"/>
      <c r="O2155" s="737">
        <f t="shared" si="271"/>
        <v>0</v>
      </c>
      <c r="P2155" s="847"/>
      <c r="Q2155" s="847"/>
      <c r="R2155" s="738">
        <f t="shared" si="274"/>
        <v>0</v>
      </c>
      <c r="S2155" s="737">
        <f t="shared" si="275"/>
        <v>0</v>
      </c>
      <c r="T2155" s="739">
        <f t="shared" si="276"/>
        <v>0</v>
      </c>
      <c r="U2155" s="846"/>
      <c r="V2155" s="847"/>
      <c r="W2155" s="846"/>
      <c r="X2155" s="846"/>
      <c r="Y2155" s="740">
        <f t="shared" si="272"/>
        <v>0</v>
      </c>
      <c r="Z2155" s="847"/>
      <c r="AA2155" s="847"/>
      <c r="AB2155" s="741">
        <f t="shared" si="273"/>
        <v>0</v>
      </c>
      <c r="AC2155" s="846"/>
      <c r="AD2155" s="847"/>
      <c r="AE2155" s="846"/>
      <c r="AF2155" s="846"/>
      <c r="AG2155" s="847"/>
      <c r="AH2155" s="847"/>
      <c r="AI2155" s="742">
        <f t="shared" si="277"/>
        <v>0</v>
      </c>
      <c r="AJ2155" s="743">
        <f t="shared" si="278"/>
        <v>0</v>
      </c>
    </row>
    <row r="2156" spans="1:36">
      <c r="A2156" s="1237" t="s">
        <v>154</v>
      </c>
      <c r="B2156" s="944" t="s">
        <v>255</v>
      </c>
      <c r="C2156" s="942" t="s">
        <v>249</v>
      </c>
      <c r="D2156" s="943"/>
      <c r="E2156" s="936"/>
      <c r="F2156" s="937"/>
      <c r="G2156" s="846"/>
      <c r="H2156" s="847"/>
      <c r="I2156" s="846"/>
      <c r="J2156" s="847"/>
      <c r="K2156" s="846"/>
      <c r="L2156" s="847"/>
      <c r="M2156" s="846"/>
      <c r="N2156" s="846"/>
      <c r="O2156" s="737">
        <f t="shared" si="271"/>
        <v>0</v>
      </c>
      <c r="P2156" s="847"/>
      <c r="Q2156" s="847"/>
      <c r="R2156" s="738">
        <f t="shared" si="274"/>
        <v>0</v>
      </c>
      <c r="S2156" s="737">
        <f t="shared" si="275"/>
        <v>0</v>
      </c>
      <c r="T2156" s="739">
        <f t="shared" si="276"/>
        <v>0</v>
      </c>
      <c r="U2156" s="846"/>
      <c r="V2156" s="847"/>
      <c r="W2156" s="846"/>
      <c r="X2156" s="846"/>
      <c r="Y2156" s="740">
        <f t="shared" si="272"/>
        <v>0</v>
      </c>
      <c r="Z2156" s="847"/>
      <c r="AA2156" s="847"/>
      <c r="AB2156" s="741">
        <f t="shared" si="273"/>
        <v>0</v>
      </c>
      <c r="AC2156" s="846"/>
      <c r="AD2156" s="847"/>
      <c r="AE2156" s="846"/>
      <c r="AF2156" s="846"/>
      <c r="AG2156" s="847"/>
      <c r="AH2156" s="847"/>
      <c r="AI2156" s="742">
        <f t="shared" si="277"/>
        <v>0</v>
      </c>
      <c r="AJ2156" s="743">
        <f t="shared" si="278"/>
        <v>0</v>
      </c>
    </row>
    <row r="2157" spans="1:36">
      <c r="A2157" s="1283" t="s">
        <v>154</v>
      </c>
      <c r="B2157" s="1368" t="s">
        <v>264</v>
      </c>
      <c r="C2157" s="1369" t="s">
        <v>1686</v>
      </c>
      <c r="D2157" s="1370"/>
      <c r="E2157" s="1283">
        <v>365374</v>
      </c>
      <c r="F2157" s="1209">
        <v>12</v>
      </c>
      <c r="G2157" s="846">
        <v>4347856</v>
      </c>
      <c r="H2157" s="847">
        <v>4182479</v>
      </c>
      <c r="I2157" s="846"/>
      <c r="J2157" s="847"/>
      <c r="K2157" s="846"/>
      <c r="L2157" s="847"/>
      <c r="M2157" s="846">
        <v>991436</v>
      </c>
      <c r="N2157" s="846"/>
      <c r="O2157" s="737">
        <f t="shared" si="271"/>
        <v>991436</v>
      </c>
      <c r="P2157" s="847">
        <v>1183233</v>
      </c>
      <c r="Q2157" s="847"/>
      <c r="R2157" s="738">
        <f t="shared" si="274"/>
        <v>1183233</v>
      </c>
      <c r="S2157" s="737">
        <f t="shared" si="275"/>
        <v>5339292</v>
      </c>
      <c r="T2157" s="739">
        <f t="shared" si="276"/>
        <v>5365712</v>
      </c>
      <c r="U2157" s="846"/>
      <c r="V2157" s="847"/>
      <c r="W2157" s="846"/>
      <c r="X2157" s="846"/>
      <c r="Y2157" s="740">
        <f t="shared" si="272"/>
        <v>0</v>
      </c>
      <c r="Z2157" s="847"/>
      <c r="AA2157" s="847"/>
      <c r="AB2157" s="741">
        <f t="shared" si="273"/>
        <v>0</v>
      </c>
      <c r="AC2157" s="846"/>
      <c r="AD2157" s="847"/>
      <c r="AE2157" s="846"/>
      <c r="AF2157" s="846"/>
      <c r="AG2157" s="847"/>
      <c r="AH2157" s="847"/>
      <c r="AI2157" s="742">
        <f t="shared" si="277"/>
        <v>5339292</v>
      </c>
      <c r="AJ2157" s="743">
        <f t="shared" si="278"/>
        <v>5365712</v>
      </c>
    </row>
    <row r="2158" spans="1:36">
      <c r="A2158" s="1283" t="s">
        <v>154</v>
      </c>
      <c r="B2158" s="1368" t="s">
        <v>264</v>
      </c>
      <c r="C2158" s="1279" t="s">
        <v>1687</v>
      </c>
      <c r="D2158" s="1280"/>
      <c r="E2158" s="1283">
        <v>245999</v>
      </c>
      <c r="F2158" s="1209">
        <v>12</v>
      </c>
      <c r="G2158" s="846">
        <v>4428261</v>
      </c>
      <c r="H2158" s="847">
        <v>4302613</v>
      </c>
      <c r="I2158" s="846"/>
      <c r="J2158" s="847"/>
      <c r="K2158" s="846"/>
      <c r="L2158" s="847"/>
      <c r="M2158" s="846">
        <v>2455235</v>
      </c>
      <c r="N2158" s="846"/>
      <c r="O2158" s="737">
        <f t="shared" si="271"/>
        <v>2455235</v>
      </c>
      <c r="P2158" s="847">
        <v>2878399</v>
      </c>
      <c r="Q2158" s="847"/>
      <c r="R2158" s="738">
        <f t="shared" si="274"/>
        <v>2878399</v>
      </c>
      <c r="S2158" s="737">
        <f t="shared" si="275"/>
        <v>6883496</v>
      </c>
      <c r="T2158" s="739">
        <f t="shared" si="276"/>
        <v>7181012</v>
      </c>
      <c r="U2158" s="846"/>
      <c r="V2158" s="847"/>
      <c r="W2158" s="846"/>
      <c r="X2158" s="846"/>
      <c r="Y2158" s="740">
        <f t="shared" si="272"/>
        <v>0</v>
      </c>
      <c r="Z2158" s="847"/>
      <c r="AA2158" s="847"/>
      <c r="AB2158" s="741">
        <f t="shared" si="273"/>
        <v>0</v>
      </c>
      <c r="AC2158" s="846"/>
      <c r="AD2158" s="847"/>
      <c r="AE2158" s="846"/>
      <c r="AF2158" s="846"/>
      <c r="AG2158" s="847"/>
      <c r="AH2158" s="847"/>
      <c r="AI2158" s="742">
        <f t="shared" si="277"/>
        <v>6883496</v>
      </c>
      <c r="AJ2158" s="743">
        <f t="shared" si="278"/>
        <v>7181012</v>
      </c>
    </row>
    <row r="2159" spans="1:36">
      <c r="A2159" s="1283" t="s">
        <v>154</v>
      </c>
      <c r="B2159" s="1368" t="s">
        <v>264</v>
      </c>
      <c r="C2159" s="1279" t="s">
        <v>1688</v>
      </c>
      <c r="D2159" s="1280"/>
      <c r="E2159" s="1283">
        <v>363165</v>
      </c>
      <c r="F2159" s="1209">
        <v>12</v>
      </c>
      <c r="G2159" s="846">
        <v>5154631</v>
      </c>
      <c r="H2159" s="847">
        <v>5134918</v>
      </c>
      <c r="I2159" s="846"/>
      <c r="J2159" s="847"/>
      <c r="K2159" s="846"/>
      <c r="L2159" s="847"/>
      <c r="M2159" s="846">
        <v>1741551</v>
      </c>
      <c r="N2159" s="846"/>
      <c r="O2159" s="737">
        <f t="shared" si="271"/>
        <v>1741551</v>
      </c>
      <c r="P2159" s="847">
        <v>2521476</v>
      </c>
      <c r="Q2159" s="847"/>
      <c r="R2159" s="738">
        <f t="shared" si="274"/>
        <v>2521476</v>
      </c>
      <c r="S2159" s="737">
        <f t="shared" si="275"/>
        <v>6896182</v>
      </c>
      <c r="T2159" s="739">
        <f t="shared" si="276"/>
        <v>7656394</v>
      </c>
      <c r="U2159" s="846"/>
      <c r="V2159" s="847"/>
      <c r="W2159" s="846"/>
      <c r="X2159" s="846"/>
      <c r="Y2159" s="740">
        <f t="shared" si="272"/>
        <v>0</v>
      </c>
      <c r="Z2159" s="847"/>
      <c r="AA2159" s="847"/>
      <c r="AB2159" s="741">
        <f t="shared" si="273"/>
        <v>0</v>
      </c>
      <c r="AC2159" s="846"/>
      <c r="AD2159" s="847"/>
      <c r="AE2159" s="846"/>
      <c r="AF2159" s="846"/>
      <c r="AG2159" s="847"/>
      <c r="AH2159" s="847"/>
      <c r="AI2159" s="742">
        <f t="shared" si="277"/>
        <v>6896182</v>
      </c>
      <c r="AJ2159" s="743">
        <f t="shared" si="278"/>
        <v>7656394</v>
      </c>
    </row>
    <row r="2160" spans="1:36">
      <c r="A2160" s="1283" t="s">
        <v>154</v>
      </c>
      <c r="B2160" s="1368" t="s">
        <v>264</v>
      </c>
      <c r="C2160" s="1279" t="s">
        <v>1689</v>
      </c>
      <c r="D2160" s="1280"/>
      <c r="E2160" s="1283">
        <v>365213</v>
      </c>
      <c r="F2160" s="1209">
        <v>13</v>
      </c>
      <c r="G2160" s="846">
        <v>3832632</v>
      </c>
      <c r="H2160" s="847">
        <v>3762040</v>
      </c>
      <c r="I2160" s="846"/>
      <c r="J2160" s="847"/>
      <c r="K2160" s="846"/>
      <c r="L2160" s="847"/>
      <c r="M2160" s="846">
        <v>953042</v>
      </c>
      <c r="N2160" s="846"/>
      <c r="O2160" s="737">
        <f t="shared" si="271"/>
        <v>953042</v>
      </c>
      <c r="P2160" s="847">
        <v>1048869</v>
      </c>
      <c r="Q2160" s="847"/>
      <c r="R2160" s="738">
        <f t="shared" si="274"/>
        <v>1048869</v>
      </c>
      <c r="S2160" s="737">
        <f t="shared" si="275"/>
        <v>4785674</v>
      </c>
      <c r="T2160" s="739">
        <f t="shared" si="276"/>
        <v>4810909</v>
      </c>
      <c r="U2160" s="846"/>
      <c r="V2160" s="847"/>
      <c r="W2160" s="846"/>
      <c r="X2160" s="846"/>
      <c r="Y2160" s="740">
        <f t="shared" si="272"/>
        <v>0</v>
      </c>
      <c r="Z2160" s="847"/>
      <c r="AA2160" s="847"/>
      <c r="AB2160" s="741">
        <f t="shared" si="273"/>
        <v>0</v>
      </c>
      <c r="AC2160" s="846"/>
      <c r="AD2160" s="847"/>
      <c r="AE2160" s="846"/>
      <c r="AF2160" s="846"/>
      <c r="AG2160" s="847"/>
      <c r="AH2160" s="847"/>
      <c r="AI2160" s="742">
        <f t="shared" si="277"/>
        <v>4785674</v>
      </c>
      <c r="AJ2160" s="743">
        <f t="shared" si="278"/>
        <v>4810909</v>
      </c>
    </row>
    <row r="2161" spans="1:36">
      <c r="A2161" s="1283" t="s">
        <v>154</v>
      </c>
      <c r="B2161" s="1368" t="s">
        <v>264</v>
      </c>
      <c r="C2161" s="1279" t="s">
        <v>1690</v>
      </c>
      <c r="D2161" s="1280"/>
      <c r="E2161" s="1283">
        <v>364946</v>
      </c>
      <c r="F2161" s="1209">
        <v>13</v>
      </c>
      <c r="G2161" s="846">
        <v>4674634</v>
      </c>
      <c r="H2161" s="847">
        <v>4908602</v>
      </c>
      <c r="I2161" s="846"/>
      <c r="J2161" s="847"/>
      <c r="K2161" s="846"/>
      <c r="L2161" s="847"/>
      <c r="M2161" s="846">
        <v>850892</v>
      </c>
      <c r="N2161" s="846"/>
      <c r="O2161" s="737">
        <f t="shared" si="271"/>
        <v>850892</v>
      </c>
      <c r="P2161" s="847">
        <v>1009590</v>
      </c>
      <c r="Q2161" s="847"/>
      <c r="R2161" s="738">
        <f t="shared" si="274"/>
        <v>1009590</v>
      </c>
      <c r="S2161" s="737">
        <f t="shared" si="275"/>
        <v>5525526</v>
      </c>
      <c r="T2161" s="739">
        <f t="shared" si="276"/>
        <v>5918192</v>
      </c>
      <c r="U2161" s="846"/>
      <c r="V2161" s="847"/>
      <c r="W2161" s="846"/>
      <c r="X2161" s="846"/>
      <c r="Y2161" s="740">
        <f t="shared" si="272"/>
        <v>0</v>
      </c>
      <c r="Z2161" s="847"/>
      <c r="AA2161" s="847"/>
      <c r="AB2161" s="741">
        <f t="shared" si="273"/>
        <v>0</v>
      </c>
      <c r="AC2161" s="846"/>
      <c r="AD2161" s="847"/>
      <c r="AE2161" s="846"/>
      <c r="AF2161" s="846"/>
      <c r="AG2161" s="847"/>
      <c r="AH2161" s="847"/>
      <c r="AI2161" s="742">
        <f t="shared" si="277"/>
        <v>5525526</v>
      </c>
      <c r="AJ2161" s="743">
        <f t="shared" si="278"/>
        <v>5918192</v>
      </c>
    </row>
    <row r="2162" spans="1:36">
      <c r="A2162" s="1283" t="s">
        <v>154</v>
      </c>
      <c r="B2162" s="1368" t="s">
        <v>264</v>
      </c>
      <c r="C2162" s="1279" t="s">
        <v>1691</v>
      </c>
      <c r="D2162" s="1280"/>
      <c r="E2162" s="1283">
        <v>246017</v>
      </c>
      <c r="F2162" s="1209">
        <v>13</v>
      </c>
      <c r="G2162" s="846">
        <v>5797180</v>
      </c>
      <c r="H2162" s="847">
        <v>5664209</v>
      </c>
      <c r="I2162" s="846"/>
      <c r="J2162" s="847"/>
      <c r="K2162" s="846"/>
      <c r="L2162" s="847"/>
      <c r="M2162" s="846">
        <v>1659202</v>
      </c>
      <c r="N2162" s="846"/>
      <c r="O2162" s="737">
        <f t="shared" si="271"/>
        <v>1659202</v>
      </c>
      <c r="P2162" s="847">
        <v>1959256</v>
      </c>
      <c r="Q2162" s="847"/>
      <c r="R2162" s="738">
        <f t="shared" si="274"/>
        <v>1959256</v>
      </c>
      <c r="S2162" s="737">
        <f t="shared" si="275"/>
        <v>7456382</v>
      </c>
      <c r="T2162" s="739">
        <f t="shared" si="276"/>
        <v>7623465</v>
      </c>
      <c r="U2162" s="846"/>
      <c r="V2162" s="847"/>
      <c r="W2162" s="846"/>
      <c r="X2162" s="846"/>
      <c r="Y2162" s="740">
        <f t="shared" si="272"/>
        <v>0</v>
      </c>
      <c r="Z2162" s="847"/>
      <c r="AA2162" s="847"/>
      <c r="AB2162" s="741">
        <f t="shared" si="273"/>
        <v>0</v>
      </c>
      <c r="AC2162" s="846"/>
      <c r="AD2162" s="847"/>
      <c r="AE2162" s="846"/>
      <c r="AF2162" s="846"/>
      <c r="AG2162" s="847"/>
      <c r="AH2162" s="847"/>
      <c r="AI2162" s="742">
        <f t="shared" si="277"/>
        <v>7456382</v>
      </c>
      <c r="AJ2162" s="743">
        <f t="shared" si="278"/>
        <v>7623465</v>
      </c>
    </row>
    <row r="2163" spans="1:36">
      <c r="A2163" s="1283" t="s">
        <v>154</v>
      </c>
      <c r="B2163" s="1368" t="s">
        <v>264</v>
      </c>
      <c r="C2163" s="1279" t="s">
        <v>1692</v>
      </c>
      <c r="D2163" s="1280"/>
      <c r="E2163" s="1283">
        <v>375656</v>
      </c>
      <c r="F2163" s="1209">
        <v>13</v>
      </c>
      <c r="G2163" s="846">
        <v>1357976</v>
      </c>
      <c r="H2163" s="847">
        <v>1281095</v>
      </c>
      <c r="I2163" s="846"/>
      <c r="J2163" s="847"/>
      <c r="K2163" s="846"/>
      <c r="L2163" s="847"/>
      <c r="M2163" s="846">
        <v>298073</v>
      </c>
      <c r="N2163" s="846"/>
      <c r="O2163" s="737">
        <f t="shared" si="271"/>
        <v>298073</v>
      </c>
      <c r="P2163" s="847">
        <v>183119</v>
      </c>
      <c r="Q2163" s="847"/>
      <c r="R2163" s="738">
        <f t="shared" si="274"/>
        <v>183119</v>
      </c>
      <c r="S2163" s="737">
        <f t="shared" si="275"/>
        <v>1656049</v>
      </c>
      <c r="T2163" s="739">
        <f t="shared" si="276"/>
        <v>1464214</v>
      </c>
      <c r="U2163" s="846"/>
      <c r="V2163" s="847"/>
      <c r="W2163" s="846"/>
      <c r="X2163" s="846"/>
      <c r="Y2163" s="740">
        <f t="shared" si="272"/>
        <v>0</v>
      </c>
      <c r="Z2163" s="847"/>
      <c r="AA2163" s="847"/>
      <c r="AB2163" s="741">
        <f t="shared" si="273"/>
        <v>0</v>
      </c>
      <c r="AC2163" s="846"/>
      <c r="AD2163" s="847"/>
      <c r="AE2163" s="846"/>
      <c r="AF2163" s="846"/>
      <c r="AG2163" s="847"/>
      <c r="AH2163" s="847"/>
      <c r="AI2163" s="742">
        <f t="shared" si="277"/>
        <v>1656049</v>
      </c>
      <c r="AJ2163" s="743">
        <f t="shared" si="278"/>
        <v>1464214</v>
      </c>
    </row>
    <row r="2164" spans="1:36">
      <c r="A2164" s="1283" t="s">
        <v>154</v>
      </c>
      <c r="B2164" s="1368" t="s">
        <v>264</v>
      </c>
      <c r="C2164" s="1279" t="s">
        <v>1693</v>
      </c>
      <c r="D2164" s="1280"/>
      <c r="E2164" s="1283">
        <v>418348</v>
      </c>
      <c r="F2164" s="1209">
        <v>13</v>
      </c>
      <c r="G2164" s="846">
        <v>1972465</v>
      </c>
      <c r="H2164" s="847">
        <v>2180416</v>
      </c>
      <c r="I2164" s="846"/>
      <c r="J2164" s="847"/>
      <c r="K2164" s="846"/>
      <c r="L2164" s="847"/>
      <c r="M2164" s="846">
        <v>314467</v>
      </c>
      <c r="N2164" s="846"/>
      <c r="O2164" s="737">
        <f t="shared" si="271"/>
        <v>314467</v>
      </c>
      <c r="P2164" s="847">
        <v>260826</v>
      </c>
      <c r="Q2164" s="847"/>
      <c r="R2164" s="738">
        <f t="shared" si="274"/>
        <v>260826</v>
      </c>
      <c r="S2164" s="737">
        <f t="shared" si="275"/>
        <v>2286932</v>
      </c>
      <c r="T2164" s="739">
        <f t="shared" si="276"/>
        <v>2441242</v>
      </c>
      <c r="U2164" s="846"/>
      <c r="V2164" s="847"/>
      <c r="W2164" s="846"/>
      <c r="X2164" s="846"/>
      <c r="Y2164" s="740">
        <f t="shared" si="272"/>
        <v>0</v>
      </c>
      <c r="Z2164" s="847"/>
      <c r="AA2164" s="847"/>
      <c r="AB2164" s="741">
        <f t="shared" si="273"/>
        <v>0</v>
      </c>
      <c r="AC2164" s="846"/>
      <c r="AD2164" s="847"/>
      <c r="AE2164" s="846"/>
      <c r="AF2164" s="846"/>
      <c r="AG2164" s="847"/>
      <c r="AH2164" s="847"/>
      <c r="AI2164" s="742">
        <f t="shared" si="277"/>
        <v>2286932</v>
      </c>
      <c r="AJ2164" s="743">
        <f t="shared" si="278"/>
        <v>2441242</v>
      </c>
    </row>
    <row r="2165" spans="1:36">
      <c r="A2165" s="1283" t="s">
        <v>154</v>
      </c>
      <c r="B2165" s="1368" t="s">
        <v>264</v>
      </c>
      <c r="C2165" s="1279" t="s">
        <v>1694</v>
      </c>
      <c r="D2165" s="1280"/>
      <c r="E2165" s="1283">
        <v>375683</v>
      </c>
      <c r="F2165" s="1209">
        <v>13</v>
      </c>
      <c r="G2165" s="846">
        <v>3792370</v>
      </c>
      <c r="H2165" s="847">
        <v>3657540</v>
      </c>
      <c r="I2165" s="846"/>
      <c r="J2165" s="847"/>
      <c r="K2165" s="846"/>
      <c r="L2165" s="847"/>
      <c r="M2165" s="846">
        <v>620230</v>
      </c>
      <c r="N2165" s="846"/>
      <c r="O2165" s="737">
        <f t="shared" si="271"/>
        <v>620230</v>
      </c>
      <c r="P2165" s="847">
        <v>686478</v>
      </c>
      <c r="Q2165" s="847"/>
      <c r="R2165" s="738">
        <f t="shared" si="274"/>
        <v>686478</v>
      </c>
      <c r="S2165" s="737">
        <f t="shared" si="275"/>
        <v>4412600</v>
      </c>
      <c r="T2165" s="739">
        <f t="shared" si="276"/>
        <v>4344018</v>
      </c>
      <c r="U2165" s="846"/>
      <c r="V2165" s="847"/>
      <c r="W2165" s="846"/>
      <c r="X2165" s="846"/>
      <c r="Y2165" s="740">
        <f t="shared" si="272"/>
        <v>0</v>
      </c>
      <c r="Z2165" s="847"/>
      <c r="AA2165" s="847"/>
      <c r="AB2165" s="741">
        <f t="shared" si="273"/>
        <v>0</v>
      </c>
      <c r="AC2165" s="846"/>
      <c r="AD2165" s="847"/>
      <c r="AE2165" s="846"/>
      <c r="AF2165" s="846"/>
      <c r="AG2165" s="847"/>
      <c r="AH2165" s="847"/>
      <c r="AI2165" s="742">
        <f t="shared" si="277"/>
        <v>4412600</v>
      </c>
      <c r="AJ2165" s="743">
        <f t="shared" si="278"/>
        <v>4344018</v>
      </c>
    </row>
    <row r="2166" spans="1:36">
      <c r="A2166" s="1283" t="s">
        <v>154</v>
      </c>
      <c r="B2166" s="1368" t="s">
        <v>264</v>
      </c>
      <c r="C2166" s="1279" t="s">
        <v>1695</v>
      </c>
      <c r="D2166" s="1285"/>
      <c r="E2166" s="1371">
        <v>364548</v>
      </c>
      <c r="F2166" s="1209">
        <v>13</v>
      </c>
      <c r="G2166" s="846">
        <v>6475133</v>
      </c>
      <c r="H2166" s="847">
        <v>6457915</v>
      </c>
      <c r="I2166" s="846"/>
      <c r="J2166" s="847"/>
      <c r="K2166" s="846"/>
      <c r="L2166" s="847"/>
      <c r="M2166" s="846">
        <v>1753061</v>
      </c>
      <c r="N2166" s="846"/>
      <c r="O2166" s="737">
        <f t="shared" si="271"/>
        <v>1753061</v>
      </c>
      <c r="P2166" s="847">
        <v>1787444</v>
      </c>
      <c r="Q2166" s="847"/>
      <c r="R2166" s="738">
        <f t="shared" si="274"/>
        <v>1787444</v>
      </c>
      <c r="S2166" s="737">
        <f t="shared" si="275"/>
        <v>8228194</v>
      </c>
      <c r="T2166" s="739">
        <f t="shared" si="276"/>
        <v>8245359</v>
      </c>
      <c r="U2166" s="846"/>
      <c r="V2166" s="847"/>
      <c r="W2166" s="846"/>
      <c r="X2166" s="846"/>
      <c r="Y2166" s="740">
        <f t="shared" si="272"/>
        <v>0</v>
      </c>
      <c r="Z2166" s="847"/>
      <c r="AA2166" s="847"/>
      <c r="AB2166" s="741">
        <f t="shared" si="273"/>
        <v>0</v>
      </c>
      <c r="AC2166" s="846"/>
      <c r="AD2166" s="847"/>
      <c r="AE2166" s="846"/>
      <c r="AF2166" s="846"/>
      <c r="AG2166" s="847"/>
      <c r="AH2166" s="847"/>
      <c r="AI2166" s="742">
        <f t="shared" si="277"/>
        <v>8228194</v>
      </c>
      <c r="AJ2166" s="743">
        <f t="shared" si="278"/>
        <v>8245359</v>
      </c>
    </row>
    <row r="2167" spans="1:36">
      <c r="A2167" s="1283" t="s">
        <v>154</v>
      </c>
      <c r="B2167" s="1368" t="s">
        <v>264</v>
      </c>
      <c r="C2167" s="1279" t="s">
        <v>1696</v>
      </c>
      <c r="D2167" s="1280"/>
      <c r="E2167" s="1283">
        <v>428019</v>
      </c>
      <c r="F2167" s="1209">
        <v>13</v>
      </c>
      <c r="G2167" s="846">
        <v>1560110</v>
      </c>
      <c r="H2167" s="847">
        <v>1564824</v>
      </c>
      <c r="I2167" s="846"/>
      <c r="J2167" s="847"/>
      <c r="K2167" s="846"/>
      <c r="L2167" s="847"/>
      <c r="M2167" s="846">
        <v>310640</v>
      </c>
      <c r="N2167" s="846"/>
      <c r="O2167" s="737">
        <f t="shared" si="271"/>
        <v>310640</v>
      </c>
      <c r="P2167" s="847">
        <v>396594</v>
      </c>
      <c r="Q2167" s="847"/>
      <c r="R2167" s="738">
        <f t="shared" si="274"/>
        <v>396594</v>
      </c>
      <c r="S2167" s="737">
        <f t="shared" si="275"/>
        <v>1870750</v>
      </c>
      <c r="T2167" s="739">
        <f t="shared" si="276"/>
        <v>1961418</v>
      </c>
      <c r="U2167" s="846"/>
      <c r="V2167" s="847"/>
      <c r="W2167" s="846"/>
      <c r="X2167" s="846"/>
      <c r="Y2167" s="740">
        <f t="shared" si="272"/>
        <v>0</v>
      </c>
      <c r="Z2167" s="847"/>
      <c r="AA2167" s="847"/>
      <c r="AB2167" s="741">
        <f t="shared" si="273"/>
        <v>0</v>
      </c>
      <c r="AC2167" s="846"/>
      <c r="AD2167" s="847"/>
      <c r="AE2167" s="846"/>
      <c r="AF2167" s="846"/>
      <c r="AG2167" s="847"/>
      <c r="AH2167" s="847"/>
      <c r="AI2167" s="742">
        <f t="shared" si="277"/>
        <v>1870750</v>
      </c>
      <c r="AJ2167" s="743">
        <f t="shared" si="278"/>
        <v>1961418</v>
      </c>
    </row>
    <row r="2168" spans="1:36">
      <c r="A2168" s="1283" t="s">
        <v>154</v>
      </c>
      <c r="B2168" s="1368" t="s">
        <v>264</v>
      </c>
      <c r="C2168" s="1279" t="s">
        <v>1697</v>
      </c>
      <c r="D2168" s="1280"/>
      <c r="E2168" s="1283">
        <v>208053</v>
      </c>
      <c r="F2168" s="1209">
        <v>13</v>
      </c>
      <c r="G2168" s="846">
        <v>1900769</v>
      </c>
      <c r="H2168" s="847">
        <v>2201633</v>
      </c>
      <c r="I2168" s="846"/>
      <c r="J2168" s="847"/>
      <c r="K2168" s="846"/>
      <c r="L2168" s="847"/>
      <c r="M2168" s="846">
        <v>298208</v>
      </c>
      <c r="N2168" s="846"/>
      <c r="O2168" s="737">
        <f t="shared" si="271"/>
        <v>298208</v>
      </c>
      <c r="P2168" s="847">
        <v>304061</v>
      </c>
      <c r="Q2168" s="847"/>
      <c r="R2168" s="738">
        <f t="shared" si="274"/>
        <v>304061</v>
      </c>
      <c r="S2168" s="737">
        <f t="shared" si="275"/>
        <v>2198977</v>
      </c>
      <c r="T2168" s="739">
        <f t="shared" si="276"/>
        <v>2505694</v>
      </c>
      <c r="U2168" s="846"/>
      <c r="V2168" s="847"/>
      <c r="W2168" s="846"/>
      <c r="X2168" s="846"/>
      <c r="Y2168" s="740">
        <f t="shared" si="272"/>
        <v>0</v>
      </c>
      <c r="Z2168" s="847"/>
      <c r="AA2168" s="847"/>
      <c r="AB2168" s="741">
        <f t="shared" si="273"/>
        <v>0</v>
      </c>
      <c r="AC2168" s="846"/>
      <c r="AD2168" s="847"/>
      <c r="AE2168" s="846"/>
      <c r="AF2168" s="846"/>
      <c r="AG2168" s="847"/>
      <c r="AH2168" s="847"/>
      <c r="AI2168" s="742">
        <f t="shared" si="277"/>
        <v>2198977</v>
      </c>
      <c r="AJ2168" s="743">
        <f t="shared" si="278"/>
        <v>2505694</v>
      </c>
    </row>
    <row r="2169" spans="1:36">
      <c r="A2169" s="1283" t="s">
        <v>154</v>
      </c>
      <c r="B2169" s="1368" t="s">
        <v>264</v>
      </c>
      <c r="C2169" s="1372" t="s">
        <v>1698</v>
      </c>
      <c r="D2169" s="1373"/>
      <c r="E2169" s="1283">
        <v>418296</v>
      </c>
      <c r="F2169" s="1209">
        <v>13</v>
      </c>
      <c r="G2169" s="846"/>
      <c r="H2169" s="847"/>
      <c r="I2169" s="846"/>
      <c r="J2169" s="847"/>
      <c r="K2169" s="846"/>
      <c r="L2169" s="847"/>
      <c r="M2169" s="846"/>
      <c r="N2169" s="846"/>
      <c r="O2169" s="737">
        <f t="shared" si="271"/>
        <v>0</v>
      </c>
      <c r="P2169" s="847"/>
      <c r="Q2169" s="847"/>
      <c r="R2169" s="738">
        <f t="shared" si="274"/>
        <v>0</v>
      </c>
      <c r="S2169" s="737">
        <f t="shared" si="275"/>
        <v>0</v>
      </c>
      <c r="T2169" s="739">
        <f t="shared" si="276"/>
        <v>0</v>
      </c>
      <c r="U2169" s="846"/>
      <c r="V2169" s="847"/>
      <c r="W2169" s="846"/>
      <c r="X2169" s="846"/>
      <c r="Y2169" s="740">
        <f t="shared" si="272"/>
        <v>0</v>
      </c>
      <c r="Z2169" s="847"/>
      <c r="AA2169" s="847"/>
      <c r="AB2169" s="741">
        <f t="shared" si="273"/>
        <v>0</v>
      </c>
      <c r="AC2169" s="846"/>
      <c r="AD2169" s="847"/>
      <c r="AE2169" s="846"/>
      <c r="AF2169" s="846"/>
      <c r="AG2169" s="847"/>
      <c r="AH2169" s="847"/>
      <c r="AI2169" s="742">
        <f t="shared" si="277"/>
        <v>0</v>
      </c>
      <c r="AJ2169" s="743">
        <f t="shared" si="278"/>
        <v>0</v>
      </c>
    </row>
    <row r="2170" spans="1:36">
      <c r="A2170" s="1283" t="s">
        <v>154</v>
      </c>
      <c r="B2170" s="1368" t="s">
        <v>264</v>
      </c>
      <c r="C2170" s="1372" t="s">
        <v>1699</v>
      </c>
      <c r="D2170" s="1373"/>
      <c r="E2170" s="1283">
        <v>421540</v>
      </c>
      <c r="F2170" s="1209">
        <v>13</v>
      </c>
      <c r="G2170" s="846"/>
      <c r="H2170" s="847"/>
      <c r="I2170" s="846"/>
      <c r="J2170" s="847"/>
      <c r="K2170" s="846"/>
      <c r="L2170" s="847"/>
      <c r="M2170" s="846"/>
      <c r="N2170" s="846"/>
      <c r="O2170" s="737">
        <f t="shared" si="271"/>
        <v>0</v>
      </c>
      <c r="P2170" s="847"/>
      <c r="Q2170" s="847"/>
      <c r="R2170" s="738">
        <f t="shared" si="274"/>
        <v>0</v>
      </c>
      <c r="S2170" s="737">
        <f t="shared" si="275"/>
        <v>0</v>
      </c>
      <c r="T2170" s="739">
        <f t="shared" si="276"/>
        <v>0</v>
      </c>
      <c r="U2170" s="846"/>
      <c r="V2170" s="847"/>
      <c r="W2170" s="846"/>
      <c r="X2170" s="846"/>
      <c r="Y2170" s="740">
        <f t="shared" si="272"/>
        <v>0</v>
      </c>
      <c r="Z2170" s="847"/>
      <c r="AA2170" s="847"/>
      <c r="AB2170" s="741">
        <f t="shared" si="273"/>
        <v>0</v>
      </c>
      <c r="AC2170" s="846"/>
      <c r="AD2170" s="847"/>
      <c r="AE2170" s="846"/>
      <c r="AF2170" s="846"/>
      <c r="AG2170" s="847"/>
      <c r="AH2170" s="847"/>
      <c r="AI2170" s="742">
        <f t="shared" si="277"/>
        <v>0</v>
      </c>
      <c r="AJ2170" s="743">
        <f t="shared" si="278"/>
        <v>0</v>
      </c>
    </row>
    <row r="2171" spans="1:36">
      <c r="A2171" s="1283" t="s">
        <v>154</v>
      </c>
      <c r="B2171" s="1368" t="s">
        <v>264</v>
      </c>
      <c r="C2171" s="1372" t="s">
        <v>1700</v>
      </c>
      <c r="D2171" s="1373"/>
      <c r="E2171" s="1283">
        <v>421559</v>
      </c>
      <c r="F2171" s="1209">
        <v>13</v>
      </c>
      <c r="G2171" s="846"/>
      <c r="H2171" s="847"/>
      <c r="I2171" s="846"/>
      <c r="J2171" s="847"/>
      <c r="K2171" s="846"/>
      <c r="L2171" s="847"/>
      <c r="M2171" s="846"/>
      <c r="N2171" s="846"/>
      <c r="O2171" s="737">
        <f t="shared" si="271"/>
        <v>0</v>
      </c>
      <c r="P2171" s="847"/>
      <c r="Q2171" s="847"/>
      <c r="R2171" s="738">
        <f t="shared" si="274"/>
        <v>0</v>
      </c>
      <c r="S2171" s="737">
        <f t="shared" si="275"/>
        <v>0</v>
      </c>
      <c r="T2171" s="739">
        <f t="shared" si="276"/>
        <v>0</v>
      </c>
      <c r="U2171" s="846"/>
      <c r="V2171" s="847"/>
      <c r="W2171" s="846"/>
      <c r="X2171" s="846"/>
      <c r="Y2171" s="740">
        <f t="shared" si="272"/>
        <v>0</v>
      </c>
      <c r="Z2171" s="847"/>
      <c r="AA2171" s="847"/>
      <c r="AB2171" s="741">
        <f t="shared" si="273"/>
        <v>0</v>
      </c>
      <c r="AC2171" s="846"/>
      <c r="AD2171" s="847"/>
      <c r="AE2171" s="846"/>
      <c r="AF2171" s="846"/>
      <c r="AG2171" s="847"/>
      <c r="AH2171" s="847"/>
      <c r="AI2171" s="742">
        <f t="shared" si="277"/>
        <v>0</v>
      </c>
      <c r="AJ2171" s="743">
        <f t="shared" si="278"/>
        <v>0</v>
      </c>
    </row>
    <row r="2172" spans="1:36">
      <c r="A2172" s="1283" t="s">
        <v>154</v>
      </c>
      <c r="B2172" s="1368" t="s">
        <v>264</v>
      </c>
      <c r="C2172" s="1372" t="s">
        <v>1701</v>
      </c>
      <c r="D2172" s="1373"/>
      <c r="E2172" s="1283">
        <v>208026</v>
      </c>
      <c r="F2172" s="1209">
        <v>13</v>
      </c>
      <c r="G2172" s="846"/>
      <c r="H2172" s="847"/>
      <c r="I2172" s="846"/>
      <c r="J2172" s="847"/>
      <c r="K2172" s="846"/>
      <c r="L2172" s="847"/>
      <c r="M2172" s="846"/>
      <c r="N2172" s="846"/>
      <c r="O2172" s="737">
        <f t="shared" si="271"/>
        <v>0</v>
      </c>
      <c r="P2172" s="847"/>
      <c r="Q2172" s="847"/>
      <c r="R2172" s="738">
        <f t="shared" si="274"/>
        <v>0</v>
      </c>
      <c r="S2172" s="737">
        <f t="shared" si="275"/>
        <v>0</v>
      </c>
      <c r="T2172" s="739">
        <f t="shared" si="276"/>
        <v>0</v>
      </c>
      <c r="U2172" s="846"/>
      <c r="V2172" s="847"/>
      <c r="W2172" s="846"/>
      <c r="X2172" s="846"/>
      <c r="Y2172" s="740">
        <f t="shared" si="272"/>
        <v>0</v>
      </c>
      <c r="Z2172" s="847"/>
      <c r="AA2172" s="847"/>
      <c r="AB2172" s="741">
        <f t="shared" si="273"/>
        <v>0</v>
      </c>
      <c r="AC2172" s="846"/>
      <c r="AD2172" s="847"/>
      <c r="AE2172" s="846"/>
      <c r="AF2172" s="846"/>
      <c r="AG2172" s="847"/>
      <c r="AH2172" s="847"/>
      <c r="AI2172" s="742">
        <f t="shared" si="277"/>
        <v>0</v>
      </c>
      <c r="AJ2172" s="743">
        <f t="shared" si="278"/>
        <v>0</v>
      </c>
    </row>
    <row r="2173" spans="1:36">
      <c r="A2173" s="1283" t="s">
        <v>154</v>
      </c>
      <c r="B2173" s="1368" t="s">
        <v>264</v>
      </c>
      <c r="C2173" s="1374" t="s">
        <v>1702</v>
      </c>
      <c r="D2173" s="1375"/>
      <c r="E2173" s="1283">
        <v>375692</v>
      </c>
      <c r="F2173" s="1209">
        <v>13</v>
      </c>
      <c r="G2173" s="846"/>
      <c r="H2173" s="847"/>
      <c r="I2173" s="846"/>
      <c r="J2173" s="847"/>
      <c r="K2173" s="846"/>
      <c r="L2173" s="847"/>
      <c r="M2173" s="846"/>
      <c r="N2173" s="846"/>
      <c r="O2173" s="737">
        <f t="shared" si="271"/>
        <v>0</v>
      </c>
      <c r="P2173" s="847"/>
      <c r="Q2173" s="847"/>
      <c r="R2173" s="738">
        <f t="shared" si="274"/>
        <v>0</v>
      </c>
      <c r="S2173" s="737">
        <f t="shared" si="275"/>
        <v>0</v>
      </c>
      <c r="T2173" s="739">
        <f t="shared" si="276"/>
        <v>0</v>
      </c>
      <c r="U2173" s="846"/>
      <c r="V2173" s="847"/>
      <c r="W2173" s="846"/>
      <c r="X2173" s="846"/>
      <c r="Y2173" s="740">
        <f t="shared" si="272"/>
        <v>0</v>
      </c>
      <c r="Z2173" s="847"/>
      <c r="AA2173" s="847"/>
      <c r="AB2173" s="741">
        <f t="shared" si="273"/>
        <v>0</v>
      </c>
      <c r="AC2173" s="846"/>
      <c r="AD2173" s="847"/>
      <c r="AE2173" s="846"/>
      <c r="AF2173" s="846"/>
      <c r="AG2173" s="847"/>
      <c r="AH2173" s="847"/>
      <c r="AI2173" s="742">
        <f t="shared" si="277"/>
        <v>0</v>
      </c>
      <c r="AJ2173" s="743">
        <f t="shared" si="278"/>
        <v>0</v>
      </c>
    </row>
    <row r="2174" spans="1:36">
      <c r="A2174" s="1283" t="s">
        <v>154</v>
      </c>
      <c r="B2174" s="1368" t="s">
        <v>264</v>
      </c>
      <c r="C2174" s="1374" t="s">
        <v>1703</v>
      </c>
      <c r="D2174" s="1375"/>
      <c r="E2174" s="1283">
        <v>375708</v>
      </c>
      <c r="F2174" s="1209">
        <v>13</v>
      </c>
      <c r="G2174" s="846"/>
      <c r="H2174" s="847"/>
      <c r="I2174" s="846"/>
      <c r="J2174" s="847"/>
      <c r="K2174" s="846"/>
      <c r="L2174" s="847"/>
      <c r="M2174" s="846"/>
      <c r="N2174" s="846"/>
      <c r="O2174" s="737">
        <f t="shared" si="271"/>
        <v>0</v>
      </c>
      <c r="P2174" s="847"/>
      <c r="Q2174" s="847"/>
      <c r="R2174" s="738">
        <f t="shared" si="274"/>
        <v>0</v>
      </c>
      <c r="S2174" s="737">
        <f t="shared" si="275"/>
        <v>0</v>
      </c>
      <c r="T2174" s="739">
        <f t="shared" si="276"/>
        <v>0</v>
      </c>
      <c r="U2174" s="846"/>
      <c r="V2174" s="847"/>
      <c r="W2174" s="846"/>
      <c r="X2174" s="846"/>
      <c r="Y2174" s="740">
        <f t="shared" si="272"/>
        <v>0</v>
      </c>
      <c r="Z2174" s="847"/>
      <c r="AA2174" s="847"/>
      <c r="AB2174" s="741">
        <f t="shared" si="273"/>
        <v>0</v>
      </c>
      <c r="AC2174" s="846"/>
      <c r="AD2174" s="847"/>
      <c r="AE2174" s="846"/>
      <c r="AF2174" s="846"/>
      <c r="AG2174" s="847"/>
      <c r="AH2174" s="847"/>
      <c r="AI2174" s="742">
        <f t="shared" si="277"/>
        <v>0</v>
      </c>
      <c r="AJ2174" s="743">
        <f t="shared" si="278"/>
        <v>0</v>
      </c>
    </row>
    <row r="2175" spans="1:36">
      <c r="A2175" s="1283" t="s">
        <v>154</v>
      </c>
      <c r="B2175" s="1368" t="s">
        <v>264</v>
      </c>
      <c r="C2175" s="1374" t="s">
        <v>1704</v>
      </c>
      <c r="D2175" s="1375"/>
      <c r="E2175" s="1283">
        <v>375717</v>
      </c>
      <c r="F2175" s="1209">
        <v>13</v>
      </c>
      <c r="G2175" s="846"/>
      <c r="H2175" s="847"/>
      <c r="I2175" s="846"/>
      <c r="J2175" s="847"/>
      <c r="K2175" s="846"/>
      <c r="L2175" s="847"/>
      <c r="M2175" s="846"/>
      <c r="N2175" s="846"/>
      <c r="O2175" s="737">
        <f t="shared" si="271"/>
        <v>0</v>
      </c>
      <c r="P2175" s="847"/>
      <c r="Q2175" s="847"/>
      <c r="R2175" s="738">
        <f t="shared" si="274"/>
        <v>0</v>
      </c>
      <c r="S2175" s="737">
        <f t="shared" si="275"/>
        <v>0</v>
      </c>
      <c r="T2175" s="739">
        <f t="shared" si="276"/>
        <v>0</v>
      </c>
      <c r="U2175" s="846"/>
      <c r="V2175" s="847"/>
      <c r="W2175" s="846"/>
      <c r="X2175" s="846"/>
      <c r="Y2175" s="740">
        <f t="shared" si="272"/>
        <v>0</v>
      </c>
      <c r="Z2175" s="847"/>
      <c r="AA2175" s="847"/>
      <c r="AB2175" s="741">
        <f t="shared" si="273"/>
        <v>0</v>
      </c>
      <c r="AC2175" s="846"/>
      <c r="AD2175" s="847"/>
      <c r="AE2175" s="846"/>
      <c r="AF2175" s="846"/>
      <c r="AG2175" s="847"/>
      <c r="AH2175" s="847"/>
      <c r="AI2175" s="742">
        <f t="shared" si="277"/>
        <v>0</v>
      </c>
      <c r="AJ2175" s="743">
        <f t="shared" si="278"/>
        <v>0</v>
      </c>
    </row>
    <row r="2176" spans="1:36">
      <c r="A2176" s="1283" t="s">
        <v>154</v>
      </c>
      <c r="B2176" s="1368" t="s">
        <v>264</v>
      </c>
      <c r="C2176" s="1374" t="s">
        <v>1705</v>
      </c>
      <c r="D2176" s="1375"/>
      <c r="E2176" s="1283">
        <v>375735</v>
      </c>
      <c r="F2176" s="1209">
        <v>13</v>
      </c>
      <c r="G2176" s="846"/>
      <c r="H2176" s="847"/>
      <c r="I2176" s="846"/>
      <c r="J2176" s="847"/>
      <c r="K2176" s="846"/>
      <c r="L2176" s="847"/>
      <c r="M2176" s="846"/>
      <c r="N2176" s="846"/>
      <c r="O2176" s="737">
        <f t="shared" si="271"/>
        <v>0</v>
      </c>
      <c r="P2176" s="847"/>
      <c r="Q2176" s="847"/>
      <c r="R2176" s="738">
        <f t="shared" si="274"/>
        <v>0</v>
      </c>
      <c r="S2176" s="737">
        <f t="shared" si="275"/>
        <v>0</v>
      </c>
      <c r="T2176" s="739">
        <f t="shared" si="276"/>
        <v>0</v>
      </c>
      <c r="U2176" s="846"/>
      <c r="V2176" s="847"/>
      <c r="W2176" s="846"/>
      <c r="X2176" s="846"/>
      <c r="Y2176" s="740">
        <f t="shared" si="272"/>
        <v>0</v>
      </c>
      <c r="Z2176" s="847"/>
      <c r="AA2176" s="847"/>
      <c r="AB2176" s="741">
        <f t="shared" si="273"/>
        <v>0</v>
      </c>
      <c r="AC2176" s="846"/>
      <c r="AD2176" s="847"/>
      <c r="AE2176" s="846"/>
      <c r="AF2176" s="846"/>
      <c r="AG2176" s="847"/>
      <c r="AH2176" s="847"/>
      <c r="AI2176" s="742">
        <f t="shared" si="277"/>
        <v>0</v>
      </c>
      <c r="AJ2176" s="743">
        <f t="shared" si="278"/>
        <v>0</v>
      </c>
    </row>
    <row r="2177" spans="1:36">
      <c r="A2177" s="1283" t="s">
        <v>154</v>
      </c>
      <c r="B2177" s="1368" t="s">
        <v>264</v>
      </c>
      <c r="C2177" s="1374" t="s">
        <v>1706</v>
      </c>
      <c r="D2177" s="1375"/>
      <c r="E2177" s="1283">
        <v>375726</v>
      </c>
      <c r="F2177" s="1209">
        <v>13</v>
      </c>
      <c r="G2177" s="846"/>
      <c r="H2177" s="847"/>
      <c r="I2177" s="846"/>
      <c r="J2177" s="847"/>
      <c r="K2177" s="846"/>
      <c r="L2177" s="847"/>
      <c r="M2177" s="846"/>
      <c r="N2177" s="846"/>
      <c r="O2177" s="737">
        <f t="shared" si="271"/>
        <v>0</v>
      </c>
      <c r="P2177" s="847"/>
      <c r="Q2177" s="847"/>
      <c r="R2177" s="738">
        <f t="shared" si="274"/>
        <v>0</v>
      </c>
      <c r="S2177" s="737">
        <f t="shared" si="275"/>
        <v>0</v>
      </c>
      <c r="T2177" s="739">
        <f t="shared" si="276"/>
        <v>0</v>
      </c>
      <c r="U2177" s="846"/>
      <c r="V2177" s="847"/>
      <c r="W2177" s="846"/>
      <c r="X2177" s="846"/>
      <c r="Y2177" s="740">
        <f t="shared" si="272"/>
        <v>0</v>
      </c>
      <c r="Z2177" s="847"/>
      <c r="AA2177" s="847"/>
      <c r="AB2177" s="741">
        <f t="shared" si="273"/>
        <v>0</v>
      </c>
      <c r="AC2177" s="846"/>
      <c r="AD2177" s="847"/>
      <c r="AE2177" s="846"/>
      <c r="AF2177" s="846"/>
      <c r="AG2177" s="847"/>
      <c r="AH2177" s="847"/>
      <c r="AI2177" s="742">
        <f t="shared" si="277"/>
        <v>0</v>
      </c>
      <c r="AJ2177" s="743">
        <f t="shared" si="278"/>
        <v>0</v>
      </c>
    </row>
    <row r="2178" spans="1:36">
      <c r="A2178" s="1283" t="s">
        <v>154</v>
      </c>
      <c r="B2178" s="1368" t="s">
        <v>264</v>
      </c>
      <c r="C2178" s="1374" t="s">
        <v>1707</v>
      </c>
      <c r="D2178" s="1375"/>
      <c r="E2178" s="1283">
        <v>375744</v>
      </c>
      <c r="F2178" s="1209">
        <v>13</v>
      </c>
      <c r="G2178" s="846"/>
      <c r="H2178" s="847"/>
      <c r="I2178" s="846"/>
      <c r="J2178" s="847"/>
      <c r="K2178" s="846"/>
      <c r="L2178" s="847"/>
      <c r="M2178" s="846"/>
      <c r="N2178" s="846"/>
      <c r="O2178" s="737">
        <f t="shared" si="271"/>
        <v>0</v>
      </c>
      <c r="P2178" s="847"/>
      <c r="Q2178" s="847"/>
      <c r="R2178" s="738">
        <f t="shared" si="274"/>
        <v>0</v>
      </c>
      <c r="S2178" s="737">
        <f t="shared" si="275"/>
        <v>0</v>
      </c>
      <c r="T2178" s="739">
        <f t="shared" si="276"/>
        <v>0</v>
      </c>
      <c r="U2178" s="846"/>
      <c r="V2178" s="847"/>
      <c r="W2178" s="846"/>
      <c r="X2178" s="846"/>
      <c r="Y2178" s="740">
        <f t="shared" si="272"/>
        <v>0</v>
      </c>
      <c r="Z2178" s="847"/>
      <c r="AA2178" s="847"/>
      <c r="AB2178" s="741">
        <f t="shared" si="273"/>
        <v>0</v>
      </c>
      <c r="AC2178" s="846"/>
      <c r="AD2178" s="847"/>
      <c r="AE2178" s="846"/>
      <c r="AF2178" s="846"/>
      <c r="AG2178" s="847"/>
      <c r="AH2178" s="847"/>
      <c r="AI2178" s="742">
        <f t="shared" si="277"/>
        <v>0</v>
      </c>
      <c r="AJ2178" s="743">
        <f t="shared" si="278"/>
        <v>0</v>
      </c>
    </row>
    <row r="2179" spans="1:36">
      <c r="A2179" s="1283" t="s">
        <v>154</v>
      </c>
      <c r="B2179" s="1368" t="s">
        <v>264</v>
      </c>
      <c r="C2179" s="1374" t="s">
        <v>1708</v>
      </c>
      <c r="D2179" s="1375"/>
      <c r="E2179" s="1283">
        <v>375753</v>
      </c>
      <c r="F2179" s="1209">
        <v>13</v>
      </c>
      <c r="G2179" s="846"/>
      <c r="H2179" s="847"/>
      <c r="I2179" s="846"/>
      <c r="J2179" s="847"/>
      <c r="K2179" s="846"/>
      <c r="L2179" s="847"/>
      <c r="M2179" s="846"/>
      <c r="N2179" s="846"/>
      <c r="O2179" s="737">
        <f t="shared" si="271"/>
        <v>0</v>
      </c>
      <c r="P2179" s="847"/>
      <c r="Q2179" s="847"/>
      <c r="R2179" s="738">
        <f t="shared" si="274"/>
        <v>0</v>
      </c>
      <c r="S2179" s="737">
        <f t="shared" si="275"/>
        <v>0</v>
      </c>
      <c r="T2179" s="739">
        <f t="shared" si="276"/>
        <v>0</v>
      </c>
      <c r="U2179" s="846"/>
      <c r="V2179" s="847"/>
      <c r="W2179" s="846"/>
      <c r="X2179" s="846"/>
      <c r="Y2179" s="740">
        <f t="shared" si="272"/>
        <v>0</v>
      </c>
      <c r="Z2179" s="847"/>
      <c r="AA2179" s="847"/>
      <c r="AB2179" s="741">
        <f t="shared" si="273"/>
        <v>0</v>
      </c>
      <c r="AC2179" s="846"/>
      <c r="AD2179" s="847"/>
      <c r="AE2179" s="846"/>
      <c r="AF2179" s="846"/>
      <c r="AG2179" s="847"/>
      <c r="AH2179" s="847"/>
      <c r="AI2179" s="742">
        <f t="shared" si="277"/>
        <v>0</v>
      </c>
      <c r="AJ2179" s="743">
        <f t="shared" si="278"/>
        <v>0</v>
      </c>
    </row>
    <row r="2180" spans="1:36">
      <c r="A2180" s="1283" t="s">
        <v>154</v>
      </c>
      <c r="B2180" s="1368" t="s">
        <v>264</v>
      </c>
      <c r="C2180" s="1374" t="s">
        <v>1709</v>
      </c>
      <c r="D2180" s="1375"/>
      <c r="E2180" s="1283">
        <v>405748</v>
      </c>
      <c r="F2180" s="1209">
        <v>13</v>
      </c>
      <c r="G2180" s="846"/>
      <c r="H2180" s="847"/>
      <c r="I2180" s="846"/>
      <c r="J2180" s="847"/>
      <c r="K2180" s="846"/>
      <c r="L2180" s="847"/>
      <c r="M2180" s="846"/>
      <c r="N2180" s="846"/>
      <c r="O2180" s="737">
        <f t="shared" si="271"/>
        <v>0</v>
      </c>
      <c r="P2180" s="847"/>
      <c r="Q2180" s="847"/>
      <c r="R2180" s="738">
        <f t="shared" si="274"/>
        <v>0</v>
      </c>
      <c r="S2180" s="737">
        <f t="shared" si="275"/>
        <v>0</v>
      </c>
      <c r="T2180" s="739">
        <f t="shared" si="276"/>
        <v>0</v>
      </c>
      <c r="U2180" s="846"/>
      <c r="V2180" s="847"/>
      <c r="W2180" s="846"/>
      <c r="X2180" s="846"/>
      <c r="Y2180" s="740">
        <f t="shared" si="272"/>
        <v>0</v>
      </c>
      <c r="Z2180" s="847"/>
      <c r="AA2180" s="847"/>
      <c r="AB2180" s="741">
        <f t="shared" si="273"/>
        <v>0</v>
      </c>
      <c r="AC2180" s="846"/>
      <c r="AD2180" s="847"/>
      <c r="AE2180" s="846"/>
      <c r="AF2180" s="846"/>
      <c r="AG2180" s="847"/>
      <c r="AH2180" s="847"/>
      <c r="AI2180" s="742">
        <f t="shared" si="277"/>
        <v>0</v>
      </c>
      <c r="AJ2180" s="743">
        <f t="shared" si="278"/>
        <v>0</v>
      </c>
    </row>
    <row r="2181" spans="1:36">
      <c r="A2181" s="1283" t="s">
        <v>154</v>
      </c>
      <c r="B2181" s="1368" t="s">
        <v>264</v>
      </c>
      <c r="C2181" s="1374" t="s">
        <v>1710</v>
      </c>
      <c r="D2181" s="1375"/>
      <c r="E2181" s="1283">
        <v>375762</v>
      </c>
      <c r="F2181" s="1209">
        <v>13</v>
      </c>
      <c r="G2181" s="846"/>
      <c r="H2181" s="847"/>
      <c r="I2181" s="846"/>
      <c r="J2181" s="847"/>
      <c r="K2181" s="846"/>
      <c r="L2181" s="847"/>
      <c r="M2181" s="846"/>
      <c r="N2181" s="846"/>
      <c r="O2181" s="737">
        <f t="shared" si="271"/>
        <v>0</v>
      </c>
      <c r="P2181" s="847"/>
      <c r="Q2181" s="847"/>
      <c r="R2181" s="738">
        <f t="shared" si="274"/>
        <v>0</v>
      </c>
      <c r="S2181" s="737">
        <f t="shared" si="275"/>
        <v>0</v>
      </c>
      <c r="T2181" s="739">
        <f t="shared" si="276"/>
        <v>0</v>
      </c>
      <c r="U2181" s="846"/>
      <c r="V2181" s="847"/>
      <c r="W2181" s="846"/>
      <c r="X2181" s="846"/>
      <c r="Y2181" s="740">
        <f t="shared" si="272"/>
        <v>0</v>
      </c>
      <c r="Z2181" s="847"/>
      <c r="AA2181" s="847"/>
      <c r="AB2181" s="741">
        <f t="shared" si="273"/>
        <v>0</v>
      </c>
      <c r="AC2181" s="846"/>
      <c r="AD2181" s="847"/>
      <c r="AE2181" s="846"/>
      <c r="AF2181" s="846"/>
      <c r="AG2181" s="847"/>
      <c r="AH2181" s="847"/>
      <c r="AI2181" s="742">
        <f t="shared" si="277"/>
        <v>0</v>
      </c>
      <c r="AJ2181" s="743">
        <f t="shared" si="278"/>
        <v>0</v>
      </c>
    </row>
    <row r="2182" spans="1:36">
      <c r="A2182" s="1283" t="s">
        <v>154</v>
      </c>
      <c r="B2182" s="1368" t="s">
        <v>264</v>
      </c>
      <c r="C2182" s="1279" t="s">
        <v>1711</v>
      </c>
      <c r="D2182" s="1280"/>
      <c r="E2182" s="1283">
        <v>365480</v>
      </c>
      <c r="F2182" s="1209">
        <v>13</v>
      </c>
      <c r="G2182" s="846">
        <v>3411804</v>
      </c>
      <c r="H2182" s="847">
        <v>3673119</v>
      </c>
      <c r="I2182" s="846"/>
      <c r="J2182" s="847"/>
      <c r="K2182" s="846"/>
      <c r="L2182" s="847"/>
      <c r="M2182" s="846">
        <v>834215</v>
      </c>
      <c r="N2182" s="846"/>
      <c r="O2182" s="737">
        <f t="shared" si="271"/>
        <v>834215</v>
      </c>
      <c r="P2182" s="847">
        <v>886649</v>
      </c>
      <c r="Q2182" s="847"/>
      <c r="R2182" s="738">
        <f t="shared" si="274"/>
        <v>886649</v>
      </c>
      <c r="S2182" s="737">
        <f t="shared" si="275"/>
        <v>4246019</v>
      </c>
      <c r="T2182" s="739">
        <f t="shared" si="276"/>
        <v>4559768</v>
      </c>
      <c r="U2182" s="846"/>
      <c r="V2182" s="847"/>
      <c r="W2182" s="846"/>
      <c r="X2182" s="846"/>
      <c r="Y2182" s="740">
        <f t="shared" si="272"/>
        <v>0</v>
      </c>
      <c r="Z2182" s="847"/>
      <c r="AA2182" s="847"/>
      <c r="AB2182" s="741">
        <f t="shared" si="273"/>
        <v>0</v>
      </c>
      <c r="AC2182" s="846"/>
      <c r="AD2182" s="847"/>
      <c r="AE2182" s="846"/>
      <c r="AF2182" s="846"/>
      <c r="AG2182" s="847"/>
      <c r="AH2182" s="847"/>
      <c r="AI2182" s="742">
        <f t="shared" si="277"/>
        <v>4246019</v>
      </c>
      <c r="AJ2182" s="743">
        <f t="shared" si="278"/>
        <v>4559768</v>
      </c>
    </row>
    <row r="2183" spans="1:36">
      <c r="A2183" s="1283" t="s">
        <v>154</v>
      </c>
      <c r="B2183" s="1368" t="s">
        <v>264</v>
      </c>
      <c r="C2183" s="1279" t="s">
        <v>1712</v>
      </c>
      <c r="D2183" s="1280"/>
      <c r="E2183" s="1283">
        <v>418320</v>
      </c>
      <c r="F2183" s="1209">
        <v>13</v>
      </c>
      <c r="G2183" s="846">
        <v>2743533</v>
      </c>
      <c r="H2183" s="847">
        <v>2800490</v>
      </c>
      <c r="I2183" s="846"/>
      <c r="J2183" s="847"/>
      <c r="K2183" s="846"/>
      <c r="L2183" s="847"/>
      <c r="M2183" s="846">
        <v>555120</v>
      </c>
      <c r="N2183" s="846"/>
      <c r="O2183" s="737">
        <f t="shared" si="271"/>
        <v>555120</v>
      </c>
      <c r="P2183" s="847">
        <v>534847</v>
      </c>
      <c r="Q2183" s="847"/>
      <c r="R2183" s="738">
        <f t="shared" si="274"/>
        <v>534847</v>
      </c>
      <c r="S2183" s="737">
        <f t="shared" si="275"/>
        <v>3298653</v>
      </c>
      <c r="T2183" s="739">
        <f t="shared" si="276"/>
        <v>3335337</v>
      </c>
      <c r="U2183" s="846"/>
      <c r="V2183" s="847"/>
      <c r="W2183" s="846"/>
      <c r="X2183" s="846"/>
      <c r="Y2183" s="740">
        <f t="shared" si="272"/>
        <v>0</v>
      </c>
      <c r="Z2183" s="847"/>
      <c r="AA2183" s="847"/>
      <c r="AB2183" s="741">
        <f t="shared" si="273"/>
        <v>0</v>
      </c>
      <c r="AC2183" s="846"/>
      <c r="AD2183" s="847"/>
      <c r="AE2183" s="846"/>
      <c r="AF2183" s="846"/>
      <c r="AG2183" s="847"/>
      <c r="AH2183" s="847"/>
      <c r="AI2183" s="742">
        <f t="shared" si="277"/>
        <v>3298653</v>
      </c>
      <c r="AJ2183" s="743">
        <f t="shared" si="278"/>
        <v>3335337</v>
      </c>
    </row>
    <row r="2184" spans="1:36">
      <c r="A2184" s="1283" t="s">
        <v>154</v>
      </c>
      <c r="B2184" s="1368" t="s">
        <v>264</v>
      </c>
      <c r="C2184" s="1279" t="s">
        <v>1713</v>
      </c>
      <c r="D2184" s="1280"/>
      <c r="E2184" s="1283">
        <v>431017</v>
      </c>
      <c r="F2184" s="1209">
        <v>13</v>
      </c>
      <c r="G2184" s="846">
        <v>1995116</v>
      </c>
      <c r="H2184" s="847">
        <v>1865713</v>
      </c>
      <c r="I2184" s="846"/>
      <c r="J2184" s="847"/>
      <c r="K2184" s="846"/>
      <c r="L2184" s="847"/>
      <c r="M2184" s="846">
        <v>68211</v>
      </c>
      <c r="N2184" s="846"/>
      <c r="O2184" s="737">
        <f t="shared" si="271"/>
        <v>68211</v>
      </c>
      <c r="P2184" s="847">
        <v>186350</v>
      </c>
      <c r="Q2184" s="847"/>
      <c r="R2184" s="738">
        <f t="shared" si="274"/>
        <v>186350</v>
      </c>
      <c r="S2184" s="737">
        <f t="shared" si="275"/>
        <v>2063327</v>
      </c>
      <c r="T2184" s="739">
        <f t="shared" si="276"/>
        <v>2052063</v>
      </c>
      <c r="U2184" s="846"/>
      <c r="V2184" s="847"/>
      <c r="W2184" s="846"/>
      <c r="X2184" s="846"/>
      <c r="Y2184" s="740">
        <f t="shared" si="272"/>
        <v>0</v>
      </c>
      <c r="Z2184" s="847"/>
      <c r="AA2184" s="847"/>
      <c r="AB2184" s="741">
        <f t="shared" si="273"/>
        <v>0</v>
      </c>
      <c r="AC2184" s="846"/>
      <c r="AD2184" s="847"/>
      <c r="AE2184" s="846"/>
      <c r="AF2184" s="846"/>
      <c r="AG2184" s="847"/>
      <c r="AH2184" s="847"/>
      <c r="AI2184" s="742">
        <f t="shared" si="277"/>
        <v>2063327</v>
      </c>
      <c r="AJ2184" s="743">
        <f t="shared" si="278"/>
        <v>2052063</v>
      </c>
    </row>
    <row r="2185" spans="1:36">
      <c r="A2185" s="1283" t="s">
        <v>154</v>
      </c>
      <c r="B2185" s="1368" t="s">
        <v>264</v>
      </c>
      <c r="C2185" s="1369" t="s">
        <v>1714</v>
      </c>
      <c r="D2185" s="1370"/>
      <c r="E2185" s="1283">
        <v>248606</v>
      </c>
      <c r="F2185" s="1209">
        <v>13</v>
      </c>
      <c r="G2185" s="846">
        <v>3458751</v>
      </c>
      <c r="H2185" s="847">
        <v>3300677</v>
      </c>
      <c r="I2185" s="846"/>
      <c r="J2185" s="847"/>
      <c r="K2185" s="846"/>
      <c r="L2185" s="847"/>
      <c r="M2185" s="846">
        <v>1729409</v>
      </c>
      <c r="N2185" s="846"/>
      <c r="O2185" s="737">
        <f t="shared" si="271"/>
        <v>1729409</v>
      </c>
      <c r="P2185" s="847">
        <v>2150349</v>
      </c>
      <c r="Q2185" s="847"/>
      <c r="R2185" s="738">
        <f t="shared" si="274"/>
        <v>2150349</v>
      </c>
      <c r="S2185" s="737">
        <f t="shared" si="275"/>
        <v>5188160</v>
      </c>
      <c r="T2185" s="739">
        <f t="shared" si="276"/>
        <v>5451026</v>
      </c>
      <c r="U2185" s="846"/>
      <c r="V2185" s="847"/>
      <c r="W2185" s="846"/>
      <c r="X2185" s="846"/>
      <c r="Y2185" s="740">
        <f t="shared" si="272"/>
        <v>0</v>
      </c>
      <c r="Z2185" s="847"/>
      <c r="AA2185" s="847"/>
      <c r="AB2185" s="741">
        <f t="shared" si="273"/>
        <v>0</v>
      </c>
      <c r="AC2185" s="846"/>
      <c r="AD2185" s="847"/>
      <c r="AE2185" s="846"/>
      <c r="AF2185" s="846"/>
      <c r="AG2185" s="847"/>
      <c r="AH2185" s="847"/>
      <c r="AI2185" s="742">
        <f t="shared" si="277"/>
        <v>5188160</v>
      </c>
      <c r="AJ2185" s="743">
        <f t="shared" si="278"/>
        <v>5451026</v>
      </c>
    </row>
    <row r="2186" spans="1:36">
      <c r="A2186" s="1283" t="s">
        <v>154</v>
      </c>
      <c r="B2186" s="1368" t="s">
        <v>264</v>
      </c>
      <c r="C2186" s="1376" t="s">
        <v>1715</v>
      </c>
      <c r="D2186" s="1377"/>
      <c r="E2186" s="1283">
        <v>420459</v>
      </c>
      <c r="F2186" s="1209">
        <v>13</v>
      </c>
      <c r="G2186" s="846"/>
      <c r="H2186" s="847"/>
      <c r="I2186" s="846"/>
      <c r="J2186" s="847"/>
      <c r="K2186" s="846"/>
      <c r="L2186" s="847"/>
      <c r="M2186" s="846"/>
      <c r="N2186" s="846"/>
      <c r="O2186" s="737">
        <f t="shared" ref="O2186:O2249" si="279">SUM(M2186:N2186)</f>
        <v>0</v>
      </c>
      <c r="P2186" s="847"/>
      <c r="Q2186" s="847"/>
      <c r="R2186" s="738">
        <f t="shared" si="274"/>
        <v>0</v>
      </c>
      <c r="S2186" s="737">
        <f t="shared" si="275"/>
        <v>0</v>
      </c>
      <c r="T2186" s="739">
        <f t="shared" si="276"/>
        <v>0</v>
      </c>
      <c r="U2186" s="846"/>
      <c r="V2186" s="847"/>
      <c r="W2186" s="846"/>
      <c r="X2186" s="846"/>
      <c r="Y2186" s="740">
        <f t="shared" ref="Y2186:Y2249" si="280">SUM(W2186:X2186)</f>
        <v>0</v>
      </c>
      <c r="Z2186" s="847"/>
      <c r="AA2186" s="847"/>
      <c r="AB2186" s="741">
        <f t="shared" ref="AB2186:AB2249" si="281">SUM(Z2186:AA2186)</f>
        <v>0</v>
      </c>
      <c r="AC2186" s="846"/>
      <c r="AD2186" s="847"/>
      <c r="AE2186" s="846"/>
      <c r="AF2186" s="846"/>
      <c r="AG2186" s="847"/>
      <c r="AH2186" s="847"/>
      <c r="AI2186" s="742">
        <f t="shared" si="277"/>
        <v>0</v>
      </c>
      <c r="AJ2186" s="743">
        <f t="shared" si="278"/>
        <v>0</v>
      </c>
    </row>
    <row r="2187" spans="1:36">
      <c r="A2187" s="1283" t="s">
        <v>154</v>
      </c>
      <c r="B2187" s="1368" t="s">
        <v>264</v>
      </c>
      <c r="C2187" s="1378" t="s">
        <v>1716</v>
      </c>
      <c r="D2187" s="1379"/>
      <c r="E2187" s="1380">
        <v>456560</v>
      </c>
      <c r="F2187" s="1381">
        <v>13</v>
      </c>
      <c r="G2187" s="846"/>
      <c r="H2187" s="847"/>
      <c r="I2187" s="846"/>
      <c r="J2187" s="847"/>
      <c r="K2187" s="846"/>
      <c r="L2187" s="847"/>
      <c r="M2187" s="846"/>
      <c r="N2187" s="846"/>
      <c r="O2187" s="737">
        <f t="shared" si="279"/>
        <v>0</v>
      </c>
      <c r="P2187" s="847"/>
      <c r="Q2187" s="847"/>
      <c r="R2187" s="738">
        <f t="shared" ref="R2187:R2250" si="282">SUM(P2187:Q2187)</f>
        <v>0</v>
      </c>
      <c r="S2187" s="737">
        <f t="shared" ref="S2187:S2250" si="283">SUM(G2187,I2187,K2187,M2187)</f>
        <v>0</v>
      </c>
      <c r="T2187" s="739">
        <f t="shared" ref="T2187:T2250" si="284">SUM(H2187,J2187,L2187,P2187)</f>
        <v>0</v>
      </c>
      <c r="U2187" s="846"/>
      <c r="V2187" s="847"/>
      <c r="W2187" s="846"/>
      <c r="X2187" s="846"/>
      <c r="Y2187" s="740">
        <f t="shared" si="280"/>
        <v>0</v>
      </c>
      <c r="Z2187" s="847"/>
      <c r="AA2187" s="847"/>
      <c r="AB2187" s="741">
        <f t="shared" si="281"/>
        <v>0</v>
      </c>
      <c r="AC2187" s="846"/>
      <c r="AD2187" s="847"/>
      <c r="AE2187" s="846"/>
      <c r="AF2187" s="846"/>
      <c r="AG2187" s="847"/>
      <c r="AH2187" s="847"/>
      <c r="AI2187" s="742">
        <f t="shared" ref="AI2187:AI2250" si="285">SUM(S2187,U2187,W2187,AC2187,AE2187)</f>
        <v>0</v>
      </c>
      <c r="AJ2187" s="743">
        <f t="shared" ref="AJ2187:AJ2250" si="286">SUM(T2187,V2187,Z2187,AD2187,AG2187)</f>
        <v>0</v>
      </c>
    </row>
    <row r="2188" spans="1:36">
      <c r="A2188" s="1283" t="s">
        <v>154</v>
      </c>
      <c r="B2188" s="1368" t="s">
        <v>264</v>
      </c>
      <c r="C2188" s="1382" t="s">
        <v>1717</v>
      </c>
      <c r="D2188" s="1383"/>
      <c r="E2188" s="1384">
        <v>432074</v>
      </c>
      <c r="F2188" s="1209">
        <v>13</v>
      </c>
      <c r="G2188" s="846"/>
      <c r="H2188" s="847"/>
      <c r="I2188" s="846"/>
      <c r="J2188" s="847"/>
      <c r="K2188" s="846"/>
      <c r="L2188" s="847"/>
      <c r="M2188" s="846"/>
      <c r="N2188" s="846"/>
      <c r="O2188" s="737">
        <f t="shared" si="279"/>
        <v>0</v>
      </c>
      <c r="P2188" s="847"/>
      <c r="Q2188" s="847"/>
      <c r="R2188" s="738">
        <f t="shared" si="282"/>
        <v>0</v>
      </c>
      <c r="S2188" s="737">
        <f t="shared" si="283"/>
        <v>0</v>
      </c>
      <c r="T2188" s="739">
        <f t="shared" si="284"/>
        <v>0</v>
      </c>
      <c r="U2188" s="846"/>
      <c r="V2188" s="847"/>
      <c r="W2188" s="846"/>
      <c r="X2188" s="846"/>
      <c r="Y2188" s="740">
        <f t="shared" si="280"/>
        <v>0</v>
      </c>
      <c r="Z2188" s="847"/>
      <c r="AA2188" s="847"/>
      <c r="AB2188" s="741">
        <f t="shared" si="281"/>
        <v>0</v>
      </c>
      <c r="AC2188" s="846"/>
      <c r="AD2188" s="847"/>
      <c r="AE2188" s="846"/>
      <c r="AF2188" s="846"/>
      <c r="AG2188" s="847"/>
      <c r="AH2188" s="847"/>
      <c r="AI2188" s="742">
        <f t="shared" si="285"/>
        <v>0</v>
      </c>
      <c r="AJ2188" s="743">
        <f t="shared" si="286"/>
        <v>0</v>
      </c>
    </row>
    <row r="2189" spans="1:36">
      <c r="A2189" s="1283" t="s">
        <v>154</v>
      </c>
      <c r="B2189" s="1368" t="s">
        <v>264</v>
      </c>
      <c r="C2189" s="1382" t="s">
        <v>1718</v>
      </c>
      <c r="D2189" s="1383"/>
      <c r="E2189" s="1384">
        <v>418339</v>
      </c>
      <c r="F2189" s="1209">
        <v>13</v>
      </c>
      <c r="G2189" s="846"/>
      <c r="H2189" s="847"/>
      <c r="I2189" s="846"/>
      <c r="J2189" s="847"/>
      <c r="K2189" s="846"/>
      <c r="L2189" s="847"/>
      <c r="M2189" s="846"/>
      <c r="N2189" s="846"/>
      <c r="O2189" s="737">
        <f t="shared" si="279"/>
        <v>0</v>
      </c>
      <c r="P2189" s="847"/>
      <c r="Q2189" s="847"/>
      <c r="R2189" s="738">
        <f t="shared" si="282"/>
        <v>0</v>
      </c>
      <c r="S2189" s="737">
        <f t="shared" si="283"/>
        <v>0</v>
      </c>
      <c r="T2189" s="739">
        <f t="shared" si="284"/>
        <v>0</v>
      </c>
      <c r="U2189" s="846"/>
      <c r="V2189" s="847"/>
      <c r="W2189" s="846"/>
      <c r="X2189" s="846"/>
      <c r="Y2189" s="740">
        <f t="shared" si="280"/>
        <v>0</v>
      </c>
      <c r="Z2189" s="847"/>
      <c r="AA2189" s="847"/>
      <c r="AB2189" s="741">
        <f t="shared" si="281"/>
        <v>0</v>
      </c>
      <c r="AC2189" s="846"/>
      <c r="AD2189" s="847"/>
      <c r="AE2189" s="846"/>
      <c r="AF2189" s="846"/>
      <c r="AG2189" s="847"/>
      <c r="AH2189" s="847"/>
      <c r="AI2189" s="742">
        <f t="shared" si="285"/>
        <v>0</v>
      </c>
      <c r="AJ2189" s="743">
        <f t="shared" si="286"/>
        <v>0</v>
      </c>
    </row>
    <row r="2190" spans="1:36">
      <c r="A2190" s="1283" t="s">
        <v>154</v>
      </c>
      <c r="B2190" s="1368" t="s">
        <v>264</v>
      </c>
      <c r="C2190" s="1385" t="s">
        <v>1719</v>
      </c>
      <c r="D2190" s="1386"/>
      <c r="E2190" s="1384">
        <v>366623</v>
      </c>
      <c r="F2190" s="1209">
        <v>13</v>
      </c>
      <c r="G2190" s="846"/>
      <c r="H2190" s="847"/>
      <c r="I2190" s="846"/>
      <c r="J2190" s="847"/>
      <c r="K2190" s="846"/>
      <c r="L2190" s="847"/>
      <c r="M2190" s="846"/>
      <c r="N2190" s="846"/>
      <c r="O2190" s="737">
        <f t="shared" si="279"/>
        <v>0</v>
      </c>
      <c r="P2190" s="847"/>
      <c r="Q2190" s="847"/>
      <c r="R2190" s="738">
        <f t="shared" si="282"/>
        <v>0</v>
      </c>
      <c r="S2190" s="737">
        <f t="shared" si="283"/>
        <v>0</v>
      </c>
      <c r="T2190" s="739">
        <f t="shared" si="284"/>
        <v>0</v>
      </c>
      <c r="U2190" s="846"/>
      <c r="V2190" s="847"/>
      <c r="W2190" s="846"/>
      <c r="X2190" s="846"/>
      <c r="Y2190" s="740">
        <f t="shared" si="280"/>
        <v>0</v>
      </c>
      <c r="Z2190" s="847"/>
      <c r="AA2190" s="847"/>
      <c r="AB2190" s="741">
        <f t="shared" si="281"/>
        <v>0</v>
      </c>
      <c r="AC2190" s="846"/>
      <c r="AD2190" s="847"/>
      <c r="AE2190" s="846"/>
      <c r="AF2190" s="846"/>
      <c r="AG2190" s="847"/>
      <c r="AH2190" s="847"/>
      <c r="AI2190" s="742">
        <f t="shared" si="285"/>
        <v>0</v>
      </c>
      <c r="AJ2190" s="743">
        <f t="shared" si="286"/>
        <v>0</v>
      </c>
    </row>
    <row r="2191" spans="1:36">
      <c r="A2191" s="1283" t="s">
        <v>154</v>
      </c>
      <c r="B2191" s="1368" t="s">
        <v>264</v>
      </c>
      <c r="C2191" s="1385" t="s">
        <v>1720</v>
      </c>
      <c r="D2191" s="1386"/>
      <c r="E2191" s="1384">
        <v>407601</v>
      </c>
      <c r="F2191" s="1209">
        <v>13</v>
      </c>
      <c r="G2191" s="846"/>
      <c r="H2191" s="847"/>
      <c r="I2191" s="846"/>
      <c r="J2191" s="847"/>
      <c r="K2191" s="846"/>
      <c r="L2191" s="847"/>
      <c r="M2191" s="846"/>
      <c r="N2191" s="846"/>
      <c r="O2191" s="737">
        <f t="shared" si="279"/>
        <v>0</v>
      </c>
      <c r="P2191" s="847"/>
      <c r="Q2191" s="847"/>
      <c r="R2191" s="738">
        <f t="shared" si="282"/>
        <v>0</v>
      </c>
      <c r="S2191" s="737">
        <f t="shared" si="283"/>
        <v>0</v>
      </c>
      <c r="T2191" s="739">
        <f t="shared" si="284"/>
        <v>0</v>
      </c>
      <c r="U2191" s="846"/>
      <c r="V2191" s="847"/>
      <c r="W2191" s="846"/>
      <c r="X2191" s="846"/>
      <c r="Y2191" s="740">
        <f t="shared" si="280"/>
        <v>0</v>
      </c>
      <c r="Z2191" s="847"/>
      <c r="AA2191" s="847"/>
      <c r="AB2191" s="741">
        <f t="shared" si="281"/>
        <v>0</v>
      </c>
      <c r="AC2191" s="846"/>
      <c r="AD2191" s="847"/>
      <c r="AE2191" s="846"/>
      <c r="AF2191" s="846"/>
      <c r="AG2191" s="847"/>
      <c r="AH2191" s="847"/>
      <c r="AI2191" s="742">
        <f t="shared" si="285"/>
        <v>0</v>
      </c>
      <c r="AJ2191" s="743">
        <f t="shared" si="286"/>
        <v>0</v>
      </c>
    </row>
    <row r="2192" spans="1:36">
      <c r="A2192" s="1283" t="s">
        <v>154</v>
      </c>
      <c r="B2192" s="1368" t="s">
        <v>264</v>
      </c>
      <c r="C2192" s="1368" t="s">
        <v>1721</v>
      </c>
      <c r="D2192" s="1387"/>
      <c r="E2192" s="1384">
        <v>364627</v>
      </c>
      <c r="F2192" s="1209">
        <v>13</v>
      </c>
      <c r="G2192" s="846">
        <v>2459148</v>
      </c>
      <c r="H2192" s="847">
        <v>2355295</v>
      </c>
      <c r="I2192" s="846"/>
      <c r="J2192" s="847"/>
      <c r="K2192" s="846"/>
      <c r="L2192" s="847"/>
      <c r="M2192" s="846">
        <v>481702</v>
      </c>
      <c r="N2192" s="846"/>
      <c r="O2192" s="737">
        <f t="shared" si="279"/>
        <v>481702</v>
      </c>
      <c r="P2192" s="847">
        <v>551325</v>
      </c>
      <c r="Q2192" s="847"/>
      <c r="R2192" s="738">
        <f t="shared" si="282"/>
        <v>551325</v>
      </c>
      <c r="S2192" s="737">
        <f t="shared" si="283"/>
        <v>2940850</v>
      </c>
      <c r="T2192" s="739">
        <f t="shared" si="284"/>
        <v>2906620</v>
      </c>
      <c r="U2192" s="846"/>
      <c r="V2192" s="847"/>
      <c r="W2192" s="846"/>
      <c r="X2192" s="846"/>
      <c r="Y2192" s="740">
        <f t="shared" si="280"/>
        <v>0</v>
      </c>
      <c r="Z2192" s="847"/>
      <c r="AA2192" s="847"/>
      <c r="AB2192" s="741">
        <f t="shared" si="281"/>
        <v>0</v>
      </c>
      <c r="AC2192" s="846"/>
      <c r="AD2192" s="847"/>
      <c r="AE2192" s="846"/>
      <c r="AF2192" s="846"/>
      <c r="AG2192" s="847"/>
      <c r="AH2192" s="847"/>
      <c r="AI2192" s="742">
        <f t="shared" si="285"/>
        <v>2940850</v>
      </c>
      <c r="AJ2192" s="743">
        <f t="shared" si="286"/>
        <v>2906620</v>
      </c>
    </row>
    <row r="2193" spans="1:36">
      <c r="A2193" s="1283" t="s">
        <v>154</v>
      </c>
      <c r="B2193" s="1368" t="s">
        <v>264</v>
      </c>
      <c r="C2193" s="1368" t="s">
        <v>1722</v>
      </c>
      <c r="D2193" s="1387"/>
      <c r="E2193" s="1384">
        <v>206905</v>
      </c>
      <c r="F2193" s="1209">
        <v>13</v>
      </c>
      <c r="G2193" s="846">
        <v>1543151</v>
      </c>
      <c r="H2193" s="847">
        <v>1733830</v>
      </c>
      <c r="I2193" s="846"/>
      <c r="J2193" s="847"/>
      <c r="K2193" s="846"/>
      <c r="L2193" s="847"/>
      <c r="M2193" s="846">
        <v>446263</v>
      </c>
      <c r="N2193" s="846"/>
      <c r="O2193" s="737">
        <f t="shared" si="279"/>
        <v>446263</v>
      </c>
      <c r="P2193" s="847">
        <v>404439</v>
      </c>
      <c r="Q2193" s="847"/>
      <c r="R2193" s="738">
        <f t="shared" si="282"/>
        <v>404439</v>
      </c>
      <c r="S2193" s="737">
        <f t="shared" si="283"/>
        <v>1989414</v>
      </c>
      <c r="T2193" s="739">
        <f t="shared" si="284"/>
        <v>2138269</v>
      </c>
      <c r="U2193" s="846"/>
      <c r="V2193" s="847"/>
      <c r="W2193" s="846"/>
      <c r="X2193" s="846"/>
      <c r="Y2193" s="740">
        <f t="shared" si="280"/>
        <v>0</v>
      </c>
      <c r="Z2193" s="847"/>
      <c r="AA2193" s="847"/>
      <c r="AB2193" s="741">
        <f t="shared" si="281"/>
        <v>0</v>
      </c>
      <c r="AC2193" s="846"/>
      <c r="AD2193" s="847"/>
      <c r="AE2193" s="846"/>
      <c r="AF2193" s="846"/>
      <c r="AG2193" s="847"/>
      <c r="AH2193" s="847"/>
      <c r="AI2193" s="742">
        <f t="shared" si="285"/>
        <v>1989414</v>
      </c>
      <c r="AJ2193" s="743">
        <f t="shared" si="286"/>
        <v>2138269</v>
      </c>
    </row>
    <row r="2194" spans="1:36">
      <c r="A2194" s="1283" t="s">
        <v>154</v>
      </c>
      <c r="B2194" s="1368" t="s">
        <v>264</v>
      </c>
      <c r="C2194" s="1368" t="s">
        <v>1723</v>
      </c>
      <c r="D2194" s="1387"/>
      <c r="E2194" s="1384">
        <v>250993</v>
      </c>
      <c r="F2194" s="1209">
        <v>13</v>
      </c>
      <c r="G2194" s="846">
        <v>2217083</v>
      </c>
      <c r="H2194" s="847">
        <v>2190500</v>
      </c>
      <c r="I2194" s="846"/>
      <c r="J2194" s="847"/>
      <c r="K2194" s="846"/>
      <c r="L2194" s="847"/>
      <c r="M2194" s="846">
        <v>288296</v>
      </c>
      <c r="N2194" s="846"/>
      <c r="O2194" s="737">
        <f t="shared" si="279"/>
        <v>288296</v>
      </c>
      <c r="P2194" s="847">
        <v>304837</v>
      </c>
      <c r="Q2194" s="847"/>
      <c r="R2194" s="738">
        <f t="shared" si="282"/>
        <v>304837</v>
      </c>
      <c r="S2194" s="737">
        <f t="shared" si="283"/>
        <v>2505379</v>
      </c>
      <c r="T2194" s="739">
        <f t="shared" si="284"/>
        <v>2495337</v>
      </c>
      <c r="U2194" s="846"/>
      <c r="V2194" s="847"/>
      <c r="W2194" s="846"/>
      <c r="X2194" s="846"/>
      <c r="Y2194" s="740">
        <f t="shared" si="280"/>
        <v>0</v>
      </c>
      <c r="Z2194" s="847"/>
      <c r="AA2194" s="847"/>
      <c r="AB2194" s="741">
        <f t="shared" si="281"/>
        <v>0</v>
      </c>
      <c r="AC2194" s="846"/>
      <c r="AD2194" s="847"/>
      <c r="AE2194" s="846"/>
      <c r="AF2194" s="846"/>
      <c r="AG2194" s="847"/>
      <c r="AH2194" s="847"/>
      <c r="AI2194" s="742">
        <f t="shared" si="285"/>
        <v>2505379</v>
      </c>
      <c r="AJ2194" s="743">
        <f t="shared" si="286"/>
        <v>2495337</v>
      </c>
    </row>
    <row r="2195" spans="1:36">
      <c r="A2195" s="1283" t="s">
        <v>154</v>
      </c>
      <c r="B2195" s="1368" t="s">
        <v>264</v>
      </c>
      <c r="C2195" s="1368" t="s">
        <v>1724</v>
      </c>
      <c r="D2195" s="1387"/>
      <c r="E2195" s="1384">
        <v>365198</v>
      </c>
      <c r="F2195" s="1209">
        <v>13</v>
      </c>
      <c r="G2195" s="846">
        <v>2074397</v>
      </c>
      <c r="H2195" s="847">
        <v>2191600</v>
      </c>
      <c r="I2195" s="846"/>
      <c r="J2195" s="847"/>
      <c r="K2195" s="846"/>
      <c r="L2195" s="847"/>
      <c r="M2195" s="846">
        <v>438319</v>
      </c>
      <c r="N2195" s="846"/>
      <c r="O2195" s="737">
        <f t="shared" si="279"/>
        <v>438319</v>
      </c>
      <c r="P2195" s="847">
        <v>422455</v>
      </c>
      <c r="Q2195" s="847"/>
      <c r="R2195" s="738">
        <f t="shared" si="282"/>
        <v>422455</v>
      </c>
      <c r="S2195" s="737">
        <f t="shared" si="283"/>
        <v>2512716</v>
      </c>
      <c r="T2195" s="739">
        <f t="shared" si="284"/>
        <v>2614055</v>
      </c>
      <c r="U2195" s="846"/>
      <c r="V2195" s="847"/>
      <c r="W2195" s="846"/>
      <c r="X2195" s="846"/>
      <c r="Y2195" s="740">
        <f t="shared" si="280"/>
        <v>0</v>
      </c>
      <c r="Z2195" s="847"/>
      <c r="AA2195" s="847"/>
      <c r="AB2195" s="741">
        <f t="shared" si="281"/>
        <v>0</v>
      </c>
      <c r="AC2195" s="846"/>
      <c r="AD2195" s="847"/>
      <c r="AE2195" s="846"/>
      <c r="AF2195" s="846"/>
      <c r="AG2195" s="847"/>
      <c r="AH2195" s="847"/>
      <c r="AI2195" s="742">
        <f t="shared" si="285"/>
        <v>2512716</v>
      </c>
      <c r="AJ2195" s="743">
        <f t="shared" si="286"/>
        <v>2614055</v>
      </c>
    </row>
    <row r="2196" spans="1:36">
      <c r="A2196" s="1283" t="s">
        <v>154</v>
      </c>
      <c r="B2196" s="1368" t="s">
        <v>264</v>
      </c>
      <c r="C2196" s="1368" t="s">
        <v>1725</v>
      </c>
      <c r="D2196" s="1387"/>
      <c r="E2196" s="1384">
        <v>368364</v>
      </c>
      <c r="F2196" s="1209">
        <v>13</v>
      </c>
      <c r="G2196" s="846">
        <v>2239703</v>
      </c>
      <c r="H2196" s="847">
        <v>2380063</v>
      </c>
      <c r="I2196" s="846"/>
      <c r="J2196" s="847"/>
      <c r="K2196" s="846"/>
      <c r="L2196" s="847"/>
      <c r="M2196" s="846">
        <v>219024</v>
      </c>
      <c r="N2196" s="846"/>
      <c r="O2196" s="737">
        <f t="shared" si="279"/>
        <v>219024</v>
      </c>
      <c r="P2196" s="847">
        <v>317166</v>
      </c>
      <c r="Q2196" s="847"/>
      <c r="R2196" s="738">
        <f t="shared" si="282"/>
        <v>317166</v>
      </c>
      <c r="S2196" s="737">
        <f t="shared" si="283"/>
        <v>2458727</v>
      </c>
      <c r="T2196" s="739">
        <f t="shared" si="284"/>
        <v>2697229</v>
      </c>
      <c r="U2196" s="846"/>
      <c r="V2196" s="847"/>
      <c r="W2196" s="846"/>
      <c r="X2196" s="846"/>
      <c r="Y2196" s="740">
        <f t="shared" si="280"/>
        <v>0</v>
      </c>
      <c r="Z2196" s="847"/>
      <c r="AA2196" s="847"/>
      <c r="AB2196" s="741">
        <f t="shared" si="281"/>
        <v>0</v>
      </c>
      <c r="AC2196" s="846"/>
      <c r="AD2196" s="847"/>
      <c r="AE2196" s="846"/>
      <c r="AF2196" s="846"/>
      <c r="AG2196" s="847"/>
      <c r="AH2196" s="847"/>
      <c r="AI2196" s="742">
        <f t="shared" si="285"/>
        <v>2458727</v>
      </c>
      <c r="AJ2196" s="743">
        <f t="shared" si="286"/>
        <v>2697229</v>
      </c>
    </row>
    <row r="2197" spans="1:36">
      <c r="A2197" s="1283" t="s">
        <v>154</v>
      </c>
      <c r="B2197" s="1368" t="s">
        <v>264</v>
      </c>
      <c r="C2197" s="1368" t="s">
        <v>1726</v>
      </c>
      <c r="D2197" s="1387"/>
      <c r="E2197" s="1384">
        <v>418287</v>
      </c>
      <c r="F2197" s="1209">
        <v>13</v>
      </c>
      <c r="G2197" s="846">
        <v>2945357</v>
      </c>
      <c r="H2197" s="847">
        <v>2643461</v>
      </c>
      <c r="I2197" s="846"/>
      <c r="J2197" s="847"/>
      <c r="K2197" s="846"/>
      <c r="L2197" s="847"/>
      <c r="M2197" s="846">
        <v>745257</v>
      </c>
      <c r="N2197" s="846"/>
      <c r="O2197" s="737">
        <f t="shared" si="279"/>
        <v>745257</v>
      </c>
      <c r="P2197" s="847">
        <v>524029</v>
      </c>
      <c r="Q2197" s="847"/>
      <c r="R2197" s="738">
        <f t="shared" si="282"/>
        <v>524029</v>
      </c>
      <c r="S2197" s="737">
        <f t="shared" si="283"/>
        <v>3690614</v>
      </c>
      <c r="T2197" s="739">
        <f t="shared" si="284"/>
        <v>3167490</v>
      </c>
      <c r="U2197" s="846"/>
      <c r="V2197" s="847"/>
      <c r="W2197" s="846"/>
      <c r="X2197" s="846"/>
      <c r="Y2197" s="740">
        <f t="shared" si="280"/>
        <v>0</v>
      </c>
      <c r="Z2197" s="847"/>
      <c r="AA2197" s="847"/>
      <c r="AB2197" s="741">
        <f t="shared" si="281"/>
        <v>0</v>
      </c>
      <c r="AC2197" s="846"/>
      <c r="AD2197" s="847"/>
      <c r="AE2197" s="846"/>
      <c r="AF2197" s="846"/>
      <c r="AG2197" s="847"/>
      <c r="AH2197" s="847"/>
      <c r="AI2197" s="742">
        <f t="shared" si="285"/>
        <v>3690614</v>
      </c>
      <c r="AJ2197" s="743">
        <f t="shared" si="286"/>
        <v>3167490</v>
      </c>
    </row>
    <row r="2198" spans="1:36">
      <c r="A2198" s="1283" t="s">
        <v>154</v>
      </c>
      <c r="B2198" s="1368" t="s">
        <v>264</v>
      </c>
      <c r="C2198" s="1388" t="s">
        <v>1727</v>
      </c>
      <c r="D2198" s="1389"/>
      <c r="E2198" s="1384">
        <v>207607</v>
      </c>
      <c r="F2198" s="1209">
        <v>13</v>
      </c>
      <c r="G2198" s="846"/>
      <c r="H2198" s="847"/>
      <c r="I2198" s="846"/>
      <c r="J2198" s="847"/>
      <c r="K2198" s="846"/>
      <c r="L2198" s="847"/>
      <c r="M2198" s="846"/>
      <c r="N2198" s="846"/>
      <c r="O2198" s="737">
        <f t="shared" si="279"/>
        <v>0</v>
      </c>
      <c r="P2198" s="847"/>
      <c r="Q2198" s="847"/>
      <c r="R2198" s="738">
        <f t="shared" si="282"/>
        <v>0</v>
      </c>
      <c r="S2198" s="737">
        <f t="shared" si="283"/>
        <v>0</v>
      </c>
      <c r="T2198" s="739">
        <f t="shared" si="284"/>
        <v>0</v>
      </c>
      <c r="U2198" s="846"/>
      <c r="V2198" s="847"/>
      <c r="W2198" s="846"/>
      <c r="X2198" s="846"/>
      <c r="Y2198" s="740">
        <f t="shared" si="280"/>
        <v>0</v>
      </c>
      <c r="Z2198" s="847"/>
      <c r="AA2198" s="847"/>
      <c r="AB2198" s="741">
        <f t="shared" si="281"/>
        <v>0</v>
      </c>
      <c r="AC2198" s="846"/>
      <c r="AD2198" s="847"/>
      <c r="AE2198" s="846"/>
      <c r="AF2198" s="846"/>
      <c r="AG2198" s="847"/>
      <c r="AH2198" s="847"/>
      <c r="AI2198" s="742">
        <f t="shared" si="285"/>
        <v>0</v>
      </c>
      <c r="AJ2198" s="743">
        <f t="shared" si="286"/>
        <v>0</v>
      </c>
    </row>
    <row r="2199" spans="1:36">
      <c r="A2199" s="1283" t="s">
        <v>154</v>
      </c>
      <c r="B2199" s="1368" t="s">
        <v>264</v>
      </c>
      <c r="C2199" s="1390" t="s">
        <v>1728</v>
      </c>
      <c r="D2199" s="1391"/>
      <c r="E2199" s="1392">
        <v>261393</v>
      </c>
      <c r="F2199" s="1209">
        <v>13</v>
      </c>
      <c r="G2199" s="846"/>
      <c r="H2199" s="847"/>
      <c r="I2199" s="846"/>
      <c r="J2199" s="847"/>
      <c r="K2199" s="846"/>
      <c r="L2199" s="847"/>
      <c r="M2199" s="846"/>
      <c r="N2199" s="846"/>
      <c r="O2199" s="737">
        <f t="shared" si="279"/>
        <v>0</v>
      </c>
      <c r="P2199" s="847"/>
      <c r="Q2199" s="847"/>
      <c r="R2199" s="738">
        <f t="shared" si="282"/>
        <v>0</v>
      </c>
      <c r="S2199" s="737">
        <f t="shared" si="283"/>
        <v>0</v>
      </c>
      <c r="T2199" s="739">
        <f t="shared" si="284"/>
        <v>0</v>
      </c>
      <c r="U2199" s="846"/>
      <c r="V2199" s="847"/>
      <c r="W2199" s="846"/>
      <c r="X2199" s="846"/>
      <c r="Y2199" s="740">
        <f t="shared" si="280"/>
        <v>0</v>
      </c>
      <c r="Z2199" s="847"/>
      <c r="AA2199" s="847"/>
      <c r="AB2199" s="741">
        <f t="shared" si="281"/>
        <v>0</v>
      </c>
      <c r="AC2199" s="846"/>
      <c r="AD2199" s="847"/>
      <c r="AE2199" s="846"/>
      <c r="AF2199" s="846"/>
      <c r="AG2199" s="847"/>
      <c r="AH2199" s="847"/>
      <c r="AI2199" s="742">
        <f t="shared" si="285"/>
        <v>0</v>
      </c>
      <c r="AJ2199" s="743">
        <f t="shared" si="286"/>
        <v>0</v>
      </c>
    </row>
    <row r="2200" spans="1:36">
      <c r="A2200" s="1283" t="s">
        <v>154</v>
      </c>
      <c r="B2200" s="1368" t="s">
        <v>264</v>
      </c>
      <c r="C2200" s="1388" t="s">
        <v>1729</v>
      </c>
      <c r="D2200" s="1389" t="s">
        <v>1739</v>
      </c>
      <c r="E2200" s="1384">
        <v>261375</v>
      </c>
      <c r="F2200" s="1209">
        <v>13</v>
      </c>
      <c r="G2200" s="846"/>
      <c r="H2200" s="847"/>
      <c r="I2200" s="846"/>
      <c r="J2200" s="847"/>
      <c r="K2200" s="846"/>
      <c r="L2200" s="847"/>
      <c r="M2200" s="846"/>
      <c r="N2200" s="846"/>
      <c r="O2200" s="737">
        <f t="shared" si="279"/>
        <v>0</v>
      </c>
      <c r="P2200" s="847"/>
      <c r="Q2200" s="847"/>
      <c r="R2200" s="738">
        <f t="shared" si="282"/>
        <v>0</v>
      </c>
      <c r="S2200" s="737">
        <f t="shared" si="283"/>
        <v>0</v>
      </c>
      <c r="T2200" s="739">
        <f t="shared" si="284"/>
        <v>0</v>
      </c>
      <c r="U2200" s="846"/>
      <c r="V2200" s="847"/>
      <c r="W2200" s="846"/>
      <c r="X2200" s="846"/>
      <c r="Y2200" s="740">
        <f t="shared" si="280"/>
        <v>0</v>
      </c>
      <c r="Z2200" s="847"/>
      <c r="AA2200" s="847"/>
      <c r="AB2200" s="741">
        <f t="shared" si="281"/>
        <v>0</v>
      </c>
      <c r="AC2200" s="846"/>
      <c r="AD2200" s="847"/>
      <c r="AE2200" s="846"/>
      <c r="AF2200" s="846"/>
      <c r="AG2200" s="847"/>
      <c r="AH2200" s="847"/>
      <c r="AI2200" s="742">
        <f t="shared" si="285"/>
        <v>0</v>
      </c>
      <c r="AJ2200" s="743">
        <f t="shared" si="286"/>
        <v>0</v>
      </c>
    </row>
    <row r="2201" spans="1:36">
      <c r="A2201" s="1283" t="s">
        <v>154</v>
      </c>
      <c r="B2201" s="1368" t="s">
        <v>264</v>
      </c>
      <c r="C2201" s="1388" t="s">
        <v>1740</v>
      </c>
      <c r="D2201" s="1389"/>
      <c r="E2201" s="1407">
        <v>482264</v>
      </c>
      <c r="F2201" s="1408">
        <v>13</v>
      </c>
      <c r="G2201" s="846"/>
      <c r="H2201" s="847"/>
      <c r="I2201" s="846"/>
      <c r="J2201" s="847"/>
      <c r="K2201" s="846"/>
      <c r="L2201" s="847"/>
      <c r="M2201" s="846"/>
      <c r="N2201" s="846"/>
      <c r="O2201" s="737">
        <f t="shared" si="279"/>
        <v>0</v>
      </c>
      <c r="P2201" s="847"/>
      <c r="Q2201" s="847"/>
      <c r="R2201" s="738">
        <f t="shared" si="282"/>
        <v>0</v>
      </c>
      <c r="S2201" s="737">
        <f t="shared" si="283"/>
        <v>0</v>
      </c>
      <c r="T2201" s="739">
        <f t="shared" si="284"/>
        <v>0</v>
      </c>
      <c r="U2201" s="846"/>
      <c r="V2201" s="847"/>
      <c r="W2201" s="846"/>
      <c r="X2201" s="846"/>
      <c r="Y2201" s="740">
        <f t="shared" si="280"/>
        <v>0</v>
      </c>
      <c r="Z2201" s="847"/>
      <c r="AA2201" s="847"/>
      <c r="AB2201" s="741">
        <f t="shared" si="281"/>
        <v>0</v>
      </c>
      <c r="AC2201" s="846"/>
      <c r="AD2201" s="847"/>
      <c r="AE2201" s="846"/>
      <c r="AF2201" s="846"/>
      <c r="AG2201" s="847"/>
      <c r="AH2201" s="847"/>
      <c r="AI2201" s="742">
        <f t="shared" si="285"/>
        <v>0</v>
      </c>
      <c r="AJ2201" s="743">
        <f t="shared" si="286"/>
        <v>0</v>
      </c>
    </row>
    <row r="2202" spans="1:36">
      <c r="A2202" s="1283" t="s">
        <v>154</v>
      </c>
      <c r="B2202" s="1368" t="s">
        <v>264</v>
      </c>
      <c r="C2202" s="1388" t="s">
        <v>1730</v>
      </c>
      <c r="D2202" s="1389"/>
      <c r="E2202" s="1384">
        <v>261384</v>
      </c>
      <c r="F2202" s="1209">
        <v>13</v>
      </c>
      <c r="G2202" s="846"/>
      <c r="H2202" s="847"/>
      <c r="I2202" s="846"/>
      <c r="J2202" s="847"/>
      <c r="K2202" s="846"/>
      <c r="L2202" s="847"/>
      <c r="M2202" s="846"/>
      <c r="N2202" s="846"/>
      <c r="O2202" s="737">
        <f t="shared" si="279"/>
        <v>0</v>
      </c>
      <c r="P2202" s="847"/>
      <c r="Q2202" s="847"/>
      <c r="R2202" s="738">
        <f t="shared" si="282"/>
        <v>0</v>
      </c>
      <c r="S2202" s="737">
        <f t="shared" si="283"/>
        <v>0</v>
      </c>
      <c r="T2202" s="739">
        <f t="shared" si="284"/>
        <v>0</v>
      </c>
      <c r="U2202" s="846"/>
      <c r="V2202" s="847"/>
      <c r="W2202" s="846"/>
      <c r="X2202" s="846"/>
      <c r="Y2202" s="740">
        <f t="shared" si="280"/>
        <v>0</v>
      </c>
      <c r="Z2202" s="847"/>
      <c r="AA2202" s="847"/>
      <c r="AB2202" s="741">
        <f t="shared" si="281"/>
        <v>0</v>
      </c>
      <c r="AC2202" s="846"/>
      <c r="AD2202" s="847"/>
      <c r="AE2202" s="846"/>
      <c r="AF2202" s="846"/>
      <c r="AG2202" s="847"/>
      <c r="AH2202" s="847"/>
      <c r="AI2202" s="742">
        <f t="shared" si="285"/>
        <v>0</v>
      </c>
      <c r="AJ2202" s="743">
        <f t="shared" si="286"/>
        <v>0</v>
      </c>
    </row>
    <row r="2203" spans="1:36">
      <c r="A2203" s="1283" t="s">
        <v>154</v>
      </c>
      <c r="B2203" s="1368" t="s">
        <v>264</v>
      </c>
      <c r="C2203" s="1388" t="s">
        <v>1741</v>
      </c>
      <c r="D2203" s="1389"/>
      <c r="E2203" s="1407">
        <v>482273</v>
      </c>
      <c r="F2203" s="1408">
        <v>13</v>
      </c>
      <c r="G2203" s="846"/>
      <c r="H2203" s="847"/>
      <c r="I2203" s="846"/>
      <c r="J2203" s="847"/>
      <c r="K2203" s="846"/>
      <c r="L2203" s="847"/>
      <c r="M2203" s="846"/>
      <c r="N2203" s="846"/>
      <c r="O2203" s="737">
        <f t="shared" si="279"/>
        <v>0</v>
      </c>
      <c r="P2203" s="847"/>
      <c r="Q2203" s="847"/>
      <c r="R2203" s="738">
        <f t="shared" si="282"/>
        <v>0</v>
      </c>
      <c r="S2203" s="737">
        <f t="shared" si="283"/>
        <v>0</v>
      </c>
      <c r="T2203" s="739">
        <f t="shared" si="284"/>
        <v>0</v>
      </c>
      <c r="U2203" s="846"/>
      <c r="V2203" s="847"/>
      <c r="W2203" s="846"/>
      <c r="X2203" s="846"/>
      <c r="Y2203" s="740">
        <f t="shared" si="280"/>
        <v>0</v>
      </c>
      <c r="Z2203" s="847"/>
      <c r="AA2203" s="847"/>
      <c r="AB2203" s="741">
        <f t="shared" si="281"/>
        <v>0</v>
      </c>
      <c r="AC2203" s="846"/>
      <c r="AD2203" s="847"/>
      <c r="AE2203" s="846"/>
      <c r="AF2203" s="846"/>
      <c r="AG2203" s="847"/>
      <c r="AH2203" s="847"/>
      <c r="AI2203" s="742">
        <f t="shared" si="285"/>
        <v>0</v>
      </c>
      <c r="AJ2203" s="743">
        <f t="shared" si="286"/>
        <v>0</v>
      </c>
    </row>
    <row r="2204" spans="1:36">
      <c r="A2204" s="1283" t="s">
        <v>154</v>
      </c>
      <c r="B2204" s="1368" t="s">
        <v>264</v>
      </c>
      <c r="C2204" s="1368" t="s">
        <v>1731</v>
      </c>
      <c r="D2204" s="1387"/>
      <c r="E2204" s="1384">
        <v>418357</v>
      </c>
      <c r="F2204" s="1209">
        <v>13</v>
      </c>
      <c r="G2204" s="846">
        <v>2528012</v>
      </c>
      <c r="H2204" s="847">
        <v>2480109</v>
      </c>
      <c r="I2204" s="846"/>
      <c r="J2204" s="847"/>
      <c r="K2204" s="846"/>
      <c r="L2204" s="847"/>
      <c r="M2204" s="846">
        <v>94956</v>
      </c>
      <c r="N2204" s="846"/>
      <c r="O2204" s="737">
        <f t="shared" si="279"/>
        <v>94956</v>
      </c>
      <c r="P2204" s="847">
        <v>168374</v>
      </c>
      <c r="Q2204" s="847"/>
      <c r="R2204" s="738">
        <f t="shared" si="282"/>
        <v>168374</v>
      </c>
      <c r="S2204" s="737">
        <f t="shared" si="283"/>
        <v>2622968</v>
      </c>
      <c r="T2204" s="739">
        <f t="shared" si="284"/>
        <v>2648483</v>
      </c>
      <c r="U2204" s="846"/>
      <c r="V2204" s="847"/>
      <c r="W2204" s="846"/>
      <c r="X2204" s="846"/>
      <c r="Y2204" s="740">
        <f t="shared" si="280"/>
        <v>0</v>
      </c>
      <c r="Z2204" s="847"/>
      <c r="AA2204" s="847"/>
      <c r="AB2204" s="741">
        <f t="shared" si="281"/>
        <v>0</v>
      </c>
      <c r="AC2204" s="846"/>
      <c r="AD2204" s="847"/>
      <c r="AE2204" s="846"/>
      <c r="AF2204" s="846"/>
      <c r="AG2204" s="847"/>
      <c r="AH2204" s="847"/>
      <c r="AI2204" s="742">
        <f t="shared" si="285"/>
        <v>2622968</v>
      </c>
      <c r="AJ2204" s="743">
        <f t="shared" si="286"/>
        <v>2648483</v>
      </c>
    </row>
    <row r="2205" spans="1:36">
      <c r="A2205" s="1283" t="s">
        <v>154</v>
      </c>
      <c r="B2205" s="1368" t="s">
        <v>264</v>
      </c>
      <c r="C2205" s="1368" t="s">
        <v>1732</v>
      </c>
      <c r="D2205" s="1387"/>
      <c r="E2205" s="1384">
        <v>418302</v>
      </c>
      <c r="F2205" s="1209">
        <v>13</v>
      </c>
      <c r="G2205" s="846">
        <v>2421941</v>
      </c>
      <c r="H2205" s="847">
        <v>2788493</v>
      </c>
      <c r="I2205" s="846"/>
      <c r="J2205" s="847"/>
      <c r="K2205" s="846"/>
      <c r="L2205" s="847"/>
      <c r="M2205" s="846">
        <v>491475</v>
      </c>
      <c r="N2205" s="846"/>
      <c r="O2205" s="737">
        <f t="shared" si="279"/>
        <v>491475</v>
      </c>
      <c r="P2205" s="847">
        <v>347331</v>
      </c>
      <c r="Q2205" s="847"/>
      <c r="R2205" s="738">
        <f t="shared" si="282"/>
        <v>347331</v>
      </c>
      <c r="S2205" s="737">
        <f t="shared" si="283"/>
        <v>2913416</v>
      </c>
      <c r="T2205" s="739">
        <f t="shared" si="284"/>
        <v>3135824</v>
      </c>
      <c r="U2205" s="846"/>
      <c r="V2205" s="847"/>
      <c r="W2205" s="846"/>
      <c r="X2205" s="846"/>
      <c r="Y2205" s="740">
        <f t="shared" si="280"/>
        <v>0</v>
      </c>
      <c r="Z2205" s="847"/>
      <c r="AA2205" s="847"/>
      <c r="AB2205" s="741">
        <f t="shared" si="281"/>
        <v>0</v>
      </c>
      <c r="AC2205" s="846"/>
      <c r="AD2205" s="847"/>
      <c r="AE2205" s="846"/>
      <c r="AF2205" s="846"/>
      <c r="AG2205" s="847"/>
      <c r="AH2205" s="847"/>
      <c r="AI2205" s="742">
        <f t="shared" si="285"/>
        <v>2913416</v>
      </c>
      <c r="AJ2205" s="743">
        <f t="shared" si="286"/>
        <v>3135824</v>
      </c>
    </row>
    <row r="2206" spans="1:36">
      <c r="A2206" s="1283" t="s">
        <v>154</v>
      </c>
      <c r="B2206" s="1368" t="s">
        <v>264</v>
      </c>
      <c r="C2206" s="1393" t="s">
        <v>1733</v>
      </c>
      <c r="D2206" s="1394"/>
      <c r="E2206" s="1283"/>
      <c r="F2206" s="1209">
        <v>13</v>
      </c>
      <c r="G2206" s="846">
        <v>4264619</v>
      </c>
      <c r="H2206" s="847">
        <v>4440244</v>
      </c>
      <c r="I2206" s="846"/>
      <c r="J2206" s="847"/>
      <c r="K2206" s="846"/>
      <c r="L2206" s="847"/>
      <c r="M2206" s="846">
        <v>903803</v>
      </c>
      <c r="N2206" s="846"/>
      <c r="O2206" s="737">
        <f t="shared" si="279"/>
        <v>903803</v>
      </c>
      <c r="P2206" s="847">
        <v>817253</v>
      </c>
      <c r="Q2206" s="847"/>
      <c r="R2206" s="738">
        <f t="shared" si="282"/>
        <v>817253</v>
      </c>
      <c r="S2206" s="737">
        <f t="shared" si="283"/>
        <v>5168422</v>
      </c>
      <c r="T2206" s="739">
        <f t="shared" si="284"/>
        <v>5257497</v>
      </c>
      <c r="U2206" s="846"/>
      <c r="V2206" s="847"/>
      <c r="W2206" s="846"/>
      <c r="X2206" s="846"/>
      <c r="Y2206" s="740">
        <f t="shared" si="280"/>
        <v>0</v>
      </c>
      <c r="Z2206" s="847"/>
      <c r="AA2206" s="847"/>
      <c r="AB2206" s="741">
        <f t="shared" si="281"/>
        <v>0</v>
      </c>
      <c r="AC2206" s="846"/>
      <c r="AD2206" s="847"/>
      <c r="AE2206" s="846"/>
      <c r="AF2206" s="846"/>
      <c r="AG2206" s="847"/>
      <c r="AH2206" s="847"/>
      <c r="AI2206" s="742">
        <f t="shared" si="285"/>
        <v>5168422</v>
      </c>
      <c r="AJ2206" s="743">
        <f t="shared" si="286"/>
        <v>5257497</v>
      </c>
    </row>
    <row r="2207" spans="1:36">
      <c r="A2207" s="1283" t="s">
        <v>154</v>
      </c>
      <c r="B2207" s="1368" t="s">
        <v>264</v>
      </c>
      <c r="C2207" s="1395" t="s">
        <v>1734</v>
      </c>
      <c r="D2207" s="1396"/>
      <c r="E2207" s="1283"/>
      <c r="F2207" s="1209">
        <v>13</v>
      </c>
      <c r="G2207" s="846">
        <v>8008580</v>
      </c>
      <c r="H2207" s="847">
        <v>7886961</v>
      </c>
      <c r="I2207" s="846"/>
      <c r="J2207" s="847"/>
      <c r="K2207" s="846"/>
      <c r="L2207" s="847"/>
      <c r="M2207" s="846">
        <v>1963465</v>
      </c>
      <c r="N2207" s="846"/>
      <c r="O2207" s="737">
        <f t="shared" si="279"/>
        <v>1963465</v>
      </c>
      <c r="P2207" s="847">
        <v>1599300</v>
      </c>
      <c r="Q2207" s="847"/>
      <c r="R2207" s="738">
        <f t="shared" si="282"/>
        <v>1599300</v>
      </c>
      <c r="S2207" s="737">
        <f t="shared" si="283"/>
        <v>9972045</v>
      </c>
      <c r="T2207" s="739">
        <f t="shared" si="284"/>
        <v>9486261</v>
      </c>
      <c r="U2207" s="846"/>
      <c r="V2207" s="847"/>
      <c r="W2207" s="846"/>
      <c r="X2207" s="846"/>
      <c r="Y2207" s="740">
        <f t="shared" si="280"/>
        <v>0</v>
      </c>
      <c r="Z2207" s="847"/>
      <c r="AA2207" s="847"/>
      <c r="AB2207" s="741">
        <f t="shared" si="281"/>
        <v>0</v>
      </c>
      <c r="AC2207" s="846"/>
      <c r="AD2207" s="847"/>
      <c r="AE2207" s="846"/>
      <c r="AF2207" s="846"/>
      <c r="AG2207" s="847"/>
      <c r="AH2207" s="847"/>
      <c r="AI2207" s="742">
        <f t="shared" si="285"/>
        <v>9972045</v>
      </c>
      <c r="AJ2207" s="743">
        <f t="shared" si="286"/>
        <v>9486261</v>
      </c>
    </row>
    <row r="2208" spans="1:36">
      <c r="A2208" s="1283" t="s">
        <v>154</v>
      </c>
      <c r="B2208" s="1368" t="s">
        <v>264</v>
      </c>
      <c r="C2208" s="1397" t="s">
        <v>1735</v>
      </c>
      <c r="D2208" s="1398"/>
      <c r="E2208" s="1384"/>
      <c r="F2208" s="1209">
        <v>13</v>
      </c>
      <c r="G2208" s="846">
        <v>2774005</v>
      </c>
      <c r="H2208" s="847">
        <v>2888987</v>
      </c>
      <c r="I2208" s="846"/>
      <c r="J2208" s="847"/>
      <c r="K2208" s="846"/>
      <c r="L2208" s="847"/>
      <c r="M2208" s="846">
        <v>734607</v>
      </c>
      <c r="N2208" s="846"/>
      <c r="O2208" s="737">
        <f t="shared" si="279"/>
        <v>734607</v>
      </c>
      <c r="P2208" s="847">
        <v>804634</v>
      </c>
      <c r="Q2208" s="847"/>
      <c r="R2208" s="738">
        <f t="shared" si="282"/>
        <v>804634</v>
      </c>
      <c r="S2208" s="737">
        <f t="shared" si="283"/>
        <v>3508612</v>
      </c>
      <c r="T2208" s="739">
        <f t="shared" si="284"/>
        <v>3693621</v>
      </c>
      <c r="U2208" s="846"/>
      <c r="V2208" s="847"/>
      <c r="W2208" s="846"/>
      <c r="X2208" s="846"/>
      <c r="Y2208" s="740">
        <f t="shared" si="280"/>
        <v>0</v>
      </c>
      <c r="Z2208" s="847"/>
      <c r="AA2208" s="847"/>
      <c r="AB2208" s="741">
        <f t="shared" si="281"/>
        <v>0</v>
      </c>
      <c r="AC2208" s="846"/>
      <c r="AD2208" s="847"/>
      <c r="AE2208" s="846"/>
      <c r="AF2208" s="846"/>
      <c r="AG2208" s="847"/>
      <c r="AH2208" s="847"/>
      <c r="AI2208" s="742">
        <f t="shared" si="285"/>
        <v>3508612</v>
      </c>
      <c r="AJ2208" s="743">
        <f t="shared" si="286"/>
        <v>3693621</v>
      </c>
    </row>
    <row r="2209" spans="1:36">
      <c r="A2209" s="1283" t="s">
        <v>154</v>
      </c>
      <c r="B2209" s="1368" t="s">
        <v>264</v>
      </c>
      <c r="C2209" s="1399" t="s">
        <v>1736</v>
      </c>
      <c r="D2209" s="1400"/>
      <c r="E2209" s="1384"/>
      <c r="F2209" s="1209">
        <v>13</v>
      </c>
      <c r="G2209" s="846">
        <v>1847089</v>
      </c>
      <c r="H2209" s="847">
        <v>1926688</v>
      </c>
      <c r="I2209" s="846"/>
      <c r="J2209" s="847"/>
      <c r="K2209" s="846"/>
      <c r="L2209" s="847"/>
      <c r="M2209" s="846">
        <v>287115</v>
      </c>
      <c r="N2209" s="846"/>
      <c r="O2209" s="737">
        <f t="shared" si="279"/>
        <v>287115</v>
      </c>
      <c r="P2209" s="847">
        <v>389701</v>
      </c>
      <c r="Q2209" s="847"/>
      <c r="R2209" s="738">
        <f t="shared" si="282"/>
        <v>389701</v>
      </c>
      <c r="S2209" s="737">
        <f t="shared" si="283"/>
        <v>2134204</v>
      </c>
      <c r="T2209" s="739">
        <f t="shared" si="284"/>
        <v>2316389</v>
      </c>
      <c r="U2209" s="846"/>
      <c r="V2209" s="847"/>
      <c r="W2209" s="846"/>
      <c r="X2209" s="846"/>
      <c r="Y2209" s="740">
        <f t="shared" si="280"/>
        <v>0</v>
      </c>
      <c r="Z2209" s="847"/>
      <c r="AA2209" s="847"/>
      <c r="AB2209" s="741">
        <f t="shared" si="281"/>
        <v>0</v>
      </c>
      <c r="AC2209" s="846"/>
      <c r="AD2209" s="847"/>
      <c r="AE2209" s="846"/>
      <c r="AF2209" s="846"/>
      <c r="AG2209" s="847"/>
      <c r="AH2209" s="847"/>
      <c r="AI2209" s="742">
        <f t="shared" si="285"/>
        <v>2134204</v>
      </c>
      <c r="AJ2209" s="743">
        <f t="shared" si="286"/>
        <v>2316389</v>
      </c>
    </row>
    <row r="2210" spans="1:36">
      <c r="A2210" s="1283" t="s">
        <v>154</v>
      </c>
      <c r="B2210" s="1368" t="s">
        <v>264</v>
      </c>
      <c r="C2210" s="1401" t="s">
        <v>1737</v>
      </c>
      <c r="D2210" s="1402"/>
      <c r="E2210" s="1384"/>
      <c r="F2210" s="1209">
        <v>13</v>
      </c>
      <c r="G2210" s="846">
        <v>7216512</v>
      </c>
      <c r="H2210" s="847">
        <v>6968274</v>
      </c>
      <c r="I2210" s="846"/>
      <c r="J2210" s="847"/>
      <c r="K2210" s="846"/>
      <c r="L2210" s="847"/>
      <c r="M2210" s="846">
        <v>5412719</v>
      </c>
      <c r="N2210" s="846"/>
      <c r="O2210" s="737">
        <f t="shared" si="279"/>
        <v>5412719</v>
      </c>
      <c r="P2210" s="847">
        <v>6092476</v>
      </c>
      <c r="Q2210" s="847"/>
      <c r="R2210" s="738">
        <f t="shared" si="282"/>
        <v>6092476</v>
      </c>
      <c r="S2210" s="737">
        <f t="shared" si="283"/>
        <v>12629231</v>
      </c>
      <c r="T2210" s="739">
        <f t="shared" si="284"/>
        <v>13060750</v>
      </c>
      <c r="U2210" s="846"/>
      <c r="V2210" s="847"/>
      <c r="W2210" s="846"/>
      <c r="X2210" s="846"/>
      <c r="Y2210" s="740">
        <f t="shared" si="280"/>
        <v>0</v>
      </c>
      <c r="Z2210" s="847"/>
      <c r="AA2210" s="847"/>
      <c r="AB2210" s="741">
        <f t="shared" si="281"/>
        <v>0</v>
      </c>
      <c r="AC2210" s="846"/>
      <c r="AD2210" s="847"/>
      <c r="AE2210" s="846"/>
      <c r="AF2210" s="846"/>
      <c r="AG2210" s="847"/>
      <c r="AH2210" s="847"/>
      <c r="AI2210" s="742">
        <f t="shared" si="285"/>
        <v>12629231</v>
      </c>
      <c r="AJ2210" s="743">
        <f t="shared" si="286"/>
        <v>13060750</v>
      </c>
    </row>
    <row r="2211" spans="1:36">
      <c r="A2211" s="1283" t="s">
        <v>154</v>
      </c>
      <c r="B2211" s="1368" t="s">
        <v>281</v>
      </c>
      <c r="C2211" s="1403" t="s">
        <v>109</v>
      </c>
      <c r="D2211" s="1387"/>
      <c r="E2211" s="1384"/>
      <c r="F2211" s="1209"/>
      <c r="G2211" s="846"/>
      <c r="H2211" s="847"/>
      <c r="I2211" s="846"/>
      <c r="J2211" s="847"/>
      <c r="K2211" s="846"/>
      <c r="L2211" s="847"/>
      <c r="M2211" s="846"/>
      <c r="N2211" s="846"/>
      <c r="O2211" s="737">
        <f t="shared" si="279"/>
        <v>0</v>
      </c>
      <c r="P2211" s="847"/>
      <c r="Q2211" s="847"/>
      <c r="R2211" s="738">
        <f t="shared" si="282"/>
        <v>0</v>
      </c>
      <c r="S2211" s="737">
        <f t="shared" si="283"/>
        <v>0</v>
      </c>
      <c r="T2211" s="739">
        <f t="shared" si="284"/>
        <v>0</v>
      </c>
      <c r="U2211" s="846"/>
      <c r="V2211" s="847"/>
      <c r="W2211" s="846"/>
      <c r="X2211" s="846"/>
      <c r="Y2211" s="740">
        <f t="shared" si="280"/>
        <v>0</v>
      </c>
      <c r="Z2211" s="847"/>
      <c r="AA2211" s="847"/>
      <c r="AB2211" s="741">
        <f t="shared" si="281"/>
        <v>0</v>
      </c>
      <c r="AC2211" s="846"/>
      <c r="AD2211" s="847"/>
      <c r="AE2211" s="846"/>
      <c r="AF2211" s="846"/>
      <c r="AG2211" s="847"/>
      <c r="AH2211" s="847"/>
      <c r="AI2211" s="742">
        <f t="shared" si="285"/>
        <v>0</v>
      </c>
      <c r="AJ2211" s="743">
        <f t="shared" si="286"/>
        <v>0</v>
      </c>
    </row>
    <row r="2212" spans="1:36">
      <c r="A2212" s="1283" t="s">
        <v>154</v>
      </c>
      <c r="B2212" s="1368" t="s">
        <v>283</v>
      </c>
      <c r="C2212" s="1404" t="s">
        <v>139</v>
      </c>
      <c r="D2212" s="1405"/>
      <c r="E2212" s="1384"/>
      <c r="F2212" s="1209"/>
      <c r="G2212" s="846"/>
      <c r="H2212" s="847"/>
      <c r="I2212" s="846"/>
      <c r="J2212" s="847"/>
      <c r="K2212" s="846"/>
      <c r="L2212" s="847"/>
      <c r="M2212" s="846"/>
      <c r="N2212" s="846"/>
      <c r="O2212" s="737">
        <f t="shared" si="279"/>
        <v>0</v>
      </c>
      <c r="P2212" s="847"/>
      <c r="Q2212" s="847"/>
      <c r="R2212" s="738">
        <f t="shared" si="282"/>
        <v>0</v>
      </c>
      <c r="S2212" s="737">
        <f t="shared" si="283"/>
        <v>0</v>
      </c>
      <c r="T2212" s="739">
        <f t="shared" si="284"/>
        <v>0</v>
      </c>
      <c r="U2212" s="846"/>
      <c r="V2212" s="847"/>
      <c r="W2212" s="846"/>
      <c r="X2212" s="846"/>
      <c r="Y2212" s="740">
        <f t="shared" si="280"/>
        <v>0</v>
      </c>
      <c r="Z2212" s="847"/>
      <c r="AA2212" s="847"/>
      <c r="AB2212" s="741">
        <f t="shared" si="281"/>
        <v>0</v>
      </c>
      <c r="AC2212" s="846"/>
      <c r="AD2212" s="847"/>
      <c r="AE2212" s="846"/>
      <c r="AF2212" s="846"/>
      <c r="AG2212" s="847"/>
      <c r="AH2212" s="847"/>
      <c r="AI2212" s="742">
        <f t="shared" si="285"/>
        <v>0</v>
      </c>
      <c r="AJ2212" s="743">
        <f t="shared" si="286"/>
        <v>0</v>
      </c>
    </row>
    <row r="2213" spans="1:36">
      <c r="A2213" s="1283" t="s">
        <v>154</v>
      </c>
      <c r="B2213" s="1368" t="s">
        <v>283</v>
      </c>
      <c r="C2213" s="1406" t="s">
        <v>1738</v>
      </c>
      <c r="D2213" s="1405"/>
      <c r="E2213" s="1384"/>
      <c r="F2213" s="1209"/>
      <c r="G2213" s="846"/>
      <c r="H2213" s="847"/>
      <c r="I2213" s="846"/>
      <c r="J2213" s="847"/>
      <c r="K2213" s="846"/>
      <c r="L2213" s="847"/>
      <c r="M2213" s="846"/>
      <c r="N2213" s="846"/>
      <c r="O2213" s="737">
        <f t="shared" si="279"/>
        <v>0</v>
      </c>
      <c r="P2213" s="847"/>
      <c r="Q2213" s="847"/>
      <c r="R2213" s="738">
        <f t="shared" si="282"/>
        <v>0</v>
      </c>
      <c r="S2213" s="737">
        <f t="shared" si="283"/>
        <v>0</v>
      </c>
      <c r="T2213" s="739">
        <f t="shared" si="284"/>
        <v>0</v>
      </c>
      <c r="U2213" s="846"/>
      <c r="V2213" s="847"/>
      <c r="W2213" s="846"/>
      <c r="X2213" s="846"/>
      <c r="Y2213" s="740">
        <f t="shared" si="280"/>
        <v>0</v>
      </c>
      <c r="Z2213" s="847"/>
      <c r="AA2213" s="847"/>
      <c r="AB2213" s="741">
        <f t="shared" si="281"/>
        <v>0</v>
      </c>
      <c r="AC2213" s="846"/>
      <c r="AD2213" s="847"/>
      <c r="AE2213" s="846"/>
      <c r="AF2213" s="846"/>
      <c r="AG2213" s="847"/>
      <c r="AH2213" s="847"/>
      <c r="AI2213" s="742">
        <f t="shared" si="285"/>
        <v>0</v>
      </c>
      <c r="AJ2213" s="743">
        <f t="shared" si="286"/>
        <v>0</v>
      </c>
    </row>
    <row r="2214" spans="1:36">
      <c r="A2214" s="1410" t="s">
        <v>146</v>
      </c>
      <c r="B2214" s="1146" t="s">
        <v>264</v>
      </c>
      <c r="C2214" s="1411" t="s">
        <v>1745</v>
      </c>
      <c r="D2214" s="1412"/>
      <c r="E2214" s="1420">
        <v>217882</v>
      </c>
      <c r="F2214" s="1110">
        <v>1</v>
      </c>
      <c r="G2214" s="846">
        <v>52601494</v>
      </c>
      <c r="H2214" s="847">
        <v>50914720</v>
      </c>
      <c r="I2214" s="846"/>
      <c r="J2214" s="847"/>
      <c r="K2214" s="846"/>
      <c r="L2214" s="847"/>
      <c r="M2214" s="846">
        <v>350285375</v>
      </c>
      <c r="N2214" s="846">
        <v>27557495</v>
      </c>
      <c r="O2214" s="737">
        <f t="shared" si="279"/>
        <v>377842870</v>
      </c>
      <c r="P2214" s="847">
        <v>372333637</v>
      </c>
      <c r="Q2214" s="847">
        <v>29578944</v>
      </c>
      <c r="R2214" s="738">
        <f t="shared" si="282"/>
        <v>401912581</v>
      </c>
      <c r="S2214" s="737">
        <f t="shared" si="283"/>
        <v>402886869</v>
      </c>
      <c r="T2214" s="739">
        <f t="shared" si="284"/>
        <v>423248357</v>
      </c>
      <c r="U2214" s="846"/>
      <c r="V2214" s="847"/>
      <c r="W2214" s="846"/>
      <c r="X2214" s="846"/>
      <c r="Y2214" s="740">
        <f t="shared" si="280"/>
        <v>0</v>
      </c>
      <c r="Z2214" s="847"/>
      <c r="AA2214" s="847"/>
      <c r="AB2214" s="741">
        <f t="shared" si="281"/>
        <v>0</v>
      </c>
      <c r="AC2214" s="846"/>
      <c r="AD2214" s="847"/>
      <c r="AE2214" s="846"/>
      <c r="AF2214" s="846"/>
      <c r="AG2214" s="847"/>
      <c r="AH2214" s="847"/>
      <c r="AI2214" s="742">
        <f t="shared" si="285"/>
        <v>402886869</v>
      </c>
      <c r="AJ2214" s="743">
        <f t="shared" si="286"/>
        <v>423248357</v>
      </c>
    </row>
    <row r="2215" spans="1:36">
      <c r="A2215" s="1410" t="s">
        <v>146</v>
      </c>
      <c r="B2215" s="1146" t="s">
        <v>264</v>
      </c>
      <c r="C2215" s="1137" t="s">
        <v>1746</v>
      </c>
      <c r="D2215" s="1136"/>
      <c r="E2215" s="1420">
        <v>217882</v>
      </c>
      <c r="F2215" s="1110">
        <v>1</v>
      </c>
      <c r="G2215" s="846">
        <v>10789110</v>
      </c>
      <c r="H2215" s="847">
        <v>16540435</v>
      </c>
      <c r="I2215" s="846"/>
      <c r="J2215" s="847"/>
      <c r="K2215" s="846"/>
      <c r="L2215" s="847"/>
      <c r="M2215" s="846"/>
      <c r="N2215" s="846"/>
      <c r="O2215" s="737">
        <f t="shared" si="279"/>
        <v>0</v>
      </c>
      <c r="P2215" s="847"/>
      <c r="Q2215" s="847"/>
      <c r="R2215" s="738">
        <f t="shared" si="282"/>
        <v>0</v>
      </c>
      <c r="S2215" s="737">
        <f t="shared" si="283"/>
        <v>10789110</v>
      </c>
      <c r="T2215" s="739">
        <f t="shared" si="284"/>
        <v>16540435</v>
      </c>
      <c r="U2215" s="846"/>
      <c r="V2215" s="847"/>
      <c r="W2215" s="846"/>
      <c r="X2215" s="846"/>
      <c r="Y2215" s="740">
        <f t="shared" si="280"/>
        <v>0</v>
      </c>
      <c r="Z2215" s="847"/>
      <c r="AA2215" s="847"/>
      <c r="AB2215" s="741">
        <f t="shared" si="281"/>
        <v>0</v>
      </c>
      <c r="AC2215" s="846"/>
      <c r="AD2215" s="847"/>
      <c r="AE2215" s="846"/>
      <c r="AF2215" s="846"/>
      <c r="AG2215" s="847"/>
      <c r="AH2215" s="847"/>
      <c r="AI2215" s="742">
        <f t="shared" si="285"/>
        <v>10789110</v>
      </c>
      <c r="AJ2215" s="743">
        <f t="shared" si="286"/>
        <v>16540435</v>
      </c>
    </row>
    <row r="2216" spans="1:36">
      <c r="A2216" s="1410" t="s">
        <v>146</v>
      </c>
      <c r="B2216" s="1146" t="s">
        <v>264</v>
      </c>
      <c r="C2216" s="1414" t="s">
        <v>1747</v>
      </c>
      <c r="D2216" s="1136"/>
      <c r="E2216" s="1420">
        <v>217882</v>
      </c>
      <c r="F2216" s="1110">
        <v>1</v>
      </c>
      <c r="G2216" s="846"/>
      <c r="H2216" s="847">
        <v>900000</v>
      </c>
      <c r="I2216" s="846"/>
      <c r="J2216" s="847"/>
      <c r="K2216" s="846"/>
      <c r="L2216" s="847"/>
      <c r="M2216" s="846"/>
      <c r="N2216" s="846"/>
      <c r="O2216" s="737">
        <f t="shared" si="279"/>
        <v>0</v>
      </c>
      <c r="P2216" s="847"/>
      <c r="Q2216" s="847"/>
      <c r="R2216" s="738">
        <f t="shared" si="282"/>
        <v>0</v>
      </c>
      <c r="S2216" s="737">
        <f t="shared" si="283"/>
        <v>0</v>
      </c>
      <c r="T2216" s="739">
        <f t="shared" si="284"/>
        <v>900000</v>
      </c>
      <c r="U2216" s="846"/>
      <c r="V2216" s="847"/>
      <c r="W2216" s="846"/>
      <c r="X2216" s="846"/>
      <c r="Y2216" s="740">
        <f t="shared" si="280"/>
        <v>0</v>
      </c>
      <c r="Z2216" s="847"/>
      <c r="AA2216" s="847"/>
      <c r="AB2216" s="741">
        <f t="shared" si="281"/>
        <v>0</v>
      </c>
      <c r="AC2216" s="846"/>
      <c r="AD2216" s="847"/>
      <c r="AE2216" s="846"/>
      <c r="AF2216" s="846"/>
      <c r="AG2216" s="847"/>
      <c r="AH2216" s="847"/>
      <c r="AI2216" s="742">
        <f t="shared" si="285"/>
        <v>0</v>
      </c>
      <c r="AJ2216" s="743">
        <f t="shared" si="286"/>
        <v>900000</v>
      </c>
    </row>
    <row r="2217" spans="1:36">
      <c r="A2217" s="1410" t="s">
        <v>146</v>
      </c>
      <c r="B2217" s="1146" t="s">
        <v>266</v>
      </c>
      <c r="C2217" s="1135" t="s">
        <v>319</v>
      </c>
      <c r="D2217" s="1136"/>
      <c r="E2217" s="1420">
        <v>217882</v>
      </c>
      <c r="F2217" s="1110">
        <v>1</v>
      </c>
      <c r="G2217" s="846"/>
      <c r="H2217" s="847"/>
      <c r="I2217" s="846"/>
      <c r="J2217" s="847"/>
      <c r="K2217" s="846"/>
      <c r="L2217" s="847"/>
      <c r="M2217" s="846"/>
      <c r="N2217" s="846"/>
      <c r="O2217" s="737">
        <f t="shared" si="279"/>
        <v>0</v>
      </c>
      <c r="P2217" s="847"/>
      <c r="Q2217" s="847"/>
      <c r="R2217" s="738">
        <f t="shared" si="282"/>
        <v>0</v>
      </c>
      <c r="S2217" s="737">
        <f t="shared" si="283"/>
        <v>0</v>
      </c>
      <c r="T2217" s="739">
        <f t="shared" si="284"/>
        <v>0</v>
      </c>
      <c r="U2217" s="846"/>
      <c r="V2217" s="847"/>
      <c r="W2217" s="846"/>
      <c r="X2217" s="846"/>
      <c r="Y2217" s="740">
        <f t="shared" si="280"/>
        <v>0</v>
      </c>
      <c r="Z2217" s="847"/>
      <c r="AA2217" s="847"/>
      <c r="AB2217" s="741">
        <f t="shared" si="281"/>
        <v>0</v>
      </c>
      <c r="AC2217" s="846"/>
      <c r="AD2217" s="847"/>
      <c r="AE2217" s="846"/>
      <c r="AF2217" s="846"/>
      <c r="AG2217" s="847"/>
      <c r="AH2217" s="847"/>
      <c r="AI2217" s="742">
        <f t="shared" si="285"/>
        <v>0</v>
      </c>
      <c r="AJ2217" s="743">
        <f t="shared" si="286"/>
        <v>0</v>
      </c>
    </row>
    <row r="2218" spans="1:36">
      <c r="A2218" s="1410" t="s">
        <v>146</v>
      </c>
      <c r="B2218" s="1146" t="s">
        <v>268</v>
      </c>
      <c r="C2218" s="1415" t="s">
        <v>454</v>
      </c>
      <c r="D2218" s="1416"/>
      <c r="E2218" s="1420">
        <v>217882</v>
      </c>
      <c r="F2218" s="1110">
        <v>1</v>
      </c>
      <c r="G2218" s="846"/>
      <c r="H2218" s="847"/>
      <c r="I2218" s="846"/>
      <c r="J2218" s="847"/>
      <c r="K2218" s="846"/>
      <c r="L2218" s="847"/>
      <c r="M2218" s="846"/>
      <c r="N2218" s="846"/>
      <c r="O2218" s="737">
        <f t="shared" si="279"/>
        <v>0</v>
      </c>
      <c r="P2218" s="847"/>
      <c r="Q2218" s="847"/>
      <c r="R2218" s="738">
        <f t="shared" si="282"/>
        <v>0</v>
      </c>
      <c r="S2218" s="737">
        <f t="shared" si="283"/>
        <v>0</v>
      </c>
      <c r="T2218" s="739">
        <f t="shared" si="284"/>
        <v>0</v>
      </c>
      <c r="U2218" s="846"/>
      <c r="V2218" s="847"/>
      <c r="W2218" s="846"/>
      <c r="X2218" s="846"/>
      <c r="Y2218" s="740">
        <f t="shared" si="280"/>
        <v>0</v>
      </c>
      <c r="Z2218" s="847"/>
      <c r="AA2218" s="847"/>
      <c r="AB2218" s="741">
        <f t="shared" si="281"/>
        <v>0</v>
      </c>
      <c r="AC2218" s="846"/>
      <c r="AD2218" s="847"/>
      <c r="AE2218" s="846"/>
      <c r="AF2218" s="846"/>
      <c r="AG2218" s="847"/>
      <c r="AH2218" s="847"/>
      <c r="AI2218" s="742">
        <f t="shared" si="285"/>
        <v>0</v>
      </c>
      <c r="AJ2218" s="743">
        <f t="shared" si="286"/>
        <v>0</v>
      </c>
    </row>
    <row r="2219" spans="1:36">
      <c r="A2219" s="1410" t="s">
        <v>146</v>
      </c>
      <c r="B2219" s="1146" t="s">
        <v>268</v>
      </c>
      <c r="C2219" s="1137" t="s">
        <v>1748</v>
      </c>
      <c r="D2219" s="1136"/>
      <c r="E2219" s="1420">
        <v>217882</v>
      </c>
      <c r="F2219" s="1110">
        <v>1</v>
      </c>
      <c r="G2219" s="846"/>
      <c r="H2219" s="847"/>
      <c r="I2219" s="846">
        <v>31282186</v>
      </c>
      <c r="J2219" s="847">
        <v>32871650</v>
      </c>
      <c r="K2219" s="846"/>
      <c r="L2219" s="847"/>
      <c r="M2219" s="846"/>
      <c r="N2219" s="846"/>
      <c r="O2219" s="737">
        <f t="shared" si="279"/>
        <v>0</v>
      </c>
      <c r="P2219" s="847"/>
      <c r="Q2219" s="847"/>
      <c r="R2219" s="738">
        <f t="shared" si="282"/>
        <v>0</v>
      </c>
      <c r="S2219" s="737">
        <f t="shared" si="283"/>
        <v>31282186</v>
      </c>
      <c r="T2219" s="739">
        <f t="shared" si="284"/>
        <v>32871650</v>
      </c>
      <c r="U2219" s="846"/>
      <c r="V2219" s="847"/>
      <c r="W2219" s="846"/>
      <c r="X2219" s="846"/>
      <c r="Y2219" s="740">
        <f t="shared" si="280"/>
        <v>0</v>
      </c>
      <c r="Z2219" s="847"/>
      <c r="AA2219" s="847"/>
      <c r="AB2219" s="741">
        <f t="shared" si="281"/>
        <v>0</v>
      </c>
      <c r="AC2219" s="846"/>
      <c r="AD2219" s="847"/>
      <c r="AE2219" s="846"/>
      <c r="AF2219" s="846"/>
      <c r="AG2219" s="847"/>
      <c r="AH2219" s="847"/>
      <c r="AI2219" s="742">
        <f t="shared" si="285"/>
        <v>31282186</v>
      </c>
      <c r="AJ2219" s="743">
        <f t="shared" si="286"/>
        <v>32871650</v>
      </c>
    </row>
    <row r="2220" spans="1:36">
      <c r="A2220" s="1410" t="s">
        <v>146</v>
      </c>
      <c r="B2220" s="1146" t="s">
        <v>268</v>
      </c>
      <c r="C2220" s="1137" t="s">
        <v>1749</v>
      </c>
      <c r="D2220" s="1136"/>
      <c r="E2220" s="1420">
        <v>217882</v>
      </c>
      <c r="F2220" s="1110">
        <v>1</v>
      </c>
      <c r="G2220" s="846"/>
      <c r="H2220" s="847"/>
      <c r="I2220" s="846"/>
      <c r="J2220" s="847"/>
      <c r="K2220" s="846"/>
      <c r="L2220" s="847"/>
      <c r="M2220" s="846"/>
      <c r="N2220" s="846"/>
      <c r="O2220" s="737">
        <f t="shared" si="279"/>
        <v>0</v>
      </c>
      <c r="P2220" s="847"/>
      <c r="Q2220" s="847"/>
      <c r="R2220" s="738">
        <f t="shared" si="282"/>
        <v>0</v>
      </c>
      <c r="S2220" s="737">
        <f t="shared" si="283"/>
        <v>0</v>
      </c>
      <c r="T2220" s="739">
        <f t="shared" si="284"/>
        <v>0</v>
      </c>
      <c r="U2220" s="846"/>
      <c r="V2220" s="847"/>
      <c r="W2220" s="846"/>
      <c r="X2220" s="846"/>
      <c r="Y2220" s="740">
        <f t="shared" si="280"/>
        <v>0</v>
      </c>
      <c r="Z2220" s="847"/>
      <c r="AA2220" s="847"/>
      <c r="AB2220" s="741">
        <f t="shared" si="281"/>
        <v>0</v>
      </c>
      <c r="AC2220" s="846"/>
      <c r="AD2220" s="847"/>
      <c r="AE2220" s="846"/>
      <c r="AF2220" s="846"/>
      <c r="AG2220" s="847"/>
      <c r="AH2220" s="847"/>
      <c r="AI2220" s="742">
        <f t="shared" si="285"/>
        <v>0</v>
      </c>
      <c r="AJ2220" s="743">
        <f t="shared" si="286"/>
        <v>0</v>
      </c>
    </row>
    <row r="2221" spans="1:36">
      <c r="A2221" s="1410" t="s">
        <v>146</v>
      </c>
      <c r="B2221" s="1146" t="s">
        <v>271</v>
      </c>
      <c r="C2221" s="1415" t="s">
        <v>1750</v>
      </c>
      <c r="D2221" s="1416"/>
      <c r="E2221" s="1420">
        <v>217882</v>
      </c>
      <c r="F2221" s="1110">
        <v>1</v>
      </c>
      <c r="G2221" s="846"/>
      <c r="H2221" s="847"/>
      <c r="I2221" s="846"/>
      <c r="J2221" s="847"/>
      <c r="K2221" s="846"/>
      <c r="L2221" s="847"/>
      <c r="M2221" s="846"/>
      <c r="N2221" s="846"/>
      <c r="O2221" s="737">
        <f t="shared" si="279"/>
        <v>0</v>
      </c>
      <c r="P2221" s="847"/>
      <c r="Q2221" s="847"/>
      <c r="R2221" s="738">
        <f t="shared" si="282"/>
        <v>0</v>
      </c>
      <c r="S2221" s="737">
        <f t="shared" si="283"/>
        <v>0</v>
      </c>
      <c r="T2221" s="739">
        <f t="shared" si="284"/>
        <v>0</v>
      </c>
      <c r="U2221" s="846"/>
      <c r="V2221" s="847"/>
      <c r="W2221" s="846"/>
      <c r="X2221" s="846"/>
      <c r="Y2221" s="740">
        <f t="shared" si="280"/>
        <v>0</v>
      </c>
      <c r="Z2221" s="847"/>
      <c r="AA2221" s="847"/>
      <c r="AB2221" s="741">
        <f t="shared" si="281"/>
        <v>0</v>
      </c>
      <c r="AC2221" s="846"/>
      <c r="AD2221" s="847"/>
      <c r="AE2221" s="846"/>
      <c r="AF2221" s="846"/>
      <c r="AG2221" s="847"/>
      <c r="AH2221" s="847"/>
      <c r="AI2221" s="742">
        <f t="shared" si="285"/>
        <v>0</v>
      </c>
      <c r="AJ2221" s="743">
        <f t="shared" si="286"/>
        <v>0</v>
      </c>
    </row>
    <row r="2222" spans="1:36">
      <c r="A2222" s="1410" t="s">
        <v>146</v>
      </c>
      <c r="B2222" s="1146" t="s">
        <v>271</v>
      </c>
      <c r="C2222" s="1137" t="s">
        <v>1751</v>
      </c>
      <c r="D2222" s="1136"/>
      <c r="E2222" s="1420">
        <v>217882</v>
      </c>
      <c r="F2222" s="1110">
        <v>1</v>
      </c>
      <c r="G2222" s="846" t="s">
        <v>91</v>
      </c>
      <c r="H2222" s="847"/>
      <c r="I2222" s="846">
        <v>3000000</v>
      </c>
      <c r="J2222" s="847"/>
      <c r="K2222" s="846"/>
      <c r="L2222" s="847"/>
      <c r="M2222" s="846"/>
      <c r="N2222" s="846"/>
      <c r="O2222" s="737">
        <f t="shared" si="279"/>
        <v>0</v>
      </c>
      <c r="P2222" s="847"/>
      <c r="Q2222" s="847"/>
      <c r="R2222" s="738">
        <f t="shared" si="282"/>
        <v>0</v>
      </c>
      <c r="S2222" s="737">
        <f t="shared" si="283"/>
        <v>3000000</v>
      </c>
      <c r="T2222" s="739">
        <f t="shared" si="284"/>
        <v>0</v>
      </c>
      <c r="U2222" s="846"/>
      <c r="V2222" s="847"/>
      <c r="W2222" s="846"/>
      <c r="X2222" s="846"/>
      <c r="Y2222" s="740">
        <f t="shared" si="280"/>
        <v>0</v>
      </c>
      <c r="Z2222" s="847"/>
      <c r="AA2222" s="847"/>
      <c r="AB2222" s="741">
        <f t="shared" si="281"/>
        <v>0</v>
      </c>
      <c r="AC2222" s="846"/>
      <c r="AD2222" s="847"/>
      <c r="AE2222" s="846"/>
      <c r="AF2222" s="846"/>
      <c r="AG2222" s="847"/>
      <c r="AH2222" s="847"/>
      <c r="AI2222" s="742">
        <f t="shared" si="285"/>
        <v>3000000</v>
      </c>
      <c r="AJ2222" s="743">
        <f t="shared" si="286"/>
        <v>0</v>
      </c>
    </row>
    <row r="2223" spans="1:36">
      <c r="A2223" s="1410" t="s">
        <v>146</v>
      </c>
      <c r="B2223" s="1146" t="s">
        <v>272</v>
      </c>
      <c r="C2223" s="1135" t="s">
        <v>842</v>
      </c>
      <c r="D2223" s="1136"/>
      <c r="E2223" s="1420">
        <v>217882</v>
      </c>
      <c r="F2223" s="1110">
        <v>1</v>
      </c>
      <c r="G2223" s="846"/>
      <c r="H2223" s="847"/>
      <c r="I2223" s="846"/>
      <c r="J2223" s="847"/>
      <c r="K2223" s="846"/>
      <c r="L2223" s="847"/>
      <c r="M2223" s="846"/>
      <c r="N2223" s="846"/>
      <c r="O2223" s="737">
        <f t="shared" si="279"/>
        <v>0</v>
      </c>
      <c r="P2223" s="847"/>
      <c r="Q2223" s="847"/>
      <c r="R2223" s="738">
        <f t="shared" si="282"/>
        <v>0</v>
      </c>
      <c r="S2223" s="737">
        <f t="shared" si="283"/>
        <v>0</v>
      </c>
      <c r="T2223" s="739">
        <f t="shared" si="284"/>
        <v>0</v>
      </c>
      <c r="U2223" s="846"/>
      <c r="V2223" s="847"/>
      <c r="W2223" s="846"/>
      <c r="X2223" s="846"/>
      <c r="Y2223" s="740">
        <f t="shared" si="280"/>
        <v>0</v>
      </c>
      <c r="Z2223" s="847"/>
      <c r="AA2223" s="847"/>
      <c r="AB2223" s="741">
        <f t="shared" si="281"/>
        <v>0</v>
      </c>
      <c r="AC2223" s="846"/>
      <c r="AD2223" s="847"/>
      <c r="AE2223" s="846"/>
      <c r="AF2223" s="846"/>
      <c r="AG2223" s="847"/>
      <c r="AH2223" s="847"/>
      <c r="AI2223" s="742">
        <f t="shared" si="285"/>
        <v>0</v>
      </c>
      <c r="AJ2223" s="743">
        <f t="shared" si="286"/>
        <v>0</v>
      </c>
    </row>
    <row r="2224" spans="1:36">
      <c r="A2224" s="1410" t="s">
        <v>146</v>
      </c>
      <c r="B2224" s="1146" t="s">
        <v>272</v>
      </c>
      <c r="C2224" s="1414" t="s">
        <v>1752</v>
      </c>
      <c r="D2224" s="1136"/>
      <c r="E2224" s="1420">
        <v>217882</v>
      </c>
      <c r="F2224" s="1110">
        <v>1</v>
      </c>
      <c r="G2224" s="846"/>
      <c r="H2224" s="847"/>
      <c r="I2224" s="846">
        <v>1000000</v>
      </c>
      <c r="J2224" s="847">
        <v>1000000</v>
      </c>
      <c r="K2224" s="846"/>
      <c r="L2224" s="847"/>
      <c r="M2224" s="846"/>
      <c r="N2224" s="846"/>
      <c r="O2224" s="737">
        <f t="shared" si="279"/>
        <v>0</v>
      </c>
      <c r="P2224" s="847"/>
      <c r="Q2224" s="847"/>
      <c r="R2224" s="738">
        <f t="shared" si="282"/>
        <v>0</v>
      </c>
      <c r="S2224" s="737">
        <f t="shared" si="283"/>
        <v>1000000</v>
      </c>
      <c r="T2224" s="739">
        <f t="shared" si="284"/>
        <v>1000000</v>
      </c>
      <c r="U2224" s="846"/>
      <c r="V2224" s="847"/>
      <c r="W2224" s="846"/>
      <c r="X2224" s="846"/>
      <c r="Y2224" s="740">
        <f t="shared" si="280"/>
        <v>0</v>
      </c>
      <c r="Z2224" s="847"/>
      <c r="AA2224" s="847"/>
      <c r="AB2224" s="741">
        <f t="shared" si="281"/>
        <v>0</v>
      </c>
      <c r="AC2224" s="846"/>
      <c r="AD2224" s="847"/>
      <c r="AE2224" s="846"/>
      <c r="AF2224" s="846"/>
      <c r="AG2224" s="847"/>
      <c r="AH2224" s="847"/>
      <c r="AI2224" s="742">
        <f t="shared" si="285"/>
        <v>1000000</v>
      </c>
      <c r="AJ2224" s="743">
        <f t="shared" si="286"/>
        <v>1000000</v>
      </c>
    </row>
    <row r="2225" spans="1:36">
      <c r="A2225" s="1410" t="s">
        <v>146</v>
      </c>
      <c r="B2225" s="1146" t="s">
        <v>272</v>
      </c>
      <c r="C2225" s="1135" t="s">
        <v>1753</v>
      </c>
      <c r="D2225" s="1136"/>
      <c r="E2225" s="1420">
        <v>217882</v>
      </c>
      <c r="F2225" s="1110">
        <v>1</v>
      </c>
      <c r="G2225" s="846"/>
      <c r="H2225" s="847"/>
      <c r="I2225" s="846"/>
      <c r="J2225" s="847"/>
      <c r="K2225" s="846"/>
      <c r="L2225" s="847"/>
      <c r="M2225" s="846"/>
      <c r="N2225" s="846"/>
      <c r="O2225" s="737">
        <f t="shared" si="279"/>
        <v>0</v>
      </c>
      <c r="P2225" s="847"/>
      <c r="Q2225" s="847"/>
      <c r="R2225" s="738">
        <f t="shared" si="282"/>
        <v>0</v>
      </c>
      <c r="S2225" s="737">
        <f t="shared" si="283"/>
        <v>0</v>
      </c>
      <c r="T2225" s="739">
        <f t="shared" si="284"/>
        <v>0</v>
      </c>
      <c r="U2225" s="846"/>
      <c r="V2225" s="847"/>
      <c r="W2225" s="846"/>
      <c r="X2225" s="846"/>
      <c r="Y2225" s="740">
        <f t="shared" si="280"/>
        <v>0</v>
      </c>
      <c r="Z2225" s="847"/>
      <c r="AA2225" s="847"/>
      <c r="AB2225" s="741">
        <f t="shared" si="281"/>
        <v>0</v>
      </c>
      <c r="AC2225" s="846"/>
      <c r="AD2225" s="847"/>
      <c r="AE2225" s="846"/>
      <c r="AF2225" s="846"/>
      <c r="AG2225" s="847"/>
      <c r="AH2225" s="847"/>
      <c r="AI2225" s="742">
        <f t="shared" si="285"/>
        <v>0</v>
      </c>
      <c r="AJ2225" s="743">
        <f t="shared" si="286"/>
        <v>0</v>
      </c>
    </row>
    <row r="2226" spans="1:36">
      <c r="A2226" s="1410" t="s">
        <v>146</v>
      </c>
      <c r="B2226" s="1146" t="s">
        <v>272</v>
      </c>
      <c r="C2226" s="1137" t="s">
        <v>1754</v>
      </c>
      <c r="D2226" s="1136"/>
      <c r="E2226" s="1420">
        <v>217882</v>
      </c>
      <c r="F2226" s="1110">
        <v>1</v>
      </c>
      <c r="G2226" s="846"/>
      <c r="H2226" s="847"/>
      <c r="I2226" s="846">
        <v>2717813</v>
      </c>
      <c r="J2226" s="847" t="s">
        <v>91</v>
      </c>
      <c r="K2226" s="846"/>
      <c r="L2226" s="847"/>
      <c r="M2226" s="846"/>
      <c r="N2226" s="846"/>
      <c r="O2226" s="737">
        <f t="shared" si="279"/>
        <v>0</v>
      </c>
      <c r="P2226" s="847"/>
      <c r="Q2226" s="847"/>
      <c r="R2226" s="738">
        <f t="shared" si="282"/>
        <v>0</v>
      </c>
      <c r="S2226" s="737">
        <f t="shared" si="283"/>
        <v>2717813</v>
      </c>
      <c r="T2226" s="739">
        <f t="shared" si="284"/>
        <v>0</v>
      </c>
      <c r="U2226" s="846"/>
      <c r="V2226" s="847"/>
      <c r="W2226" s="846"/>
      <c r="X2226" s="846"/>
      <c r="Y2226" s="740">
        <f t="shared" si="280"/>
        <v>0</v>
      </c>
      <c r="Z2226" s="847"/>
      <c r="AA2226" s="847"/>
      <c r="AB2226" s="741">
        <f t="shared" si="281"/>
        <v>0</v>
      </c>
      <c r="AC2226" s="846"/>
      <c r="AD2226" s="847"/>
      <c r="AE2226" s="846"/>
      <c r="AF2226" s="846"/>
      <c r="AG2226" s="847"/>
      <c r="AH2226" s="847"/>
      <c r="AI2226" s="742">
        <f t="shared" si="285"/>
        <v>2717813</v>
      </c>
      <c r="AJ2226" s="743">
        <f t="shared" si="286"/>
        <v>0</v>
      </c>
    </row>
    <row r="2227" spans="1:36">
      <c r="A2227" s="1410" t="s">
        <v>146</v>
      </c>
      <c r="B2227" s="1146" t="s">
        <v>272</v>
      </c>
      <c r="C2227" s="1414" t="s">
        <v>1755</v>
      </c>
      <c r="D2227" s="1136"/>
      <c r="E2227" s="1420">
        <v>217882</v>
      </c>
      <c r="F2227" s="1110">
        <v>1</v>
      </c>
      <c r="G2227" s="846"/>
      <c r="H2227" s="847"/>
      <c r="I2227" s="846"/>
      <c r="J2227" s="847">
        <v>825209</v>
      </c>
      <c r="K2227" s="846"/>
      <c r="L2227" s="847"/>
      <c r="M2227" s="846"/>
      <c r="N2227" s="846"/>
      <c r="O2227" s="737">
        <f t="shared" si="279"/>
        <v>0</v>
      </c>
      <c r="P2227" s="847"/>
      <c r="Q2227" s="847"/>
      <c r="R2227" s="738">
        <f t="shared" si="282"/>
        <v>0</v>
      </c>
      <c r="S2227" s="737">
        <f t="shared" si="283"/>
        <v>0</v>
      </c>
      <c r="T2227" s="739">
        <f t="shared" si="284"/>
        <v>825209</v>
      </c>
      <c r="U2227" s="846"/>
      <c r="V2227" s="847"/>
      <c r="W2227" s="846"/>
      <c r="X2227" s="846"/>
      <c r="Y2227" s="740">
        <f t="shared" si="280"/>
        <v>0</v>
      </c>
      <c r="Z2227" s="847"/>
      <c r="AA2227" s="847"/>
      <c r="AB2227" s="741">
        <f t="shared" si="281"/>
        <v>0</v>
      </c>
      <c r="AC2227" s="846"/>
      <c r="AD2227" s="847"/>
      <c r="AE2227" s="846"/>
      <c r="AF2227" s="846"/>
      <c r="AG2227" s="847"/>
      <c r="AH2227" s="847"/>
      <c r="AI2227" s="742">
        <f t="shared" si="285"/>
        <v>0</v>
      </c>
      <c r="AJ2227" s="743">
        <f t="shared" si="286"/>
        <v>825209</v>
      </c>
    </row>
    <row r="2228" spans="1:36">
      <c r="A2228" s="1410" t="s">
        <v>146</v>
      </c>
      <c r="B2228" s="1146" t="s">
        <v>272</v>
      </c>
      <c r="C2228" s="1137" t="s">
        <v>1756</v>
      </c>
      <c r="D2228" s="1136"/>
      <c r="E2228" s="1420">
        <v>217882</v>
      </c>
      <c r="F2228" s="1110">
        <v>1</v>
      </c>
      <c r="G2228" s="846"/>
      <c r="H2228" s="847"/>
      <c r="I2228" s="846">
        <v>28539</v>
      </c>
      <c r="J2228" s="847">
        <v>28233</v>
      </c>
      <c r="K2228" s="846"/>
      <c r="L2228" s="847"/>
      <c r="M2228" s="846"/>
      <c r="N2228" s="846"/>
      <c r="O2228" s="737">
        <f t="shared" si="279"/>
        <v>0</v>
      </c>
      <c r="P2228" s="847"/>
      <c r="Q2228" s="847"/>
      <c r="R2228" s="738">
        <f t="shared" si="282"/>
        <v>0</v>
      </c>
      <c r="S2228" s="737">
        <f t="shared" si="283"/>
        <v>28539</v>
      </c>
      <c r="T2228" s="739">
        <f t="shared" si="284"/>
        <v>28233</v>
      </c>
      <c r="U2228" s="846"/>
      <c r="V2228" s="847"/>
      <c r="W2228" s="846"/>
      <c r="X2228" s="846"/>
      <c r="Y2228" s="740">
        <f t="shared" si="280"/>
        <v>0</v>
      </c>
      <c r="Z2228" s="847"/>
      <c r="AA2228" s="847"/>
      <c r="AB2228" s="741">
        <f t="shared" si="281"/>
        <v>0</v>
      </c>
      <c r="AC2228" s="846"/>
      <c r="AD2228" s="847"/>
      <c r="AE2228" s="846"/>
      <c r="AF2228" s="846"/>
      <c r="AG2228" s="847"/>
      <c r="AH2228" s="847"/>
      <c r="AI2228" s="742">
        <f t="shared" si="285"/>
        <v>28539</v>
      </c>
      <c r="AJ2228" s="743">
        <f t="shared" si="286"/>
        <v>28233</v>
      </c>
    </row>
    <row r="2229" spans="1:36">
      <c r="A2229" s="1410" t="s">
        <v>146</v>
      </c>
      <c r="B2229" s="1146" t="s">
        <v>272</v>
      </c>
      <c r="C2229" s="1414" t="s">
        <v>1757</v>
      </c>
      <c r="D2229" s="1136"/>
      <c r="E2229" s="1420">
        <v>217882</v>
      </c>
      <c r="F2229" s="1110">
        <v>1</v>
      </c>
      <c r="G2229" s="846"/>
      <c r="H2229" s="847"/>
      <c r="I2229" s="846"/>
      <c r="J2229" s="847">
        <v>200000</v>
      </c>
      <c r="K2229" s="846"/>
      <c r="L2229" s="847"/>
      <c r="M2229" s="846"/>
      <c r="N2229" s="846"/>
      <c r="O2229" s="737">
        <f t="shared" si="279"/>
        <v>0</v>
      </c>
      <c r="P2229" s="847"/>
      <c r="Q2229" s="847"/>
      <c r="R2229" s="738">
        <f t="shared" si="282"/>
        <v>0</v>
      </c>
      <c r="S2229" s="737">
        <f t="shared" si="283"/>
        <v>0</v>
      </c>
      <c r="T2229" s="739">
        <f t="shared" si="284"/>
        <v>200000</v>
      </c>
      <c r="U2229" s="846"/>
      <c r="V2229" s="847"/>
      <c r="W2229" s="846"/>
      <c r="X2229" s="846"/>
      <c r="Y2229" s="740">
        <f t="shared" si="280"/>
        <v>0</v>
      </c>
      <c r="Z2229" s="847"/>
      <c r="AA2229" s="847"/>
      <c r="AB2229" s="741">
        <f t="shared" si="281"/>
        <v>0</v>
      </c>
      <c r="AC2229" s="846"/>
      <c r="AD2229" s="847"/>
      <c r="AE2229" s="846"/>
      <c r="AF2229" s="846"/>
      <c r="AG2229" s="847"/>
      <c r="AH2229" s="847"/>
      <c r="AI2229" s="742">
        <f t="shared" si="285"/>
        <v>0</v>
      </c>
      <c r="AJ2229" s="743">
        <f t="shared" si="286"/>
        <v>200000</v>
      </c>
    </row>
    <row r="2230" spans="1:36" ht="25.5">
      <c r="A2230" s="1410" t="s">
        <v>146</v>
      </c>
      <c r="B2230" s="1146" t="s">
        <v>272</v>
      </c>
      <c r="C2230" s="1417" t="s">
        <v>1758</v>
      </c>
      <c r="D2230" s="1136"/>
      <c r="E2230" s="1420">
        <v>217882</v>
      </c>
      <c r="F2230" s="1110">
        <v>1</v>
      </c>
      <c r="G2230" s="846"/>
      <c r="H2230" s="847"/>
      <c r="I2230" s="846"/>
      <c r="J2230" s="847">
        <v>596066</v>
      </c>
      <c r="K2230" s="846"/>
      <c r="L2230" s="847"/>
      <c r="M2230" s="846"/>
      <c r="N2230" s="846"/>
      <c r="O2230" s="737">
        <f t="shared" si="279"/>
        <v>0</v>
      </c>
      <c r="P2230" s="847"/>
      <c r="Q2230" s="847"/>
      <c r="R2230" s="738">
        <f t="shared" si="282"/>
        <v>0</v>
      </c>
      <c r="S2230" s="737">
        <f t="shared" si="283"/>
        <v>0</v>
      </c>
      <c r="T2230" s="739">
        <f t="shared" si="284"/>
        <v>596066</v>
      </c>
      <c r="U2230" s="846"/>
      <c r="V2230" s="847"/>
      <c r="W2230" s="846"/>
      <c r="X2230" s="846"/>
      <c r="Y2230" s="740">
        <f t="shared" si="280"/>
        <v>0</v>
      </c>
      <c r="Z2230" s="847"/>
      <c r="AA2230" s="847"/>
      <c r="AB2230" s="741">
        <f t="shared" si="281"/>
        <v>0</v>
      </c>
      <c r="AC2230" s="846"/>
      <c r="AD2230" s="847"/>
      <c r="AE2230" s="846"/>
      <c r="AF2230" s="846"/>
      <c r="AG2230" s="847"/>
      <c r="AH2230" s="847"/>
      <c r="AI2230" s="742">
        <f t="shared" si="285"/>
        <v>0</v>
      </c>
      <c r="AJ2230" s="743">
        <f t="shared" si="286"/>
        <v>596066</v>
      </c>
    </row>
    <row r="2231" spans="1:36" ht="25.5">
      <c r="A2231" s="1410" t="s">
        <v>146</v>
      </c>
      <c r="B2231" s="1146" t="s">
        <v>272</v>
      </c>
      <c r="C2231" s="1417" t="s">
        <v>1759</v>
      </c>
      <c r="D2231" s="1136"/>
      <c r="E2231" s="1420">
        <v>217882</v>
      </c>
      <c r="F2231" s="1110">
        <v>1</v>
      </c>
      <c r="G2231" s="846"/>
      <c r="H2231" s="847"/>
      <c r="I2231" s="846"/>
      <c r="J2231" s="847">
        <v>1118674</v>
      </c>
      <c r="K2231" s="846"/>
      <c r="L2231" s="847"/>
      <c r="M2231" s="846"/>
      <c r="N2231" s="846"/>
      <c r="O2231" s="737">
        <f t="shared" si="279"/>
        <v>0</v>
      </c>
      <c r="P2231" s="847"/>
      <c r="Q2231" s="847"/>
      <c r="R2231" s="738">
        <f t="shared" si="282"/>
        <v>0</v>
      </c>
      <c r="S2231" s="737">
        <f t="shared" si="283"/>
        <v>0</v>
      </c>
      <c r="T2231" s="739">
        <f t="shared" si="284"/>
        <v>1118674</v>
      </c>
      <c r="U2231" s="846"/>
      <c r="V2231" s="847"/>
      <c r="W2231" s="846"/>
      <c r="X2231" s="846"/>
      <c r="Y2231" s="740">
        <f t="shared" si="280"/>
        <v>0</v>
      </c>
      <c r="Z2231" s="847"/>
      <c r="AA2231" s="847"/>
      <c r="AB2231" s="741">
        <f t="shared" si="281"/>
        <v>0</v>
      </c>
      <c r="AC2231" s="846"/>
      <c r="AD2231" s="847"/>
      <c r="AE2231" s="846"/>
      <c r="AF2231" s="846"/>
      <c r="AG2231" s="847"/>
      <c r="AH2231" s="847"/>
      <c r="AI2231" s="742">
        <f t="shared" si="285"/>
        <v>0</v>
      </c>
      <c r="AJ2231" s="743">
        <f t="shared" si="286"/>
        <v>1118674</v>
      </c>
    </row>
    <row r="2232" spans="1:36">
      <c r="A2232" s="1410" t="s">
        <v>146</v>
      </c>
      <c r="B2232" s="1146" t="s">
        <v>264</v>
      </c>
      <c r="C2232" s="1146" t="s">
        <v>1760</v>
      </c>
      <c r="D2232" s="1148"/>
      <c r="E2232" s="1420">
        <v>218663</v>
      </c>
      <c r="F2232" s="1110">
        <v>1</v>
      </c>
      <c r="G2232" s="846">
        <v>68905595</v>
      </c>
      <c r="H2232" s="847">
        <v>73928655</v>
      </c>
      <c r="I2232" s="846"/>
      <c r="J2232" s="847"/>
      <c r="K2232" s="846"/>
      <c r="L2232" s="847"/>
      <c r="M2232" s="846">
        <v>491089989</v>
      </c>
      <c r="N2232" s="846">
        <v>25358755</v>
      </c>
      <c r="O2232" s="737">
        <f t="shared" si="279"/>
        <v>516448744</v>
      </c>
      <c r="P2232" s="847">
        <v>534047944</v>
      </c>
      <c r="Q2232" s="847">
        <v>26637242</v>
      </c>
      <c r="R2232" s="738">
        <f t="shared" si="282"/>
        <v>560685186</v>
      </c>
      <c r="S2232" s="737">
        <f t="shared" si="283"/>
        <v>559995584</v>
      </c>
      <c r="T2232" s="739">
        <f t="shared" si="284"/>
        <v>607976599</v>
      </c>
      <c r="U2232" s="846"/>
      <c r="V2232" s="847"/>
      <c r="W2232" s="846"/>
      <c r="X2232" s="846"/>
      <c r="Y2232" s="740">
        <f t="shared" si="280"/>
        <v>0</v>
      </c>
      <c r="Z2232" s="847"/>
      <c r="AA2232" s="847"/>
      <c r="AB2232" s="741">
        <f t="shared" si="281"/>
        <v>0</v>
      </c>
      <c r="AC2232" s="846"/>
      <c r="AD2232" s="847"/>
      <c r="AE2232" s="846"/>
      <c r="AF2232" s="846"/>
      <c r="AG2232" s="847"/>
      <c r="AH2232" s="847"/>
      <c r="AI2232" s="742">
        <f t="shared" si="285"/>
        <v>559995584</v>
      </c>
      <c r="AJ2232" s="743">
        <f t="shared" si="286"/>
        <v>607976599</v>
      </c>
    </row>
    <row r="2233" spans="1:36">
      <c r="A2233" s="1410" t="s">
        <v>146</v>
      </c>
      <c r="B2233" s="1146" t="s">
        <v>264</v>
      </c>
      <c r="C2233" s="1137" t="s">
        <v>1746</v>
      </c>
      <c r="D2233" s="1136"/>
      <c r="E2233" s="1420">
        <v>218663</v>
      </c>
      <c r="F2233" s="1110">
        <v>1</v>
      </c>
      <c r="G2233" s="846">
        <v>19563395</v>
      </c>
      <c r="H2233" s="847">
        <v>20811228</v>
      </c>
      <c r="I2233" s="846"/>
      <c r="J2233" s="847"/>
      <c r="K2233" s="846"/>
      <c r="L2233" s="847"/>
      <c r="M2233" s="846"/>
      <c r="N2233" s="846"/>
      <c r="O2233" s="737">
        <f t="shared" si="279"/>
        <v>0</v>
      </c>
      <c r="P2233" s="847"/>
      <c r="Q2233" s="847"/>
      <c r="R2233" s="738">
        <f t="shared" si="282"/>
        <v>0</v>
      </c>
      <c r="S2233" s="737">
        <f t="shared" si="283"/>
        <v>19563395</v>
      </c>
      <c r="T2233" s="739">
        <f t="shared" si="284"/>
        <v>20811228</v>
      </c>
      <c r="U2233" s="846"/>
      <c r="V2233" s="847"/>
      <c r="W2233" s="846"/>
      <c r="X2233" s="846"/>
      <c r="Y2233" s="740">
        <f t="shared" si="280"/>
        <v>0</v>
      </c>
      <c r="Z2233" s="847"/>
      <c r="AA2233" s="847"/>
      <c r="AB2233" s="741">
        <f t="shared" si="281"/>
        <v>0</v>
      </c>
      <c r="AC2233" s="846"/>
      <c r="AD2233" s="847"/>
      <c r="AE2233" s="846"/>
      <c r="AF2233" s="846"/>
      <c r="AG2233" s="847"/>
      <c r="AH2233" s="847"/>
      <c r="AI2233" s="742">
        <f t="shared" si="285"/>
        <v>19563395</v>
      </c>
      <c r="AJ2233" s="743">
        <f t="shared" si="286"/>
        <v>20811228</v>
      </c>
    </row>
    <row r="2234" spans="1:36">
      <c r="A2234" s="1410" t="s">
        <v>146</v>
      </c>
      <c r="B2234" s="1146" t="s">
        <v>264</v>
      </c>
      <c r="C2234" s="1414" t="s">
        <v>1747</v>
      </c>
      <c r="D2234" s="1136"/>
      <c r="E2234" s="1420">
        <v>218663</v>
      </c>
      <c r="F2234" s="1110">
        <v>1</v>
      </c>
      <c r="G2234" s="846"/>
      <c r="H2234" s="847">
        <v>2115000</v>
      </c>
      <c r="I2234" s="846"/>
      <c r="J2234" s="847"/>
      <c r="K2234" s="846"/>
      <c r="L2234" s="847"/>
      <c r="M2234" s="846"/>
      <c r="N2234" s="846"/>
      <c r="O2234" s="737">
        <f t="shared" si="279"/>
        <v>0</v>
      </c>
      <c r="P2234" s="847"/>
      <c r="Q2234" s="847"/>
      <c r="R2234" s="738">
        <f t="shared" si="282"/>
        <v>0</v>
      </c>
      <c r="S2234" s="737">
        <f t="shared" si="283"/>
        <v>0</v>
      </c>
      <c r="T2234" s="739">
        <f t="shared" si="284"/>
        <v>2115000</v>
      </c>
      <c r="U2234" s="846"/>
      <c r="V2234" s="847"/>
      <c r="W2234" s="846"/>
      <c r="X2234" s="846"/>
      <c r="Y2234" s="740">
        <f t="shared" si="280"/>
        <v>0</v>
      </c>
      <c r="Z2234" s="847"/>
      <c r="AA2234" s="847"/>
      <c r="AB2234" s="741">
        <f t="shared" si="281"/>
        <v>0</v>
      </c>
      <c r="AC2234" s="846"/>
      <c r="AD2234" s="847"/>
      <c r="AE2234" s="846"/>
      <c r="AF2234" s="846"/>
      <c r="AG2234" s="847"/>
      <c r="AH2234" s="847"/>
      <c r="AI2234" s="742">
        <f t="shared" si="285"/>
        <v>0</v>
      </c>
      <c r="AJ2234" s="743">
        <f t="shared" si="286"/>
        <v>2115000</v>
      </c>
    </row>
    <row r="2235" spans="1:36">
      <c r="A2235" s="1410" t="s">
        <v>146</v>
      </c>
      <c r="B2235" s="1146" t="s">
        <v>266</v>
      </c>
      <c r="C2235" s="1415" t="s">
        <v>319</v>
      </c>
      <c r="D2235" s="1416"/>
      <c r="E2235" s="1420">
        <v>218663</v>
      </c>
      <c r="F2235" s="1110">
        <v>1</v>
      </c>
      <c r="G2235" s="846"/>
      <c r="H2235" s="847"/>
      <c r="I2235" s="846"/>
      <c r="J2235" s="847"/>
      <c r="K2235" s="846"/>
      <c r="L2235" s="847"/>
      <c r="M2235" s="846"/>
      <c r="N2235" s="846"/>
      <c r="O2235" s="737">
        <f t="shared" si="279"/>
        <v>0</v>
      </c>
      <c r="P2235" s="847"/>
      <c r="Q2235" s="847"/>
      <c r="R2235" s="738">
        <f t="shared" si="282"/>
        <v>0</v>
      </c>
      <c r="S2235" s="737">
        <f t="shared" si="283"/>
        <v>0</v>
      </c>
      <c r="T2235" s="739">
        <f t="shared" si="284"/>
        <v>0</v>
      </c>
      <c r="U2235" s="846"/>
      <c r="V2235" s="847"/>
      <c r="W2235" s="846"/>
      <c r="X2235" s="846"/>
      <c r="Y2235" s="740">
        <f t="shared" si="280"/>
        <v>0</v>
      </c>
      <c r="Z2235" s="847"/>
      <c r="AA2235" s="847"/>
      <c r="AB2235" s="741">
        <f t="shared" si="281"/>
        <v>0</v>
      </c>
      <c r="AC2235" s="846"/>
      <c r="AD2235" s="847"/>
      <c r="AE2235" s="846"/>
      <c r="AF2235" s="846"/>
      <c r="AG2235" s="847"/>
      <c r="AH2235" s="847"/>
      <c r="AI2235" s="742">
        <f t="shared" si="285"/>
        <v>0</v>
      </c>
      <c r="AJ2235" s="743">
        <f t="shared" si="286"/>
        <v>0</v>
      </c>
    </row>
    <row r="2236" spans="1:36">
      <c r="A2236" s="1410" t="s">
        <v>146</v>
      </c>
      <c r="B2236" s="1146" t="s">
        <v>266</v>
      </c>
      <c r="C2236" s="1137" t="s">
        <v>1761</v>
      </c>
      <c r="D2236" s="1136"/>
      <c r="E2236" s="1420">
        <v>218663</v>
      </c>
      <c r="F2236" s="1110">
        <v>1</v>
      </c>
      <c r="G2236" s="846"/>
      <c r="H2236" s="847"/>
      <c r="I2236" s="846">
        <v>251763</v>
      </c>
      <c r="J2236" s="847">
        <v>251763</v>
      </c>
      <c r="K2236" s="846"/>
      <c r="L2236" s="847"/>
      <c r="M2236" s="846"/>
      <c r="N2236" s="846"/>
      <c r="O2236" s="737">
        <f t="shared" si="279"/>
        <v>0</v>
      </c>
      <c r="P2236" s="847"/>
      <c r="Q2236" s="847"/>
      <c r="R2236" s="738">
        <f t="shared" si="282"/>
        <v>0</v>
      </c>
      <c r="S2236" s="737">
        <f t="shared" si="283"/>
        <v>251763</v>
      </c>
      <c r="T2236" s="739">
        <f t="shared" si="284"/>
        <v>251763</v>
      </c>
      <c r="U2236" s="846"/>
      <c r="V2236" s="847"/>
      <c r="W2236" s="846"/>
      <c r="X2236" s="846"/>
      <c r="Y2236" s="740">
        <f t="shared" si="280"/>
        <v>0</v>
      </c>
      <c r="Z2236" s="847"/>
      <c r="AA2236" s="847"/>
      <c r="AB2236" s="741">
        <f t="shared" si="281"/>
        <v>0</v>
      </c>
      <c r="AC2236" s="846"/>
      <c r="AD2236" s="847"/>
      <c r="AE2236" s="846"/>
      <c r="AF2236" s="846"/>
      <c r="AG2236" s="847"/>
      <c r="AH2236" s="847"/>
      <c r="AI2236" s="742">
        <f t="shared" si="285"/>
        <v>251763</v>
      </c>
      <c r="AJ2236" s="743">
        <f t="shared" si="286"/>
        <v>251763</v>
      </c>
    </row>
    <row r="2237" spans="1:36">
      <c r="A2237" s="1410" t="s">
        <v>146</v>
      </c>
      <c r="B2237" s="1146" t="s">
        <v>266</v>
      </c>
      <c r="C2237" s="1137" t="s">
        <v>1762</v>
      </c>
      <c r="D2237" s="1136"/>
      <c r="E2237" s="1420">
        <v>218663</v>
      </c>
      <c r="F2237" s="1110">
        <v>1</v>
      </c>
      <c r="G2237" s="846"/>
      <c r="H2237" s="847"/>
      <c r="I2237" s="846">
        <v>2748500</v>
      </c>
      <c r="J2237" s="847">
        <v>1775500</v>
      </c>
      <c r="K2237" s="846"/>
      <c r="L2237" s="847"/>
      <c r="M2237" s="846"/>
      <c r="N2237" s="846"/>
      <c r="O2237" s="737">
        <f t="shared" si="279"/>
        <v>0</v>
      </c>
      <c r="P2237" s="847"/>
      <c r="Q2237" s="847"/>
      <c r="R2237" s="738">
        <f t="shared" si="282"/>
        <v>0</v>
      </c>
      <c r="S2237" s="737">
        <f t="shared" si="283"/>
        <v>2748500</v>
      </c>
      <c r="T2237" s="739">
        <f t="shared" si="284"/>
        <v>1775500</v>
      </c>
      <c r="U2237" s="846"/>
      <c r="V2237" s="847"/>
      <c r="W2237" s="846"/>
      <c r="X2237" s="846"/>
      <c r="Y2237" s="740">
        <f t="shared" si="280"/>
        <v>0</v>
      </c>
      <c r="Z2237" s="847"/>
      <c r="AA2237" s="847"/>
      <c r="AB2237" s="741">
        <f t="shared" si="281"/>
        <v>0</v>
      </c>
      <c r="AC2237" s="846"/>
      <c r="AD2237" s="847"/>
      <c r="AE2237" s="846"/>
      <c r="AF2237" s="846"/>
      <c r="AG2237" s="847"/>
      <c r="AH2237" s="847"/>
      <c r="AI2237" s="742">
        <f t="shared" si="285"/>
        <v>2748500</v>
      </c>
      <c r="AJ2237" s="743">
        <f t="shared" si="286"/>
        <v>1775500</v>
      </c>
    </row>
    <row r="2238" spans="1:36">
      <c r="A2238" s="1410" t="s">
        <v>146</v>
      </c>
      <c r="B2238" s="1146" t="s">
        <v>266</v>
      </c>
      <c r="C2238" s="1137" t="s">
        <v>1763</v>
      </c>
      <c r="D2238" s="1136"/>
      <c r="E2238" s="1420">
        <v>218663</v>
      </c>
      <c r="F2238" s="1110">
        <v>1</v>
      </c>
      <c r="G2238" s="846"/>
      <c r="H2238" s="847"/>
      <c r="I2238" s="846">
        <v>100000</v>
      </c>
      <c r="J2238" s="847"/>
      <c r="K2238" s="846"/>
      <c r="L2238" s="847"/>
      <c r="M2238" s="846"/>
      <c r="N2238" s="846"/>
      <c r="O2238" s="737">
        <f t="shared" si="279"/>
        <v>0</v>
      </c>
      <c r="P2238" s="847"/>
      <c r="Q2238" s="847"/>
      <c r="R2238" s="738">
        <f t="shared" si="282"/>
        <v>0</v>
      </c>
      <c r="S2238" s="737">
        <f t="shared" si="283"/>
        <v>100000</v>
      </c>
      <c r="T2238" s="739">
        <f t="shared" si="284"/>
        <v>0</v>
      </c>
      <c r="U2238" s="846"/>
      <c r="V2238" s="847"/>
      <c r="W2238" s="846"/>
      <c r="X2238" s="846"/>
      <c r="Y2238" s="740">
        <f t="shared" si="280"/>
        <v>0</v>
      </c>
      <c r="Z2238" s="847"/>
      <c r="AA2238" s="847"/>
      <c r="AB2238" s="741">
        <f t="shared" si="281"/>
        <v>0</v>
      </c>
      <c r="AC2238" s="846"/>
      <c r="AD2238" s="847"/>
      <c r="AE2238" s="846"/>
      <c r="AF2238" s="846"/>
      <c r="AG2238" s="847"/>
      <c r="AH2238" s="847"/>
      <c r="AI2238" s="742">
        <f t="shared" si="285"/>
        <v>100000</v>
      </c>
      <c r="AJ2238" s="743">
        <f t="shared" si="286"/>
        <v>0</v>
      </c>
    </row>
    <row r="2239" spans="1:36">
      <c r="A2239" s="1410" t="s">
        <v>146</v>
      </c>
      <c r="B2239" s="1146" t="s">
        <v>266</v>
      </c>
      <c r="C2239" s="1137" t="s">
        <v>1764</v>
      </c>
      <c r="D2239" s="1136"/>
      <c r="E2239" s="1420">
        <v>218663</v>
      </c>
      <c r="F2239" s="1110">
        <v>1</v>
      </c>
      <c r="G2239" s="846"/>
      <c r="H2239" s="847"/>
      <c r="I2239" s="846">
        <v>791734</v>
      </c>
      <c r="J2239" s="847">
        <v>791734</v>
      </c>
      <c r="K2239" s="846"/>
      <c r="L2239" s="847"/>
      <c r="M2239" s="846"/>
      <c r="N2239" s="846"/>
      <c r="O2239" s="737">
        <f t="shared" si="279"/>
        <v>0</v>
      </c>
      <c r="P2239" s="847"/>
      <c r="Q2239" s="847"/>
      <c r="R2239" s="738">
        <f t="shared" si="282"/>
        <v>0</v>
      </c>
      <c r="S2239" s="737">
        <f t="shared" si="283"/>
        <v>791734</v>
      </c>
      <c r="T2239" s="739">
        <f t="shared" si="284"/>
        <v>791734</v>
      </c>
      <c r="U2239" s="846"/>
      <c r="V2239" s="847"/>
      <c r="W2239" s="846"/>
      <c r="X2239" s="846"/>
      <c r="Y2239" s="740">
        <f t="shared" si="280"/>
        <v>0</v>
      </c>
      <c r="Z2239" s="847"/>
      <c r="AA2239" s="847"/>
      <c r="AB2239" s="741">
        <f t="shared" si="281"/>
        <v>0</v>
      </c>
      <c r="AC2239" s="846"/>
      <c r="AD2239" s="847"/>
      <c r="AE2239" s="846"/>
      <c r="AF2239" s="846"/>
      <c r="AG2239" s="847"/>
      <c r="AH2239" s="847"/>
      <c r="AI2239" s="742">
        <f t="shared" si="285"/>
        <v>791734</v>
      </c>
      <c r="AJ2239" s="743">
        <f t="shared" si="286"/>
        <v>791734</v>
      </c>
    </row>
    <row r="2240" spans="1:36">
      <c r="A2240" s="1410" t="s">
        <v>146</v>
      </c>
      <c r="B2240" s="1146" t="s">
        <v>271</v>
      </c>
      <c r="C2240" s="1415" t="s">
        <v>309</v>
      </c>
      <c r="D2240" s="1136"/>
      <c r="E2240" s="1420">
        <v>218663</v>
      </c>
      <c r="F2240" s="1110">
        <v>1</v>
      </c>
      <c r="G2240" s="846"/>
      <c r="H2240" s="847"/>
      <c r="I2240" s="846"/>
      <c r="J2240" s="847"/>
      <c r="K2240" s="846"/>
      <c r="L2240" s="847"/>
      <c r="M2240" s="846"/>
      <c r="N2240" s="846"/>
      <c r="O2240" s="737">
        <f t="shared" si="279"/>
        <v>0</v>
      </c>
      <c r="P2240" s="847"/>
      <c r="Q2240" s="847"/>
      <c r="R2240" s="738">
        <f t="shared" si="282"/>
        <v>0</v>
      </c>
      <c r="S2240" s="737">
        <f t="shared" si="283"/>
        <v>0</v>
      </c>
      <c r="T2240" s="739">
        <f t="shared" si="284"/>
        <v>0</v>
      </c>
      <c r="U2240" s="846"/>
      <c r="V2240" s="847"/>
      <c r="W2240" s="846"/>
      <c r="X2240" s="846"/>
      <c r="Y2240" s="740">
        <f t="shared" si="280"/>
        <v>0</v>
      </c>
      <c r="Z2240" s="847"/>
      <c r="AA2240" s="847"/>
      <c r="AB2240" s="741">
        <f t="shared" si="281"/>
        <v>0</v>
      </c>
      <c r="AC2240" s="846"/>
      <c r="AD2240" s="847"/>
      <c r="AE2240" s="846"/>
      <c r="AF2240" s="846"/>
      <c r="AG2240" s="847"/>
      <c r="AH2240" s="847"/>
      <c r="AI2240" s="742">
        <f t="shared" si="285"/>
        <v>0</v>
      </c>
      <c r="AJ2240" s="743">
        <f t="shared" si="286"/>
        <v>0</v>
      </c>
    </row>
    <row r="2241" spans="1:36">
      <c r="A2241" s="1410" t="s">
        <v>146</v>
      </c>
      <c r="B2241" s="1146" t="s">
        <v>272</v>
      </c>
      <c r="C2241" s="1135" t="s">
        <v>842</v>
      </c>
      <c r="D2241" s="1136"/>
      <c r="E2241" s="1420">
        <v>218663</v>
      </c>
      <c r="F2241" s="1110">
        <v>1</v>
      </c>
      <c r="G2241" s="846"/>
      <c r="H2241" s="847"/>
      <c r="I2241" s="846"/>
      <c r="J2241" s="847"/>
      <c r="K2241" s="846"/>
      <c r="L2241" s="847"/>
      <c r="M2241" s="846"/>
      <c r="N2241" s="846"/>
      <c r="O2241" s="737">
        <f t="shared" si="279"/>
        <v>0</v>
      </c>
      <c r="P2241" s="847"/>
      <c r="Q2241" s="847"/>
      <c r="R2241" s="738">
        <f t="shared" si="282"/>
        <v>0</v>
      </c>
      <c r="S2241" s="737">
        <f t="shared" si="283"/>
        <v>0</v>
      </c>
      <c r="T2241" s="739">
        <f t="shared" si="284"/>
        <v>0</v>
      </c>
      <c r="U2241" s="846"/>
      <c r="V2241" s="847"/>
      <c r="W2241" s="846"/>
      <c r="X2241" s="846"/>
      <c r="Y2241" s="740">
        <f t="shared" si="280"/>
        <v>0</v>
      </c>
      <c r="Z2241" s="847"/>
      <c r="AA2241" s="847"/>
      <c r="AB2241" s="741">
        <f t="shared" si="281"/>
        <v>0</v>
      </c>
      <c r="AC2241" s="846"/>
      <c r="AD2241" s="847"/>
      <c r="AE2241" s="846"/>
      <c r="AF2241" s="846"/>
      <c r="AG2241" s="847"/>
      <c r="AH2241" s="847"/>
      <c r="AI2241" s="742">
        <f t="shared" si="285"/>
        <v>0</v>
      </c>
      <c r="AJ2241" s="743">
        <f t="shared" si="286"/>
        <v>0</v>
      </c>
    </row>
    <row r="2242" spans="1:36">
      <c r="A2242" s="1410" t="s">
        <v>146</v>
      </c>
      <c r="B2242" s="1146" t="s">
        <v>272</v>
      </c>
      <c r="C2242" s="1137" t="s">
        <v>1765</v>
      </c>
      <c r="D2242" s="1136"/>
      <c r="E2242" s="1420">
        <v>218663</v>
      </c>
      <c r="F2242" s="1110">
        <v>1</v>
      </c>
      <c r="G2242" s="846"/>
      <c r="H2242" s="847"/>
      <c r="I2242" s="846">
        <v>2500000</v>
      </c>
      <c r="J2242" s="847">
        <v>2418674</v>
      </c>
      <c r="K2242" s="846"/>
      <c r="L2242" s="847"/>
      <c r="M2242" s="846"/>
      <c r="N2242" s="846"/>
      <c r="O2242" s="737">
        <f t="shared" si="279"/>
        <v>0</v>
      </c>
      <c r="P2242" s="847"/>
      <c r="Q2242" s="847"/>
      <c r="R2242" s="738">
        <f t="shared" si="282"/>
        <v>0</v>
      </c>
      <c r="S2242" s="737">
        <f t="shared" si="283"/>
        <v>2500000</v>
      </c>
      <c r="T2242" s="739">
        <f t="shared" si="284"/>
        <v>2418674</v>
      </c>
      <c r="U2242" s="846"/>
      <c r="V2242" s="847"/>
      <c r="W2242" s="846"/>
      <c r="X2242" s="846"/>
      <c r="Y2242" s="740">
        <f t="shared" si="280"/>
        <v>0</v>
      </c>
      <c r="Z2242" s="847"/>
      <c r="AA2242" s="847"/>
      <c r="AB2242" s="741">
        <f t="shared" si="281"/>
        <v>0</v>
      </c>
      <c r="AC2242" s="846"/>
      <c r="AD2242" s="847"/>
      <c r="AE2242" s="846"/>
      <c r="AF2242" s="846"/>
      <c r="AG2242" s="847"/>
      <c r="AH2242" s="847"/>
      <c r="AI2242" s="742">
        <f t="shared" si="285"/>
        <v>2500000</v>
      </c>
      <c r="AJ2242" s="743">
        <f t="shared" si="286"/>
        <v>2418674</v>
      </c>
    </row>
    <row r="2243" spans="1:36">
      <c r="A2243" s="1410" t="s">
        <v>146</v>
      </c>
      <c r="B2243" s="1146" t="s">
        <v>272</v>
      </c>
      <c r="C2243" s="1137" t="s">
        <v>1766</v>
      </c>
      <c r="D2243" s="1136"/>
      <c r="E2243" s="1420">
        <v>218663</v>
      </c>
      <c r="F2243" s="1110">
        <v>1</v>
      </c>
      <c r="G2243" s="846"/>
      <c r="H2243" s="847"/>
      <c r="I2243" s="846"/>
      <c r="J2243" s="847"/>
      <c r="K2243" s="846"/>
      <c r="L2243" s="847"/>
      <c r="M2243" s="846"/>
      <c r="N2243" s="846"/>
      <c r="O2243" s="737">
        <f t="shared" si="279"/>
        <v>0</v>
      </c>
      <c r="P2243" s="847"/>
      <c r="Q2243" s="847"/>
      <c r="R2243" s="738">
        <f t="shared" si="282"/>
        <v>0</v>
      </c>
      <c r="S2243" s="737">
        <f t="shared" si="283"/>
        <v>0</v>
      </c>
      <c r="T2243" s="739">
        <f t="shared" si="284"/>
        <v>0</v>
      </c>
      <c r="U2243" s="846"/>
      <c r="V2243" s="847"/>
      <c r="W2243" s="846"/>
      <c r="X2243" s="846"/>
      <c r="Y2243" s="740">
        <f t="shared" si="280"/>
        <v>0</v>
      </c>
      <c r="Z2243" s="847"/>
      <c r="AA2243" s="847"/>
      <c r="AB2243" s="741">
        <f t="shared" si="281"/>
        <v>0</v>
      </c>
      <c r="AC2243" s="846"/>
      <c r="AD2243" s="847"/>
      <c r="AE2243" s="846"/>
      <c r="AF2243" s="846"/>
      <c r="AG2243" s="847"/>
      <c r="AH2243" s="847"/>
      <c r="AI2243" s="742">
        <f t="shared" si="285"/>
        <v>0</v>
      </c>
      <c r="AJ2243" s="743">
        <f t="shared" si="286"/>
        <v>0</v>
      </c>
    </row>
    <row r="2244" spans="1:36">
      <c r="A2244" s="1410" t="s">
        <v>146</v>
      </c>
      <c r="B2244" s="1146" t="s">
        <v>272</v>
      </c>
      <c r="C2244" s="1137" t="s">
        <v>1754</v>
      </c>
      <c r="D2244" s="1136"/>
      <c r="E2244" s="1420">
        <v>218663</v>
      </c>
      <c r="F2244" s="1110">
        <v>1</v>
      </c>
      <c r="G2244" s="846"/>
      <c r="H2244" s="847"/>
      <c r="I2244" s="846">
        <v>4527916</v>
      </c>
      <c r="J2244" s="847"/>
      <c r="K2244" s="846"/>
      <c r="L2244" s="847"/>
      <c r="M2244" s="846"/>
      <c r="N2244" s="846"/>
      <c r="O2244" s="737">
        <f t="shared" si="279"/>
        <v>0</v>
      </c>
      <c r="P2244" s="847"/>
      <c r="Q2244" s="847"/>
      <c r="R2244" s="738">
        <f t="shared" si="282"/>
        <v>0</v>
      </c>
      <c r="S2244" s="737">
        <f t="shared" si="283"/>
        <v>4527916</v>
      </c>
      <c r="T2244" s="739">
        <f t="shared" si="284"/>
        <v>0</v>
      </c>
      <c r="U2244" s="846"/>
      <c r="V2244" s="847"/>
      <c r="W2244" s="846"/>
      <c r="X2244" s="846"/>
      <c r="Y2244" s="740">
        <f t="shared" si="280"/>
        <v>0</v>
      </c>
      <c r="Z2244" s="847"/>
      <c r="AA2244" s="847"/>
      <c r="AB2244" s="741">
        <f t="shared" si="281"/>
        <v>0</v>
      </c>
      <c r="AC2244" s="846"/>
      <c r="AD2244" s="847"/>
      <c r="AE2244" s="846"/>
      <c r="AF2244" s="846"/>
      <c r="AG2244" s="847"/>
      <c r="AH2244" s="847"/>
      <c r="AI2244" s="742">
        <f t="shared" si="285"/>
        <v>4527916</v>
      </c>
      <c r="AJ2244" s="743">
        <f t="shared" si="286"/>
        <v>0</v>
      </c>
    </row>
    <row r="2245" spans="1:36">
      <c r="A2245" s="1410" t="s">
        <v>146</v>
      </c>
      <c r="B2245" s="1146" t="s">
        <v>272</v>
      </c>
      <c r="C2245" s="1414" t="s">
        <v>1755</v>
      </c>
      <c r="D2245" s="1136"/>
      <c r="E2245" s="1420">
        <v>218663</v>
      </c>
      <c r="F2245" s="1110">
        <v>1</v>
      </c>
      <c r="G2245" s="846"/>
      <c r="H2245" s="847"/>
      <c r="I2245" s="846"/>
      <c r="J2245" s="847">
        <v>1345527</v>
      </c>
      <c r="K2245" s="846"/>
      <c r="L2245" s="847"/>
      <c r="M2245" s="846"/>
      <c r="N2245" s="846"/>
      <c r="O2245" s="737">
        <f t="shared" si="279"/>
        <v>0</v>
      </c>
      <c r="P2245" s="847"/>
      <c r="Q2245" s="847"/>
      <c r="R2245" s="738">
        <f t="shared" si="282"/>
        <v>0</v>
      </c>
      <c r="S2245" s="737">
        <f t="shared" si="283"/>
        <v>0</v>
      </c>
      <c r="T2245" s="739">
        <f t="shared" si="284"/>
        <v>1345527</v>
      </c>
      <c r="U2245" s="846"/>
      <c r="V2245" s="847"/>
      <c r="W2245" s="846"/>
      <c r="X2245" s="846"/>
      <c r="Y2245" s="740">
        <f t="shared" si="280"/>
        <v>0</v>
      </c>
      <c r="Z2245" s="847"/>
      <c r="AA2245" s="847"/>
      <c r="AB2245" s="741">
        <f t="shared" si="281"/>
        <v>0</v>
      </c>
      <c r="AC2245" s="846"/>
      <c r="AD2245" s="847"/>
      <c r="AE2245" s="846"/>
      <c r="AF2245" s="846"/>
      <c r="AG2245" s="847"/>
      <c r="AH2245" s="847"/>
      <c r="AI2245" s="742">
        <f t="shared" si="285"/>
        <v>0</v>
      </c>
      <c r="AJ2245" s="743">
        <f t="shared" si="286"/>
        <v>1345527</v>
      </c>
    </row>
    <row r="2246" spans="1:36">
      <c r="A2246" s="1410" t="s">
        <v>146</v>
      </c>
      <c r="B2246" s="1146" t="s">
        <v>272</v>
      </c>
      <c r="C2246" s="1137" t="s">
        <v>1756</v>
      </c>
      <c r="D2246" s="1136"/>
      <c r="E2246" s="1420">
        <v>218663</v>
      </c>
      <c r="F2246" s="1110">
        <v>1</v>
      </c>
      <c r="G2246" s="846"/>
      <c r="H2246" s="847"/>
      <c r="I2246" s="846">
        <v>26275</v>
      </c>
      <c r="J2246" s="847">
        <v>26598</v>
      </c>
      <c r="K2246" s="846"/>
      <c r="L2246" s="847"/>
      <c r="M2246" s="846"/>
      <c r="N2246" s="846"/>
      <c r="O2246" s="737">
        <f t="shared" si="279"/>
        <v>0</v>
      </c>
      <c r="P2246" s="847"/>
      <c r="Q2246" s="847"/>
      <c r="R2246" s="738">
        <f t="shared" si="282"/>
        <v>0</v>
      </c>
      <c r="S2246" s="737">
        <f t="shared" si="283"/>
        <v>26275</v>
      </c>
      <c r="T2246" s="739">
        <f t="shared" si="284"/>
        <v>26598</v>
      </c>
      <c r="U2246" s="846"/>
      <c r="V2246" s="847"/>
      <c r="W2246" s="846"/>
      <c r="X2246" s="846"/>
      <c r="Y2246" s="740">
        <f t="shared" si="280"/>
        <v>0</v>
      </c>
      <c r="Z2246" s="847"/>
      <c r="AA2246" s="847"/>
      <c r="AB2246" s="741">
        <f t="shared" si="281"/>
        <v>0</v>
      </c>
      <c r="AC2246" s="846"/>
      <c r="AD2246" s="847"/>
      <c r="AE2246" s="846"/>
      <c r="AF2246" s="846"/>
      <c r="AG2246" s="847"/>
      <c r="AH2246" s="847"/>
      <c r="AI2246" s="742">
        <f t="shared" si="285"/>
        <v>26275</v>
      </c>
      <c r="AJ2246" s="743">
        <f t="shared" si="286"/>
        <v>26598</v>
      </c>
    </row>
    <row r="2247" spans="1:36">
      <c r="A2247" s="1410" t="s">
        <v>146</v>
      </c>
      <c r="B2247" s="1146" t="s">
        <v>272</v>
      </c>
      <c r="C2247" s="1418" t="s">
        <v>1767</v>
      </c>
      <c r="D2247" s="1136"/>
      <c r="E2247" s="1420">
        <v>218663</v>
      </c>
      <c r="F2247" s="1110">
        <v>1</v>
      </c>
      <c r="G2247" s="846"/>
      <c r="H2247" s="847"/>
      <c r="I2247" s="846">
        <v>344074</v>
      </c>
      <c r="J2247" s="847">
        <v>344076</v>
      </c>
      <c r="K2247" s="846"/>
      <c r="L2247" s="847"/>
      <c r="M2247" s="846"/>
      <c r="N2247" s="846"/>
      <c r="O2247" s="737">
        <f t="shared" si="279"/>
        <v>0</v>
      </c>
      <c r="P2247" s="847"/>
      <c r="Q2247" s="847"/>
      <c r="R2247" s="738">
        <f t="shared" si="282"/>
        <v>0</v>
      </c>
      <c r="S2247" s="737">
        <f t="shared" si="283"/>
        <v>344074</v>
      </c>
      <c r="T2247" s="739">
        <f t="shared" si="284"/>
        <v>344076</v>
      </c>
      <c r="U2247" s="846"/>
      <c r="V2247" s="847"/>
      <c r="W2247" s="846"/>
      <c r="X2247" s="846"/>
      <c r="Y2247" s="740">
        <f t="shared" si="280"/>
        <v>0</v>
      </c>
      <c r="Z2247" s="847"/>
      <c r="AA2247" s="847"/>
      <c r="AB2247" s="741">
        <f t="shared" si="281"/>
        <v>0</v>
      </c>
      <c r="AC2247" s="846"/>
      <c r="AD2247" s="847"/>
      <c r="AE2247" s="846"/>
      <c r="AF2247" s="846"/>
      <c r="AG2247" s="847"/>
      <c r="AH2247" s="847"/>
      <c r="AI2247" s="742">
        <f t="shared" si="285"/>
        <v>344074</v>
      </c>
      <c r="AJ2247" s="743">
        <f t="shared" si="286"/>
        <v>344076</v>
      </c>
    </row>
    <row r="2248" spans="1:36" ht="25.5">
      <c r="A2248" s="1410" t="s">
        <v>146</v>
      </c>
      <c r="B2248" s="1146" t="s">
        <v>272</v>
      </c>
      <c r="C2248" s="1419" t="s">
        <v>1758</v>
      </c>
      <c r="D2248" s="1136"/>
      <c r="E2248" s="1420">
        <v>218663</v>
      </c>
      <c r="F2248" s="1110">
        <v>1</v>
      </c>
      <c r="G2248" s="846"/>
      <c r="H2248" s="847"/>
      <c r="I2248" s="846"/>
      <c r="J2248" s="847">
        <v>971902</v>
      </c>
      <c r="K2248" s="846"/>
      <c r="L2248" s="847"/>
      <c r="M2248" s="846"/>
      <c r="N2248" s="846"/>
      <c r="O2248" s="737">
        <f t="shared" si="279"/>
        <v>0</v>
      </c>
      <c r="P2248" s="847"/>
      <c r="Q2248" s="847"/>
      <c r="R2248" s="738">
        <f t="shared" si="282"/>
        <v>0</v>
      </c>
      <c r="S2248" s="737">
        <f t="shared" si="283"/>
        <v>0</v>
      </c>
      <c r="T2248" s="739">
        <f t="shared" si="284"/>
        <v>971902</v>
      </c>
      <c r="U2248" s="846"/>
      <c r="V2248" s="847"/>
      <c r="W2248" s="846"/>
      <c r="X2248" s="846"/>
      <c r="Y2248" s="740">
        <f t="shared" si="280"/>
        <v>0</v>
      </c>
      <c r="Z2248" s="847"/>
      <c r="AA2248" s="847"/>
      <c r="AB2248" s="741">
        <f t="shared" si="281"/>
        <v>0</v>
      </c>
      <c r="AC2248" s="846"/>
      <c r="AD2248" s="847"/>
      <c r="AE2248" s="846"/>
      <c r="AF2248" s="846"/>
      <c r="AG2248" s="847"/>
      <c r="AH2248" s="847"/>
      <c r="AI2248" s="742">
        <f t="shared" si="285"/>
        <v>0</v>
      </c>
      <c r="AJ2248" s="743">
        <f t="shared" si="286"/>
        <v>971902</v>
      </c>
    </row>
    <row r="2249" spans="1:36">
      <c r="A2249" s="1410" t="s">
        <v>146</v>
      </c>
      <c r="B2249" s="1146" t="s">
        <v>280</v>
      </c>
      <c r="C2249" s="1135" t="s">
        <v>716</v>
      </c>
      <c r="D2249" s="1136"/>
      <c r="E2249" s="1420">
        <v>218663</v>
      </c>
      <c r="F2249" s="1110">
        <v>1</v>
      </c>
      <c r="G2249" s="846"/>
      <c r="H2249" s="847"/>
      <c r="I2249" s="846"/>
      <c r="J2249" s="847"/>
      <c r="K2249" s="846"/>
      <c r="L2249" s="847"/>
      <c r="M2249" s="846"/>
      <c r="N2249" s="846"/>
      <c r="O2249" s="737">
        <f t="shared" si="279"/>
        <v>0</v>
      </c>
      <c r="P2249" s="847"/>
      <c r="Q2249" s="847"/>
      <c r="R2249" s="738">
        <f t="shared" si="282"/>
        <v>0</v>
      </c>
      <c r="S2249" s="737">
        <f t="shared" si="283"/>
        <v>0</v>
      </c>
      <c r="T2249" s="739">
        <f t="shared" si="284"/>
        <v>0</v>
      </c>
      <c r="U2249" s="846"/>
      <c r="V2249" s="847"/>
      <c r="W2249" s="846"/>
      <c r="X2249" s="846"/>
      <c r="Y2249" s="740">
        <f t="shared" si="280"/>
        <v>0</v>
      </c>
      <c r="Z2249" s="847"/>
      <c r="AA2249" s="847"/>
      <c r="AB2249" s="741">
        <f t="shared" si="281"/>
        <v>0</v>
      </c>
      <c r="AC2249" s="846"/>
      <c r="AD2249" s="847"/>
      <c r="AE2249" s="846"/>
      <c r="AF2249" s="846"/>
      <c r="AG2249" s="847"/>
      <c r="AH2249" s="847"/>
      <c r="AI2249" s="742">
        <f t="shared" si="285"/>
        <v>0</v>
      </c>
      <c r="AJ2249" s="743">
        <f t="shared" si="286"/>
        <v>0</v>
      </c>
    </row>
    <row r="2250" spans="1:36">
      <c r="A2250" s="1410" t="s">
        <v>146</v>
      </c>
      <c r="B2250" s="1146" t="s">
        <v>280</v>
      </c>
      <c r="C2250" s="1137" t="s">
        <v>1768</v>
      </c>
      <c r="D2250" s="1136"/>
      <c r="E2250" s="1420">
        <v>218663</v>
      </c>
      <c r="F2250" s="1110">
        <v>1</v>
      </c>
      <c r="G2250" s="846"/>
      <c r="H2250" s="864"/>
      <c r="I2250" s="846"/>
      <c r="J2250" s="864"/>
      <c r="K2250" s="846"/>
      <c r="L2250" s="864"/>
      <c r="M2250" s="846"/>
      <c r="N2250" s="846"/>
      <c r="O2250" s="737">
        <f t="shared" ref="O2250:O2313" si="287">SUM(M2250:N2250)</f>
        <v>0</v>
      </c>
      <c r="P2250" s="847"/>
      <c r="Q2250" s="847"/>
      <c r="R2250" s="738">
        <f t="shared" si="282"/>
        <v>0</v>
      </c>
      <c r="S2250" s="737">
        <f t="shared" si="283"/>
        <v>0</v>
      </c>
      <c r="T2250" s="739">
        <f t="shared" si="284"/>
        <v>0</v>
      </c>
      <c r="U2250" s="846"/>
      <c r="V2250" s="864"/>
      <c r="W2250" s="846"/>
      <c r="X2250" s="846"/>
      <c r="Y2250" s="740">
        <f t="shared" ref="Y2250:Y2313" si="288">SUM(W2250:X2250)</f>
        <v>0</v>
      </c>
      <c r="Z2250" s="847"/>
      <c r="AA2250" s="847"/>
      <c r="AB2250" s="741">
        <f t="shared" ref="AB2250:AB2313" si="289">SUM(Z2250:AA2250)</f>
        <v>0</v>
      </c>
      <c r="AC2250" s="846">
        <v>9999646</v>
      </c>
      <c r="AD2250" s="864">
        <v>10575806</v>
      </c>
      <c r="AE2250" s="846"/>
      <c r="AF2250" s="846"/>
      <c r="AG2250" s="847"/>
      <c r="AH2250" s="847"/>
      <c r="AI2250" s="742">
        <f t="shared" si="285"/>
        <v>9999646</v>
      </c>
      <c r="AJ2250" s="743">
        <f t="shared" si="286"/>
        <v>10575806</v>
      </c>
    </row>
    <row r="2251" spans="1:36">
      <c r="A2251" s="1410" t="s">
        <v>146</v>
      </c>
      <c r="B2251" s="1146" t="s">
        <v>280</v>
      </c>
      <c r="C2251" s="1137" t="s">
        <v>1769</v>
      </c>
      <c r="D2251" s="1136"/>
      <c r="E2251" s="1420">
        <v>218663</v>
      </c>
      <c r="F2251" s="1110">
        <v>1</v>
      </c>
      <c r="G2251" s="846"/>
      <c r="H2251" s="864"/>
      <c r="I2251" s="846"/>
      <c r="J2251" s="864"/>
      <c r="K2251" s="846"/>
      <c r="L2251" s="864"/>
      <c r="M2251" s="846"/>
      <c r="N2251" s="846"/>
      <c r="O2251" s="737">
        <f t="shared" si="287"/>
        <v>0</v>
      </c>
      <c r="P2251" s="847"/>
      <c r="Q2251" s="847"/>
      <c r="R2251" s="738">
        <f t="shared" ref="R2251:R2314" si="290">SUM(P2251:Q2251)</f>
        <v>0</v>
      </c>
      <c r="S2251" s="737">
        <f t="shared" ref="S2251:S2314" si="291">SUM(G2251,I2251,K2251,M2251)</f>
        <v>0</v>
      </c>
      <c r="T2251" s="739">
        <f t="shared" ref="T2251:T2314" si="292">SUM(H2251,J2251,L2251,P2251)</f>
        <v>0</v>
      </c>
      <c r="U2251" s="846"/>
      <c r="V2251" s="864"/>
      <c r="W2251" s="846"/>
      <c r="X2251" s="846"/>
      <c r="Y2251" s="740">
        <f t="shared" si="288"/>
        <v>0</v>
      </c>
      <c r="Z2251" s="847"/>
      <c r="AA2251" s="847"/>
      <c r="AB2251" s="741">
        <f t="shared" si="289"/>
        <v>0</v>
      </c>
      <c r="AC2251" s="846">
        <v>2719428</v>
      </c>
      <c r="AD2251" s="864">
        <v>2846289</v>
      </c>
      <c r="AE2251" s="846"/>
      <c r="AF2251" s="846"/>
      <c r="AG2251" s="847"/>
      <c r="AH2251" s="847"/>
      <c r="AI2251" s="742">
        <f t="shared" ref="AI2251:AI2314" si="293">SUM(S2251,U2251,W2251,AC2251,AE2251)</f>
        <v>2719428</v>
      </c>
      <c r="AJ2251" s="743">
        <f t="shared" ref="AJ2251:AJ2314" si="294">SUM(T2251,V2251,Z2251,AD2251,AG2251)</f>
        <v>2846289</v>
      </c>
    </row>
    <row r="2252" spans="1:36">
      <c r="A2252" s="1410" t="s">
        <v>146</v>
      </c>
      <c r="B2252" s="1146" t="s">
        <v>280</v>
      </c>
      <c r="C2252" s="1137" t="s">
        <v>1770</v>
      </c>
      <c r="D2252" s="1136"/>
      <c r="E2252" s="1420">
        <v>218663</v>
      </c>
      <c r="F2252" s="1110">
        <v>1</v>
      </c>
      <c r="G2252" s="846"/>
      <c r="H2252" s="864"/>
      <c r="I2252" s="846"/>
      <c r="J2252" s="864"/>
      <c r="K2252" s="846"/>
      <c r="L2252" s="864"/>
      <c r="M2252" s="846"/>
      <c r="N2252" s="846"/>
      <c r="O2252" s="737">
        <f t="shared" si="287"/>
        <v>0</v>
      </c>
      <c r="P2252" s="847"/>
      <c r="Q2252" s="847"/>
      <c r="R2252" s="738">
        <f t="shared" si="290"/>
        <v>0</v>
      </c>
      <c r="S2252" s="737">
        <f t="shared" si="291"/>
        <v>0</v>
      </c>
      <c r="T2252" s="739">
        <f t="shared" si="292"/>
        <v>0</v>
      </c>
      <c r="U2252" s="846"/>
      <c r="V2252" s="864"/>
      <c r="W2252" s="846"/>
      <c r="X2252" s="846"/>
      <c r="Y2252" s="740">
        <f t="shared" si="288"/>
        <v>0</v>
      </c>
      <c r="Z2252" s="847"/>
      <c r="AA2252" s="847"/>
      <c r="AB2252" s="741">
        <f t="shared" si="289"/>
        <v>0</v>
      </c>
      <c r="AC2252" s="846">
        <v>801160</v>
      </c>
      <c r="AD2252" s="864">
        <v>225000</v>
      </c>
      <c r="AE2252" s="846"/>
      <c r="AF2252" s="846"/>
      <c r="AG2252" s="847"/>
      <c r="AH2252" s="847"/>
      <c r="AI2252" s="742">
        <f t="shared" si="293"/>
        <v>801160</v>
      </c>
      <c r="AJ2252" s="743">
        <f t="shared" si="294"/>
        <v>225000</v>
      </c>
    </row>
    <row r="2253" spans="1:36">
      <c r="A2253" s="1410" t="s">
        <v>146</v>
      </c>
      <c r="B2253" s="1146" t="s">
        <v>264</v>
      </c>
      <c r="C2253" s="1411" t="s">
        <v>1771</v>
      </c>
      <c r="D2253" s="1136"/>
      <c r="E2253" s="1420">
        <v>217819</v>
      </c>
      <c r="F2253" s="1110">
        <v>3</v>
      </c>
      <c r="G2253" s="846">
        <v>15204116</v>
      </c>
      <c r="H2253" s="847">
        <v>15471926</v>
      </c>
      <c r="I2253" s="846"/>
      <c r="J2253" s="847"/>
      <c r="K2253" s="846"/>
      <c r="L2253" s="847"/>
      <c r="M2253" s="846">
        <v>133179427</v>
      </c>
      <c r="N2253" s="846">
        <v>6713021</v>
      </c>
      <c r="O2253" s="737">
        <f t="shared" si="287"/>
        <v>139892448</v>
      </c>
      <c r="P2253" s="847">
        <v>130870683</v>
      </c>
      <c r="Q2253" s="847">
        <v>10811115</v>
      </c>
      <c r="R2253" s="738">
        <f t="shared" si="290"/>
        <v>141681798</v>
      </c>
      <c r="S2253" s="737">
        <f t="shared" si="291"/>
        <v>148383543</v>
      </c>
      <c r="T2253" s="739">
        <f t="shared" si="292"/>
        <v>146342609</v>
      </c>
      <c r="U2253" s="846"/>
      <c r="V2253" s="847"/>
      <c r="W2253" s="846"/>
      <c r="X2253" s="846"/>
      <c r="Y2253" s="740">
        <f t="shared" si="288"/>
        <v>0</v>
      </c>
      <c r="Z2253" s="847"/>
      <c r="AA2253" s="847"/>
      <c r="AB2253" s="741">
        <f t="shared" si="289"/>
        <v>0</v>
      </c>
      <c r="AC2253" s="846"/>
      <c r="AD2253" s="847"/>
      <c r="AE2253" s="846"/>
      <c r="AF2253" s="846"/>
      <c r="AG2253" s="847"/>
      <c r="AH2253" s="847"/>
      <c r="AI2253" s="742">
        <f t="shared" si="293"/>
        <v>148383543</v>
      </c>
      <c r="AJ2253" s="743">
        <f t="shared" si="294"/>
        <v>146342609</v>
      </c>
    </row>
    <row r="2254" spans="1:36">
      <c r="A2254" s="1410" t="s">
        <v>146</v>
      </c>
      <c r="B2254" s="1146" t="s">
        <v>264</v>
      </c>
      <c r="C2254" s="1137" t="s">
        <v>1746</v>
      </c>
      <c r="D2254" s="1136"/>
      <c r="E2254" s="1420">
        <v>217819</v>
      </c>
      <c r="F2254" s="1110">
        <v>3</v>
      </c>
      <c r="G2254" s="846">
        <v>4083102</v>
      </c>
      <c r="H2254" s="847">
        <v>4431381</v>
      </c>
      <c r="I2254" s="846"/>
      <c r="J2254" s="847"/>
      <c r="K2254" s="846"/>
      <c r="L2254" s="847"/>
      <c r="M2254" s="846"/>
      <c r="N2254" s="846"/>
      <c r="O2254" s="737">
        <f t="shared" si="287"/>
        <v>0</v>
      </c>
      <c r="P2254" s="847"/>
      <c r="Q2254" s="847"/>
      <c r="R2254" s="738">
        <f t="shared" si="290"/>
        <v>0</v>
      </c>
      <c r="S2254" s="737">
        <f t="shared" si="291"/>
        <v>4083102</v>
      </c>
      <c r="T2254" s="739">
        <f t="shared" si="292"/>
        <v>4431381</v>
      </c>
      <c r="U2254" s="846"/>
      <c r="V2254" s="847"/>
      <c r="W2254" s="846"/>
      <c r="X2254" s="846"/>
      <c r="Y2254" s="740">
        <f t="shared" si="288"/>
        <v>0</v>
      </c>
      <c r="Z2254" s="847"/>
      <c r="AA2254" s="847"/>
      <c r="AB2254" s="741">
        <f t="shared" si="289"/>
        <v>0</v>
      </c>
      <c r="AC2254" s="846"/>
      <c r="AD2254" s="847"/>
      <c r="AE2254" s="846"/>
      <c r="AF2254" s="846"/>
      <c r="AG2254" s="847"/>
      <c r="AH2254" s="847"/>
      <c r="AI2254" s="742">
        <f t="shared" si="293"/>
        <v>4083102</v>
      </c>
      <c r="AJ2254" s="743">
        <f t="shared" si="294"/>
        <v>4431381</v>
      </c>
    </row>
    <row r="2255" spans="1:36">
      <c r="A2255" s="1410" t="s">
        <v>146</v>
      </c>
      <c r="B2255" s="1146" t="s">
        <v>264</v>
      </c>
      <c r="C2255" s="1414" t="s">
        <v>1772</v>
      </c>
      <c r="D2255" s="1136"/>
      <c r="E2255" s="1420">
        <v>217819</v>
      </c>
      <c r="F2255" s="1110">
        <v>3</v>
      </c>
      <c r="G2255" s="846"/>
      <c r="H2255" s="847">
        <v>670066</v>
      </c>
      <c r="I2255" s="846"/>
      <c r="J2255" s="847"/>
      <c r="K2255" s="846"/>
      <c r="L2255" s="847"/>
      <c r="M2255" s="846"/>
      <c r="N2255" s="846"/>
      <c r="O2255" s="737">
        <f t="shared" si="287"/>
        <v>0</v>
      </c>
      <c r="P2255" s="847"/>
      <c r="Q2255" s="847"/>
      <c r="R2255" s="738">
        <f t="shared" si="290"/>
        <v>0</v>
      </c>
      <c r="S2255" s="737">
        <f t="shared" si="291"/>
        <v>0</v>
      </c>
      <c r="T2255" s="739">
        <f t="shared" si="292"/>
        <v>670066</v>
      </c>
      <c r="U2255" s="846"/>
      <c r="V2255" s="847"/>
      <c r="W2255" s="846"/>
      <c r="X2255" s="846"/>
      <c r="Y2255" s="740">
        <f t="shared" si="288"/>
        <v>0</v>
      </c>
      <c r="Z2255" s="847"/>
      <c r="AA2255" s="847"/>
      <c r="AB2255" s="741">
        <f t="shared" si="289"/>
        <v>0</v>
      </c>
      <c r="AC2255" s="846"/>
      <c r="AD2255" s="847"/>
      <c r="AE2255" s="846"/>
      <c r="AF2255" s="846"/>
      <c r="AG2255" s="847"/>
      <c r="AH2255" s="847"/>
      <c r="AI2255" s="742">
        <f t="shared" si="293"/>
        <v>0</v>
      </c>
      <c r="AJ2255" s="743">
        <f t="shared" si="294"/>
        <v>670066</v>
      </c>
    </row>
    <row r="2256" spans="1:36">
      <c r="A2256" s="1410" t="s">
        <v>146</v>
      </c>
      <c r="B2256" s="1146" t="s">
        <v>266</v>
      </c>
      <c r="C2256" s="1415" t="s">
        <v>319</v>
      </c>
      <c r="D2256" s="1136"/>
      <c r="E2256" s="1420">
        <v>217819</v>
      </c>
      <c r="F2256" s="1110">
        <v>3</v>
      </c>
      <c r="G2256" s="846"/>
      <c r="H2256" s="847"/>
      <c r="I2256" s="846"/>
      <c r="J2256" s="847"/>
      <c r="K2256" s="846"/>
      <c r="L2256" s="847"/>
      <c r="M2256" s="846"/>
      <c r="N2256" s="846"/>
      <c r="O2256" s="737">
        <f t="shared" si="287"/>
        <v>0</v>
      </c>
      <c r="P2256" s="847"/>
      <c r="Q2256" s="847"/>
      <c r="R2256" s="738">
        <f t="shared" si="290"/>
        <v>0</v>
      </c>
      <c r="S2256" s="737">
        <f t="shared" si="291"/>
        <v>0</v>
      </c>
      <c r="T2256" s="739">
        <f t="shared" si="292"/>
        <v>0</v>
      </c>
      <c r="U2256" s="846"/>
      <c r="V2256" s="847"/>
      <c r="W2256" s="846"/>
      <c r="X2256" s="846"/>
      <c r="Y2256" s="740">
        <f t="shared" si="288"/>
        <v>0</v>
      </c>
      <c r="Z2256" s="847"/>
      <c r="AA2256" s="847"/>
      <c r="AB2256" s="741">
        <f t="shared" si="289"/>
        <v>0</v>
      </c>
      <c r="AC2256" s="846"/>
      <c r="AD2256" s="847"/>
      <c r="AE2256" s="846"/>
      <c r="AF2256" s="846"/>
      <c r="AG2256" s="847"/>
      <c r="AH2256" s="847"/>
      <c r="AI2256" s="742">
        <f t="shared" si="293"/>
        <v>0</v>
      </c>
      <c r="AJ2256" s="743">
        <f t="shared" si="294"/>
        <v>0</v>
      </c>
    </row>
    <row r="2257" spans="1:36">
      <c r="A2257" s="1410" t="s">
        <v>146</v>
      </c>
      <c r="B2257" s="1146" t="s">
        <v>271</v>
      </c>
      <c r="C2257" s="1415" t="s">
        <v>309</v>
      </c>
      <c r="D2257" s="1416"/>
      <c r="E2257" s="1420">
        <v>217819</v>
      </c>
      <c r="F2257" s="1110">
        <v>3</v>
      </c>
      <c r="G2257" s="846"/>
      <c r="H2257" s="847"/>
      <c r="I2257" s="846"/>
      <c r="J2257" s="847"/>
      <c r="K2257" s="846"/>
      <c r="L2257" s="847"/>
      <c r="M2257" s="846"/>
      <c r="N2257" s="846"/>
      <c r="O2257" s="737">
        <f t="shared" si="287"/>
        <v>0</v>
      </c>
      <c r="P2257" s="847"/>
      <c r="Q2257" s="847"/>
      <c r="R2257" s="738">
        <f t="shared" si="290"/>
        <v>0</v>
      </c>
      <c r="S2257" s="737">
        <f t="shared" si="291"/>
        <v>0</v>
      </c>
      <c r="T2257" s="739">
        <f t="shared" si="292"/>
        <v>0</v>
      </c>
      <c r="U2257" s="846"/>
      <c r="V2257" s="847"/>
      <c r="W2257" s="846"/>
      <c r="X2257" s="846"/>
      <c r="Y2257" s="740">
        <f t="shared" si="288"/>
        <v>0</v>
      </c>
      <c r="Z2257" s="847"/>
      <c r="AA2257" s="847"/>
      <c r="AB2257" s="741">
        <f t="shared" si="289"/>
        <v>0</v>
      </c>
      <c r="AC2257" s="846"/>
      <c r="AD2257" s="847"/>
      <c r="AE2257" s="846"/>
      <c r="AF2257" s="846"/>
      <c r="AG2257" s="847"/>
      <c r="AH2257" s="847"/>
      <c r="AI2257" s="742">
        <f t="shared" si="293"/>
        <v>0</v>
      </c>
      <c r="AJ2257" s="743">
        <f t="shared" si="294"/>
        <v>0</v>
      </c>
    </row>
    <row r="2258" spans="1:36">
      <c r="A2258" s="1410" t="s">
        <v>146</v>
      </c>
      <c r="B2258" s="1146" t="s">
        <v>272</v>
      </c>
      <c r="C2258" s="1135" t="s">
        <v>842</v>
      </c>
      <c r="D2258" s="1136"/>
      <c r="E2258" s="1420">
        <v>217819</v>
      </c>
      <c r="F2258" s="1110">
        <v>3</v>
      </c>
      <c r="G2258" s="846"/>
      <c r="H2258" s="847"/>
      <c r="I2258" s="846"/>
      <c r="J2258" s="847"/>
      <c r="K2258" s="846"/>
      <c r="L2258" s="847"/>
      <c r="M2258" s="846"/>
      <c r="N2258" s="846"/>
      <c r="O2258" s="737">
        <f t="shared" si="287"/>
        <v>0</v>
      </c>
      <c r="P2258" s="847"/>
      <c r="Q2258" s="847"/>
      <c r="R2258" s="738">
        <f t="shared" si="290"/>
        <v>0</v>
      </c>
      <c r="S2258" s="737">
        <f t="shared" si="291"/>
        <v>0</v>
      </c>
      <c r="T2258" s="739">
        <f t="shared" si="292"/>
        <v>0</v>
      </c>
      <c r="U2258" s="846"/>
      <c r="V2258" s="847"/>
      <c r="W2258" s="846"/>
      <c r="X2258" s="846"/>
      <c r="Y2258" s="740">
        <f t="shared" si="288"/>
        <v>0</v>
      </c>
      <c r="Z2258" s="847"/>
      <c r="AA2258" s="847"/>
      <c r="AB2258" s="741">
        <f t="shared" si="289"/>
        <v>0</v>
      </c>
      <c r="AC2258" s="846"/>
      <c r="AD2258" s="847"/>
      <c r="AE2258" s="846"/>
      <c r="AF2258" s="846"/>
      <c r="AG2258" s="847"/>
      <c r="AH2258" s="847"/>
      <c r="AI2258" s="742">
        <f t="shared" si="293"/>
        <v>0</v>
      </c>
      <c r="AJ2258" s="743">
        <f t="shared" si="294"/>
        <v>0</v>
      </c>
    </row>
    <row r="2259" spans="1:36">
      <c r="A2259" s="1410" t="s">
        <v>146</v>
      </c>
      <c r="B2259" s="1146" t="s">
        <v>272</v>
      </c>
      <c r="C2259" s="1137" t="s">
        <v>1773</v>
      </c>
      <c r="D2259" s="1136"/>
      <c r="E2259" s="1420">
        <v>217819</v>
      </c>
      <c r="F2259" s="1110">
        <v>3</v>
      </c>
      <c r="G2259" s="846"/>
      <c r="H2259" s="847"/>
      <c r="I2259" s="846">
        <v>300000</v>
      </c>
      <c r="J2259" s="847"/>
      <c r="K2259" s="846"/>
      <c r="L2259" s="847"/>
      <c r="M2259" s="846"/>
      <c r="N2259" s="846"/>
      <c r="O2259" s="737">
        <f t="shared" si="287"/>
        <v>0</v>
      </c>
      <c r="P2259" s="847"/>
      <c r="Q2259" s="847"/>
      <c r="R2259" s="738">
        <f t="shared" si="290"/>
        <v>0</v>
      </c>
      <c r="S2259" s="737">
        <f t="shared" si="291"/>
        <v>300000</v>
      </c>
      <c r="T2259" s="739">
        <f t="shared" si="292"/>
        <v>0</v>
      </c>
      <c r="U2259" s="846"/>
      <c r="V2259" s="847"/>
      <c r="W2259" s="846"/>
      <c r="X2259" s="846"/>
      <c r="Y2259" s="740">
        <f t="shared" si="288"/>
        <v>0</v>
      </c>
      <c r="Z2259" s="847"/>
      <c r="AA2259" s="847"/>
      <c r="AB2259" s="741">
        <f t="shared" si="289"/>
        <v>0</v>
      </c>
      <c r="AC2259" s="846"/>
      <c r="AD2259" s="847"/>
      <c r="AE2259" s="846"/>
      <c r="AF2259" s="846"/>
      <c r="AG2259" s="847"/>
      <c r="AH2259" s="847"/>
      <c r="AI2259" s="742">
        <f t="shared" si="293"/>
        <v>300000</v>
      </c>
      <c r="AJ2259" s="743">
        <f t="shared" si="294"/>
        <v>0</v>
      </c>
    </row>
    <row r="2260" spans="1:36">
      <c r="A2260" s="1410" t="s">
        <v>146</v>
      </c>
      <c r="B2260" s="1146" t="s">
        <v>272</v>
      </c>
      <c r="C2260" s="1137" t="s">
        <v>1774</v>
      </c>
      <c r="D2260" s="1136"/>
      <c r="E2260" s="1420">
        <v>217819</v>
      </c>
      <c r="F2260" s="1110">
        <v>3</v>
      </c>
      <c r="G2260" s="846"/>
      <c r="H2260" s="847"/>
      <c r="I2260" s="846">
        <v>500000</v>
      </c>
      <c r="J2260" s="847"/>
      <c r="K2260" s="846"/>
      <c r="L2260" s="847"/>
      <c r="M2260" s="846"/>
      <c r="N2260" s="846"/>
      <c r="O2260" s="737">
        <f t="shared" si="287"/>
        <v>0</v>
      </c>
      <c r="P2260" s="847"/>
      <c r="Q2260" s="847"/>
      <c r="R2260" s="738">
        <f t="shared" si="290"/>
        <v>0</v>
      </c>
      <c r="S2260" s="737">
        <f t="shared" si="291"/>
        <v>500000</v>
      </c>
      <c r="T2260" s="739">
        <f t="shared" si="292"/>
        <v>0</v>
      </c>
      <c r="U2260" s="846"/>
      <c r="V2260" s="847"/>
      <c r="W2260" s="846"/>
      <c r="X2260" s="846"/>
      <c r="Y2260" s="740">
        <f t="shared" si="288"/>
        <v>0</v>
      </c>
      <c r="Z2260" s="847"/>
      <c r="AA2260" s="847"/>
      <c r="AB2260" s="741">
        <f t="shared" si="289"/>
        <v>0</v>
      </c>
      <c r="AC2260" s="846"/>
      <c r="AD2260" s="847"/>
      <c r="AE2260" s="846"/>
      <c r="AF2260" s="846"/>
      <c r="AG2260" s="847"/>
      <c r="AH2260" s="847"/>
      <c r="AI2260" s="742">
        <f t="shared" si="293"/>
        <v>500000</v>
      </c>
      <c r="AJ2260" s="743">
        <f t="shared" si="294"/>
        <v>0</v>
      </c>
    </row>
    <row r="2261" spans="1:36">
      <c r="A2261" s="1410" t="s">
        <v>146</v>
      </c>
      <c r="B2261" s="1146" t="s">
        <v>272</v>
      </c>
      <c r="C2261" s="1137" t="s">
        <v>1766</v>
      </c>
      <c r="D2261" s="1136"/>
      <c r="E2261" s="1420">
        <v>217819</v>
      </c>
      <c r="F2261" s="1110">
        <v>3</v>
      </c>
      <c r="G2261" s="846"/>
      <c r="H2261" s="847"/>
      <c r="I2261" s="846"/>
      <c r="J2261" s="847"/>
      <c r="K2261" s="846"/>
      <c r="L2261" s="847"/>
      <c r="M2261" s="846"/>
      <c r="N2261" s="846"/>
      <c r="O2261" s="737">
        <f t="shared" si="287"/>
        <v>0</v>
      </c>
      <c r="P2261" s="847"/>
      <c r="Q2261" s="847"/>
      <c r="R2261" s="738">
        <f t="shared" si="290"/>
        <v>0</v>
      </c>
      <c r="S2261" s="737">
        <f t="shared" si="291"/>
        <v>0</v>
      </c>
      <c r="T2261" s="739">
        <f t="shared" si="292"/>
        <v>0</v>
      </c>
      <c r="U2261" s="846"/>
      <c r="V2261" s="847"/>
      <c r="W2261" s="846"/>
      <c r="X2261" s="846"/>
      <c r="Y2261" s="740">
        <f t="shared" si="288"/>
        <v>0</v>
      </c>
      <c r="Z2261" s="847"/>
      <c r="AA2261" s="847"/>
      <c r="AB2261" s="741">
        <f t="shared" si="289"/>
        <v>0</v>
      </c>
      <c r="AC2261" s="846"/>
      <c r="AD2261" s="847"/>
      <c r="AE2261" s="846"/>
      <c r="AF2261" s="846"/>
      <c r="AG2261" s="847"/>
      <c r="AH2261" s="847"/>
      <c r="AI2261" s="742">
        <f t="shared" si="293"/>
        <v>0</v>
      </c>
      <c r="AJ2261" s="743">
        <f t="shared" si="294"/>
        <v>0</v>
      </c>
    </row>
    <row r="2262" spans="1:36">
      <c r="A2262" s="1410" t="s">
        <v>146</v>
      </c>
      <c r="B2262" s="1146" t="s">
        <v>272</v>
      </c>
      <c r="C2262" s="1414" t="s">
        <v>1775</v>
      </c>
      <c r="D2262" s="1136"/>
      <c r="E2262" s="1420">
        <v>217819</v>
      </c>
      <c r="F2262" s="1110">
        <v>3</v>
      </c>
      <c r="G2262" s="846"/>
      <c r="H2262" s="847"/>
      <c r="I2262" s="846"/>
      <c r="J2262" s="847">
        <v>244704</v>
      </c>
      <c r="K2262" s="846"/>
      <c r="L2262" s="847"/>
      <c r="M2262" s="846"/>
      <c r="N2262" s="846"/>
      <c r="O2262" s="737">
        <f t="shared" si="287"/>
        <v>0</v>
      </c>
      <c r="P2262" s="847"/>
      <c r="Q2262" s="847"/>
      <c r="R2262" s="738">
        <f t="shared" si="290"/>
        <v>0</v>
      </c>
      <c r="S2262" s="737">
        <f t="shared" si="291"/>
        <v>0</v>
      </c>
      <c r="T2262" s="739">
        <f t="shared" si="292"/>
        <v>244704</v>
      </c>
      <c r="U2262" s="846"/>
      <c r="V2262" s="847"/>
      <c r="W2262" s="846"/>
      <c r="X2262" s="846"/>
      <c r="Y2262" s="740">
        <f t="shared" si="288"/>
        <v>0</v>
      </c>
      <c r="Z2262" s="847"/>
      <c r="AA2262" s="847"/>
      <c r="AB2262" s="741">
        <f t="shared" si="289"/>
        <v>0</v>
      </c>
      <c r="AC2262" s="846"/>
      <c r="AD2262" s="847"/>
      <c r="AE2262" s="846"/>
      <c r="AF2262" s="846"/>
      <c r="AG2262" s="847"/>
      <c r="AH2262" s="847"/>
      <c r="AI2262" s="742">
        <f t="shared" si="293"/>
        <v>0</v>
      </c>
      <c r="AJ2262" s="743">
        <f t="shared" si="294"/>
        <v>244704</v>
      </c>
    </row>
    <row r="2263" spans="1:36" ht="25.5">
      <c r="A2263" s="1410" t="s">
        <v>146</v>
      </c>
      <c r="B2263" s="1146" t="s">
        <v>272</v>
      </c>
      <c r="C2263" s="1417" t="s">
        <v>1758</v>
      </c>
      <c r="D2263" s="1136"/>
      <c r="E2263" s="1420">
        <v>217819</v>
      </c>
      <c r="F2263" s="1110">
        <v>3</v>
      </c>
      <c r="G2263" s="846"/>
      <c r="H2263" s="847"/>
      <c r="I2263" s="846"/>
      <c r="J2263" s="847">
        <v>176755</v>
      </c>
      <c r="K2263" s="846"/>
      <c r="L2263" s="847"/>
      <c r="M2263" s="846"/>
      <c r="N2263" s="846"/>
      <c r="O2263" s="737">
        <f t="shared" si="287"/>
        <v>0</v>
      </c>
      <c r="P2263" s="847"/>
      <c r="Q2263" s="847"/>
      <c r="R2263" s="738">
        <f t="shared" si="290"/>
        <v>0</v>
      </c>
      <c r="S2263" s="737">
        <f t="shared" si="291"/>
        <v>0</v>
      </c>
      <c r="T2263" s="739">
        <f t="shared" si="292"/>
        <v>176755</v>
      </c>
      <c r="U2263" s="846"/>
      <c r="V2263" s="847"/>
      <c r="W2263" s="846"/>
      <c r="X2263" s="846"/>
      <c r="Y2263" s="740">
        <f t="shared" si="288"/>
        <v>0</v>
      </c>
      <c r="Z2263" s="847"/>
      <c r="AA2263" s="847"/>
      <c r="AB2263" s="741">
        <f t="shared" si="289"/>
        <v>0</v>
      </c>
      <c r="AC2263" s="846"/>
      <c r="AD2263" s="847"/>
      <c r="AE2263" s="846"/>
      <c r="AF2263" s="846"/>
      <c r="AG2263" s="847"/>
      <c r="AH2263" s="847"/>
      <c r="AI2263" s="742">
        <f t="shared" si="293"/>
        <v>0</v>
      </c>
      <c r="AJ2263" s="743">
        <f t="shared" si="294"/>
        <v>176755</v>
      </c>
    </row>
    <row r="2264" spans="1:36">
      <c r="A2264" s="1410" t="s">
        <v>146</v>
      </c>
      <c r="B2264" s="1146" t="s">
        <v>272</v>
      </c>
      <c r="C2264" s="1137" t="s">
        <v>1754</v>
      </c>
      <c r="D2264" s="1136"/>
      <c r="E2264" s="1420">
        <v>217819</v>
      </c>
      <c r="F2264" s="1110">
        <v>3</v>
      </c>
      <c r="G2264" s="846"/>
      <c r="H2264" s="847"/>
      <c r="I2264" s="846">
        <v>825970</v>
      </c>
      <c r="J2264" s="847"/>
      <c r="K2264" s="846"/>
      <c r="L2264" s="847"/>
      <c r="M2264" s="846"/>
      <c r="N2264" s="846"/>
      <c r="O2264" s="737">
        <f t="shared" si="287"/>
        <v>0</v>
      </c>
      <c r="P2264" s="847"/>
      <c r="Q2264" s="847"/>
      <c r="R2264" s="738">
        <f t="shared" si="290"/>
        <v>0</v>
      </c>
      <c r="S2264" s="737">
        <f t="shared" si="291"/>
        <v>825970</v>
      </c>
      <c r="T2264" s="739">
        <f t="shared" si="292"/>
        <v>0</v>
      </c>
      <c r="U2264" s="846"/>
      <c r="V2264" s="847"/>
      <c r="W2264" s="846"/>
      <c r="X2264" s="846"/>
      <c r="Y2264" s="740">
        <f t="shared" si="288"/>
        <v>0</v>
      </c>
      <c r="Z2264" s="847"/>
      <c r="AA2264" s="847"/>
      <c r="AB2264" s="741">
        <f t="shared" si="289"/>
        <v>0</v>
      </c>
      <c r="AC2264" s="846"/>
      <c r="AD2264" s="847"/>
      <c r="AE2264" s="846"/>
      <c r="AF2264" s="846"/>
      <c r="AG2264" s="847"/>
      <c r="AH2264" s="847"/>
      <c r="AI2264" s="742">
        <f t="shared" si="293"/>
        <v>825970</v>
      </c>
      <c r="AJ2264" s="743">
        <f t="shared" si="294"/>
        <v>0</v>
      </c>
    </row>
    <row r="2265" spans="1:36">
      <c r="A2265" s="1410" t="s">
        <v>146</v>
      </c>
      <c r="B2265" s="1146" t="s">
        <v>272</v>
      </c>
      <c r="C2265" s="1137" t="s">
        <v>1776</v>
      </c>
      <c r="D2265" s="1136"/>
      <c r="E2265" s="1420">
        <v>217819</v>
      </c>
      <c r="F2265" s="1110">
        <v>3</v>
      </c>
      <c r="G2265" s="846"/>
      <c r="H2265" s="847"/>
      <c r="I2265" s="846" t="s">
        <v>91</v>
      </c>
      <c r="J2265" s="847"/>
      <c r="K2265" s="846"/>
      <c r="L2265" s="847"/>
      <c r="M2265" s="846"/>
      <c r="N2265" s="846"/>
      <c r="O2265" s="737">
        <f t="shared" si="287"/>
        <v>0</v>
      </c>
      <c r="P2265" s="847"/>
      <c r="Q2265" s="847"/>
      <c r="R2265" s="738">
        <f t="shared" si="290"/>
        <v>0</v>
      </c>
      <c r="S2265" s="737">
        <f t="shared" si="291"/>
        <v>0</v>
      </c>
      <c r="T2265" s="739">
        <f t="shared" si="292"/>
        <v>0</v>
      </c>
      <c r="U2265" s="846"/>
      <c r="V2265" s="847"/>
      <c r="W2265" s="846"/>
      <c r="X2265" s="846"/>
      <c r="Y2265" s="740">
        <f t="shared" si="288"/>
        <v>0</v>
      </c>
      <c r="Z2265" s="847"/>
      <c r="AA2265" s="847"/>
      <c r="AB2265" s="741">
        <f t="shared" si="289"/>
        <v>0</v>
      </c>
      <c r="AC2265" s="846"/>
      <c r="AD2265" s="847"/>
      <c r="AE2265" s="846"/>
      <c r="AF2265" s="846"/>
      <c r="AG2265" s="847"/>
      <c r="AH2265" s="847"/>
      <c r="AI2265" s="742">
        <f t="shared" si="293"/>
        <v>0</v>
      </c>
      <c r="AJ2265" s="743">
        <f t="shared" si="294"/>
        <v>0</v>
      </c>
    </row>
    <row r="2266" spans="1:36">
      <c r="A2266" s="1410" t="s">
        <v>146</v>
      </c>
      <c r="B2266" s="1146" t="s">
        <v>272</v>
      </c>
      <c r="C2266" s="1137" t="s">
        <v>1756</v>
      </c>
      <c r="D2266" s="1136"/>
      <c r="E2266" s="1420">
        <v>217819</v>
      </c>
      <c r="F2266" s="1110">
        <v>3</v>
      </c>
      <c r="G2266" s="846"/>
      <c r="H2266" s="847"/>
      <c r="I2266" s="846">
        <v>8683</v>
      </c>
      <c r="J2266" s="847">
        <v>7916</v>
      </c>
      <c r="K2266" s="846"/>
      <c r="L2266" s="847"/>
      <c r="M2266" s="846"/>
      <c r="N2266" s="846"/>
      <c r="O2266" s="737">
        <f t="shared" si="287"/>
        <v>0</v>
      </c>
      <c r="P2266" s="847"/>
      <c r="Q2266" s="847"/>
      <c r="R2266" s="738">
        <f t="shared" si="290"/>
        <v>0</v>
      </c>
      <c r="S2266" s="737">
        <f t="shared" si="291"/>
        <v>8683</v>
      </c>
      <c r="T2266" s="739">
        <f t="shared" si="292"/>
        <v>7916</v>
      </c>
      <c r="U2266" s="846"/>
      <c r="V2266" s="847"/>
      <c r="W2266" s="846"/>
      <c r="X2266" s="846"/>
      <c r="Y2266" s="740">
        <f t="shared" si="288"/>
        <v>0</v>
      </c>
      <c r="Z2266" s="847"/>
      <c r="AA2266" s="847"/>
      <c r="AB2266" s="741">
        <f t="shared" si="289"/>
        <v>0</v>
      </c>
      <c r="AC2266" s="846"/>
      <c r="AD2266" s="847"/>
      <c r="AE2266" s="846"/>
      <c r="AF2266" s="846"/>
      <c r="AG2266" s="847"/>
      <c r="AH2266" s="847"/>
      <c r="AI2266" s="742">
        <f t="shared" si="293"/>
        <v>8683</v>
      </c>
      <c r="AJ2266" s="743">
        <f t="shared" si="294"/>
        <v>7916</v>
      </c>
    </row>
    <row r="2267" spans="1:36">
      <c r="A2267" s="1410" t="s">
        <v>146</v>
      </c>
      <c r="B2267" s="1146" t="s">
        <v>272</v>
      </c>
      <c r="C2267" s="1137" t="s">
        <v>1777</v>
      </c>
      <c r="D2267" s="1136"/>
      <c r="E2267" s="1420">
        <v>217819</v>
      </c>
      <c r="F2267" s="1110">
        <v>3</v>
      </c>
      <c r="G2267" s="846"/>
      <c r="H2267" s="847"/>
      <c r="I2267" s="846">
        <v>892573</v>
      </c>
      <c r="J2267" s="847">
        <v>834356</v>
      </c>
      <c r="K2267" s="846"/>
      <c r="L2267" s="847"/>
      <c r="M2267" s="846"/>
      <c r="N2267" s="846"/>
      <c r="O2267" s="737">
        <f t="shared" si="287"/>
        <v>0</v>
      </c>
      <c r="P2267" s="847"/>
      <c r="Q2267" s="847"/>
      <c r="R2267" s="738">
        <f t="shared" si="290"/>
        <v>0</v>
      </c>
      <c r="S2267" s="737">
        <f t="shared" si="291"/>
        <v>892573</v>
      </c>
      <c r="T2267" s="739">
        <f t="shared" si="292"/>
        <v>834356</v>
      </c>
      <c r="U2267" s="846"/>
      <c r="V2267" s="847"/>
      <c r="W2267" s="846"/>
      <c r="X2267" s="846"/>
      <c r="Y2267" s="740">
        <f t="shared" si="288"/>
        <v>0</v>
      </c>
      <c r="Z2267" s="847"/>
      <c r="AA2267" s="847"/>
      <c r="AB2267" s="741">
        <f t="shared" si="289"/>
        <v>0</v>
      </c>
      <c r="AC2267" s="846"/>
      <c r="AD2267" s="847"/>
      <c r="AE2267" s="846"/>
      <c r="AF2267" s="846"/>
      <c r="AG2267" s="847"/>
      <c r="AH2267" s="847"/>
      <c r="AI2267" s="742">
        <f t="shared" si="293"/>
        <v>892573</v>
      </c>
      <c r="AJ2267" s="743">
        <f t="shared" si="294"/>
        <v>834356</v>
      </c>
    </row>
    <row r="2268" spans="1:36">
      <c r="A2268" s="1410" t="s">
        <v>146</v>
      </c>
      <c r="B2268" s="1146" t="s">
        <v>264</v>
      </c>
      <c r="C2268" s="1411" t="s">
        <v>1778</v>
      </c>
      <c r="D2268" s="1121"/>
      <c r="E2268" s="1420">
        <v>217864</v>
      </c>
      <c r="F2268" s="1437">
        <v>3</v>
      </c>
      <c r="G2268" s="846">
        <v>7209044</v>
      </c>
      <c r="H2268" s="847">
        <v>7334160</v>
      </c>
      <c r="I2268" s="846"/>
      <c r="J2268" s="847"/>
      <c r="K2268" s="846"/>
      <c r="L2268" s="847"/>
      <c r="M2268" s="846">
        <v>40954098</v>
      </c>
      <c r="N2268" s="846">
        <v>648053</v>
      </c>
      <c r="O2268" s="737">
        <f t="shared" si="287"/>
        <v>41602151</v>
      </c>
      <c r="P2268" s="847">
        <v>41510527</v>
      </c>
      <c r="Q2268" s="847">
        <v>638010</v>
      </c>
      <c r="R2268" s="738">
        <f t="shared" si="290"/>
        <v>42148537</v>
      </c>
      <c r="S2268" s="737">
        <f t="shared" si="291"/>
        <v>48163142</v>
      </c>
      <c r="T2268" s="739">
        <f t="shared" si="292"/>
        <v>48844687</v>
      </c>
      <c r="U2268" s="846"/>
      <c r="V2268" s="847"/>
      <c r="W2268" s="846"/>
      <c r="X2268" s="846"/>
      <c r="Y2268" s="740">
        <f t="shared" si="288"/>
        <v>0</v>
      </c>
      <c r="Z2268" s="847"/>
      <c r="AA2268" s="847"/>
      <c r="AB2268" s="741">
        <f t="shared" si="289"/>
        <v>0</v>
      </c>
      <c r="AC2268" s="846"/>
      <c r="AD2268" s="847"/>
      <c r="AE2268" s="846"/>
      <c r="AF2268" s="846"/>
      <c r="AG2268" s="847"/>
      <c r="AH2268" s="847"/>
      <c r="AI2268" s="742">
        <f t="shared" si="293"/>
        <v>48163142</v>
      </c>
      <c r="AJ2268" s="743">
        <f t="shared" si="294"/>
        <v>48844687</v>
      </c>
    </row>
    <row r="2269" spans="1:36">
      <c r="A2269" s="1410" t="s">
        <v>146</v>
      </c>
      <c r="B2269" s="1146" t="s">
        <v>264</v>
      </c>
      <c r="C2269" s="1137" t="s">
        <v>1746</v>
      </c>
      <c r="D2269" s="1136"/>
      <c r="E2269" s="1420">
        <v>217864</v>
      </c>
      <c r="F2269" s="1437">
        <v>3</v>
      </c>
      <c r="G2269" s="846">
        <v>1845205</v>
      </c>
      <c r="H2269" s="847">
        <v>2012786</v>
      </c>
      <c r="I2269" s="846"/>
      <c r="J2269" s="847"/>
      <c r="K2269" s="846"/>
      <c r="L2269" s="847"/>
      <c r="M2269" s="846"/>
      <c r="N2269" s="846"/>
      <c r="O2269" s="737">
        <f t="shared" si="287"/>
        <v>0</v>
      </c>
      <c r="P2269" s="847"/>
      <c r="Q2269" s="847"/>
      <c r="R2269" s="738">
        <f t="shared" si="290"/>
        <v>0</v>
      </c>
      <c r="S2269" s="737">
        <f t="shared" si="291"/>
        <v>1845205</v>
      </c>
      <c r="T2269" s="739">
        <f t="shared" si="292"/>
        <v>2012786</v>
      </c>
      <c r="U2269" s="846"/>
      <c r="V2269" s="847"/>
      <c r="W2269" s="846"/>
      <c r="X2269" s="846"/>
      <c r="Y2269" s="740">
        <f t="shared" si="288"/>
        <v>0</v>
      </c>
      <c r="Z2269" s="847"/>
      <c r="AA2269" s="847"/>
      <c r="AB2269" s="741">
        <f t="shared" si="289"/>
        <v>0</v>
      </c>
      <c r="AC2269" s="846"/>
      <c r="AD2269" s="847"/>
      <c r="AE2269" s="846"/>
      <c r="AF2269" s="846"/>
      <c r="AG2269" s="847"/>
      <c r="AH2269" s="847"/>
      <c r="AI2269" s="742">
        <f t="shared" si="293"/>
        <v>1845205</v>
      </c>
      <c r="AJ2269" s="743">
        <f t="shared" si="294"/>
        <v>2012786</v>
      </c>
    </row>
    <row r="2270" spans="1:36">
      <c r="A2270" s="1410" t="s">
        <v>146</v>
      </c>
      <c r="B2270" s="1146" t="s">
        <v>264</v>
      </c>
      <c r="C2270" s="1414" t="s">
        <v>1772</v>
      </c>
      <c r="D2270" s="1136"/>
      <c r="E2270" s="1420">
        <v>217864</v>
      </c>
      <c r="F2270" s="1437">
        <v>3</v>
      </c>
      <c r="G2270" s="846"/>
      <c r="H2270" s="847">
        <v>123393</v>
      </c>
      <c r="I2270" s="846"/>
      <c r="J2270" s="847"/>
      <c r="K2270" s="846"/>
      <c r="L2270" s="847"/>
      <c r="M2270" s="846"/>
      <c r="N2270" s="846"/>
      <c r="O2270" s="737">
        <f t="shared" si="287"/>
        <v>0</v>
      </c>
      <c r="P2270" s="847"/>
      <c r="Q2270" s="847"/>
      <c r="R2270" s="738">
        <f t="shared" si="290"/>
        <v>0</v>
      </c>
      <c r="S2270" s="737">
        <f t="shared" si="291"/>
        <v>0</v>
      </c>
      <c r="T2270" s="739">
        <f t="shared" si="292"/>
        <v>123393</v>
      </c>
      <c r="U2270" s="846"/>
      <c r="V2270" s="847"/>
      <c r="W2270" s="846"/>
      <c r="X2270" s="846"/>
      <c r="Y2270" s="740">
        <f t="shared" si="288"/>
        <v>0</v>
      </c>
      <c r="Z2270" s="847"/>
      <c r="AA2270" s="847"/>
      <c r="AB2270" s="741">
        <f t="shared" si="289"/>
        <v>0</v>
      </c>
      <c r="AC2270" s="846"/>
      <c r="AD2270" s="847"/>
      <c r="AE2270" s="846"/>
      <c r="AF2270" s="846"/>
      <c r="AG2270" s="847"/>
      <c r="AH2270" s="847"/>
      <c r="AI2270" s="742">
        <f t="shared" si="293"/>
        <v>0</v>
      </c>
      <c r="AJ2270" s="743">
        <f t="shared" si="294"/>
        <v>123393</v>
      </c>
    </row>
    <row r="2271" spans="1:36">
      <c r="A2271" s="1410" t="s">
        <v>146</v>
      </c>
      <c r="B2271" s="1146" t="s">
        <v>272</v>
      </c>
      <c r="C2271" s="1135" t="s">
        <v>842</v>
      </c>
      <c r="D2271" s="1136"/>
      <c r="E2271" s="1420">
        <v>217864</v>
      </c>
      <c r="F2271" s="1437">
        <v>3</v>
      </c>
      <c r="G2271" s="846"/>
      <c r="H2271" s="847"/>
      <c r="I2271" s="846"/>
      <c r="J2271" s="847"/>
      <c r="K2271" s="846"/>
      <c r="L2271" s="847"/>
      <c r="M2271" s="846"/>
      <c r="N2271" s="846"/>
      <c r="O2271" s="737">
        <f t="shared" si="287"/>
        <v>0</v>
      </c>
      <c r="P2271" s="847"/>
      <c r="Q2271" s="847"/>
      <c r="R2271" s="738">
        <f t="shared" si="290"/>
        <v>0</v>
      </c>
      <c r="S2271" s="737">
        <f t="shared" si="291"/>
        <v>0</v>
      </c>
      <c r="T2271" s="739">
        <f t="shared" si="292"/>
        <v>0</v>
      </c>
      <c r="U2271" s="846"/>
      <c r="V2271" s="847"/>
      <c r="W2271" s="846"/>
      <c r="X2271" s="846"/>
      <c r="Y2271" s="740">
        <f t="shared" si="288"/>
        <v>0</v>
      </c>
      <c r="Z2271" s="847"/>
      <c r="AA2271" s="847"/>
      <c r="AB2271" s="741">
        <f t="shared" si="289"/>
        <v>0</v>
      </c>
      <c r="AC2271" s="846"/>
      <c r="AD2271" s="847"/>
      <c r="AE2271" s="846"/>
      <c r="AF2271" s="846"/>
      <c r="AG2271" s="847"/>
      <c r="AH2271" s="847"/>
      <c r="AI2271" s="742">
        <f t="shared" si="293"/>
        <v>0</v>
      </c>
      <c r="AJ2271" s="743">
        <f t="shared" si="294"/>
        <v>0</v>
      </c>
    </row>
    <row r="2272" spans="1:36">
      <c r="A2272" s="1410" t="s">
        <v>146</v>
      </c>
      <c r="B2272" s="1146" t="s">
        <v>272</v>
      </c>
      <c r="C2272" s="1137" t="s">
        <v>1753</v>
      </c>
      <c r="D2272" s="1136"/>
      <c r="E2272" s="1420">
        <v>217864</v>
      </c>
      <c r="F2272" s="1437">
        <v>3</v>
      </c>
      <c r="G2272" s="846"/>
      <c r="H2272" s="847"/>
      <c r="I2272" s="846"/>
      <c r="J2272" s="847"/>
      <c r="K2272" s="846"/>
      <c r="L2272" s="847"/>
      <c r="M2272" s="846"/>
      <c r="N2272" s="846"/>
      <c r="O2272" s="737">
        <f t="shared" si="287"/>
        <v>0</v>
      </c>
      <c r="P2272" s="847"/>
      <c r="Q2272" s="847"/>
      <c r="R2272" s="738">
        <f t="shared" si="290"/>
        <v>0</v>
      </c>
      <c r="S2272" s="737">
        <f t="shared" si="291"/>
        <v>0</v>
      </c>
      <c r="T2272" s="739">
        <f t="shared" si="292"/>
        <v>0</v>
      </c>
      <c r="U2272" s="846"/>
      <c r="V2272" s="847"/>
      <c r="W2272" s="846"/>
      <c r="X2272" s="846"/>
      <c r="Y2272" s="740">
        <f t="shared" si="288"/>
        <v>0</v>
      </c>
      <c r="Z2272" s="847"/>
      <c r="AA2272" s="847"/>
      <c r="AB2272" s="741">
        <f t="shared" si="289"/>
        <v>0</v>
      </c>
      <c r="AC2272" s="846"/>
      <c r="AD2272" s="847"/>
      <c r="AE2272" s="846"/>
      <c r="AF2272" s="846"/>
      <c r="AG2272" s="847"/>
      <c r="AH2272" s="847"/>
      <c r="AI2272" s="742">
        <f t="shared" si="293"/>
        <v>0</v>
      </c>
      <c r="AJ2272" s="743">
        <f t="shared" si="294"/>
        <v>0</v>
      </c>
    </row>
    <row r="2273" spans="1:36">
      <c r="A2273" s="1410" t="s">
        <v>146</v>
      </c>
      <c r="B2273" s="1146" t="s">
        <v>272</v>
      </c>
      <c r="C2273" s="1414" t="s">
        <v>1779</v>
      </c>
      <c r="D2273" s="1136"/>
      <c r="E2273" s="1420">
        <v>217864</v>
      </c>
      <c r="F2273" s="1437">
        <v>3</v>
      </c>
      <c r="G2273" s="846"/>
      <c r="H2273" s="847"/>
      <c r="I2273" s="846"/>
      <c r="J2273" s="847">
        <v>112541</v>
      </c>
      <c r="K2273" s="846"/>
      <c r="L2273" s="847"/>
      <c r="M2273" s="846"/>
      <c r="N2273" s="846"/>
      <c r="O2273" s="737">
        <f t="shared" si="287"/>
        <v>0</v>
      </c>
      <c r="P2273" s="847"/>
      <c r="Q2273" s="847"/>
      <c r="R2273" s="738">
        <f t="shared" si="290"/>
        <v>0</v>
      </c>
      <c r="S2273" s="737">
        <f t="shared" si="291"/>
        <v>0</v>
      </c>
      <c r="T2273" s="739">
        <f t="shared" si="292"/>
        <v>112541</v>
      </c>
      <c r="U2273" s="846"/>
      <c r="V2273" s="847"/>
      <c r="W2273" s="846"/>
      <c r="X2273" s="846"/>
      <c r="Y2273" s="740">
        <f t="shared" si="288"/>
        <v>0</v>
      </c>
      <c r="Z2273" s="847"/>
      <c r="AA2273" s="847"/>
      <c r="AB2273" s="741">
        <f t="shared" si="289"/>
        <v>0</v>
      </c>
      <c r="AC2273" s="846"/>
      <c r="AD2273" s="847"/>
      <c r="AE2273" s="846"/>
      <c r="AF2273" s="846"/>
      <c r="AG2273" s="847"/>
      <c r="AH2273" s="847"/>
      <c r="AI2273" s="742">
        <f t="shared" si="293"/>
        <v>0</v>
      </c>
      <c r="AJ2273" s="743">
        <f t="shared" si="294"/>
        <v>112541</v>
      </c>
    </row>
    <row r="2274" spans="1:36">
      <c r="A2274" s="1410" t="s">
        <v>146</v>
      </c>
      <c r="B2274" s="1146" t="s">
        <v>272</v>
      </c>
      <c r="C2274" s="1137" t="s">
        <v>1754</v>
      </c>
      <c r="D2274" s="1136"/>
      <c r="E2274" s="1420">
        <v>217864</v>
      </c>
      <c r="F2274" s="1437">
        <v>3</v>
      </c>
      <c r="G2274" s="846"/>
      <c r="H2274" s="847"/>
      <c r="I2274" s="846">
        <v>387663</v>
      </c>
      <c r="J2274" s="847"/>
      <c r="K2274" s="846"/>
      <c r="L2274" s="847"/>
      <c r="M2274" s="846"/>
      <c r="N2274" s="846"/>
      <c r="O2274" s="737">
        <f t="shared" si="287"/>
        <v>0</v>
      </c>
      <c r="P2274" s="847"/>
      <c r="Q2274" s="847"/>
      <c r="R2274" s="738">
        <f t="shared" si="290"/>
        <v>0</v>
      </c>
      <c r="S2274" s="737">
        <f t="shared" si="291"/>
        <v>387663</v>
      </c>
      <c r="T2274" s="739">
        <f t="shared" si="292"/>
        <v>0</v>
      </c>
      <c r="U2274" s="846"/>
      <c r="V2274" s="847"/>
      <c r="W2274" s="846"/>
      <c r="X2274" s="846"/>
      <c r="Y2274" s="740">
        <f t="shared" si="288"/>
        <v>0</v>
      </c>
      <c r="Z2274" s="847"/>
      <c r="AA2274" s="847"/>
      <c r="AB2274" s="741">
        <f t="shared" si="289"/>
        <v>0</v>
      </c>
      <c r="AC2274" s="846"/>
      <c r="AD2274" s="847"/>
      <c r="AE2274" s="846"/>
      <c r="AF2274" s="846"/>
      <c r="AG2274" s="847"/>
      <c r="AH2274" s="847"/>
      <c r="AI2274" s="742">
        <f t="shared" si="293"/>
        <v>387663</v>
      </c>
      <c r="AJ2274" s="743">
        <f t="shared" si="294"/>
        <v>0</v>
      </c>
    </row>
    <row r="2275" spans="1:36">
      <c r="A2275" s="1410" t="s">
        <v>146</v>
      </c>
      <c r="B2275" s="1146" t="s">
        <v>272</v>
      </c>
      <c r="C2275" s="1137" t="s">
        <v>1780</v>
      </c>
      <c r="D2275" s="1136"/>
      <c r="E2275" s="1420">
        <v>217864</v>
      </c>
      <c r="F2275" s="1437">
        <v>3</v>
      </c>
      <c r="G2275" s="846"/>
      <c r="H2275" s="847"/>
      <c r="I2275" s="846">
        <v>1500000</v>
      </c>
      <c r="J2275" s="847"/>
      <c r="K2275" s="846"/>
      <c r="L2275" s="847"/>
      <c r="M2275" s="846"/>
      <c r="N2275" s="846"/>
      <c r="O2275" s="737">
        <f t="shared" si="287"/>
        <v>0</v>
      </c>
      <c r="P2275" s="847"/>
      <c r="Q2275" s="847"/>
      <c r="R2275" s="738">
        <f t="shared" si="290"/>
        <v>0</v>
      </c>
      <c r="S2275" s="737">
        <f t="shared" si="291"/>
        <v>1500000</v>
      </c>
      <c r="T2275" s="739">
        <f t="shared" si="292"/>
        <v>0</v>
      </c>
      <c r="U2275" s="846"/>
      <c r="V2275" s="847"/>
      <c r="W2275" s="846"/>
      <c r="X2275" s="846"/>
      <c r="Y2275" s="740">
        <f t="shared" si="288"/>
        <v>0</v>
      </c>
      <c r="Z2275" s="847"/>
      <c r="AA2275" s="847"/>
      <c r="AB2275" s="741">
        <f t="shared" si="289"/>
        <v>0</v>
      </c>
      <c r="AC2275" s="846"/>
      <c r="AD2275" s="847"/>
      <c r="AE2275" s="846"/>
      <c r="AF2275" s="846"/>
      <c r="AG2275" s="847"/>
      <c r="AH2275" s="847"/>
      <c r="AI2275" s="742">
        <f t="shared" si="293"/>
        <v>1500000</v>
      </c>
      <c r="AJ2275" s="743">
        <f t="shared" si="294"/>
        <v>0</v>
      </c>
    </row>
    <row r="2276" spans="1:36">
      <c r="A2276" s="1410" t="s">
        <v>146</v>
      </c>
      <c r="B2276" s="1146" t="s">
        <v>272</v>
      </c>
      <c r="C2276" s="1137" t="s">
        <v>1781</v>
      </c>
      <c r="D2276" s="1136"/>
      <c r="E2276" s="1420">
        <v>217864</v>
      </c>
      <c r="F2276" s="1437">
        <v>3</v>
      </c>
      <c r="G2276" s="846"/>
      <c r="H2276" s="847"/>
      <c r="I2276" s="846"/>
      <c r="J2276" s="847"/>
      <c r="K2276" s="846"/>
      <c r="L2276" s="847"/>
      <c r="M2276" s="846"/>
      <c r="N2276" s="846"/>
      <c r="O2276" s="737">
        <f t="shared" si="287"/>
        <v>0</v>
      </c>
      <c r="P2276" s="847"/>
      <c r="Q2276" s="847"/>
      <c r="R2276" s="738">
        <f t="shared" si="290"/>
        <v>0</v>
      </c>
      <c r="S2276" s="737">
        <f t="shared" si="291"/>
        <v>0</v>
      </c>
      <c r="T2276" s="739">
        <f t="shared" si="292"/>
        <v>0</v>
      </c>
      <c r="U2276" s="846"/>
      <c r="V2276" s="847"/>
      <c r="W2276" s="846"/>
      <c r="X2276" s="846"/>
      <c r="Y2276" s="740">
        <f t="shared" si="288"/>
        <v>0</v>
      </c>
      <c r="Z2276" s="847"/>
      <c r="AA2276" s="847"/>
      <c r="AB2276" s="741">
        <f t="shared" si="289"/>
        <v>0</v>
      </c>
      <c r="AC2276" s="846"/>
      <c r="AD2276" s="847"/>
      <c r="AE2276" s="846"/>
      <c r="AF2276" s="846"/>
      <c r="AG2276" s="847"/>
      <c r="AH2276" s="847"/>
      <c r="AI2276" s="742">
        <f t="shared" si="293"/>
        <v>0</v>
      </c>
      <c r="AJ2276" s="743">
        <f t="shared" si="294"/>
        <v>0</v>
      </c>
    </row>
    <row r="2277" spans="1:36">
      <c r="A2277" s="1410" t="s">
        <v>146</v>
      </c>
      <c r="B2277" s="1146" t="s">
        <v>272</v>
      </c>
      <c r="C2277" s="1137" t="s">
        <v>1756</v>
      </c>
      <c r="D2277" s="1136"/>
      <c r="E2277" s="1420">
        <v>217864</v>
      </c>
      <c r="F2277" s="1437">
        <v>3</v>
      </c>
      <c r="G2277" s="846"/>
      <c r="H2277" s="847"/>
      <c r="I2277" s="846">
        <v>10621</v>
      </c>
      <c r="J2277" s="847">
        <v>11768</v>
      </c>
      <c r="K2277" s="846"/>
      <c r="L2277" s="847"/>
      <c r="M2277" s="846"/>
      <c r="N2277" s="846"/>
      <c r="O2277" s="737">
        <f t="shared" si="287"/>
        <v>0</v>
      </c>
      <c r="P2277" s="847"/>
      <c r="Q2277" s="847"/>
      <c r="R2277" s="738">
        <f t="shared" si="290"/>
        <v>0</v>
      </c>
      <c r="S2277" s="737">
        <f t="shared" si="291"/>
        <v>10621</v>
      </c>
      <c r="T2277" s="739">
        <f t="shared" si="292"/>
        <v>11768</v>
      </c>
      <c r="U2277" s="846"/>
      <c r="V2277" s="847"/>
      <c r="W2277" s="846"/>
      <c r="X2277" s="846"/>
      <c r="Y2277" s="740">
        <f t="shared" si="288"/>
        <v>0</v>
      </c>
      <c r="Z2277" s="847"/>
      <c r="AA2277" s="847"/>
      <c r="AB2277" s="741">
        <f t="shared" si="289"/>
        <v>0</v>
      </c>
      <c r="AC2277" s="846"/>
      <c r="AD2277" s="847"/>
      <c r="AE2277" s="846"/>
      <c r="AF2277" s="846"/>
      <c r="AG2277" s="847"/>
      <c r="AH2277" s="847"/>
      <c r="AI2277" s="742">
        <f t="shared" si="293"/>
        <v>10621</v>
      </c>
      <c r="AJ2277" s="743">
        <f t="shared" si="294"/>
        <v>11768</v>
      </c>
    </row>
    <row r="2278" spans="1:36">
      <c r="A2278" s="1410" t="s">
        <v>146</v>
      </c>
      <c r="B2278" s="1146" t="s">
        <v>272</v>
      </c>
      <c r="C2278" s="1137" t="s">
        <v>1777</v>
      </c>
      <c r="D2278" s="1136"/>
      <c r="E2278" s="1420">
        <v>217864</v>
      </c>
      <c r="F2278" s="1437">
        <v>3</v>
      </c>
      <c r="G2278" s="846"/>
      <c r="H2278" s="847"/>
      <c r="I2278" s="846">
        <v>407818</v>
      </c>
      <c r="J2278" s="847">
        <v>387754</v>
      </c>
      <c r="K2278" s="846"/>
      <c r="L2278" s="847"/>
      <c r="M2278" s="846"/>
      <c r="N2278" s="846"/>
      <c r="O2278" s="737">
        <f t="shared" si="287"/>
        <v>0</v>
      </c>
      <c r="P2278" s="847"/>
      <c r="Q2278" s="847"/>
      <c r="R2278" s="738">
        <f t="shared" si="290"/>
        <v>0</v>
      </c>
      <c r="S2278" s="737">
        <f t="shared" si="291"/>
        <v>407818</v>
      </c>
      <c r="T2278" s="739">
        <f t="shared" si="292"/>
        <v>387754</v>
      </c>
      <c r="U2278" s="846"/>
      <c r="V2278" s="847"/>
      <c r="W2278" s="846"/>
      <c r="X2278" s="846"/>
      <c r="Y2278" s="740">
        <f t="shared" si="288"/>
        <v>0</v>
      </c>
      <c r="Z2278" s="847"/>
      <c r="AA2278" s="847"/>
      <c r="AB2278" s="741">
        <f t="shared" si="289"/>
        <v>0</v>
      </c>
      <c r="AC2278" s="846"/>
      <c r="AD2278" s="847"/>
      <c r="AE2278" s="846"/>
      <c r="AF2278" s="846"/>
      <c r="AG2278" s="847"/>
      <c r="AH2278" s="847"/>
      <c r="AI2278" s="742">
        <f t="shared" si="293"/>
        <v>407818</v>
      </c>
      <c r="AJ2278" s="743">
        <f t="shared" si="294"/>
        <v>387754</v>
      </c>
    </row>
    <row r="2279" spans="1:36" ht="25.5">
      <c r="A2279" s="1410" t="s">
        <v>146</v>
      </c>
      <c r="B2279" s="1146" t="s">
        <v>272</v>
      </c>
      <c r="C2279" s="1417" t="s">
        <v>1758</v>
      </c>
      <c r="D2279" s="1136"/>
      <c r="E2279" s="1420">
        <v>217864</v>
      </c>
      <c r="F2279" s="1437">
        <v>3</v>
      </c>
      <c r="G2279" s="846"/>
      <c r="H2279" s="847"/>
      <c r="I2279" s="846"/>
      <c r="J2279" s="847">
        <v>81290</v>
      </c>
      <c r="K2279" s="846"/>
      <c r="L2279" s="847"/>
      <c r="M2279" s="846"/>
      <c r="N2279" s="846"/>
      <c r="O2279" s="737">
        <f t="shared" si="287"/>
        <v>0</v>
      </c>
      <c r="P2279" s="847"/>
      <c r="Q2279" s="847"/>
      <c r="R2279" s="738">
        <f t="shared" si="290"/>
        <v>0</v>
      </c>
      <c r="S2279" s="737">
        <f t="shared" si="291"/>
        <v>0</v>
      </c>
      <c r="T2279" s="739">
        <f t="shared" si="292"/>
        <v>81290</v>
      </c>
      <c r="U2279" s="846"/>
      <c r="V2279" s="847"/>
      <c r="W2279" s="846"/>
      <c r="X2279" s="846"/>
      <c r="Y2279" s="740">
        <f t="shared" si="288"/>
        <v>0</v>
      </c>
      <c r="Z2279" s="847"/>
      <c r="AA2279" s="847"/>
      <c r="AB2279" s="741">
        <f t="shared" si="289"/>
        <v>0</v>
      </c>
      <c r="AC2279" s="846"/>
      <c r="AD2279" s="847"/>
      <c r="AE2279" s="846"/>
      <c r="AF2279" s="846"/>
      <c r="AG2279" s="847"/>
      <c r="AH2279" s="847"/>
      <c r="AI2279" s="742">
        <f t="shared" si="293"/>
        <v>0</v>
      </c>
      <c r="AJ2279" s="743">
        <f t="shared" si="294"/>
        <v>81290</v>
      </c>
    </row>
    <row r="2280" spans="1:36">
      <c r="A2280" s="1410" t="s">
        <v>146</v>
      </c>
      <c r="B2280" s="1146" t="s">
        <v>272</v>
      </c>
      <c r="C2280" s="1414" t="s">
        <v>1782</v>
      </c>
      <c r="D2280" s="1136"/>
      <c r="E2280" s="1420">
        <v>217864</v>
      </c>
      <c r="F2280" s="1437">
        <v>3</v>
      </c>
      <c r="G2280" s="846"/>
      <c r="H2280" s="847"/>
      <c r="I2280" s="846"/>
      <c r="J2280" s="847">
        <v>1055678</v>
      </c>
      <c r="K2280" s="846"/>
      <c r="L2280" s="847"/>
      <c r="M2280" s="846"/>
      <c r="N2280" s="846"/>
      <c r="O2280" s="737">
        <f t="shared" si="287"/>
        <v>0</v>
      </c>
      <c r="P2280" s="847"/>
      <c r="Q2280" s="847"/>
      <c r="R2280" s="738">
        <f t="shared" si="290"/>
        <v>0</v>
      </c>
      <c r="S2280" s="737">
        <f t="shared" si="291"/>
        <v>0</v>
      </c>
      <c r="T2280" s="739">
        <f t="shared" si="292"/>
        <v>1055678</v>
      </c>
      <c r="U2280" s="846"/>
      <c r="V2280" s="847"/>
      <c r="W2280" s="846"/>
      <c r="X2280" s="846"/>
      <c r="Y2280" s="740">
        <f t="shared" si="288"/>
        <v>0</v>
      </c>
      <c r="Z2280" s="847"/>
      <c r="AA2280" s="847"/>
      <c r="AB2280" s="741">
        <f t="shared" si="289"/>
        <v>0</v>
      </c>
      <c r="AC2280" s="846"/>
      <c r="AD2280" s="847"/>
      <c r="AE2280" s="846"/>
      <c r="AF2280" s="846"/>
      <c r="AG2280" s="847"/>
      <c r="AH2280" s="847"/>
      <c r="AI2280" s="742">
        <f t="shared" si="293"/>
        <v>0</v>
      </c>
      <c r="AJ2280" s="743">
        <f t="shared" si="294"/>
        <v>1055678</v>
      </c>
    </row>
    <row r="2281" spans="1:36">
      <c r="A2281" s="1410" t="s">
        <v>146</v>
      </c>
      <c r="B2281" s="1146" t="s">
        <v>264</v>
      </c>
      <c r="C2281" s="1411" t="s">
        <v>1783</v>
      </c>
      <c r="D2281" s="1136"/>
      <c r="E2281" s="1420">
        <v>218964</v>
      </c>
      <c r="F2281" s="1110">
        <v>3</v>
      </c>
      <c r="G2281" s="846">
        <v>10415863</v>
      </c>
      <c r="H2281" s="847">
        <v>11031936</v>
      </c>
      <c r="I2281" s="846"/>
      <c r="J2281" s="847"/>
      <c r="K2281" s="846"/>
      <c r="L2281" s="847"/>
      <c r="M2281" s="846">
        <v>70414812</v>
      </c>
      <c r="N2281" s="846">
        <v>6346831</v>
      </c>
      <c r="O2281" s="737">
        <f t="shared" si="287"/>
        <v>76761643</v>
      </c>
      <c r="P2281" s="847">
        <v>72914251</v>
      </c>
      <c r="Q2281" s="847">
        <v>6337364</v>
      </c>
      <c r="R2281" s="738">
        <f t="shared" si="290"/>
        <v>79251615</v>
      </c>
      <c r="S2281" s="737">
        <f t="shared" si="291"/>
        <v>80830675</v>
      </c>
      <c r="T2281" s="739">
        <f t="shared" si="292"/>
        <v>83946187</v>
      </c>
      <c r="U2281" s="846"/>
      <c r="V2281" s="847"/>
      <c r="W2281" s="846"/>
      <c r="X2281" s="846"/>
      <c r="Y2281" s="740">
        <f t="shared" si="288"/>
        <v>0</v>
      </c>
      <c r="Z2281" s="847"/>
      <c r="AA2281" s="847"/>
      <c r="AB2281" s="741">
        <f t="shared" si="289"/>
        <v>0</v>
      </c>
      <c r="AC2281" s="846"/>
      <c r="AD2281" s="847"/>
      <c r="AE2281" s="846"/>
      <c r="AF2281" s="846"/>
      <c r="AG2281" s="847"/>
      <c r="AH2281" s="847"/>
      <c r="AI2281" s="742">
        <f t="shared" si="293"/>
        <v>80830675</v>
      </c>
      <c r="AJ2281" s="743">
        <f t="shared" si="294"/>
        <v>83946187</v>
      </c>
    </row>
    <row r="2282" spans="1:36">
      <c r="A2282" s="1410" t="s">
        <v>146</v>
      </c>
      <c r="B2282" s="1146" t="s">
        <v>264</v>
      </c>
      <c r="C2282" s="1137" t="s">
        <v>1746</v>
      </c>
      <c r="D2282" s="1136"/>
      <c r="E2282" s="1420">
        <v>218964</v>
      </c>
      <c r="F2282" s="1110">
        <v>3</v>
      </c>
      <c r="G2282" s="846">
        <v>2920230</v>
      </c>
      <c r="H2282" s="847">
        <v>3130863</v>
      </c>
      <c r="I2282" s="846"/>
      <c r="J2282" s="847"/>
      <c r="K2282" s="846"/>
      <c r="L2282" s="847"/>
      <c r="M2282" s="846"/>
      <c r="N2282" s="846"/>
      <c r="O2282" s="737">
        <f t="shared" si="287"/>
        <v>0</v>
      </c>
      <c r="P2282" s="847"/>
      <c r="Q2282" s="847"/>
      <c r="R2282" s="738">
        <f t="shared" si="290"/>
        <v>0</v>
      </c>
      <c r="S2282" s="737">
        <f t="shared" si="291"/>
        <v>2920230</v>
      </c>
      <c r="T2282" s="739">
        <f t="shared" si="292"/>
        <v>3130863</v>
      </c>
      <c r="U2282" s="846"/>
      <c r="V2282" s="847"/>
      <c r="W2282" s="846"/>
      <c r="X2282" s="846"/>
      <c r="Y2282" s="740">
        <f t="shared" si="288"/>
        <v>0</v>
      </c>
      <c r="Z2282" s="847"/>
      <c r="AA2282" s="847"/>
      <c r="AB2282" s="741">
        <f t="shared" si="289"/>
        <v>0</v>
      </c>
      <c r="AC2282" s="846"/>
      <c r="AD2282" s="847"/>
      <c r="AE2282" s="846"/>
      <c r="AF2282" s="846"/>
      <c r="AG2282" s="847"/>
      <c r="AH2282" s="847"/>
      <c r="AI2282" s="742">
        <f t="shared" si="293"/>
        <v>2920230</v>
      </c>
      <c r="AJ2282" s="743">
        <f t="shared" si="294"/>
        <v>3130863</v>
      </c>
    </row>
    <row r="2283" spans="1:36">
      <c r="A2283" s="1410" t="s">
        <v>146</v>
      </c>
      <c r="B2283" s="1146" t="s">
        <v>264</v>
      </c>
      <c r="C2283" s="1414" t="s">
        <v>1772</v>
      </c>
      <c r="D2283" s="1136"/>
      <c r="E2283" s="1420">
        <v>218964</v>
      </c>
      <c r="F2283" s="1110">
        <v>3</v>
      </c>
      <c r="G2283" s="846"/>
      <c r="H2283" s="847">
        <v>162052</v>
      </c>
      <c r="I2283" s="846"/>
      <c r="J2283" s="847"/>
      <c r="K2283" s="846"/>
      <c r="L2283" s="847"/>
      <c r="M2283" s="846"/>
      <c r="N2283" s="846"/>
      <c r="O2283" s="737">
        <f t="shared" si="287"/>
        <v>0</v>
      </c>
      <c r="P2283" s="847"/>
      <c r="Q2283" s="847"/>
      <c r="R2283" s="738">
        <f t="shared" si="290"/>
        <v>0</v>
      </c>
      <c r="S2283" s="737">
        <f t="shared" si="291"/>
        <v>0</v>
      </c>
      <c r="T2283" s="739">
        <f t="shared" si="292"/>
        <v>162052</v>
      </c>
      <c r="U2283" s="846"/>
      <c r="V2283" s="847"/>
      <c r="W2283" s="846"/>
      <c r="X2283" s="846"/>
      <c r="Y2283" s="740">
        <f t="shared" si="288"/>
        <v>0</v>
      </c>
      <c r="Z2283" s="847"/>
      <c r="AA2283" s="847"/>
      <c r="AB2283" s="741">
        <f t="shared" si="289"/>
        <v>0</v>
      </c>
      <c r="AC2283" s="846"/>
      <c r="AD2283" s="847"/>
      <c r="AE2283" s="846"/>
      <c r="AF2283" s="846"/>
      <c r="AG2283" s="847"/>
      <c r="AH2283" s="847"/>
      <c r="AI2283" s="742">
        <f t="shared" si="293"/>
        <v>0</v>
      </c>
      <c r="AJ2283" s="743">
        <f t="shared" si="294"/>
        <v>162052</v>
      </c>
    </row>
    <row r="2284" spans="1:36">
      <c r="A2284" s="1410" t="s">
        <v>146</v>
      </c>
      <c r="B2284" s="1146" t="s">
        <v>272</v>
      </c>
      <c r="C2284" s="1135" t="s">
        <v>842</v>
      </c>
      <c r="D2284" s="1136"/>
      <c r="E2284" s="1420">
        <v>218964</v>
      </c>
      <c r="F2284" s="1110">
        <v>3</v>
      </c>
      <c r="G2284" s="846"/>
      <c r="H2284" s="847"/>
      <c r="I2284" s="846"/>
      <c r="J2284" s="847"/>
      <c r="K2284" s="846"/>
      <c r="L2284" s="847"/>
      <c r="M2284" s="846"/>
      <c r="N2284" s="846"/>
      <c r="O2284" s="737">
        <f t="shared" si="287"/>
        <v>0</v>
      </c>
      <c r="P2284" s="847"/>
      <c r="Q2284" s="847"/>
      <c r="R2284" s="738">
        <f t="shared" si="290"/>
        <v>0</v>
      </c>
      <c r="S2284" s="737">
        <f t="shared" si="291"/>
        <v>0</v>
      </c>
      <c r="T2284" s="739">
        <f t="shared" si="292"/>
        <v>0</v>
      </c>
      <c r="U2284" s="846"/>
      <c r="V2284" s="847"/>
      <c r="W2284" s="846"/>
      <c r="X2284" s="846"/>
      <c r="Y2284" s="740">
        <f t="shared" si="288"/>
        <v>0</v>
      </c>
      <c r="Z2284" s="847"/>
      <c r="AA2284" s="847"/>
      <c r="AB2284" s="741">
        <f t="shared" si="289"/>
        <v>0</v>
      </c>
      <c r="AC2284" s="846"/>
      <c r="AD2284" s="847"/>
      <c r="AE2284" s="846"/>
      <c r="AF2284" s="846"/>
      <c r="AG2284" s="847"/>
      <c r="AH2284" s="847"/>
      <c r="AI2284" s="742">
        <f t="shared" si="293"/>
        <v>0</v>
      </c>
      <c r="AJ2284" s="743">
        <f t="shared" si="294"/>
        <v>0</v>
      </c>
    </row>
    <row r="2285" spans="1:36">
      <c r="A2285" s="1410" t="s">
        <v>146</v>
      </c>
      <c r="B2285" s="1146" t="s">
        <v>272</v>
      </c>
      <c r="C2285" s="1137" t="s">
        <v>1753</v>
      </c>
      <c r="D2285" s="1136"/>
      <c r="E2285" s="1420">
        <v>218964</v>
      </c>
      <c r="F2285" s="1110">
        <v>3</v>
      </c>
      <c r="G2285" s="846"/>
      <c r="H2285" s="847"/>
      <c r="I2285" s="846"/>
      <c r="J2285" s="847"/>
      <c r="K2285" s="846"/>
      <c r="L2285" s="847"/>
      <c r="M2285" s="846"/>
      <c r="N2285" s="846"/>
      <c r="O2285" s="737">
        <f t="shared" si="287"/>
        <v>0</v>
      </c>
      <c r="P2285" s="847"/>
      <c r="Q2285" s="847"/>
      <c r="R2285" s="738">
        <f t="shared" si="290"/>
        <v>0</v>
      </c>
      <c r="S2285" s="737">
        <f t="shared" si="291"/>
        <v>0</v>
      </c>
      <c r="T2285" s="739">
        <f t="shared" si="292"/>
        <v>0</v>
      </c>
      <c r="U2285" s="846"/>
      <c r="V2285" s="847"/>
      <c r="W2285" s="846"/>
      <c r="X2285" s="846"/>
      <c r="Y2285" s="740">
        <f t="shared" si="288"/>
        <v>0</v>
      </c>
      <c r="Z2285" s="847"/>
      <c r="AA2285" s="847"/>
      <c r="AB2285" s="741">
        <f t="shared" si="289"/>
        <v>0</v>
      </c>
      <c r="AC2285" s="846"/>
      <c r="AD2285" s="847"/>
      <c r="AE2285" s="846"/>
      <c r="AF2285" s="846"/>
      <c r="AG2285" s="847"/>
      <c r="AH2285" s="847"/>
      <c r="AI2285" s="742">
        <f t="shared" si="293"/>
        <v>0</v>
      </c>
      <c r="AJ2285" s="743">
        <f t="shared" si="294"/>
        <v>0</v>
      </c>
    </row>
    <row r="2286" spans="1:36">
      <c r="A2286" s="1410" t="s">
        <v>146</v>
      </c>
      <c r="B2286" s="1146" t="s">
        <v>272</v>
      </c>
      <c r="C2286" s="1414" t="s">
        <v>1784</v>
      </c>
      <c r="D2286" s="1136"/>
      <c r="E2286" s="1420">
        <v>218964</v>
      </c>
      <c r="F2286" s="1110">
        <v>3</v>
      </c>
      <c r="G2286" s="846"/>
      <c r="H2286" s="847"/>
      <c r="I2286" s="846"/>
      <c r="J2286" s="847">
        <v>170113</v>
      </c>
      <c r="K2286" s="846"/>
      <c r="L2286" s="847"/>
      <c r="M2286" s="846"/>
      <c r="N2286" s="846"/>
      <c r="O2286" s="737">
        <f t="shared" si="287"/>
        <v>0</v>
      </c>
      <c r="P2286" s="847"/>
      <c r="Q2286" s="847"/>
      <c r="R2286" s="738">
        <f t="shared" si="290"/>
        <v>0</v>
      </c>
      <c r="S2286" s="737">
        <f t="shared" si="291"/>
        <v>0</v>
      </c>
      <c r="T2286" s="739">
        <f t="shared" si="292"/>
        <v>170113</v>
      </c>
      <c r="U2286" s="846"/>
      <c r="V2286" s="847"/>
      <c r="W2286" s="846"/>
      <c r="X2286" s="846"/>
      <c r="Y2286" s="740">
        <f t="shared" si="288"/>
        <v>0</v>
      </c>
      <c r="Z2286" s="847"/>
      <c r="AA2286" s="847"/>
      <c r="AB2286" s="741">
        <f t="shared" si="289"/>
        <v>0</v>
      </c>
      <c r="AC2286" s="846"/>
      <c r="AD2286" s="847"/>
      <c r="AE2286" s="846"/>
      <c r="AF2286" s="846"/>
      <c r="AG2286" s="847"/>
      <c r="AH2286" s="847"/>
      <c r="AI2286" s="742">
        <f t="shared" si="293"/>
        <v>0</v>
      </c>
      <c r="AJ2286" s="743">
        <f t="shared" si="294"/>
        <v>170113</v>
      </c>
    </row>
    <row r="2287" spans="1:36">
      <c r="A2287" s="1410" t="s">
        <v>146</v>
      </c>
      <c r="B2287" s="1146" t="s">
        <v>272</v>
      </c>
      <c r="C2287" s="1414" t="s">
        <v>1758</v>
      </c>
      <c r="D2287" s="1136"/>
      <c r="E2287" s="1420">
        <v>218964</v>
      </c>
      <c r="F2287" s="1110">
        <v>3</v>
      </c>
      <c r="G2287" s="846"/>
      <c r="H2287" s="847"/>
      <c r="I2287" s="846"/>
      <c r="J2287" s="847">
        <v>81917</v>
      </c>
      <c r="K2287" s="846"/>
      <c r="L2287" s="847"/>
      <c r="M2287" s="846"/>
      <c r="N2287" s="846"/>
      <c r="O2287" s="737">
        <f t="shared" si="287"/>
        <v>0</v>
      </c>
      <c r="P2287" s="847"/>
      <c r="Q2287" s="847"/>
      <c r="R2287" s="738">
        <f t="shared" si="290"/>
        <v>0</v>
      </c>
      <c r="S2287" s="737">
        <f t="shared" si="291"/>
        <v>0</v>
      </c>
      <c r="T2287" s="739">
        <f t="shared" si="292"/>
        <v>81917</v>
      </c>
      <c r="U2287" s="846"/>
      <c r="V2287" s="847"/>
      <c r="W2287" s="846"/>
      <c r="X2287" s="846"/>
      <c r="Y2287" s="740">
        <f t="shared" si="288"/>
        <v>0</v>
      </c>
      <c r="Z2287" s="847"/>
      <c r="AA2287" s="847"/>
      <c r="AB2287" s="741">
        <f t="shared" si="289"/>
        <v>0</v>
      </c>
      <c r="AC2287" s="846"/>
      <c r="AD2287" s="847"/>
      <c r="AE2287" s="846"/>
      <c r="AF2287" s="846"/>
      <c r="AG2287" s="847"/>
      <c r="AH2287" s="847"/>
      <c r="AI2287" s="742">
        <f t="shared" si="293"/>
        <v>0</v>
      </c>
      <c r="AJ2287" s="743">
        <f t="shared" si="294"/>
        <v>81917</v>
      </c>
    </row>
    <row r="2288" spans="1:36">
      <c r="A2288" s="1410" t="s">
        <v>146</v>
      </c>
      <c r="B2288" s="1146" t="s">
        <v>272</v>
      </c>
      <c r="C2288" s="1137" t="s">
        <v>1785</v>
      </c>
      <c r="D2288" s="1136"/>
      <c r="E2288" s="1420">
        <v>218964</v>
      </c>
      <c r="F2288" s="1110">
        <v>3</v>
      </c>
      <c r="G2288" s="846"/>
      <c r="H2288" s="847"/>
      <c r="I2288" s="846">
        <v>350000</v>
      </c>
      <c r="J2288" s="847"/>
      <c r="K2288" s="846"/>
      <c r="L2288" s="847"/>
      <c r="M2288" s="846"/>
      <c r="N2288" s="846"/>
      <c r="O2288" s="737">
        <f t="shared" si="287"/>
        <v>0</v>
      </c>
      <c r="P2288" s="847"/>
      <c r="Q2288" s="847"/>
      <c r="R2288" s="738">
        <f t="shared" si="290"/>
        <v>0</v>
      </c>
      <c r="S2288" s="737">
        <f t="shared" si="291"/>
        <v>350000</v>
      </c>
      <c r="T2288" s="739">
        <f t="shared" si="292"/>
        <v>0</v>
      </c>
      <c r="U2288" s="846"/>
      <c r="V2288" s="847"/>
      <c r="W2288" s="846"/>
      <c r="X2288" s="846"/>
      <c r="Y2288" s="740">
        <f t="shared" si="288"/>
        <v>0</v>
      </c>
      <c r="Z2288" s="847"/>
      <c r="AA2288" s="847"/>
      <c r="AB2288" s="741">
        <f t="shared" si="289"/>
        <v>0</v>
      </c>
      <c r="AC2288" s="846"/>
      <c r="AD2288" s="847"/>
      <c r="AE2288" s="846"/>
      <c r="AF2288" s="846"/>
      <c r="AG2288" s="847"/>
      <c r="AH2288" s="847"/>
      <c r="AI2288" s="742">
        <f t="shared" si="293"/>
        <v>350000</v>
      </c>
      <c r="AJ2288" s="743">
        <f t="shared" si="294"/>
        <v>0</v>
      </c>
    </row>
    <row r="2289" spans="1:36">
      <c r="A2289" s="1410" t="s">
        <v>146</v>
      </c>
      <c r="B2289" s="1146" t="s">
        <v>272</v>
      </c>
      <c r="C2289" s="1137" t="s">
        <v>1786</v>
      </c>
      <c r="D2289" s="1136"/>
      <c r="E2289" s="1420">
        <v>218964</v>
      </c>
      <c r="F2289" s="1110">
        <v>3</v>
      </c>
      <c r="G2289" s="846"/>
      <c r="H2289" s="847"/>
      <c r="I2289" s="846">
        <v>750000</v>
      </c>
      <c r="J2289" s="847">
        <v>159738</v>
      </c>
      <c r="K2289" s="846"/>
      <c r="L2289" s="847"/>
      <c r="M2289" s="846"/>
      <c r="N2289" s="846"/>
      <c r="O2289" s="737">
        <f t="shared" si="287"/>
        <v>0</v>
      </c>
      <c r="P2289" s="847"/>
      <c r="Q2289" s="847"/>
      <c r="R2289" s="738">
        <f t="shared" si="290"/>
        <v>0</v>
      </c>
      <c r="S2289" s="737">
        <f t="shared" si="291"/>
        <v>750000</v>
      </c>
      <c r="T2289" s="739">
        <f t="shared" si="292"/>
        <v>159738</v>
      </c>
      <c r="U2289" s="846"/>
      <c r="V2289" s="847"/>
      <c r="W2289" s="846"/>
      <c r="X2289" s="846"/>
      <c r="Y2289" s="740">
        <f t="shared" si="288"/>
        <v>0</v>
      </c>
      <c r="Z2289" s="847"/>
      <c r="AA2289" s="847"/>
      <c r="AB2289" s="741">
        <f t="shared" si="289"/>
        <v>0</v>
      </c>
      <c r="AC2289" s="846"/>
      <c r="AD2289" s="847"/>
      <c r="AE2289" s="846"/>
      <c r="AF2289" s="846"/>
      <c r="AG2289" s="847"/>
      <c r="AH2289" s="847"/>
      <c r="AI2289" s="742">
        <f t="shared" si="293"/>
        <v>750000</v>
      </c>
      <c r="AJ2289" s="743">
        <f t="shared" si="294"/>
        <v>159738</v>
      </c>
    </row>
    <row r="2290" spans="1:36">
      <c r="A2290" s="1410" t="s">
        <v>146</v>
      </c>
      <c r="B2290" s="1146" t="s">
        <v>272</v>
      </c>
      <c r="C2290" s="1414" t="s">
        <v>1787</v>
      </c>
      <c r="D2290" s="1136"/>
      <c r="E2290" s="1420">
        <v>218964</v>
      </c>
      <c r="F2290" s="1110">
        <v>3</v>
      </c>
      <c r="G2290" s="846"/>
      <c r="H2290" s="847"/>
      <c r="I2290" s="846"/>
      <c r="J2290" s="847">
        <v>750000</v>
      </c>
      <c r="K2290" s="846"/>
      <c r="L2290" s="847"/>
      <c r="M2290" s="846"/>
      <c r="N2290" s="846"/>
      <c r="O2290" s="737">
        <f t="shared" si="287"/>
        <v>0</v>
      </c>
      <c r="P2290" s="847"/>
      <c r="Q2290" s="847"/>
      <c r="R2290" s="738">
        <f t="shared" si="290"/>
        <v>0</v>
      </c>
      <c r="S2290" s="737">
        <f t="shared" si="291"/>
        <v>0</v>
      </c>
      <c r="T2290" s="739">
        <f t="shared" si="292"/>
        <v>750000</v>
      </c>
      <c r="U2290" s="846"/>
      <c r="V2290" s="847"/>
      <c r="W2290" s="846"/>
      <c r="X2290" s="846"/>
      <c r="Y2290" s="740">
        <f t="shared" si="288"/>
        <v>0</v>
      </c>
      <c r="Z2290" s="847"/>
      <c r="AA2290" s="847"/>
      <c r="AB2290" s="741">
        <f t="shared" si="289"/>
        <v>0</v>
      </c>
      <c r="AC2290" s="846"/>
      <c r="AD2290" s="847"/>
      <c r="AE2290" s="846"/>
      <c r="AF2290" s="846"/>
      <c r="AG2290" s="847"/>
      <c r="AH2290" s="847"/>
      <c r="AI2290" s="742">
        <f t="shared" si="293"/>
        <v>0</v>
      </c>
      <c r="AJ2290" s="743">
        <f t="shared" si="294"/>
        <v>750000</v>
      </c>
    </row>
    <row r="2291" spans="1:36">
      <c r="A2291" s="1410" t="s">
        <v>146</v>
      </c>
      <c r="B2291" s="1146" t="s">
        <v>272</v>
      </c>
      <c r="C2291" s="1137" t="s">
        <v>1754</v>
      </c>
      <c r="D2291" s="1136"/>
      <c r="E2291" s="1420">
        <v>218964</v>
      </c>
      <c r="F2291" s="1110">
        <v>3</v>
      </c>
      <c r="G2291" s="846"/>
      <c r="H2291" s="847"/>
      <c r="I2291" s="846">
        <v>569307</v>
      </c>
      <c r="J2291" s="847"/>
      <c r="K2291" s="846"/>
      <c r="L2291" s="847"/>
      <c r="M2291" s="846"/>
      <c r="N2291" s="846"/>
      <c r="O2291" s="737">
        <f t="shared" si="287"/>
        <v>0</v>
      </c>
      <c r="P2291" s="847"/>
      <c r="Q2291" s="847"/>
      <c r="R2291" s="738">
        <f t="shared" si="290"/>
        <v>0</v>
      </c>
      <c r="S2291" s="737">
        <f t="shared" si="291"/>
        <v>569307</v>
      </c>
      <c r="T2291" s="739">
        <f t="shared" si="292"/>
        <v>0</v>
      </c>
      <c r="U2291" s="846"/>
      <c r="V2291" s="847"/>
      <c r="W2291" s="846"/>
      <c r="X2291" s="846"/>
      <c r="Y2291" s="740">
        <f t="shared" si="288"/>
        <v>0</v>
      </c>
      <c r="Z2291" s="847"/>
      <c r="AA2291" s="847"/>
      <c r="AB2291" s="741">
        <f t="shared" si="289"/>
        <v>0</v>
      </c>
      <c r="AC2291" s="846"/>
      <c r="AD2291" s="847"/>
      <c r="AE2291" s="846"/>
      <c r="AF2291" s="846"/>
      <c r="AG2291" s="847"/>
      <c r="AH2291" s="847"/>
      <c r="AI2291" s="742">
        <f t="shared" si="293"/>
        <v>569307</v>
      </c>
      <c r="AJ2291" s="743">
        <f t="shared" si="294"/>
        <v>0</v>
      </c>
    </row>
    <row r="2292" spans="1:36">
      <c r="A2292" s="1410" t="s">
        <v>146</v>
      </c>
      <c r="B2292" s="1146" t="s">
        <v>272</v>
      </c>
      <c r="C2292" s="1137" t="s">
        <v>1788</v>
      </c>
      <c r="D2292" s="1136"/>
      <c r="E2292" s="1420">
        <v>218964</v>
      </c>
      <c r="F2292" s="1110">
        <v>3</v>
      </c>
      <c r="G2292" s="846"/>
      <c r="H2292" s="847"/>
      <c r="I2292" s="846"/>
      <c r="J2292" s="847"/>
      <c r="K2292" s="846"/>
      <c r="L2292" s="847"/>
      <c r="M2292" s="846"/>
      <c r="N2292" s="846"/>
      <c r="O2292" s="737">
        <f t="shared" si="287"/>
        <v>0</v>
      </c>
      <c r="P2292" s="847"/>
      <c r="Q2292" s="847"/>
      <c r="R2292" s="738">
        <f t="shared" si="290"/>
        <v>0</v>
      </c>
      <c r="S2292" s="737">
        <f t="shared" si="291"/>
        <v>0</v>
      </c>
      <c r="T2292" s="739">
        <f t="shared" si="292"/>
        <v>0</v>
      </c>
      <c r="U2292" s="846"/>
      <c r="V2292" s="847"/>
      <c r="W2292" s="846"/>
      <c r="X2292" s="846"/>
      <c r="Y2292" s="740">
        <f t="shared" si="288"/>
        <v>0</v>
      </c>
      <c r="Z2292" s="847"/>
      <c r="AA2292" s="847"/>
      <c r="AB2292" s="741">
        <f t="shared" si="289"/>
        <v>0</v>
      </c>
      <c r="AC2292" s="846"/>
      <c r="AD2292" s="847"/>
      <c r="AE2292" s="846"/>
      <c r="AF2292" s="846"/>
      <c r="AG2292" s="847"/>
      <c r="AH2292" s="847"/>
      <c r="AI2292" s="742">
        <f t="shared" si="293"/>
        <v>0</v>
      </c>
      <c r="AJ2292" s="743">
        <f t="shared" si="294"/>
        <v>0</v>
      </c>
    </row>
    <row r="2293" spans="1:36">
      <c r="A2293" s="1410" t="s">
        <v>146</v>
      </c>
      <c r="B2293" s="1146" t="s">
        <v>272</v>
      </c>
      <c r="C2293" s="1137" t="s">
        <v>1756</v>
      </c>
      <c r="D2293" s="1136"/>
      <c r="E2293" s="1420">
        <v>218964</v>
      </c>
      <c r="F2293" s="1110">
        <v>3</v>
      </c>
      <c r="G2293" s="846"/>
      <c r="H2293" s="847"/>
      <c r="I2293" s="846">
        <v>9071</v>
      </c>
      <c r="J2293" s="847">
        <v>8907</v>
      </c>
      <c r="K2293" s="846"/>
      <c r="L2293" s="847"/>
      <c r="M2293" s="846"/>
      <c r="N2293" s="846"/>
      <c r="O2293" s="737">
        <f t="shared" si="287"/>
        <v>0</v>
      </c>
      <c r="P2293" s="847"/>
      <c r="Q2293" s="847"/>
      <c r="R2293" s="738">
        <f t="shared" si="290"/>
        <v>0</v>
      </c>
      <c r="S2293" s="737">
        <f t="shared" si="291"/>
        <v>9071</v>
      </c>
      <c r="T2293" s="739">
        <f t="shared" si="292"/>
        <v>8907</v>
      </c>
      <c r="U2293" s="846"/>
      <c r="V2293" s="847"/>
      <c r="W2293" s="846"/>
      <c r="X2293" s="846"/>
      <c r="Y2293" s="740">
        <f t="shared" si="288"/>
        <v>0</v>
      </c>
      <c r="Z2293" s="847"/>
      <c r="AA2293" s="847"/>
      <c r="AB2293" s="741">
        <f t="shared" si="289"/>
        <v>0</v>
      </c>
      <c r="AC2293" s="846"/>
      <c r="AD2293" s="847"/>
      <c r="AE2293" s="846"/>
      <c r="AF2293" s="846"/>
      <c r="AG2293" s="847"/>
      <c r="AH2293" s="847"/>
      <c r="AI2293" s="742">
        <f t="shared" si="293"/>
        <v>9071</v>
      </c>
      <c r="AJ2293" s="743">
        <f t="shared" si="294"/>
        <v>8907</v>
      </c>
    </row>
    <row r="2294" spans="1:36">
      <c r="A2294" s="1410" t="s">
        <v>146</v>
      </c>
      <c r="B2294" s="1146" t="s">
        <v>272</v>
      </c>
      <c r="C2294" s="1137" t="s">
        <v>1777</v>
      </c>
      <c r="D2294" s="1136"/>
      <c r="E2294" s="1420">
        <v>218964</v>
      </c>
      <c r="F2294" s="1110">
        <v>3</v>
      </c>
      <c r="G2294" s="846"/>
      <c r="H2294" s="847"/>
      <c r="I2294" s="846">
        <v>535585</v>
      </c>
      <c r="J2294" s="847">
        <v>496121</v>
      </c>
      <c r="K2294" s="846"/>
      <c r="L2294" s="847"/>
      <c r="M2294" s="846"/>
      <c r="N2294" s="846"/>
      <c r="O2294" s="737">
        <f t="shared" si="287"/>
        <v>0</v>
      </c>
      <c r="P2294" s="847"/>
      <c r="Q2294" s="847"/>
      <c r="R2294" s="738">
        <f t="shared" si="290"/>
        <v>0</v>
      </c>
      <c r="S2294" s="737">
        <f t="shared" si="291"/>
        <v>535585</v>
      </c>
      <c r="T2294" s="739">
        <f t="shared" si="292"/>
        <v>496121</v>
      </c>
      <c r="U2294" s="846"/>
      <c r="V2294" s="847"/>
      <c r="W2294" s="846"/>
      <c r="X2294" s="846"/>
      <c r="Y2294" s="740">
        <f t="shared" si="288"/>
        <v>0</v>
      </c>
      <c r="Z2294" s="847"/>
      <c r="AA2294" s="847"/>
      <c r="AB2294" s="741">
        <f t="shared" si="289"/>
        <v>0</v>
      </c>
      <c r="AC2294" s="846"/>
      <c r="AD2294" s="847"/>
      <c r="AE2294" s="846"/>
      <c r="AF2294" s="846"/>
      <c r="AG2294" s="847"/>
      <c r="AH2294" s="847"/>
      <c r="AI2294" s="742">
        <f t="shared" si="293"/>
        <v>535585</v>
      </c>
      <c r="AJ2294" s="743">
        <f t="shared" si="294"/>
        <v>496121</v>
      </c>
    </row>
    <row r="2295" spans="1:36">
      <c r="A2295" s="1410" t="s">
        <v>146</v>
      </c>
      <c r="B2295" s="1146" t="s">
        <v>264</v>
      </c>
      <c r="C2295" s="1411" t="s">
        <v>1789</v>
      </c>
      <c r="D2295" s="1118" t="s">
        <v>529</v>
      </c>
      <c r="E2295" s="1420">
        <v>218724</v>
      </c>
      <c r="F2295" s="1110">
        <v>5</v>
      </c>
      <c r="G2295" s="846">
        <v>7114430</v>
      </c>
      <c r="H2295" s="847">
        <v>7290286</v>
      </c>
      <c r="I2295" s="846"/>
      <c r="J2295" s="847"/>
      <c r="K2295" s="846">
        <v>294580</v>
      </c>
      <c r="L2295" s="847">
        <v>393324</v>
      </c>
      <c r="M2295" s="846">
        <v>123863485</v>
      </c>
      <c r="N2295" s="846">
        <v>7149984</v>
      </c>
      <c r="O2295" s="737">
        <f t="shared" si="287"/>
        <v>131013469</v>
      </c>
      <c r="P2295" s="847">
        <v>138795561</v>
      </c>
      <c r="Q2295" s="847">
        <v>7103562</v>
      </c>
      <c r="R2295" s="738">
        <f t="shared" si="290"/>
        <v>145899123</v>
      </c>
      <c r="S2295" s="737">
        <f t="shared" si="291"/>
        <v>131272495</v>
      </c>
      <c r="T2295" s="739">
        <f t="shared" si="292"/>
        <v>146479171</v>
      </c>
      <c r="U2295" s="846"/>
      <c r="V2295" s="847"/>
      <c r="W2295" s="846"/>
      <c r="X2295" s="846"/>
      <c r="Y2295" s="740">
        <f t="shared" si="288"/>
        <v>0</v>
      </c>
      <c r="Z2295" s="847"/>
      <c r="AA2295" s="847"/>
      <c r="AB2295" s="741">
        <f t="shared" si="289"/>
        <v>0</v>
      </c>
      <c r="AC2295" s="846"/>
      <c r="AD2295" s="847"/>
      <c r="AE2295" s="846"/>
      <c r="AF2295" s="846"/>
      <c r="AG2295" s="847"/>
      <c r="AH2295" s="847"/>
      <c r="AI2295" s="742">
        <f t="shared" si="293"/>
        <v>131272495</v>
      </c>
      <c r="AJ2295" s="743">
        <f t="shared" si="294"/>
        <v>146479171</v>
      </c>
    </row>
    <row r="2296" spans="1:36">
      <c r="A2296" s="1410" t="s">
        <v>146</v>
      </c>
      <c r="B2296" s="1146" t="s">
        <v>264</v>
      </c>
      <c r="C2296" s="1137" t="s">
        <v>1746</v>
      </c>
      <c r="D2296" s="1136"/>
      <c r="E2296" s="1420">
        <v>218724</v>
      </c>
      <c r="F2296" s="1110">
        <v>5</v>
      </c>
      <c r="G2296" s="846">
        <v>2001312</v>
      </c>
      <c r="H2296" s="847">
        <v>2104660</v>
      </c>
      <c r="I2296" s="846"/>
      <c r="J2296" s="847"/>
      <c r="K2296" s="846"/>
      <c r="L2296" s="847"/>
      <c r="M2296" s="846"/>
      <c r="N2296" s="846"/>
      <c r="O2296" s="737">
        <f t="shared" si="287"/>
        <v>0</v>
      </c>
      <c r="P2296" s="847"/>
      <c r="Q2296" s="847"/>
      <c r="R2296" s="738">
        <f t="shared" si="290"/>
        <v>0</v>
      </c>
      <c r="S2296" s="737">
        <f t="shared" si="291"/>
        <v>2001312</v>
      </c>
      <c r="T2296" s="739">
        <f t="shared" si="292"/>
        <v>2104660</v>
      </c>
      <c r="U2296" s="846"/>
      <c r="V2296" s="847"/>
      <c r="W2296" s="846"/>
      <c r="X2296" s="846"/>
      <c r="Y2296" s="740">
        <f t="shared" si="288"/>
        <v>0</v>
      </c>
      <c r="Z2296" s="847"/>
      <c r="AA2296" s="847"/>
      <c r="AB2296" s="741">
        <f t="shared" si="289"/>
        <v>0</v>
      </c>
      <c r="AC2296" s="846"/>
      <c r="AD2296" s="847"/>
      <c r="AE2296" s="846"/>
      <c r="AF2296" s="846"/>
      <c r="AG2296" s="847"/>
      <c r="AH2296" s="847"/>
      <c r="AI2296" s="742">
        <f t="shared" si="293"/>
        <v>2001312</v>
      </c>
      <c r="AJ2296" s="743">
        <f t="shared" si="294"/>
        <v>2104660</v>
      </c>
    </row>
    <row r="2297" spans="1:36">
      <c r="A2297" s="1410" t="s">
        <v>146</v>
      </c>
      <c r="B2297" s="1146" t="s">
        <v>264</v>
      </c>
      <c r="C2297" s="1414" t="s">
        <v>1772</v>
      </c>
      <c r="D2297" s="1136"/>
      <c r="E2297" s="1420">
        <v>218724</v>
      </c>
      <c r="F2297" s="1110">
        <v>5</v>
      </c>
      <c r="G2297" s="846"/>
      <c r="H2297" s="847">
        <v>227452</v>
      </c>
      <c r="I2297" s="846"/>
      <c r="J2297" s="847"/>
      <c r="K2297" s="846"/>
      <c r="L2297" s="847"/>
      <c r="M2297" s="846"/>
      <c r="N2297" s="846"/>
      <c r="O2297" s="737">
        <f t="shared" si="287"/>
        <v>0</v>
      </c>
      <c r="P2297" s="847"/>
      <c r="Q2297" s="847"/>
      <c r="R2297" s="738">
        <f t="shared" si="290"/>
        <v>0</v>
      </c>
      <c r="S2297" s="737">
        <f t="shared" si="291"/>
        <v>0</v>
      </c>
      <c r="T2297" s="739">
        <f t="shared" si="292"/>
        <v>227452</v>
      </c>
      <c r="U2297" s="846"/>
      <c r="V2297" s="847"/>
      <c r="W2297" s="846"/>
      <c r="X2297" s="846"/>
      <c r="Y2297" s="740">
        <f t="shared" si="288"/>
        <v>0</v>
      </c>
      <c r="Z2297" s="847"/>
      <c r="AA2297" s="847"/>
      <c r="AB2297" s="741">
        <f t="shared" si="289"/>
        <v>0</v>
      </c>
      <c r="AC2297" s="846"/>
      <c r="AD2297" s="847"/>
      <c r="AE2297" s="846"/>
      <c r="AF2297" s="846"/>
      <c r="AG2297" s="847"/>
      <c r="AH2297" s="847"/>
      <c r="AI2297" s="742">
        <f t="shared" si="293"/>
        <v>0</v>
      </c>
      <c r="AJ2297" s="743">
        <f t="shared" si="294"/>
        <v>227452</v>
      </c>
    </row>
    <row r="2298" spans="1:36">
      <c r="A2298" s="1410" t="s">
        <v>146</v>
      </c>
      <c r="B2298" s="1146" t="s">
        <v>272</v>
      </c>
      <c r="C2298" s="1135" t="s">
        <v>842</v>
      </c>
      <c r="D2298" s="1136"/>
      <c r="E2298" s="1420">
        <v>218724</v>
      </c>
      <c r="F2298" s="1110">
        <v>5</v>
      </c>
      <c r="G2298" s="846"/>
      <c r="H2298" s="847"/>
      <c r="I2298" s="846"/>
      <c r="J2298" s="847"/>
      <c r="K2298" s="846"/>
      <c r="L2298" s="847"/>
      <c r="M2298" s="846"/>
      <c r="N2298" s="846"/>
      <c r="O2298" s="737">
        <f t="shared" si="287"/>
        <v>0</v>
      </c>
      <c r="P2298" s="847"/>
      <c r="Q2298" s="847"/>
      <c r="R2298" s="738">
        <f t="shared" si="290"/>
        <v>0</v>
      </c>
      <c r="S2298" s="737">
        <f t="shared" si="291"/>
        <v>0</v>
      </c>
      <c r="T2298" s="739">
        <f t="shared" si="292"/>
        <v>0</v>
      </c>
      <c r="U2298" s="846"/>
      <c r="V2298" s="847"/>
      <c r="W2298" s="846"/>
      <c r="X2298" s="846"/>
      <c r="Y2298" s="740">
        <f t="shared" si="288"/>
        <v>0</v>
      </c>
      <c r="Z2298" s="847"/>
      <c r="AA2298" s="847"/>
      <c r="AB2298" s="741">
        <f t="shared" si="289"/>
        <v>0</v>
      </c>
      <c r="AC2298" s="846"/>
      <c r="AD2298" s="847"/>
      <c r="AE2298" s="846"/>
      <c r="AF2298" s="846"/>
      <c r="AG2298" s="847"/>
      <c r="AH2298" s="847"/>
      <c r="AI2298" s="742">
        <f t="shared" si="293"/>
        <v>0</v>
      </c>
      <c r="AJ2298" s="743">
        <f t="shared" si="294"/>
        <v>0</v>
      </c>
    </row>
    <row r="2299" spans="1:36">
      <c r="A2299" s="1410" t="s">
        <v>146</v>
      </c>
      <c r="B2299" s="1146" t="s">
        <v>272</v>
      </c>
      <c r="C2299" s="1137" t="s">
        <v>1766</v>
      </c>
      <c r="D2299" s="1136"/>
      <c r="E2299" s="1420">
        <v>218724</v>
      </c>
      <c r="F2299" s="1110">
        <v>5</v>
      </c>
      <c r="G2299" s="846"/>
      <c r="H2299" s="847"/>
      <c r="I2299" s="846"/>
      <c r="J2299" s="847"/>
      <c r="K2299" s="846"/>
      <c r="L2299" s="847"/>
      <c r="M2299" s="846"/>
      <c r="N2299" s="846"/>
      <c r="O2299" s="737">
        <f t="shared" si="287"/>
        <v>0</v>
      </c>
      <c r="P2299" s="847"/>
      <c r="Q2299" s="847"/>
      <c r="R2299" s="738">
        <f t="shared" si="290"/>
        <v>0</v>
      </c>
      <c r="S2299" s="737">
        <f t="shared" si="291"/>
        <v>0</v>
      </c>
      <c r="T2299" s="739">
        <f t="shared" si="292"/>
        <v>0</v>
      </c>
      <c r="U2299" s="846"/>
      <c r="V2299" s="847"/>
      <c r="W2299" s="846"/>
      <c r="X2299" s="846"/>
      <c r="Y2299" s="740">
        <f t="shared" si="288"/>
        <v>0</v>
      </c>
      <c r="Z2299" s="847"/>
      <c r="AA2299" s="847"/>
      <c r="AB2299" s="741">
        <f t="shared" si="289"/>
        <v>0</v>
      </c>
      <c r="AC2299" s="846"/>
      <c r="AD2299" s="847"/>
      <c r="AE2299" s="846"/>
      <c r="AF2299" s="846"/>
      <c r="AG2299" s="847"/>
      <c r="AH2299" s="847"/>
      <c r="AI2299" s="742">
        <f t="shared" si="293"/>
        <v>0</v>
      </c>
      <c r="AJ2299" s="743">
        <f t="shared" si="294"/>
        <v>0</v>
      </c>
    </row>
    <row r="2300" spans="1:36">
      <c r="A2300" s="1410" t="s">
        <v>146</v>
      </c>
      <c r="B2300" s="1146" t="s">
        <v>272</v>
      </c>
      <c r="C2300" s="1414" t="s">
        <v>1784</v>
      </c>
      <c r="D2300" s="1136"/>
      <c r="E2300" s="1420">
        <v>218724</v>
      </c>
      <c r="F2300" s="1110">
        <v>5</v>
      </c>
      <c r="G2300" s="846"/>
      <c r="H2300" s="847"/>
      <c r="I2300" s="846"/>
      <c r="J2300" s="847">
        <v>113305</v>
      </c>
      <c r="K2300" s="846"/>
      <c r="L2300" s="847"/>
      <c r="M2300" s="846"/>
      <c r="N2300" s="846"/>
      <c r="O2300" s="737">
        <f t="shared" si="287"/>
        <v>0</v>
      </c>
      <c r="P2300" s="847"/>
      <c r="Q2300" s="847"/>
      <c r="R2300" s="738">
        <f t="shared" si="290"/>
        <v>0</v>
      </c>
      <c r="S2300" s="737">
        <f t="shared" si="291"/>
        <v>0</v>
      </c>
      <c r="T2300" s="739">
        <f t="shared" si="292"/>
        <v>113305</v>
      </c>
      <c r="U2300" s="846"/>
      <c r="V2300" s="847"/>
      <c r="W2300" s="846"/>
      <c r="X2300" s="846"/>
      <c r="Y2300" s="740">
        <f t="shared" si="288"/>
        <v>0</v>
      </c>
      <c r="Z2300" s="847"/>
      <c r="AA2300" s="847"/>
      <c r="AB2300" s="741">
        <f t="shared" si="289"/>
        <v>0</v>
      </c>
      <c r="AC2300" s="846"/>
      <c r="AD2300" s="847"/>
      <c r="AE2300" s="846"/>
      <c r="AF2300" s="846"/>
      <c r="AG2300" s="847"/>
      <c r="AH2300" s="847"/>
      <c r="AI2300" s="742">
        <f t="shared" si="293"/>
        <v>0</v>
      </c>
      <c r="AJ2300" s="743">
        <f t="shared" si="294"/>
        <v>113305</v>
      </c>
    </row>
    <row r="2301" spans="1:36">
      <c r="A2301" s="1410" t="s">
        <v>146</v>
      </c>
      <c r="B2301" s="1146" t="s">
        <v>272</v>
      </c>
      <c r="C2301" s="1137" t="s">
        <v>1754</v>
      </c>
      <c r="D2301" s="1136"/>
      <c r="E2301" s="1420">
        <v>218724</v>
      </c>
      <c r="F2301" s="1110">
        <v>5</v>
      </c>
      <c r="G2301" s="846"/>
      <c r="H2301" s="847"/>
      <c r="I2301" s="846">
        <v>390953</v>
      </c>
      <c r="J2301" s="847"/>
      <c r="K2301" s="846"/>
      <c r="L2301" s="847"/>
      <c r="M2301" s="846"/>
      <c r="N2301" s="846"/>
      <c r="O2301" s="737">
        <f t="shared" si="287"/>
        <v>0</v>
      </c>
      <c r="P2301" s="847"/>
      <c r="Q2301" s="847"/>
      <c r="R2301" s="738">
        <f t="shared" si="290"/>
        <v>0</v>
      </c>
      <c r="S2301" s="737">
        <f t="shared" si="291"/>
        <v>390953</v>
      </c>
      <c r="T2301" s="739">
        <f t="shared" si="292"/>
        <v>0</v>
      </c>
      <c r="U2301" s="846"/>
      <c r="V2301" s="847"/>
      <c r="W2301" s="846"/>
      <c r="X2301" s="846"/>
      <c r="Y2301" s="740">
        <f t="shared" si="288"/>
        <v>0</v>
      </c>
      <c r="Z2301" s="847"/>
      <c r="AA2301" s="847"/>
      <c r="AB2301" s="741">
        <f t="shared" si="289"/>
        <v>0</v>
      </c>
      <c r="AC2301" s="846"/>
      <c r="AD2301" s="847"/>
      <c r="AE2301" s="846"/>
      <c r="AF2301" s="846"/>
      <c r="AG2301" s="847"/>
      <c r="AH2301" s="847"/>
      <c r="AI2301" s="742">
        <f t="shared" si="293"/>
        <v>390953</v>
      </c>
      <c r="AJ2301" s="743">
        <f t="shared" si="294"/>
        <v>0</v>
      </c>
    </row>
    <row r="2302" spans="1:36">
      <c r="A2302" s="1410" t="s">
        <v>146</v>
      </c>
      <c r="B2302" s="1146" t="s">
        <v>272</v>
      </c>
      <c r="C2302" s="1137" t="s">
        <v>1790</v>
      </c>
      <c r="D2302" s="1136"/>
      <c r="E2302" s="1420">
        <v>218724</v>
      </c>
      <c r="F2302" s="1110">
        <v>5</v>
      </c>
      <c r="G2302" s="846"/>
      <c r="H2302" s="847"/>
      <c r="I2302" s="846"/>
      <c r="J2302" s="847"/>
      <c r="K2302" s="846"/>
      <c r="L2302" s="847"/>
      <c r="M2302" s="846"/>
      <c r="N2302" s="846"/>
      <c r="O2302" s="737">
        <f t="shared" si="287"/>
        <v>0</v>
      </c>
      <c r="P2302" s="847"/>
      <c r="Q2302" s="847"/>
      <c r="R2302" s="738">
        <f t="shared" si="290"/>
        <v>0</v>
      </c>
      <c r="S2302" s="737">
        <f t="shared" si="291"/>
        <v>0</v>
      </c>
      <c r="T2302" s="739">
        <f t="shared" si="292"/>
        <v>0</v>
      </c>
      <c r="U2302" s="846"/>
      <c r="V2302" s="847"/>
      <c r="W2302" s="846"/>
      <c r="X2302" s="846"/>
      <c r="Y2302" s="740">
        <f t="shared" si="288"/>
        <v>0</v>
      </c>
      <c r="Z2302" s="847"/>
      <c r="AA2302" s="847"/>
      <c r="AB2302" s="741">
        <f t="shared" si="289"/>
        <v>0</v>
      </c>
      <c r="AC2302" s="846"/>
      <c r="AD2302" s="847"/>
      <c r="AE2302" s="846"/>
      <c r="AF2302" s="846"/>
      <c r="AG2302" s="847"/>
      <c r="AH2302" s="847"/>
      <c r="AI2302" s="742">
        <f t="shared" si="293"/>
        <v>0</v>
      </c>
      <c r="AJ2302" s="743">
        <f t="shared" si="294"/>
        <v>0</v>
      </c>
    </row>
    <row r="2303" spans="1:36">
      <c r="A2303" s="1410" t="s">
        <v>146</v>
      </c>
      <c r="B2303" s="1146" t="s">
        <v>272</v>
      </c>
      <c r="C2303" s="1137" t="s">
        <v>1791</v>
      </c>
      <c r="D2303" s="1136"/>
      <c r="E2303" s="1420">
        <v>218724</v>
      </c>
      <c r="F2303" s="1110">
        <v>5</v>
      </c>
      <c r="G2303" s="846"/>
      <c r="H2303" s="847"/>
      <c r="I2303" s="846"/>
      <c r="J2303" s="847"/>
      <c r="K2303" s="846"/>
      <c r="L2303" s="847"/>
      <c r="M2303" s="846"/>
      <c r="N2303" s="846"/>
      <c r="O2303" s="737">
        <f t="shared" si="287"/>
        <v>0</v>
      </c>
      <c r="P2303" s="847"/>
      <c r="Q2303" s="847"/>
      <c r="R2303" s="738">
        <f t="shared" si="290"/>
        <v>0</v>
      </c>
      <c r="S2303" s="737">
        <f t="shared" si="291"/>
        <v>0</v>
      </c>
      <c r="T2303" s="739">
        <f t="shared" si="292"/>
        <v>0</v>
      </c>
      <c r="U2303" s="846"/>
      <c r="V2303" s="847"/>
      <c r="W2303" s="846"/>
      <c r="X2303" s="846"/>
      <c r="Y2303" s="740">
        <f t="shared" si="288"/>
        <v>0</v>
      </c>
      <c r="Z2303" s="847"/>
      <c r="AA2303" s="847"/>
      <c r="AB2303" s="741">
        <f t="shared" si="289"/>
        <v>0</v>
      </c>
      <c r="AC2303" s="846"/>
      <c r="AD2303" s="847"/>
      <c r="AE2303" s="846"/>
      <c r="AF2303" s="846"/>
      <c r="AG2303" s="847"/>
      <c r="AH2303" s="847"/>
      <c r="AI2303" s="742">
        <f t="shared" si="293"/>
        <v>0</v>
      </c>
      <c r="AJ2303" s="743">
        <f t="shared" si="294"/>
        <v>0</v>
      </c>
    </row>
    <row r="2304" spans="1:36">
      <c r="A2304" s="1410" t="s">
        <v>146</v>
      </c>
      <c r="B2304" s="1146" t="s">
        <v>272</v>
      </c>
      <c r="C2304" s="1137" t="s">
        <v>1756</v>
      </c>
      <c r="D2304" s="1136"/>
      <c r="E2304" s="1420">
        <v>218724</v>
      </c>
      <c r="F2304" s="1110">
        <v>5</v>
      </c>
      <c r="G2304" s="846"/>
      <c r="H2304" s="847"/>
      <c r="I2304" s="846">
        <v>6309</v>
      </c>
      <c r="J2304" s="847">
        <v>5674</v>
      </c>
      <c r="K2304" s="846"/>
      <c r="L2304" s="847"/>
      <c r="M2304" s="846"/>
      <c r="N2304" s="846"/>
      <c r="O2304" s="737">
        <f t="shared" si="287"/>
        <v>0</v>
      </c>
      <c r="P2304" s="847"/>
      <c r="Q2304" s="847"/>
      <c r="R2304" s="738">
        <f t="shared" si="290"/>
        <v>0</v>
      </c>
      <c r="S2304" s="737">
        <f t="shared" si="291"/>
        <v>6309</v>
      </c>
      <c r="T2304" s="739">
        <f t="shared" si="292"/>
        <v>5674</v>
      </c>
      <c r="U2304" s="846"/>
      <c r="V2304" s="847"/>
      <c r="W2304" s="846"/>
      <c r="X2304" s="846"/>
      <c r="Y2304" s="740">
        <f t="shared" si="288"/>
        <v>0</v>
      </c>
      <c r="Z2304" s="847"/>
      <c r="AA2304" s="847"/>
      <c r="AB2304" s="741">
        <f t="shared" si="289"/>
        <v>0</v>
      </c>
      <c r="AC2304" s="846"/>
      <c r="AD2304" s="847"/>
      <c r="AE2304" s="846"/>
      <c r="AF2304" s="846"/>
      <c r="AG2304" s="847"/>
      <c r="AH2304" s="847"/>
      <c r="AI2304" s="742">
        <f t="shared" si="293"/>
        <v>6309</v>
      </c>
      <c r="AJ2304" s="743">
        <f t="shared" si="294"/>
        <v>5674</v>
      </c>
    </row>
    <row r="2305" spans="1:36">
      <c r="A2305" s="1410" t="s">
        <v>146</v>
      </c>
      <c r="B2305" s="1146" t="s">
        <v>272</v>
      </c>
      <c r="C2305" s="1137" t="s">
        <v>1777</v>
      </c>
      <c r="D2305" s="1136"/>
      <c r="E2305" s="1420">
        <v>218724</v>
      </c>
      <c r="F2305" s="1110">
        <v>5</v>
      </c>
      <c r="G2305" s="846"/>
      <c r="H2305" s="847"/>
      <c r="I2305" s="846">
        <v>751735</v>
      </c>
      <c r="J2305" s="847">
        <v>703938</v>
      </c>
      <c r="K2305" s="846"/>
      <c r="L2305" s="847"/>
      <c r="M2305" s="846"/>
      <c r="N2305" s="846"/>
      <c r="O2305" s="737">
        <f t="shared" si="287"/>
        <v>0</v>
      </c>
      <c r="P2305" s="847"/>
      <c r="Q2305" s="847"/>
      <c r="R2305" s="738">
        <f t="shared" si="290"/>
        <v>0</v>
      </c>
      <c r="S2305" s="737">
        <f t="shared" si="291"/>
        <v>751735</v>
      </c>
      <c r="T2305" s="739">
        <f t="shared" si="292"/>
        <v>703938</v>
      </c>
      <c r="U2305" s="846"/>
      <c r="V2305" s="847"/>
      <c r="W2305" s="846"/>
      <c r="X2305" s="846"/>
      <c r="Y2305" s="740">
        <f t="shared" si="288"/>
        <v>0</v>
      </c>
      <c r="Z2305" s="847"/>
      <c r="AA2305" s="847"/>
      <c r="AB2305" s="741">
        <f t="shared" si="289"/>
        <v>0</v>
      </c>
      <c r="AC2305" s="846"/>
      <c r="AD2305" s="847"/>
      <c r="AE2305" s="846"/>
      <c r="AF2305" s="846"/>
      <c r="AG2305" s="847"/>
      <c r="AH2305" s="847"/>
      <c r="AI2305" s="742">
        <f t="shared" si="293"/>
        <v>751735</v>
      </c>
      <c r="AJ2305" s="743">
        <f t="shared" si="294"/>
        <v>703938</v>
      </c>
    </row>
    <row r="2306" spans="1:36">
      <c r="A2306" s="1410" t="s">
        <v>146</v>
      </c>
      <c r="B2306" s="1146" t="s">
        <v>272</v>
      </c>
      <c r="C2306" s="1414" t="s">
        <v>1758</v>
      </c>
      <c r="D2306" s="1136"/>
      <c r="E2306" s="1420">
        <v>218724</v>
      </c>
      <c r="F2306" s="1110">
        <v>5</v>
      </c>
      <c r="G2306" s="846"/>
      <c r="H2306" s="847"/>
      <c r="I2306" s="846"/>
      <c r="J2306" s="847">
        <v>81842</v>
      </c>
      <c r="K2306" s="846"/>
      <c r="L2306" s="847"/>
      <c r="M2306" s="846"/>
      <c r="N2306" s="846"/>
      <c r="O2306" s="737">
        <f t="shared" si="287"/>
        <v>0</v>
      </c>
      <c r="P2306" s="847"/>
      <c r="Q2306" s="847"/>
      <c r="R2306" s="738">
        <f t="shared" si="290"/>
        <v>0</v>
      </c>
      <c r="S2306" s="737">
        <f t="shared" si="291"/>
        <v>0</v>
      </c>
      <c r="T2306" s="739">
        <f t="shared" si="292"/>
        <v>81842</v>
      </c>
      <c r="U2306" s="846"/>
      <c r="V2306" s="847"/>
      <c r="W2306" s="846"/>
      <c r="X2306" s="846"/>
      <c r="Y2306" s="740">
        <f t="shared" si="288"/>
        <v>0</v>
      </c>
      <c r="Z2306" s="847"/>
      <c r="AA2306" s="847"/>
      <c r="AB2306" s="741">
        <f t="shared" si="289"/>
        <v>0</v>
      </c>
      <c r="AC2306" s="846"/>
      <c r="AD2306" s="847"/>
      <c r="AE2306" s="846"/>
      <c r="AF2306" s="846"/>
      <c r="AG2306" s="847"/>
      <c r="AH2306" s="847"/>
      <c r="AI2306" s="742">
        <f t="shared" si="293"/>
        <v>0</v>
      </c>
      <c r="AJ2306" s="743">
        <f t="shared" si="294"/>
        <v>81842</v>
      </c>
    </row>
    <row r="2307" spans="1:36">
      <c r="A2307" s="1410" t="s">
        <v>146</v>
      </c>
      <c r="B2307" s="1146" t="s">
        <v>272</v>
      </c>
      <c r="C2307" s="1414" t="s">
        <v>1792</v>
      </c>
      <c r="D2307" s="1136"/>
      <c r="E2307" s="1420">
        <v>218724</v>
      </c>
      <c r="F2307" s="1110">
        <v>5</v>
      </c>
      <c r="G2307" s="846"/>
      <c r="H2307" s="847"/>
      <c r="I2307" s="846"/>
      <c r="J2307" s="847">
        <v>406395</v>
      </c>
      <c r="K2307" s="846"/>
      <c r="L2307" s="847"/>
      <c r="M2307" s="846"/>
      <c r="N2307" s="846"/>
      <c r="O2307" s="737">
        <f t="shared" si="287"/>
        <v>0</v>
      </c>
      <c r="P2307" s="847"/>
      <c r="Q2307" s="847"/>
      <c r="R2307" s="738">
        <f t="shared" si="290"/>
        <v>0</v>
      </c>
      <c r="S2307" s="737">
        <f t="shared" si="291"/>
        <v>0</v>
      </c>
      <c r="T2307" s="739">
        <f t="shared" si="292"/>
        <v>406395</v>
      </c>
      <c r="U2307" s="846"/>
      <c r="V2307" s="847"/>
      <c r="W2307" s="846"/>
      <c r="X2307" s="846"/>
      <c r="Y2307" s="740">
        <f t="shared" si="288"/>
        <v>0</v>
      </c>
      <c r="Z2307" s="847"/>
      <c r="AA2307" s="847"/>
      <c r="AB2307" s="741">
        <f t="shared" si="289"/>
        <v>0</v>
      </c>
      <c r="AC2307" s="846"/>
      <c r="AD2307" s="847"/>
      <c r="AE2307" s="846"/>
      <c r="AF2307" s="846"/>
      <c r="AG2307" s="847"/>
      <c r="AH2307" s="847"/>
      <c r="AI2307" s="742">
        <f t="shared" si="293"/>
        <v>0</v>
      </c>
      <c r="AJ2307" s="743">
        <f t="shared" si="294"/>
        <v>406395</v>
      </c>
    </row>
    <row r="2308" spans="1:36">
      <c r="A2308" s="1410" t="s">
        <v>146</v>
      </c>
      <c r="B2308" s="1146" t="s">
        <v>264</v>
      </c>
      <c r="C2308" s="1411" t="s">
        <v>1793</v>
      </c>
      <c r="D2308" s="1136"/>
      <c r="E2308" s="1420">
        <v>218061</v>
      </c>
      <c r="F2308" s="1110">
        <v>5</v>
      </c>
      <c r="G2308" s="846">
        <v>8689055</v>
      </c>
      <c r="H2308" s="847">
        <v>9757796</v>
      </c>
      <c r="I2308" s="846"/>
      <c r="J2308" s="847"/>
      <c r="K2308" s="846"/>
      <c r="L2308" s="847"/>
      <c r="M2308" s="846">
        <v>35629990</v>
      </c>
      <c r="N2308" s="846">
        <v>787516</v>
      </c>
      <c r="O2308" s="737">
        <f t="shared" si="287"/>
        <v>36417506</v>
      </c>
      <c r="P2308" s="847">
        <v>36659572</v>
      </c>
      <c r="Q2308" s="847">
        <v>799772</v>
      </c>
      <c r="R2308" s="738">
        <f t="shared" si="290"/>
        <v>37459344</v>
      </c>
      <c r="S2308" s="737">
        <f t="shared" si="291"/>
        <v>44319045</v>
      </c>
      <c r="T2308" s="739">
        <f t="shared" si="292"/>
        <v>46417368</v>
      </c>
      <c r="U2308" s="846"/>
      <c r="V2308" s="847"/>
      <c r="W2308" s="846"/>
      <c r="X2308" s="846"/>
      <c r="Y2308" s="740">
        <f t="shared" si="288"/>
        <v>0</v>
      </c>
      <c r="Z2308" s="847"/>
      <c r="AA2308" s="847"/>
      <c r="AB2308" s="741">
        <f t="shared" si="289"/>
        <v>0</v>
      </c>
      <c r="AC2308" s="846"/>
      <c r="AD2308" s="847"/>
      <c r="AE2308" s="846"/>
      <c r="AF2308" s="846"/>
      <c r="AG2308" s="847"/>
      <c r="AH2308" s="847"/>
      <c r="AI2308" s="742">
        <f t="shared" si="293"/>
        <v>44319045</v>
      </c>
      <c r="AJ2308" s="743">
        <f t="shared" si="294"/>
        <v>46417368</v>
      </c>
    </row>
    <row r="2309" spans="1:36">
      <c r="A2309" s="1410" t="s">
        <v>146</v>
      </c>
      <c r="B2309" s="1146" t="s">
        <v>264</v>
      </c>
      <c r="C2309" s="1137" t="s">
        <v>1746</v>
      </c>
      <c r="D2309" s="1136"/>
      <c r="E2309" s="1420">
        <v>218061</v>
      </c>
      <c r="F2309" s="1110">
        <v>5</v>
      </c>
      <c r="G2309" s="846">
        <v>2370144</v>
      </c>
      <c r="H2309" s="847">
        <v>2600011</v>
      </c>
      <c r="I2309" s="846"/>
      <c r="J2309" s="847"/>
      <c r="K2309" s="846"/>
      <c r="L2309" s="847"/>
      <c r="M2309" s="846"/>
      <c r="N2309" s="846"/>
      <c r="O2309" s="737">
        <f t="shared" si="287"/>
        <v>0</v>
      </c>
      <c r="P2309" s="847"/>
      <c r="Q2309" s="847"/>
      <c r="R2309" s="738">
        <f t="shared" si="290"/>
        <v>0</v>
      </c>
      <c r="S2309" s="737">
        <f t="shared" si="291"/>
        <v>2370144</v>
      </c>
      <c r="T2309" s="739">
        <f t="shared" si="292"/>
        <v>2600011</v>
      </c>
      <c r="U2309" s="846"/>
      <c r="V2309" s="847"/>
      <c r="W2309" s="846"/>
      <c r="X2309" s="846"/>
      <c r="Y2309" s="740">
        <f t="shared" si="288"/>
        <v>0</v>
      </c>
      <c r="Z2309" s="847"/>
      <c r="AA2309" s="847"/>
      <c r="AB2309" s="741">
        <f t="shared" si="289"/>
        <v>0</v>
      </c>
      <c r="AC2309" s="846"/>
      <c r="AD2309" s="847"/>
      <c r="AE2309" s="846"/>
      <c r="AF2309" s="846"/>
      <c r="AG2309" s="847"/>
      <c r="AH2309" s="847"/>
      <c r="AI2309" s="742">
        <f t="shared" si="293"/>
        <v>2370144</v>
      </c>
      <c r="AJ2309" s="743">
        <f t="shared" si="294"/>
        <v>2600011</v>
      </c>
    </row>
    <row r="2310" spans="1:36">
      <c r="A2310" s="1410" t="s">
        <v>146</v>
      </c>
      <c r="B2310" s="1146" t="s">
        <v>264</v>
      </c>
      <c r="C2310" s="1414" t="s">
        <v>1772</v>
      </c>
      <c r="D2310" s="1136"/>
      <c r="E2310" s="1420">
        <v>218061</v>
      </c>
      <c r="F2310" s="1110">
        <v>5</v>
      </c>
      <c r="G2310" s="846"/>
      <c r="H2310" s="847">
        <v>123230</v>
      </c>
      <c r="I2310" s="846"/>
      <c r="J2310" s="847"/>
      <c r="K2310" s="846"/>
      <c r="L2310" s="847"/>
      <c r="M2310" s="846"/>
      <c r="N2310" s="846"/>
      <c r="O2310" s="737">
        <f t="shared" si="287"/>
        <v>0</v>
      </c>
      <c r="P2310" s="847"/>
      <c r="Q2310" s="847"/>
      <c r="R2310" s="738">
        <f t="shared" si="290"/>
        <v>0</v>
      </c>
      <c r="S2310" s="737">
        <f t="shared" si="291"/>
        <v>0</v>
      </c>
      <c r="T2310" s="739">
        <f t="shared" si="292"/>
        <v>123230</v>
      </c>
      <c r="U2310" s="846"/>
      <c r="V2310" s="847"/>
      <c r="W2310" s="846"/>
      <c r="X2310" s="846"/>
      <c r="Y2310" s="740">
        <f t="shared" si="288"/>
        <v>0</v>
      </c>
      <c r="Z2310" s="847"/>
      <c r="AA2310" s="847"/>
      <c r="AB2310" s="741">
        <f t="shared" si="289"/>
        <v>0</v>
      </c>
      <c r="AC2310" s="846"/>
      <c r="AD2310" s="847"/>
      <c r="AE2310" s="846"/>
      <c r="AF2310" s="846"/>
      <c r="AG2310" s="847"/>
      <c r="AH2310" s="847"/>
      <c r="AI2310" s="742">
        <f t="shared" si="293"/>
        <v>0</v>
      </c>
      <c r="AJ2310" s="743">
        <f t="shared" si="294"/>
        <v>123230</v>
      </c>
    </row>
    <row r="2311" spans="1:36">
      <c r="A2311" s="1410" t="s">
        <v>146</v>
      </c>
      <c r="B2311" s="1146" t="s">
        <v>266</v>
      </c>
      <c r="C2311" s="1415" t="s">
        <v>319</v>
      </c>
      <c r="D2311" s="1136"/>
      <c r="E2311" s="1420">
        <v>218061</v>
      </c>
      <c r="F2311" s="1110">
        <v>5</v>
      </c>
      <c r="G2311" s="846"/>
      <c r="H2311" s="847"/>
      <c r="I2311" s="846"/>
      <c r="J2311" s="847"/>
      <c r="K2311" s="846"/>
      <c r="L2311" s="847"/>
      <c r="M2311" s="846"/>
      <c r="N2311" s="846"/>
      <c r="O2311" s="737">
        <f t="shared" si="287"/>
        <v>0</v>
      </c>
      <c r="P2311" s="847"/>
      <c r="Q2311" s="847"/>
      <c r="R2311" s="738">
        <f t="shared" si="290"/>
        <v>0</v>
      </c>
      <c r="S2311" s="737">
        <f t="shared" si="291"/>
        <v>0</v>
      </c>
      <c r="T2311" s="739">
        <f t="shared" si="292"/>
        <v>0</v>
      </c>
      <c r="U2311" s="846"/>
      <c r="V2311" s="847"/>
      <c r="W2311" s="846"/>
      <c r="X2311" s="846"/>
      <c r="Y2311" s="740">
        <f t="shared" si="288"/>
        <v>0</v>
      </c>
      <c r="Z2311" s="847"/>
      <c r="AA2311" s="847"/>
      <c r="AB2311" s="741">
        <f t="shared" si="289"/>
        <v>0</v>
      </c>
      <c r="AC2311" s="846"/>
      <c r="AD2311" s="847"/>
      <c r="AE2311" s="846"/>
      <c r="AF2311" s="846"/>
      <c r="AG2311" s="847"/>
      <c r="AH2311" s="847"/>
      <c r="AI2311" s="742">
        <f t="shared" si="293"/>
        <v>0</v>
      </c>
      <c r="AJ2311" s="743">
        <f t="shared" si="294"/>
        <v>0</v>
      </c>
    </row>
    <row r="2312" spans="1:36">
      <c r="A2312" s="1410" t="s">
        <v>146</v>
      </c>
      <c r="B2312" s="1146" t="s">
        <v>271</v>
      </c>
      <c r="C2312" s="1415" t="s">
        <v>309</v>
      </c>
      <c r="D2312" s="1136"/>
      <c r="E2312" s="1420">
        <v>218061</v>
      </c>
      <c r="F2312" s="1110">
        <v>5</v>
      </c>
      <c r="G2312" s="846"/>
      <c r="H2312" s="847"/>
      <c r="I2312" s="846"/>
      <c r="J2312" s="847"/>
      <c r="K2312" s="846"/>
      <c r="L2312" s="847"/>
      <c r="M2312" s="846"/>
      <c r="N2312" s="846"/>
      <c r="O2312" s="737">
        <f t="shared" si="287"/>
        <v>0</v>
      </c>
      <c r="P2312" s="847"/>
      <c r="Q2312" s="847"/>
      <c r="R2312" s="738">
        <f t="shared" si="290"/>
        <v>0</v>
      </c>
      <c r="S2312" s="737">
        <f t="shared" si="291"/>
        <v>0</v>
      </c>
      <c r="T2312" s="739">
        <f t="shared" si="292"/>
        <v>0</v>
      </c>
      <c r="U2312" s="846"/>
      <c r="V2312" s="847"/>
      <c r="W2312" s="846"/>
      <c r="X2312" s="846"/>
      <c r="Y2312" s="740">
        <f t="shared" si="288"/>
        <v>0</v>
      </c>
      <c r="Z2312" s="847"/>
      <c r="AA2312" s="847"/>
      <c r="AB2312" s="741">
        <f t="shared" si="289"/>
        <v>0</v>
      </c>
      <c r="AC2312" s="846"/>
      <c r="AD2312" s="847"/>
      <c r="AE2312" s="846"/>
      <c r="AF2312" s="846"/>
      <c r="AG2312" s="847"/>
      <c r="AH2312" s="847"/>
      <c r="AI2312" s="742">
        <f t="shared" si="293"/>
        <v>0</v>
      </c>
      <c r="AJ2312" s="743">
        <f t="shared" si="294"/>
        <v>0</v>
      </c>
    </row>
    <row r="2313" spans="1:36">
      <c r="A2313" s="1410" t="s">
        <v>146</v>
      </c>
      <c r="B2313" s="1146" t="s">
        <v>272</v>
      </c>
      <c r="C2313" s="1135" t="s">
        <v>842</v>
      </c>
      <c r="D2313" s="1136"/>
      <c r="E2313" s="1420">
        <v>218061</v>
      </c>
      <c r="F2313" s="1110">
        <v>5</v>
      </c>
      <c r="G2313" s="846"/>
      <c r="H2313" s="847"/>
      <c r="I2313" s="846"/>
      <c r="J2313" s="847"/>
      <c r="K2313" s="846"/>
      <c r="L2313" s="847"/>
      <c r="M2313" s="846"/>
      <c r="N2313" s="846"/>
      <c r="O2313" s="737">
        <f t="shared" si="287"/>
        <v>0</v>
      </c>
      <c r="P2313" s="847"/>
      <c r="Q2313" s="847"/>
      <c r="R2313" s="738">
        <f t="shared" si="290"/>
        <v>0</v>
      </c>
      <c r="S2313" s="737">
        <f t="shared" si="291"/>
        <v>0</v>
      </c>
      <c r="T2313" s="739">
        <f t="shared" si="292"/>
        <v>0</v>
      </c>
      <c r="U2313" s="846"/>
      <c r="V2313" s="847"/>
      <c r="W2313" s="846"/>
      <c r="X2313" s="846"/>
      <c r="Y2313" s="740">
        <f t="shared" si="288"/>
        <v>0</v>
      </c>
      <c r="Z2313" s="847"/>
      <c r="AA2313" s="847"/>
      <c r="AB2313" s="741">
        <f t="shared" si="289"/>
        <v>0</v>
      </c>
      <c r="AC2313" s="846"/>
      <c r="AD2313" s="847"/>
      <c r="AE2313" s="846"/>
      <c r="AF2313" s="846"/>
      <c r="AG2313" s="847"/>
      <c r="AH2313" s="847"/>
      <c r="AI2313" s="742">
        <f t="shared" si="293"/>
        <v>0</v>
      </c>
      <c r="AJ2313" s="743">
        <f t="shared" si="294"/>
        <v>0</v>
      </c>
    </row>
    <row r="2314" spans="1:36">
      <c r="A2314" s="1410" t="s">
        <v>146</v>
      </c>
      <c r="B2314" s="1146" t="s">
        <v>272</v>
      </c>
      <c r="C2314" s="1137" t="s">
        <v>1753</v>
      </c>
      <c r="D2314" s="1136"/>
      <c r="E2314" s="1420">
        <v>218061</v>
      </c>
      <c r="F2314" s="1110">
        <v>5</v>
      </c>
      <c r="G2314" s="846"/>
      <c r="H2314" s="847"/>
      <c r="I2314" s="846"/>
      <c r="J2314" s="847"/>
      <c r="K2314" s="846"/>
      <c r="L2314" s="847"/>
      <c r="M2314" s="846"/>
      <c r="N2314" s="846"/>
      <c r="O2314" s="737">
        <f t="shared" ref="O2314:O2377" si="295">SUM(M2314:N2314)</f>
        <v>0</v>
      </c>
      <c r="P2314" s="847"/>
      <c r="Q2314" s="847"/>
      <c r="R2314" s="738">
        <f t="shared" si="290"/>
        <v>0</v>
      </c>
      <c r="S2314" s="737">
        <f t="shared" si="291"/>
        <v>0</v>
      </c>
      <c r="T2314" s="739">
        <f t="shared" si="292"/>
        <v>0</v>
      </c>
      <c r="U2314" s="846"/>
      <c r="V2314" s="847"/>
      <c r="W2314" s="846"/>
      <c r="X2314" s="846"/>
      <c r="Y2314" s="740">
        <f t="shared" ref="Y2314:Y2377" si="296">SUM(W2314:X2314)</f>
        <v>0</v>
      </c>
      <c r="Z2314" s="847"/>
      <c r="AA2314" s="847"/>
      <c r="AB2314" s="741">
        <f t="shared" ref="AB2314:AB2377" si="297">SUM(Z2314:AA2314)</f>
        <v>0</v>
      </c>
      <c r="AC2314" s="846"/>
      <c r="AD2314" s="847"/>
      <c r="AE2314" s="846"/>
      <c r="AF2314" s="846"/>
      <c r="AG2314" s="847"/>
      <c r="AH2314" s="847"/>
      <c r="AI2314" s="742">
        <f t="shared" si="293"/>
        <v>0</v>
      </c>
      <c r="AJ2314" s="743">
        <f t="shared" si="294"/>
        <v>0</v>
      </c>
    </row>
    <row r="2315" spans="1:36">
      <c r="A2315" s="1410" t="s">
        <v>146</v>
      </c>
      <c r="B2315" s="1146" t="s">
        <v>272</v>
      </c>
      <c r="C2315" s="1414" t="s">
        <v>1784</v>
      </c>
      <c r="D2315" s="1136"/>
      <c r="E2315" s="1420">
        <v>218061</v>
      </c>
      <c r="F2315" s="1110">
        <v>5</v>
      </c>
      <c r="G2315" s="846"/>
      <c r="H2315" s="847"/>
      <c r="I2315" s="846"/>
      <c r="J2315" s="847">
        <v>148648</v>
      </c>
      <c r="K2315" s="846"/>
      <c r="L2315" s="847"/>
      <c r="M2315" s="846"/>
      <c r="N2315" s="846"/>
      <c r="O2315" s="737">
        <f t="shared" si="295"/>
        <v>0</v>
      </c>
      <c r="P2315" s="847"/>
      <c r="Q2315" s="847"/>
      <c r="R2315" s="738">
        <f t="shared" ref="R2315:R2378" si="298">SUM(P2315:Q2315)</f>
        <v>0</v>
      </c>
      <c r="S2315" s="737">
        <f t="shared" ref="S2315:S2378" si="299">SUM(G2315,I2315,K2315,M2315)</f>
        <v>0</v>
      </c>
      <c r="T2315" s="739">
        <f t="shared" ref="T2315:T2378" si="300">SUM(H2315,J2315,L2315,P2315)</f>
        <v>148648</v>
      </c>
      <c r="U2315" s="846"/>
      <c r="V2315" s="847"/>
      <c r="W2315" s="846"/>
      <c r="X2315" s="846"/>
      <c r="Y2315" s="740">
        <f t="shared" si="296"/>
        <v>0</v>
      </c>
      <c r="Z2315" s="847"/>
      <c r="AA2315" s="847"/>
      <c r="AB2315" s="741">
        <f t="shared" si="297"/>
        <v>0</v>
      </c>
      <c r="AC2315" s="846"/>
      <c r="AD2315" s="847"/>
      <c r="AE2315" s="846"/>
      <c r="AF2315" s="846"/>
      <c r="AG2315" s="847"/>
      <c r="AH2315" s="847"/>
      <c r="AI2315" s="742">
        <f t="shared" ref="AI2315:AI2378" si="301">SUM(S2315,U2315,W2315,AC2315,AE2315)</f>
        <v>0</v>
      </c>
      <c r="AJ2315" s="743">
        <f t="shared" ref="AJ2315:AJ2378" si="302">SUM(T2315,V2315,Z2315,AD2315,AG2315)</f>
        <v>148648</v>
      </c>
    </row>
    <row r="2316" spans="1:36">
      <c r="A2316" s="1410" t="s">
        <v>146</v>
      </c>
      <c r="B2316" s="1146" t="s">
        <v>272</v>
      </c>
      <c r="C2316" s="1414" t="s">
        <v>1758</v>
      </c>
      <c r="D2316" s="1136"/>
      <c r="E2316" s="1420">
        <v>218061</v>
      </c>
      <c r="F2316" s="1110">
        <v>5</v>
      </c>
      <c r="G2316" s="846"/>
      <c r="H2316" s="847"/>
      <c r="I2316" s="846"/>
      <c r="J2316" s="847">
        <v>107372</v>
      </c>
      <c r="K2316" s="846"/>
      <c r="L2316" s="847"/>
      <c r="M2316" s="846"/>
      <c r="N2316" s="846"/>
      <c r="O2316" s="737">
        <f t="shared" si="295"/>
        <v>0</v>
      </c>
      <c r="P2316" s="847"/>
      <c r="Q2316" s="847"/>
      <c r="R2316" s="738">
        <f t="shared" si="298"/>
        <v>0</v>
      </c>
      <c r="S2316" s="737">
        <f t="shared" si="299"/>
        <v>0</v>
      </c>
      <c r="T2316" s="739">
        <f t="shared" si="300"/>
        <v>107372</v>
      </c>
      <c r="U2316" s="846"/>
      <c r="V2316" s="847"/>
      <c r="W2316" s="846"/>
      <c r="X2316" s="846"/>
      <c r="Y2316" s="740">
        <f t="shared" si="296"/>
        <v>0</v>
      </c>
      <c r="Z2316" s="847"/>
      <c r="AA2316" s="847"/>
      <c r="AB2316" s="741">
        <f t="shared" si="297"/>
        <v>0</v>
      </c>
      <c r="AC2316" s="846"/>
      <c r="AD2316" s="847"/>
      <c r="AE2316" s="846"/>
      <c r="AF2316" s="846"/>
      <c r="AG2316" s="847"/>
      <c r="AH2316" s="847"/>
      <c r="AI2316" s="742">
        <f t="shared" si="301"/>
        <v>0</v>
      </c>
      <c r="AJ2316" s="743">
        <f t="shared" si="302"/>
        <v>107372</v>
      </c>
    </row>
    <row r="2317" spans="1:36">
      <c r="A2317" s="1410" t="s">
        <v>146</v>
      </c>
      <c r="B2317" s="1146" t="s">
        <v>272</v>
      </c>
      <c r="C2317" s="1137" t="s">
        <v>1754</v>
      </c>
      <c r="D2317" s="1136"/>
      <c r="E2317" s="1420">
        <v>218061</v>
      </c>
      <c r="F2317" s="1110">
        <v>5</v>
      </c>
      <c r="G2317" s="846"/>
      <c r="H2317" s="847"/>
      <c r="I2317" s="846">
        <v>494624</v>
      </c>
      <c r="J2317" s="847"/>
      <c r="K2317" s="846"/>
      <c r="L2317" s="847"/>
      <c r="M2317" s="846"/>
      <c r="N2317" s="846"/>
      <c r="O2317" s="737">
        <f t="shared" si="295"/>
        <v>0</v>
      </c>
      <c r="P2317" s="847"/>
      <c r="Q2317" s="847"/>
      <c r="R2317" s="738">
        <f t="shared" si="298"/>
        <v>0</v>
      </c>
      <c r="S2317" s="737">
        <f t="shared" si="299"/>
        <v>494624</v>
      </c>
      <c r="T2317" s="739">
        <f t="shared" si="300"/>
        <v>0</v>
      </c>
      <c r="U2317" s="846"/>
      <c r="V2317" s="847"/>
      <c r="W2317" s="846"/>
      <c r="X2317" s="846"/>
      <c r="Y2317" s="740">
        <f t="shared" si="296"/>
        <v>0</v>
      </c>
      <c r="Z2317" s="847"/>
      <c r="AA2317" s="847"/>
      <c r="AB2317" s="741">
        <f t="shared" si="297"/>
        <v>0</v>
      </c>
      <c r="AC2317" s="846"/>
      <c r="AD2317" s="847"/>
      <c r="AE2317" s="846"/>
      <c r="AF2317" s="846"/>
      <c r="AG2317" s="847"/>
      <c r="AH2317" s="847"/>
      <c r="AI2317" s="742">
        <f t="shared" si="301"/>
        <v>494624</v>
      </c>
      <c r="AJ2317" s="743">
        <f t="shared" si="302"/>
        <v>0</v>
      </c>
    </row>
    <row r="2318" spans="1:36">
      <c r="A2318" s="1410" t="s">
        <v>146</v>
      </c>
      <c r="B2318" s="1146" t="s">
        <v>272</v>
      </c>
      <c r="C2318" s="1137" t="s">
        <v>1794</v>
      </c>
      <c r="D2318" s="1136"/>
      <c r="E2318" s="1420">
        <v>218061</v>
      </c>
      <c r="F2318" s="1110">
        <v>5</v>
      </c>
      <c r="G2318" s="846"/>
      <c r="H2318" s="847"/>
      <c r="I2318" s="846">
        <v>500000</v>
      </c>
      <c r="J2318" s="847"/>
      <c r="K2318" s="846"/>
      <c r="L2318" s="847"/>
      <c r="M2318" s="846"/>
      <c r="N2318" s="846"/>
      <c r="O2318" s="737">
        <f t="shared" si="295"/>
        <v>0</v>
      </c>
      <c r="P2318" s="847"/>
      <c r="Q2318" s="847"/>
      <c r="R2318" s="738">
        <f t="shared" si="298"/>
        <v>0</v>
      </c>
      <c r="S2318" s="737">
        <f t="shared" si="299"/>
        <v>500000</v>
      </c>
      <c r="T2318" s="739">
        <f t="shared" si="300"/>
        <v>0</v>
      </c>
      <c r="U2318" s="846"/>
      <c r="V2318" s="847"/>
      <c r="W2318" s="846"/>
      <c r="X2318" s="846"/>
      <c r="Y2318" s="740">
        <f t="shared" si="296"/>
        <v>0</v>
      </c>
      <c r="Z2318" s="847"/>
      <c r="AA2318" s="847"/>
      <c r="AB2318" s="741">
        <f t="shared" si="297"/>
        <v>0</v>
      </c>
      <c r="AC2318" s="846"/>
      <c r="AD2318" s="847"/>
      <c r="AE2318" s="846"/>
      <c r="AF2318" s="846"/>
      <c r="AG2318" s="847"/>
      <c r="AH2318" s="847"/>
      <c r="AI2318" s="742">
        <f t="shared" si="301"/>
        <v>500000</v>
      </c>
      <c r="AJ2318" s="743">
        <f t="shared" si="302"/>
        <v>0</v>
      </c>
    </row>
    <row r="2319" spans="1:36">
      <c r="A2319" s="1410" t="s">
        <v>146</v>
      </c>
      <c r="B2319" s="1146" t="s">
        <v>272</v>
      </c>
      <c r="C2319" s="1137" t="s">
        <v>1795</v>
      </c>
      <c r="D2319" s="1136"/>
      <c r="E2319" s="1420">
        <v>218061</v>
      </c>
      <c r="F2319" s="1110">
        <v>5</v>
      </c>
      <c r="G2319" s="846"/>
      <c r="H2319" s="847"/>
      <c r="I2319" s="846">
        <v>400000</v>
      </c>
      <c r="J2319" s="847"/>
      <c r="K2319" s="846"/>
      <c r="L2319" s="847"/>
      <c r="M2319" s="846"/>
      <c r="N2319" s="846"/>
      <c r="O2319" s="737">
        <f t="shared" si="295"/>
        <v>0</v>
      </c>
      <c r="P2319" s="847"/>
      <c r="Q2319" s="847"/>
      <c r="R2319" s="738">
        <f t="shared" si="298"/>
        <v>0</v>
      </c>
      <c r="S2319" s="737">
        <f t="shared" si="299"/>
        <v>400000</v>
      </c>
      <c r="T2319" s="739">
        <f t="shared" si="300"/>
        <v>0</v>
      </c>
      <c r="U2319" s="846"/>
      <c r="V2319" s="847"/>
      <c r="W2319" s="846"/>
      <c r="X2319" s="846"/>
      <c r="Y2319" s="740">
        <f t="shared" si="296"/>
        <v>0</v>
      </c>
      <c r="Z2319" s="847"/>
      <c r="AA2319" s="847"/>
      <c r="AB2319" s="741">
        <f t="shared" si="297"/>
        <v>0</v>
      </c>
      <c r="AC2319" s="846"/>
      <c r="AD2319" s="847"/>
      <c r="AE2319" s="846"/>
      <c r="AF2319" s="846"/>
      <c r="AG2319" s="847"/>
      <c r="AH2319" s="847"/>
      <c r="AI2319" s="742">
        <f t="shared" si="301"/>
        <v>400000</v>
      </c>
      <c r="AJ2319" s="743">
        <f t="shared" si="302"/>
        <v>0</v>
      </c>
    </row>
    <row r="2320" spans="1:36">
      <c r="A2320" s="1410" t="s">
        <v>146</v>
      </c>
      <c r="B2320" s="1146" t="s">
        <v>272</v>
      </c>
      <c r="C2320" s="1137" t="s">
        <v>1756</v>
      </c>
      <c r="D2320" s="1136"/>
      <c r="E2320" s="1420">
        <v>218061</v>
      </c>
      <c r="F2320" s="1110">
        <v>5</v>
      </c>
      <c r="G2320" s="846"/>
      <c r="H2320" s="847"/>
      <c r="I2320" s="846">
        <v>4509</v>
      </c>
      <c r="J2320" s="847">
        <v>4291</v>
      </c>
      <c r="K2320" s="846"/>
      <c r="L2320" s="847"/>
      <c r="M2320" s="846"/>
      <c r="N2320" s="846"/>
      <c r="O2320" s="737">
        <f t="shared" si="295"/>
        <v>0</v>
      </c>
      <c r="P2320" s="847"/>
      <c r="Q2320" s="847"/>
      <c r="R2320" s="738">
        <f t="shared" si="298"/>
        <v>0</v>
      </c>
      <c r="S2320" s="737">
        <f t="shared" si="299"/>
        <v>4509</v>
      </c>
      <c r="T2320" s="739">
        <f t="shared" si="300"/>
        <v>4291</v>
      </c>
      <c r="U2320" s="846"/>
      <c r="V2320" s="847"/>
      <c r="W2320" s="846"/>
      <c r="X2320" s="846"/>
      <c r="Y2320" s="740">
        <f t="shared" si="296"/>
        <v>0</v>
      </c>
      <c r="Z2320" s="847"/>
      <c r="AA2320" s="847"/>
      <c r="AB2320" s="741">
        <f t="shared" si="297"/>
        <v>0</v>
      </c>
      <c r="AC2320" s="846"/>
      <c r="AD2320" s="847"/>
      <c r="AE2320" s="846"/>
      <c r="AF2320" s="846"/>
      <c r="AG2320" s="847"/>
      <c r="AH2320" s="847"/>
      <c r="AI2320" s="742">
        <f t="shared" si="301"/>
        <v>4509</v>
      </c>
      <c r="AJ2320" s="743">
        <f t="shared" si="302"/>
        <v>4291</v>
      </c>
    </row>
    <row r="2321" spans="1:36">
      <c r="A2321" s="1410" t="s">
        <v>146</v>
      </c>
      <c r="B2321" s="1146" t="s">
        <v>272</v>
      </c>
      <c r="C2321" s="1137" t="s">
        <v>1777</v>
      </c>
      <c r="D2321" s="1136"/>
      <c r="E2321" s="1420">
        <v>218061</v>
      </c>
      <c r="F2321" s="1110">
        <v>5</v>
      </c>
      <c r="G2321" s="846"/>
      <c r="H2321" s="847"/>
      <c r="I2321" s="846">
        <v>407279</v>
      </c>
      <c r="J2321" s="847">
        <v>379959</v>
      </c>
      <c r="K2321" s="846"/>
      <c r="L2321" s="847"/>
      <c r="M2321" s="846"/>
      <c r="N2321" s="846"/>
      <c r="O2321" s="737">
        <f t="shared" si="295"/>
        <v>0</v>
      </c>
      <c r="P2321" s="847"/>
      <c r="Q2321" s="847"/>
      <c r="R2321" s="738">
        <f t="shared" si="298"/>
        <v>0</v>
      </c>
      <c r="S2321" s="737">
        <f t="shared" si="299"/>
        <v>407279</v>
      </c>
      <c r="T2321" s="739">
        <f t="shared" si="300"/>
        <v>379959</v>
      </c>
      <c r="U2321" s="846"/>
      <c r="V2321" s="847"/>
      <c r="W2321" s="846"/>
      <c r="X2321" s="846"/>
      <c r="Y2321" s="740">
        <f t="shared" si="296"/>
        <v>0</v>
      </c>
      <c r="Z2321" s="847"/>
      <c r="AA2321" s="847"/>
      <c r="AB2321" s="741">
        <f t="shared" si="297"/>
        <v>0</v>
      </c>
      <c r="AC2321" s="846"/>
      <c r="AD2321" s="847"/>
      <c r="AE2321" s="846"/>
      <c r="AF2321" s="846"/>
      <c r="AG2321" s="847"/>
      <c r="AH2321" s="847"/>
      <c r="AI2321" s="742">
        <f t="shared" si="301"/>
        <v>407279</v>
      </c>
      <c r="AJ2321" s="743">
        <f t="shared" si="302"/>
        <v>379959</v>
      </c>
    </row>
    <row r="2322" spans="1:36">
      <c r="A2322" s="1410" t="s">
        <v>146</v>
      </c>
      <c r="B2322" s="1146" t="s">
        <v>272</v>
      </c>
      <c r="C2322" s="1414" t="s">
        <v>1796</v>
      </c>
      <c r="D2322" s="1136"/>
      <c r="E2322" s="1420">
        <v>218061</v>
      </c>
      <c r="F2322" s="1110">
        <v>5</v>
      </c>
      <c r="G2322" s="846"/>
      <c r="H2322" s="847"/>
      <c r="I2322" s="846"/>
      <c r="J2322" s="847">
        <v>380000</v>
      </c>
      <c r="K2322" s="846"/>
      <c r="L2322" s="847"/>
      <c r="M2322" s="846"/>
      <c r="N2322" s="846"/>
      <c r="O2322" s="737">
        <f t="shared" si="295"/>
        <v>0</v>
      </c>
      <c r="P2322" s="847"/>
      <c r="Q2322" s="847"/>
      <c r="R2322" s="738">
        <f t="shared" si="298"/>
        <v>0</v>
      </c>
      <c r="S2322" s="737">
        <f t="shared" si="299"/>
        <v>0</v>
      </c>
      <c r="T2322" s="739">
        <f t="shared" si="300"/>
        <v>380000</v>
      </c>
      <c r="U2322" s="846"/>
      <c r="V2322" s="847"/>
      <c r="W2322" s="846"/>
      <c r="X2322" s="846"/>
      <c r="Y2322" s="740">
        <f t="shared" si="296"/>
        <v>0</v>
      </c>
      <c r="Z2322" s="847"/>
      <c r="AA2322" s="847"/>
      <c r="AB2322" s="741">
        <f t="shared" si="297"/>
        <v>0</v>
      </c>
      <c r="AC2322" s="846"/>
      <c r="AD2322" s="847"/>
      <c r="AE2322" s="846"/>
      <c r="AF2322" s="846"/>
      <c r="AG2322" s="847"/>
      <c r="AH2322" s="847"/>
      <c r="AI2322" s="742">
        <f t="shared" si="301"/>
        <v>0</v>
      </c>
      <c r="AJ2322" s="743">
        <f t="shared" si="302"/>
        <v>380000</v>
      </c>
    </row>
    <row r="2323" spans="1:36">
      <c r="A2323" s="1410" t="s">
        <v>146</v>
      </c>
      <c r="B2323" s="1146" t="s">
        <v>272</v>
      </c>
      <c r="C2323" s="1414" t="s">
        <v>1797</v>
      </c>
      <c r="D2323" s="1136"/>
      <c r="E2323" s="1420">
        <v>218061</v>
      </c>
      <c r="F2323" s="1110">
        <v>5</v>
      </c>
      <c r="G2323" s="846"/>
      <c r="H2323" s="847"/>
      <c r="I2323" s="846"/>
      <c r="J2323" s="847">
        <v>139583</v>
      </c>
      <c r="K2323" s="846"/>
      <c r="L2323" s="847"/>
      <c r="M2323" s="846"/>
      <c r="N2323" s="846"/>
      <c r="O2323" s="737">
        <f t="shared" si="295"/>
        <v>0</v>
      </c>
      <c r="P2323" s="847"/>
      <c r="Q2323" s="847"/>
      <c r="R2323" s="738">
        <f t="shared" si="298"/>
        <v>0</v>
      </c>
      <c r="S2323" s="737">
        <f t="shared" si="299"/>
        <v>0</v>
      </c>
      <c r="T2323" s="739">
        <f t="shared" si="300"/>
        <v>139583</v>
      </c>
      <c r="U2323" s="846"/>
      <c r="V2323" s="847"/>
      <c r="W2323" s="846"/>
      <c r="X2323" s="846"/>
      <c r="Y2323" s="740">
        <f t="shared" si="296"/>
        <v>0</v>
      </c>
      <c r="Z2323" s="847"/>
      <c r="AA2323" s="847"/>
      <c r="AB2323" s="741">
        <f t="shared" si="297"/>
        <v>0</v>
      </c>
      <c r="AC2323" s="846"/>
      <c r="AD2323" s="847"/>
      <c r="AE2323" s="846"/>
      <c r="AF2323" s="846"/>
      <c r="AG2323" s="847"/>
      <c r="AH2323" s="847"/>
      <c r="AI2323" s="742">
        <f t="shared" si="301"/>
        <v>0</v>
      </c>
      <c r="AJ2323" s="743">
        <f t="shared" si="302"/>
        <v>139583</v>
      </c>
    </row>
    <row r="2324" spans="1:36">
      <c r="A2324" s="1410" t="s">
        <v>146</v>
      </c>
      <c r="B2324" s="1146" t="s">
        <v>272</v>
      </c>
      <c r="C2324" s="1414" t="s">
        <v>1798</v>
      </c>
      <c r="D2324" s="1136"/>
      <c r="E2324" s="1420">
        <v>218061</v>
      </c>
      <c r="F2324" s="1110">
        <v>5</v>
      </c>
      <c r="G2324" s="846"/>
      <c r="H2324" s="847"/>
      <c r="I2324" s="846"/>
      <c r="J2324" s="847">
        <v>1500000</v>
      </c>
      <c r="K2324" s="846"/>
      <c r="L2324" s="847"/>
      <c r="M2324" s="846"/>
      <c r="N2324" s="846"/>
      <c r="O2324" s="737">
        <f t="shared" si="295"/>
        <v>0</v>
      </c>
      <c r="P2324" s="847"/>
      <c r="Q2324" s="847"/>
      <c r="R2324" s="738">
        <f t="shared" si="298"/>
        <v>0</v>
      </c>
      <c r="S2324" s="737">
        <f t="shared" si="299"/>
        <v>0</v>
      </c>
      <c r="T2324" s="739">
        <f t="shared" si="300"/>
        <v>1500000</v>
      </c>
      <c r="U2324" s="846"/>
      <c r="V2324" s="847"/>
      <c r="W2324" s="846"/>
      <c r="X2324" s="846"/>
      <c r="Y2324" s="740">
        <f t="shared" si="296"/>
        <v>0</v>
      </c>
      <c r="Z2324" s="847"/>
      <c r="AA2324" s="847"/>
      <c r="AB2324" s="741">
        <f t="shared" si="297"/>
        <v>0</v>
      </c>
      <c r="AC2324" s="846"/>
      <c r="AD2324" s="847"/>
      <c r="AE2324" s="846"/>
      <c r="AF2324" s="846"/>
      <c r="AG2324" s="847"/>
      <c r="AH2324" s="847"/>
      <c r="AI2324" s="742">
        <f t="shared" si="301"/>
        <v>0</v>
      </c>
      <c r="AJ2324" s="743">
        <f t="shared" si="302"/>
        <v>1500000</v>
      </c>
    </row>
    <row r="2325" spans="1:36">
      <c r="A2325" s="1410" t="s">
        <v>146</v>
      </c>
      <c r="B2325" s="1146" t="s">
        <v>264</v>
      </c>
      <c r="C2325" s="1411" t="s">
        <v>1799</v>
      </c>
      <c r="D2325" s="1136"/>
      <c r="E2325" s="1420">
        <v>218733</v>
      </c>
      <c r="F2325" s="1110">
        <v>5</v>
      </c>
      <c r="G2325" s="846">
        <v>9032510</v>
      </c>
      <c r="H2325" s="847">
        <v>9609745</v>
      </c>
      <c r="I2325" s="846"/>
      <c r="J2325" s="847"/>
      <c r="K2325" s="846"/>
      <c r="L2325" s="847"/>
      <c r="M2325" s="846">
        <v>27087322</v>
      </c>
      <c r="N2325" s="846">
        <v>3012052</v>
      </c>
      <c r="O2325" s="737">
        <f t="shared" si="295"/>
        <v>30099374</v>
      </c>
      <c r="P2325" s="847">
        <v>25817578</v>
      </c>
      <c r="Q2325" s="847">
        <v>3017991</v>
      </c>
      <c r="R2325" s="738">
        <f t="shared" si="298"/>
        <v>28835569</v>
      </c>
      <c r="S2325" s="737">
        <f t="shared" si="299"/>
        <v>36119832</v>
      </c>
      <c r="T2325" s="739">
        <f t="shared" si="300"/>
        <v>35427323</v>
      </c>
      <c r="U2325" s="846"/>
      <c r="V2325" s="847"/>
      <c r="W2325" s="846"/>
      <c r="X2325" s="846"/>
      <c r="Y2325" s="740">
        <f t="shared" si="296"/>
        <v>0</v>
      </c>
      <c r="Z2325" s="847"/>
      <c r="AA2325" s="847"/>
      <c r="AB2325" s="741">
        <f t="shared" si="297"/>
        <v>0</v>
      </c>
      <c r="AC2325" s="846"/>
      <c r="AD2325" s="847"/>
      <c r="AE2325" s="846"/>
      <c r="AF2325" s="846"/>
      <c r="AG2325" s="847"/>
      <c r="AH2325" s="847"/>
      <c r="AI2325" s="742">
        <f t="shared" si="301"/>
        <v>36119832</v>
      </c>
      <c r="AJ2325" s="743">
        <f t="shared" si="302"/>
        <v>35427323</v>
      </c>
    </row>
    <row r="2326" spans="1:36">
      <c r="A2326" s="1410" t="s">
        <v>146</v>
      </c>
      <c r="B2326" s="1146" t="s">
        <v>264</v>
      </c>
      <c r="C2326" s="1137" t="s">
        <v>1746</v>
      </c>
      <c r="D2326" s="1136"/>
      <c r="E2326" s="1420">
        <v>218733</v>
      </c>
      <c r="F2326" s="1110">
        <v>5</v>
      </c>
      <c r="G2326" s="846">
        <v>3079047</v>
      </c>
      <c r="H2326" s="847">
        <v>3236362</v>
      </c>
      <c r="I2326" s="846"/>
      <c r="J2326" s="847"/>
      <c r="K2326" s="846"/>
      <c r="L2326" s="847"/>
      <c r="M2326" s="846"/>
      <c r="N2326" s="846"/>
      <c r="O2326" s="737">
        <f t="shared" si="295"/>
        <v>0</v>
      </c>
      <c r="P2326" s="847"/>
      <c r="Q2326" s="847"/>
      <c r="R2326" s="738">
        <f t="shared" si="298"/>
        <v>0</v>
      </c>
      <c r="S2326" s="737">
        <f t="shared" si="299"/>
        <v>3079047</v>
      </c>
      <c r="T2326" s="739">
        <f t="shared" si="300"/>
        <v>3236362</v>
      </c>
      <c r="U2326" s="846"/>
      <c r="V2326" s="847"/>
      <c r="W2326" s="846"/>
      <c r="X2326" s="846"/>
      <c r="Y2326" s="740">
        <f t="shared" si="296"/>
        <v>0</v>
      </c>
      <c r="Z2326" s="847"/>
      <c r="AA2326" s="847"/>
      <c r="AB2326" s="741">
        <f t="shared" si="297"/>
        <v>0</v>
      </c>
      <c r="AC2326" s="846"/>
      <c r="AD2326" s="847"/>
      <c r="AE2326" s="846"/>
      <c r="AF2326" s="846"/>
      <c r="AG2326" s="847"/>
      <c r="AH2326" s="847"/>
      <c r="AI2326" s="742">
        <f t="shared" si="301"/>
        <v>3079047</v>
      </c>
      <c r="AJ2326" s="743">
        <f t="shared" si="302"/>
        <v>3236362</v>
      </c>
    </row>
    <row r="2327" spans="1:36">
      <c r="A2327" s="1410" t="s">
        <v>146</v>
      </c>
      <c r="B2327" s="1146" t="s">
        <v>266</v>
      </c>
      <c r="C2327" s="1415" t="s">
        <v>319</v>
      </c>
      <c r="D2327" s="1136"/>
      <c r="E2327" s="1420">
        <v>218733</v>
      </c>
      <c r="F2327" s="1110">
        <v>5</v>
      </c>
      <c r="G2327" s="846"/>
      <c r="H2327" s="847"/>
      <c r="I2327" s="846"/>
      <c r="J2327" s="847"/>
      <c r="K2327" s="846"/>
      <c r="L2327" s="847"/>
      <c r="M2327" s="846"/>
      <c r="N2327" s="846"/>
      <c r="O2327" s="737">
        <f t="shared" si="295"/>
        <v>0</v>
      </c>
      <c r="P2327" s="847"/>
      <c r="Q2327" s="847"/>
      <c r="R2327" s="738">
        <f t="shared" si="298"/>
        <v>0</v>
      </c>
      <c r="S2327" s="737">
        <f t="shared" si="299"/>
        <v>0</v>
      </c>
      <c r="T2327" s="739">
        <f t="shared" si="300"/>
        <v>0</v>
      </c>
      <c r="U2327" s="846"/>
      <c r="V2327" s="847"/>
      <c r="W2327" s="846"/>
      <c r="X2327" s="846"/>
      <c r="Y2327" s="740">
        <f t="shared" si="296"/>
        <v>0</v>
      </c>
      <c r="Z2327" s="847"/>
      <c r="AA2327" s="847"/>
      <c r="AB2327" s="741">
        <f t="shared" si="297"/>
        <v>0</v>
      </c>
      <c r="AC2327" s="846"/>
      <c r="AD2327" s="847"/>
      <c r="AE2327" s="846"/>
      <c r="AF2327" s="846"/>
      <c r="AG2327" s="847"/>
      <c r="AH2327" s="847"/>
      <c r="AI2327" s="742">
        <f t="shared" si="301"/>
        <v>0</v>
      </c>
      <c r="AJ2327" s="743">
        <f t="shared" si="302"/>
        <v>0</v>
      </c>
    </row>
    <row r="2328" spans="1:36">
      <c r="A2328" s="1410" t="s">
        <v>146</v>
      </c>
      <c r="B2328" s="1146" t="s">
        <v>268</v>
      </c>
      <c r="C2328" s="1137" t="s">
        <v>1800</v>
      </c>
      <c r="D2328" s="1136"/>
      <c r="E2328" s="1420">
        <v>218733</v>
      </c>
      <c r="F2328" s="1110">
        <v>5</v>
      </c>
      <c r="G2328" s="846"/>
      <c r="H2328" s="847"/>
      <c r="I2328" s="890">
        <v>3020244</v>
      </c>
      <c r="J2328" s="847">
        <v>3405200</v>
      </c>
      <c r="K2328" s="846"/>
      <c r="L2328" s="847"/>
      <c r="M2328" s="846"/>
      <c r="N2328" s="846"/>
      <c r="O2328" s="737">
        <f t="shared" si="295"/>
        <v>0</v>
      </c>
      <c r="P2328" s="847"/>
      <c r="Q2328" s="847"/>
      <c r="R2328" s="738">
        <f t="shared" si="298"/>
        <v>0</v>
      </c>
      <c r="S2328" s="737">
        <f t="shared" si="299"/>
        <v>3020244</v>
      </c>
      <c r="T2328" s="739">
        <f t="shared" si="300"/>
        <v>3405200</v>
      </c>
      <c r="U2328" s="846"/>
      <c r="V2328" s="847"/>
      <c r="W2328" s="846"/>
      <c r="X2328" s="846"/>
      <c r="Y2328" s="740">
        <f t="shared" si="296"/>
        <v>0</v>
      </c>
      <c r="Z2328" s="847"/>
      <c r="AA2328" s="847"/>
      <c r="AB2328" s="741">
        <f t="shared" si="297"/>
        <v>0</v>
      </c>
      <c r="AC2328" s="846"/>
      <c r="AD2328" s="847"/>
      <c r="AE2328" s="846"/>
      <c r="AF2328" s="846"/>
      <c r="AG2328" s="847"/>
      <c r="AH2328" s="847"/>
      <c r="AI2328" s="742">
        <f t="shared" si="301"/>
        <v>3020244</v>
      </c>
      <c r="AJ2328" s="743">
        <f t="shared" si="302"/>
        <v>3405200</v>
      </c>
    </row>
    <row r="2329" spans="1:36">
      <c r="A2329" s="1410" t="s">
        <v>146</v>
      </c>
      <c r="B2329" s="1146" t="s">
        <v>271</v>
      </c>
      <c r="C2329" s="1415" t="s">
        <v>309</v>
      </c>
      <c r="D2329" s="1136"/>
      <c r="E2329" s="1420">
        <v>218733</v>
      </c>
      <c r="F2329" s="1110">
        <v>5</v>
      </c>
      <c r="G2329" s="846"/>
      <c r="H2329" s="847"/>
      <c r="I2329" s="846"/>
      <c r="J2329" s="847"/>
      <c r="K2329" s="846"/>
      <c r="L2329" s="847"/>
      <c r="M2329" s="846"/>
      <c r="N2329" s="846"/>
      <c r="O2329" s="737">
        <f t="shared" si="295"/>
        <v>0</v>
      </c>
      <c r="P2329" s="847"/>
      <c r="Q2329" s="847"/>
      <c r="R2329" s="738">
        <f t="shared" si="298"/>
        <v>0</v>
      </c>
      <c r="S2329" s="737">
        <f t="shared" si="299"/>
        <v>0</v>
      </c>
      <c r="T2329" s="739">
        <f t="shared" si="300"/>
        <v>0</v>
      </c>
      <c r="U2329" s="846"/>
      <c r="V2329" s="847"/>
      <c r="W2329" s="846"/>
      <c r="X2329" s="846"/>
      <c r="Y2329" s="740">
        <f t="shared" si="296"/>
        <v>0</v>
      </c>
      <c r="Z2329" s="847"/>
      <c r="AA2329" s="847"/>
      <c r="AB2329" s="741">
        <f t="shared" si="297"/>
        <v>0</v>
      </c>
      <c r="AC2329" s="846"/>
      <c r="AD2329" s="847"/>
      <c r="AE2329" s="846"/>
      <c r="AF2329" s="846"/>
      <c r="AG2329" s="847"/>
      <c r="AH2329" s="847"/>
      <c r="AI2329" s="742">
        <f t="shared" si="301"/>
        <v>0</v>
      </c>
      <c r="AJ2329" s="743">
        <f t="shared" si="302"/>
        <v>0</v>
      </c>
    </row>
    <row r="2330" spans="1:36">
      <c r="A2330" s="1410" t="s">
        <v>146</v>
      </c>
      <c r="B2330" s="1146" t="s">
        <v>272</v>
      </c>
      <c r="C2330" s="1135" t="s">
        <v>842</v>
      </c>
      <c r="D2330" s="1136"/>
      <c r="E2330" s="1420">
        <v>218733</v>
      </c>
      <c r="F2330" s="1110">
        <v>5</v>
      </c>
      <c r="G2330" s="846"/>
      <c r="H2330" s="847"/>
      <c r="I2330" s="846"/>
      <c r="J2330" s="847"/>
      <c r="K2330" s="846"/>
      <c r="L2330" s="847"/>
      <c r="M2330" s="846"/>
      <c r="N2330" s="846"/>
      <c r="O2330" s="737">
        <f t="shared" si="295"/>
        <v>0</v>
      </c>
      <c r="P2330" s="847"/>
      <c r="Q2330" s="847"/>
      <c r="R2330" s="738">
        <f t="shared" si="298"/>
        <v>0</v>
      </c>
      <c r="S2330" s="737">
        <f t="shared" si="299"/>
        <v>0</v>
      </c>
      <c r="T2330" s="739">
        <f t="shared" si="300"/>
        <v>0</v>
      </c>
      <c r="U2330" s="846"/>
      <c r="V2330" s="847"/>
      <c r="W2330" s="846"/>
      <c r="X2330" s="846"/>
      <c r="Y2330" s="740">
        <f t="shared" si="296"/>
        <v>0</v>
      </c>
      <c r="Z2330" s="847"/>
      <c r="AA2330" s="847"/>
      <c r="AB2330" s="741">
        <f t="shared" si="297"/>
        <v>0</v>
      </c>
      <c r="AC2330" s="846"/>
      <c r="AD2330" s="847"/>
      <c r="AE2330" s="846"/>
      <c r="AF2330" s="846"/>
      <c r="AG2330" s="847"/>
      <c r="AH2330" s="847"/>
      <c r="AI2330" s="742">
        <f t="shared" si="301"/>
        <v>0</v>
      </c>
      <c r="AJ2330" s="743">
        <f t="shared" si="302"/>
        <v>0</v>
      </c>
    </row>
    <row r="2331" spans="1:36">
      <c r="A2331" s="1410" t="s">
        <v>146</v>
      </c>
      <c r="B2331" s="1146" t="s">
        <v>272</v>
      </c>
      <c r="C2331" s="1137" t="s">
        <v>1753</v>
      </c>
      <c r="D2331" s="1136"/>
      <c r="E2331" s="1420">
        <v>218733</v>
      </c>
      <c r="F2331" s="1110">
        <v>5</v>
      </c>
      <c r="G2331" s="846"/>
      <c r="H2331" s="847"/>
      <c r="I2331" s="846"/>
      <c r="J2331" s="847"/>
      <c r="K2331" s="846"/>
      <c r="L2331" s="847"/>
      <c r="M2331" s="846"/>
      <c r="N2331" s="846"/>
      <c r="O2331" s="737">
        <f t="shared" si="295"/>
        <v>0</v>
      </c>
      <c r="P2331" s="847"/>
      <c r="Q2331" s="847"/>
      <c r="R2331" s="738">
        <f t="shared" si="298"/>
        <v>0</v>
      </c>
      <c r="S2331" s="737">
        <f t="shared" si="299"/>
        <v>0</v>
      </c>
      <c r="T2331" s="739">
        <f t="shared" si="300"/>
        <v>0</v>
      </c>
      <c r="U2331" s="846"/>
      <c r="V2331" s="847"/>
      <c r="W2331" s="846"/>
      <c r="X2331" s="846"/>
      <c r="Y2331" s="740">
        <f t="shared" si="296"/>
        <v>0</v>
      </c>
      <c r="Z2331" s="847"/>
      <c r="AA2331" s="847"/>
      <c r="AB2331" s="741">
        <f t="shared" si="297"/>
        <v>0</v>
      </c>
      <c r="AC2331" s="846"/>
      <c r="AD2331" s="847"/>
      <c r="AE2331" s="846"/>
      <c r="AF2331" s="846"/>
      <c r="AG2331" s="847"/>
      <c r="AH2331" s="847"/>
      <c r="AI2331" s="742">
        <f t="shared" si="301"/>
        <v>0</v>
      </c>
      <c r="AJ2331" s="743">
        <f t="shared" si="302"/>
        <v>0</v>
      </c>
    </row>
    <row r="2332" spans="1:36">
      <c r="A2332" s="1410" t="s">
        <v>146</v>
      </c>
      <c r="B2332" s="1146" t="s">
        <v>272</v>
      </c>
      <c r="C2332" s="1414" t="s">
        <v>1801</v>
      </c>
      <c r="D2332" s="1136"/>
      <c r="E2332" s="1420">
        <v>218733</v>
      </c>
      <c r="F2332" s="1110">
        <v>5</v>
      </c>
      <c r="G2332" s="846"/>
      <c r="H2332" s="847"/>
      <c r="I2332" s="846"/>
      <c r="J2332" s="847">
        <v>154842</v>
      </c>
      <c r="K2332" s="846"/>
      <c r="L2332" s="847"/>
      <c r="M2332" s="846"/>
      <c r="N2332" s="846"/>
      <c r="O2332" s="737">
        <f t="shared" si="295"/>
        <v>0</v>
      </c>
      <c r="P2332" s="847"/>
      <c r="Q2332" s="847"/>
      <c r="R2332" s="738">
        <f t="shared" si="298"/>
        <v>0</v>
      </c>
      <c r="S2332" s="737">
        <f t="shared" si="299"/>
        <v>0</v>
      </c>
      <c r="T2332" s="739">
        <f t="shared" si="300"/>
        <v>154842</v>
      </c>
      <c r="U2332" s="846"/>
      <c r="V2332" s="847"/>
      <c r="W2332" s="846"/>
      <c r="X2332" s="846"/>
      <c r="Y2332" s="740">
        <f t="shared" si="296"/>
        <v>0</v>
      </c>
      <c r="Z2332" s="847"/>
      <c r="AA2332" s="847"/>
      <c r="AB2332" s="741">
        <f t="shared" si="297"/>
        <v>0</v>
      </c>
      <c r="AC2332" s="846"/>
      <c r="AD2332" s="847"/>
      <c r="AE2332" s="846"/>
      <c r="AF2332" s="846"/>
      <c r="AG2332" s="847"/>
      <c r="AH2332" s="847"/>
      <c r="AI2332" s="742">
        <f t="shared" si="301"/>
        <v>0</v>
      </c>
      <c r="AJ2332" s="743">
        <f t="shared" si="302"/>
        <v>154842</v>
      </c>
    </row>
    <row r="2333" spans="1:36">
      <c r="A2333" s="1410" t="s">
        <v>146</v>
      </c>
      <c r="B2333" s="1146" t="s">
        <v>272</v>
      </c>
      <c r="C2333" s="1414" t="s">
        <v>1802</v>
      </c>
      <c r="D2333" s="1136"/>
      <c r="E2333" s="1420">
        <v>218733</v>
      </c>
      <c r="F2333" s="1110">
        <v>5</v>
      </c>
      <c r="G2333" s="846"/>
      <c r="H2333" s="847"/>
      <c r="I2333" s="846"/>
      <c r="J2333" s="847">
        <v>624142</v>
      </c>
      <c r="K2333" s="846"/>
      <c r="L2333" s="847"/>
      <c r="M2333" s="846"/>
      <c r="N2333" s="846"/>
      <c r="O2333" s="737">
        <f t="shared" si="295"/>
        <v>0</v>
      </c>
      <c r="P2333" s="847"/>
      <c r="Q2333" s="847"/>
      <c r="R2333" s="738">
        <f t="shared" si="298"/>
        <v>0</v>
      </c>
      <c r="S2333" s="737">
        <f t="shared" si="299"/>
        <v>0</v>
      </c>
      <c r="T2333" s="739">
        <f t="shared" si="300"/>
        <v>624142</v>
      </c>
      <c r="U2333" s="846"/>
      <c r="V2333" s="847"/>
      <c r="W2333" s="846"/>
      <c r="X2333" s="846"/>
      <c r="Y2333" s="740">
        <f t="shared" si="296"/>
        <v>0</v>
      </c>
      <c r="Z2333" s="847"/>
      <c r="AA2333" s="847"/>
      <c r="AB2333" s="741">
        <f t="shared" si="297"/>
        <v>0</v>
      </c>
      <c r="AC2333" s="846"/>
      <c r="AD2333" s="847"/>
      <c r="AE2333" s="846"/>
      <c r="AF2333" s="846"/>
      <c r="AG2333" s="847"/>
      <c r="AH2333" s="847"/>
      <c r="AI2333" s="742">
        <f t="shared" si="301"/>
        <v>0</v>
      </c>
      <c r="AJ2333" s="743">
        <f t="shared" si="302"/>
        <v>624142</v>
      </c>
    </row>
    <row r="2334" spans="1:36">
      <c r="A2334" s="1410" t="s">
        <v>146</v>
      </c>
      <c r="B2334" s="1146" t="s">
        <v>272</v>
      </c>
      <c r="C2334" s="1137" t="s">
        <v>1754</v>
      </c>
      <c r="D2334" s="1136"/>
      <c r="E2334" s="1420">
        <v>218733</v>
      </c>
      <c r="F2334" s="1110">
        <v>5</v>
      </c>
      <c r="G2334" s="846"/>
      <c r="H2334" s="847"/>
      <c r="I2334" s="846">
        <v>518277</v>
      </c>
      <c r="J2334" s="847"/>
      <c r="K2334" s="846"/>
      <c r="L2334" s="847"/>
      <c r="M2334" s="846"/>
      <c r="N2334" s="846"/>
      <c r="O2334" s="737">
        <f t="shared" si="295"/>
        <v>0</v>
      </c>
      <c r="P2334" s="847"/>
      <c r="Q2334" s="847"/>
      <c r="R2334" s="738">
        <f t="shared" si="298"/>
        <v>0</v>
      </c>
      <c r="S2334" s="737">
        <f t="shared" si="299"/>
        <v>518277</v>
      </c>
      <c r="T2334" s="739">
        <f t="shared" si="300"/>
        <v>0</v>
      </c>
      <c r="U2334" s="846"/>
      <c r="V2334" s="847"/>
      <c r="W2334" s="846"/>
      <c r="X2334" s="846"/>
      <c r="Y2334" s="740">
        <f t="shared" si="296"/>
        <v>0</v>
      </c>
      <c r="Z2334" s="847"/>
      <c r="AA2334" s="847"/>
      <c r="AB2334" s="741">
        <f t="shared" si="297"/>
        <v>0</v>
      </c>
      <c r="AC2334" s="846"/>
      <c r="AD2334" s="847"/>
      <c r="AE2334" s="846"/>
      <c r="AF2334" s="846"/>
      <c r="AG2334" s="847"/>
      <c r="AH2334" s="847"/>
      <c r="AI2334" s="742">
        <f t="shared" si="301"/>
        <v>518277</v>
      </c>
      <c r="AJ2334" s="743">
        <f t="shared" si="302"/>
        <v>0</v>
      </c>
    </row>
    <row r="2335" spans="1:36">
      <c r="A2335" s="1410" t="s">
        <v>146</v>
      </c>
      <c r="B2335" s="1146" t="s">
        <v>272</v>
      </c>
      <c r="C2335" s="1137" t="s">
        <v>1756</v>
      </c>
      <c r="D2335" s="1136"/>
      <c r="E2335" s="1420">
        <v>218733</v>
      </c>
      <c r="F2335" s="1110">
        <v>5</v>
      </c>
      <c r="G2335" s="846"/>
      <c r="H2335" s="847"/>
      <c r="I2335" s="846">
        <v>1793</v>
      </c>
      <c r="J2335" s="847">
        <v>1610</v>
      </c>
      <c r="K2335" s="846"/>
      <c r="L2335" s="847"/>
      <c r="M2335" s="846"/>
      <c r="N2335" s="846"/>
      <c r="O2335" s="737">
        <f t="shared" si="295"/>
        <v>0</v>
      </c>
      <c r="P2335" s="847"/>
      <c r="Q2335" s="847"/>
      <c r="R2335" s="738">
        <f t="shared" si="298"/>
        <v>0</v>
      </c>
      <c r="S2335" s="737">
        <f t="shared" si="299"/>
        <v>1793</v>
      </c>
      <c r="T2335" s="739">
        <f t="shared" si="300"/>
        <v>1610</v>
      </c>
      <c r="U2335" s="846"/>
      <c r="V2335" s="847"/>
      <c r="W2335" s="846"/>
      <c r="X2335" s="846"/>
      <c r="Y2335" s="740">
        <f t="shared" si="296"/>
        <v>0</v>
      </c>
      <c r="Z2335" s="847"/>
      <c r="AA2335" s="847"/>
      <c r="AB2335" s="741">
        <f t="shared" si="297"/>
        <v>0</v>
      </c>
      <c r="AC2335" s="846"/>
      <c r="AD2335" s="847"/>
      <c r="AE2335" s="846"/>
      <c r="AF2335" s="846"/>
      <c r="AG2335" s="847"/>
      <c r="AH2335" s="847"/>
      <c r="AI2335" s="742">
        <f t="shared" si="301"/>
        <v>1793</v>
      </c>
      <c r="AJ2335" s="743">
        <f t="shared" si="302"/>
        <v>1610</v>
      </c>
    </row>
    <row r="2336" spans="1:36">
      <c r="A2336" s="1410" t="s">
        <v>146</v>
      </c>
      <c r="B2336" s="1146" t="s">
        <v>272</v>
      </c>
      <c r="C2336" s="1137" t="s">
        <v>1803</v>
      </c>
      <c r="D2336" s="1136"/>
      <c r="E2336" s="1420">
        <v>218733</v>
      </c>
      <c r="F2336" s="1110">
        <v>5</v>
      </c>
      <c r="G2336" s="846"/>
      <c r="H2336" s="847"/>
      <c r="I2336" s="846">
        <v>279504</v>
      </c>
      <c r="J2336" s="847">
        <v>279504</v>
      </c>
      <c r="K2336" s="846"/>
      <c r="L2336" s="847"/>
      <c r="M2336" s="846"/>
      <c r="N2336" s="846"/>
      <c r="O2336" s="737">
        <f t="shared" si="295"/>
        <v>0</v>
      </c>
      <c r="P2336" s="847"/>
      <c r="Q2336" s="847"/>
      <c r="R2336" s="738">
        <f t="shared" si="298"/>
        <v>0</v>
      </c>
      <c r="S2336" s="737">
        <f t="shared" si="299"/>
        <v>279504</v>
      </c>
      <c r="T2336" s="739">
        <f t="shared" si="300"/>
        <v>279504</v>
      </c>
      <c r="U2336" s="846"/>
      <c r="V2336" s="847"/>
      <c r="W2336" s="846"/>
      <c r="X2336" s="846"/>
      <c r="Y2336" s="740">
        <f t="shared" si="296"/>
        <v>0</v>
      </c>
      <c r="Z2336" s="847"/>
      <c r="AA2336" s="847"/>
      <c r="AB2336" s="741">
        <f t="shared" si="297"/>
        <v>0</v>
      </c>
      <c r="AC2336" s="846"/>
      <c r="AD2336" s="847"/>
      <c r="AE2336" s="846"/>
      <c r="AF2336" s="846"/>
      <c r="AG2336" s="847"/>
      <c r="AH2336" s="847"/>
      <c r="AI2336" s="742">
        <f t="shared" si="301"/>
        <v>279504</v>
      </c>
      <c r="AJ2336" s="743">
        <f t="shared" si="302"/>
        <v>279504</v>
      </c>
    </row>
    <row r="2337" spans="1:36">
      <c r="A2337" s="1410" t="s">
        <v>146</v>
      </c>
      <c r="B2337" s="1146" t="s">
        <v>272</v>
      </c>
      <c r="C2337" s="1137" t="s">
        <v>1804</v>
      </c>
      <c r="D2337" s="1136"/>
      <c r="E2337" s="1420">
        <v>218733</v>
      </c>
      <c r="F2337" s="1110">
        <v>5</v>
      </c>
      <c r="G2337" s="846"/>
      <c r="H2337" s="847"/>
      <c r="I2337" s="846">
        <v>346000</v>
      </c>
      <c r="J2337" s="847"/>
      <c r="K2337" s="846"/>
      <c r="L2337" s="847"/>
      <c r="M2337" s="846"/>
      <c r="N2337" s="846"/>
      <c r="O2337" s="737">
        <f t="shared" si="295"/>
        <v>0</v>
      </c>
      <c r="P2337" s="847"/>
      <c r="Q2337" s="847"/>
      <c r="R2337" s="738">
        <f t="shared" si="298"/>
        <v>0</v>
      </c>
      <c r="S2337" s="737">
        <f t="shared" si="299"/>
        <v>346000</v>
      </c>
      <c r="T2337" s="739">
        <f t="shared" si="300"/>
        <v>0</v>
      </c>
      <c r="U2337" s="846"/>
      <c r="V2337" s="847"/>
      <c r="W2337" s="846"/>
      <c r="X2337" s="846"/>
      <c r="Y2337" s="740">
        <f t="shared" si="296"/>
        <v>0</v>
      </c>
      <c r="Z2337" s="847"/>
      <c r="AA2337" s="847"/>
      <c r="AB2337" s="741">
        <f t="shared" si="297"/>
        <v>0</v>
      </c>
      <c r="AC2337" s="846"/>
      <c r="AD2337" s="847"/>
      <c r="AE2337" s="846"/>
      <c r="AF2337" s="846"/>
      <c r="AG2337" s="847"/>
      <c r="AH2337" s="847"/>
      <c r="AI2337" s="742">
        <f t="shared" si="301"/>
        <v>346000</v>
      </c>
      <c r="AJ2337" s="743">
        <f t="shared" si="302"/>
        <v>0</v>
      </c>
    </row>
    <row r="2338" spans="1:36">
      <c r="A2338" s="1410" t="s">
        <v>146</v>
      </c>
      <c r="B2338" s="1146" t="s">
        <v>272</v>
      </c>
      <c r="C2338" s="1137" t="s">
        <v>1805</v>
      </c>
      <c r="D2338" s="1136"/>
      <c r="E2338" s="1420">
        <v>218733</v>
      </c>
      <c r="F2338" s="1110">
        <v>5</v>
      </c>
      <c r="G2338" s="846"/>
      <c r="H2338" s="847"/>
      <c r="I2338" s="846"/>
      <c r="J2338" s="847"/>
      <c r="K2338" s="846"/>
      <c r="L2338" s="847"/>
      <c r="M2338" s="846"/>
      <c r="N2338" s="846"/>
      <c r="O2338" s="737">
        <f t="shared" si="295"/>
        <v>0</v>
      </c>
      <c r="P2338" s="847"/>
      <c r="Q2338" s="847"/>
      <c r="R2338" s="738">
        <f t="shared" si="298"/>
        <v>0</v>
      </c>
      <c r="S2338" s="737">
        <f t="shared" si="299"/>
        <v>0</v>
      </c>
      <c r="T2338" s="739">
        <f t="shared" si="300"/>
        <v>0</v>
      </c>
      <c r="U2338" s="846"/>
      <c r="V2338" s="847"/>
      <c r="W2338" s="846"/>
      <c r="X2338" s="846"/>
      <c r="Y2338" s="740">
        <f t="shared" si="296"/>
        <v>0</v>
      </c>
      <c r="Z2338" s="847"/>
      <c r="AA2338" s="847"/>
      <c r="AB2338" s="741">
        <f t="shared" si="297"/>
        <v>0</v>
      </c>
      <c r="AC2338" s="846"/>
      <c r="AD2338" s="847"/>
      <c r="AE2338" s="846"/>
      <c r="AF2338" s="846"/>
      <c r="AG2338" s="847"/>
      <c r="AH2338" s="847"/>
      <c r="AI2338" s="742">
        <f t="shared" si="301"/>
        <v>0</v>
      </c>
      <c r="AJ2338" s="743">
        <f t="shared" si="302"/>
        <v>0</v>
      </c>
    </row>
    <row r="2339" spans="1:36">
      <c r="A2339" s="1410" t="s">
        <v>146</v>
      </c>
      <c r="B2339" s="1146" t="s">
        <v>272</v>
      </c>
      <c r="C2339" s="1137" t="s">
        <v>1806</v>
      </c>
      <c r="D2339" s="1136"/>
      <c r="E2339" s="1420">
        <v>218733</v>
      </c>
      <c r="F2339" s="1110">
        <v>5</v>
      </c>
      <c r="G2339" s="846"/>
      <c r="H2339" s="847"/>
      <c r="I2339" s="846"/>
      <c r="J2339" s="847"/>
      <c r="K2339" s="846"/>
      <c r="L2339" s="847"/>
      <c r="M2339" s="846"/>
      <c r="N2339" s="846"/>
      <c r="O2339" s="737">
        <f t="shared" si="295"/>
        <v>0</v>
      </c>
      <c r="P2339" s="847"/>
      <c r="Q2339" s="847"/>
      <c r="R2339" s="738">
        <f t="shared" si="298"/>
        <v>0</v>
      </c>
      <c r="S2339" s="737">
        <f t="shared" si="299"/>
        <v>0</v>
      </c>
      <c r="T2339" s="739">
        <f t="shared" si="300"/>
        <v>0</v>
      </c>
      <c r="U2339" s="846"/>
      <c r="V2339" s="847"/>
      <c r="W2339" s="846"/>
      <c r="X2339" s="846"/>
      <c r="Y2339" s="740">
        <f t="shared" si="296"/>
        <v>0</v>
      </c>
      <c r="Z2339" s="847"/>
      <c r="AA2339" s="847"/>
      <c r="AB2339" s="741">
        <f t="shared" si="297"/>
        <v>0</v>
      </c>
      <c r="AC2339" s="846"/>
      <c r="AD2339" s="847"/>
      <c r="AE2339" s="846"/>
      <c r="AF2339" s="846"/>
      <c r="AG2339" s="847"/>
      <c r="AH2339" s="847"/>
      <c r="AI2339" s="742">
        <f t="shared" si="301"/>
        <v>0</v>
      </c>
      <c r="AJ2339" s="743">
        <f t="shared" si="302"/>
        <v>0</v>
      </c>
    </row>
    <row r="2340" spans="1:36">
      <c r="A2340" s="1410" t="s">
        <v>146</v>
      </c>
      <c r="B2340" s="1146" t="s">
        <v>272</v>
      </c>
      <c r="C2340" s="1137" t="s">
        <v>1807</v>
      </c>
      <c r="D2340" s="1136"/>
      <c r="E2340" s="1420">
        <v>218733</v>
      </c>
      <c r="F2340" s="1110">
        <v>5</v>
      </c>
      <c r="G2340" s="846"/>
      <c r="H2340" s="847"/>
      <c r="I2340" s="846">
        <v>87924</v>
      </c>
      <c r="J2340" s="847">
        <v>87924</v>
      </c>
      <c r="K2340" s="846"/>
      <c r="L2340" s="847"/>
      <c r="M2340" s="846"/>
      <c r="N2340" s="846"/>
      <c r="O2340" s="737">
        <f t="shared" si="295"/>
        <v>0</v>
      </c>
      <c r="P2340" s="847"/>
      <c r="Q2340" s="847"/>
      <c r="R2340" s="738">
        <f t="shared" si="298"/>
        <v>0</v>
      </c>
      <c r="S2340" s="737">
        <f t="shared" si="299"/>
        <v>87924</v>
      </c>
      <c r="T2340" s="739">
        <f t="shared" si="300"/>
        <v>87924</v>
      </c>
      <c r="U2340" s="846"/>
      <c r="V2340" s="847"/>
      <c r="W2340" s="846"/>
      <c r="X2340" s="846"/>
      <c r="Y2340" s="740">
        <f t="shared" si="296"/>
        <v>0</v>
      </c>
      <c r="Z2340" s="847"/>
      <c r="AA2340" s="847"/>
      <c r="AB2340" s="741">
        <f t="shared" si="297"/>
        <v>0</v>
      </c>
      <c r="AC2340" s="846"/>
      <c r="AD2340" s="847"/>
      <c r="AE2340" s="846"/>
      <c r="AF2340" s="846"/>
      <c r="AG2340" s="847"/>
      <c r="AH2340" s="847"/>
      <c r="AI2340" s="742">
        <f t="shared" si="301"/>
        <v>87924</v>
      </c>
      <c r="AJ2340" s="743">
        <f t="shared" si="302"/>
        <v>87924</v>
      </c>
    </row>
    <row r="2341" spans="1:36">
      <c r="A2341" s="1410" t="s">
        <v>146</v>
      </c>
      <c r="B2341" s="1146" t="s">
        <v>272</v>
      </c>
      <c r="C2341" s="1137" t="s">
        <v>1808</v>
      </c>
      <c r="D2341" s="1136"/>
      <c r="E2341" s="1420">
        <v>218733</v>
      </c>
      <c r="F2341" s="1110">
        <v>5</v>
      </c>
      <c r="G2341" s="846"/>
      <c r="H2341" s="847"/>
      <c r="I2341" s="846">
        <v>2500000</v>
      </c>
      <c r="J2341" s="847">
        <v>2500000</v>
      </c>
      <c r="K2341" s="846"/>
      <c r="L2341" s="847"/>
      <c r="M2341" s="846"/>
      <c r="N2341" s="846"/>
      <c r="O2341" s="737">
        <f t="shared" si="295"/>
        <v>0</v>
      </c>
      <c r="P2341" s="847"/>
      <c r="Q2341" s="847"/>
      <c r="R2341" s="738">
        <f t="shared" si="298"/>
        <v>0</v>
      </c>
      <c r="S2341" s="737">
        <f t="shared" si="299"/>
        <v>2500000</v>
      </c>
      <c r="T2341" s="739">
        <f t="shared" si="300"/>
        <v>2500000</v>
      </c>
      <c r="U2341" s="846"/>
      <c r="V2341" s="847"/>
      <c r="W2341" s="846"/>
      <c r="X2341" s="846"/>
      <c r="Y2341" s="740">
        <f t="shared" si="296"/>
        <v>0</v>
      </c>
      <c r="Z2341" s="847"/>
      <c r="AA2341" s="847"/>
      <c r="AB2341" s="741">
        <f t="shared" si="297"/>
        <v>0</v>
      </c>
      <c r="AC2341" s="846"/>
      <c r="AD2341" s="847"/>
      <c r="AE2341" s="846"/>
      <c r="AF2341" s="846"/>
      <c r="AG2341" s="847"/>
      <c r="AH2341" s="847"/>
      <c r="AI2341" s="742">
        <f t="shared" si="301"/>
        <v>2500000</v>
      </c>
      <c r="AJ2341" s="743">
        <f t="shared" si="302"/>
        <v>2500000</v>
      </c>
    </row>
    <row r="2342" spans="1:36">
      <c r="A2342" s="1410" t="s">
        <v>146</v>
      </c>
      <c r="B2342" s="1146" t="s">
        <v>272</v>
      </c>
      <c r="C2342" s="1137" t="s">
        <v>1809</v>
      </c>
      <c r="D2342" s="1136"/>
      <c r="E2342" s="1420">
        <v>218733</v>
      </c>
      <c r="F2342" s="1110">
        <v>5</v>
      </c>
      <c r="G2342" s="846"/>
      <c r="H2342" s="847"/>
      <c r="I2342" s="846">
        <v>497256</v>
      </c>
      <c r="J2342" s="847">
        <v>538387</v>
      </c>
      <c r="K2342" s="846"/>
      <c r="L2342" s="847"/>
      <c r="M2342" s="846"/>
      <c r="N2342" s="846"/>
      <c r="O2342" s="737">
        <f t="shared" si="295"/>
        <v>0</v>
      </c>
      <c r="P2342" s="847"/>
      <c r="Q2342" s="847"/>
      <c r="R2342" s="738">
        <f t="shared" si="298"/>
        <v>0</v>
      </c>
      <c r="S2342" s="737">
        <f t="shared" si="299"/>
        <v>497256</v>
      </c>
      <c r="T2342" s="739">
        <f t="shared" si="300"/>
        <v>538387</v>
      </c>
      <c r="U2342" s="846"/>
      <c r="V2342" s="847"/>
      <c r="W2342" s="846"/>
      <c r="X2342" s="846"/>
      <c r="Y2342" s="740">
        <f t="shared" si="296"/>
        <v>0</v>
      </c>
      <c r="Z2342" s="847"/>
      <c r="AA2342" s="847"/>
      <c r="AB2342" s="741">
        <f t="shared" si="297"/>
        <v>0</v>
      </c>
      <c r="AC2342" s="846"/>
      <c r="AD2342" s="847"/>
      <c r="AE2342" s="846"/>
      <c r="AF2342" s="846"/>
      <c r="AG2342" s="847"/>
      <c r="AH2342" s="847"/>
      <c r="AI2342" s="742">
        <f t="shared" si="301"/>
        <v>497256</v>
      </c>
      <c r="AJ2342" s="743">
        <f t="shared" si="302"/>
        <v>538387</v>
      </c>
    </row>
    <row r="2343" spans="1:36">
      <c r="A2343" s="1410" t="s">
        <v>146</v>
      </c>
      <c r="B2343" s="1146" t="s">
        <v>272</v>
      </c>
      <c r="C2343" s="1137" t="s">
        <v>1777</v>
      </c>
      <c r="D2343" s="1136"/>
      <c r="E2343" s="1420">
        <v>218733</v>
      </c>
      <c r="F2343" s="1110">
        <v>5</v>
      </c>
      <c r="G2343" s="846"/>
      <c r="H2343" s="847"/>
      <c r="I2343" s="846">
        <v>422737</v>
      </c>
      <c r="J2343" s="847">
        <v>364857</v>
      </c>
      <c r="K2343" s="846"/>
      <c r="L2343" s="847"/>
      <c r="M2343" s="846"/>
      <c r="N2343" s="846"/>
      <c r="O2343" s="737">
        <f t="shared" si="295"/>
        <v>0</v>
      </c>
      <c r="P2343" s="847"/>
      <c r="Q2343" s="847"/>
      <c r="R2343" s="738">
        <f t="shared" si="298"/>
        <v>0</v>
      </c>
      <c r="S2343" s="737">
        <f t="shared" si="299"/>
        <v>422737</v>
      </c>
      <c r="T2343" s="739">
        <f t="shared" si="300"/>
        <v>364857</v>
      </c>
      <c r="U2343" s="846"/>
      <c r="V2343" s="847"/>
      <c r="W2343" s="846"/>
      <c r="X2343" s="846"/>
      <c r="Y2343" s="740">
        <f t="shared" si="296"/>
        <v>0</v>
      </c>
      <c r="Z2343" s="847"/>
      <c r="AA2343" s="847"/>
      <c r="AB2343" s="741">
        <f t="shared" si="297"/>
        <v>0</v>
      </c>
      <c r="AC2343" s="846"/>
      <c r="AD2343" s="847"/>
      <c r="AE2343" s="846"/>
      <c r="AF2343" s="846"/>
      <c r="AG2343" s="847"/>
      <c r="AH2343" s="847"/>
      <c r="AI2343" s="742">
        <f t="shared" si="301"/>
        <v>422737</v>
      </c>
      <c r="AJ2343" s="743">
        <f t="shared" si="302"/>
        <v>364857</v>
      </c>
    </row>
    <row r="2344" spans="1:36">
      <c r="A2344" s="1410" t="s">
        <v>146</v>
      </c>
      <c r="B2344" s="1146" t="s">
        <v>264</v>
      </c>
      <c r="C2344" s="1120" t="s">
        <v>1810</v>
      </c>
      <c r="D2344" s="1136"/>
      <c r="E2344" s="1435">
        <v>218229</v>
      </c>
      <c r="F2344" s="1110">
        <v>6</v>
      </c>
      <c r="G2344" s="846">
        <v>4728621</v>
      </c>
      <c r="H2344" s="847">
        <v>4813533</v>
      </c>
      <c r="I2344" s="846"/>
      <c r="J2344" s="847"/>
      <c r="K2344" s="846"/>
      <c r="L2344" s="847"/>
      <c r="M2344" s="846">
        <v>29841412</v>
      </c>
      <c r="N2344" s="846">
        <v>128772</v>
      </c>
      <c r="O2344" s="737">
        <f t="shared" si="295"/>
        <v>29970184</v>
      </c>
      <c r="P2344" s="847">
        <v>29769886</v>
      </c>
      <c r="Q2344" s="847">
        <v>128244</v>
      </c>
      <c r="R2344" s="738">
        <f t="shared" si="298"/>
        <v>29898130</v>
      </c>
      <c r="S2344" s="737">
        <f t="shared" si="299"/>
        <v>34570033</v>
      </c>
      <c r="T2344" s="739">
        <f t="shared" si="300"/>
        <v>34583419</v>
      </c>
      <c r="U2344" s="846"/>
      <c r="V2344" s="847"/>
      <c r="W2344" s="846"/>
      <c r="X2344" s="846"/>
      <c r="Y2344" s="740">
        <f t="shared" si="296"/>
        <v>0</v>
      </c>
      <c r="Z2344" s="847"/>
      <c r="AA2344" s="847"/>
      <c r="AB2344" s="741">
        <f t="shared" si="297"/>
        <v>0</v>
      </c>
      <c r="AC2344" s="846"/>
      <c r="AD2344" s="847"/>
      <c r="AE2344" s="846"/>
      <c r="AF2344" s="846"/>
      <c r="AG2344" s="847"/>
      <c r="AH2344" s="847"/>
      <c r="AI2344" s="742">
        <f t="shared" si="301"/>
        <v>34570033</v>
      </c>
      <c r="AJ2344" s="743">
        <f t="shared" si="302"/>
        <v>34583419</v>
      </c>
    </row>
    <row r="2345" spans="1:36">
      <c r="A2345" s="1410" t="s">
        <v>146</v>
      </c>
      <c r="B2345" s="1146" t="s">
        <v>264</v>
      </c>
      <c r="C2345" s="1137" t="s">
        <v>1746</v>
      </c>
      <c r="D2345" s="1136"/>
      <c r="E2345" s="1420">
        <v>218229</v>
      </c>
      <c r="F2345" s="1110">
        <v>6</v>
      </c>
      <c r="G2345" s="846">
        <v>1504011</v>
      </c>
      <c r="H2345" s="847">
        <v>1614038</v>
      </c>
      <c r="I2345" s="846"/>
      <c r="J2345" s="847"/>
      <c r="K2345" s="846"/>
      <c r="L2345" s="847"/>
      <c r="M2345" s="846"/>
      <c r="N2345" s="846"/>
      <c r="O2345" s="737">
        <f t="shared" si="295"/>
        <v>0</v>
      </c>
      <c r="P2345" s="847"/>
      <c r="Q2345" s="847"/>
      <c r="R2345" s="738">
        <f t="shared" si="298"/>
        <v>0</v>
      </c>
      <c r="S2345" s="737">
        <f t="shared" si="299"/>
        <v>1504011</v>
      </c>
      <c r="T2345" s="739">
        <f t="shared" si="300"/>
        <v>1614038</v>
      </c>
      <c r="U2345" s="846"/>
      <c r="V2345" s="847"/>
      <c r="W2345" s="846"/>
      <c r="X2345" s="846"/>
      <c r="Y2345" s="740">
        <f t="shared" si="296"/>
        <v>0</v>
      </c>
      <c r="Z2345" s="847"/>
      <c r="AA2345" s="847"/>
      <c r="AB2345" s="741">
        <f t="shared" si="297"/>
        <v>0</v>
      </c>
      <c r="AC2345" s="846"/>
      <c r="AD2345" s="847"/>
      <c r="AE2345" s="846"/>
      <c r="AF2345" s="846"/>
      <c r="AG2345" s="847"/>
      <c r="AH2345" s="847"/>
      <c r="AI2345" s="742">
        <f t="shared" si="301"/>
        <v>1504011</v>
      </c>
      <c r="AJ2345" s="743">
        <f t="shared" si="302"/>
        <v>1614038</v>
      </c>
    </row>
    <row r="2346" spans="1:36">
      <c r="A2346" s="1410" t="s">
        <v>146</v>
      </c>
      <c r="B2346" s="1146" t="s">
        <v>264</v>
      </c>
      <c r="C2346" s="1414" t="s">
        <v>1811</v>
      </c>
      <c r="D2346" s="1136"/>
      <c r="E2346" s="1420">
        <v>218229</v>
      </c>
      <c r="F2346" s="1110">
        <v>6</v>
      </c>
      <c r="G2346" s="846"/>
      <c r="H2346" s="847">
        <v>110196</v>
      </c>
      <c r="I2346" s="846"/>
      <c r="J2346" s="847"/>
      <c r="K2346" s="846"/>
      <c r="L2346" s="847"/>
      <c r="M2346" s="846"/>
      <c r="N2346" s="846"/>
      <c r="O2346" s="737">
        <f t="shared" si="295"/>
        <v>0</v>
      </c>
      <c r="P2346" s="847"/>
      <c r="Q2346" s="847"/>
      <c r="R2346" s="738">
        <f t="shared" si="298"/>
        <v>0</v>
      </c>
      <c r="S2346" s="737">
        <f t="shared" si="299"/>
        <v>0</v>
      </c>
      <c r="T2346" s="739">
        <f t="shared" si="300"/>
        <v>110196</v>
      </c>
      <c r="U2346" s="846"/>
      <c r="V2346" s="847"/>
      <c r="W2346" s="846"/>
      <c r="X2346" s="846"/>
      <c r="Y2346" s="740">
        <f t="shared" si="296"/>
        <v>0</v>
      </c>
      <c r="Z2346" s="847"/>
      <c r="AA2346" s="847"/>
      <c r="AB2346" s="741">
        <f t="shared" si="297"/>
        <v>0</v>
      </c>
      <c r="AC2346" s="846"/>
      <c r="AD2346" s="847"/>
      <c r="AE2346" s="846"/>
      <c r="AF2346" s="846"/>
      <c r="AG2346" s="847"/>
      <c r="AH2346" s="847"/>
      <c r="AI2346" s="742">
        <f t="shared" si="301"/>
        <v>0</v>
      </c>
      <c r="AJ2346" s="743">
        <f t="shared" si="302"/>
        <v>110196</v>
      </c>
    </row>
    <row r="2347" spans="1:36">
      <c r="A2347" s="1410" t="s">
        <v>146</v>
      </c>
      <c r="B2347" s="1146" t="s">
        <v>272</v>
      </c>
      <c r="C2347" s="1135" t="s">
        <v>842</v>
      </c>
      <c r="D2347" s="1136"/>
      <c r="E2347" s="1420">
        <v>218229</v>
      </c>
      <c r="F2347" s="1110">
        <v>6</v>
      </c>
      <c r="G2347" s="846"/>
      <c r="H2347" s="847"/>
      <c r="I2347" s="846"/>
      <c r="J2347" s="847"/>
      <c r="K2347" s="846"/>
      <c r="L2347" s="847"/>
      <c r="M2347" s="846"/>
      <c r="N2347" s="846"/>
      <c r="O2347" s="737">
        <f t="shared" si="295"/>
        <v>0</v>
      </c>
      <c r="P2347" s="847"/>
      <c r="Q2347" s="847"/>
      <c r="R2347" s="738">
        <f t="shared" si="298"/>
        <v>0</v>
      </c>
      <c r="S2347" s="737">
        <f t="shared" si="299"/>
        <v>0</v>
      </c>
      <c r="T2347" s="739">
        <f t="shared" si="300"/>
        <v>0</v>
      </c>
      <c r="U2347" s="846"/>
      <c r="V2347" s="847"/>
      <c r="W2347" s="846"/>
      <c r="X2347" s="846"/>
      <c r="Y2347" s="740">
        <f t="shared" si="296"/>
        <v>0</v>
      </c>
      <c r="Z2347" s="847"/>
      <c r="AA2347" s="847"/>
      <c r="AB2347" s="741">
        <f t="shared" si="297"/>
        <v>0</v>
      </c>
      <c r="AC2347" s="846"/>
      <c r="AD2347" s="847"/>
      <c r="AE2347" s="846"/>
      <c r="AF2347" s="846"/>
      <c r="AG2347" s="847"/>
      <c r="AH2347" s="847"/>
      <c r="AI2347" s="742">
        <f t="shared" si="301"/>
        <v>0</v>
      </c>
      <c r="AJ2347" s="743">
        <f t="shared" si="302"/>
        <v>0</v>
      </c>
    </row>
    <row r="2348" spans="1:36">
      <c r="A2348" s="1410" t="s">
        <v>146</v>
      </c>
      <c r="B2348" s="1146" t="s">
        <v>272</v>
      </c>
      <c r="C2348" s="1137" t="s">
        <v>1753</v>
      </c>
      <c r="D2348" s="1136"/>
      <c r="E2348" s="1420">
        <v>218229</v>
      </c>
      <c r="F2348" s="1110">
        <v>6</v>
      </c>
      <c r="G2348" s="846"/>
      <c r="H2348" s="847"/>
      <c r="I2348" s="846"/>
      <c r="J2348" s="847"/>
      <c r="K2348" s="846"/>
      <c r="L2348" s="847"/>
      <c r="M2348" s="846"/>
      <c r="N2348" s="846"/>
      <c r="O2348" s="737">
        <f t="shared" si="295"/>
        <v>0</v>
      </c>
      <c r="P2348" s="847"/>
      <c r="Q2348" s="847"/>
      <c r="R2348" s="738">
        <f t="shared" si="298"/>
        <v>0</v>
      </c>
      <c r="S2348" s="737">
        <f t="shared" si="299"/>
        <v>0</v>
      </c>
      <c r="T2348" s="739">
        <f t="shared" si="300"/>
        <v>0</v>
      </c>
      <c r="U2348" s="846"/>
      <c r="V2348" s="847"/>
      <c r="W2348" s="846"/>
      <c r="X2348" s="846"/>
      <c r="Y2348" s="740">
        <f t="shared" si="296"/>
        <v>0</v>
      </c>
      <c r="Z2348" s="847"/>
      <c r="AA2348" s="847"/>
      <c r="AB2348" s="741">
        <f t="shared" si="297"/>
        <v>0</v>
      </c>
      <c r="AC2348" s="846"/>
      <c r="AD2348" s="847"/>
      <c r="AE2348" s="846"/>
      <c r="AF2348" s="846"/>
      <c r="AG2348" s="847"/>
      <c r="AH2348" s="847"/>
      <c r="AI2348" s="742">
        <f t="shared" si="301"/>
        <v>0</v>
      </c>
      <c r="AJ2348" s="743">
        <f t="shared" si="302"/>
        <v>0</v>
      </c>
    </row>
    <row r="2349" spans="1:36">
      <c r="A2349" s="1410" t="s">
        <v>146</v>
      </c>
      <c r="B2349" s="1146" t="s">
        <v>272</v>
      </c>
      <c r="C2349" s="1414" t="s">
        <v>1784</v>
      </c>
      <c r="D2349" s="1136"/>
      <c r="E2349" s="1420">
        <v>218229</v>
      </c>
      <c r="F2349" s="1110">
        <v>6</v>
      </c>
      <c r="G2349" s="846"/>
      <c r="H2349" s="847"/>
      <c r="I2349" s="846"/>
      <c r="J2349" s="847">
        <v>77469</v>
      </c>
      <c r="K2349" s="846"/>
      <c r="L2349" s="847"/>
      <c r="M2349" s="846"/>
      <c r="N2349" s="846"/>
      <c r="O2349" s="737">
        <f t="shared" si="295"/>
        <v>0</v>
      </c>
      <c r="P2349" s="847"/>
      <c r="Q2349" s="847"/>
      <c r="R2349" s="738">
        <f t="shared" si="298"/>
        <v>0</v>
      </c>
      <c r="S2349" s="737">
        <f t="shared" si="299"/>
        <v>0</v>
      </c>
      <c r="T2349" s="739">
        <f t="shared" si="300"/>
        <v>77469</v>
      </c>
      <c r="U2349" s="846"/>
      <c r="V2349" s="847"/>
      <c r="W2349" s="846"/>
      <c r="X2349" s="846"/>
      <c r="Y2349" s="740">
        <f t="shared" si="296"/>
        <v>0</v>
      </c>
      <c r="Z2349" s="847"/>
      <c r="AA2349" s="847"/>
      <c r="AB2349" s="741">
        <f t="shared" si="297"/>
        <v>0</v>
      </c>
      <c r="AC2349" s="846"/>
      <c r="AD2349" s="847"/>
      <c r="AE2349" s="846"/>
      <c r="AF2349" s="846"/>
      <c r="AG2349" s="847"/>
      <c r="AH2349" s="847"/>
      <c r="AI2349" s="742">
        <f t="shared" si="301"/>
        <v>0</v>
      </c>
      <c r="AJ2349" s="743">
        <f t="shared" si="302"/>
        <v>77469</v>
      </c>
    </row>
    <row r="2350" spans="1:36" ht="25.5">
      <c r="A2350" s="1410" t="s">
        <v>146</v>
      </c>
      <c r="B2350" s="1146" t="s">
        <v>272</v>
      </c>
      <c r="C2350" s="1417" t="s">
        <v>1758</v>
      </c>
      <c r="D2350" s="1136"/>
      <c r="E2350" s="1420">
        <v>218229</v>
      </c>
      <c r="F2350" s="1110">
        <v>6</v>
      </c>
      <c r="G2350" s="846"/>
      <c r="H2350" s="847"/>
      <c r="I2350" s="846"/>
      <c r="J2350" s="847">
        <v>55958</v>
      </c>
      <c r="K2350" s="846"/>
      <c r="L2350" s="847"/>
      <c r="M2350" s="846"/>
      <c r="N2350" s="846"/>
      <c r="O2350" s="737">
        <f t="shared" si="295"/>
        <v>0</v>
      </c>
      <c r="P2350" s="847"/>
      <c r="Q2350" s="847"/>
      <c r="R2350" s="738">
        <f t="shared" si="298"/>
        <v>0</v>
      </c>
      <c r="S2350" s="737">
        <f t="shared" si="299"/>
        <v>0</v>
      </c>
      <c r="T2350" s="739">
        <f t="shared" si="300"/>
        <v>55958</v>
      </c>
      <c r="U2350" s="846"/>
      <c r="V2350" s="847"/>
      <c r="W2350" s="846"/>
      <c r="X2350" s="846"/>
      <c r="Y2350" s="740">
        <f t="shared" si="296"/>
        <v>0</v>
      </c>
      <c r="Z2350" s="847"/>
      <c r="AA2350" s="847"/>
      <c r="AB2350" s="741">
        <f t="shared" si="297"/>
        <v>0</v>
      </c>
      <c r="AC2350" s="846"/>
      <c r="AD2350" s="847"/>
      <c r="AE2350" s="846"/>
      <c r="AF2350" s="846"/>
      <c r="AG2350" s="847"/>
      <c r="AH2350" s="847"/>
      <c r="AI2350" s="742">
        <f t="shared" si="301"/>
        <v>0</v>
      </c>
      <c r="AJ2350" s="743">
        <f t="shared" si="302"/>
        <v>55958</v>
      </c>
    </row>
    <row r="2351" spans="1:36">
      <c r="A2351" s="1410" t="s">
        <v>146</v>
      </c>
      <c r="B2351" s="1146" t="s">
        <v>272</v>
      </c>
      <c r="C2351" s="1414" t="s">
        <v>1812</v>
      </c>
      <c r="D2351" s="1136"/>
      <c r="E2351" s="1420">
        <v>218229</v>
      </c>
      <c r="F2351" s="1110">
        <v>6</v>
      </c>
      <c r="G2351" s="846"/>
      <c r="H2351" s="847"/>
      <c r="I2351" s="846"/>
      <c r="J2351" s="847">
        <v>272745</v>
      </c>
      <c r="K2351" s="846"/>
      <c r="L2351" s="847"/>
      <c r="M2351" s="846"/>
      <c r="N2351" s="846"/>
      <c r="O2351" s="737">
        <f t="shared" si="295"/>
        <v>0</v>
      </c>
      <c r="P2351" s="847"/>
      <c r="Q2351" s="847"/>
      <c r="R2351" s="738">
        <f t="shared" si="298"/>
        <v>0</v>
      </c>
      <c r="S2351" s="737">
        <f t="shared" si="299"/>
        <v>0</v>
      </c>
      <c r="T2351" s="739">
        <f t="shared" si="300"/>
        <v>272745</v>
      </c>
      <c r="U2351" s="846"/>
      <c r="V2351" s="847"/>
      <c r="W2351" s="846"/>
      <c r="X2351" s="846"/>
      <c r="Y2351" s="740">
        <f t="shared" si="296"/>
        <v>0</v>
      </c>
      <c r="Z2351" s="847"/>
      <c r="AA2351" s="847"/>
      <c r="AB2351" s="741">
        <f t="shared" si="297"/>
        <v>0</v>
      </c>
      <c r="AC2351" s="846"/>
      <c r="AD2351" s="847"/>
      <c r="AE2351" s="846"/>
      <c r="AF2351" s="846"/>
      <c r="AG2351" s="847"/>
      <c r="AH2351" s="847"/>
      <c r="AI2351" s="742">
        <f t="shared" si="301"/>
        <v>0</v>
      </c>
      <c r="AJ2351" s="743">
        <f t="shared" si="302"/>
        <v>272745</v>
      </c>
    </row>
    <row r="2352" spans="1:36">
      <c r="A2352" s="1410" t="s">
        <v>146</v>
      </c>
      <c r="B2352" s="1146" t="s">
        <v>272</v>
      </c>
      <c r="C2352" s="1137" t="s">
        <v>1754</v>
      </c>
      <c r="D2352" s="1136"/>
      <c r="E2352" s="1420">
        <v>218229</v>
      </c>
      <c r="F2352" s="1110">
        <v>6</v>
      </c>
      <c r="G2352" s="846"/>
      <c r="H2352" s="847"/>
      <c r="I2352" s="846">
        <v>266807</v>
      </c>
      <c r="J2352" s="847"/>
      <c r="K2352" s="846"/>
      <c r="L2352" s="847"/>
      <c r="M2352" s="846"/>
      <c r="N2352" s="846"/>
      <c r="O2352" s="737">
        <f t="shared" si="295"/>
        <v>0</v>
      </c>
      <c r="P2352" s="847"/>
      <c r="Q2352" s="847"/>
      <c r="R2352" s="738">
        <f t="shared" si="298"/>
        <v>0</v>
      </c>
      <c r="S2352" s="737">
        <f t="shared" si="299"/>
        <v>266807</v>
      </c>
      <c r="T2352" s="739">
        <f t="shared" si="300"/>
        <v>0</v>
      </c>
      <c r="U2352" s="846"/>
      <c r="V2352" s="847"/>
      <c r="W2352" s="846"/>
      <c r="X2352" s="846"/>
      <c r="Y2352" s="740">
        <f t="shared" si="296"/>
        <v>0</v>
      </c>
      <c r="Z2352" s="847"/>
      <c r="AA2352" s="847"/>
      <c r="AB2352" s="741">
        <f t="shared" si="297"/>
        <v>0</v>
      </c>
      <c r="AC2352" s="846"/>
      <c r="AD2352" s="847"/>
      <c r="AE2352" s="846"/>
      <c r="AF2352" s="846"/>
      <c r="AG2352" s="847"/>
      <c r="AH2352" s="847"/>
      <c r="AI2352" s="742">
        <f t="shared" si="301"/>
        <v>266807</v>
      </c>
      <c r="AJ2352" s="743">
        <f t="shared" si="302"/>
        <v>0</v>
      </c>
    </row>
    <row r="2353" spans="1:36">
      <c r="A2353" s="1410" t="s">
        <v>146</v>
      </c>
      <c r="B2353" s="1146" t="s">
        <v>272</v>
      </c>
      <c r="C2353" s="1137" t="s">
        <v>1813</v>
      </c>
      <c r="D2353" s="1136"/>
      <c r="E2353" s="1420">
        <v>218229</v>
      </c>
      <c r="F2353" s="1110">
        <v>6</v>
      </c>
      <c r="G2353" s="846"/>
      <c r="H2353" s="847"/>
      <c r="I2353" s="846">
        <v>750000</v>
      </c>
      <c r="J2353" s="847"/>
      <c r="K2353" s="846"/>
      <c r="L2353" s="847"/>
      <c r="M2353" s="846"/>
      <c r="N2353" s="846"/>
      <c r="O2353" s="737">
        <f t="shared" si="295"/>
        <v>0</v>
      </c>
      <c r="P2353" s="847"/>
      <c r="Q2353" s="847"/>
      <c r="R2353" s="738">
        <f t="shared" si="298"/>
        <v>0</v>
      </c>
      <c r="S2353" s="737">
        <f t="shared" si="299"/>
        <v>750000</v>
      </c>
      <c r="T2353" s="739">
        <f t="shared" si="300"/>
        <v>0</v>
      </c>
      <c r="U2353" s="846"/>
      <c r="V2353" s="847"/>
      <c r="W2353" s="846"/>
      <c r="X2353" s="846"/>
      <c r="Y2353" s="740">
        <f t="shared" si="296"/>
        <v>0</v>
      </c>
      <c r="Z2353" s="847"/>
      <c r="AA2353" s="847"/>
      <c r="AB2353" s="741">
        <f t="shared" si="297"/>
        <v>0</v>
      </c>
      <c r="AC2353" s="846"/>
      <c r="AD2353" s="847"/>
      <c r="AE2353" s="846"/>
      <c r="AF2353" s="846"/>
      <c r="AG2353" s="847"/>
      <c r="AH2353" s="847"/>
      <c r="AI2353" s="742">
        <f t="shared" si="301"/>
        <v>750000</v>
      </c>
      <c r="AJ2353" s="743">
        <f t="shared" si="302"/>
        <v>0</v>
      </c>
    </row>
    <row r="2354" spans="1:36">
      <c r="A2354" s="1410" t="s">
        <v>146</v>
      </c>
      <c r="B2354" s="1146" t="s">
        <v>272</v>
      </c>
      <c r="C2354" s="1137" t="s">
        <v>1756</v>
      </c>
      <c r="D2354" s="1136"/>
      <c r="E2354" s="1420">
        <v>218229</v>
      </c>
      <c r="F2354" s="1110">
        <v>6</v>
      </c>
      <c r="G2354" s="846"/>
      <c r="H2354" s="847"/>
      <c r="I2354" s="846"/>
      <c r="J2354" s="847">
        <v>3322</v>
      </c>
      <c r="K2354" s="846"/>
      <c r="L2354" s="847"/>
      <c r="M2354" s="846"/>
      <c r="N2354" s="846"/>
      <c r="O2354" s="737">
        <f t="shared" si="295"/>
        <v>0</v>
      </c>
      <c r="P2354" s="847"/>
      <c r="Q2354" s="847"/>
      <c r="R2354" s="738">
        <f t="shared" si="298"/>
        <v>0</v>
      </c>
      <c r="S2354" s="737">
        <f t="shared" si="299"/>
        <v>0</v>
      </c>
      <c r="T2354" s="739">
        <f t="shared" si="300"/>
        <v>3322</v>
      </c>
      <c r="U2354" s="846"/>
      <c r="V2354" s="847"/>
      <c r="W2354" s="846"/>
      <c r="X2354" s="846"/>
      <c r="Y2354" s="740">
        <f t="shared" si="296"/>
        <v>0</v>
      </c>
      <c r="Z2354" s="847"/>
      <c r="AA2354" s="847"/>
      <c r="AB2354" s="741">
        <f t="shared" si="297"/>
        <v>0</v>
      </c>
      <c r="AC2354" s="846"/>
      <c r="AD2354" s="847"/>
      <c r="AE2354" s="846"/>
      <c r="AF2354" s="846"/>
      <c r="AG2354" s="847"/>
      <c r="AH2354" s="847"/>
      <c r="AI2354" s="742">
        <f t="shared" si="301"/>
        <v>0</v>
      </c>
      <c r="AJ2354" s="743">
        <f t="shared" si="302"/>
        <v>3322</v>
      </c>
    </row>
    <row r="2355" spans="1:36">
      <c r="A2355" s="1410" t="s">
        <v>146</v>
      </c>
      <c r="B2355" s="1146" t="s">
        <v>272</v>
      </c>
      <c r="C2355" s="1137" t="s">
        <v>1777</v>
      </c>
      <c r="D2355" s="1136"/>
      <c r="E2355" s="1420">
        <v>218229</v>
      </c>
      <c r="F2355" s="1110">
        <v>6</v>
      </c>
      <c r="G2355" s="846"/>
      <c r="H2355" s="847"/>
      <c r="I2355" s="846">
        <v>364199</v>
      </c>
      <c r="J2355" s="847">
        <v>331314</v>
      </c>
      <c r="K2355" s="846"/>
      <c r="L2355" s="847"/>
      <c r="M2355" s="846"/>
      <c r="N2355" s="846"/>
      <c r="O2355" s="737">
        <f t="shared" si="295"/>
        <v>0</v>
      </c>
      <c r="P2355" s="847"/>
      <c r="Q2355" s="847"/>
      <c r="R2355" s="738">
        <f t="shared" si="298"/>
        <v>0</v>
      </c>
      <c r="S2355" s="737">
        <f t="shared" si="299"/>
        <v>364199</v>
      </c>
      <c r="T2355" s="739">
        <f t="shared" si="300"/>
        <v>331314</v>
      </c>
      <c r="U2355" s="846"/>
      <c r="V2355" s="847"/>
      <c r="W2355" s="846"/>
      <c r="X2355" s="846"/>
      <c r="Y2355" s="740">
        <f t="shared" si="296"/>
        <v>0</v>
      </c>
      <c r="Z2355" s="847"/>
      <c r="AA2355" s="847"/>
      <c r="AB2355" s="741">
        <f t="shared" si="297"/>
        <v>0</v>
      </c>
      <c r="AC2355" s="846"/>
      <c r="AD2355" s="847"/>
      <c r="AE2355" s="846"/>
      <c r="AF2355" s="846"/>
      <c r="AG2355" s="847"/>
      <c r="AH2355" s="847"/>
      <c r="AI2355" s="742">
        <f t="shared" si="301"/>
        <v>364199</v>
      </c>
      <c r="AJ2355" s="743">
        <f t="shared" si="302"/>
        <v>331314</v>
      </c>
    </row>
    <row r="2356" spans="1:36">
      <c r="A2356" s="1410" t="s">
        <v>146</v>
      </c>
      <c r="B2356" s="1146" t="s">
        <v>264</v>
      </c>
      <c r="C2356" s="1411" t="s">
        <v>1814</v>
      </c>
      <c r="D2356" s="1136"/>
      <c r="E2356" s="1420">
        <v>218645</v>
      </c>
      <c r="F2356" s="1110">
        <v>6</v>
      </c>
      <c r="G2356" s="846">
        <v>4997592</v>
      </c>
      <c r="H2356" s="847">
        <v>5377284</v>
      </c>
      <c r="I2356" s="846"/>
      <c r="J2356" s="847"/>
      <c r="K2356" s="846"/>
      <c r="L2356" s="847"/>
      <c r="M2356" s="846">
        <v>28709998</v>
      </c>
      <c r="N2356" s="846">
        <v>1305172</v>
      </c>
      <c r="O2356" s="737">
        <f t="shared" si="295"/>
        <v>30015170</v>
      </c>
      <c r="P2356" s="847">
        <v>28709998</v>
      </c>
      <c r="Q2356" s="847">
        <v>1305172</v>
      </c>
      <c r="R2356" s="738">
        <f t="shared" si="298"/>
        <v>30015170</v>
      </c>
      <c r="S2356" s="737">
        <f t="shared" si="299"/>
        <v>33707590</v>
      </c>
      <c r="T2356" s="739">
        <f t="shared" si="300"/>
        <v>34087282</v>
      </c>
      <c r="U2356" s="846"/>
      <c r="V2356" s="847"/>
      <c r="W2356" s="846"/>
      <c r="X2356" s="846"/>
      <c r="Y2356" s="740">
        <f t="shared" si="296"/>
        <v>0</v>
      </c>
      <c r="Z2356" s="847"/>
      <c r="AA2356" s="847"/>
      <c r="AB2356" s="741">
        <f t="shared" si="297"/>
        <v>0</v>
      </c>
      <c r="AC2356" s="846"/>
      <c r="AD2356" s="847"/>
      <c r="AE2356" s="846"/>
      <c r="AF2356" s="846"/>
      <c r="AG2356" s="847"/>
      <c r="AH2356" s="847"/>
      <c r="AI2356" s="742">
        <f t="shared" si="301"/>
        <v>33707590</v>
      </c>
      <c r="AJ2356" s="743">
        <f t="shared" si="302"/>
        <v>34087282</v>
      </c>
    </row>
    <row r="2357" spans="1:36">
      <c r="A2357" s="1410" t="s">
        <v>146</v>
      </c>
      <c r="B2357" s="1146" t="s">
        <v>264</v>
      </c>
      <c r="C2357" s="1137" t="s">
        <v>1746</v>
      </c>
      <c r="D2357" s="1136"/>
      <c r="E2357" s="1420">
        <v>218645</v>
      </c>
      <c r="F2357" s="1110">
        <v>6</v>
      </c>
      <c r="G2357" s="846">
        <v>1315210</v>
      </c>
      <c r="H2357" s="847">
        <v>1398816</v>
      </c>
      <c r="I2357" s="846"/>
      <c r="J2357" s="847"/>
      <c r="K2357" s="846"/>
      <c r="L2357" s="847"/>
      <c r="M2357" s="846"/>
      <c r="N2357" s="846"/>
      <c r="O2357" s="737">
        <f t="shared" si="295"/>
        <v>0</v>
      </c>
      <c r="P2357" s="847"/>
      <c r="Q2357" s="847"/>
      <c r="R2357" s="738">
        <f t="shared" si="298"/>
        <v>0</v>
      </c>
      <c r="S2357" s="737">
        <f t="shared" si="299"/>
        <v>1315210</v>
      </c>
      <c r="T2357" s="739">
        <f t="shared" si="300"/>
        <v>1398816</v>
      </c>
      <c r="U2357" s="846"/>
      <c r="V2357" s="847"/>
      <c r="W2357" s="846"/>
      <c r="X2357" s="846"/>
      <c r="Y2357" s="740">
        <f t="shared" si="296"/>
        <v>0</v>
      </c>
      <c r="Z2357" s="847"/>
      <c r="AA2357" s="847"/>
      <c r="AB2357" s="741">
        <f t="shared" si="297"/>
        <v>0</v>
      </c>
      <c r="AC2357" s="846"/>
      <c r="AD2357" s="847"/>
      <c r="AE2357" s="846"/>
      <c r="AF2357" s="846"/>
      <c r="AG2357" s="847"/>
      <c r="AH2357" s="847"/>
      <c r="AI2357" s="742">
        <f t="shared" si="301"/>
        <v>1315210</v>
      </c>
      <c r="AJ2357" s="743">
        <f t="shared" si="302"/>
        <v>1398816</v>
      </c>
    </row>
    <row r="2358" spans="1:36">
      <c r="A2358" s="1410" t="s">
        <v>146</v>
      </c>
      <c r="B2358" s="1146" t="s">
        <v>272</v>
      </c>
      <c r="C2358" s="1135" t="s">
        <v>842</v>
      </c>
      <c r="D2358" s="1136"/>
      <c r="E2358" s="1420">
        <v>218645</v>
      </c>
      <c r="F2358" s="1110">
        <v>6</v>
      </c>
      <c r="G2358" s="846"/>
      <c r="H2358" s="847"/>
      <c r="I2358" s="846"/>
      <c r="J2358" s="847"/>
      <c r="K2358" s="846"/>
      <c r="L2358" s="847"/>
      <c r="M2358" s="846"/>
      <c r="N2358" s="846"/>
      <c r="O2358" s="737">
        <f t="shared" si="295"/>
        <v>0</v>
      </c>
      <c r="P2358" s="847"/>
      <c r="Q2358" s="847"/>
      <c r="R2358" s="738">
        <f t="shared" si="298"/>
        <v>0</v>
      </c>
      <c r="S2358" s="737">
        <f t="shared" si="299"/>
        <v>0</v>
      </c>
      <c r="T2358" s="739">
        <f t="shared" si="300"/>
        <v>0</v>
      </c>
      <c r="U2358" s="846"/>
      <c r="V2358" s="847"/>
      <c r="W2358" s="846"/>
      <c r="X2358" s="846"/>
      <c r="Y2358" s="740">
        <f t="shared" si="296"/>
        <v>0</v>
      </c>
      <c r="Z2358" s="847"/>
      <c r="AA2358" s="847"/>
      <c r="AB2358" s="741">
        <f t="shared" si="297"/>
        <v>0</v>
      </c>
      <c r="AC2358" s="846"/>
      <c r="AD2358" s="847"/>
      <c r="AE2358" s="846"/>
      <c r="AF2358" s="846"/>
      <c r="AG2358" s="847"/>
      <c r="AH2358" s="847"/>
      <c r="AI2358" s="742">
        <f t="shared" si="301"/>
        <v>0</v>
      </c>
      <c r="AJ2358" s="743">
        <f t="shared" si="302"/>
        <v>0</v>
      </c>
    </row>
    <row r="2359" spans="1:36">
      <c r="A2359" s="1410" t="s">
        <v>146</v>
      </c>
      <c r="B2359" s="1146" t="s">
        <v>272</v>
      </c>
      <c r="C2359" s="1137" t="s">
        <v>1753</v>
      </c>
      <c r="D2359" s="1136"/>
      <c r="E2359" s="1420">
        <v>218645</v>
      </c>
      <c r="F2359" s="1110">
        <v>6</v>
      </c>
      <c r="G2359" s="846"/>
      <c r="H2359" s="847"/>
      <c r="I2359" s="846"/>
      <c r="J2359" s="847"/>
      <c r="K2359" s="846"/>
      <c r="L2359" s="847"/>
      <c r="M2359" s="846"/>
      <c r="N2359" s="846"/>
      <c r="O2359" s="737">
        <f t="shared" si="295"/>
        <v>0</v>
      </c>
      <c r="P2359" s="847"/>
      <c r="Q2359" s="847"/>
      <c r="R2359" s="738">
        <f t="shared" si="298"/>
        <v>0</v>
      </c>
      <c r="S2359" s="737">
        <f t="shared" si="299"/>
        <v>0</v>
      </c>
      <c r="T2359" s="739">
        <f t="shared" si="300"/>
        <v>0</v>
      </c>
      <c r="U2359" s="846"/>
      <c r="V2359" s="847"/>
      <c r="W2359" s="846"/>
      <c r="X2359" s="846"/>
      <c r="Y2359" s="740">
        <f t="shared" si="296"/>
        <v>0</v>
      </c>
      <c r="Z2359" s="847"/>
      <c r="AA2359" s="847"/>
      <c r="AB2359" s="741">
        <f t="shared" si="297"/>
        <v>0</v>
      </c>
      <c r="AC2359" s="846"/>
      <c r="AD2359" s="847"/>
      <c r="AE2359" s="846"/>
      <c r="AF2359" s="846"/>
      <c r="AG2359" s="847"/>
      <c r="AH2359" s="847"/>
      <c r="AI2359" s="742">
        <f t="shared" si="301"/>
        <v>0</v>
      </c>
      <c r="AJ2359" s="743">
        <f t="shared" si="302"/>
        <v>0</v>
      </c>
    </row>
    <row r="2360" spans="1:36">
      <c r="A2360" s="1410" t="s">
        <v>146</v>
      </c>
      <c r="B2360" s="1146" t="s">
        <v>272</v>
      </c>
      <c r="C2360" s="1137" t="s">
        <v>1815</v>
      </c>
      <c r="D2360" s="1136"/>
      <c r="E2360" s="1420">
        <v>218645</v>
      </c>
      <c r="F2360" s="1110">
        <v>6</v>
      </c>
      <c r="G2360" s="846"/>
      <c r="H2360" s="847"/>
      <c r="I2360" s="846">
        <v>250000</v>
      </c>
      <c r="J2360" s="847"/>
      <c r="K2360" s="846"/>
      <c r="L2360" s="847"/>
      <c r="M2360" s="846"/>
      <c r="N2360" s="846"/>
      <c r="O2360" s="737">
        <f t="shared" si="295"/>
        <v>0</v>
      </c>
      <c r="P2360" s="847"/>
      <c r="Q2360" s="847"/>
      <c r="R2360" s="738">
        <f t="shared" si="298"/>
        <v>0</v>
      </c>
      <c r="S2360" s="737">
        <f t="shared" si="299"/>
        <v>250000</v>
      </c>
      <c r="T2360" s="739">
        <f t="shared" si="300"/>
        <v>0</v>
      </c>
      <c r="U2360" s="846"/>
      <c r="V2360" s="847"/>
      <c r="W2360" s="846"/>
      <c r="X2360" s="846"/>
      <c r="Y2360" s="740">
        <f t="shared" si="296"/>
        <v>0</v>
      </c>
      <c r="Z2360" s="847"/>
      <c r="AA2360" s="847"/>
      <c r="AB2360" s="741">
        <f t="shared" si="297"/>
        <v>0</v>
      </c>
      <c r="AC2360" s="846"/>
      <c r="AD2360" s="847"/>
      <c r="AE2360" s="846"/>
      <c r="AF2360" s="846"/>
      <c r="AG2360" s="847"/>
      <c r="AH2360" s="847"/>
      <c r="AI2360" s="742">
        <f t="shared" si="301"/>
        <v>250000</v>
      </c>
      <c r="AJ2360" s="743">
        <f t="shared" si="302"/>
        <v>0</v>
      </c>
    </row>
    <row r="2361" spans="1:36">
      <c r="A2361" s="1410" t="s">
        <v>146</v>
      </c>
      <c r="B2361" s="1146" t="s">
        <v>272</v>
      </c>
      <c r="C2361" s="1137" t="s">
        <v>1816</v>
      </c>
      <c r="D2361" s="1136"/>
      <c r="E2361" s="1420">
        <v>218645</v>
      </c>
      <c r="F2361" s="1110">
        <v>6</v>
      </c>
      <c r="G2361" s="846"/>
      <c r="H2361" s="847"/>
      <c r="I2361" s="846">
        <v>474500</v>
      </c>
      <c r="J2361" s="847">
        <v>280500</v>
      </c>
      <c r="K2361" s="846"/>
      <c r="L2361" s="847"/>
      <c r="M2361" s="846"/>
      <c r="N2361" s="846"/>
      <c r="O2361" s="737">
        <f t="shared" si="295"/>
        <v>0</v>
      </c>
      <c r="P2361" s="847"/>
      <c r="Q2361" s="847"/>
      <c r="R2361" s="738">
        <f t="shared" si="298"/>
        <v>0</v>
      </c>
      <c r="S2361" s="737">
        <f t="shared" si="299"/>
        <v>474500</v>
      </c>
      <c r="T2361" s="739">
        <f t="shared" si="300"/>
        <v>280500</v>
      </c>
      <c r="U2361" s="846"/>
      <c r="V2361" s="847"/>
      <c r="W2361" s="846"/>
      <c r="X2361" s="846"/>
      <c r="Y2361" s="740">
        <f t="shared" si="296"/>
        <v>0</v>
      </c>
      <c r="Z2361" s="847"/>
      <c r="AA2361" s="847"/>
      <c r="AB2361" s="741">
        <f t="shared" si="297"/>
        <v>0</v>
      </c>
      <c r="AC2361" s="846"/>
      <c r="AD2361" s="847"/>
      <c r="AE2361" s="846"/>
      <c r="AF2361" s="846"/>
      <c r="AG2361" s="847"/>
      <c r="AH2361" s="847"/>
      <c r="AI2361" s="742">
        <f t="shared" si="301"/>
        <v>474500</v>
      </c>
      <c r="AJ2361" s="743">
        <f t="shared" si="302"/>
        <v>280500</v>
      </c>
    </row>
    <row r="2362" spans="1:36">
      <c r="A2362" s="1410" t="s">
        <v>146</v>
      </c>
      <c r="B2362" s="1146" t="s">
        <v>272</v>
      </c>
      <c r="C2362" s="1137" t="s">
        <v>1817</v>
      </c>
      <c r="D2362" s="1136"/>
      <c r="E2362" s="1420">
        <v>218645</v>
      </c>
      <c r="F2362" s="1110">
        <v>6</v>
      </c>
      <c r="G2362" s="846"/>
      <c r="H2362" s="847"/>
      <c r="I2362" s="846">
        <v>575000</v>
      </c>
      <c r="J2362" s="847"/>
      <c r="K2362" s="846"/>
      <c r="L2362" s="847"/>
      <c r="M2362" s="846"/>
      <c r="N2362" s="846"/>
      <c r="O2362" s="737">
        <f t="shared" si="295"/>
        <v>0</v>
      </c>
      <c r="P2362" s="847"/>
      <c r="Q2362" s="847"/>
      <c r="R2362" s="738">
        <f t="shared" si="298"/>
        <v>0</v>
      </c>
      <c r="S2362" s="737">
        <f t="shared" si="299"/>
        <v>575000</v>
      </c>
      <c r="T2362" s="739">
        <f t="shared" si="300"/>
        <v>0</v>
      </c>
      <c r="U2362" s="846"/>
      <c r="V2362" s="847"/>
      <c r="W2362" s="846"/>
      <c r="X2362" s="846"/>
      <c r="Y2362" s="740">
        <f t="shared" si="296"/>
        <v>0</v>
      </c>
      <c r="Z2362" s="847"/>
      <c r="AA2362" s="847"/>
      <c r="AB2362" s="741">
        <f t="shared" si="297"/>
        <v>0</v>
      </c>
      <c r="AC2362" s="846"/>
      <c r="AD2362" s="847"/>
      <c r="AE2362" s="846"/>
      <c r="AF2362" s="846"/>
      <c r="AG2362" s="847"/>
      <c r="AH2362" s="847"/>
      <c r="AI2362" s="742">
        <f t="shared" si="301"/>
        <v>575000</v>
      </c>
      <c r="AJ2362" s="743">
        <f t="shared" si="302"/>
        <v>0</v>
      </c>
    </row>
    <row r="2363" spans="1:36">
      <c r="A2363" s="1410" t="s">
        <v>146</v>
      </c>
      <c r="B2363" s="1146" t="s">
        <v>272</v>
      </c>
      <c r="C2363" s="1137" t="s">
        <v>1754</v>
      </c>
      <c r="D2363" s="1136"/>
      <c r="E2363" s="1420">
        <v>218645</v>
      </c>
      <c r="F2363" s="1110">
        <v>6</v>
      </c>
      <c r="G2363" s="846"/>
      <c r="H2363" s="847"/>
      <c r="I2363" s="846">
        <v>270221</v>
      </c>
      <c r="J2363" s="847"/>
      <c r="K2363" s="846"/>
      <c r="L2363" s="847"/>
      <c r="M2363" s="846"/>
      <c r="N2363" s="846"/>
      <c r="O2363" s="737">
        <f t="shared" si="295"/>
        <v>0</v>
      </c>
      <c r="P2363" s="847"/>
      <c r="Q2363" s="847"/>
      <c r="R2363" s="738">
        <f t="shared" si="298"/>
        <v>0</v>
      </c>
      <c r="S2363" s="737">
        <f t="shared" si="299"/>
        <v>270221</v>
      </c>
      <c r="T2363" s="739">
        <f t="shared" si="300"/>
        <v>0</v>
      </c>
      <c r="U2363" s="846"/>
      <c r="V2363" s="847"/>
      <c r="W2363" s="846"/>
      <c r="X2363" s="846"/>
      <c r="Y2363" s="740">
        <f t="shared" si="296"/>
        <v>0</v>
      </c>
      <c r="Z2363" s="847"/>
      <c r="AA2363" s="847"/>
      <c r="AB2363" s="741">
        <f t="shared" si="297"/>
        <v>0</v>
      </c>
      <c r="AC2363" s="846"/>
      <c r="AD2363" s="847"/>
      <c r="AE2363" s="846"/>
      <c r="AF2363" s="846"/>
      <c r="AG2363" s="847"/>
      <c r="AH2363" s="847"/>
      <c r="AI2363" s="742">
        <f t="shared" si="301"/>
        <v>270221</v>
      </c>
      <c r="AJ2363" s="743">
        <f t="shared" si="302"/>
        <v>0</v>
      </c>
    </row>
    <row r="2364" spans="1:36">
      <c r="A2364" s="1410" t="s">
        <v>146</v>
      </c>
      <c r="B2364" s="1146" t="s">
        <v>272</v>
      </c>
      <c r="C2364" s="1414" t="s">
        <v>1784</v>
      </c>
      <c r="D2364" s="1136"/>
      <c r="E2364" s="1420">
        <v>218645</v>
      </c>
      <c r="F2364" s="1110">
        <v>6</v>
      </c>
      <c r="G2364" s="846"/>
      <c r="H2364" s="847"/>
      <c r="I2364" s="846"/>
      <c r="J2364" s="847">
        <v>81573</v>
      </c>
      <c r="K2364" s="846"/>
      <c r="L2364" s="847"/>
      <c r="M2364" s="846"/>
      <c r="N2364" s="846"/>
      <c r="O2364" s="737">
        <f t="shared" si="295"/>
        <v>0</v>
      </c>
      <c r="P2364" s="847"/>
      <c r="Q2364" s="847"/>
      <c r="R2364" s="738">
        <f t="shared" si="298"/>
        <v>0</v>
      </c>
      <c r="S2364" s="737">
        <f t="shared" si="299"/>
        <v>0</v>
      </c>
      <c r="T2364" s="739">
        <f t="shared" si="300"/>
        <v>81573</v>
      </c>
      <c r="U2364" s="846"/>
      <c r="V2364" s="847"/>
      <c r="W2364" s="846"/>
      <c r="X2364" s="846"/>
      <c r="Y2364" s="740">
        <f t="shared" si="296"/>
        <v>0</v>
      </c>
      <c r="Z2364" s="847"/>
      <c r="AA2364" s="847"/>
      <c r="AB2364" s="741">
        <f t="shared" si="297"/>
        <v>0</v>
      </c>
      <c r="AC2364" s="846"/>
      <c r="AD2364" s="847"/>
      <c r="AE2364" s="846"/>
      <c r="AF2364" s="846"/>
      <c r="AG2364" s="847"/>
      <c r="AH2364" s="847"/>
      <c r="AI2364" s="742">
        <f t="shared" si="301"/>
        <v>0</v>
      </c>
      <c r="AJ2364" s="743">
        <f t="shared" si="302"/>
        <v>81573</v>
      </c>
    </row>
    <row r="2365" spans="1:36">
      <c r="A2365" s="1410" t="s">
        <v>146</v>
      </c>
      <c r="B2365" s="1146" t="s">
        <v>272</v>
      </c>
      <c r="C2365" s="1414" t="s">
        <v>1758</v>
      </c>
      <c r="D2365" s="1136"/>
      <c r="E2365" s="1420">
        <v>218645</v>
      </c>
      <c r="F2365" s="1110">
        <v>6</v>
      </c>
      <c r="G2365" s="846"/>
      <c r="H2365" s="847"/>
      <c r="I2365" s="846"/>
      <c r="J2365" s="847">
        <v>58922</v>
      </c>
      <c r="K2365" s="846"/>
      <c r="L2365" s="847"/>
      <c r="M2365" s="846"/>
      <c r="N2365" s="846"/>
      <c r="O2365" s="737">
        <f t="shared" si="295"/>
        <v>0</v>
      </c>
      <c r="P2365" s="847"/>
      <c r="Q2365" s="847"/>
      <c r="R2365" s="738">
        <f t="shared" si="298"/>
        <v>0</v>
      </c>
      <c r="S2365" s="737">
        <f t="shared" si="299"/>
        <v>0</v>
      </c>
      <c r="T2365" s="739">
        <f t="shared" si="300"/>
        <v>58922</v>
      </c>
      <c r="U2365" s="846"/>
      <c r="V2365" s="847"/>
      <c r="W2365" s="846"/>
      <c r="X2365" s="846"/>
      <c r="Y2365" s="740">
        <f t="shared" si="296"/>
        <v>0</v>
      </c>
      <c r="Z2365" s="847"/>
      <c r="AA2365" s="847"/>
      <c r="AB2365" s="741">
        <f t="shared" si="297"/>
        <v>0</v>
      </c>
      <c r="AC2365" s="846"/>
      <c r="AD2365" s="847"/>
      <c r="AE2365" s="846"/>
      <c r="AF2365" s="846"/>
      <c r="AG2365" s="847"/>
      <c r="AH2365" s="847"/>
      <c r="AI2365" s="742">
        <f t="shared" si="301"/>
        <v>0</v>
      </c>
      <c r="AJ2365" s="743">
        <f t="shared" si="302"/>
        <v>58922</v>
      </c>
    </row>
    <row r="2366" spans="1:36">
      <c r="A2366" s="1410" t="s">
        <v>146</v>
      </c>
      <c r="B2366" s="1146" t="s">
        <v>272</v>
      </c>
      <c r="C2366" s="1137" t="s">
        <v>1756</v>
      </c>
      <c r="D2366" s="1136"/>
      <c r="E2366" s="1420">
        <v>218645</v>
      </c>
      <c r="F2366" s="1110">
        <v>6</v>
      </c>
      <c r="G2366" s="846"/>
      <c r="H2366" s="847"/>
      <c r="I2366" s="846">
        <v>4148</v>
      </c>
      <c r="J2366" s="847">
        <v>3530</v>
      </c>
      <c r="K2366" s="846"/>
      <c r="L2366" s="847"/>
      <c r="M2366" s="846"/>
      <c r="N2366" s="846"/>
      <c r="O2366" s="737">
        <f t="shared" si="295"/>
        <v>0</v>
      </c>
      <c r="P2366" s="847"/>
      <c r="Q2366" s="847"/>
      <c r="R2366" s="738">
        <f t="shared" si="298"/>
        <v>0</v>
      </c>
      <c r="S2366" s="737">
        <f t="shared" si="299"/>
        <v>4148</v>
      </c>
      <c r="T2366" s="739">
        <f t="shared" si="300"/>
        <v>3530</v>
      </c>
      <c r="U2366" s="846"/>
      <c r="V2366" s="847"/>
      <c r="W2366" s="846"/>
      <c r="X2366" s="846"/>
      <c r="Y2366" s="740">
        <f t="shared" si="296"/>
        <v>0</v>
      </c>
      <c r="Z2366" s="847"/>
      <c r="AA2366" s="847"/>
      <c r="AB2366" s="741">
        <f t="shared" si="297"/>
        <v>0</v>
      </c>
      <c r="AC2366" s="846"/>
      <c r="AD2366" s="847"/>
      <c r="AE2366" s="846"/>
      <c r="AF2366" s="846"/>
      <c r="AG2366" s="847"/>
      <c r="AH2366" s="847"/>
      <c r="AI2366" s="742">
        <f t="shared" si="301"/>
        <v>4148</v>
      </c>
      <c r="AJ2366" s="743">
        <f t="shared" si="302"/>
        <v>3530</v>
      </c>
    </row>
    <row r="2367" spans="1:36">
      <c r="A2367" s="1410" t="s">
        <v>146</v>
      </c>
      <c r="B2367" s="1146" t="s">
        <v>272</v>
      </c>
      <c r="C2367" s="1137" t="s">
        <v>1777</v>
      </c>
      <c r="D2367" s="1136"/>
      <c r="E2367" s="1420">
        <v>218645</v>
      </c>
      <c r="F2367" s="1110">
        <v>6</v>
      </c>
      <c r="G2367" s="846"/>
      <c r="H2367" s="847"/>
      <c r="I2367" s="846">
        <v>357395</v>
      </c>
      <c r="J2367" s="847">
        <v>333720</v>
      </c>
      <c r="K2367" s="846"/>
      <c r="L2367" s="847"/>
      <c r="M2367" s="846"/>
      <c r="N2367" s="846"/>
      <c r="O2367" s="737">
        <f t="shared" si="295"/>
        <v>0</v>
      </c>
      <c r="P2367" s="847"/>
      <c r="Q2367" s="847"/>
      <c r="R2367" s="738">
        <f t="shared" si="298"/>
        <v>0</v>
      </c>
      <c r="S2367" s="737">
        <f t="shared" si="299"/>
        <v>357395</v>
      </c>
      <c r="T2367" s="739">
        <f t="shared" si="300"/>
        <v>333720</v>
      </c>
      <c r="U2367" s="846"/>
      <c r="V2367" s="847"/>
      <c r="W2367" s="846"/>
      <c r="X2367" s="846"/>
      <c r="Y2367" s="740">
        <f t="shared" si="296"/>
        <v>0</v>
      </c>
      <c r="Z2367" s="847"/>
      <c r="AA2367" s="847"/>
      <c r="AB2367" s="741">
        <f t="shared" si="297"/>
        <v>0</v>
      </c>
      <c r="AC2367" s="846"/>
      <c r="AD2367" s="847"/>
      <c r="AE2367" s="846"/>
      <c r="AF2367" s="846"/>
      <c r="AG2367" s="847"/>
      <c r="AH2367" s="847"/>
      <c r="AI2367" s="742">
        <f t="shared" si="301"/>
        <v>357395</v>
      </c>
      <c r="AJ2367" s="743">
        <f t="shared" si="302"/>
        <v>333720</v>
      </c>
    </row>
    <row r="2368" spans="1:36">
      <c r="A2368" s="1410" t="s">
        <v>146</v>
      </c>
      <c r="B2368" s="1146" t="s">
        <v>272</v>
      </c>
      <c r="C2368" s="1414" t="s">
        <v>1792</v>
      </c>
      <c r="D2368" s="1136"/>
      <c r="E2368" s="1420">
        <v>218645</v>
      </c>
      <c r="F2368" s="1110">
        <v>6</v>
      </c>
      <c r="G2368" s="846"/>
      <c r="H2368" s="847"/>
      <c r="I2368" s="846"/>
      <c r="J2368" s="847">
        <v>300000</v>
      </c>
      <c r="K2368" s="846"/>
      <c r="L2368" s="847"/>
      <c r="M2368" s="846"/>
      <c r="N2368" s="846"/>
      <c r="O2368" s="737">
        <f t="shared" si="295"/>
        <v>0</v>
      </c>
      <c r="P2368" s="847"/>
      <c r="Q2368" s="847"/>
      <c r="R2368" s="738">
        <f t="shared" si="298"/>
        <v>0</v>
      </c>
      <c r="S2368" s="737">
        <f t="shared" si="299"/>
        <v>0</v>
      </c>
      <c r="T2368" s="739">
        <f t="shared" si="300"/>
        <v>300000</v>
      </c>
      <c r="U2368" s="846"/>
      <c r="V2368" s="847"/>
      <c r="W2368" s="846"/>
      <c r="X2368" s="846"/>
      <c r="Y2368" s="740">
        <f t="shared" si="296"/>
        <v>0</v>
      </c>
      <c r="Z2368" s="847"/>
      <c r="AA2368" s="847"/>
      <c r="AB2368" s="741">
        <f t="shared" si="297"/>
        <v>0</v>
      </c>
      <c r="AC2368" s="846"/>
      <c r="AD2368" s="847"/>
      <c r="AE2368" s="846"/>
      <c r="AF2368" s="846"/>
      <c r="AG2368" s="847"/>
      <c r="AH2368" s="847"/>
      <c r="AI2368" s="742">
        <f t="shared" si="301"/>
        <v>0</v>
      </c>
      <c r="AJ2368" s="743">
        <f t="shared" si="302"/>
        <v>300000</v>
      </c>
    </row>
    <row r="2369" spans="1:36">
      <c r="A2369" s="1410" t="s">
        <v>146</v>
      </c>
      <c r="B2369" s="1146" t="s">
        <v>264</v>
      </c>
      <c r="C2369" s="1122" t="s">
        <v>1818</v>
      </c>
      <c r="D2369" s="1136"/>
      <c r="E2369" s="1435">
        <v>218654</v>
      </c>
      <c r="F2369" s="1110">
        <v>6</v>
      </c>
      <c r="G2369" s="846">
        <v>1145720</v>
      </c>
      <c r="H2369" s="847">
        <v>2403695</v>
      </c>
      <c r="I2369" s="846"/>
      <c r="J2369" s="847"/>
      <c r="K2369" s="846"/>
      <c r="L2369" s="847"/>
      <c r="M2369" s="846">
        <v>15689191</v>
      </c>
      <c r="N2369" s="846">
        <v>224078</v>
      </c>
      <c r="O2369" s="737">
        <f t="shared" si="295"/>
        <v>15913269</v>
      </c>
      <c r="P2369" s="847">
        <v>15624208</v>
      </c>
      <c r="Q2369" s="847">
        <v>270150</v>
      </c>
      <c r="R2369" s="738">
        <f t="shared" si="298"/>
        <v>15894358</v>
      </c>
      <c r="S2369" s="737">
        <f t="shared" si="299"/>
        <v>16834911</v>
      </c>
      <c r="T2369" s="739">
        <f t="shared" si="300"/>
        <v>18027903</v>
      </c>
      <c r="U2369" s="846"/>
      <c r="V2369" s="847"/>
      <c r="W2369" s="846"/>
      <c r="X2369" s="846"/>
      <c r="Y2369" s="740">
        <f t="shared" si="296"/>
        <v>0</v>
      </c>
      <c r="Z2369" s="847"/>
      <c r="AA2369" s="847"/>
      <c r="AB2369" s="741">
        <f t="shared" si="297"/>
        <v>0</v>
      </c>
      <c r="AC2369" s="846"/>
      <c r="AD2369" s="847"/>
      <c r="AE2369" s="846"/>
      <c r="AF2369" s="846"/>
      <c r="AG2369" s="847"/>
      <c r="AH2369" s="847"/>
      <c r="AI2369" s="742">
        <f t="shared" si="301"/>
        <v>16834911</v>
      </c>
      <c r="AJ2369" s="743">
        <f t="shared" si="302"/>
        <v>18027903</v>
      </c>
    </row>
    <row r="2370" spans="1:36">
      <c r="A2370" s="1410" t="s">
        <v>146</v>
      </c>
      <c r="B2370" s="1146" t="s">
        <v>264</v>
      </c>
      <c r="C2370" s="1137" t="s">
        <v>1746</v>
      </c>
      <c r="D2370" s="1136"/>
      <c r="E2370" s="1420">
        <v>218654</v>
      </c>
      <c r="F2370" s="1110">
        <v>6</v>
      </c>
      <c r="G2370" s="846">
        <v>302775</v>
      </c>
      <c r="H2370" s="847">
        <v>326497</v>
      </c>
      <c r="I2370" s="846"/>
      <c r="J2370" s="847"/>
      <c r="K2370" s="846"/>
      <c r="L2370" s="847"/>
      <c r="M2370" s="846"/>
      <c r="N2370" s="846"/>
      <c r="O2370" s="737">
        <f t="shared" si="295"/>
        <v>0</v>
      </c>
      <c r="P2370" s="847"/>
      <c r="Q2370" s="847"/>
      <c r="R2370" s="738">
        <f t="shared" si="298"/>
        <v>0</v>
      </c>
      <c r="S2370" s="737">
        <f t="shared" si="299"/>
        <v>302775</v>
      </c>
      <c r="T2370" s="739">
        <f t="shared" si="300"/>
        <v>326497</v>
      </c>
      <c r="U2370" s="846"/>
      <c r="V2370" s="847"/>
      <c r="W2370" s="846"/>
      <c r="X2370" s="846"/>
      <c r="Y2370" s="740">
        <f t="shared" si="296"/>
        <v>0</v>
      </c>
      <c r="Z2370" s="847"/>
      <c r="AA2370" s="847"/>
      <c r="AB2370" s="741">
        <f t="shared" si="297"/>
        <v>0</v>
      </c>
      <c r="AC2370" s="846"/>
      <c r="AD2370" s="847"/>
      <c r="AE2370" s="846"/>
      <c r="AF2370" s="846"/>
      <c r="AG2370" s="847"/>
      <c r="AH2370" s="847"/>
      <c r="AI2370" s="742">
        <f t="shared" si="301"/>
        <v>302775</v>
      </c>
      <c r="AJ2370" s="743">
        <f t="shared" si="302"/>
        <v>326497</v>
      </c>
    </row>
    <row r="2371" spans="1:36">
      <c r="A2371" s="1410" t="s">
        <v>146</v>
      </c>
      <c r="B2371" s="1146" t="s">
        <v>266</v>
      </c>
      <c r="C2371" s="1415" t="s">
        <v>319</v>
      </c>
      <c r="D2371" s="1136"/>
      <c r="E2371" s="1420">
        <v>218654</v>
      </c>
      <c r="F2371" s="1110">
        <v>6</v>
      </c>
      <c r="G2371" s="846"/>
      <c r="H2371" s="847"/>
      <c r="I2371" s="846"/>
      <c r="J2371" s="847"/>
      <c r="K2371" s="846"/>
      <c r="L2371" s="847"/>
      <c r="M2371" s="846"/>
      <c r="N2371" s="846"/>
      <c r="O2371" s="737">
        <f t="shared" si="295"/>
        <v>0</v>
      </c>
      <c r="P2371" s="847"/>
      <c r="Q2371" s="847"/>
      <c r="R2371" s="738">
        <f t="shared" si="298"/>
        <v>0</v>
      </c>
      <c r="S2371" s="737">
        <f t="shared" si="299"/>
        <v>0</v>
      </c>
      <c r="T2371" s="739">
        <f t="shared" si="300"/>
        <v>0</v>
      </c>
      <c r="U2371" s="846"/>
      <c r="V2371" s="847"/>
      <c r="W2371" s="846"/>
      <c r="X2371" s="846"/>
      <c r="Y2371" s="740">
        <f t="shared" si="296"/>
        <v>0</v>
      </c>
      <c r="Z2371" s="847"/>
      <c r="AA2371" s="847"/>
      <c r="AB2371" s="741">
        <f t="shared" si="297"/>
        <v>0</v>
      </c>
      <c r="AC2371" s="846"/>
      <c r="AD2371" s="847"/>
      <c r="AE2371" s="846"/>
      <c r="AF2371" s="846"/>
      <c r="AG2371" s="847"/>
      <c r="AH2371" s="847"/>
      <c r="AI2371" s="742">
        <f t="shared" si="301"/>
        <v>0</v>
      </c>
      <c r="AJ2371" s="743">
        <f t="shared" si="302"/>
        <v>0</v>
      </c>
    </row>
    <row r="2372" spans="1:36">
      <c r="A2372" s="1410" t="s">
        <v>146</v>
      </c>
      <c r="B2372" s="1146" t="s">
        <v>272</v>
      </c>
      <c r="C2372" s="1135" t="s">
        <v>842</v>
      </c>
      <c r="D2372" s="1136"/>
      <c r="E2372" s="1420">
        <v>218654</v>
      </c>
      <c r="F2372" s="1110">
        <v>6</v>
      </c>
      <c r="G2372" s="846"/>
      <c r="H2372" s="847"/>
      <c r="I2372" s="846"/>
      <c r="J2372" s="847"/>
      <c r="K2372" s="846"/>
      <c r="L2372" s="847"/>
      <c r="M2372" s="846"/>
      <c r="N2372" s="846"/>
      <c r="O2372" s="737">
        <f t="shared" si="295"/>
        <v>0</v>
      </c>
      <c r="P2372" s="847"/>
      <c r="Q2372" s="847"/>
      <c r="R2372" s="738">
        <f t="shared" si="298"/>
        <v>0</v>
      </c>
      <c r="S2372" s="737">
        <f t="shared" si="299"/>
        <v>0</v>
      </c>
      <c r="T2372" s="739">
        <f t="shared" si="300"/>
        <v>0</v>
      </c>
      <c r="U2372" s="846"/>
      <c r="V2372" s="847"/>
      <c r="W2372" s="846"/>
      <c r="X2372" s="846"/>
      <c r="Y2372" s="740">
        <f t="shared" si="296"/>
        <v>0</v>
      </c>
      <c r="Z2372" s="847"/>
      <c r="AA2372" s="847"/>
      <c r="AB2372" s="741">
        <f t="shared" si="297"/>
        <v>0</v>
      </c>
      <c r="AC2372" s="846"/>
      <c r="AD2372" s="847"/>
      <c r="AE2372" s="846"/>
      <c r="AF2372" s="846"/>
      <c r="AG2372" s="847"/>
      <c r="AH2372" s="847"/>
      <c r="AI2372" s="742">
        <f t="shared" si="301"/>
        <v>0</v>
      </c>
      <c r="AJ2372" s="743">
        <f t="shared" si="302"/>
        <v>0</v>
      </c>
    </row>
    <row r="2373" spans="1:36">
      <c r="A2373" s="1410" t="s">
        <v>146</v>
      </c>
      <c r="B2373" s="1146" t="s">
        <v>272</v>
      </c>
      <c r="C2373" s="1137" t="s">
        <v>1753</v>
      </c>
      <c r="D2373" s="1136"/>
      <c r="E2373" s="1420">
        <v>218654</v>
      </c>
      <c r="F2373" s="1110">
        <v>6</v>
      </c>
      <c r="G2373" s="846"/>
      <c r="H2373" s="847"/>
      <c r="I2373" s="846"/>
      <c r="J2373" s="847"/>
      <c r="K2373" s="846"/>
      <c r="L2373" s="847"/>
      <c r="M2373" s="846"/>
      <c r="N2373" s="846"/>
      <c r="O2373" s="737">
        <f t="shared" si="295"/>
        <v>0</v>
      </c>
      <c r="P2373" s="847"/>
      <c r="Q2373" s="847"/>
      <c r="R2373" s="738">
        <f t="shared" si="298"/>
        <v>0</v>
      </c>
      <c r="S2373" s="737">
        <f t="shared" si="299"/>
        <v>0</v>
      </c>
      <c r="T2373" s="739">
        <f t="shared" si="300"/>
        <v>0</v>
      </c>
      <c r="U2373" s="846"/>
      <c r="V2373" s="847"/>
      <c r="W2373" s="846"/>
      <c r="X2373" s="846"/>
      <c r="Y2373" s="740">
        <f t="shared" si="296"/>
        <v>0</v>
      </c>
      <c r="Z2373" s="847"/>
      <c r="AA2373" s="847"/>
      <c r="AB2373" s="741">
        <f t="shared" si="297"/>
        <v>0</v>
      </c>
      <c r="AC2373" s="846"/>
      <c r="AD2373" s="847"/>
      <c r="AE2373" s="846"/>
      <c r="AF2373" s="846"/>
      <c r="AG2373" s="847"/>
      <c r="AH2373" s="847"/>
      <c r="AI2373" s="742">
        <f t="shared" si="301"/>
        <v>0</v>
      </c>
      <c r="AJ2373" s="743">
        <f t="shared" si="302"/>
        <v>0</v>
      </c>
    </row>
    <row r="2374" spans="1:36">
      <c r="A2374" s="1410" t="s">
        <v>146</v>
      </c>
      <c r="B2374" s="1146" t="s">
        <v>272</v>
      </c>
      <c r="C2374" s="1414" t="s">
        <v>1784</v>
      </c>
      <c r="D2374" s="1136"/>
      <c r="E2374" s="1420">
        <v>218654</v>
      </c>
      <c r="F2374" s="1110">
        <v>6</v>
      </c>
      <c r="G2374" s="846"/>
      <c r="H2374" s="847"/>
      <c r="I2374" s="846"/>
      <c r="J2374" s="847">
        <v>32920</v>
      </c>
      <c r="K2374" s="846"/>
      <c r="L2374" s="847"/>
      <c r="M2374" s="846"/>
      <c r="N2374" s="846"/>
      <c r="O2374" s="737">
        <f t="shared" si="295"/>
        <v>0</v>
      </c>
      <c r="P2374" s="847"/>
      <c r="Q2374" s="847"/>
      <c r="R2374" s="738">
        <f t="shared" si="298"/>
        <v>0</v>
      </c>
      <c r="S2374" s="737">
        <f t="shared" si="299"/>
        <v>0</v>
      </c>
      <c r="T2374" s="739">
        <f t="shared" si="300"/>
        <v>32920</v>
      </c>
      <c r="U2374" s="846"/>
      <c r="V2374" s="847"/>
      <c r="W2374" s="846"/>
      <c r="X2374" s="846"/>
      <c r="Y2374" s="740">
        <f t="shared" si="296"/>
        <v>0</v>
      </c>
      <c r="Z2374" s="847"/>
      <c r="AA2374" s="847"/>
      <c r="AB2374" s="741">
        <f t="shared" si="297"/>
        <v>0</v>
      </c>
      <c r="AC2374" s="846"/>
      <c r="AD2374" s="847"/>
      <c r="AE2374" s="846"/>
      <c r="AF2374" s="846"/>
      <c r="AG2374" s="847"/>
      <c r="AH2374" s="847"/>
      <c r="AI2374" s="742">
        <f t="shared" si="301"/>
        <v>0</v>
      </c>
      <c r="AJ2374" s="743">
        <f t="shared" si="302"/>
        <v>32920</v>
      </c>
    </row>
    <row r="2375" spans="1:36">
      <c r="A2375" s="1410" t="s">
        <v>146</v>
      </c>
      <c r="B2375" s="1146" t="s">
        <v>272</v>
      </c>
      <c r="C2375" s="1414" t="s">
        <v>1758</v>
      </c>
      <c r="D2375" s="1136"/>
      <c r="E2375" s="1420">
        <v>218654</v>
      </c>
      <c r="F2375" s="1110">
        <v>6</v>
      </c>
      <c r="G2375" s="846"/>
      <c r="H2375" s="847"/>
      <c r="I2375" s="846"/>
      <c r="J2375" s="847">
        <v>23779</v>
      </c>
      <c r="K2375" s="846"/>
      <c r="L2375" s="847"/>
      <c r="M2375" s="846"/>
      <c r="N2375" s="846"/>
      <c r="O2375" s="737">
        <f t="shared" si="295"/>
        <v>0</v>
      </c>
      <c r="P2375" s="847"/>
      <c r="Q2375" s="847"/>
      <c r="R2375" s="738">
        <f t="shared" si="298"/>
        <v>0</v>
      </c>
      <c r="S2375" s="737">
        <f t="shared" si="299"/>
        <v>0</v>
      </c>
      <c r="T2375" s="739">
        <f t="shared" si="300"/>
        <v>23779</v>
      </c>
      <c r="U2375" s="846"/>
      <c r="V2375" s="847"/>
      <c r="W2375" s="846"/>
      <c r="X2375" s="846"/>
      <c r="Y2375" s="740">
        <f t="shared" si="296"/>
        <v>0</v>
      </c>
      <c r="Z2375" s="847"/>
      <c r="AA2375" s="847"/>
      <c r="AB2375" s="741">
        <f t="shared" si="297"/>
        <v>0</v>
      </c>
      <c r="AC2375" s="846"/>
      <c r="AD2375" s="847"/>
      <c r="AE2375" s="846"/>
      <c r="AF2375" s="846"/>
      <c r="AG2375" s="847"/>
      <c r="AH2375" s="847"/>
      <c r="AI2375" s="742">
        <f t="shared" si="301"/>
        <v>0</v>
      </c>
      <c r="AJ2375" s="743">
        <f t="shared" si="302"/>
        <v>23779</v>
      </c>
    </row>
    <row r="2376" spans="1:36">
      <c r="A2376" s="1410" t="s">
        <v>146</v>
      </c>
      <c r="B2376" s="1146" t="s">
        <v>272</v>
      </c>
      <c r="C2376" s="1137" t="s">
        <v>1785</v>
      </c>
      <c r="D2376" s="1136"/>
      <c r="E2376" s="1420">
        <v>218654</v>
      </c>
      <c r="F2376" s="1110">
        <v>6</v>
      </c>
      <c r="G2376" s="846"/>
      <c r="H2376" s="847"/>
      <c r="I2376" s="846">
        <v>1200000</v>
      </c>
      <c r="J2376" s="847"/>
      <c r="K2376" s="846"/>
      <c r="L2376" s="847"/>
      <c r="M2376" s="846"/>
      <c r="N2376" s="846"/>
      <c r="O2376" s="737">
        <f t="shared" si="295"/>
        <v>0</v>
      </c>
      <c r="P2376" s="847"/>
      <c r="Q2376" s="847"/>
      <c r="R2376" s="738">
        <f t="shared" si="298"/>
        <v>0</v>
      </c>
      <c r="S2376" s="737">
        <f t="shared" si="299"/>
        <v>1200000</v>
      </c>
      <c r="T2376" s="739">
        <f t="shared" si="300"/>
        <v>0</v>
      </c>
      <c r="U2376" s="846"/>
      <c r="V2376" s="847"/>
      <c r="W2376" s="846"/>
      <c r="X2376" s="846"/>
      <c r="Y2376" s="740">
        <f t="shared" si="296"/>
        <v>0</v>
      </c>
      <c r="Z2376" s="847"/>
      <c r="AA2376" s="847"/>
      <c r="AB2376" s="741">
        <f t="shared" si="297"/>
        <v>0</v>
      </c>
      <c r="AC2376" s="846"/>
      <c r="AD2376" s="847"/>
      <c r="AE2376" s="846"/>
      <c r="AF2376" s="846"/>
      <c r="AG2376" s="847"/>
      <c r="AH2376" s="847"/>
      <c r="AI2376" s="742">
        <f t="shared" si="301"/>
        <v>1200000</v>
      </c>
      <c r="AJ2376" s="743">
        <f t="shared" si="302"/>
        <v>0</v>
      </c>
    </row>
    <row r="2377" spans="1:36">
      <c r="A2377" s="1410" t="s">
        <v>146</v>
      </c>
      <c r="B2377" s="1146" t="s">
        <v>272</v>
      </c>
      <c r="C2377" s="1137" t="s">
        <v>1819</v>
      </c>
      <c r="D2377" s="1136"/>
      <c r="E2377" s="1420">
        <v>218654</v>
      </c>
      <c r="F2377" s="1110">
        <v>6</v>
      </c>
      <c r="G2377" s="846"/>
      <c r="H2377" s="847"/>
      <c r="I2377" s="846">
        <v>459500</v>
      </c>
      <c r="J2377" s="847">
        <v>265500</v>
      </c>
      <c r="K2377" s="846"/>
      <c r="L2377" s="847"/>
      <c r="M2377" s="846"/>
      <c r="N2377" s="846"/>
      <c r="O2377" s="737">
        <f t="shared" si="295"/>
        <v>0</v>
      </c>
      <c r="P2377" s="847"/>
      <c r="Q2377" s="847"/>
      <c r="R2377" s="738">
        <f t="shared" si="298"/>
        <v>0</v>
      </c>
      <c r="S2377" s="737">
        <f t="shared" si="299"/>
        <v>459500</v>
      </c>
      <c r="T2377" s="739">
        <f t="shared" si="300"/>
        <v>265500</v>
      </c>
      <c r="U2377" s="846"/>
      <c r="V2377" s="847"/>
      <c r="W2377" s="846"/>
      <c r="X2377" s="846"/>
      <c r="Y2377" s="740">
        <f t="shared" si="296"/>
        <v>0</v>
      </c>
      <c r="Z2377" s="847"/>
      <c r="AA2377" s="847"/>
      <c r="AB2377" s="741">
        <f t="shared" si="297"/>
        <v>0</v>
      </c>
      <c r="AC2377" s="846"/>
      <c r="AD2377" s="847"/>
      <c r="AE2377" s="846"/>
      <c r="AF2377" s="846"/>
      <c r="AG2377" s="847"/>
      <c r="AH2377" s="847"/>
      <c r="AI2377" s="742">
        <f t="shared" si="301"/>
        <v>459500</v>
      </c>
      <c r="AJ2377" s="743">
        <f t="shared" si="302"/>
        <v>265500</v>
      </c>
    </row>
    <row r="2378" spans="1:36">
      <c r="A2378" s="1410" t="s">
        <v>146</v>
      </c>
      <c r="B2378" s="1146" t="s">
        <v>272</v>
      </c>
      <c r="C2378" s="1137" t="s">
        <v>1754</v>
      </c>
      <c r="D2378" s="1136"/>
      <c r="E2378" s="1420">
        <v>218654</v>
      </c>
      <c r="F2378" s="1110">
        <v>6</v>
      </c>
      <c r="G2378" s="846"/>
      <c r="H2378" s="847"/>
      <c r="I2378" s="846">
        <v>61899</v>
      </c>
      <c r="J2378" s="847"/>
      <c r="K2378" s="846"/>
      <c r="L2378" s="847"/>
      <c r="M2378" s="846"/>
      <c r="N2378" s="846"/>
      <c r="O2378" s="737">
        <f t="shared" ref="O2378:O2441" si="303">SUM(M2378:N2378)</f>
        <v>0</v>
      </c>
      <c r="P2378" s="847"/>
      <c r="Q2378" s="847"/>
      <c r="R2378" s="738">
        <f t="shared" si="298"/>
        <v>0</v>
      </c>
      <c r="S2378" s="737">
        <f t="shared" si="299"/>
        <v>61899</v>
      </c>
      <c r="T2378" s="739">
        <f t="shared" si="300"/>
        <v>0</v>
      </c>
      <c r="U2378" s="846"/>
      <c r="V2378" s="847"/>
      <c r="W2378" s="846"/>
      <c r="X2378" s="846"/>
      <c r="Y2378" s="740">
        <f t="shared" ref="Y2378:Y2441" si="304">SUM(W2378:X2378)</f>
        <v>0</v>
      </c>
      <c r="Z2378" s="847"/>
      <c r="AA2378" s="847"/>
      <c r="AB2378" s="741">
        <f t="shared" ref="AB2378:AB2441" si="305">SUM(Z2378:AA2378)</f>
        <v>0</v>
      </c>
      <c r="AC2378" s="846"/>
      <c r="AD2378" s="847"/>
      <c r="AE2378" s="846"/>
      <c r="AF2378" s="846"/>
      <c r="AG2378" s="847"/>
      <c r="AH2378" s="847"/>
      <c r="AI2378" s="742">
        <f t="shared" si="301"/>
        <v>61899</v>
      </c>
      <c r="AJ2378" s="743">
        <f t="shared" si="302"/>
        <v>0</v>
      </c>
    </row>
    <row r="2379" spans="1:36">
      <c r="A2379" s="1410" t="s">
        <v>146</v>
      </c>
      <c r="B2379" s="1146" t="s">
        <v>272</v>
      </c>
      <c r="C2379" s="1137" t="s">
        <v>1756</v>
      </c>
      <c r="D2379" s="1136"/>
      <c r="E2379" s="1420">
        <v>218654</v>
      </c>
      <c r="F2379" s="1110">
        <v>6</v>
      </c>
      <c r="G2379" s="846"/>
      <c r="H2379" s="847"/>
      <c r="I2379" s="846">
        <v>1054</v>
      </c>
      <c r="J2379" s="847">
        <v>904</v>
      </c>
      <c r="K2379" s="846"/>
      <c r="L2379" s="847"/>
      <c r="M2379" s="846"/>
      <c r="N2379" s="846"/>
      <c r="O2379" s="737">
        <f t="shared" si="303"/>
        <v>0</v>
      </c>
      <c r="P2379" s="847"/>
      <c r="Q2379" s="847"/>
      <c r="R2379" s="738">
        <f t="shared" ref="R2379:R2442" si="306">SUM(P2379:Q2379)</f>
        <v>0</v>
      </c>
      <c r="S2379" s="737">
        <f t="shared" ref="S2379:S2442" si="307">SUM(G2379,I2379,K2379,M2379)</f>
        <v>1054</v>
      </c>
      <c r="T2379" s="739">
        <f t="shared" ref="T2379:T2442" si="308">SUM(H2379,J2379,L2379,P2379)</f>
        <v>904</v>
      </c>
      <c r="U2379" s="846"/>
      <c r="V2379" s="847"/>
      <c r="W2379" s="846"/>
      <c r="X2379" s="846"/>
      <c r="Y2379" s="740">
        <f t="shared" si="304"/>
        <v>0</v>
      </c>
      <c r="Z2379" s="847"/>
      <c r="AA2379" s="847"/>
      <c r="AB2379" s="741">
        <f t="shared" si="305"/>
        <v>0</v>
      </c>
      <c r="AC2379" s="846"/>
      <c r="AD2379" s="847"/>
      <c r="AE2379" s="846"/>
      <c r="AF2379" s="846"/>
      <c r="AG2379" s="847"/>
      <c r="AH2379" s="847"/>
      <c r="AI2379" s="742">
        <f t="shared" ref="AI2379:AI2442" si="309">SUM(S2379,U2379,W2379,AC2379,AE2379)</f>
        <v>1054</v>
      </c>
      <c r="AJ2379" s="743">
        <f t="shared" ref="AJ2379:AJ2442" si="310">SUM(T2379,V2379,Z2379,AD2379,AG2379)</f>
        <v>904</v>
      </c>
    </row>
    <row r="2380" spans="1:36">
      <c r="A2380" s="1410" t="s">
        <v>146</v>
      </c>
      <c r="B2380" s="1146" t="s">
        <v>272</v>
      </c>
      <c r="C2380" s="1137" t="s">
        <v>1777</v>
      </c>
      <c r="D2380" s="1136"/>
      <c r="E2380" s="1420">
        <v>218654</v>
      </c>
      <c r="F2380" s="1110">
        <v>6</v>
      </c>
      <c r="G2380" s="846"/>
      <c r="H2380" s="847"/>
      <c r="I2380" s="846">
        <v>275291</v>
      </c>
      <c r="J2380" s="847">
        <v>254666</v>
      </c>
      <c r="K2380" s="846"/>
      <c r="L2380" s="847"/>
      <c r="M2380" s="846"/>
      <c r="N2380" s="846"/>
      <c r="O2380" s="737">
        <f t="shared" si="303"/>
        <v>0</v>
      </c>
      <c r="P2380" s="847"/>
      <c r="Q2380" s="847"/>
      <c r="R2380" s="738">
        <f t="shared" si="306"/>
        <v>0</v>
      </c>
      <c r="S2380" s="737">
        <f t="shared" si="307"/>
        <v>275291</v>
      </c>
      <c r="T2380" s="739">
        <f t="shared" si="308"/>
        <v>254666</v>
      </c>
      <c r="U2380" s="846"/>
      <c r="V2380" s="847"/>
      <c r="W2380" s="846"/>
      <c r="X2380" s="846"/>
      <c r="Y2380" s="740">
        <f t="shared" si="304"/>
        <v>0</v>
      </c>
      <c r="Z2380" s="847"/>
      <c r="AA2380" s="847"/>
      <c r="AB2380" s="741">
        <f t="shared" si="305"/>
        <v>0</v>
      </c>
      <c r="AC2380" s="846"/>
      <c r="AD2380" s="847"/>
      <c r="AE2380" s="846"/>
      <c r="AF2380" s="846"/>
      <c r="AG2380" s="847"/>
      <c r="AH2380" s="847"/>
      <c r="AI2380" s="742">
        <f t="shared" si="309"/>
        <v>275291</v>
      </c>
      <c r="AJ2380" s="743">
        <f t="shared" si="310"/>
        <v>254666</v>
      </c>
    </row>
    <row r="2381" spans="1:36">
      <c r="A2381" s="1410" t="s">
        <v>146</v>
      </c>
      <c r="B2381" s="1146" t="s">
        <v>272</v>
      </c>
      <c r="C2381" s="1414" t="s">
        <v>1792</v>
      </c>
      <c r="D2381" s="1136"/>
      <c r="E2381" s="1420">
        <v>218654</v>
      </c>
      <c r="F2381" s="1110">
        <v>6</v>
      </c>
      <c r="G2381" s="846"/>
      <c r="H2381" s="847"/>
      <c r="I2381" s="846"/>
      <c r="J2381" s="847">
        <v>321176</v>
      </c>
      <c r="K2381" s="846"/>
      <c r="L2381" s="847"/>
      <c r="M2381" s="846"/>
      <c r="N2381" s="846"/>
      <c r="O2381" s="737">
        <f t="shared" si="303"/>
        <v>0</v>
      </c>
      <c r="P2381" s="847"/>
      <c r="Q2381" s="847"/>
      <c r="R2381" s="738">
        <f t="shared" si="306"/>
        <v>0</v>
      </c>
      <c r="S2381" s="737">
        <f t="shared" si="307"/>
        <v>0</v>
      </c>
      <c r="T2381" s="739">
        <f t="shared" si="308"/>
        <v>321176</v>
      </c>
      <c r="U2381" s="846"/>
      <c r="V2381" s="847"/>
      <c r="W2381" s="846"/>
      <c r="X2381" s="846"/>
      <c r="Y2381" s="740">
        <f t="shared" si="304"/>
        <v>0</v>
      </c>
      <c r="Z2381" s="847"/>
      <c r="AA2381" s="847"/>
      <c r="AB2381" s="741">
        <f t="shared" si="305"/>
        <v>0</v>
      </c>
      <c r="AC2381" s="846"/>
      <c r="AD2381" s="847"/>
      <c r="AE2381" s="846"/>
      <c r="AF2381" s="846"/>
      <c r="AG2381" s="847"/>
      <c r="AH2381" s="847"/>
      <c r="AI2381" s="742">
        <f t="shared" si="309"/>
        <v>0</v>
      </c>
      <c r="AJ2381" s="743">
        <f t="shared" si="310"/>
        <v>321176</v>
      </c>
    </row>
    <row r="2382" spans="1:36">
      <c r="A2382" s="1410" t="s">
        <v>146</v>
      </c>
      <c r="B2382" s="1146" t="s">
        <v>264</v>
      </c>
      <c r="C2382" s="1411" t="s">
        <v>1820</v>
      </c>
      <c r="D2382" s="1136"/>
      <c r="E2382" s="1420">
        <v>218742</v>
      </c>
      <c r="F2382" s="1110">
        <v>6</v>
      </c>
      <c r="G2382" s="846">
        <v>6583977</v>
      </c>
      <c r="H2382" s="847">
        <v>7499404</v>
      </c>
      <c r="I2382" s="846"/>
      <c r="J2382" s="847"/>
      <c r="K2382" s="846"/>
      <c r="L2382" s="847"/>
      <c r="M2382" s="846">
        <v>50550187</v>
      </c>
      <c r="N2382" s="846">
        <v>2554533</v>
      </c>
      <c r="O2382" s="737">
        <f t="shared" si="303"/>
        <v>53104720</v>
      </c>
      <c r="P2382" s="847">
        <v>52646996</v>
      </c>
      <c r="Q2382" s="847">
        <v>2563812</v>
      </c>
      <c r="R2382" s="738">
        <f t="shared" si="306"/>
        <v>55210808</v>
      </c>
      <c r="S2382" s="737">
        <f t="shared" si="307"/>
        <v>57134164</v>
      </c>
      <c r="T2382" s="739">
        <f t="shared" si="308"/>
        <v>60146400</v>
      </c>
      <c r="U2382" s="846"/>
      <c r="V2382" s="847"/>
      <c r="W2382" s="846"/>
      <c r="X2382" s="846"/>
      <c r="Y2382" s="740">
        <f t="shared" si="304"/>
        <v>0</v>
      </c>
      <c r="Z2382" s="847"/>
      <c r="AA2382" s="847"/>
      <c r="AB2382" s="741">
        <f t="shared" si="305"/>
        <v>0</v>
      </c>
      <c r="AC2382" s="846"/>
      <c r="AD2382" s="847"/>
      <c r="AE2382" s="846"/>
      <c r="AF2382" s="846"/>
      <c r="AG2382" s="847"/>
      <c r="AH2382" s="847"/>
      <c r="AI2382" s="742">
        <f t="shared" si="309"/>
        <v>57134164</v>
      </c>
      <c r="AJ2382" s="743">
        <f t="shared" si="310"/>
        <v>60146400</v>
      </c>
    </row>
    <row r="2383" spans="1:36">
      <c r="A2383" s="1410" t="s">
        <v>146</v>
      </c>
      <c r="B2383" s="1146" t="s">
        <v>264</v>
      </c>
      <c r="C2383" s="1137" t="s">
        <v>1746</v>
      </c>
      <c r="D2383" s="1136"/>
      <c r="E2383" s="1420">
        <v>218742</v>
      </c>
      <c r="F2383" s="1110">
        <v>6</v>
      </c>
      <c r="G2383" s="846">
        <v>1718636</v>
      </c>
      <c r="H2383" s="847">
        <v>1939667</v>
      </c>
      <c r="I2383" s="846"/>
      <c r="J2383" s="847"/>
      <c r="K2383" s="846"/>
      <c r="L2383" s="847"/>
      <c r="M2383" s="846"/>
      <c r="N2383" s="846"/>
      <c r="O2383" s="737">
        <f t="shared" si="303"/>
        <v>0</v>
      </c>
      <c r="P2383" s="847"/>
      <c r="Q2383" s="847"/>
      <c r="R2383" s="738">
        <f t="shared" si="306"/>
        <v>0</v>
      </c>
      <c r="S2383" s="737">
        <f t="shared" si="307"/>
        <v>1718636</v>
      </c>
      <c r="T2383" s="739">
        <f t="shared" si="308"/>
        <v>1939667</v>
      </c>
      <c r="U2383" s="846"/>
      <c r="V2383" s="847"/>
      <c r="W2383" s="846"/>
      <c r="X2383" s="846"/>
      <c r="Y2383" s="740">
        <f t="shared" si="304"/>
        <v>0</v>
      </c>
      <c r="Z2383" s="847"/>
      <c r="AA2383" s="847"/>
      <c r="AB2383" s="741">
        <f t="shared" si="305"/>
        <v>0</v>
      </c>
      <c r="AC2383" s="846"/>
      <c r="AD2383" s="847"/>
      <c r="AE2383" s="846"/>
      <c r="AF2383" s="846"/>
      <c r="AG2383" s="847"/>
      <c r="AH2383" s="847"/>
      <c r="AI2383" s="742">
        <f t="shared" si="309"/>
        <v>1718636</v>
      </c>
      <c r="AJ2383" s="743">
        <f t="shared" si="310"/>
        <v>1939667</v>
      </c>
    </row>
    <row r="2384" spans="1:36">
      <c r="A2384" s="1410" t="s">
        <v>146</v>
      </c>
      <c r="B2384" s="1146" t="s">
        <v>272</v>
      </c>
      <c r="C2384" s="1135" t="s">
        <v>842</v>
      </c>
      <c r="D2384" s="1136"/>
      <c r="E2384" s="1420">
        <v>218742</v>
      </c>
      <c r="F2384" s="1110">
        <v>6</v>
      </c>
      <c r="G2384" s="846"/>
      <c r="H2384" s="847"/>
      <c r="I2384" s="846"/>
      <c r="J2384" s="847"/>
      <c r="K2384" s="846"/>
      <c r="L2384" s="847"/>
      <c r="M2384" s="846"/>
      <c r="N2384" s="846"/>
      <c r="O2384" s="737">
        <f t="shared" si="303"/>
        <v>0</v>
      </c>
      <c r="P2384" s="847"/>
      <c r="Q2384" s="847"/>
      <c r="R2384" s="738">
        <f t="shared" si="306"/>
        <v>0</v>
      </c>
      <c r="S2384" s="737">
        <f t="shared" si="307"/>
        <v>0</v>
      </c>
      <c r="T2384" s="739">
        <f t="shared" si="308"/>
        <v>0</v>
      </c>
      <c r="U2384" s="846"/>
      <c r="V2384" s="847"/>
      <c r="W2384" s="846"/>
      <c r="X2384" s="846"/>
      <c r="Y2384" s="740">
        <f t="shared" si="304"/>
        <v>0</v>
      </c>
      <c r="Z2384" s="847"/>
      <c r="AA2384" s="847"/>
      <c r="AB2384" s="741">
        <f t="shared" si="305"/>
        <v>0</v>
      </c>
      <c r="AC2384" s="846"/>
      <c r="AD2384" s="847"/>
      <c r="AE2384" s="846"/>
      <c r="AF2384" s="846"/>
      <c r="AG2384" s="847"/>
      <c r="AH2384" s="847"/>
      <c r="AI2384" s="742">
        <f t="shared" si="309"/>
        <v>0</v>
      </c>
      <c r="AJ2384" s="743">
        <f t="shared" si="310"/>
        <v>0</v>
      </c>
    </row>
    <row r="2385" spans="1:36">
      <c r="A2385" s="1410" t="s">
        <v>146</v>
      </c>
      <c r="B2385" s="1146" t="s">
        <v>272</v>
      </c>
      <c r="C2385" s="1137" t="s">
        <v>1753</v>
      </c>
      <c r="D2385" s="1136"/>
      <c r="E2385" s="1420">
        <v>218742</v>
      </c>
      <c r="F2385" s="1110">
        <v>6</v>
      </c>
      <c r="G2385" s="846"/>
      <c r="H2385" s="847"/>
      <c r="I2385" s="846"/>
      <c r="J2385" s="847"/>
      <c r="K2385" s="846"/>
      <c r="L2385" s="847"/>
      <c r="M2385" s="846"/>
      <c r="N2385" s="846"/>
      <c r="O2385" s="737">
        <f t="shared" si="303"/>
        <v>0</v>
      </c>
      <c r="P2385" s="847"/>
      <c r="Q2385" s="847"/>
      <c r="R2385" s="738">
        <f t="shared" si="306"/>
        <v>0</v>
      </c>
      <c r="S2385" s="737">
        <f t="shared" si="307"/>
        <v>0</v>
      </c>
      <c r="T2385" s="739">
        <f t="shared" si="308"/>
        <v>0</v>
      </c>
      <c r="U2385" s="846"/>
      <c r="V2385" s="847"/>
      <c r="W2385" s="846"/>
      <c r="X2385" s="846"/>
      <c r="Y2385" s="740">
        <f t="shared" si="304"/>
        <v>0</v>
      </c>
      <c r="Z2385" s="847"/>
      <c r="AA2385" s="847"/>
      <c r="AB2385" s="741">
        <f t="shared" si="305"/>
        <v>0</v>
      </c>
      <c r="AC2385" s="846"/>
      <c r="AD2385" s="847"/>
      <c r="AE2385" s="846"/>
      <c r="AF2385" s="846"/>
      <c r="AG2385" s="847"/>
      <c r="AH2385" s="847"/>
      <c r="AI2385" s="742">
        <f t="shared" si="309"/>
        <v>0</v>
      </c>
      <c r="AJ2385" s="743">
        <f t="shared" si="310"/>
        <v>0</v>
      </c>
    </row>
    <row r="2386" spans="1:36">
      <c r="A2386" s="1410" t="s">
        <v>146</v>
      </c>
      <c r="B2386" s="1146" t="s">
        <v>272</v>
      </c>
      <c r="C2386" s="1414" t="s">
        <v>1784</v>
      </c>
      <c r="D2386" s="1136"/>
      <c r="E2386" s="1420">
        <v>218654</v>
      </c>
      <c r="F2386" s="1110">
        <v>6</v>
      </c>
      <c r="G2386" s="846"/>
      <c r="H2386" s="847"/>
      <c r="I2386" s="846"/>
      <c r="J2386" s="847">
        <v>113741</v>
      </c>
      <c r="K2386" s="846"/>
      <c r="L2386" s="847"/>
      <c r="M2386" s="846"/>
      <c r="N2386" s="846"/>
      <c r="O2386" s="737">
        <f t="shared" si="303"/>
        <v>0</v>
      </c>
      <c r="P2386" s="847"/>
      <c r="Q2386" s="847"/>
      <c r="R2386" s="738">
        <f t="shared" si="306"/>
        <v>0</v>
      </c>
      <c r="S2386" s="737">
        <f t="shared" si="307"/>
        <v>0</v>
      </c>
      <c r="T2386" s="739">
        <f t="shared" si="308"/>
        <v>113741</v>
      </c>
      <c r="U2386" s="846"/>
      <c r="V2386" s="847"/>
      <c r="W2386" s="846"/>
      <c r="X2386" s="846"/>
      <c r="Y2386" s="740">
        <f t="shared" si="304"/>
        <v>0</v>
      </c>
      <c r="Z2386" s="847"/>
      <c r="AA2386" s="847"/>
      <c r="AB2386" s="741">
        <f t="shared" si="305"/>
        <v>0</v>
      </c>
      <c r="AC2386" s="846"/>
      <c r="AD2386" s="847"/>
      <c r="AE2386" s="846"/>
      <c r="AF2386" s="846"/>
      <c r="AG2386" s="847"/>
      <c r="AH2386" s="847"/>
      <c r="AI2386" s="742">
        <f t="shared" si="309"/>
        <v>0</v>
      </c>
      <c r="AJ2386" s="743">
        <f t="shared" si="310"/>
        <v>113741</v>
      </c>
    </row>
    <row r="2387" spans="1:36">
      <c r="A2387" s="1410" t="s">
        <v>146</v>
      </c>
      <c r="B2387" s="1146" t="s">
        <v>272</v>
      </c>
      <c r="C2387" s="1414" t="s">
        <v>1758</v>
      </c>
      <c r="D2387" s="1136"/>
      <c r="E2387" s="1420">
        <v>218654</v>
      </c>
      <c r="F2387" s="1110">
        <v>6</v>
      </c>
      <c r="G2387" s="846"/>
      <c r="H2387" s="847"/>
      <c r="I2387" s="846"/>
      <c r="J2387" s="847">
        <v>82157</v>
      </c>
      <c r="K2387" s="846"/>
      <c r="L2387" s="847"/>
      <c r="M2387" s="846"/>
      <c r="N2387" s="846"/>
      <c r="O2387" s="737">
        <f t="shared" si="303"/>
        <v>0</v>
      </c>
      <c r="P2387" s="847"/>
      <c r="Q2387" s="847"/>
      <c r="R2387" s="738">
        <f t="shared" si="306"/>
        <v>0</v>
      </c>
      <c r="S2387" s="737">
        <f t="shared" si="307"/>
        <v>0</v>
      </c>
      <c r="T2387" s="739">
        <f t="shared" si="308"/>
        <v>82157</v>
      </c>
      <c r="U2387" s="846"/>
      <c r="V2387" s="847"/>
      <c r="W2387" s="846"/>
      <c r="X2387" s="846"/>
      <c r="Y2387" s="740">
        <f t="shared" si="304"/>
        <v>0</v>
      </c>
      <c r="Z2387" s="847"/>
      <c r="AA2387" s="847"/>
      <c r="AB2387" s="741">
        <f t="shared" si="305"/>
        <v>0</v>
      </c>
      <c r="AC2387" s="846"/>
      <c r="AD2387" s="847"/>
      <c r="AE2387" s="846"/>
      <c r="AF2387" s="846"/>
      <c r="AG2387" s="847"/>
      <c r="AH2387" s="847"/>
      <c r="AI2387" s="742">
        <f t="shared" si="309"/>
        <v>0</v>
      </c>
      <c r="AJ2387" s="743">
        <f t="shared" si="310"/>
        <v>82157</v>
      </c>
    </row>
    <row r="2388" spans="1:36">
      <c r="A2388" s="1410" t="s">
        <v>146</v>
      </c>
      <c r="B2388" s="1146" t="s">
        <v>272</v>
      </c>
      <c r="C2388" s="1137" t="s">
        <v>1815</v>
      </c>
      <c r="D2388" s="1136"/>
      <c r="E2388" s="1420">
        <v>218742</v>
      </c>
      <c r="F2388" s="1110">
        <v>6</v>
      </c>
      <c r="G2388" s="846"/>
      <c r="H2388" s="847"/>
      <c r="I2388" s="846">
        <v>848200</v>
      </c>
      <c r="J2388" s="847"/>
      <c r="K2388" s="846"/>
      <c r="L2388" s="847"/>
      <c r="M2388" s="846"/>
      <c r="N2388" s="846"/>
      <c r="O2388" s="737">
        <f t="shared" si="303"/>
        <v>0</v>
      </c>
      <c r="P2388" s="847"/>
      <c r="Q2388" s="847"/>
      <c r="R2388" s="738">
        <f t="shared" si="306"/>
        <v>0</v>
      </c>
      <c r="S2388" s="737">
        <f t="shared" si="307"/>
        <v>848200</v>
      </c>
      <c r="T2388" s="739">
        <f t="shared" si="308"/>
        <v>0</v>
      </c>
      <c r="U2388" s="846"/>
      <c r="V2388" s="847"/>
      <c r="W2388" s="846"/>
      <c r="X2388" s="846"/>
      <c r="Y2388" s="740">
        <f t="shared" si="304"/>
        <v>0</v>
      </c>
      <c r="Z2388" s="847"/>
      <c r="AA2388" s="847"/>
      <c r="AB2388" s="741">
        <f t="shared" si="305"/>
        <v>0</v>
      </c>
      <c r="AC2388" s="846"/>
      <c r="AD2388" s="847"/>
      <c r="AE2388" s="846"/>
      <c r="AF2388" s="846"/>
      <c r="AG2388" s="847"/>
      <c r="AH2388" s="847"/>
      <c r="AI2388" s="742">
        <f t="shared" si="309"/>
        <v>848200</v>
      </c>
      <c r="AJ2388" s="743">
        <f t="shared" si="310"/>
        <v>0</v>
      </c>
    </row>
    <row r="2389" spans="1:36">
      <c r="A2389" s="1410" t="s">
        <v>146</v>
      </c>
      <c r="B2389" s="1146" t="s">
        <v>272</v>
      </c>
      <c r="C2389" s="1137" t="s">
        <v>1819</v>
      </c>
      <c r="D2389" s="1136"/>
      <c r="E2389" s="1420">
        <v>218742</v>
      </c>
      <c r="F2389" s="1110">
        <v>6</v>
      </c>
      <c r="G2389" s="846"/>
      <c r="H2389" s="847"/>
      <c r="I2389" s="846">
        <v>723500</v>
      </c>
      <c r="J2389" s="847">
        <v>375500</v>
      </c>
      <c r="K2389" s="846"/>
      <c r="L2389" s="847"/>
      <c r="M2389" s="846"/>
      <c r="N2389" s="846"/>
      <c r="O2389" s="737">
        <f t="shared" si="303"/>
        <v>0</v>
      </c>
      <c r="P2389" s="847"/>
      <c r="Q2389" s="847"/>
      <c r="R2389" s="738">
        <f t="shared" si="306"/>
        <v>0</v>
      </c>
      <c r="S2389" s="737">
        <f t="shared" si="307"/>
        <v>723500</v>
      </c>
      <c r="T2389" s="739">
        <f t="shared" si="308"/>
        <v>375500</v>
      </c>
      <c r="U2389" s="846"/>
      <c r="V2389" s="847"/>
      <c r="W2389" s="846"/>
      <c r="X2389" s="846"/>
      <c r="Y2389" s="740">
        <f t="shared" si="304"/>
        <v>0</v>
      </c>
      <c r="Z2389" s="847"/>
      <c r="AA2389" s="847"/>
      <c r="AB2389" s="741">
        <f t="shared" si="305"/>
        <v>0</v>
      </c>
      <c r="AC2389" s="846"/>
      <c r="AD2389" s="847"/>
      <c r="AE2389" s="846"/>
      <c r="AF2389" s="846"/>
      <c r="AG2389" s="847"/>
      <c r="AH2389" s="847"/>
      <c r="AI2389" s="742">
        <f t="shared" si="309"/>
        <v>723500</v>
      </c>
      <c r="AJ2389" s="743">
        <f t="shared" si="310"/>
        <v>375500</v>
      </c>
    </row>
    <row r="2390" spans="1:36">
      <c r="A2390" s="1410" t="s">
        <v>146</v>
      </c>
      <c r="B2390" s="1146" t="s">
        <v>272</v>
      </c>
      <c r="C2390" s="1137" t="s">
        <v>1754</v>
      </c>
      <c r="D2390" s="1136"/>
      <c r="E2390" s="1420">
        <v>218742</v>
      </c>
      <c r="F2390" s="1110">
        <v>6</v>
      </c>
      <c r="G2390" s="846"/>
      <c r="H2390" s="847"/>
      <c r="I2390" s="846">
        <v>355543</v>
      </c>
      <c r="J2390" s="847"/>
      <c r="K2390" s="846"/>
      <c r="L2390" s="847"/>
      <c r="M2390" s="846"/>
      <c r="N2390" s="846"/>
      <c r="O2390" s="737">
        <f t="shared" si="303"/>
        <v>0</v>
      </c>
      <c r="P2390" s="847"/>
      <c r="Q2390" s="847"/>
      <c r="R2390" s="738">
        <f t="shared" si="306"/>
        <v>0</v>
      </c>
      <c r="S2390" s="737">
        <f t="shared" si="307"/>
        <v>355543</v>
      </c>
      <c r="T2390" s="739">
        <f t="shared" si="308"/>
        <v>0</v>
      </c>
      <c r="U2390" s="846"/>
      <c r="V2390" s="847"/>
      <c r="W2390" s="846"/>
      <c r="X2390" s="846"/>
      <c r="Y2390" s="740">
        <f t="shared" si="304"/>
        <v>0</v>
      </c>
      <c r="Z2390" s="847"/>
      <c r="AA2390" s="847"/>
      <c r="AB2390" s="741">
        <f t="shared" si="305"/>
        <v>0</v>
      </c>
      <c r="AC2390" s="846"/>
      <c r="AD2390" s="847"/>
      <c r="AE2390" s="846"/>
      <c r="AF2390" s="846"/>
      <c r="AG2390" s="847"/>
      <c r="AH2390" s="847"/>
      <c r="AI2390" s="742">
        <f t="shared" si="309"/>
        <v>355543</v>
      </c>
      <c r="AJ2390" s="743">
        <f t="shared" si="310"/>
        <v>0</v>
      </c>
    </row>
    <row r="2391" spans="1:36">
      <c r="A2391" s="1410" t="s">
        <v>146</v>
      </c>
      <c r="B2391" s="1146" t="s">
        <v>272</v>
      </c>
      <c r="C2391" s="1137" t="s">
        <v>1756</v>
      </c>
      <c r="D2391" s="1136"/>
      <c r="E2391" s="1420">
        <v>218742</v>
      </c>
      <c r="F2391" s="1110">
        <v>6</v>
      </c>
      <c r="G2391" s="846"/>
      <c r="H2391" s="847"/>
      <c r="I2391" s="846">
        <v>2719</v>
      </c>
      <c r="J2391" s="847">
        <v>2589</v>
      </c>
      <c r="K2391" s="846"/>
      <c r="L2391" s="847"/>
      <c r="M2391" s="846"/>
      <c r="N2391" s="846"/>
      <c r="O2391" s="737">
        <f t="shared" si="303"/>
        <v>0</v>
      </c>
      <c r="P2391" s="847"/>
      <c r="Q2391" s="847"/>
      <c r="R2391" s="738">
        <f t="shared" si="306"/>
        <v>0</v>
      </c>
      <c r="S2391" s="737">
        <f t="shared" si="307"/>
        <v>2719</v>
      </c>
      <c r="T2391" s="739">
        <f t="shared" si="308"/>
        <v>2589</v>
      </c>
      <c r="U2391" s="846"/>
      <c r="V2391" s="847"/>
      <c r="W2391" s="846"/>
      <c r="X2391" s="846"/>
      <c r="Y2391" s="740">
        <f t="shared" si="304"/>
        <v>0</v>
      </c>
      <c r="Z2391" s="847"/>
      <c r="AA2391" s="847"/>
      <c r="AB2391" s="741">
        <f t="shared" si="305"/>
        <v>0</v>
      </c>
      <c r="AC2391" s="846"/>
      <c r="AD2391" s="847"/>
      <c r="AE2391" s="846"/>
      <c r="AF2391" s="846"/>
      <c r="AG2391" s="847"/>
      <c r="AH2391" s="847"/>
      <c r="AI2391" s="742">
        <f t="shared" si="309"/>
        <v>2719</v>
      </c>
      <c r="AJ2391" s="743">
        <f t="shared" si="310"/>
        <v>2589</v>
      </c>
    </row>
    <row r="2392" spans="1:36">
      <c r="A2392" s="1410" t="s">
        <v>146</v>
      </c>
      <c r="B2392" s="1146" t="s">
        <v>272</v>
      </c>
      <c r="C2392" s="1137" t="s">
        <v>1777</v>
      </c>
      <c r="D2392" s="1136"/>
      <c r="E2392" s="1420">
        <v>218742</v>
      </c>
      <c r="F2392" s="1110">
        <v>6</v>
      </c>
      <c r="G2392" s="846"/>
      <c r="H2392" s="847"/>
      <c r="I2392" s="846">
        <v>498796</v>
      </c>
      <c r="J2392" s="847">
        <v>468543</v>
      </c>
      <c r="K2392" s="846"/>
      <c r="L2392" s="847"/>
      <c r="M2392" s="846"/>
      <c r="N2392" s="846"/>
      <c r="O2392" s="737">
        <f t="shared" si="303"/>
        <v>0</v>
      </c>
      <c r="P2392" s="847"/>
      <c r="Q2392" s="847"/>
      <c r="R2392" s="738">
        <f t="shared" si="306"/>
        <v>0</v>
      </c>
      <c r="S2392" s="737">
        <f t="shared" si="307"/>
        <v>498796</v>
      </c>
      <c r="T2392" s="739">
        <f t="shared" si="308"/>
        <v>468543</v>
      </c>
      <c r="U2392" s="846"/>
      <c r="V2392" s="847"/>
      <c r="W2392" s="846"/>
      <c r="X2392" s="846"/>
      <c r="Y2392" s="740">
        <f t="shared" si="304"/>
        <v>0</v>
      </c>
      <c r="Z2392" s="847"/>
      <c r="AA2392" s="847"/>
      <c r="AB2392" s="741">
        <f t="shared" si="305"/>
        <v>0</v>
      </c>
      <c r="AC2392" s="846"/>
      <c r="AD2392" s="847"/>
      <c r="AE2392" s="846"/>
      <c r="AF2392" s="846"/>
      <c r="AG2392" s="847"/>
      <c r="AH2392" s="847"/>
      <c r="AI2392" s="742">
        <f t="shared" si="309"/>
        <v>498796</v>
      </c>
      <c r="AJ2392" s="743">
        <f t="shared" si="310"/>
        <v>468543</v>
      </c>
    </row>
    <row r="2393" spans="1:36">
      <c r="A2393" s="1410" t="s">
        <v>146</v>
      </c>
      <c r="B2393" s="1146" t="s">
        <v>272</v>
      </c>
      <c r="C2393" s="1414" t="s">
        <v>1792</v>
      </c>
      <c r="D2393" s="1136"/>
      <c r="E2393" s="1420">
        <v>218742</v>
      </c>
      <c r="F2393" s="1110">
        <v>6</v>
      </c>
      <c r="G2393" s="846"/>
      <c r="H2393" s="847"/>
      <c r="I2393" s="846"/>
      <c r="J2393" s="847">
        <v>371176</v>
      </c>
      <c r="K2393" s="846"/>
      <c r="L2393" s="847"/>
      <c r="M2393" s="846"/>
      <c r="N2393" s="846"/>
      <c r="O2393" s="737">
        <f t="shared" si="303"/>
        <v>0</v>
      </c>
      <c r="P2393" s="847"/>
      <c r="Q2393" s="847"/>
      <c r="R2393" s="738">
        <f t="shared" si="306"/>
        <v>0</v>
      </c>
      <c r="S2393" s="737">
        <f t="shared" si="307"/>
        <v>0</v>
      </c>
      <c r="T2393" s="739">
        <f t="shared" si="308"/>
        <v>371176</v>
      </c>
      <c r="U2393" s="846"/>
      <c r="V2393" s="847"/>
      <c r="W2393" s="846"/>
      <c r="X2393" s="846"/>
      <c r="Y2393" s="740">
        <f t="shared" si="304"/>
        <v>0</v>
      </c>
      <c r="Z2393" s="847"/>
      <c r="AA2393" s="847"/>
      <c r="AB2393" s="741">
        <f t="shared" si="305"/>
        <v>0</v>
      </c>
      <c r="AC2393" s="846"/>
      <c r="AD2393" s="847"/>
      <c r="AE2393" s="846"/>
      <c r="AF2393" s="846"/>
      <c r="AG2393" s="847"/>
      <c r="AH2393" s="847"/>
      <c r="AI2393" s="742">
        <f t="shared" si="309"/>
        <v>0</v>
      </c>
      <c r="AJ2393" s="743">
        <f t="shared" si="310"/>
        <v>371176</v>
      </c>
    </row>
    <row r="2394" spans="1:36">
      <c r="A2394" s="1410" t="s">
        <v>146</v>
      </c>
      <c r="B2394" s="1146" t="s">
        <v>264</v>
      </c>
      <c r="C2394" s="1131" t="s">
        <v>1821</v>
      </c>
      <c r="D2394" s="1132"/>
      <c r="E2394" s="1420">
        <v>218025</v>
      </c>
      <c r="F2394" s="1110">
        <v>8</v>
      </c>
      <c r="G2394" s="846">
        <v>5933996</v>
      </c>
      <c r="H2394" s="847">
        <v>5933996</v>
      </c>
      <c r="I2394" s="846"/>
      <c r="J2394" s="847"/>
      <c r="K2394" s="846">
        <v>4885289</v>
      </c>
      <c r="L2394" s="847">
        <v>5305730</v>
      </c>
      <c r="M2394" s="846">
        <v>20004621</v>
      </c>
      <c r="N2394" s="846">
        <v>2852463</v>
      </c>
      <c r="O2394" s="737">
        <f t="shared" si="303"/>
        <v>22857084</v>
      </c>
      <c r="P2394" s="847">
        <v>21453214</v>
      </c>
      <c r="Q2394" s="847">
        <v>2852743</v>
      </c>
      <c r="R2394" s="738">
        <f t="shared" si="306"/>
        <v>24305957</v>
      </c>
      <c r="S2394" s="737">
        <f t="shared" si="307"/>
        <v>30823906</v>
      </c>
      <c r="T2394" s="739">
        <f t="shared" si="308"/>
        <v>32692940</v>
      </c>
      <c r="U2394" s="846"/>
      <c r="V2394" s="847"/>
      <c r="W2394" s="846"/>
      <c r="X2394" s="846"/>
      <c r="Y2394" s="740">
        <f t="shared" si="304"/>
        <v>0</v>
      </c>
      <c r="Z2394" s="847"/>
      <c r="AA2394" s="847"/>
      <c r="AB2394" s="741">
        <f t="shared" si="305"/>
        <v>0</v>
      </c>
      <c r="AC2394" s="846"/>
      <c r="AD2394" s="847"/>
      <c r="AE2394" s="846"/>
      <c r="AF2394" s="846"/>
      <c r="AG2394" s="847"/>
      <c r="AH2394" s="847"/>
      <c r="AI2394" s="742">
        <f t="shared" si="309"/>
        <v>30823906</v>
      </c>
      <c r="AJ2394" s="743">
        <f t="shared" si="310"/>
        <v>32692940</v>
      </c>
    </row>
    <row r="2395" spans="1:36">
      <c r="A2395" s="1410" t="s">
        <v>146</v>
      </c>
      <c r="B2395" s="1146" t="s">
        <v>264</v>
      </c>
      <c r="C2395" s="1421" t="s">
        <v>1822</v>
      </c>
      <c r="D2395" s="1132"/>
      <c r="E2395" s="1420">
        <v>218025</v>
      </c>
      <c r="F2395" s="1110">
        <v>8</v>
      </c>
      <c r="G2395" s="846"/>
      <c r="H2395" s="847">
        <v>166475</v>
      </c>
      <c r="I2395" s="846"/>
      <c r="J2395" s="847"/>
      <c r="K2395" s="846"/>
      <c r="L2395" s="847"/>
      <c r="M2395" s="846"/>
      <c r="N2395" s="846"/>
      <c r="O2395" s="737">
        <f t="shared" si="303"/>
        <v>0</v>
      </c>
      <c r="P2395" s="847"/>
      <c r="Q2395" s="847"/>
      <c r="R2395" s="738">
        <f t="shared" si="306"/>
        <v>0</v>
      </c>
      <c r="S2395" s="737">
        <f t="shared" si="307"/>
        <v>0</v>
      </c>
      <c r="T2395" s="739">
        <f t="shared" si="308"/>
        <v>166475</v>
      </c>
      <c r="U2395" s="846"/>
      <c r="V2395" s="847"/>
      <c r="W2395" s="846"/>
      <c r="X2395" s="846"/>
      <c r="Y2395" s="740">
        <f t="shared" si="304"/>
        <v>0</v>
      </c>
      <c r="Z2395" s="847"/>
      <c r="AA2395" s="847"/>
      <c r="AB2395" s="741">
        <f t="shared" si="305"/>
        <v>0</v>
      </c>
      <c r="AC2395" s="846"/>
      <c r="AD2395" s="847"/>
      <c r="AE2395" s="846"/>
      <c r="AF2395" s="846"/>
      <c r="AG2395" s="847"/>
      <c r="AH2395" s="847"/>
      <c r="AI2395" s="742">
        <f t="shared" si="309"/>
        <v>0</v>
      </c>
      <c r="AJ2395" s="743">
        <f t="shared" si="310"/>
        <v>166475</v>
      </c>
    </row>
    <row r="2396" spans="1:36">
      <c r="A2396" s="1410" t="s">
        <v>146</v>
      </c>
      <c r="B2396" s="1146" t="s">
        <v>272</v>
      </c>
      <c r="C2396" s="1135" t="s">
        <v>842</v>
      </c>
      <c r="D2396" s="1136"/>
      <c r="E2396" s="1420">
        <v>218025</v>
      </c>
      <c r="F2396" s="1110">
        <v>8</v>
      </c>
      <c r="G2396" s="846"/>
      <c r="H2396" s="847"/>
      <c r="I2396" s="846"/>
      <c r="J2396" s="847"/>
      <c r="K2396" s="846"/>
      <c r="L2396" s="847"/>
      <c r="M2396" s="846"/>
      <c r="N2396" s="846"/>
      <c r="O2396" s="737">
        <f t="shared" si="303"/>
        <v>0</v>
      </c>
      <c r="P2396" s="847"/>
      <c r="Q2396" s="847"/>
      <c r="R2396" s="738">
        <f t="shared" si="306"/>
        <v>0</v>
      </c>
      <c r="S2396" s="737">
        <f t="shared" si="307"/>
        <v>0</v>
      </c>
      <c r="T2396" s="739">
        <f t="shared" si="308"/>
        <v>0</v>
      </c>
      <c r="U2396" s="846"/>
      <c r="V2396" s="847"/>
      <c r="W2396" s="846"/>
      <c r="X2396" s="846"/>
      <c r="Y2396" s="740">
        <f t="shared" si="304"/>
        <v>0</v>
      </c>
      <c r="Z2396" s="847"/>
      <c r="AA2396" s="847"/>
      <c r="AB2396" s="741">
        <f t="shared" si="305"/>
        <v>0</v>
      </c>
      <c r="AC2396" s="846"/>
      <c r="AD2396" s="847"/>
      <c r="AE2396" s="846"/>
      <c r="AF2396" s="846"/>
      <c r="AG2396" s="847"/>
      <c r="AH2396" s="847"/>
      <c r="AI2396" s="742">
        <f t="shared" si="309"/>
        <v>0</v>
      </c>
      <c r="AJ2396" s="743">
        <f t="shared" si="310"/>
        <v>0</v>
      </c>
    </row>
    <row r="2397" spans="1:36">
      <c r="A2397" s="1410" t="s">
        <v>146</v>
      </c>
      <c r="B2397" s="1146" t="s">
        <v>272</v>
      </c>
      <c r="C2397" s="1137" t="s">
        <v>1756</v>
      </c>
      <c r="D2397" s="1136"/>
      <c r="E2397" s="1420">
        <v>218025</v>
      </c>
      <c r="F2397" s="1110">
        <v>8</v>
      </c>
      <c r="G2397" s="846"/>
      <c r="H2397" s="847"/>
      <c r="I2397" s="846">
        <v>168</v>
      </c>
      <c r="J2397" s="847">
        <v>168</v>
      </c>
      <c r="K2397" s="846"/>
      <c r="L2397" s="847"/>
      <c r="M2397" s="846"/>
      <c r="N2397" s="846"/>
      <c r="O2397" s="737">
        <f t="shared" si="303"/>
        <v>0</v>
      </c>
      <c r="P2397" s="847"/>
      <c r="Q2397" s="847"/>
      <c r="R2397" s="738">
        <f t="shared" si="306"/>
        <v>0</v>
      </c>
      <c r="S2397" s="737">
        <f t="shared" si="307"/>
        <v>168</v>
      </c>
      <c r="T2397" s="739">
        <f t="shared" si="308"/>
        <v>168</v>
      </c>
      <c r="U2397" s="846"/>
      <c r="V2397" s="847"/>
      <c r="W2397" s="846"/>
      <c r="X2397" s="846"/>
      <c r="Y2397" s="740">
        <f t="shared" si="304"/>
        <v>0</v>
      </c>
      <c r="Z2397" s="847"/>
      <c r="AA2397" s="847"/>
      <c r="AB2397" s="741">
        <f t="shared" si="305"/>
        <v>0</v>
      </c>
      <c r="AC2397" s="846"/>
      <c r="AD2397" s="847"/>
      <c r="AE2397" s="846"/>
      <c r="AF2397" s="846"/>
      <c r="AG2397" s="847"/>
      <c r="AH2397" s="847"/>
      <c r="AI2397" s="742">
        <f t="shared" si="309"/>
        <v>168</v>
      </c>
      <c r="AJ2397" s="743">
        <f t="shared" si="310"/>
        <v>168</v>
      </c>
    </row>
    <row r="2398" spans="1:36">
      <c r="A2398" s="1410" t="s">
        <v>146</v>
      </c>
      <c r="B2398" s="1146" t="s">
        <v>272</v>
      </c>
      <c r="C2398" s="1137" t="s">
        <v>1823</v>
      </c>
      <c r="D2398" s="1136"/>
      <c r="E2398" s="1420">
        <v>218025</v>
      </c>
      <c r="F2398" s="1110">
        <v>8</v>
      </c>
      <c r="G2398" s="846"/>
      <c r="H2398" s="847"/>
      <c r="I2398" s="846">
        <v>75771</v>
      </c>
      <c r="J2398" s="847">
        <v>105479</v>
      </c>
      <c r="K2398" s="846"/>
      <c r="L2398" s="847"/>
      <c r="M2398" s="846"/>
      <c r="N2398" s="846"/>
      <c r="O2398" s="737">
        <f t="shared" si="303"/>
        <v>0</v>
      </c>
      <c r="P2398" s="847"/>
      <c r="Q2398" s="847"/>
      <c r="R2398" s="738">
        <f t="shared" si="306"/>
        <v>0</v>
      </c>
      <c r="S2398" s="737">
        <f t="shared" si="307"/>
        <v>75771</v>
      </c>
      <c r="T2398" s="739">
        <f t="shared" si="308"/>
        <v>105479</v>
      </c>
      <c r="U2398" s="846"/>
      <c r="V2398" s="847"/>
      <c r="W2398" s="846"/>
      <c r="X2398" s="846"/>
      <c r="Y2398" s="740">
        <f t="shared" si="304"/>
        <v>0</v>
      </c>
      <c r="Z2398" s="847"/>
      <c r="AA2398" s="847"/>
      <c r="AB2398" s="741">
        <f t="shared" si="305"/>
        <v>0</v>
      </c>
      <c r="AC2398" s="846"/>
      <c r="AD2398" s="847"/>
      <c r="AE2398" s="846"/>
      <c r="AF2398" s="846"/>
      <c r="AG2398" s="847"/>
      <c r="AH2398" s="847"/>
      <c r="AI2398" s="742">
        <f t="shared" si="309"/>
        <v>75771</v>
      </c>
      <c r="AJ2398" s="743">
        <f t="shared" si="310"/>
        <v>105479</v>
      </c>
    </row>
    <row r="2399" spans="1:36">
      <c r="A2399" s="1410" t="s">
        <v>146</v>
      </c>
      <c r="B2399" s="1146" t="s">
        <v>272</v>
      </c>
      <c r="C2399" s="1414" t="s">
        <v>1824</v>
      </c>
      <c r="D2399" s="1136"/>
      <c r="E2399" s="1420">
        <v>218025</v>
      </c>
      <c r="F2399" s="1110">
        <v>8</v>
      </c>
      <c r="G2399" s="846"/>
      <c r="H2399" s="847"/>
      <c r="I2399" s="846"/>
      <c r="J2399" s="847">
        <v>174205</v>
      </c>
      <c r="K2399" s="846"/>
      <c r="L2399" s="847"/>
      <c r="M2399" s="846"/>
      <c r="N2399" s="846"/>
      <c r="O2399" s="737">
        <f t="shared" si="303"/>
        <v>0</v>
      </c>
      <c r="P2399" s="847"/>
      <c r="Q2399" s="847"/>
      <c r="R2399" s="738">
        <f t="shared" si="306"/>
        <v>0</v>
      </c>
      <c r="S2399" s="737">
        <f t="shared" si="307"/>
        <v>0</v>
      </c>
      <c r="T2399" s="739">
        <f t="shared" si="308"/>
        <v>174205</v>
      </c>
      <c r="U2399" s="846"/>
      <c r="V2399" s="847"/>
      <c r="W2399" s="846"/>
      <c r="X2399" s="846"/>
      <c r="Y2399" s="740">
        <f t="shared" si="304"/>
        <v>0</v>
      </c>
      <c r="Z2399" s="847"/>
      <c r="AA2399" s="847"/>
      <c r="AB2399" s="741">
        <f t="shared" si="305"/>
        <v>0</v>
      </c>
      <c r="AC2399" s="846"/>
      <c r="AD2399" s="847"/>
      <c r="AE2399" s="846"/>
      <c r="AF2399" s="846"/>
      <c r="AG2399" s="847"/>
      <c r="AH2399" s="847"/>
      <c r="AI2399" s="742">
        <f t="shared" si="309"/>
        <v>0</v>
      </c>
      <c r="AJ2399" s="743">
        <f t="shared" si="310"/>
        <v>174205</v>
      </c>
    </row>
    <row r="2400" spans="1:36">
      <c r="A2400" s="1410" t="s">
        <v>146</v>
      </c>
      <c r="B2400" s="1146" t="s">
        <v>272</v>
      </c>
      <c r="C2400" s="1137" t="s">
        <v>1825</v>
      </c>
      <c r="D2400" s="1136"/>
      <c r="E2400" s="1420">
        <v>218025</v>
      </c>
      <c r="F2400" s="1110">
        <v>8</v>
      </c>
      <c r="G2400" s="846"/>
      <c r="H2400" s="847"/>
      <c r="I2400" s="846">
        <v>22374</v>
      </c>
      <c r="J2400" s="847">
        <v>22374</v>
      </c>
      <c r="K2400" s="846"/>
      <c r="L2400" s="847"/>
      <c r="M2400" s="846"/>
      <c r="N2400" s="846"/>
      <c r="O2400" s="737">
        <f t="shared" si="303"/>
        <v>0</v>
      </c>
      <c r="P2400" s="847"/>
      <c r="Q2400" s="847"/>
      <c r="R2400" s="738">
        <f t="shared" si="306"/>
        <v>0</v>
      </c>
      <c r="S2400" s="737">
        <f t="shared" si="307"/>
        <v>22374</v>
      </c>
      <c r="T2400" s="739">
        <f t="shared" si="308"/>
        <v>22374</v>
      </c>
      <c r="U2400" s="846"/>
      <c r="V2400" s="847"/>
      <c r="W2400" s="846"/>
      <c r="X2400" s="846"/>
      <c r="Y2400" s="740">
        <f t="shared" si="304"/>
        <v>0</v>
      </c>
      <c r="Z2400" s="847"/>
      <c r="AA2400" s="847"/>
      <c r="AB2400" s="741">
        <f t="shared" si="305"/>
        <v>0</v>
      </c>
      <c r="AC2400" s="846"/>
      <c r="AD2400" s="847"/>
      <c r="AE2400" s="846"/>
      <c r="AF2400" s="846"/>
      <c r="AG2400" s="847"/>
      <c r="AH2400" s="847"/>
      <c r="AI2400" s="742">
        <f t="shared" si="309"/>
        <v>22374</v>
      </c>
      <c r="AJ2400" s="743">
        <f t="shared" si="310"/>
        <v>22374</v>
      </c>
    </row>
    <row r="2401" spans="1:36">
      <c r="A2401" s="1410" t="s">
        <v>146</v>
      </c>
      <c r="B2401" s="1146" t="s">
        <v>272</v>
      </c>
      <c r="C2401" s="1137" t="s">
        <v>1826</v>
      </c>
      <c r="D2401" s="1136"/>
      <c r="E2401" s="1420">
        <v>218025</v>
      </c>
      <c r="F2401" s="1110">
        <v>8</v>
      </c>
      <c r="G2401" s="846"/>
      <c r="H2401" s="847"/>
      <c r="I2401" s="846"/>
      <c r="J2401" s="847"/>
      <c r="K2401" s="846"/>
      <c r="L2401" s="847"/>
      <c r="M2401" s="846"/>
      <c r="N2401" s="846"/>
      <c r="O2401" s="737">
        <f t="shared" si="303"/>
        <v>0</v>
      </c>
      <c r="P2401" s="847"/>
      <c r="Q2401" s="847"/>
      <c r="R2401" s="738">
        <f t="shared" si="306"/>
        <v>0</v>
      </c>
      <c r="S2401" s="737">
        <f t="shared" si="307"/>
        <v>0</v>
      </c>
      <c r="T2401" s="739">
        <f t="shared" si="308"/>
        <v>0</v>
      </c>
      <c r="U2401" s="846"/>
      <c r="V2401" s="847"/>
      <c r="W2401" s="846"/>
      <c r="X2401" s="846"/>
      <c r="Y2401" s="740">
        <f t="shared" si="304"/>
        <v>0</v>
      </c>
      <c r="Z2401" s="847"/>
      <c r="AA2401" s="847"/>
      <c r="AB2401" s="741">
        <f t="shared" si="305"/>
        <v>0</v>
      </c>
      <c r="AC2401" s="846"/>
      <c r="AD2401" s="847"/>
      <c r="AE2401" s="846"/>
      <c r="AF2401" s="846"/>
      <c r="AG2401" s="847"/>
      <c r="AH2401" s="847"/>
      <c r="AI2401" s="742">
        <f t="shared" si="309"/>
        <v>0</v>
      </c>
      <c r="AJ2401" s="743">
        <f t="shared" si="310"/>
        <v>0</v>
      </c>
    </row>
    <row r="2402" spans="1:36">
      <c r="A2402" s="1410" t="s">
        <v>146</v>
      </c>
      <c r="B2402" s="1146" t="s">
        <v>272</v>
      </c>
      <c r="C2402" s="1137" t="s">
        <v>1827</v>
      </c>
      <c r="D2402" s="1136"/>
      <c r="E2402" s="1420">
        <v>218025</v>
      </c>
      <c r="F2402" s="1110">
        <v>8</v>
      </c>
      <c r="G2402" s="846"/>
      <c r="H2402" s="847"/>
      <c r="I2402" s="846">
        <v>1209088</v>
      </c>
      <c r="J2402" s="847">
        <v>906817</v>
      </c>
      <c r="K2402" s="846"/>
      <c r="L2402" s="847"/>
      <c r="M2402" s="846"/>
      <c r="N2402" s="846"/>
      <c r="O2402" s="737">
        <f t="shared" si="303"/>
        <v>0</v>
      </c>
      <c r="P2402" s="847"/>
      <c r="Q2402" s="847"/>
      <c r="R2402" s="738">
        <f t="shared" si="306"/>
        <v>0</v>
      </c>
      <c r="S2402" s="737">
        <f t="shared" si="307"/>
        <v>1209088</v>
      </c>
      <c r="T2402" s="739">
        <f t="shared" si="308"/>
        <v>906817</v>
      </c>
      <c r="U2402" s="846"/>
      <c r="V2402" s="847"/>
      <c r="W2402" s="846"/>
      <c r="X2402" s="846"/>
      <c r="Y2402" s="740">
        <f t="shared" si="304"/>
        <v>0</v>
      </c>
      <c r="Z2402" s="847"/>
      <c r="AA2402" s="847"/>
      <c r="AB2402" s="741">
        <f t="shared" si="305"/>
        <v>0</v>
      </c>
      <c r="AC2402" s="846"/>
      <c r="AD2402" s="847"/>
      <c r="AE2402" s="846"/>
      <c r="AF2402" s="846"/>
      <c r="AG2402" s="847"/>
      <c r="AH2402" s="847"/>
      <c r="AI2402" s="742">
        <f t="shared" si="309"/>
        <v>1209088</v>
      </c>
      <c r="AJ2402" s="743">
        <f t="shared" si="310"/>
        <v>906817</v>
      </c>
    </row>
    <row r="2403" spans="1:36">
      <c r="A2403" s="1410" t="s">
        <v>146</v>
      </c>
      <c r="B2403" s="1146" t="s">
        <v>272</v>
      </c>
      <c r="C2403" s="1414" t="s">
        <v>1828</v>
      </c>
      <c r="D2403" s="1136"/>
      <c r="E2403" s="1420">
        <v>218025</v>
      </c>
      <c r="F2403" s="1110">
        <v>8</v>
      </c>
      <c r="G2403" s="846"/>
      <c r="H2403" s="847"/>
      <c r="I2403" s="846"/>
      <c r="J2403" s="847">
        <v>302271</v>
      </c>
      <c r="K2403" s="846"/>
      <c r="L2403" s="847"/>
      <c r="M2403" s="846"/>
      <c r="N2403" s="846"/>
      <c r="O2403" s="737">
        <f t="shared" si="303"/>
        <v>0</v>
      </c>
      <c r="P2403" s="847"/>
      <c r="Q2403" s="847"/>
      <c r="R2403" s="738">
        <f t="shared" si="306"/>
        <v>0</v>
      </c>
      <c r="S2403" s="737">
        <f t="shared" si="307"/>
        <v>0</v>
      </c>
      <c r="T2403" s="739">
        <f t="shared" si="308"/>
        <v>302271</v>
      </c>
      <c r="U2403" s="846"/>
      <c r="V2403" s="847"/>
      <c r="W2403" s="846"/>
      <c r="X2403" s="846"/>
      <c r="Y2403" s="740">
        <f t="shared" si="304"/>
        <v>0</v>
      </c>
      <c r="Z2403" s="847"/>
      <c r="AA2403" s="847"/>
      <c r="AB2403" s="741">
        <f t="shared" si="305"/>
        <v>0</v>
      </c>
      <c r="AC2403" s="846"/>
      <c r="AD2403" s="847"/>
      <c r="AE2403" s="846"/>
      <c r="AF2403" s="846"/>
      <c r="AG2403" s="847"/>
      <c r="AH2403" s="847"/>
      <c r="AI2403" s="742">
        <f t="shared" si="309"/>
        <v>0</v>
      </c>
      <c r="AJ2403" s="743">
        <f t="shared" si="310"/>
        <v>302271</v>
      </c>
    </row>
    <row r="2404" spans="1:36">
      <c r="A2404" s="1410" t="s">
        <v>146</v>
      </c>
      <c r="B2404" s="1146" t="s">
        <v>272</v>
      </c>
      <c r="C2404" s="1137" t="s">
        <v>1829</v>
      </c>
      <c r="D2404" s="1136"/>
      <c r="E2404" s="1420">
        <v>218025</v>
      </c>
      <c r="F2404" s="1110">
        <v>8</v>
      </c>
      <c r="G2404" s="846"/>
      <c r="H2404" s="847"/>
      <c r="I2404" s="846">
        <v>37784</v>
      </c>
      <c r="J2404" s="847">
        <v>37784</v>
      </c>
      <c r="K2404" s="846"/>
      <c r="L2404" s="847"/>
      <c r="M2404" s="846"/>
      <c r="N2404" s="846"/>
      <c r="O2404" s="737">
        <f t="shared" si="303"/>
        <v>0</v>
      </c>
      <c r="P2404" s="847"/>
      <c r="Q2404" s="847"/>
      <c r="R2404" s="738">
        <f t="shared" si="306"/>
        <v>0</v>
      </c>
      <c r="S2404" s="737">
        <f t="shared" si="307"/>
        <v>37784</v>
      </c>
      <c r="T2404" s="739">
        <f t="shared" si="308"/>
        <v>37784</v>
      </c>
      <c r="U2404" s="846"/>
      <c r="V2404" s="847"/>
      <c r="W2404" s="846"/>
      <c r="X2404" s="846"/>
      <c r="Y2404" s="740">
        <f t="shared" si="304"/>
        <v>0</v>
      </c>
      <c r="Z2404" s="847"/>
      <c r="AA2404" s="847"/>
      <c r="AB2404" s="741">
        <f t="shared" si="305"/>
        <v>0</v>
      </c>
      <c r="AC2404" s="846"/>
      <c r="AD2404" s="847"/>
      <c r="AE2404" s="846"/>
      <c r="AF2404" s="846"/>
      <c r="AG2404" s="847"/>
      <c r="AH2404" s="847"/>
      <c r="AI2404" s="742">
        <f t="shared" si="309"/>
        <v>37784</v>
      </c>
      <c r="AJ2404" s="743">
        <f t="shared" si="310"/>
        <v>37784</v>
      </c>
    </row>
    <row r="2405" spans="1:36">
      <c r="A2405" s="1410" t="s">
        <v>146</v>
      </c>
      <c r="B2405" s="1146" t="s">
        <v>272</v>
      </c>
      <c r="C2405" s="1137" t="s">
        <v>1777</v>
      </c>
      <c r="D2405" s="1136"/>
      <c r="E2405" s="1420">
        <v>218025</v>
      </c>
      <c r="F2405" s="1110">
        <v>8</v>
      </c>
      <c r="G2405" s="846"/>
      <c r="H2405" s="847"/>
      <c r="I2405" s="846">
        <v>228366</v>
      </c>
      <c r="J2405" s="847">
        <v>208226</v>
      </c>
      <c r="K2405" s="846"/>
      <c r="L2405" s="847"/>
      <c r="M2405" s="846"/>
      <c r="N2405" s="846"/>
      <c r="O2405" s="737">
        <f t="shared" si="303"/>
        <v>0</v>
      </c>
      <c r="P2405" s="847"/>
      <c r="Q2405" s="847"/>
      <c r="R2405" s="738">
        <f t="shared" si="306"/>
        <v>0</v>
      </c>
      <c r="S2405" s="737">
        <f t="shared" si="307"/>
        <v>228366</v>
      </c>
      <c r="T2405" s="739">
        <f t="shared" si="308"/>
        <v>208226</v>
      </c>
      <c r="U2405" s="846"/>
      <c r="V2405" s="847"/>
      <c r="W2405" s="846"/>
      <c r="X2405" s="846"/>
      <c r="Y2405" s="740">
        <f t="shared" si="304"/>
        <v>0</v>
      </c>
      <c r="Z2405" s="847"/>
      <c r="AA2405" s="847"/>
      <c r="AB2405" s="741">
        <f t="shared" si="305"/>
        <v>0</v>
      </c>
      <c r="AC2405" s="846"/>
      <c r="AD2405" s="847"/>
      <c r="AE2405" s="846"/>
      <c r="AF2405" s="846"/>
      <c r="AG2405" s="847"/>
      <c r="AH2405" s="847"/>
      <c r="AI2405" s="742">
        <f t="shared" si="309"/>
        <v>228366</v>
      </c>
      <c r="AJ2405" s="743">
        <f t="shared" si="310"/>
        <v>208226</v>
      </c>
    </row>
    <row r="2406" spans="1:36">
      <c r="A2406" s="1410" t="s">
        <v>146</v>
      </c>
      <c r="B2406" s="1146" t="s">
        <v>272</v>
      </c>
      <c r="C2406" s="1414" t="s">
        <v>1830</v>
      </c>
      <c r="D2406" s="1136"/>
      <c r="E2406" s="1420">
        <v>218025</v>
      </c>
      <c r="F2406" s="1110">
        <v>8</v>
      </c>
      <c r="G2406" s="846"/>
      <c r="H2406" s="847"/>
      <c r="I2406" s="846"/>
      <c r="J2406" s="847">
        <v>1750000</v>
      </c>
      <c r="K2406" s="846"/>
      <c r="L2406" s="847"/>
      <c r="M2406" s="846"/>
      <c r="N2406" s="846"/>
      <c r="O2406" s="737">
        <f t="shared" si="303"/>
        <v>0</v>
      </c>
      <c r="P2406" s="847"/>
      <c r="Q2406" s="847"/>
      <c r="R2406" s="738">
        <f t="shared" si="306"/>
        <v>0</v>
      </c>
      <c r="S2406" s="737">
        <f t="shared" si="307"/>
        <v>0</v>
      </c>
      <c r="T2406" s="739">
        <f t="shared" si="308"/>
        <v>1750000</v>
      </c>
      <c r="U2406" s="846"/>
      <c r="V2406" s="847"/>
      <c r="W2406" s="846"/>
      <c r="X2406" s="846"/>
      <c r="Y2406" s="740">
        <f t="shared" si="304"/>
        <v>0</v>
      </c>
      <c r="Z2406" s="847"/>
      <c r="AA2406" s="847"/>
      <c r="AB2406" s="741">
        <f t="shared" si="305"/>
        <v>0</v>
      </c>
      <c r="AC2406" s="846"/>
      <c r="AD2406" s="847"/>
      <c r="AE2406" s="846"/>
      <c r="AF2406" s="846"/>
      <c r="AG2406" s="847"/>
      <c r="AH2406" s="847"/>
      <c r="AI2406" s="742">
        <f t="shared" si="309"/>
        <v>0</v>
      </c>
      <c r="AJ2406" s="743">
        <f t="shared" si="310"/>
        <v>1750000</v>
      </c>
    </row>
    <row r="2407" spans="1:36">
      <c r="A2407" s="1410" t="s">
        <v>146</v>
      </c>
      <c r="B2407" s="1146" t="s">
        <v>272</v>
      </c>
      <c r="C2407" s="1414" t="s">
        <v>1831</v>
      </c>
      <c r="D2407" s="1136"/>
      <c r="E2407" s="1420">
        <v>218025</v>
      </c>
      <c r="F2407" s="1110">
        <v>8</v>
      </c>
      <c r="G2407" s="846"/>
      <c r="H2407" s="847"/>
      <c r="I2407" s="846"/>
      <c r="J2407" s="847">
        <v>58729</v>
      </c>
      <c r="K2407" s="846"/>
      <c r="L2407" s="847"/>
      <c r="M2407" s="846"/>
      <c r="N2407" s="846"/>
      <c r="O2407" s="737">
        <f t="shared" si="303"/>
        <v>0</v>
      </c>
      <c r="P2407" s="847"/>
      <c r="Q2407" s="847"/>
      <c r="R2407" s="738">
        <f t="shared" si="306"/>
        <v>0</v>
      </c>
      <c r="S2407" s="737">
        <f t="shared" si="307"/>
        <v>0</v>
      </c>
      <c r="T2407" s="739">
        <f t="shared" si="308"/>
        <v>58729</v>
      </c>
      <c r="U2407" s="846"/>
      <c r="V2407" s="847"/>
      <c r="W2407" s="846"/>
      <c r="X2407" s="846"/>
      <c r="Y2407" s="740">
        <f t="shared" si="304"/>
        <v>0</v>
      </c>
      <c r="Z2407" s="847"/>
      <c r="AA2407" s="847"/>
      <c r="AB2407" s="741">
        <f t="shared" si="305"/>
        <v>0</v>
      </c>
      <c r="AC2407" s="846"/>
      <c r="AD2407" s="847"/>
      <c r="AE2407" s="846"/>
      <c r="AF2407" s="846"/>
      <c r="AG2407" s="847"/>
      <c r="AH2407" s="847"/>
      <c r="AI2407" s="742">
        <f t="shared" si="309"/>
        <v>0</v>
      </c>
      <c r="AJ2407" s="743">
        <f t="shared" si="310"/>
        <v>58729</v>
      </c>
    </row>
    <row r="2408" spans="1:36">
      <c r="A2408" s="1410" t="s">
        <v>146</v>
      </c>
      <c r="B2408" s="1146" t="s">
        <v>264</v>
      </c>
      <c r="C2408" s="1411" t="s">
        <v>1832</v>
      </c>
      <c r="D2408" s="1136"/>
      <c r="E2408" s="1420">
        <v>218113</v>
      </c>
      <c r="F2408" s="1110">
        <v>8</v>
      </c>
      <c r="G2408" s="846">
        <v>15688160</v>
      </c>
      <c r="H2408" s="847">
        <v>15688161</v>
      </c>
      <c r="I2408" s="846"/>
      <c r="J2408" s="847"/>
      <c r="K2408" s="846">
        <v>10515010</v>
      </c>
      <c r="L2408" s="847">
        <v>11341851</v>
      </c>
      <c r="M2408" s="846">
        <v>49716703</v>
      </c>
      <c r="N2408" s="846">
        <v>2205890</v>
      </c>
      <c r="O2408" s="737">
        <f t="shared" si="303"/>
        <v>51922593</v>
      </c>
      <c r="P2408" s="847">
        <v>21453214</v>
      </c>
      <c r="Q2408" s="847">
        <v>2852743</v>
      </c>
      <c r="R2408" s="738">
        <f t="shared" si="306"/>
        <v>24305957</v>
      </c>
      <c r="S2408" s="737">
        <f t="shared" si="307"/>
        <v>75919873</v>
      </c>
      <c r="T2408" s="739">
        <f t="shared" si="308"/>
        <v>48483226</v>
      </c>
      <c r="U2408" s="846"/>
      <c r="V2408" s="847"/>
      <c r="W2408" s="846"/>
      <c r="X2408" s="846"/>
      <c r="Y2408" s="740">
        <f t="shared" si="304"/>
        <v>0</v>
      </c>
      <c r="Z2408" s="847"/>
      <c r="AA2408" s="847"/>
      <c r="AB2408" s="741">
        <f t="shared" si="305"/>
        <v>0</v>
      </c>
      <c r="AC2408" s="846"/>
      <c r="AD2408" s="847"/>
      <c r="AE2408" s="846"/>
      <c r="AF2408" s="846"/>
      <c r="AG2408" s="847"/>
      <c r="AH2408" s="847"/>
      <c r="AI2408" s="742">
        <f t="shared" si="309"/>
        <v>75919873</v>
      </c>
      <c r="AJ2408" s="743">
        <f t="shared" si="310"/>
        <v>48483226</v>
      </c>
    </row>
    <row r="2409" spans="1:36">
      <c r="A2409" s="1410" t="s">
        <v>146</v>
      </c>
      <c r="B2409" s="1146" t="s">
        <v>264</v>
      </c>
      <c r="C2409" s="1414" t="s">
        <v>1822</v>
      </c>
      <c r="D2409" s="1136"/>
      <c r="E2409" s="1420">
        <v>218113</v>
      </c>
      <c r="F2409" s="1110">
        <v>8</v>
      </c>
      <c r="G2409" s="846"/>
      <c r="H2409" s="847">
        <v>440123</v>
      </c>
      <c r="I2409" s="846"/>
      <c r="J2409" s="847"/>
      <c r="K2409" s="846"/>
      <c r="L2409" s="847"/>
      <c r="M2409" s="846"/>
      <c r="N2409" s="846"/>
      <c r="O2409" s="737">
        <f t="shared" si="303"/>
        <v>0</v>
      </c>
      <c r="P2409" s="847"/>
      <c r="Q2409" s="847"/>
      <c r="R2409" s="738">
        <f t="shared" si="306"/>
        <v>0</v>
      </c>
      <c r="S2409" s="737">
        <f t="shared" si="307"/>
        <v>0</v>
      </c>
      <c r="T2409" s="739">
        <f t="shared" si="308"/>
        <v>440123</v>
      </c>
      <c r="U2409" s="846"/>
      <c r="V2409" s="847"/>
      <c r="W2409" s="846"/>
      <c r="X2409" s="846"/>
      <c r="Y2409" s="740">
        <f t="shared" si="304"/>
        <v>0</v>
      </c>
      <c r="Z2409" s="847"/>
      <c r="AA2409" s="847"/>
      <c r="AB2409" s="741">
        <f t="shared" si="305"/>
        <v>0</v>
      </c>
      <c r="AC2409" s="846"/>
      <c r="AD2409" s="847"/>
      <c r="AE2409" s="846"/>
      <c r="AF2409" s="846"/>
      <c r="AG2409" s="847"/>
      <c r="AH2409" s="847"/>
      <c r="AI2409" s="742">
        <f t="shared" si="309"/>
        <v>0</v>
      </c>
      <c r="AJ2409" s="743">
        <f t="shared" si="310"/>
        <v>440123</v>
      </c>
    </row>
    <row r="2410" spans="1:36">
      <c r="A2410" s="1410" t="s">
        <v>146</v>
      </c>
      <c r="B2410" s="1146" t="s">
        <v>272</v>
      </c>
      <c r="C2410" s="1135" t="s">
        <v>842</v>
      </c>
      <c r="D2410" s="1136"/>
      <c r="E2410" s="1420">
        <v>218113</v>
      </c>
      <c r="F2410" s="1110">
        <v>8</v>
      </c>
      <c r="G2410" s="846"/>
      <c r="H2410" s="847"/>
      <c r="I2410" s="846"/>
      <c r="J2410" s="847"/>
      <c r="K2410" s="846"/>
      <c r="L2410" s="847"/>
      <c r="M2410" s="846"/>
      <c r="N2410" s="846"/>
      <c r="O2410" s="737">
        <f t="shared" si="303"/>
        <v>0</v>
      </c>
      <c r="P2410" s="847"/>
      <c r="Q2410" s="847"/>
      <c r="R2410" s="738">
        <f t="shared" si="306"/>
        <v>0</v>
      </c>
      <c r="S2410" s="737">
        <f t="shared" si="307"/>
        <v>0</v>
      </c>
      <c r="T2410" s="739">
        <f t="shared" si="308"/>
        <v>0</v>
      </c>
      <c r="U2410" s="846"/>
      <c r="V2410" s="847"/>
      <c r="W2410" s="846"/>
      <c r="X2410" s="846"/>
      <c r="Y2410" s="740">
        <f t="shared" si="304"/>
        <v>0</v>
      </c>
      <c r="Z2410" s="847"/>
      <c r="AA2410" s="847"/>
      <c r="AB2410" s="741">
        <f t="shared" si="305"/>
        <v>0</v>
      </c>
      <c r="AC2410" s="846"/>
      <c r="AD2410" s="847"/>
      <c r="AE2410" s="846"/>
      <c r="AF2410" s="846"/>
      <c r="AG2410" s="847"/>
      <c r="AH2410" s="847"/>
      <c r="AI2410" s="742">
        <f t="shared" si="309"/>
        <v>0</v>
      </c>
      <c r="AJ2410" s="743">
        <f t="shared" si="310"/>
        <v>0</v>
      </c>
    </row>
    <row r="2411" spans="1:36">
      <c r="A2411" s="1410" t="s">
        <v>146</v>
      </c>
      <c r="B2411" s="1146" t="s">
        <v>272</v>
      </c>
      <c r="C2411" s="1137" t="s">
        <v>1756</v>
      </c>
      <c r="D2411" s="1136"/>
      <c r="E2411" s="1420">
        <v>218113</v>
      </c>
      <c r="F2411" s="1110">
        <v>8</v>
      </c>
      <c r="G2411" s="846"/>
      <c r="H2411" s="847"/>
      <c r="I2411" s="846">
        <v>1927</v>
      </c>
      <c r="J2411" s="847">
        <v>1707</v>
      </c>
      <c r="K2411" s="846"/>
      <c r="L2411" s="847"/>
      <c r="M2411" s="846"/>
      <c r="N2411" s="846"/>
      <c r="O2411" s="737">
        <f t="shared" si="303"/>
        <v>0</v>
      </c>
      <c r="P2411" s="847"/>
      <c r="Q2411" s="847"/>
      <c r="R2411" s="738">
        <f t="shared" si="306"/>
        <v>0</v>
      </c>
      <c r="S2411" s="737">
        <f t="shared" si="307"/>
        <v>1927</v>
      </c>
      <c r="T2411" s="739">
        <f t="shared" si="308"/>
        <v>1707</v>
      </c>
      <c r="U2411" s="846"/>
      <c r="V2411" s="847"/>
      <c r="W2411" s="846"/>
      <c r="X2411" s="846"/>
      <c r="Y2411" s="740">
        <f t="shared" si="304"/>
        <v>0</v>
      </c>
      <c r="Z2411" s="847"/>
      <c r="AA2411" s="847"/>
      <c r="AB2411" s="741">
        <f t="shared" si="305"/>
        <v>0</v>
      </c>
      <c r="AC2411" s="846"/>
      <c r="AD2411" s="847"/>
      <c r="AE2411" s="846"/>
      <c r="AF2411" s="846"/>
      <c r="AG2411" s="847"/>
      <c r="AH2411" s="847"/>
      <c r="AI2411" s="742">
        <f t="shared" si="309"/>
        <v>1927</v>
      </c>
      <c r="AJ2411" s="743">
        <f t="shared" si="310"/>
        <v>1707</v>
      </c>
    </row>
    <row r="2412" spans="1:36">
      <c r="A2412" s="1410" t="s">
        <v>146</v>
      </c>
      <c r="B2412" s="1146" t="s">
        <v>272</v>
      </c>
      <c r="C2412" s="1137" t="s">
        <v>1823</v>
      </c>
      <c r="D2412" s="1136"/>
      <c r="E2412" s="1420">
        <v>218113</v>
      </c>
      <c r="F2412" s="1110">
        <v>8</v>
      </c>
      <c r="G2412" s="846"/>
      <c r="H2412" s="847"/>
      <c r="I2412" s="846">
        <v>193782</v>
      </c>
      <c r="J2412" s="847">
        <v>144687</v>
      </c>
      <c r="K2412" s="846"/>
      <c r="L2412" s="847"/>
      <c r="M2412" s="846"/>
      <c r="N2412" s="846"/>
      <c r="O2412" s="737">
        <f t="shared" si="303"/>
        <v>0</v>
      </c>
      <c r="P2412" s="847"/>
      <c r="Q2412" s="847"/>
      <c r="R2412" s="738">
        <f t="shared" si="306"/>
        <v>0</v>
      </c>
      <c r="S2412" s="737">
        <f t="shared" si="307"/>
        <v>193782</v>
      </c>
      <c r="T2412" s="739">
        <f t="shared" si="308"/>
        <v>144687</v>
      </c>
      <c r="U2412" s="846"/>
      <c r="V2412" s="847"/>
      <c r="W2412" s="846"/>
      <c r="X2412" s="846"/>
      <c r="Y2412" s="740">
        <f t="shared" si="304"/>
        <v>0</v>
      </c>
      <c r="Z2412" s="847"/>
      <c r="AA2412" s="847"/>
      <c r="AB2412" s="741">
        <f t="shared" si="305"/>
        <v>0</v>
      </c>
      <c r="AC2412" s="846"/>
      <c r="AD2412" s="847"/>
      <c r="AE2412" s="846"/>
      <c r="AF2412" s="846"/>
      <c r="AG2412" s="847"/>
      <c r="AH2412" s="847"/>
      <c r="AI2412" s="742">
        <f t="shared" si="309"/>
        <v>193782</v>
      </c>
      <c r="AJ2412" s="743">
        <f t="shared" si="310"/>
        <v>144687</v>
      </c>
    </row>
    <row r="2413" spans="1:36">
      <c r="A2413" s="1410" t="s">
        <v>146</v>
      </c>
      <c r="B2413" s="1146" t="s">
        <v>272</v>
      </c>
      <c r="C2413" s="1414" t="s">
        <v>1824</v>
      </c>
      <c r="D2413" s="1136"/>
      <c r="E2413" s="1420">
        <v>218113</v>
      </c>
      <c r="F2413" s="1110">
        <v>8</v>
      </c>
      <c r="G2413" s="846"/>
      <c r="H2413" s="847"/>
      <c r="I2413" s="846"/>
      <c r="J2413" s="847">
        <v>360991</v>
      </c>
      <c r="K2413" s="846"/>
      <c r="L2413" s="847"/>
      <c r="M2413" s="846"/>
      <c r="N2413" s="846"/>
      <c r="O2413" s="737">
        <f t="shared" si="303"/>
        <v>0</v>
      </c>
      <c r="P2413" s="847"/>
      <c r="Q2413" s="847"/>
      <c r="R2413" s="738">
        <f t="shared" si="306"/>
        <v>0</v>
      </c>
      <c r="S2413" s="737">
        <f t="shared" si="307"/>
        <v>0</v>
      </c>
      <c r="T2413" s="739">
        <f t="shared" si="308"/>
        <v>360991</v>
      </c>
      <c r="U2413" s="846"/>
      <c r="V2413" s="847"/>
      <c r="W2413" s="846"/>
      <c r="X2413" s="846"/>
      <c r="Y2413" s="740">
        <f t="shared" si="304"/>
        <v>0</v>
      </c>
      <c r="Z2413" s="847"/>
      <c r="AA2413" s="847"/>
      <c r="AB2413" s="741">
        <f t="shared" si="305"/>
        <v>0</v>
      </c>
      <c r="AC2413" s="846"/>
      <c r="AD2413" s="847"/>
      <c r="AE2413" s="846"/>
      <c r="AF2413" s="846"/>
      <c r="AG2413" s="847"/>
      <c r="AH2413" s="847"/>
      <c r="AI2413" s="742">
        <f t="shared" si="309"/>
        <v>0</v>
      </c>
      <c r="AJ2413" s="743">
        <f t="shared" si="310"/>
        <v>360991</v>
      </c>
    </row>
    <row r="2414" spans="1:36">
      <c r="A2414" s="1410" t="s">
        <v>146</v>
      </c>
      <c r="B2414" s="1146" t="s">
        <v>272</v>
      </c>
      <c r="C2414" s="1137" t="s">
        <v>1825</v>
      </c>
      <c r="D2414" s="1136"/>
      <c r="E2414" s="1420">
        <v>218113</v>
      </c>
      <c r="F2414" s="1110">
        <v>8</v>
      </c>
      <c r="G2414" s="846"/>
      <c r="H2414" s="847"/>
      <c r="I2414" s="846">
        <v>54586</v>
      </c>
      <c r="J2414" s="847">
        <v>54585</v>
      </c>
      <c r="K2414" s="846"/>
      <c r="L2414" s="847"/>
      <c r="M2414" s="846"/>
      <c r="N2414" s="846"/>
      <c r="O2414" s="737">
        <f t="shared" si="303"/>
        <v>0</v>
      </c>
      <c r="P2414" s="847"/>
      <c r="Q2414" s="847"/>
      <c r="R2414" s="738">
        <f t="shared" si="306"/>
        <v>0</v>
      </c>
      <c r="S2414" s="737">
        <f t="shared" si="307"/>
        <v>54586</v>
      </c>
      <c r="T2414" s="739">
        <f t="shared" si="308"/>
        <v>54585</v>
      </c>
      <c r="U2414" s="846"/>
      <c r="V2414" s="847"/>
      <c r="W2414" s="846"/>
      <c r="X2414" s="846"/>
      <c r="Y2414" s="740">
        <f t="shared" si="304"/>
        <v>0</v>
      </c>
      <c r="Z2414" s="847"/>
      <c r="AA2414" s="847"/>
      <c r="AB2414" s="741">
        <f t="shared" si="305"/>
        <v>0</v>
      </c>
      <c r="AC2414" s="846"/>
      <c r="AD2414" s="847"/>
      <c r="AE2414" s="846"/>
      <c r="AF2414" s="846"/>
      <c r="AG2414" s="847"/>
      <c r="AH2414" s="847"/>
      <c r="AI2414" s="742">
        <f t="shared" si="309"/>
        <v>54586</v>
      </c>
      <c r="AJ2414" s="743">
        <f t="shared" si="310"/>
        <v>54585</v>
      </c>
    </row>
    <row r="2415" spans="1:36">
      <c r="A2415" s="1410" t="s">
        <v>146</v>
      </c>
      <c r="B2415" s="1146" t="s">
        <v>272</v>
      </c>
      <c r="C2415" s="1137" t="s">
        <v>1826</v>
      </c>
      <c r="D2415" s="1136"/>
      <c r="E2415" s="1420">
        <v>218113</v>
      </c>
      <c r="F2415" s="1110">
        <v>8</v>
      </c>
      <c r="G2415" s="846"/>
      <c r="H2415" s="847"/>
      <c r="I2415" s="846"/>
      <c r="J2415" s="847"/>
      <c r="K2415" s="846"/>
      <c r="L2415" s="847"/>
      <c r="M2415" s="846"/>
      <c r="N2415" s="846"/>
      <c r="O2415" s="737">
        <f t="shared" si="303"/>
        <v>0</v>
      </c>
      <c r="P2415" s="847"/>
      <c r="Q2415" s="847"/>
      <c r="R2415" s="738">
        <f t="shared" si="306"/>
        <v>0</v>
      </c>
      <c r="S2415" s="737">
        <f t="shared" si="307"/>
        <v>0</v>
      </c>
      <c r="T2415" s="739">
        <f t="shared" si="308"/>
        <v>0</v>
      </c>
      <c r="U2415" s="846"/>
      <c r="V2415" s="847"/>
      <c r="W2415" s="846"/>
      <c r="X2415" s="846"/>
      <c r="Y2415" s="740">
        <f t="shared" si="304"/>
        <v>0</v>
      </c>
      <c r="Z2415" s="847"/>
      <c r="AA2415" s="847"/>
      <c r="AB2415" s="741">
        <f t="shared" si="305"/>
        <v>0</v>
      </c>
      <c r="AC2415" s="846"/>
      <c r="AD2415" s="847"/>
      <c r="AE2415" s="846"/>
      <c r="AF2415" s="846"/>
      <c r="AG2415" s="847"/>
      <c r="AH2415" s="847"/>
      <c r="AI2415" s="742">
        <f t="shared" si="309"/>
        <v>0</v>
      </c>
      <c r="AJ2415" s="743">
        <f t="shared" si="310"/>
        <v>0</v>
      </c>
    </row>
    <row r="2416" spans="1:36">
      <c r="A2416" s="1410" t="s">
        <v>146</v>
      </c>
      <c r="B2416" s="1146" t="s">
        <v>272</v>
      </c>
      <c r="C2416" s="1137" t="s">
        <v>1829</v>
      </c>
      <c r="D2416" s="1136"/>
      <c r="E2416" s="1420">
        <v>218113</v>
      </c>
      <c r="F2416" s="1110">
        <v>8</v>
      </c>
      <c r="G2416" s="846"/>
      <c r="H2416" s="847"/>
      <c r="I2416" s="846">
        <v>37784</v>
      </c>
      <c r="J2416" s="847">
        <v>37784</v>
      </c>
      <c r="K2416" s="846"/>
      <c r="L2416" s="847"/>
      <c r="M2416" s="846"/>
      <c r="N2416" s="846"/>
      <c r="O2416" s="737">
        <f t="shared" si="303"/>
        <v>0</v>
      </c>
      <c r="P2416" s="847"/>
      <c r="Q2416" s="847"/>
      <c r="R2416" s="738">
        <f t="shared" si="306"/>
        <v>0</v>
      </c>
      <c r="S2416" s="737">
        <f t="shared" si="307"/>
        <v>37784</v>
      </c>
      <c r="T2416" s="739">
        <f t="shared" si="308"/>
        <v>37784</v>
      </c>
      <c r="U2416" s="846"/>
      <c r="V2416" s="847"/>
      <c r="W2416" s="846"/>
      <c r="X2416" s="846"/>
      <c r="Y2416" s="740">
        <f t="shared" si="304"/>
        <v>0</v>
      </c>
      <c r="Z2416" s="847"/>
      <c r="AA2416" s="847"/>
      <c r="AB2416" s="741">
        <f t="shared" si="305"/>
        <v>0</v>
      </c>
      <c r="AC2416" s="846"/>
      <c r="AD2416" s="847"/>
      <c r="AE2416" s="846"/>
      <c r="AF2416" s="846"/>
      <c r="AG2416" s="847"/>
      <c r="AH2416" s="847"/>
      <c r="AI2416" s="742">
        <f t="shared" si="309"/>
        <v>37784</v>
      </c>
      <c r="AJ2416" s="743">
        <f t="shared" si="310"/>
        <v>37784</v>
      </c>
    </row>
    <row r="2417" spans="1:36">
      <c r="A2417" s="1410" t="s">
        <v>146</v>
      </c>
      <c r="B2417" s="1146" t="s">
        <v>272</v>
      </c>
      <c r="C2417" s="1137" t="s">
        <v>1777</v>
      </c>
      <c r="D2417" s="1136"/>
      <c r="E2417" s="1420">
        <v>218113</v>
      </c>
      <c r="F2417" s="1110">
        <v>8</v>
      </c>
      <c r="G2417" s="846"/>
      <c r="H2417" s="847"/>
      <c r="I2417" s="846">
        <v>603749</v>
      </c>
      <c r="J2417" s="847">
        <v>550504</v>
      </c>
      <c r="K2417" s="846"/>
      <c r="L2417" s="847"/>
      <c r="M2417" s="846"/>
      <c r="N2417" s="846"/>
      <c r="O2417" s="737">
        <f t="shared" si="303"/>
        <v>0</v>
      </c>
      <c r="P2417" s="847"/>
      <c r="Q2417" s="847"/>
      <c r="R2417" s="738">
        <f t="shared" si="306"/>
        <v>0</v>
      </c>
      <c r="S2417" s="737">
        <f t="shared" si="307"/>
        <v>603749</v>
      </c>
      <c r="T2417" s="739">
        <f t="shared" si="308"/>
        <v>550504</v>
      </c>
      <c r="U2417" s="846"/>
      <c r="V2417" s="847"/>
      <c r="W2417" s="846"/>
      <c r="X2417" s="846"/>
      <c r="Y2417" s="740">
        <f t="shared" si="304"/>
        <v>0</v>
      </c>
      <c r="Z2417" s="847"/>
      <c r="AA2417" s="847"/>
      <c r="AB2417" s="741">
        <f t="shared" si="305"/>
        <v>0</v>
      </c>
      <c r="AC2417" s="846"/>
      <c r="AD2417" s="847"/>
      <c r="AE2417" s="846"/>
      <c r="AF2417" s="846"/>
      <c r="AG2417" s="847"/>
      <c r="AH2417" s="847"/>
      <c r="AI2417" s="742">
        <f t="shared" si="309"/>
        <v>603749</v>
      </c>
      <c r="AJ2417" s="743">
        <f t="shared" si="310"/>
        <v>550504</v>
      </c>
    </row>
    <row r="2418" spans="1:36">
      <c r="A2418" s="1410" t="s">
        <v>146</v>
      </c>
      <c r="B2418" s="1146" t="s">
        <v>272</v>
      </c>
      <c r="C2418" s="1414" t="s">
        <v>1831</v>
      </c>
      <c r="D2418" s="1136"/>
      <c r="E2418" s="1420">
        <v>218113</v>
      </c>
      <c r="F2418" s="1110">
        <v>8</v>
      </c>
      <c r="G2418" s="846"/>
      <c r="H2418" s="847"/>
      <c r="I2418" s="846"/>
      <c r="J2418" s="847">
        <v>155267</v>
      </c>
      <c r="K2418" s="846"/>
      <c r="L2418" s="847"/>
      <c r="M2418" s="846"/>
      <c r="N2418" s="846"/>
      <c r="O2418" s="737">
        <f t="shared" si="303"/>
        <v>0</v>
      </c>
      <c r="P2418" s="847"/>
      <c r="Q2418" s="847"/>
      <c r="R2418" s="738">
        <f t="shared" si="306"/>
        <v>0</v>
      </c>
      <c r="S2418" s="737">
        <f t="shared" si="307"/>
        <v>0</v>
      </c>
      <c r="T2418" s="739">
        <f t="shared" si="308"/>
        <v>155267</v>
      </c>
      <c r="U2418" s="846"/>
      <c r="V2418" s="847"/>
      <c r="W2418" s="846"/>
      <c r="X2418" s="846"/>
      <c r="Y2418" s="740">
        <f t="shared" si="304"/>
        <v>0</v>
      </c>
      <c r="Z2418" s="847"/>
      <c r="AA2418" s="847"/>
      <c r="AB2418" s="741">
        <f t="shared" si="305"/>
        <v>0</v>
      </c>
      <c r="AC2418" s="846"/>
      <c r="AD2418" s="847"/>
      <c r="AE2418" s="846"/>
      <c r="AF2418" s="846"/>
      <c r="AG2418" s="847"/>
      <c r="AH2418" s="847"/>
      <c r="AI2418" s="742">
        <f t="shared" si="309"/>
        <v>0</v>
      </c>
      <c r="AJ2418" s="743">
        <f t="shared" si="310"/>
        <v>155267</v>
      </c>
    </row>
    <row r="2419" spans="1:36">
      <c r="A2419" s="1410" t="s">
        <v>146</v>
      </c>
      <c r="B2419" s="1146" t="s">
        <v>264</v>
      </c>
      <c r="C2419" s="1131" t="s">
        <v>1833</v>
      </c>
      <c r="D2419" s="1136"/>
      <c r="E2419" s="1436">
        <v>218140</v>
      </c>
      <c r="F2419" s="1422">
        <v>8</v>
      </c>
      <c r="G2419" s="846">
        <v>7030895</v>
      </c>
      <c r="H2419" s="847">
        <v>7030895</v>
      </c>
      <c r="I2419" s="846"/>
      <c r="J2419" s="847"/>
      <c r="K2419" s="846">
        <v>3811000</v>
      </c>
      <c r="L2419" s="847">
        <v>3888000</v>
      </c>
      <c r="M2419" s="846">
        <v>26352388</v>
      </c>
      <c r="N2419" s="846">
        <v>0</v>
      </c>
      <c r="O2419" s="737">
        <f t="shared" si="303"/>
        <v>26352388</v>
      </c>
      <c r="P2419" s="847">
        <v>27174766</v>
      </c>
      <c r="Q2419" s="847">
        <v>0</v>
      </c>
      <c r="R2419" s="738">
        <f t="shared" si="306"/>
        <v>27174766</v>
      </c>
      <c r="S2419" s="737">
        <f t="shared" si="307"/>
        <v>37194283</v>
      </c>
      <c r="T2419" s="739">
        <f t="shared" si="308"/>
        <v>38093661</v>
      </c>
      <c r="U2419" s="846"/>
      <c r="V2419" s="847"/>
      <c r="W2419" s="846"/>
      <c r="X2419" s="846"/>
      <c r="Y2419" s="740">
        <f t="shared" si="304"/>
        <v>0</v>
      </c>
      <c r="Z2419" s="847"/>
      <c r="AA2419" s="847"/>
      <c r="AB2419" s="741">
        <f t="shared" si="305"/>
        <v>0</v>
      </c>
      <c r="AC2419" s="846"/>
      <c r="AD2419" s="847"/>
      <c r="AE2419" s="846"/>
      <c r="AF2419" s="846"/>
      <c r="AG2419" s="847"/>
      <c r="AH2419" s="847"/>
      <c r="AI2419" s="742">
        <f t="shared" si="309"/>
        <v>37194283</v>
      </c>
      <c r="AJ2419" s="743">
        <f t="shared" si="310"/>
        <v>38093661</v>
      </c>
    </row>
    <row r="2420" spans="1:36">
      <c r="A2420" s="1410" t="s">
        <v>146</v>
      </c>
      <c r="B2420" s="1146" t="s">
        <v>264</v>
      </c>
      <c r="C2420" s="1421" t="s">
        <v>1822</v>
      </c>
      <c r="D2420" s="1136"/>
      <c r="E2420" s="1436">
        <v>218140</v>
      </c>
      <c r="F2420" s="1422">
        <v>8</v>
      </c>
      <c r="G2420" s="846"/>
      <c r="H2420" s="847">
        <v>197248</v>
      </c>
      <c r="I2420" s="846"/>
      <c r="J2420" s="352"/>
      <c r="K2420" s="846"/>
      <c r="L2420" s="847"/>
      <c r="M2420" s="846"/>
      <c r="N2420" s="846"/>
      <c r="O2420" s="737">
        <f t="shared" si="303"/>
        <v>0</v>
      </c>
      <c r="P2420" s="847"/>
      <c r="Q2420" s="847"/>
      <c r="R2420" s="738">
        <f t="shared" si="306"/>
        <v>0</v>
      </c>
      <c r="S2420" s="737">
        <f t="shared" si="307"/>
        <v>0</v>
      </c>
      <c r="T2420" s="739">
        <f t="shared" si="308"/>
        <v>197248</v>
      </c>
      <c r="U2420" s="846"/>
      <c r="V2420" s="847"/>
      <c r="W2420" s="846"/>
      <c r="X2420" s="846"/>
      <c r="Y2420" s="740">
        <f t="shared" si="304"/>
        <v>0</v>
      </c>
      <c r="Z2420" s="847"/>
      <c r="AA2420" s="847"/>
      <c r="AB2420" s="741">
        <f t="shared" si="305"/>
        <v>0</v>
      </c>
      <c r="AC2420" s="846"/>
      <c r="AD2420" s="847"/>
      <c r="AE2420" s="846"/>
      <c r="AF2420" s="846"/>
      <c r="AG2420" s="847"/>
      <c r="AH2420" s="847"/>
      <c r="AI2420" s="742">
        <f t="shared" si="309"/>
        <v>0</v>
      </c>
      <c r="AJ2420" s="743">
        <f t="shared" si="310"/>
        <v>197248</v>
      </c>
    </row>
    <row r="2421" spans="1:36">
      <c r="A2421" s="1410" t="s">
        <v>146</v>
      </c>
      <c r="B2421" s="1146" t="s">
        <v>272</v>
      </c>
      <c r="C2421" s="1135" t="s">
        <v>842</v>
      </c>
      <c r="D2421" s="1136"/>
      <c r="E2421" s="1420">
        <v>218140</v>
      </c>
      <c r="F2421" s="1422">
        <v>8</v>
      </c>
      <c r="G2421" s="846"/>
      <c r="H2421" s="847"/>
      <c r="I2421" s="846"/>
      <c r="J2421" s="847"/>
      <c r="K2421" s="846"/>
      <c r="L2421" s="847"/>
      <c r="M2421" s="846"/>
      <c r="N2421" s="846"/>
      <c r="O2421" s="737">
        <f t="shared" si="303"/>
        <v>0</v>
      </c>
      <c r="P2421" s="847"/>
      <c r="Q2421" s="847"/>
      <c r="R2421" s="738">
        <f t="shared" si="306"/>
        <v>0</v>
      </c>
      <c r="S2421" s="737">
        <f t="shared" si="307"/>
        <v>0</v>
      </c>
      <c r="T2421" s="739">
        <f t="shared" si="308"/>
        <v>0</v>
      </c>
      <c r="U2421" s="846"/>
      <c r="V2421" s="847"/>
      <c r="W2421" s="846"/>
      <c r="X2421" s="846"/>
      <c r="Y2421" s="740">
        <f t="shared" si="304"/>
        <v>0</v>
      </c>
      <c r="Z2421" s="847"/>
      <c r="AA2421" s="847"/>
      <c r="AB2421" s="741">
        <f t="shared" si="305"/>
        <v>0</v>
      </c>
      <c r="AC2421" s="846"/>
      <c r="AD2421" s="847"/>
      <c r="AE2421" s="846"/>
      <c r="AF2421" s="846"/>
      <c r="AG2421" s="847"/>
      <c r="AH2421" s="847"/>
      <c r="AI2421" s="742">
        <f t="shared" si="309"/>
        <v>0</v>
      </c>
      <c r="AJ2421" s="743">
        <f t="shared" si="310"/>
        <v>0</v>
      </c>
    </row>
    <row r="2422" spans="1:36">
      <c r="A2422" s="1410" t="s">
        <v>146</v>
      </c>
      <c r="B2422" s="1146" t="s">
        <v>272</v>
      </c>
      <c r="C2422" s="1137" t="s">
        <v>1756</v>
      </c>
      <c r="D2422" s="1136"/>
      <c r="E2422" s="1420">
        <v>218140</v>
      </c>
      <c r="F2422" s="1422">
        <v>8</v>
      </c>
      <c r="G2422" s="846"/>
      <c r="H2422" s="847"/>
      <c r="I2422" s="846">
        <v>26</v>
      </c>
      <c r="J2422" s="847">
        <v>30</v>
      </c>
      <c r="K2422" s="846"/>
      <c r="L2422" s="847"/>
      <c r="M2422" s="846"/>
      <c r="N2422" s="846"/>
      <c r="O2422" s="737">
        <f t="shared" si="303"/>
        <v>0</v>
      </c>
      <c r="P2422" s="847"/>
      <c r="Q2422" s="847"/>
      <c r="R2422" s="738">
        <f t="shared" si="306"/>
        <v>0</v>
      </c>
      <c r="S2422" s="737">
        <f t="shared" si="307"/>
        <v>26</v>
      </c>
      <c r="T2422" s="739">
        <f t="shared" si="308"/>
        <v>30</v>
      </c>
      <c r="U2422" s="846"/>
      <c r="V2422" s="847"/>
      <c r="W2422" s="846"/>
      <c r="X2422" s="846"/>
      <c r="Y2422" s="740">
        <f t="shared" si="304"/>
        <v>0</v>
      </c>
      <c r="Z2422" s="847"/>
      <c r="AA2422" s="847"/>
      <c r="AB2422" s="741">
        <f t="shared" si="305"/>
        <v>0</v>
      </c>
      <c r="AC2422" s="846"/>
      <c r="AD2422" s="847"/>
      <c r="AE2422" s="846"/>
      <c r="AF2422" s="846"/>
      <c r="AG2422" s="847"/>
      <c r="AH2422" s="847"/>
      <c r="AI2422" s="742">
        <f t="shared" si="309"/>
        <v>26</v>
      </c>
      <c r="AJ2422" s="743">
        <f t="shared" si="310"/>
        <v>30</v>
      </c>
    </row>
    <row r="2423" spans="1:36">
      <c r="A2423" s="1410" t="s">
        <v>146</v>
      </c>
      <c r="B2423" s="1146" t="s">
        <v>272</v>
      </c>
      <c r="C2423" s="1137" t="s">
        <v>1823</v>
      </c>
      <c r="D2423" s="1136"/>
      <c r="E2423" s="1420">
        <v>218140</v>
      </c>
      <c r="F2423" s="1422">
        <v>8</v>
      </c>
      <c r="G2423" s="846"/>
      <c r="H2423" s="847"/>
      <c r="I2423" s="846">
        <v>135154</v>
      </c>
      <c r="J2423" s="847">
        <v>131287</v>
      </c>
      <c r="K2423" s="846"/>
      <c r="L2423" s="847"/>
      <c r="M2423" s="846"/>
      <c r="N2423" s="846"/>
      <c r="O2423" s="737">
        <f t="shared" si="303"/>
        <v>0</v>
      </c>
      <c r="P2423" s="847"/>
      <c r="Q2423" s="847"/>
      <c r="R2423" s="738">
        <f t="shared" si="306"/>
        <v>0</v>
      </c>
      <c r="S2423" s="737">
        <f t="shared" si="307"/>
        <v>135154</v>
      </c>
      <c r="T2423" s="739">
        <f t="shared" si="308"/>
        <v>131287</v>
      </c>
      <c r="U2423" s="846"/>
      <c r="V2423" s="847"/>
      <c r="W2423" s="846"/>
      <c r="X2423" s="846"/>
      <c r="Y2423" s="740">
        <f t="shared" si="304"/>
        <v>0</v>
      </c>
      <c r="Z2423" s="847"/>
      <c r="AA2423" s="847"/>
      <c r="AB2423" s="741">
        <f t="shared" si="305"/>
        <v>0</v>
      </c>
      <c r="AC2423" s="846"/>
      <c r="AD2423" s="847"/>
      <c r="AE2423" s="846"/>
      <c r="AF2423" s="846"/>
      <c r="AG2423" s="847"/>
      <c r="AH2423" s="847"/>
      <c r="AI2423" s="742">
        <f t="shared" si="309"/>
        <v>135154</v>
      </c>
      <c r="AJ2423" s="743">
        <f t="shared" si="310"/>
        <v>131287</v>
      </c>
    </row>
    <row r="2424" spans="1:36">
      <c r="A2424" s="1410" t="s">
        <v>146</v>
      </c>
      <c r="B2424" s="1146" t="s">
        <v>272</v>
      </c>
      <c r="C2424" s="1414" t="s">
        <v>1824</v>
      </c>
      <c r="D2424" s="1136"/>
      <c r="E2424" s="1420">
        <v>218140</v>
      </c>
      <c r="F2424" s="1110">
        <v>8</v>
      </c>
      <c r="G2424" s="846"/>
      <c r="H2424" s="847"/>
      <c r="I2424" s="846"/>
      <c r="J2424" s="847">
        <v>168927</v>
      </c>
      <c r="K2424" s="846"/>
      <c r="L2424" s="847"/>
      <c r="M2424" s="846"/>
      <c r="N2424" s="846"/>
      <c r="O2424" s="737">
        <f t="shared" si="303"/>
        <v>0</v>
      </c>
      <c r="P2424" s="847"/>
      <c r="Q2424" s="847"/>
      <c r="R2424" s="738">
        <f t="shared" si="306"/>
        <v>0</v>
      </c>
      <c r="S2424" s="737">
        <f t="shared" si="307"/>
        <v>0</v>
      </c>
      <c r="T2424" s="739">
        <f t="shared" si="308"/>
        <v>168927</v>
      </c>
      <c r="U2424" s="846"/>
      <c r="V2424" s="847"/>
      <c r="W2424" s="846"/>
      <c r="X2424" s="846"/>
      <c r="Y2424" s="740">
        <f t="shared" si="304"/>
        <v>0</v>
      </c>
      <c r="Z2424" s="847"/>
      <c r="AA2424" s="847"/>
      <c r="AB2424" s="741">
        <f t="shared" si="305"/>
        <v>0</v>
      </c>
      <c r="AC2424" s="846"/>
      <c r="AD2424" s="847"/>
      <c r="AE2424" s="846"/>
      <c r="AF2424" s="846"/>
      <c r="AG2424" s="847"/>
      <c r="AH2424" s="847"/>
      <c r="AI2424" s="742">
        <f t="shared" si="309"/>
        <v>0</v>
      </c>
      <c r="AJ2424" s="743">
        <f t="shared" si="310"/>
        <v>168927</v>
      </c>
    </row>
    <row r="2425" spans="1:36">
      <c r="A2425" s="1410" t="s">
        <v>146</v>
      </c>
      <c r="B2425" s="1146" t="s">
        <v>272</v>
      </c>
      <c r="C2425" s="1137" t="s">
        <v>1825</v>
      </c>
      <c r="D2425" s="1136"/>
      <c r="E2425" s="1420">
        <v>218140</v>
      </c>
      <c r="F2425" s="1422">
        <v>8</v>
      </c>
      <c r="G2425" s="846"/>
      <c r="H2425" s="847"/>
      <c r="I2425" s="846">
        <v>17790</v>
      </c>
      <c r="J2425" s="847">
        <v>17790</v>
      </c>
      <c r="K2425" s="846"/>
      <c r="L2425" s="847"/>
      <c r="M2425" s="846"/>
      <c r="N2425" s="846"/>
      <c r="O2425" s="737">
        <f t="shared" si="303"/>
        <v>0</v>
      </c>
      <c r="P2425" s="847"/>
      <c r="Q2425" s="847"/>
      <c r="R2425" s="738">
        <f t="shared" si="306"/>
        <v>0</v>
      </c>
      <c r="S2425" s="737">
        <f t="shared" si="307"/>
        <v>17790</v>
      </c>
      <c r="T2425" s="739">
        <f t="shared" si="308"/>
        <v>17790</v>
      </c>
      <c r="U2425" s="846"/>
      <c r="V2425" s="847"/>
      <c r="W2425" s="846"/>
      <c r="X2425" s="846"/>
      <c r="Y2425" s="740">
        <f t="shared" si="304"/>
        <v>0</v>
      </c>
      <c r="Z2425" s="847"/>
      <c r="AA2425" s="847"/>
      <c r="AB2425" s="741">
        <f t="shared" si="305"/>
        <v>0</v>
      </c>
      <c r="AC2425" s="846"/>
      <c r="AD2425" s="847"/>
      <c r="AE2425" s="846"/>
      <c r="AF2425" s="846"/>
      <c r="AG2425" s="847"/>
      <c r="AH2425" s="847"/>
      <c r="AI2425" s="742">
        <f t="shared" si="309"/>
        <v>17790</v>
      </c>
      <c r="AJ2425" s="743">
        <f t="shared" si="310"/>
        <v>17790</v>
      </c>
    </row>
    <row r="2426" spans="1:36">
      <c r="A2426" s="1410" t="s">
        <v>146</v>
      </c>
      <c r="B2426" s="1146" t="s">
        <v>272</v>
      </c>
      <c r="C2426" s="1137" t="s">
        <v>1826</v>
      </c>
      <c r="D2426" s="1136"/>
      <c r="E2426" s="1420">
        <v>218140</v>
      </c>
      <c r="F2426" s="1422">
        <v>8</v>
      </c>
      <c r="G2426" s="846"/>
      <c r="H2426" s="847"/>
      <c r="I2426" s="846"/>
      <c r="J2426" s="847"/>
      <c r="K2426" s="846"/>
      <c r="L2426" s="847"/>
      <c r="M2426" s="846"/>
      <c r="N2426" s="846"/>
      <c r="O2426" s="737">
        <f t="shared" si="303"/>
        <v>0</v>
      </c>
      <c r="P2426" s="847"/>
      <c r="Q2426" s="847"/>
      <c r="R2426" s="738">
        <f t="shared" si="306"/>
        <v>0</v>
      </c>
      <c r="S2426" s="737">
        <f t="shared" si="307"/>
        <v>0</v>
      </c>
      <c r="T2426" s="739">
        <f t="shared" si="308"/>
        <v>0</v>
      </c>
      <c r="U2426" s="846"/>
      <c r="V2426" s="847"/>
      <c r="W2426" s="846"/>
      <c r="X2426" s="846"/>
      <c r="Y2426" s="740">
        <f t="shared" si="304"/>
        <v>0</v>
      </c>
      <c r="Z2426" s="847"/>
      <c r="AA2426" s="847"/>
      <c r="AB2426" s="741">
        <f t="shared" si="305"/>
        <v>0</v>
      </c>
      <c r="AC2426" s="846"/>
      <c r="AD2426" s="847"/>
      <c r="AE2426" s="846"/>
      <c r="AF2426" s="846"/>
      <c r="AG2426" s="847"/>
      <c r="AH2426" s="847"/>
      <c r="AI2426" s="742">
        <f t="shared" si="309"/>
        <v>0</v>
      </c>
      <c r="AJ2426" s="743">
        <f t="shared" si="310"/>
        <v>0</v>
      </c>
    </row>
    <row r="2427" spans="1:36">
      <c r="A2427" s="1410" t="s">
        <v>146</v>
      </c>
      <c r="B2427" s="1146" t="s">
        <v>272</v>
      </c>
      <c r="C2427" s="1137" t="s">
        <v>1834</v>
      </c>
      <c r="D2427" s="1136"/>
      <c r="E2427" s="1420">
        <v>218140</v>
      </c>
      <c r="F2427" s="1422">
        <v>8</v>
      </c>
      <c r="G2427" s="846"/>
      <c r="H2427" s="847"/>
      <c r="I2427" s="846"/>
      <c r="J2427" s="847"/>
      <c r="K2427" s="846"/>
      <c r="L2427" s="847"/>
      <c r="M2427" s="846"/>
      <c r="N2427" s="846"/>
      <c r="O2427" s="737">
        <f t="shared" si="303"/>
        <v>0</v>
      </c>
      <c r="P2427" s="847"/>
      <c r="Q2427" s="847"/>
      <c r="R2427" s="738">
        <f t="shared" si="306"/>
        <v>0</v>
      </c>
      <c r="S2427" s="737">
        <f t="shared" si="307"/>
        <v>0</v>
      </c>
      <c r="T2427" s="739">
        <f t="shared" si="308"/>
        <v>0</v>
      </c>
      <c r="U2427" s="846"/>
      <c r="V2427" s="847"/>
      <c r="W2427" s="846"/>
      <c r="X2427" s="846"/>
      <c r="Y2427" s="740">
        <f t="shared" si="304"/>
        <v>0</v>
      </c>
      <c r="Z2427" s="847"/>
      <c r="AA2427" s="847"/>
      <c r="AB2427" s="741">
        <f t="shared" si="305"/>
        <v>0</v>
      </c>
      <c r="AC2427" s="846"/>
      <c r="AD2427" s="847"/>
      <c r="AE2427" s="846"/>
      <c r="AF2427" s="846"/>
      <c r="AG2427" s="847"/>
      <c r="AH2427" s="847"/>
      <c r="AI2427" s="742">
        <f t="shared" si="309"/>
        <v>0</v>
      </c>
      <c r="AJ2427" s="743">
        <f t="shared" si="310"/>
        <v>0</v>
      </c>
    </row>
    <row r="2428" spans="1:36">
      <c r="A2428" s="1410" t="s">
        <v>146</v>
      </c>
      <c r="B2428" s="1146" t="s">
        <v>272</v>
      </c>
      <c r="C2428" s="1137" t="s">
        <v>1829</v>
      </c>
      <c r="D2428" s="1136"/>
      <c r="E2428" s="1420">
        <v>218140</v>
      </c>
      <c r="F2428" s="1422">
        <v>8</v>
      </c>
      <c r="G2428" s="846"/>
      <c r="H2428" s="847"/>
      <c r="I2428" s="846">
        <v>37784</v>
      </c>
      <c r="J2428" s="847">
        <v>37784</v>
      </c>
      <c r="K2428" s="846"/>
      <c r="L2428" s="847"/>
      <c r="M2428" s="846"/>
      <c r="N2428" s="846"/>
      <c r="O2428" s="737">
        <f t="shared" si="303"/>
        <v>0</v>
      </c>
      <c r="P2428" s="847"/>
      <c r="Q2428" s="847"/>
      <c r="R2428" s="738">
        <f t="shared" si="306"/>
        <v>0</v>
      </c>
      <c r="S2428" s="737">
        <f t="shared" si="307"/>
        <v>37784</v>
      </c>
      <c r="T2428" s="739">
        <f t="shared" si="308"/>
        <v>37784</v>
      </c>
      <c r="U2428" s="846"/>
      <c r="V2428" s="847"/>
      <c r="W2428" s="846"/>
      <c r="X2428" s="846"/>
      <c r="Y2428" s="740">
        <f t="shared" si="304"/>
        <v>0</v>
      </c>
      <c r="Z2428" s="847"/>
      <c r="AA2428" s="847"/>
      <c r="AB2428" s="741">
        <f t="shared" si="305"/>
        <v>0</v>
      </c>
      <c r="AC2428" s="846"/>
      <c r="AD2428" s="847"/>
      <c r="AE2428" s="846"/>
      <c r="AF2428" s="846"/>
      <c r="AG2428" s="847"/>
      <c r="AH2428" s="847"/>
      <c r="AI2428" s="742">
        <f t="shared" si="309"/>
        <v>37784</v>
      </c>
      <c r="AJ2428" s="743">
        <f t="shared" si="310"/>
        <v>37784</v>
      </c>
    </row>
    <row r="2429" spans="1:36">
      <c r="A2429" s="1410" t="s">
        <v>146</v>
      </c>
      <c r="B2429" s="1146" t="s">
        <v>272</v>
      </c>
      <c r="C2429" s="1137" t="s">
        <v>1777</v>
      </c>
      <c r="D2429" s="1136"/>
      <c r="E2429" s="1420">
        <v>218140</v>
      </c>
      <c r="F2429" s="1422">
        <v>8</v>
      </c>
      <c r="G2429" s="846"/>
      <c r="H2429" s="847"/>
      <c r="I2429" s="846">
        <v>270579</v>
      </c>
      <c r="J2429" s="847">
        <v>246717</v>
      </c>
      <c r="K2429" s="846"/>
      <c r="L2429" s="847"/>
      <c r="M2429" s="846"/>
      <c r="N2429" s="846"/>
      <c r="O2429" s="737">
        <f t="shared" si="303"/>
        <v>0</v>
      </c>
      <c r="P2429" s="847"/>
      <c r="Q2429" s="847"/>
      <c r="R2429" s="738">
        <f t="shared" si="306"/>
        <v>0</v>
      </c>
      <c r="S2429" s="737">
        <f t="shared" si="307"/>
        <v>270579</v>
      </c>
      <c r="T2429" s="739">
        <f t="shared" si="308"/>
        <v>246717</v>
      </c>
      <c r="U2429" s="846"/>
      <c r="V2429" s="847"/>
      <c r="W2429" s="846"/>
      <c r="X2429" s="846"/>
      <c r="Y2429" s="740">
        <f t="shared" si="304"/>
        <v>0</v>
      </c>
      <c r="Z2429" s="847"/>
      <c r="AA2429" s="847"/>
      <c r="AB2429" s="741">
        <f t="shared" si="305"/>
        <v>0</v>
      </c>
      <c r="AC2429" s="846"/>
      <c r="AD2429" s="847"/>
      <c r="AE2429" s="846"/>
      <c r="AF2429" s="846"/>
      <c r="AG2429" s="847"/>
      <c r="AH2429" s="847"/>
      <c r="AI2429" s="742">
        <f t="shared" si="309"/>
        <v>270579</v>
      </c>
      <c r="AJ2429" s="743">
        <f t="shared" si="310"/>
        <v>246717</v>
      </c>
    </row>
    <row r="2430" spans="1:36">
      <c r="A2430" s="1410" t="s">
        <v>146</v>
      </c>
      <c r="B2430" s="1146" t="s">
        <v>272</v>
      </c>
      <c r="C2430" s="1414" t="s">
        <v>1831</v>
      </c>
      <c r="D2430" s="1136"/>
      <c r="E2430" s="1420">
        <v>218140</v>
      </c>
      <c r="F2430" s="1422">
        <v>8</v>
      </c>
      <c r="G2430" s="846"/>
      <c r="H2430" s="847"/>
      <c r="I2430" s="846"/>
      <c r="J2430" s="847">
        <v>69585</v>
      </c>
      <c r="K2430" s="846"/>
      <c r="L2430" s="847"/>
      <c r="M2430" s="846"/>
      <c r="N2430" s="846"/>
      <c r="O2430" s="737">
        <f t="shared" si="303"/>
        <v>0</v>
      </c>
      <c r="P2430" s="847"/>
      <c r="Q2430" s="847"/>
      <c r="R2430" s="738">
        <f t="shared" si="306"/>
        <v>0</v>
      </c>
      <c r="S2430" s="737">
        <f t="shared" si="307"/>
        <v>0</v>
      </c>
      <c r="T2430" s="739">
        <f t="shared" si="308"/>
        <v>69585</v>
      </c>
      <c r="U2430" s="846"/>
      <c r="V2430" s="847"/>
      <c r="W2430" s="846"/>
      <c r="X2430" s="846"/>
      <c r="Y2430" s="740">
        <f t="shared" si="304"/>
        <v>0</v>
      </c>
      <c r="Z2430" s="847"/>
      <c r="AA2430" s="847"/>
      <c r="AB2430" s="741">
        <f t="shared" si="305"/>
        <v>0</v>
      </c>
      <c r="AC2430" s="846"/>
      <c r="AD2430" s="847"/>
      <c r="AE2430" s="846"/>
      <c r="AF2430" s="846"/>
      <c r="AG2430" s="847"/>
      <c r="AH2430" s="847"/>
      <c r="AI2430" s="742">
        <f t="shared" si="309"/>
        <v>0</v>
      </c>
      <c r="AJ2430" s="743">
        <f t="shared" si="310"/>
        <v>69585</v>
      </c>
    </row>
    <row r="2431" spans="1:36">
      <c r="A2431" s="1410" t="s">
        <v>146</v>
      </c>
      <c r="B2431" s="1146" t="s">
        <v>272</v>
      </c>
      <c r="C2431" s="1414" t="s">
        <v>1835</v>
      </c>
      <c r="D2431" s="1136"/>
      <c r="E2431" s="1420">
        <v>218140</v>
      </c>
      <c r="F2431" s="1422">
        <v>8</v>
      </c>
      <c r="G2431" s="846"/>
      <c r="H2431" s="847"/>
      <c r="I2431" s="846"/>
      <c r="J2431" s="847">
        <v>1750000</v>
      </c>
      <c r="K2431" s="846"/>
      <c r="L2431" s="847"/>
      <c r="M2431" s="846"/>
      <c r="N2431" s="846"/>
      <c r="O2431" s="737">
        <f t="shared" si="303"/>
        <v>0</v>
      </c>
      <c r="P2431" s="847"/>
      <c r="Q2431" s="847"/>
      <c r="R2431" s="738">
        <f t="shared" si="306"/>
        <v>0</v>
      </c>
      <c r="S2431" s="737">
        <f t="shared" si="307"/>
        <v>0</v>
      </c>
      <c r="T2431" s="739">
        <f t="shared" si="308"/>
        <v>1750000</v>
      </c>
      <c r="U2431" s="846"/>
      <c r="V2431" s="847"/>
      <c r="W2431" s="846"/>
      <c r="X2431" s="846"/>
      <c r="Y2431" s="740">
        <f t="shared" si="304"/>
        <v>0</v>
      </c>
      <c r="Z2431" s="847"/>
      <c r="AA2431" s="847"/>
      <c r="AB2431" s="741">
        <f t="shared" si="305"/>
        <v>0</v>
      </c>
      <c r="AC2431" s="846"/>
      <c r="AD2431" s="847"/>
      <c r="AE2431" s="846"/>
      <c r="AF2431" s="846"/>
      <c r="AG2431" s="847"/>
      <c r="AH2431" s="847"/>
      <c r="AI2431" s="742">
        <f t="shared" si="309"/>
        <v>0</v>
      </c>
      <c r="AJ2431" s="743">
        <f t="shared" si="310"/>
        <v>1750000</v>
      </c>
    </row>
    <row r="2432" spans="1:36">
      <c r="A2432" s="1410" t="s">
        <v>146</v>
      </c>
      <c r="B2432" s="1146" t="s">
        <v>264</v>
      </c>
      <c r="C2432" s="1411" t="s">
        <v>1836</v>
      </c>
      <c r="D2432" s="1136"/>
      <c r="E2432" s="1420">
        <v>218353</v>
      </c>
      <c r="F2432" s="1110">
        <v>8</v>
      </c>
      <c r="G2432" s="846">
        <v>13162580</v>
      </c>
      <c r="H2432" s="847">
        <v>13162579</v>
      </c>
      <c r="I2432" s="846"/>
      <c r="J2432" s="847"/>
      <c r="K2432" s="846">
        <v>8691390</v>
      </c>
      <c r="L2432" s="847">
        <v>9906990</v>
      </c>
      <c r="M2432" s="846">
        <v>52572905</v>
      </c>
      <c r="N2432" s="846">
        <v>2890918</v>
      </c>
      <c r="O2432" s="737">
        <f t="shared" si="303"/>
        <v>55463823</v>
      </c>
      <c r="P2432" s="847">
        <v>52625641</v>
      </c>
      <c r="Q2432" s="847">
        <v>2890918</v>
      </c>
      <c r="R2432" s="738">
        <f t="shared" si="306"/>
        <v>55516559</v>
      </c>
      <c r="S2432" s="737">
        <f t="shared" si="307"/>
        <v>74426875</v>
      </c>
      <c r="T2432" s="739">
        <f t="shared" si="308"/>
        <v>75695210</v>
      </c>
      <c r="U2432" s="846"/>
      <c r="V2432" s="847"/>
      <c r="W2432" s="846"/>
      <c r="X2432" s="846"/>
      <c r="Y2432" s="740">
        <f t="shared" si="304"/>
        <v>0</v>
      </c>
      <c r="Z2432" s="847"/>
      <c r="AA2432" s="847"/>
      <c r="AB2432" s="741">
        <f t="shared" si="305"/>
        <v>0</v>
      </c>
      <c r="AC2432" s="846"/>
      <c r="AD2432" s="847"/>
      <c r="AE2432" s="846"/>
      <c r="AF2432" s="846"/>
      <c r="AG2432" s="847"/>
      <c r="AH2432" s="847"/>
      <c r="AI2432" s="742">
        <f t="shared" si="309"/>
        <v>74426875</v>
      </c>
      <c r="AJ2432" s="743">
        <f t="shared" si="310"/>
        <v>75695210</v>
      </c>
    </row>
    <row r="2433" spans="1:36">
      <c r="A2433" s="1410" t="s">
        <v>146</v>
      </c>
      <c r="B2433" s="1146" t="s">
        <v>264</v>
      </c>
      <c r="C2433" s="1421" t="s">
        <v>1822</v>
      </c>
      <c r="D2433" s="1136"/>
      <c r="E2433" s="1436">
        <v>218353</v>
      </c>
      <c r="F2433" s="1422">
        <v>8</v>
      </c>
      <c r="G2433" s="846"/>
      <c r="H2433" s="847">
        <v>369270</v>
      </c>
      <c r="I2433" s="846"/>
      <c r="J2433" s="352"/>
      <c r="K2433" s="846"/>
      <c r="L2433" s="847"/>
      <c r="M2433" s="846"/>
      <c r="N2433" s="846"/>
      <c r="O2433" s="737">
        <f t="shared" si="303"/>
        <v>0</v>
      </c>
      <c r="P2433" s="847"/>
      <c r="Q2433" s="847"/>
      <c r="R2433" s="738">
        <f t="shared" si="306"/>
        <v>0</v>
      </c>
      <c r="S2433" s="737">
        <f t="shared" si="307"/>
        <v>0</v>
      </c>
      <c r="T2433" s="739">
        <f t="shared" si="308"/>
        <v>369270</v>
      </c>
      <c r="U2433" s="846"/>
      <c r="V2433" s="847"/>
      <c r="W2433" s="846"/>
      <c r="X2433" s="846"/>
      <c r="Y2433" s="740">
        <f t="shared" si="304"/>
        <v>0</v>
      </c>
      <c r="Z2433" s="847"/>
      <c r="AA2433" s="847"/>
      <c r="AB2433" s="741">
        <f t="shared" si="305"/>
        <v>0</v>
      </c>
      <c r="AC2433" s="846"/>
      <c r="AD2433" s="847"/>
      <c r="AE2433" s="846"/>
      <c r="AF2433" s="846"/>
      <c r="AG2433" s="847"/>
      <c r="AH2433" s="847"/>
      <c r="AI2433" s="742">
        <f t="shared" si="309"/>
        <v>0</v>
      </c>
      <c r="AJ2433" s="743">
        <f t="shared" si="310"/>
        <v>369270</v>
      </c>
    </row>
    <row r="2434" spans="1:36">
      <c r="A2434" s="1410" t="s">
        <v>146</v>
      </c>
      <c r="B2434" s="1146" t="s">
        <v>272</v>
      </c>
      <c r="C2434" s="1135" t="s">
        <v>842</v>
      </c>
      <c r="D2434" s="1136"/>
      <c r="E2434" s="1420">
        <v>218353</v>
      </c>
      <c r="F2434" s="1110">
        <v>8</v>
      </c>
      <c r="G2434" s="846"/>
      <c r="H2434" s="847"/>
      <c r="I2434" s="846"/>
      <c r="J2434" s="847"/>
      <c r="K2434" s="846"/>
      <c r="L2434" s="847"/>
      <c r="M2434" s="846"/>
      <c r="N2434" s="846"/>
      <c r="O2434" s="737">
        <f t="shared" si="303"/>
        <v>0</v>
      </c>
      <c r="P2434" s="1423"/>
      <c r="Q2434" s="1423"/>
      <c r="R2434" s="738">
        <f t="shared" si="306"/>
        <v>0</v>
      </c>
      <c r="S2434" s="737">
        <f t="shared" si="307"/>
        <v>0</v>
      </c>
      <c r="T2434" s="739">
        <f t="shared" si="308"/>
        <v>0</v>
      </c>
      <c r="U2434" s="846"/>
      <c r="V2434" s="847"/>
      <c r="W2434" s="846"/>
      <c r="X2434" s="846"/>
      <c r="Y2434" s="740">
        <f t="shared" si="304"/>
        <v>0</v>
      </c>
      <c r="Z2434" s="1423"/>
      <c r="AA2434" s="1423"/>
      <c r="AB2434" s="741">
        <f t="shared" si="305"/>
        <v>0</v>
      </c>
      <c r="AC2434" s="846"/>
      <c r="AD2434" s="847"/>
      <c r="AE2434" s="846"/>
      <c r="AF2434" s="846"/>
      <c r="AG2434" s="1423"/>
      <c r="AH2434" s="1423"/>
      <c r="AI2434" s="742">
        <f t="shared" si="309"/>
        <v>0</v>
      </c>
      <c r="AJ2434" s="743">
        <f t="shared" si="310"/>
        <v>0</v>
      </c>
    </row>
    <row r="2435" spans="1:36">
      <c r="A2435" s="1410" t="s">
        <v>146</v>
      </c>
      <c r="B2435" s="1146" t="s">
        <v>272</v>
      </c>
      <c r="C2435" s="1137" t="s">
        <v>1756</v>
      </c>
      <c r="D2435" s="1136"/>
      <c r="E2435" s="1420">
        <v>218353</v>
      </c>
      <c r="F2435" s="1110">
        <v>8</v>
      </c>
      <c r="G2435" s="846"/>
      <c r="H2435" s="847"/>
      <c r="I2435" s="846">
        <v>602</v>
      </c>
      <c r="J2435" s="847">
        <v>410</v>
      </c>
      <c r="K2435" s="846"/>
      <c r="M2435" s="846"/>
      <c r="N2435" s="846"/>
      <c r="O2435" s="737">
        <f t="shared" si="303"/>
        <v>0</v>
      </c>
      <c r="P2435" s="1423"/>
      <c r="Q2435" s="1423"/>
      <c r="R2435" s="738">
        <f t="shared" si="306"/>
        <v>0</v>
      </c>
      <c r="S2435" s="737">
        <f t="shared" si="307"/>
        <v>602</v>
      </c>
      <c r="T2435" s="739">
        <f t="shared" si="308"/>
        <v>410</v>
      </c>
      <c r="U2435" s="846"/>
      <c r="V2435" s="847"/>
      <c r="W2435" s="846"/>
      <c r="X2435" s="846"/>
      <c r="Y2435" s="740">
        <f t="shared" si="304"/>
        <v>0</v>
      </c>
      <c r="Z2435" s="1423"/>
      <c r="AA2435" s="1423"/>
      <c r="AB2435" s="741">
        <f t="shared" si="305"/>
        <v>0</v>
      </c>
      <c r="AC2435" s="846"/>
      <c r="AD2435" s="847"/>
      <c r="AE2435" s="846"/>
      <c r="AF2435" s="846"/>
      <c r="AG2435" s="1423"/>
      <c r="AH2435" s="1423"/>
      <c r="AI2435" s="742">
        <f t="shared" si="309"/>
        <v>602</v>
      </c>
      <c r="AJ2435" s="743">
        <f t="shared" si="310"/>
        <v>410</v>
      </c>
    </row>
    <row r="2436" spans="1:36">
      <c r="A2436" s="1410" t="s">
        <v>146</v>
      </c>
      <c r="B2436" s="1146" t="s">
        <v>272</v>
      </c>
      <c r="C2436" s="1137" t="s">
        <v>1823</v>
      </c>
      <c r="D2436" s="1136"/>
      <c r="E2436" s="1420">
        <v>218353</v>
      </c>
      <c r="F2436" s="1110">
        <v>8</v>
      </c>
      <c r="G2436" s="846"/>
      <c r="H2436" s="847"/>
      <c r="I2436" s="846">
        <v>176540</v>
      </c>
      <c r="J2436" s="847">
        <v>140228</v>
      </c>
      <c r="K2436" s="846"/>
      <c r="M2436" s="846"/>
      <c r="N2436" s="846"/>
      <c r="O2436" s="737">
        <f t="shared" si="303"/>
        <v>0</v>
      </c>
      <c r="P2436" s="847"/>
      <c r="Q2436" s="847"/>
      <c r="R2436" s="738">
        <f t="shared" si="306"/>
        <v>0</v>
      </c>
      <c r="S2436" s="737">
        <f t="shared" si="307"/>
        <v>176540</v>
      </c>
      <c r="T2436" s="739">
        <f t="shared" si="308"/>
        <v>140228</v>
      </c>
      <c r="U2436" s="846"/>
      <c r="V2436" s="847"/>
      <c r="W2436" s="846"/>
      <c r="X2436" s="846"/>
      <c r="Y2436" s="740">
        <f t="shared" si="304"/>
        <v>0</v>
      </c>
      <c r="Z2436" s="847"/>
      <c r="AA2436" s="847"/>
      <c r="AB2436" s="741">
        <f t="shared" si="305"/>
        <v>0</v>
      </c>
      <c r="AC2436" s="846"/>
      <c r="AD2436" s="847"/>
      <c r="AE2436" s="846"/>
      <c r="AF2436" s="846"/>
      <c r="AG2436" s="847"/>
      <c r="AH2436" s="847"/>
      <c r="AI2436" s="742">
        <f t="shared" si="309"/>
        <v>176540</v>
      </c>
      <c r="AJ2436" s="743">
        <f t="shared" si="310"/>
        <v>140228</v>
      </c>
    </row>
    <row r="2437" spans="1:36">
      <c r="A2437" s="1410" t="s">
        <v>146</v>
      </c>
      <c r="B2437" s="1146" t="s">
        <v>272</v>
      </c>
      <c r="C2437" s="1414" t="s">
        <v>1824</v>
      </c>
      <c r="D2437" s="1136"/>
      <c r="E2437" s="1420">
        <v>218353</v>
      </c>
      <c r="F2437" s="1110">
        <v>8</v>
      </c>
      <c r="G2437" s="846"/>
      <c r="H2437" s="847"/>
      <c r="I2437" s="846"/>
      <c r="J2437" s="847">
        <v>292706</v>
      </c>
      <c r="K2437" s="846"/>
      <c r="M2437" s="846"/>
      <c r="N2437" s="846"/>
      <c r="O2437" s="737">
        <f t="shared" si="303"/>
        <v>0</v>
      </c>
      <c r="P2437" s="847"/>
      <c r="Q2437" s="847"/>
      <c r="R2437" s="738">
        <f t="shared" si="306"/>
        <v>0</v>
      </c>
      <c r="S2437" s="737">
        <f t="shared" si="307"/>
        <v>0</v>
      </c>
      <c r="T2437" s="739">
        <f t="shared" si="308"/>
        <v>292706</v>
      </c>
      <c r="U2437" s="846"/>
      <c r="V2437" s="847"/>
      <c r="W2437" s="846"/>
      <c r="X2437" s="846"/>
      <c r="Y2437" s="740">
        <f t="shared" si="304"/>
        <v>0</v>
      </c>
      <c r="Z2437" s="847"/>
      <c r="AA2437" s="847"/>
      <c r="AB2437" s="741">
        <f t="shared" si="305"/>
        <v>0</v>
      </c>
      <c r="AC2437" s="846"/>
      <c r="AD2437" s="847"/>
      <c r="AE2437" s="846"/>
      <c r="AF2437" s="846"/>
      <c r="AG2437" s="847"/>
      <c r="AH2437" s="847"/>
      <c r="AI2437" s="742">
        <f t="shared" si="309"/>
        <v>0</v>
      </c>
      <c r="AJ2437" s="743">
        <f t="shared" si="310"/>
        <v>292706</v>
      </c>
    </row>
    <row r="2438" spans="1:36">
      <c r="A2438" s="1410" t="s">
        <v>146</v>
      </c>
      <c r="B2438" s="1146" t="s">
        <v>272</v>
      </c>
      <c r="C2438" s="1137" t="s">
        <v>1825</v>
      </c>
      <c r="D2438" s="1136"/>
      <c r="E2438" s="1420">
        <v>218353</v>
      </c>
      <c r="F2438" s="1110">
        <v>8</v>
      </c>
      <c r="G2438" s="846"/>
      <c r="H2438" s="847"/>
      <c r="I2438" s="846">
        <v>51948</v>
      </c>
      <c r="J2438" s="358">
        <v>51948</v>
      </c>
      <c r="K2438" s="846"/>
      <c r="M2438" s="846"/>
      <c r="N2438" s="846"/>
      <c r="O2438" s="737">
        <f t="shared" si="303"/>
        <v>0</v>
      </c>
      <c r="P2438" s="847"/>
      <c r="Q2438" s="847"/>
      <c r="R2438" s="738">
        <f t="shared" si="306"/>
        <v>0</v>
      </c>
      <c r="S2438" s="737">
        <f t="shared" si="307"/>
        <v>51948</v>
      </c>
      <c r="T2438" s="739">
        <f t="shared" si="308"/>
        <v>51948</v>
      </c>
      <c r="U2438" s="846"/>
      <c r="V2438" s="847"/>
      <c r="W2438" s="846"/>
      <c r="X2438" s="846"/>
      <c r="Y2438" s="740">
        <f t="shared" si="304"/>
        <v>0</v>
      </c>
      <c r="Z2438" s="847"/>
      <c r="AA2438" s="847"/>
      <c r="AB2438" s="741">
        <f t="shared" si="305"/>
        <v>0</v>
      </c>
      <c r="AC2438" s="846"/>
      <c r="AD2438" s="847"/>
      <c r="AE2438" s="846"/>
      <c r="AF2438" s="846"/>
      <c r="AG2438" s="847"/>
      <c r="AH2438" s="847"/>
      <c r="AI2438" s="742">
        <f t="shared" si="309"/>
        <v>51948</v>
      </c>
      <c r="AJ2438" s="743">
        <f t="shared" si="310"/>
        <v>51948</v>
      </c>
    </row>
    <row r="2439" spans="1:36">
      <c r="A2439" s="1410" t="s">
        <v>146</v>
      </c>
      <c r="B2439" s="1146" t="s">
        <v>272</v>
      </c>
      <c r="C2439" s="1137" t="s">
        <v>1826</v>
      </c>
      <c r="D2439" s="1136"/>
      <c r="E2439" s="1420">
        <v>218353</v>
      </c>
      <c r="F2439" s="1110">
        <v>8</v>
      </c>
      <c r="G2439" s="846"/>
      <c r="H2439" s="847"/>
      <c r="I2439" s="846"/>
      <c r="J2439" s="847"/>
      <c r="K2439" s="846"/>
      <c r="L2439" s="847"/>
      <c r="M2439" s="846"/>
      <c r="N2439" s="846"/>
      <c r="O2439" s="737">
        <f t="shared" si="303"/>
        <v>0</v>
      </c>
      <c r="P2439" s="1423"/>
      <c r="Q2439" s="1423"/>
      <c r="R2439" s="738">
        <f t="shared" si="306"/>
        <v>0</v>
      </c>
      <c r="S2439" s="737">
        <f t="shared" si="307"/>
        <v>0</v>
      </c>
      <c r="T2439" s="739">
        <f t="shared" si="308"/>
        <v>0</v>
      </c>
      <c r="U2439" s="846"/>
      <c r="V2439" s="847"/>
      <c r="W2439" s="846"/>
      <c r="X2439" s="846"/>
      <c r="Y2439" s="740">
        <f t="shared" si="304"/>
        <v>0</v>
      </c>
      <c r="Z2439" s="1423"/>
      <c r="AA2439" s="1423"/>
      <c r="AB2439" s="741">
        <f t="shared" si="305"/>
        <v>0</v>
      </c>
      <c r="AC2439" s="846"/>
      <c r="AD2439" s="847"/>
      <c r="AE2439" s="846"/>
      <c r="AF2439" s="846"/>
      <c r="AG2439" s="1423"/>
      <c r="AH2439" s="1423"/>
      <c r="AI2439" s="742">
        <f t="shared" si="309"/>
        <v>0</v>
      </c>
      <c r="AJ2439" s="743">
        <f t="shared" si="310"/>
        <v>0</v>
      </c>
    </row>
    <row r="2440" spans="1:36">
      <c r="A2440" s="1410" t="s">
        <v>146</v>
      </c>
      <c r="B2440" s="1146" t="s">
        <v>272</v>
      </c>
      <c r="C2440" s="1137" t="s">
        <v>1837</v>
      </c>
      <c r="D2440" s="1136"/>
      <c r="E2440" s="1420">
        <v>218353</v>
      </c>
      <c r="F2440" s="1110">
        <v>8</v>
      </c>
      <c r="G2440" s="846"/>
      <c r="H2440" s="847"/>
      <c r="I2440" s="846">
        <v>370943</v>
      </c>
      <c r="J2440" s="847">
        <v>370943</v>
      </c>
      <c r="K2440" s="846"/>
      <c r="M2440" s="846"/>
      <c r="N2440" s="846"/>
      <c r="O2440" s="737">
        <f t="shared" si="303"/>
        <v>0</v>
      </c>
      <c r="P2440" s="847"/>
      <c r="Q2440" s="847"/>
      <c r="R2440" s="738">
        <f t="shared" si="306"/>
        <v>0</v>
      </c>
      <c r="S2440" s="737">
        <f t="shared" si="307"/>
        <v>370943</v>
      </c>
      <c r="T2440" s="739">
        <f t="shared" si="308"/>
        <v>370943</v>
      </c>
      <c r="U2440" s="846"/>
      <c r="V2440" s="847"/>
      <c r="W2440" s="846"/>
      <c r="X2440" s="846"/>
      <c r="Y2440" s="740">
        <f t="shared" si="304"/>
        <v>0</v>
      </c>
      <c r="Z2440" s="847"/>
      <c r="AA2440" s="847"/>
      <c r="AB2440" s="741">
        <f t="shared" si="305"/>
        <v>0</v>
      </c>
      <c r="AC2440" s="846"/>
      <c r="AD2440" s="847"/>
      <c r="AE2440" s="846"/>
      <c r="AF2440" s="846"/>
      <c r="AG2440" s="847"/>
      <c r="AH2440" s="847"/>
      <c r="AI2440" s="742">
        <f t="shared" si="309"/>
        <v>370943</v>
      </c>
      <c r="AJ2440" s="743">
        <f t="shared" si="310"/>
        <v>370943</v>
      </c>
    </row>
    <row r="2441" spans="1:36">
      <c r="A2441" s="1410" t="s">
        <v>146</v>
      </c>
      <c r="B2441" s="1146" t="s">
        <v>272</v>
      </c>
      <c r="C2441" s="1137" t="s">
        <v>1829</v>
      </c>
      <c r="D2441" s="1136"/>
      <c r="E2441" s="1420">
        <v>218353</v>
      </c>
      <c r="F2441" s="1110">
        <v>8</v>
      </c>
      <c r="G2441" s="846"/>
      <c r="H2441" s="847"/>
      <c r="I2441" s="846">
        <v>37784</v>
      </c>
      <c r="J2441" s="847">
        <v>37784</v>
      </c>
      <c r="K2441" s="846"/>
      <c r="M2441" s="846"/>
      <c r="N2441" s="846"/>
      <c r="O2441" s="737">
        <f t="shared" si="303"/>
        <v>0</v>
      </c>
      <c r="P2441" s="847"/>
      <c r="Q2441" s="847"/>
      <c r="R2441" s="738">
        <f t="shared" si="306"/>
        <v>0</v>
      </c>
      <c r="S2441" s="737">
        <f t="shared" si="307"/>
        <v>37784</v>
      </c>
      <c r="T2441" s="739">
        <f t="shared" si="308"/>
        <v>37784</v>
      </c>
      <c r="U2441" s="846"/>
      <c r="V2441" s="847"/>
      <c r="W2441" s="846"/>
      <c r="X2441" s="846"/>
      <c r="Y2441" s="740">
        <f t="shared" si="304"/>
        <v>0</v>
      </c>
      <c r="Z2441" s="847"/>
      <c r="AA2441" s="847"/>
      <c r="AB2441" s="741">
        <f t="shared" si="305"/>
        <v>0</v>
      </c>
      <c r="AC2441" s="846"/>
      <c r="AD2441" s="847"/>
      <c r="AE2441" s="846"/>
      <c r="AF2441" s="846"/>
      <c r="AG2441" s="847"/>
      <c r="AH2441" s="847"/>
      <c r="AI2441" s="742">
        <f t="shared" si="309"/>
        <v>37784</v>
      </c>
      <c r="AJ2441" s="743">
        <f t="shared" si="310"/>
        <v>37784</v>
      </c>
    </row>
    <row r="2442" spans="1:36">
      <c r="A2442" s="1410" t="s">
        <v>146</v>
      </c>
      <c r="B2442" s="1146" t="s">
        <v>272</v>
      </c>
      <c r="C2442" s="1137" t="s">
        <v>1777</v>
      </c>
      <c r="D2442" s="1136"/>
      <c r="E2442" s="1420">
        <v>218353</v>
      </c>
      <c r="F2442" s="1110">
        <v>8</v>
      </c>
      <c r="G2442" s="846"/>
      <c r="H2442" s="847"/>
      <c r="I2442" s="846">
        <v>506553</v>
      </c>
      <c r="J2442" s="847">
        <v>461880</v>
      </c>
      <c r="K2442" s="846"/>
      <c r="M2442" s="846"/>
      <c r="N2442" s="846"/>
      <c r="O2442" s="737">
        <f t="shared" ref="O2442:O2505" si="311">SUM(M2442:N2442)</f>
        <v>0</v>
      </c>
      <c r="P2442" s="847"/>
      <c r="Q2442" s="847"/>
      <c r="R2442" s="738">
        <f t="shared" si="306"/>
        <v>0</v>
      </c>
      <c r="S2442" s="737">
        <f t="shared" si="307"/>
        <v>506553</v>
      </c>
      <c r="T2442" s="739">
        <f t="shared" si="308"/>
        <v>461880</v>
      </c>
      <c r="U2442" s="846"/>
      <c r="V2442" s="847"/>
      <c r="W2442" s="846"/>
      <c r="X2442" s="846"/>
      <c r="Y2442" s="740">
        <f t="shared" ref="Y2442:Y2505" si="312">SUM(W2442:X2442)</f>
        <v>0</v>
      </c>
      <c r="Z2442" s="847"/>
      <c r="AA2442" s="847"/>
      <c r="AB2442" s="741">
        <f t="shared" ref="AB2442:AB2505" si="313">SUM(Z2442:AA2442)</f>
        <v>0</v>
      </c>
      <c r="AC2442" s="846"/>
      <c r="AD2442" s="847"/>
      <c r="AE2442" s="846"/>
      <c r="AF2442" s="846"/>
      <c r="AG2442" s="847"/>
      <c r="AH2442" s="847"/>
      <c r="AI2442" s="742">
        <f t="shared" si="309"/>
        <v>506553</v>
      </c>
      <c r="AJ2442" s="743">
        <f t="shared" si="310"/>
        <v>461880</v>
      </c>
    </row>
    <row r="2443" spans="1:36">
      <c r="A2443" s="1410" t="s">
        <v>146</v>
      </c>
      <c r="B2443" s="1146" t="s">
        <v>272</v>
      </c>
      <c r="C2443" s="1414" t="s">
        <v>1831</v>
      </c>
      <c r="D2443" s="1136"/>
      <c r="E2443" s="1420">
        <v>218353</v>
      </c>
      <c r="F2443" s="1422">
        <v>8</v>
      </c>
      <c r="G2443" s="846"/>
      <c r="H2443" s="847"/>
      <c r="I2443" s="846"/>
      <c r="J2443" s="847">
        <v>130270</v>
      </c>
      <c r="K2443" s="846"/>
      <c r="M2443" s="846"/>
      <c r="N2443" s="846"/>
      <c r="O2443" s="737">
        <f t="shared" si="311"/>
        <v>0</v>
      </c>
      <c r="P2443" s="847"/>
      <c r="Q2443" s="847"/>
      <c r="R2443" s="738">
        <f t="shared" ref="R2443:R2506" si="314">SUM(P2443:Q2443)</f>
        <v>0</v>
      </c>
      <c r="S2443" s="737">
        <f t="shared" ref="S2443:S2506" si="315">SUM(G2443,I2443,K2443,M2443)</f>
        <v>0</v>
      </c>
      <c r="T2443" s="739">
        <f t="shared" ref="T2443:T2506" si="316">SUM(H2443,J2443,L2443,P2443)</f>
        <v>130270</v>
      </c>
      <c r="U2443" s="846"/>
      <c r="V2443" s="847"/>
      <c r="W2443" s="846"/>
      <c r="X2443" s="846"/>
      <c r="Y2443" s="740">
        <f t="shared" si="312"/>
        <v>0</v>
      </c>
      <c r="Z2443" s="847"/>
      <c r="AA2443" s="847"/>
      <c r="AB2443" s="741">
        <f t="shared" si="313"/>
        <v>0</v>
      </c>
      <c r="AC2443" s="846"/>
      <c r="AD2443" s="847"/>
      <c r="AE2443" s="846"/>
      <c r="AF2443" s="846"/>
      <c r="AG2443" s="847"/>
      <c r="AH2443" s="847"/>
      <c r="AI2443" s="742">
        <f t="shared" ref="AI2443:AI2506" si="317">SUM(S2443,U2443,W2443,AC2443,AE2443)</f>
        <v>0</v>
      </c>
      <c r="AJ2443" s="743">
        <f t="shared" ref="AJ2443:AJ2506" si="318">SUM(T2443,V2443,Z2443,AD2443,AG2443)</f>
        <v>130270</v>
      </c>
    </row>
    <row r="2444" spans="1:36">
      <c r="A2444" s="1410" t="s">
        <v>146</v>
      </c>
      <c r="B2444" s="1146" t="s">
        <v>272</v>
      </c>
      <c r="C2444" s="1137" t="s">
        <v>1838</v>
      </c>
      <c r="D2444" s="1136"/>
      <c r="E2444" s="1420">
        <v>218353</v>
      </c>
      <c r="F2444" s="1110">
        <v>8</v>
      </c>
      <c r="G2444" s="846"/>
      <c r="H2444" s="847"/>
      <c r="I2444" s="846">
        <v>1500000</v>
      </c>
      <c r="J2444" s="847">
        <v>750000</v>
      </c>
      <c r="K2444" s="846"/>
      <c r="L2444" s="352"/>
      <c r="M2444" s="846"/>
      <c r="N2444" s="846"/>
      <c r="O2444" s="737">
        <f t="shared" si="311"/>
        <v>0</v>
      </c>
      <c r="P2444" s="847"/>
      <c r="Q2444" s="847"/>
      <c r="R2444" s="738">
        <f t="shared" si="314"/>
        <v>0</v>
      </c>
      <c r="S2444" s="737">
        <f t="shared" si="315"/>
        <v>1500000</v>
      </c>
      <c r="T2444" s="739">
        <f t="shared" si="316"/>
        <v>750000</v>
      </c>
      <c r="U2444" s="846"/>
      <c r="V2444" s="847"/>
      <c r="W2444" s="846"/>
      <c r="X2444" s="846"/>
      <c r="Y2444" s="740">
        <f t="shared" si="312"/>
        <v>0</v>
      </c>
      <c r="Z2444" s="847"/>
      <c r="AA2444" s="847"/>
      <c r="AB2444" s="741">
        <f t="shared" si="313"/>
        <v>0</v>
      </c>
      <c r="AC2444" s="846"/>
      <c r="AD2444" s="847"/>
      <c r="AE2444" s="846"/>
      <c r="AF2444" s="846"/>
      <c r="AG2444" s="847"/>
      <c r="AH2444" s="847"/>
      <c r="AI2444" s="742">
        <f t="shared" si="317"/>
        <v>1500000</v>
      </c>
      <c r="AJ2444" s="743">
        <f t="shared" si="318"/>
        <v>750000</v>
      </c>
    </row>
    <row r="2445" spans="1:36">
      <c r="A2445" s="1410" t="s">
        <v>146</v>
      </c>
      <c r="B2445" s="1146" t="s">
        <v>272</v>
      </c>
      <c r="C2445" s="1414" t="s">
        <v>1839</v>
      </c>
      <c r="D2445" s="1136"/>
      <c r="E2445" s="1420">
        <v>218353</v>
      </c>
      <c r="F2445" s="1110">
        <v>8</v>
      </c>
      <c r="G2445" s="846"/>
      <c r="H2445" s="847"/>
      <c r="I2445" s="846"/>
      <c r="J2445" s="847">
        <v>750000</v>
      </c>
      <c r="K2445" s="846"/>
      <c r="L2445" s="352"/>
      <c r="M2445" s="846"/>
      <c r="N2445" s="846"/>
      <c r="O2445" s="737">
        <f t="shared" si="311"/>
        <v>0</v>
      </c>
      <c r="P2445" s="847"/>
      <c r="Q2445" s="847"/>
      <c r="R2445" s="738">
        <f t="shared" si="314"/>
        <v>0</v>
      </c>
      <c r="S2445" s="737">
        <f t="shared" si="315"/>
        <v>0</v>
      </c>
      <c r="T2445" s="739">
        <f t="shared" si="316"/>
        <v>750000</v>
      </c>
      <c r="U2445" s="846"/>
      <c r="V2445" s="847"/>
      <c r="W2445" s="846"/>
      <c r="X2445" s="846"/>
      <c r="Y2445" s="740">
        <f t="shared" si="312"/>
        <v>0</v>
      </c>
      <c r="Z2445" s="847"/>
      <c r="AA2445" s="847"/>
      <c r="AB2445" s="741">
        <f t="shared" si="313"/>
        <v>0</v>
      </c>
      <c r="AC2445" s="846"/>
      <c r="AD2445" s="847"/>
      <c r="AE2445" s="846"/>
      <c r="AF2445" s="846"/>
      <c r="AG2445" s="847"/>
      <c r="AH2445" s="847"/>
      <c r="AI2445" s="742">
        <f t="shared" si="317"/>
        <v>0</v>
      </c>
      <c r="AJ2445" s="743">
        <f t="shared" si="318"/>
        <v>750000</v>
      </c>
    </row>
    <row r="2446" spans="1:36">
      <c r="A2446" s="1410" t="s">
        <v>146</v>
      </c>
      <c r="B2446" s="1146" t="s">
        <v>264</v>
      </c>
      <c r="C2446" s="1131" t="s">
        <v>1840</v>
      </c>
      <c r="D2446" s="1132" t="s">
        <v>900</v>
      </c>
      <c r="E2446" s="1420">
        <v>218520</v>
      </c>
      <c r="F2446" s="1110">
        <v>8</v>
      </c>
      <c r="G2446" s="846">
        <v>6441348</v>
      </c>
      <c r="H2446" s="847">
        <v>6441348</v>
      </c>
      <c r="I2446" s="846"/>
      <c r="J2446" s="847"/>
      <c r="K2446" s="846">
        <v>1968467</v>
      </c>
      <c r="L2446" s="847">
        <v>2219817</v>
      </c>
      <c r="M2446" s="846">
        <v>24318486</v>
      </c>
      <c r="N2446" s="846">
        <v>0</v>
      </c>
      <c r="O2446" s="737">
        <f t="shared" si="311"/>
        <v>24318486</v>
      </c>
      <c r="P2446" s="847">
        <v>22770113</v>
      </c>
      <c r="Q2446" s="847">
        <v>0</v>
      </c>
      <c r="R2446" s="738">
        <f t="shared" si="314"/>
        <v>22770113</v>
      </c>
      <c r="S2446" s="737">
        <f t="shared" si="315"/>
        <v>32728301</v>
      </c>
      <c r="T2446" s="739">
        <f t="shared" si="316"/>
        <v>31431278</v>
      </c>
      <c r="U2446" s="846"/>
      <c r="V2446" s="847"/>
      <c r="W2446" s="846"/>
      <c r="X2446" s="846"/>
      <c r="Y2446" s="740">
        <f t="shared" si="312"/>
        <v>0</v>
      </c>
      <c r="Z2446" s="847"/>
      <c r="AA2446" s="847"/>
      <c r="AB2446" s="741">
        <f t="shared" si="313"/>
        <v>0</v>
      </c>
      <c r="AC2446" s="846"/>
      <c r="AD2446" s="847"/>
      <c r="AE2446" s="846"/>
      <c r="AF2446" s="846"/>
      <c r="AG2446" s="847"/>
      <c r="AH2446" s="847"/>
      <c r="AI2446" s="742">
        <f t="shared" si="317"/>
        <v>32728301</v>
      </c>
      <c r="AJ2446" s="743">
        <f t="shared" si="318"/>
        <v>31431278</v>
      </c>
    </row>
    <row r="2447" spans="1:36">
      <c r="A2447" s="1410" t="s">
        <v>146</v>
      </c>
      <c r="B2447" s="1146" t="s">
        <v>264</v>
      </c>
      <c r="C2447" s="1421" t="s">
        <v>1822</v>
      </c>
      <c r="D2447" s="1136"/>
      <c r="E2447" s="1436">
        <v>218520</v>
      </c>
      <c r="F2447" s="1422">
        <v>8</v>
      </c>
      <c r="G2447" s="846"/>
      <c r="H2447" s="847">
        <v>180709</v>
      </c>
      <c r="I2447" s="846"/>
      <c r="J2447" s="352"/>
      <c r="K2447" s="846"/>
      <c r="L2447" s="847"/>
      <c r="M2447" s="846"/>
      <c r="N2447" s="846"/>
      <c r="O2447" s="737">
        <f t="shared" si="311"/>
        <v>0</v>
      </c>
      <c r="P2447" s="847"/>
      <c r="Q2447" s="847"/>
      <c r="R2447" s="738">
        <f t="shared" si="314"/>
        <v>0</v>
      </c>
      <c r="S2447" s="737">
        <f t="shared" si="315"/>
        <v>0</v>
      </c>
      <c r="T2447" s="739">
        <f t="shared" si="316"/>
        <v>180709</v>
      </c>
      <c r="U2447" s="846"/>
      <c r="V2447" s="847"/>
      <c r="W2447" s="846"/>
      <c r="X2447" s="846"/>
      <c r="Y2447" s="740">
        <f t="shared" si="312"/>
        <v>0</v>
      </c>
      <c r="Z2447" s="847"/>
      <c r="AA2447" s="847"/>
      <c r="AB2447" s="741">
        <f t="shared" si="313"/>
        <v>0</v>
      </c>
      <c r="AC2447" s="846"/>
      <c r="AD2447" s="847"/>
      <c r="AE2447" s="846"/>
      <c r="AF2447" s="846"/>
      <c r="AG2447" s="847"/>
      <c r="AH2447" s="847"/>
      <c r="AI2447" s="742">
        <f t="shared" si="317"/>
        <v>0</v>
      </c>
      <c r="AJ2447" s="743">
        <f t="shared" si="318"/>
        <v>180709</v>
      </c>
    </row>
    <row r="2448" spans="1:36">
      <c r="A2448" s="1410" t="s">
        <v>146</v>
      </c>
      <c r="B2448" s="1146" t="s">
        <v>272</v>
      </c>
      <c r="C2448" s="1135" t="s">
        <v>842</v>
      </c>
      <c r="D2448" s="1136"/>
      <c r="E2448" s="1420">
        <v>218520</v>
      </c>
      <c r="F2448" s="1110">
        <v>8</v>
      </c>
      <c r="G2448" s="846"/>
      <c r="H2448" s="847"/>
      <c r="I2448" s="846"/>
      <c r="J2448" s="847"/>
      <c r="K2448" s="846"/>
      <c r="L2448" s="847"/>
      <c r="M2448" s="846"/>
      <c r="N2448" s="846"/>
      <c r="O2448" s="737">
        <f t="shared" si="311"/>
        <v>0</v>
      </c>
      <c r="P2448" s="847"/>
      <c r="Q2448" s="847"/>
      <c r="R2448" s="738">
        <f t="shared" si="314"/>
        <v>0</v>
      </c>
      <c r="S2448" s="737">
        <f t="shared" si="315"/>
        <v>0</v>
      </c>
      <c r="T2448" s="739">
        <f t="shared" si="316"/>
        <v>0</v>
      </c>
      <c r="U2448" s="846"/>
      <c r="V2448" s="847"/>
      <c r="W2448" s="846"/>
      <c r="X2448" s="846"/>
      <c r="Y2448" s="740">
        <f t="shared" si="312"/>
        <v>0</v>
      </c>
      <c r="Z2448" s="847"/>
      <c r="AA2448" s="847"/>
      <c r="AB2448" s="741">
        <f t="shared" si="313"/>
        <v>0</v>
      </c>
      <c r="AC2448" s="846"/>
      <c r="AD2448" s="847"/>
      <c r="AE2448" s="846"/>
      <c r="AF2448" s="846"/>
      <c r="AG2448" s="847"/>
      <c r="AH2448" s="847"/>
      <c r="AI2448" s="742">
        <f t="shared" si="317"/>
        <v>0</v>
      </c>
      <c r="AJ2448" s="743">
        <f t="shared" si="318"/>
        <v>0</v>
      </c>
    </row>
    <row r="2449" spans="1:36">
      <c r="A2449" s="1410" t="s">
        <v>146</v>
      </c>
      <c r="B2449" s="1146" t="s">
        <v>272</v>
      </c>
      <c r="C2449" s="1137" t="s">
        <v>1756</v>
      </c>
      <c r="D2449" s="1136"/>
      <c r="E2449" s="1420">
        <v>218520</v>
      </c>
      <c r="F2449" s="1110">
        <v>8</v>
      </c>
      <c r="G2449" s="846"/>
      <c r="H2449" s="847"/>
      <c r="I2449" s="846">
        <v>164</v>
      </c>
      <c r="J2449" s="847">
        <v>135</v>
      </c>
      <c r="K2449" s="846"/>
      <c r="L2449" s="847"/>
      <c r="M2449" s="846"/>
      <c r="N2449" s="846"/>
      <c r="O2449" s="737">
        <f t="shared" si="311"/>
        <v>0</v>
      </c>
      <c r="P2449" s="847"/>
      <c r="Q2449" s="847"/>
      <c r="R2449" s="738">
        <f t="shared" si="314"/>
        <v>0</v>
      </c>
      <c r="S2449" s="737">
        <f t="shared" si="315"/>
        <v>164</v>
      </c>
      <c r="T2449" s="739">
        <f t="shared" si="316"/>
        <v>135</v>
      </c>
      <c r="U2449" s="846"/>
      <c r="V2449" s="847"/>
      <c r="W2449" s="846"/>
      <c r="X2449" s="846"/>
      <c r="Y2449" s="740">
        <f t="shared" si="312"/>
        <v>0</v>
      </c>
      <c r="Z2449" s="847"/>
      <c r="AA2449" s="847"/>
      <c r="AB2449" s="741">
        <f t="shared" si="313"/>
        <v>0</v>
      </c>
      <c r="AC2449" s="846"/>
      <c r="AD2449" s="847"/>
      <c r="AE2449" s="846"/>
      <c r="AF2449" s="846"/>
      <c r="AG2449" s="847"/>
      <c r="AH2449" s="847"/>
      <c r="AI2449" s="742">
        <f t="shared" si="317"/>
        <v>164</v>
      </c>
      <c r="AJ2449" s="743">
        <f t="shared" si="318"/>
        <v>135</v>
      </c>
    </row>
    <row r="2450" spans="1:36">
      <c r="A2450" s="1410" t="s">
        <v>146</v>
      </c>
      <c r="B2450" s="1146" t="s">
        <v>272</v>
      </c>
      <c r="C2450" s="1137" t="s">
        <v>1823</v>
      </c>
      <c r="D2450" s="1136"/>
      <c r="E2450" s="1420">
        <v>218520</v>
      </c>
      <c r="F2450" s="1110">
        <v>8</v>
      </c>
      <c r="G2450" s="846"/>
      <c r="H2450" s="847"/>
      <c r="I2450" s="846">
        <v>122709</v>
      </c>
      <c r="J2450" s="847">
        <v>122937</v>
      </c>
      <c r="K2450" s="846"/>
      <c r="L2450" s="847"/>
      <c r="M2450" s="846"/>
      <c r="N2450" s="846"/>
      <c r="O2450" s="737">
        <f t="shared" si="311"/>
        <v>0</v>
      </c>
      <c r="P2450" s="847"/>
      <c r="Q2450" s="847"/>
      <c r="R2450" s="738">
        <f t="shared" si="314"/>
        <v>0</v>
      </c>
      <c r="S2450" s="737">
        <f t="shared" si="315"/>
        <v>122709</v>
      </c>
      <c r="T2450" s="739">
        <f t="shared" si="316"/>
        <v>122937</v>
      </c>
      <c r="U2450" s="846"/>
      <c r="V2450" s="847"/>
      <c r="W2450" s="846"/>
      <c r="X2450" s="846"/>
      <c r="Y2450" s="740">
        <f t="shared" si="312"/>
        <v>0</v>
      </c>
      <c r="Z2450" s="847"/>
      <c r="AA2450" s="847"/>
      <c r="AB2450" s="741">
        <f t="shared" si="313"/>
        <v>0</v>
      </c>
      <c r="AC2450" s="846"/>
      <c r="AD2450" s="847"/>
      <c r="AE2450" s="846"/>
      <c r="AF2450" s="846"/>
      <c r="AG2450" s="847"/>
      <c r="AH2450" s="847"/>
      <c r="AI2450" s="742">
        <f t="shared" si="317"/>
        <v>122709</v>
      </c>
      <c r="AJ2450" s="743">
        <f t="shared" si="318"/>
        <v>122937</v>
      </c>
    </row>
    <row r="2451" spans="1:36">
      <c r="A2451" s="1410" t="s">
        <v>146</v>
      </c>
      <c r="B2451" s="1146" t="s">
        <v>272</v>
      </c>
      <c r="C2451" s="1414" t="s">
        <v>1824</v>
      </c>
      <c r="D2451" s="1136"/>
      <c r="E2451" s="1420">
        <v>218520</v>
      </c>
      <c r="F2451" s="1110">
        <v>8</v>
      </c>
      <c r="G2451" s="846"/>
      <c r="H2451" s="847"/>
      <c r="I2451" s="846"/>
      <c r="J2451" s="847">
        <v>138356</v>
      </c>
      <c r="K2451" s="846"/>
      <c r="L2451" s="847"/>
      <c r="M2451" s="846"/>
      <c r="N2451" s="846"/>
      <c r="O2451" s="737">
        <f t="shared" si="311"/>
        <v>0</v>
      </c>
      <c r="P2451" s="847"/>
      <c r="Q2451" s="847"/>
      <c r="R2451" s="738">
        <f t="shared" si="314"/>
        <v>0</v>
      </c>
      <c r="S2451" s="737">
        <f t="shared" si="315"/>
        <v>0</v>
      </c>
      <c r="T2451" s="739">
        <f t="shared" si="316"/>
        <v>138356</v>
      </c>
      <c r="U2451" s="846"/>
      <c r="V2451" s="847"/>
      <c r="W2451" s="846"/>
      <c r="X2451" s="846"/>
      <c r="Y2451" s="740">
        <f t="shared" si="312"/>
        <v>0</v>
      </c>
      <c r="Z2451" s="847"/>
      <c r="AA2451" s="847"/>
      <c r="AB2451" s="741">
        <f t="shared" si="313"/>
        <v>0</v>
      </c>
      <c r="AC2451" s="846"/>
      <c r="AD2451" s="847"/>
      <c r="AE2451" s="846"/>
      <c r="AF2451" s="846"/>
      <c r="AG2451" s="847"/>
      <c r="AH2451" s="847"/>
      <c r="AI2451" s="742">
        <f t="shared" si="317"/>
        <v>0</v>
      </c>
      <c r="AJ2451" s="743">
        <f t="shared" si="318"/>
        <v>138356</v>
      </c>
    </row>
    <row r="2452" spans="1:36">
      <c r="A2452" s="1410" t="s">
        <v>146</v>
      </c>
      <c r="B2452" s="1146" t="s">
        <v>272</v>
      </c>
      <c r="C2452" s="1137" t="s">
        <v>1825</v>
      </c>
      <c r="D2452" s="1136"/>
      <c r="E2452" s="1420">
        <v>218520</v>
      </c>
      <c r="F2452" s="1110">
        <v>8</v>
      </c>
      <c r="G2452" s="846"/>
      <c r="H2452" s="847"/>
      <c r="I2452" s="846">
        <v>39557</v>
      </c>
      <c r="J2452" s="847">
        <v>39557</v>
      </c>
      <c r="K2452" s="846"/>
      <c r="L2452" s="847"/>
      <c r="M2452" s="846"/>
      <c r="N2452" s="846"/>
      <c r="O2452" s="737">
        <f t="shared" si="311"/>
        <v>0</v>
      </c>
      <c r="P2452" s="847"/>
      <c r="Q2452" s="847"/>
      <c r="R2452" s="738">
        <f t="shared" si="314"/>
        <v>0</v>
      </c>
      <c r="S2452" s="737">
        <f t="shared" si="315"/>
        <v>39557</v>
      </c>
      <c r="T2452" s="739">
        <f t="shared" si="316"/>
        <v>39557</v>
      </c>
      <c r="U2452" s="846"/>
      <c r="V2452" s="847"/>
      <c r="W2452" s="846"/>
      <c r="X2452" s="846"/>
      <c r="Y2452" s="740">
        <f t="shared" si="312"/>
        <v>0</v>
      </c>
      <c r="Z2452" s="847"/>
      <c r="AA2452" s="847"/>
      <c r="AB2452" s="741">
        <f t="shared" si="313"/>
        <v>0</v>
      </c>
      <c r="AC2452" s="846"/>
      <c r="AD2452" s="847"/>
      <c r="AE2452" s="846"/>
      <c r="AF2452" s="846"/>
      <c r="AG2452" s="847"/>
      <c r="AH2452" s="847"/>
      <c r="AI2452" s="742">
        <f t="shared" si="317"/>
        <v>39557</v>
      </c>
      <c r="AJ2452" s="743">
        <f t="shared" si="318"/>
        <v>39557</v>
      </c>
    </row>
    <row r="2453" spans="1:36">
      <c r="A2453" s="1410" t="s">
        <v>146</v>
      </c>
      <c r="B2453" s="1146" t="s">
        <v>272</v>
      </c>
      <c r="C2453" s="1137" t="s">
        <v>1826</v>
      </c>
      <c r="D2453" s="1136"/>
      <c r="E2453" s="1420">
        <v>218520</v>
      </c>
      <c r="F2453" s="1110">
        <v>8</v>
      </c>
      <c r="G2453" s="846"/>
      <c r="H2453" s="847"/>
      <c r="I2453" s="846"/>
      <c r="J2453" s="847"/>
      <c r="K2453" s="846"/>
      <c r="L2453" s="847"/>
      <c r="M2453" s="846"/>
      <c r="N2453" s="846"/>
      <c r="O2453" s="737">
        <f t="shared" si="311"/>
        <v>0</v>
      </c>
      <c r="P2453" s="847"/>
      <c r="Q2453" s="847"/>
      <c r="R2453" s="738">
        <f t="shared" si="314"/>
        <v>0</v>
      </c>
      <c r="S2453" s="737">
        <f t="shared" si="315"/>
        <v>0</v>
      </c>
      <c r="T2453" s="739">
        <f t="shared" si="316"/>
        <v>0</v>
      </c>
      <c r="U2453" s="846"/>
      <c r="V2453" s="847"/>
      <c r="W2453" s="846"/>
      <c r="X2453" s="846"/>
      <c r="Y2453" s="740">
        <f t="shared" si="312"/>
        <v>0</v>
      </c>
      <c r="Z2453" s="847"/>
      <c r="AA2453" s="847"/>
      <c r="AB2453" s="741">
        <f t="shared" si="313"/>
        <v>0</v>
      </c>
      <c r="AC2453" s="846"/>
      <c r="AD2453" s="847"/>
      <c r="AE2453" s="846"/>
      <c r="AF2453" s="846"/>
      <c r="AG2453" s="847"/>
      <c r="AH2453" s="847"/>
      <c r="AI2453" s="742">
        <f t="shared" si="317"/>
        <v>0</v>
      </c>
      <c r="AJ2453" s="743">
        <f t="shared" si="318"/>
        <v>0</v>
      </c>
    </row>
    <row r="2454" spans="1:36">
      <c r="A2454" s="1410" t="s">
        <v>146</v>
      </c>
      <c r="B2454" s="1146" t="s">
        <v>272</v>
      </c>
      <c r="C2454" s="1137" t="s">
        <v>1829</v>
      </c>
      <c r="D2454" s="1136"/>
      <c r="E2454" s="1420">
        <v>218520</v>
      </c>
      <c r="F2454" s="1110">
        <v>8</v>
      </c>
      <c r="G2454" s="846"/>
      <c r="H2454" s="847"/>
      <c r="I2454" s="846">
        <v>37784</v>
      </c>
      <c r="J2454" s="847">
        <v>37784</v>
      </c>
      <c r="K2454" s="846"/>
      <c r="L2454" s="847"/>
      <c r="M2454" s="846"/>
      <c r="N2454" s="846"/>
      <c r="O2454" s="737">
        <f t="shared" si="311"/>
        <v>0</v>
      </c>
      <c r="P2454" s="847"/>
      <c r="Q2454" s="847"/>
      <c r="R2454" s="738">
        <f t="shared" si="314"/>
        <v>0</v>
      </c>
      <c r="S2454" s="737">
        <f t="shared" si="315"/>
        <v>37784</v>
      </c>
      <c r="T2454" s="739">
        <f t="shared" si="316"/>
        <v>37784</v>
      </c>
      <c r="U2454" s="846"/>
      <c r="V2454" s="847"/>
      <c r="W2454" s="846"/>
      <c r="X2454" s="846"/>
      <c r="Y2454" s="740">
        <f t="shared" si="312"/>
        <v>0</v>
      </c>
      <c r="Z2454" s="847"/>
      <c r="AA2454" s="847"/>
      <c r="AB2454" s="741">
        <f t="shared" si="313"/>
        <v>0</v>
      </c>
      <c r="AC2454" s="846"/>
      <c r="AD2454" s="847"/>
      <c r="AE2454" s="846"/>
      <c r="AF2454" s="846"/>
      <c r="AG2454" s="847"/>
      <c r="AH2454" s="847"/>
      <c r="AI2454" s="742">
        <f t="shared" si="317"/>
        <v>37784</v>
      </c>
      <c r="AJ2454" s="743">
        <f t="shared" si="318"/>
        <v>37784</v>
      </c>
    </row>
    <row r="2455" spans="1:36">
      <c r="A2455" s="1410" t="s">
        <v>146</v>
      </c>
      <c r="B2455" s="1146" t="s">
        <v>272</v>
      </c>
      <c r="C2455" s="1137" t="s">
        <v>1777</v>
      </c>
      <c r="D2455" s="1136"/>
      <c r="E2455" s="1420">
        <v>218520</v>
      </c>
      <c r="F2455" s="1110">
        <v>8</v>
      </c>
      <c r="G2455" s="846"/>
      <c r="H2455" s="847"/>
      <c r="I2455" s="846">
        <v>247891</v>
      </c>
      <c r="J2455" s="847">
        <v>226029</v>
      </c>
      <c r="K2455" s="846"/>
      <c r="L2455" s="847"/>
      <c r="M2455" s="846"/>
      <c r="N2455" s="846"/>
      <c r="O2455" s="737">
        <f t="shared" si="311"/>
        <v>0</v>
      </c>
      <c r="P2455" s="847"/>
      <c r="Q2455" s="847"/>
      <c r="R2455" s="738">
        <f t="shared" si="314"/>
        <v>0</v>
      </c>
      <c r="S2455" s="737">
        <f t="shared" si="315"/>
        <v>247891</v>
      </c>
      <c r="T2455" s="739">
        <f t="shared" si="316"/>
        <v>226029</v>
      </c>
      <c r="U2455" s="846"/>
      <c r="V2455" s="847"/>
      <c r="W2455" s="846"/>
      <c r="X2455" s="846"/>
      <c r="Y2455" s="740">
        <f t="shared" si="312"/>
        <v>0</v>
      </c>
      <c r="Z2455" s="847"/>
      <c r="AA2455" s="847"/>
      <c r="AB2455" s="741">
        <f t="shared" si="313"/>
        <v>0</v>
      </c>
      <c r="AC2455" s="846"/>
      <c r="AD2455" s="847"/>
      <c r="AE2455" s="846"/>
      <c r="AF2455" s="846"/>
      <c r="AG2455" s="847"/>
      <c r="AH2455" s="847"/>
      <c r="AI2455" s="742">
        <f t="shared" si="317"/>
        <v>247891</v>
      </c>
      <c r="AJ2455" s="743">
        <f t="shared" si="318"/>
        <v>226029</v>
      </c>
    </row>
    <row r="2456" spans="1:36">
      <c r="A2456" s="1410" t="s">
        <v>146</v>
      </c>
      <c r="B2456" s="1146" t="s">
        <v>272</v>
      </c>
      <c r="C2456" s="1414" t="s">
        <v>1831</v>
      </c>
      <c r="D2456" s="1136"/>
      <c r="E2456" s="1420">
        <v>218520</v>
      </c>
      <c r="F2456" s="1422">
        <v>8</v>
      </c>
      <c r="G2456" s="846"/>
      <c r="H2456" s="847"/>
      <c r="I2456" s="846"/>
      <c r="J2456" s="847">
        <v>63750</v>
      </c>
      <c r="K2456" s="846"/>
      <c r="L2456" s="847"/>
      <c r="M2456" s="846"/>
      <c r="N2456" s="846"/>
      <c r="O2456" s="737">
        <f t="shared" si="311"/>
        <v>0</v>
      </c>
      <c r="P2456" s="847"/>
      <c r="Q2456" s="847"/>
      <c r="R2456" s="738">
        <f t="shared" si="314"/>
        <v>0</v>
      </c>
      <c r="S2456" s="737">
        <f t="shared" si="315"/>
        <v>0</v>
      </c>
      <c r="T2456" s="739">
        <f t="shared" si="316"/>
        <v>63750</v>
      </c>
      <c r="U2456" s="846"/>
      <c r="V2456" s="847"/>
      <c r="W2456" s="846"/>
      <c r="X2456" s="846"/>
      <c r="Y2456" s="740">
        <f t="shared" si="312"/>
        <v>0</v>
      </c>
      <c r="Z2456" s="847"/>
      <c r="AA2456" s="847"/>
      <c r="AB2456" s="741">
        <f t="shared" si="313"/>
        <v>0</v>
      </c>
      <c r="AC2456" s="846"/>
      <c r="AD2456" s="847"/>
      <c r="AE2456" s="846"/>
      <c r="AF2456" s="846"/>
      <c r="AG2456" s="847"/>
      <c r="AH2456" s="847"/>
      <c r="AI2456" s="742">
        <f t="shared" si="317"/>
        <v>0</v>
      </c>
      <c r="AJ2456" s="743">
        <f t="shared" si="318"/>
        <v>63750</v>
      </c>
    </row>
    <row r="2457" spans="1:36">
      <c r="A2457" s="1410" t="s">
        <v>146</v>
      </c>
      <c r="B2457" s="1146" t="s">
        <v>264</v>
      </c>
      <c r="C2457" s="1131" t="s">
        <v>1841</v>
      </c>
      <c r="D2457" s="1136"/>
      <c r="E2457" s="1436">
        <v>218885</v>
      </c>
      <c r="F2457" s="1422">
        <v>8</v>
      </c>
      <c r="G2457" s="846">
        <v>6653649</v>
      </c>
      <c r="H2457" s="847">
        <v>6653650</v>
      </c>
      <c r="I2457" s="846"/>
      <c r="J2457" s="847"/>
      <c r="K2457" s="846">
        <v>2889507</v>
      </c>
      <c r="L2457" s="847">
        <v>3000000</v>
      </c>
      <c r="M2457" s="846">
        <v>29138218</v>
      </c>
      <c r="N2457" s="846">
        <v>0</v>
      </c>
      <c r="O2457" s="737">
        <f t="shared" si="311"/>
        <v>29138218</v>
      </c>
      <c r="P2457" s="847">
        <v>22770113</v>
      </c>
      <c r="Q2457" s="847">
        <v>0</v>
      </c>
      <c r="R2457" s="738">
        <f t="shared" si="314"/>
        <v>22770113</v>
      </c>
      <c r="S2457" s="737">
        <f t="shared" si="315"/>
        <v>38681374</v>
      </c>
      <c r="T2457" s="739">
        <f t="shared" si="316"/>
        <v>32423763</v>
      </c>
      <c r="U2457" s="846"/>
      <c r="V2457" s="847"/>
      <c r="W2457" s="846"/>
      <c r="X2457" s="846"/>
      <c r="Y2457" s="740">
        <f t="shared" si="312"/>
        <v>0</v>
      </c>
      <c r="Z2457" s="847"/>
      <c r="AA2457" s="847"/>
      <c r="AB2457" s="741">
        <f t="shared" si="313"/>
        <v>0</v>
      </c>
      <c r="AC2457" s="846"/>
      <c r="AD2457" s="847"/>
      <c r="AE2457" s="846"/>
      <c r="AF2457" s="846"/>
      <c r="AG2457" s="847"/>
      <c r="AH2457" s="847"/>
      <c r="AI2457" s="742">
        <f t="shared" si="317"/>
        <v>38681374</v>
      </c>
      <c r="AJ2457" s="743">
        <f t="shared" si="318"/>
        <v>32423763</v>
      </c>
    </row>
    <row r="2458" spans="1:36">
      <c r="A2458" s="1410" t="s">
        <v>146</v>
      </c>
      <c r="B2458" s="1146" t="s">
        <v>264</v>
      </c>
      <c r="C2458" s="1421" t="s">
        <v>1822</v>
      </c>
      <c r="D2458" s="1136"/>
      <c r="E2458" s="1436">
        <v>218885</v>
      </c>
      <c r="F2458" s="1422">
        <v>8</v>
      </c>
      <c r="G2458" s="846"/>
      <c r="H2458" s="847">
        <v>186665</v>
      </c>
      <c r="I2458" s="846"/>
      <c r="J2458" s="352"/>
      <c r="K2458" s="846"/>
      <c r="L2458" s="847"/>
      <c r="M2458" s="846"/>
      <c r="N2458" s="846"/>
      <c r="O2458" s="737">
        <f t="shared" si="311"/>
        <v>0</v>
      </c>
      <c r="P2458" s="847"/>
      <c r="Q2458" s="847"/>
      <c r="R2458" s="738">
        <f t="shared" si="314"/>
        <v>0</v>
      </c>
      <c r="S2458" s="737">
        <f t="shared" si="315"/>
        <v>0</v>
      </c>
      <c r="T2458" s="739">
        <f t="shared" si="316"/>
        <v>186665</v>
      </c>
      <c r="U2458" s="846"/>
      <c r="V2458" s="847"/>
      <c r="W2458" s="846"/>
      <c r="X2458" s="846"/>
      <c r="Y2458" s="740">
        <f t="shared" si="312"/>
        <v>0</v>
      </c>
      <c r="Z2458" s="847"/>
      <c r="AA2458" s="847"/>
      <c r="AB2458" s="741">
        <f t="shared" si="313"/>
        <v>0</v>
      </c>
      <c r="AC2458" s="846"/>
      <c r="AD2458" s="847"/>
      <c r="AE2458" s="846"/>
      <c r="AF2458" s="846"/>
      <c r="AG2458" s="847"/>
      <c r="AH2458" s="847"/>
      <c r="AI2458" s="742">
        <f t="shared" si="317"/>
        <v>0</v>
      </c>
      <c r="AJ2458" s="743">
        <f t="shared" si="318"/>
        <v>186665</v>
      </c>
    </row>
    <row r="2459" spans="1:36">
      <c r="A2459" s="1410" t="s">
        <v>146</v>
      </c>
      <c r="B2459" s="1146" t="s">
        <v>272</v>
      </c>
      <c r="C2459" s="1135" t="s">
        <v>842</v>
      </c>
      <c r="D2459" s="1136"/>
      <c r="E2459" s="1420">
        <v>218885</v>
      </c>
      <c r="F2459" s="1422">
        <v>8</v>
      </c>
      <c r="G2459" s="846"/>
      <c r="H2459" s="847"/>
      <c r="I2459" s="846"/>
      <c r="J2459" s="847"/>
      <c r="K2459" s="846"/>
      <c r="L2459" s="847"/>
      <c r="M2459" s="846"/>
      <c r="N2459" s="846"/>
      <c r="O2459" s="737">
        <f t="shared" si="311"/>
        <v>0</v>
      </c>
      <c r="P2459" s="847"/>
      <c r="Q2459" s="847"/>
      <c r="R2459" s="738">
        <f t="shared" si="314"/>
        <v>0</v>
      </c>
      <c r="S2459" s="737">
        <f t="shared" si="315"/>
        <v>0</v>
      </c>
      <c r="T2459" s="739">
        <f t="shared" si="316"/>
        <v>0</v>
      </c>
      <c r="U2459" s="846"/>
      <c r="V2459" s="847"/>
      <c r="W2459" s="846"/>
      <c r="X2459" s="846"/>
      <c r="Y2459" s="740">
        <f t="shared" si="312"/>
        <v>0</v>
      </c>
      <c r="Z2459" s="847"/>
      <c r="AA2459" s="847"/>
      <c r="AB2459" s="741">
        <f t="shared" si="313"/>
        <v>0</v>
      </c>
      <c r="AC2459" s="846"/>
      <c r="AD2459" s="847"/>
      <c r="AE2459" s="846"/>
      <c r="AF2459" s="846"/>
      <c r="AG2459" s="847"/>
      <c r="AH2459" s="847"/>
      <c r="AI2459" s="742">
        <f t="shared" si="317"/>
        <v>0</v>
      </c>
      <c r="AJ2459" s="743">
        <f t="shared" si="318"/>
        <v>0</v>
      </c>
    </row>
    <row r="2460" spans="1:36">
      <c r="A2460" s="1410" t="s">
        <v>146</v>
      </c>
      <c r="B2460" s="1146" t="s">
        <v>272</v>
      </c>
      <c r="C2460" s="1137" t="s">
        <v>1756</v>
      </c>
      <c r="D2460" s="1136"/>
      <c r="E2460" s="1420">
        <v>218885</v>
      </c>
      <c r="F2460" s="1422">
        <v>8</v>
      </c>
      <c r="G2460" s="846"/>
      <c r="H2460" s="847"/>
      <c r="I2460" s="846">
        <v>2685</v>
      </c>
      <c r="J2460" s="847">
        <v>2615</v>
      </c>
      <c r="K2460" s="846"/>
      <c r="L2460" s="847"/>
      <c r="M2460" s="846"/>
      <c r="N2460" s="846"/>
      <c r="O2460" s="737">
        <f t="shared" si="311"/>
        <v>0</v>
      </c>
      <c r="P2460" s="847"/>
      <c r="Q2460" s="847"/>
      <c r="R2460" s="738">
        <f t="shared" si="314"/>
        <v>0</v>
      </c>
      <c r="S2460" s="737">
        <f t="shared" si="315"/>
        <v>2685</v>
      </c>
      <c r="T2460" s="739">
        <f t="shared" si="316"/>
        <v>2615</v>
      </c>
      <c r="U2460" s="846"/>
      <c r="V2460" s="847"/>
      <c r="W2460" s="846"/>
      <c r="X2460" s="846"/>
      <c r="Y2460" s="740">
        <f t="shared" si="312"/>
        <v>0</v>
      </c>
      <c r="Z2460" s="847"/>
      <c r="AA2460" s="847"/>
      <c r="AB2460" s="741">
        <f t="shared" si="313"/>
        <v>0</v>
      </c>
      <c r="AC2460" s="846"/>
      <c r="AD2460" s="847"/>
      <c r="AE2460" s="846"/>
      <c r="AF2460" s="846"/>
      <c r="AG2460" s="847"/>
      <c r="AH2460" s="847"/>
      <c r="AI2460" s="742">
        <f t="shared" si="317"/>
        <v>2685</v>
      </c>
      <c r="AJ2460" s="743">
        <f t="shared" si="318"/>
        <v>2615</v>
      </c>
    </row>
    <row r="2461" spans="1:36">
      <c r="A2461" s="1410" t="s">
        <v>146</v>
      </c>
      <c r="B2461" s="1146" t="s">
        <v>272</v>
      </c>
      <c r="C2461" s="1137" t="s">
        <v>1823</v>
      </c>
      <c r="D2461" s="1136"/>
      <c r="E2461" s="1420">
        <v>218885</v>
      </c>
      <c r="F2461" s="1422">
        <v>8</v>
      </c>
      <c r="G2461" s="846"/>
      <c r="H2461" s="847"/>
      <c r="I2461" s="846">
        <v>100665</v>
      </c>
      <c r="J2461" s="847">
        <v>115164</v>
      </c>
      <c r="K2461" s="846"/>
      <c r="L2461" s="847"/>
      <c r="M2461" s="846"/>
      <c r="N2461" s="846"/>
      <c r="O2461" s="737">
        <f t="shared" si="311"/>
        <v>0</v>
      </c>
      <c r="P2461" s="847"/>
      <c r="Q2461" s="847"/>
      <c r="R2461" s="738">
        <f t="shared" si="314"/>
        <v>0</v>
      </c>
      <c r="S2461" s="737">
        <f t="shared" si="315"/>
        <v>100665</v>
      </c>
      <c r="T2461" s="739">
        <f t="shared" si="316"/>
        <v>115164</v>
      </c>
      <c r="U2461" s="846"/>
      <c r="V2461" s="847"/>
      <c r="W2461" s="846"/>
      <c r="X2461" s="846"/>
      <c r="Y2461" s="740">
        <f t="shared" si="312"/>
        <v>0</v>
      </c>
      <c r="Z2461" s="847"/>
      <c r="AA2461" s="847"/>
      <c r="AB2461" s="741">
        <f t="shared" si="313"/>
        <v>0</v>
      </c>
      <c r="AC2461" s="846"/>
      <c r="AD2461" s="847"/>
      <c r="AE2461" s="846"/>
      <c r="AF2461" s="846"/>
      <c r="AG2461" s="847"/>
      <c r="AH2461" s="847"/>
      <c r="AI2461" s="742">
        <f t="shared" si="317"/>
        <v>100665</v>
      </c>
      <c r="AJ2461" s="743">
        <f t="shared" si="318"/>
        <v>115164</v>
      </c>
    </row>
    <row r="2462" spans="1:36">
      <c r="A2462" s="1410" t="s">
        <v>146</v>
      </c>
      <c r="B2462" s="1146" t="s">
        <v>272</v>
      </c>
      <c r="C2462" s="1414" t="s">
        <v>1824</v>
      </c>
      <c r="D2462" s="1136"/>
      <c r="E2462" s="1420">
        <v>218885</v>
      </c>
      <c r="F2462" s="1110">
        <v>8</v>
      </c>
      <c r="G2462" s="846"/>
      <c r="H2462" s="847"/>
      <c r="I2462" s="846"/>
      <c r="J2462" s="847">
        <v>1181301</v>
      </c>
      <c r="K2462" s="846"/>
      <c r="L2462" s="847"/>
      <c r="M2462" s="846"/>
      <c r="N2462" s="846"/>
      <c r="O2462" s="737">
        <f t="shared" si="311"/>
        <v>0</v>
      </c>
      <c r="P2462" s="847"/>
      <c r="Q2462" s="847"/>
      <c r="R2462" s="738">
        <f t="shared" si="314"/>
        <v>0</v>
      </c>
      <c r="S2462" s="737">
        <f t="shared" si="315"/>
        <v>0</v>
      </c>
      <c r="T2462" s="739">
        <f t="shared" si="316"/>
        <v>1181301</v>
      </c>
      <c r="U2462" s="846"/>
      <c r="V2462" s="847"/>
      <c r="W2462" s="846"/>
      <c r="X2462" s="846"/>
      <c r="Y2462" s="740">
        <f t="shared" si="312"/>
        <v>0</v>
      </c>
      <c r="Z2462" s="847"/>
      <c r="AA2462" s="847"/>
      <c r="AB2462" s="741">
        <f t="shared" si="313"/>
        <v>0</v>
      </c>
      <c r="AC2462" s="846"/>
      <c r="AD2462" s="847"/>
      <c r="AE2462" s="846"/>
      <c r="AF2462" s="846"/>
      <c r="AG2462" s="847"/>
      <c r="AH2462" s="847"/>
      <c r="AI2462" s="742">
        <f t="shared" si="317"/>
        <v>0</v>
      </c>
      <c r="AJ2462" s="743">
        <f t="shared" si="318"/>
        <v>1181301</v>
      </c>
    </row>
    <row r="2463" spans="1:36">
      <c r="A2463" s="1410" t="s">
        <v>146</v>
      </c>
      <c r="B2463" s="1146" t="s">
        <v>272</v>
      </c>
      <c r="C2463" s="1137" t="s">
        <v>1825</v>
      </c>
      <c r="D2463" s="1136"/>
      <c r="E2463" s="1420">
        <v>218885</v>
      </c>
      <c r="F2463" s="1422">
        <v>8</v>
      </c>
      <c r="G2463" s="846"/>
      <c r="H2463" s="847"/>
      <c r="I2463" s="846">
        <v>29903</v>
      </c>
      <c r="J2463" s="847">
        <v>29903</v>
      </c>
      <c r="K2463" s="846"/>
      <c r="L2463" s="847"/>
      <c r="M2463" s="846"/>
      <c r="N2463" s="846"/>
      <c r="O2463" s="737">
        <f t="shared" si="311"/>
        <v>0</v>
      </c>
      <c r="P2463" s="847"/>
      <c r="Q2463" s="847"/>
      <c r="R2463" s="738">
        <f t="shared" si="314"/>
        <v>0</v>
      </c>
      <c r="S2463" s="737">
        <f t="shared" si="315"/>
        <v>29903</v>
      </c>
      <c r="T2463" s="739">
        <f t="shared" si="316"/>
        <v>29903</v>
      </c>
      <c r="U2463" s="846"/>
      <c r="V2463" s="847"/>
      <c r="W2463" s="846"/>
      <c r="X2463" s="846"/>
      <c r="Y2463" s="740">
        <f t="shared" si="312"/>
        <v>0</v>
      </c>
      <c r="Z2463" s="847"/>
      <c r="AA2463" s="847"/>
      <c r="AB2463" s="741">
        <f t="shared" si="313"/>
        <v>0</v>
      </c>
      <c r="AC2463" s="846"/>
      <c r="AD2463" s="847"/>
      <c r="AE2463" s="846"/>
      <c r="AF2463" s="846"/>
      <c r="AG2463" s="847"/>
      <c r="AH2463" s="847"/>
      <c r="AI2463" s="742">
        <f t="shared" si="317"/>
        <v>29903</v>
      </c>
      <c r="AJ2463" s="743">
        <f t="shared" si="318"/>
        <v>29903</v>
      </c>
    </row>
    <row r="2464" spans="1:36">
      <c r="A2464" s="1410" t="s">
        <v>146</v>
      </c>
      <c r="B2464" s="1146" t="s">
        <v>272</v>
      </c>
      <c r="C2464" s="1137" t="s">
        <v>1826</v>
      </c>
      <c r="D2464" s="1136"/>
      <c r="E2464" s="1420">
        <v>218885</v>
      </c>
      <c r="F2464" s="1422">
        <v>8</v>
      </c>
      <c r="G2464" s="846"/>
      <c r="H2464" s="847"/>
      <c r="I2464" s="846"/>
      <c r="J2464" s="847"/>
      <c r="K2464" s="846"/>
      <c r="L2464" s="847"/>
      <c r="M2464" s="846"/>
      <c r="N2464" s="846"/>
      <c r="O2464" s="737">
        <f t="shared" si="311"/>
        <v>0</v>
      </c>
      <c r="P2464" s="847"/>
      <c r="Q2464" s="847"/>
      <c r="R2464" s="738">
        <f t="shared" si="314"/>
        <v>0</v>
      </c>
      <c r="S2464" s="737">
        <f t="shared" si="315"/>
        <v>0</v>
      </c>
      <c r="T2464" s="739">
        <f t="shared" si="316"/>
        <v>0</v>
      </c>
      <c r="U2464" s="846"/>
      <c r="V2464" s="847"/>
      <c r="W2464" s="846"/>
      <c r="X2464" s="846"/>
      <c r="Y2464" s="740">
        <f t="shared" si="312"/>
        <v>0</v>
      </c>
      <c r="Z2464" s="847"/>
      <c r="AA2464" s="847"/>
      <c r="AB2464" s="741">
        <f t="shared" si="313"/>
        <v>0</v>
      </c>
      <c r="AC2464" s="846"/>
      <c r="AD2464" s="847"/>
      <c r="AE2464" s="846"/>
      <c r="AF2464" s="846"/>
      <c r="AG2464" s="847"/>
      <c r="AH2464" s="847"/>
      <c r="AI2464" s="742">
        <f t="shared" si="317"/>
        <v>0</v>
      </c>
      <c r="AJ2464" s="743">
        <f t="shared" si="318"/>
        <v>0</v>
      </c>
    </row>
    <row r="2465" spans="1:36">
      <c r="A2465" s="1410" t="s">
        <v>146</v>
      </c>
      <c r="B2465" s="1146" t="s">
        <v>272</v>
      </c>
      <c r="C2465" s="1137" t="s">
        <v>1834</v>
      </c>
      <c r="D2465" s="1136"/>
      <c r="E2465" s="1420">
        <v>218885</v>
      </c>
      <c r="F2465" s="1422">
        <v>8</v>
      </c>
      <c r="G2465" s="846"/>
      <c r="H2465" s="847"/>
      <c r="I2465" s="846"/>
      <c r="J2465" s="847"/>
      <c r="K2465" s="846"/>
      <c r="L2465" s="847"/>
      <c r="M2465" s="846"/>
      <c r="N2465" s="846"/>
      <c r="O2465" s="737">
        <f t="shared" si="311"/>
        <v>0</v>
      </c>
      <c r="P2465" s="847"/>
      <c r="Q2465" s="847"/>
      <c r="R2465" s="738">
        <f t="shared" si="314"/>
        <v>0</v>
      </c>
      <c r="S2465" s="737">
        <f t="shared" si="315"/>
        <v>0</v>
      </c>
      <c r="T2465" s="739">
        <f t="shared" si="316"/>
        <v>0</v>
      </c>
      <c r="U2465" s="846"/>
      <c r="V2465" s="847"/>
      <c r="W2465" s="846"/>
      <c r="X2465" s="846"/>
      <c r="Y2465" s="740">
        <f t="shared" si="312"/>
        <v>0</v>
      </c>
      <c r="Z2465" s="847"/>
      <c r="AA2465" s="847"/>
      <c r="AB2465" s="741">
        <f t="shared" si="313"/>
        <v>0</v>
      </c>
      <c r="AC2465" s="846"/>
      <c r="AD2465" s="847"/>
      <c r="AE2465" s="846"/>
      <c r="AF2465" s="846"/>
      <c r="AG2465" s="847"/>
      <c r="AH2465" s="847"/>
      <c r="AI2465" s="742">
        <f t="shared" si="317"/>
        <v>0</v>
      </c>
      <c r="AJ2465" s="743">
        <f t="shared" si="318"/>
        <v>0</v>
      </c>
    </row>
    <row r="2466" spans="1:36">
      <c r="A2466" s="1410" t="s">
        <v>146</v>
      </c>
      <c r="B2466" s="1146" t="s">
        <v>272</v>
      </c>
      <c r="C2466" s="1137" t="s">
        <v>1829</v>
      </c>
      <c r="D2466" s="1136"/>
      <c r="E2466" s="1420">
        <v>218885</v>
      </c>
      <c r="F2466" s="1422">
        <v>8</v>
      </c>
      <c r="G2466" s="846"/>
      <c r="H2466" s="847"/>
      <c r="I2466" s="846">
        <v>37784</v>
      </c>
      <c r="J2466" s="847">
        <v>37784</v>
      </c>
      <c r="K2466" s="846"/>
      <c r="L2466" s="847"/>
      <c r="M2466" s="846"/>
      <c r="N2466" s="846"/>
      <c r="O2466" s="737">
        <f t="shared" si="311"/>
        <v>0</v>
      </c>
      <c r="P2466" s="847"/>
      <c r="Q2466" s="847"/>
      <c r="R2466" s="738">
        <f t="shared" si="314"/>
        <v>0</v>
      </c>
      <c r="S2466" s="737">
        <f t="shared" si="315"/>
        <v>37784</v>
      </c>
      <c r="T2466" s="739">
        <f t="shared" si="316"/>
        <v>37784</v>
      </c>
      <c r="U2466" s="846"/>
      <c r="V2466" s="847"/>
      <c r="W2466" s="846"/>
      <c r="X2466" s="846"/>
      <c r="Y2466" s="740">
        <f t="shared" si="312"/>
        <v>0</v>
      </c>
      <c r="Z2466" s="847"/>
      <c r="AA2466" s="847"/>
      <c r="AB2466" s="741">
        <f t="shared" si="313"/>
        <v>0</v>
      </c>
      <c r="AC2466" s="846"/>
      <c r="AD2466" s="847"/>
      <c r="AE2466" s="846"/>
      <c r="AF2466" s="846"/>
      <c r="AG2466" s="847"/>
      <c r="AH2466" s="847"/>
      <c r="AI2466" s="742">
        <f t="shared" si="317"/>
        <v>37784</v>
      </c>
      <c r="AJ2466" s="743">
        <f t="shared" si="318"/>
        <v>37784</v>
      </c>
    </row>
    <row r="2467" spans="1:36">
      <c r="A2467" s="1410" t="s">
        <v>146</v>
      </c>
      <c r="B2467" s="1146" t="s">
        <v>272</v>
      </c>
      <c r="C2467" s="1137" t="s">
        <v>1777</v>
      </c>
      <c r="D2467" s="1136"/>
      <c r="E2467" s="1420">
        <v>218885</v>
      </c>
      <c r="F2467" s="1422">
        <v>8</v>
      </c>
      <c r="G2467" s="846"/>
      <c r="H2467" s="847"/>
      <c r="I2467" s="846">
        <v>256061</v>
      </c>
      <c r="J2467" s="847">
        <v>233479</v>
      </c>
      <c r="K2467" s="846"/>
      <c r="L2467" s="847"/>
      <c r="M2467" s="846"/>
      <c r="N2467" s="846"/>
      <c r="O2467" s="737">
        <f t="shared" si="311"/>
        <v>0</v>
      </c>
      <c r="P2467" s="847"/>
      <c r="Q2467" s="847"/>
      <c r="R2467" s="738">
        <f t="shared" si="314"/>
        <v>0</v>
      </c>
      <c r="S2467" s="737">
        <f t="shared" si="315"/>
        <v>256061</v>
      </c>
      <c r="T2467" s="739">
        <f t="shared" si="316"/>
        <v>233479</v>
      </c>
      <c r="U2467" s="846"/>
      <c r="V2467" s="847"/>
      <c r="W2467" s="846"/>
      <c r="X2467" s="846"/>
      <c r="Y2467" s="740">
        <f t="shared" si="312"/>
        <v>0</v>
      </c>
      <c r="Z2467" s="847"/>
      <c r="AA2467" s="847"/>
      <c r="AB2467" s="741">
        <f t="shared" si="313"/>
        <v>0</v>
      </c>
      <c r="AC2467" s="846"/>
      <c r="AD2467" s="847"/>
      <c r="AE2467" s="846"/>
      <c r="AF2467" s="846"/>
      <c r="AG2467" s="847"/>
      <c r="AH2467" s="847"/>
      <c r="AI2467" s="742">
        <f t="shared" si="317"/>
        <v>256061</v>
      </c>
      <c r="AJ2467" s="743">
        <f t="shared" si="318"/>
        <v>233479</v>
      </c>
    </row>
    <row r="2468" spans="1:36">
      <c r="A2468" s="1410" t="s">
        <v>146</v>
      </c>
      <c r="B2468" s="1146" t="s">
        <v>272</v>
      </c>
      <c r="C2468" s="1414" t="s">
        <v>1831</v>
      </c>
      <c r="D2468" s="1136"/>
      <c r="E2468" s="1420">
        <v>218885</v>
      </c>
      <c r="F2468" s="1422">
        <v>8</v>
      </c>
      <c r="G2468" s="846"/>
      <c r="H2468" s="847"/>
      <c r="I2468" s="846"/>
      <c r="J2468" s="847">
        <v>65851</v>
      </c>
      <c r="K2468" s="846"/>
      <c r="L2468" s="847"/>
      <c r="M2468" s="846"/>
      <c r="N2468" s="846"/>
      <c r="O2468" s="737">
        <f t="shared" si="311"/>
        <v>0</v>
      </c>
      <c r="P2468" s="847"/>
      <c r="Q2468" s="847"/>
      <c r="R2468" s="738">
        <f t="shared" si="314"/>
        <v>0</v>
      </c>
      <c r="S2468" s="737">
        <f t="shared" si="315"/>
        <v>0</v>
      </c>
      <c r="T2468" s="739">
        <f t="shared" si="316"/>
        <v>65851</v>
      </c>
      <c r="U2468" s="846"/>
      <c r="V2468" s="847"/>
      <c r="W2468" s="846"/>
      <c r="X2468" s="846"/>
      <c r="Y2468" s="740">
        <f t="shared" si="312"/>
        <v>0</v>
      </c>
      <c r="Z2468" s="847"/>
      <c r="AA2468" s="847"/>
      <c r="AB2468" s="741">
        <f t="shared" si="313"/>
        <v>0</v>
      </c>
      <c r="AC2468" s="846"/>
      <c r="AD2468" s="847"/>
      <c r="AE2468" s="846"/>
      <c r="AF2468" s="846"/>
      <c r="AG2468" s="847"/>
      <c r="AH2468" s="847"/>
      <c r="AI2468" s="742">
        <f t="shared" si="317"/>
        <v>0</v>
      </c>
      <c r="AJ2468" s="743">
        <f t="shared" si="318"/>
        <v>65851</v>
      </c>
    </row>
    <row r="2469" spans="1:36">
      <c r="A2469" s="1410" t="s">
        <v>146</v>
      </c>
      <c r="B2469" s="1146" t="s">
        <v>272</v>
      </c>
      <c r="C2469" s="1414" t="s">
        <v>1842</v>
      </c>
      <c r="D2469" s="1136"/>
      <c r="E2469" s="1420">
        <v>218885</v>
      </c>
      <c r="F2469" s="1422">
        <v>8</v>
      </c>
      <c r="G2469" s="846"/>
      <c r="H2469" s="847"/>
      <c r="I2469" s="846"/>
      <c r="J2469" s="847">
        <v>1000000</v>
      </c>
      <c r="K2469" s="846"/>
      <c r="L2469" s="847"/>
      <c r="M2469" s="846"/>
      <c r="N2469" s="846"/>
      <c r="O2469" s="737">
        <f t="shared" si="311"/>
        <v>0</v>
      </c>
      <c r="P2469" s="847"/>
      <c r="Q2469" s="847"/>
      <c r="R2469" s="738">
        <f t="shared" si="314"/>
        <v>0</v>
      </c>
      <c r="S2469" s="737">
        <f t="shared" si="315"/>
        <v>0</v>
      </c>
      <c r="T2469" s="739">
        <f t="shared" si="316"/>
        <v>1000000</v>
      </c>
      <c r="U2469" s="846"/>
      <c r="V2469" s="847"/>
      <c r="W2469" s="846"/>
      <c r="X2469" s="846"/>
      <c r="Y2469" s="740">
        <f t="shared" si="312"/>
        <v>0</v>
      </c>
      <c r="Z2469" s="847"/>
      <c r="AA2469" s="847"/>
      <c r="AB2469" s="741">
        <f t="shared" si="313"/>
        <v>0</v>
      </c>
      <c r="AC2469" s="846"/>
      <c r="AD2469" s="847"/>
      <c r="AE2469" s="846"/>
      <c r="AF2469" s="846"/>
      <c r="AG2469" s="847"/>
      <c r="AH2469" s="847"/>
      <c r="AI2469" s="742">
        <f t="shared" si="317"/>
        <v>0</v>
      </c>
      <c r="AJ2469" s="743">
        <f t="shared" si="318"/>
        <v>1000000</v>
      </c>
    </row>
    <row r="2470" spans="1:36">
      <c r="A2470" s="1410" t="s">
        <v>146</v>
      </c>
      <c r="B2470" s="1146" t="s">
        <v>264</v>
      </c>
      <c r="C2470" s="1411" t="s">
        <v>1843</v>
      </c>
      <c r="D2470" s="1136"/>
      <c r="E2470" s="1420">
        <v>218894</v>
      </c>
      <c r="F2470" s="1110">
        <v>8</v>
      </c>
      <c r="G2470" s="846">
        <v>14169950</v>
      </c>
      <c r="H2470" s="847">
        <v>14169951</v>
      </c>
      <c r="I2470" s="846"/>
      <c r="J2470" s="847"/>
      <c r="K2470" s="846">
        <v>10268017</v>
      </c>
      <c r="L2470" s="847">
        <v>10491560</v>
      </c>
      <c r="M2470" s="846">
        <v>63840300</v>
      </c>
      <c r="N2470" s="846">
        <v>1103081</v>
      </c>
      <c r="O2470" s="737">
        <f t="shared" si="311"/>
        <v>64943381</v>
      </c>
      <c r="P2470" s="847">
        <v>60299775</v>
      </c>
      <c r="Q2470" s="847">
        <v>1327128</v>
      </c>
      <c r="R2470" s="738">
        <f t="shared" si="314"/>
        <v>61626903</v>
      </c>
      <c r="S2470" s="737">
        <f t="shared" si="315"/>
        <v>88278267</v>
      </c>
      <c r="T2470" s="739">
        <f t="shared" si="316"/>
        <v>84961286</v>
      </c>
      <c r="U2470" s="846"/>
      <c r="V2470" s="847"/>
      <c r="W2470" s="846"/>
      <c r="X2470" s="846"/>
      <c r="Y2470" s="740">
        <f t="shared" si="312"/>
        <v>0</v>
      </c>
      <c r="Z2470" s="847"/>
      <c r="AA2470" s="847"/>
      <c r="AB2470" s="741">
        <f t="shared" si="313"/>
        <v>0</v>
      </c>
      <c r="AC2470" s="846"/>
      <c r="AD2470" s="847"/>
      <c r="AE2470" s="846"/>
      <c r="AF2470" s="846"/>
      <c r="AG2470" s="847"/>
      <c r="AH2470" s="847"/>
      <c r="AI2470" s="742">
        <f t="shared" si="317"/>
        <v>88278267</v>
      </c>
      <c r="AJ2470" s="743">
        <f t="shared" si="318"/>
        <v>84961286</v>
      </c>
    </row>
    <row r="2471" spans="1:36">
      <c r="A2471" s="1410" t="s">
        <v>146</v>
      </c>
      <c r="B2471" s="1146" t="s">
        <v>264</v>
      </c>
      <c r="C2471" s="1421" t="s">
        <v>1822</v>
      </c>
      <c r="D2471" s="1136"/>
      <c r="E2471" s="1436">
        <v>218894</v>
      </c>
      <c r="F2471" s="1422">
        <v>8</v>
      </c>
      <c r="G2471" s="846"/>
      <c r="H2471" s="847">
        <v>397531</v>
      </c>
      <c r="I2471" s="846"/>
      <c r="J2471" s="352"/>
      <c r="K2471" s="846"/>
      <c r="L2471" s="847"/>
      <c r="M2471" s="846"/>
      <c r="N2471" s="846"/>
      <c r="O2471" s="737">
        <f t="shared" si="311"/>
        <v>0</v>
      </c>
      <c r="P2471" s="847"/>
      <c r="Q2471" s="847"/>
      <c r="R2471" s="738">
        <f t="shared" si="314"/>
        <v>0</v>
      </c>
      <c r="S2471" s="737">
        <f t="shared" si="315"/>
        <v>0</v>
      </c>
      <c r="T2471" s="739">
        <f t="shared" si="316"/>
        <v>397531</v>
      </c>
      <c r="U2471" s="846"/>
      <c r="V2471" s="847"/>
      <c r="W2471" s="846"/>
      <c r="X2471" s="846"/>
      <c r="Y2471" s="740">
        <f t="shared" si="312"/>
        <v>0</v>
      </c>
      <c r="Z2471" s="847"/>
      <c r="AA2471" s="847"/>
      <c r="AB2471" s="741">
        <f t="shared" si="313"/>
        <v>0</v>
      </c>
      <c r="AC2471" s="846"/>
      <c r="AD2471" s="847"/>
      <c r="AE2471" s="846"/>
      <c r="AF2471" s="846"/>
      <c r="AG2471" s="847"/>
      <c r="AH2471" s="847"/>
      <c r="AI2471" s="742">
        <f t="shared" si="317"/>
        <v>0</v>
      </c>
      <c r="AJ2471" s="743">
        <f t="shared" si="318"/>
        <v>397531</v>
      </c>
    </row>
    <row r="2472" spans="1:36">
      <c r="A2472" s="1410" t="s">
        <v>146</v>
      </c>
      <c r="B2472" s="1146" t="s">
        <v>272</v>
      </c>
      <c r="C2472" s="1135" t="s">
        <v>842</v>
      </c>
      <c r="D2472" s="1136"/>
      <c r="E2472" s="1420">
        <v>218894</v>
      </c>
      <c r="F2472" s="1110">
        <v>8</v>
      </c>
      <c r="G2472" s="846"/>
      <c r="H2472" s="847"/>
      <c r="I2472" s="846"/>
      <c r="J2472" s="847"/>
      <c r="K2472" s="846"/>
      <c r="L2472" s="847"/>
      <c r="M2472" s="846"/>
      <c r="N2472" s="846"/>
      <c r="O2472" s="737">
        <f t="shared" si="311"/>
        <v>0</v>
      </c>
      <c r="P2472" s="847"/>
      <c r="Q2472" s="847"/>
      <c r="R2472" s="738">
        <f t="shared" si="314"/>
        <v>0</v>
      </c>
      <c r="S2472" s="737">
        <f t="shared" si="315"/>
        <v>0</v>
      </c>
      <c r="T2472" s="739">
        <f t="shared" si="316"/>
        <v>0</v>
      </c>
      <c r="U2472" s="846"/>
      <c r="V2472" s="847"/>
      <c r="W2472" s="846"/>
      <c r="X2472" s="846"/>
      <c r="Y2472" s="740">
        <f t="shared" si="312"/>
        <v>0</v>
      </c>
      <c r="Z2472" s="847"/>
      <c r="AA2472" s="847"/>
      <c r="AB2472" s="741">
        <f t="shared" si="313"/>
        <v>0</v>
      </c>
      <c r="AC2472" s="846"/>
      <c r="AD2472" s="847"/>
      <c r="AE2472" s="846"/>
      <c r="AF2472" s="846"/>
      <c r="AG2472" s="847"/>
      <c r="AH2472" s="847"/>
      <c r="AI2472" s="742">
        <f t="shared" si="317"/>
        <v>0</v>
      </c>
      <c r="AJ2472" s="743">
        <f t="shared" si="318"/>
        <v>0</v>
      </c>
    </row>
    <row r="2473" spans="1:36">
      <c r="A2473" s="1410" t="s">
        <v>146</v>
      </c>
      <c r="B2473" s="1146" t="s">
        <v>272</v>
      </c>
      <c r="C2473" s="1137" t="s">
        <v>1756</v>
      </c>
      <c r="D2473" s="1136"/>
      <c r="E2473" s="1420">
        <v>218894</v>
      </c>
      <c r="F2473" s="1110">
        <v>8</v>
      </c>
      <c r="G2473" s="846"/>
      <c r="H2473" s="847"/>
      <c r="I2473" s="846">
        <v>599</v>
      </c>
      <c r="J2473" s="847">
        <v>688</v>
      </c>
      <c r="K2473" s="846"/>
      <c r="L2473" s="847"/>
      <c r="M2473" s="846"/>
      <c r="N2473" s="846"/>
      <c r="O2473" s="737">
        <f t="shared" si="311"/>
        <v>0</v>
      </c>
      <c r="P2473" s="847"/>
      <c r="Q2473" s="847"/>
      <c r="R2473" s="738">
        <f t="shared" si="314"/>
        <v>0</v>
      </c>
      <c r="S2473" s="737">
        <f t="shared" si="315"/>
        <v>599</v>
      </c>
      <c r="T2473" s="739">
        <f t="shared" si="316"/>
        <v>688</v>
      </c>
      <c r="U2473" s="846"/>
      <c r="V2473" s="847"/>
      <c r="W2473" s="846"/>
      <c r="X2473" s="846"/>
      <c r="Y2473" s="740">
        <f t="shared" si="312"/>
        <v>0</v>
      </c>
      <c r="Z2473" s="847"/>
      <c r="AA2473" s="847"/>
      <c r="AB2473" s="741">
        <f t="shared" si="313"/>
        <v>0</v>
      </c>
      <c r="AC2473" s="846"/>
      <c r="AD2473" s="847"/>
      <c r="AE2473" s="846"/>
      <c r="AF2473" s="846"/>
      <c r="AG2473" s="847"/>
      <c r="AH2473" s="847"/>
      <c r="AI2473" s="742">
        <f t="shared" si="317"/>
        <v>599</v>
      </c>
      <c r="AJ2473" s="743">
        <f t="shared" si="318"/>
        <v>688</v>
      </c>
    </row>
    <row r="2474" spans="1:36">
      <c r="A2474" s="1410" t="s">
        <v>146</v>
      </c>
      <c r="B2474" s="1146" t="s">
        <v>272</v>
      </c>
      <c r="C2474" s="1137" t="s">
        <v>1823</v>
      </c>
      <c r="D2474" s="1136"/>
      <c r="E2474" s="1420">
        <v>218894</v>
      </c>
      <c r="F2474" s="1110">
        <v>8</v>
      </c>
      <c r="G2474" s="846"/>
      <c r="H2474" s="847"/>
      <c r="I2474" s="846">
        <v>258899</v>
      </c>
      <c r="J2474" s="847">
        <v>199135</v>
      </c>
      <c r="K2474" s="846"/>
      <c r="L2474" s="847"/>
      <c r="M2474" s="846"/>
      <c r="N2474" s="846"/>
      <c r="O2474" s="737">
        <f t="shared" si="311"/>
        <v>0</v>
      </c>
      <c r="P2474" s="847"/>
      <c r="Q2474" s="847"/>
      <c r="R2474" s="738">
        <f t="shared" si="314"/>
        <v>0</v>
      </c>
      <c r="S2474" s="737">
        <f t="shared" si="315"/>
        <v>258899</v>
      </c>
      <c r="T2474" s="739">
        <f t="shared" si="316"/>
        <v>199135</v>
      </c>
      <c r="U2474" s="846"/>
      <c r="V2474" s="847"/>
      <c r="W2474" s="846"/>
      <c r="X2474" s="846"/>
      <c r="Y2474" s="740">
        <f t="shared" si="312"/>
        <v>0</v>
      </c>
      <c r="Z2474" s="847"/>
      <c r="AA2474" s="847"/>
      <c r="AB2474" s="741">
        <f t="shared" si="313"/>
        <v>0</v>
      </c>
      <c r="AC2474" s="846"/>
      <c r="AD2474" s="847"/>
      <c r="AE2474" s="846"/>
      <c r="AF2474" s="846"/>
      <c r="AG2474" s="847"/>
      <c r="AH2474" s="847"/>
      <c r="AI2474" s="742">
        <f t="shared" si="317"/>
        <v>258899</v>
      </c>
      <c r="AJ2474" s="743">
        <f t="shared" si="318"/>
        <v>199135</v>
      </c>
    </row>
    <row r="2475" spans="1:36">
      <c r="A2475" s="1410" t="s">
        <v>146</v>
      </c>
      <c r="B2475" s="1146" t="s">
        <v>272</v>
      </c>
      <c r="C2475" s="1414" t="s">
        <v>1824</v>
      </c>
      <c r="D2475" s="1136"/>
      <c r="E2475" s="1420">
        <v>218894</v>
      </c>
      <c r="F2475" s="1110">
        <v>8</v>
      </c>
      <c r="G2475" s="846"/>
      <c r="H2475" s="847"/>
      <c r="I2475" s="846"/>
      <c r="J2475" s="847">
        <v>435946</v>
      </c>
      <c r="K2475" s="846"/>
      <c r="L2475" s="847"/>
      <c r="M2475" s="846"/>
      <c r="N2475" s="846"/>
      <c r="O2475" s="737">
        <f t="shared" si="311"/>
        <v>0</v>
      </c>
      <c r="P2475" s="847"/>
      <c r="Q2475" s="847"/>
      <c r="R2475" s="738">
        <f t="shared" si="314"/>
        <v>0</v>
      </c>
      <c r="S2475" s="737">
        <f t="shared" si="315"/>
        <v>0</v>
      </c>
      <c r="T2475" s="739">
        <f t="shared" si="316"/>
        <v>435946</v>
      </c>
      <c r="U2475" s="846"/>
      <c r="V2475" s="847"/>
      <c r="W2475" s="846"/>
      <c r="X2475" s="846"/>
      <c r="Y2475" s="740">
        <f t="shared" si="312"/>
        <v>0</v>
      </c>
      <c r="Z2475" s="847"/>
      <c r="AA2475" s="847"/>
      <c r="AB2475" s="741">
        <f t="shared" si="313"/>
        <v>0</v>
      </c>
      <c r="AC2475" s="846"/>
      <c r="AD2475" s="847"/>
      <c r="AE2475" s="846"/>
      <c r="AF2475" s="846"/>
      <c r="AG2475" s="847"/>
      <c r="AH2475" s="847"/>
      <c r="AI2475" s="742">
        <f t="shared" si="317"/>
        <v>0</v>
      </c>
      <c r="AJ2475" s="743">
        <f t="shared" si="318"/>
        <v>435946</v>
      </c>
    </row>
    <row r="2476" spans="1:36">
      <c r="A2476" s="1410" t="s">
        <v>146</v>
      </c>
      <c r="B2476" s="1146" t="s">
        <v>272</v>
      </c>
      <c r="C2476" s="1137" t="s">
        <v>1825</v>
      </c>
      <c r="D2476" s="1136"/>
      <c r="E2476" s="1420">
        <v>218894</v>
      </c>
      <c r="F2476" s="1110">
        <v>8</v>
      </c>
      <c r="G2476" s="846"/>
      <c r="H2476" s="847"/>
      <c r="I2476" s="846">
        <v>37643</v>
      </c>
      <c r="J2476" s="847">
        <v>37643</v>
      </c>
      <c r="K2476" s="846"/>
      <c r="L2476" s="847"/>
      <c r="M2476" s="846"/>
      <c r="N2476" s="846"/>
      <c r="O2476" s="737">
        <f t="shared" si="311"/>
        <v>0</v>
      </c>
      <c r="P2476" s="847"/>
      <c r="Q2476" s="847"/>
      <c r="R2476" s="738">
        <f t="shared" si="314"/>
        <v>0</v>
      </c>
      <c r="S2476" s="737">
        <f t="shared" si="315"/>
        <v>37643</v>
      </c>
      <c r="T2476" s="739">
        <f t="shared" si="316"/>
        <v>37643</v>
      </c>
      <c r="U2476" s="846"/>
      <c r="V2476" s="847"/>
      <c r="W2476" s="846"/>
      <c r="X2476" s="846"/>
      <c r="Y2476" s="740">
        <f t="shared" si="312"/>
        <v>0</v>
      </c>
      <c r="Z2476" s="847"/>
      <c r="AA2476" s="847"/>
      <c r="AB2476" s="741">
        <f t="shared" si="313"/>
        <v>0</v>
      </c>
      <c r="AC2476" s="846"/>
      <c r="AD2476" s="847"/>
      <c r="AE2476" s="846"/>
      <c r="AF2476" s="846"/>
      <c r="AG2476" s="847"/>
      <c r="AH2476" s="847"/>
      <c r="AI2476" s="742">
        <f t="shared" si="317"/>
        <v>37643</v>
      </c>
      <c r="AJ2476" s="743">
        <f t="shared" si="318"/>
        <v>37643</v>
      </c>
    </row>
    <row r="2477" spans="1:36">
      <c r="A2477" s="1410" t="s">
        <v>146</v>
      </c>
      <c r="B2477" s="1146" t="s">
        <v>272</v>
      </c>
      <c r="C2477" s="1137" t="s">
        <v>1826</v>
      </c>
      <c r="D2477" s="1136"/>
      <c r="E2477" s="1420">
        <v>218894</v>
      </c>
      <c r="F2477" s="1110">
        <v>8</v>
      </c>
      <c r="G2477" s="846"/>
      <c r="H2477" s="847"/>
      <c r="I2477" s="846"/>
      <c r="J2477" s="847"/>
      <c r="K2477" s="846"/>
      <c r="L2477" s="847"/>
      <c r="M2477" s="846"/>
      <c r="N2477" s="846"/>
      <c r="O2477" s="737">
        <f t="shared" si="311"/>
        <v>0</v>
      </c>
      <c r="P2477" s="847"/>
      <c r="Q2477" s="847"/>
      <c r="R2477" s="738">
        <f t="shared" si="314"/>
        <v>0</v>
      </c>
      <c r="S2477" s="737">
        <f t="shared" si="315"/>
        <v>0</v>
      </c>
      <c r="T2477" s="739">
        <f t="shared" si="316"/>
        <v>0</v>
      </c>
      <c r="U2477" s="846"/>
      <c r="V2477" s="847"/>
      <c r="W2477" s="846"/>
      <c r="X2477" s="846"/>
      <c r="Y2477" s="740">
        <f t="shared" si="312"/>
        <v>0</v>
      </c>
      <c r="Z2477" s="847"/>
      <c r="AA2477" s="847"/>
      <c r="AB2477" s="741">
        <f t="shared" si="313"/>
        <v>0</v>
      </c>
      <c r="AC2477" s="846"/>
      <c r="AD2477" s="847"/>
      <c r="AE2477" s="846"/>
      <c r="AF2477" s="846"/>
      <c r="AG2477" s="847"/>
      <c r="AH2477" s="847"/>
      <c r="AI2477" s="742">
        <f t="shared" si="317"/>
        <v>0</v>
      </c>
      <c r="AJ2477" s="743">
        <f t="shared" si="318"/>
        <v>0</v>
      </c>
    </row>
    <row r="2478" spans="1:36">
      <c r="A2478" s="1410" t="s">
        <v>146</v>
      </c>
      <c r="B2478" s="1146" t="s">
        <v>272</v>
      </c>
      <c r="C2478" s="1137" t="s">
        <v>1834</v>
      </c>
      <c r="D2478" s="1136"/>
      <c r="E2478" s="1420">
        <v>218894</v>
      </c>
      <c r="F2478" s="1110">
        <v>8</v>
      </c>
      <c r="G2478" s="846"/>
      <c r="H2478" s="847"/>
      <c r="I2478" s="846"/>
      <c r="J2478" s="847"/>
      <c r="K2478" s="846"/>
      <c r="L2478" s="847"/>
      <c r="M2478" s="846"/>
      <c r="N2478" s="846"/>
      <c r="O2478" s="737">
        <f t="shared" si="311"/>
        <v>0</v>
      </c>
      <c r="P2478" s="847"/>
      <c r="Q2478" s="847"/>
      <c r="R2478" s="738">
        <f t="shared" si="314"/>
        <v>0</v>
      </c>
      <c r="S2478" s="737">
        <f t="shared" si="315"/>
        <v>0</v>
      </c>
      <c r="T2478" s="739">
        <f t="shared" si="316"/>
        <v>0</v>
      </c>
      <c r="U2478" s="846"/>
      <c r="V2478" s="847"/>
      <c r="W2478" s="846"/>
      <c r="X2478" s="846"/>
      <c r="Y2478" s="740">
        <f t="shared" si="312"/>
        <v>0</v>
      </c>
      <c r="Z2478" s="847"/>
      <c r="AA2478" s="847"/>
      <c r="AB2478" s="741">
        <f t="shared" si="313"/>
        <v>0</v>
      </c>
      <c r="AC2478" s="846"/>
      <c r="AD2478" s="847"/>
      <c r="AE2478" s="846"/>
      <c r="AF2478" s="846"/>
      <c r="AG2478" s="847"/>
      <c r="AH2478" s="847"/>
      <c r="AI2478" s="742">
        <f t="shared" si="317"/>
        <v>0</v>
      </c>
      <c r="AJ2478" s="743">
        <f t="shared" si="318"/>
        <v>0</v>
      </c>
    </row>
    <row r="2479" spans="1:36">
      <c r="A2479" s="1410" t="s">
        <v>146</v>
      </c>
      <c r="B2479" s="1146" t="s">
        <v>272</v>
      </c>
      <c r="C2479" s="1137" t="s">
        <v>1844</v>
      </c>
      <c r="D2479" s="1136"/>
      <c r="E2479" s="1420">
        <v>218894</v>
      </c>
      <c r="F2479" s="1110">
        <v>8</v>
      </c>
      <c r="G2479" s="846"/>
      <c r="H2479" s="847"/>
      <c r="I2479" s="846">
        <v>468522</v>
      </c>
      <c r="J2479" s="847">
        <v>468522</v>
      </c>
      <c r="K2479" s="846"/>
      <c r="L2479" s="847"/>
      <c r="M2479" s="846"/>
      <c r="N2479" s="846"/>
      <c r="O2479" s="737">
        <f t="shared" si="311"/>
        <v>0</v>
      </c>
      <c r="P2479" s="847"/>
      <c r="Q2479" s="847"/>
      <c r="R2479" s="738">
        <f t="shared" si="314"/>
        <v>0</v>
      </c>
      <c r="S2479" s="737">
        <f t="shared" si="315"/>
        <v>468522</v>
      </c>
      <c r="T2479" s="739">
        <f t="shared" si="316"/>
        <v>468522</v>
      </c>
      <c r="U2479" s="846"/>
      <c r="V2479" s="847"/>
      <c r="W2479" s="846"/>
      <c r="X2479" s="846"/>
      <c r="Y2479" s="740">
        <f t="shared" si="312"/>
        <v>0</v>
      </c>
      <c r="Z2479" s="847"/>
      <c r="AA2479" s="847"/>
      <c r="AB2479" s="741">
        <f t="shared" si="313"/>
        <v>0</v>
      </c>
      <c r="AC2479" s="846"/>
      <c r="AD2479" s="847"/>
      <c r="AE2479" s="846"/>
      <c r="AF2479" s="846"/>
      <c r="AG2479" s="847"/>
      <c r="AH2479" s="847"/>
      <c r="AI2479" s="742">
        <f t="shared" si="317"/>
        <v>468522</v>
      </c>
      <c r="AJ2479" s="743">
        <f t="shared" si="318"/>
        <v>468522</v>
      </c>
    </row>
    <row r="2480" spans="1:36">
      <c r="A2480" s="1410" t="s">
        <v>146</v>
      </c>
      <c r="B2480" s="1146" t="s">
        <v>272</v>
      </c>
      <c r="C2480" s="1137" t="s">
        <v>1829</v>
      </c>
      <c r="D2480" s="1136"/>
      <c r="E2480" s="1420">
        <v>218894</v>
      </c>
      <c r="F2480" s="1110">
        <v>8</v>
      </c>
      <c r="G2480" s="846"/>
      <c r="H2480" s="847"/>
      <c r="I2480" s="846">
        <v>37784</v>
      </c>
      <c r="J2480" s="847">
        <v>37784</v>
      </c>
      <c r="K2480" s="846"/>
      <c r="L2480" s="847"/>
      <c r="M2480" s="846"/>
      <c r="N2480" s="846"/>
      <c r="O2480" s="737">
        <f t="shared" si="311"/>
        <v>0</v>
      </c>
      <c r="P2480" s="847"/>
      <c r="Q2480" s="847"/>
      <c r="R2480" s="738">
        <f t="shared" si="314"/>
        <v>0</v>
      </c>
      <c r="S2480" s="737">
        <f t="shared" si="315"/>
        <v>37784</v>
      </c>
      <c r="T2480" s="739">
        <f t="shared" si="316"/>
        <v>37784</v>
      </c>
      <c r="U2480" s="846"/>
      <c r="V2480" s="847"/>
      <c r="W2480" s="846"/>
      <c r="X2480" s="846"/>
      <c r="Y2480" s="740">
        <f t="shared" si="312"/>
        <v>0</v>
      </c>
      <c r="Z2480" s="847"/>
      <c r="AA2480" s="847"/>
      <c r="AB2480" s="741">
        <f t="shared" si="313"/>
        <v>0</v>
      </c>
      <c r="AC2480" s="846"/>
      <c r="AD2480" s="847"/>
      <c r="AE2480" s="846"/>
      <c r="AF2480" s="846"/>
      <c r="AG2480" s="847"/>
      <c r="AH2480" s="847"/>
      <c r="AI2480" s="742">
        <f t="shared" si="317"/>
        <v>37784</v>
      </c>
      <c r="AJ2480" s="743">
        <f t="shared" si="318"/>
        <v>37784</v>
      </c>
    </row>
    <row r="2481" spans="1:36">
      <c r="A2481" s="1410" t="s">
        <v>146</v>
      </c>
      <c r="B2481" s="1146" t="s">
        <v>272</v>
      </c>
      <c r="C2481" s="1137" t="s">
        <v>1777</v>
      </c>
      <c r="D2481" s="1136"/>
      <c r="E2481" s="1420">
        <v>218894</v>
      </c>
      <c r="F2481" s="1110">
        <v>8</v>
      </c>
      <c r="G2481" s="846"/>
      <c r="H2481" s="847"/>
      <c r="I2481" s="846">
        <v>545321</v>
      </c>
      <c r="J2481" s="847">
        <v>497229</v>
      </c>
      <c r="K2481" s="846"/>
      <c r="L2481" s="847"/>
      <c r="M2481" s="846"/>
      <c r="N2481" s="846"/>
      <c r="O2481" s="737">
        <f t="shared" si="311"/>
        <v>0</v>
      </c>
      <c r="P2481" s="847"/>
      <c r="Q2481" s="847"/>
      <c r="R2481" s="738">
        <f t="shared" si="314"/>
        <v>0</v>
      </c>
      <c r="S2481" s="737">
        <f t="shared" si="315"/>
        <v>545321</v>
      </c>
      <c r="T2481" s="739">
        <f t="shared" si="316"/>
        <v>497229</v>
      </c>
      <c r="U2481" s="846"/>
      <c r="V2481" s="847"/>
      <c r="W2481" s="846"/>
      <c r="X2481" s="846"/>
      <c r="Y2481" s="740">
        <f t="shared" si="312"/>
        <v>0</v>
      </c>
      <c r="Z2481" s="847"/>
      <c r="AA2481" s="847"/>
      <c r="AB2481" s="741">
        <f t="shared" si="313"/>
        <v>0</v>
      </c>
      <c r="AC2481" s="846"/>
      <c r="AD2481" s="847"/>
      <c r="AE2481" s="846"/>
      <c r="AF2481" s="846"/>
      <c r="AG2481" s="847"/>
      <c r="AH2481" s="847"/>
      <c r="AI2481" s="742">
        <f t="shared" si="317"/>
        <v>545321</v>
      </c>
      <c r="AJ2481" s="743">
        <f t="shared" si="318"/>
        <v>497229</v>
      </c>
    </row>
    <row r="2482" spans="1:36">
      <c r="A2482" s="1410" t="s">
        <v>146</v>
      </c>
      <c r="B2482" s="1146" t="s">
        <v>272</v>
      </c>
      <c r="C2482" s="1414" t="s">
        <v>1831</v>
      </c>
      <c r="D2482" s="1136"/>
      <c r="E2482" s="1420">
        <v>218894</v>
      </c>
      <c r="F2482" s="1422">
        <v>8</v>
      </c>
      <c r="G2482" s="846"/>
      <c r="H2482" s="847"/>
      <c r="I2482" s="846"/>
      <c r="J2482" s="847">
        <v>140240</v>
      </c>
      <c r="K2482" s="846"/>
      <c r="L2482" s="847"/>
      <c r="M2482" s="846"/>
      <c r="N2482" s="846"/>
      <c r="O2482" s="737">
        <f t="shared" si="311"/>
        <v>0</v>
      </c>
      <c r="P2482" s="847"/>
      <c r="Q2482" s="847"/>
      <c r="R2482" s="738">
        <f t="shared" si="314"/>
        <v>0</v>
      </c>
      <c r="S2482" s="737">
        <f t="shared" si="315"/>
        <v>0</v>
      </c>
      <c r="T2482" s="739">
        <f t="shared" si="316"/>
        <v>140240</v>
      </c>
      <c r="U2482" s="846"/>
      <c r="V2482" s="847"/>
      <c r="W2482" s="846"/>
      <c r="X2482" s="846"/>
      <c r="Y2482" s="740">
        <f t="shared" si="312"/>
        <v>0</v>
      </c>
      <c r="Z2482" s="847"/>
      <c r="AA2482" s="847"/>
      <c r="AB2482" s="741">
        <f t="shared" si="313"/>
        <v>0</v>
      </c>
      <c r="AC2482" s="846"/>
      <c r="AD2482" s="847"/>
      <c r="AE2482" s="846"/>
      <c r="AF2482" s="846"/>
      <c r="AG2482" s="847"/>
      <c r="AH2482" s="847"/>
      <c r="AI2482" s="742">
        <f t="shared" si="317"/>
        <v>0</v>
      </c>
      <c r="AJ2482" s="743">
        <f t="shared" si="318"/>
        <v>140240</v>
      </c>
    </row>
    <row r="2483" spans="1:36">
      <c r="A2483" s="1410" t="s">
        <v>146</v>
      </c>
      <c r="B2483" s="1146" t="s">
        <v>264</v>
      </c>
      <c r="C2483" s="1411" t="s">
        <v>1845</v>
      </c>
      <c r="D2483" s="1132" t="s">
        <v>532</v>
      </c>
      <c r="E2483" s="1420">
        <v>217615</v>
      </c>
      <c r="F2483" s="1110">
        <v>9</v>
      </c>
      <c r="G2483" s="846">
        <v>3686643</v>
      </c>
      <c r="H2483" s="847">
        <v>3686643</v>
      </c>
      <c r="I2483" s="846"/>
      <c r="J2483" s="847"/>
      <c r="K2483" s="846">
        <v>1878420</v>
      </c>
      <c r="L2483" s="847">
        <v>1974243</v>
      </c>
      <c r="M2483" s="846">
        <v>10247441</v>
      </c>
      <c r="N2483" s="846">
        <v>39330</v>
      </c>
      <c r="O2483" s="737">
        <f t="shared" si="311"/>
        <v>10286771</v>
      </c>
      <c r="P2483" s="847">
        <v>9410671</v>
      </c>
      <c r="Q2483" s="847">
        <v>367557</v>
      </c>
      <c r="R2483" s="738">
        <f t="shared" si="314"/>
        <v>9778228</v>
      </c>
      <c r="S2483" s="737">
        <f t="shared" si="315"/>
        <v>15812504</v>
      </c>
      <c r="T2483" s="739">
        <f t="shared" si="316"/>
        <v>15071557</v>
      </c>
      <c r="U2483" s="846"/>
      <c r="V2483" s="847"/>
      <c r="W2483" s="846"/>
      <c r="X2483" s="846"/>
      <c r="Y2483" s="740">
        <f t="shared" si="312"/>
        <v>0</v>
      </c>
      <c r="Z2483" s="847"/>
      <c r="AA2483" s="847"/>
      <c r="AB2483" s="741">
        <f t="shared" si="313"/>
        <v>0</v>
      </c>
      <c r="AC2483" s="846"/>
      <c r="AD2483" s="847"/>
      <c r="AE2483" s="846"/>
      <c r="AF2483" s="846"/>
      <c r="AG2483" s="847"/>
      <c r="AH2483" s="847"/>
      <c r="AI2483" s="742">
        <f t="shared" si="317"/>
        <v>15812504</v>
      </c>
      <c r="AJ2483" s="743">
        <f t="shared" si="318"/>
        <v>15071557</v>
      </c>
    </row>
    <row r="2484" spans="1:36">
      <c r="A2484" s="1410" t="s">
        <v>146</v>
      </c>
      <c r="B2484" s="1146" t="s">
        <v>264</v>
      </c>
      <c r="C2484" s="1421" t="s">
        <v>1822</v>
      </c>
      <c r="D2484" s="1136"/>
      <c r="E2484" s="1436">
        <v>217615</v>
      </c>
      <c r="F2484" s="1110">
        <v>9</v>
      </c>
      <c r="G2484" s="846"/>
      <c r="H2484" s="847">
        <v>103427</v>
      </c>
      <c r="I2484" s="846"/>
      <c r="J2484" s="352"/>
      <c r="K2484" s="846"/>
      <c r="L2484" s="847"/>
      <c r="M2484" s="846"/>
      <c r="N2484" s="846"/>
      <c r="O2484" s="737">
        <f t="shared" si="311"/>
        <v>0</v>
      </c>
      <c r="P2484" s="847"/>
      <c r="Q2484" s="847"/>
      <c r="R2484" s="738">
        <f t="shared" si="314"/>
        <v>0</v>
      </c>
      <c r="S2484" s="737">
        <f t="shared" si="315"/>
        <v>0</v>
      </c>
      <c r="T2484" s="739">
        <f t="shared" si="316"/>
        <v>103427</v>
      </c>
      <c r="U2484" s="846"/>
      <c r="V2484" s="847"/>
      <c r="W2484" s="846"/>
      <c r="X2484" s="846"/>
      <c r="Y2484" s="740">
        <f t="shared" si="312"/>
        <v>0</v>
      </c>
      <c r="Z2484" s="847"/>
      <c r="AA2484" s="847"/>
      <c r="AB2484" s="741">
        <f t="shared" si="313"/>
        <v>0</v>
      </c>
      <c r="AC2484" s="846"/>
      <c r="AD2484" s="847"/>
      <c r="AE2484" s="846"/>
      <c r="AF2484" s="846"/>
      <c r="AG2484" s="847"/>
      <c r="AH2484" s="847"/>
      <c r="AI2484" s="742">
        <f t="shared" si="317"/>
        <v>0</v>
      </c>
      <c r="AJ2484" s="743">
        <f t="shared" si="318"/>
        <v>103427</v>
      </c>
    </row>
    <row r="2485" spans="1:36">
      <c r="A2485" s="1410" t="s">
        <v>146</v>
      </c>
      <c r="B2485" s="1146" t="s">
        <v>272</v>
      </c>
      <c r="C2485" s="1135" t="s">
        <v>842</v>
      </c>
      <c r="D2485" s="1136"/>
      <c r="E2485" s="1420">
        <v>217615</v>
      </c>
      <c r="F2485" s="1110">
        <v>9</v>
      </c>
      <c r="G2485" s="846"/>
      <c r="H2485" s="847"/>
      <c r="I2485" s="846"/>
      <c r="J2485" s="847"/>
      <c r="K2485" s="846"/>
      <c r="L2485" s="847"/>
      <c r="M2485" s="846"/>
      <c r="N2485" s="846"/>
      <c r="O2485" s="737">
        <f t="shared" si="311"/>
        <v>0</v>
      </c>
      <c r="P2485" s="847"/>
      <c r="Q2485" s="847"/>
      <c r="R2485" s="738">
        <f t="shared" si="314"/>
        <v>0</v>
      </c>
      <c r="S2485" s="737">
        <f t="shared" si="315"/>
        <v>0</v>
      </c>
      <c r="T2485" s="739">
        <f t="shared" si="316"/>
        <v>0</v>
      </c>
      <c r="U2485" s="846"/>
      <c r="V2485" s="847"/>
      <c r="W2485" s="846"/>
      <c r="X2485" s="846"/>
      <c r="Y2485" s="740">
        <f t="shared" si="312"/>
        <v>0</v>
      </c>
      <c r="Z2485" s="847"/>
      <c r="AA2485" s="847"/>
      <c r="AB2485" s="741">
        <f t="shared" si="313"/>
        <v>0</v>
      </c>
      <c r="AC2485" s="846"/>
      <c r="AD2485" s="847"/>
      <c r="AE2485" s="846"/>
      <c r="AF2485" s="846"/>
      <c r="AG2485" s="847"/>
      <c r="AH2485" s="847"/>
      <c r="AI2485" s="742">
        <f t="shared" si="317"/>
        <v>0</v>
      </c>
      <c r="AJ2485" s="743">
        <f t="shared" si="318"/>
        <v>0</v>
      </c>
    </row>
    <row r="2486" spans="1:36">
      <c r="A2486" s="1410" t="s">
        <v>146</v>
      </c>
      <c r="B2486" s="1146" t="s">
        <v>272</v>
      </c>
      <c r="C2486" s="1137" t="s">
        <v>1756</v>
      </c>
      <c r="D2486" s="1136"/>
      <c r="E2486" s="1420">
        <v>217615</v>
      </c>
      <c r="F2486" s="1110">
        <v>9</v>
      </c>
      <c r="G2486" s="846"/>
      <c r="H2486" s="847"/>
      <c r="I2486" s="846">
        <v>735</v>
      </c>
      <c r="J2486" s="847">
        <v>707</v>
      </c>
      <c r="K2486" s="846"/>
      <c r="L2486" s="847"/>
      <c r="M2486" s="846"/>
      <c r="N2486" s="846"/>
      <c r="O2486" s="737">
        <f t="shared" si="311"/>
        <v>0</v>
      </c>
      <c r="P2486" s="847"/>
      <c r="Q2486" s="847"/>
      <c r="R2486" s="738">
        <f t="shared" si="314"/>
        <v>0</v>
      </c>
      <c r="S2486" s="737">
        <f t="shared" si="315"/>
        <v>735</v>
      </c>
      <c r="T2486" s="739">
        <f t="shared" si="316"/>
        <v>707</v>
      </c>
      <c r="U2486" s="846"/>
      <c r="V2486" s="847"/>
      <c r="W2486" s="846"/>
      <c r="X2486" s="846"/>
      <c r="Y2486" s="740">
        <f t="shared" si="312"/>
        <v>0</v>
      </c>
      <c r="Z2486" s="847"/>
      <c r="AA2486" s="847"/>
      <c r="AB2486" s="741">
        <f t="shared" si="313"/>
        <v>0</v>
      </c>
      <c r="AC2486" s="846"/>
      <c r="AD2486" s="847"/>
      <c r="AE2486" s="846"/>
      <c r="AF2486" s="846"/>
      <c r="AG2486" s="847"/>
      <c r="AH2486" s="847"/>
      <c r="AI2486" s="742">
        <f t="shared" si="317"/>
        <v>735</v>
      </c>
      <c r="AJ2486" s="743">
        <f t="shared" si="318"/>
        <v>707</v>
      </c>
    </row>
    <row r="2487" spans="1:36">
      <c r="A2487" s="1410" t="s">
        <v>146</v>
      </c>
      <c r="B2487" s="1146" t="s">
        <v>272</v>
      </c>
      <c r="C2487" s="1137" t="s">
        <v>1823</v>
      </c>
      <c r="D2487" s="1136"/>
      <c r="E2487" s="1420">
        <v>217615</v>
      </c>
      <c r="F2487" s="1110">
        <v>9</v>
      </c>
      <c r="G2487" s="846"/>
      <c r="H2487" s="847"/>
      <c r="I2487" s="846">
        <v>96324</v>
      </c>
      <c r="J2487" s="847">
        <v>97161</v>
      </c>
      <c r="K2487" s="846"/>
      <c r="L2487" s="847"/>
      <c r="M2487" s="846"/>
      <c r="N2487" s="846"/>
      <c r="O2487" s="737">
        <f t="shared" si="311"/>
        <v>0</v>
      </c>
      <c r="P2487" s="847"/>
      <c r="Q2487" s="847"/>
      <c r="R2487" s="738">
        <f t="shared" si="314"/>
        <v>0</v>
      </c>
      <c r="S2487" s="737">
        <f t="shared" si="315"/>
        <v>96324</v>
      </c>
      <c r="T2487" s="739">
        <f t="shared" si="316"/>
        <v>97161</v>
      </c>
      <c r="U2487" s="846"/>
      <c r="V2487" s="847"/>
      <c r="W2487" s="846"/>
      <c r="X2487" s="846"/>
      <c r="Y2487" s="740">
        <f t="shared" si="312"/>
        <v>0</v>
      </c>
      <c r="Z2487" s="847"/>
      <c r="AA2487" s="847"/>
      <c r="AB2487" s="741">
        <f t="shared" si="313"/>
        <v>0</v>
      </c>
      <c r="AC2487" s="846"/>
      <c r="AD2487" s="847"/>
      <c r="AE2487" s="846"/>
      <c r="AF2487" s="846"/>
      <c r="AG2487" s="847"/>
      <c r="AH2487" s="847"/>
      <c r="AI2487" s="742">
        <f t="shared" si="317"/>
        <v>96324</v>
      </c>
      <c r="AJ2487" s="743">
        <f t="shared" si="318"/>
        <v>97161</v>
      </c>
    </row>
    <row r="2488" spans="1:36">
      <c r="A2488" s="1410" t="s">
        <v>146</v>
      </c>
      <c r="B2488" s="1146" t="s">
        <v>272</v>
      </c>
      <c r="C2488" s="1414" t="s">
        <v>1824</v>
      </c>
      <c r="D2488" s="1136"/>
      <c r="E2488" s="1420">
        <v>217615</v>
      </c>
      <c r="F2488" s="1110">
        <v>9</v>
      </c>
      <c r="G2488" s="846"/>
      <c r="H2488" s="847"/>
      <c r="I2488" s="846"/>
      <c r="J2488" s="847">
        <v>97092</v>
      </c>
      <c r="K2488" s="846"/>
      <c r="L2488" s="847"/>
      <c r="M2488" s="846"/>
      <c r="N2488" s="846"/>
      <c r="O2488" s="737">
        <f t="shared" si="311"/>
        <v>0</v>
      </c>
      <c r="P2488" s="847"/>
      <c r="Q2488" s="847"/>
      <c r="R2488" s="738">
        <f t="shared" si="314"/>
        <v>0</v>
      </c>
      <c r="S2488" s="737">
        <f t="shared" si="315"/>
        <v>0</v>
      </c>
      <c r="T2488" s="739">
        <f t="shared" si="316"/>
        <v>97092</v>
      </c>
      <c r="U2488" s="846"/>
      <c r="V2488" s="847"/>
      <c r="W2488" s="846"/>
      <c r="X2488" s="846"/>
      <c r="Y2488" s="740">
        <f t="shared" si="312"/>
        <v>0</v>
      </c>
      <c r="Z2488" s="847"/>
      <c r="AA2488" s="847"/>
      <c r="AB2488" s="741">
        <f t="shared" si="313"/>
        <v>0</v>
      </c>
      <c r="AC2488" s="846"/>
      <c r="AD2488" s="847"/>
      <c r="AE2488" s="846"/>
      <c r="AF2488" s="846"/>
      <c r="AG2488" s="847"/>
      <c r="AH2488" s="847"/>
      <c r="AI2488" s="742">
        <f t="shared" si="317"/>
        <v>0</v>
      </c>
      <c r="AJ2488" s="743">
        <f t="shared" si="318"/>
        <v>97092</v>
      </c>
    </row>
    <row r="2489" spans="1:36">
      <c r="A2489" s="1410" t="s">
        <v>146</v>
      </c>
      <c r="B2489" s="1146" t="s">
        <v>272</v>
      </c>
      <c r="C2489" s="1137" t="s">
        <v>1825</v>
      </c>
      <c r="D2489" s="1136"/>
      <c r="E2489" s="1420">
        <v>217615</v>
      </c>
      <c r="F2489" s="1110">
        <v>9</v>
      </c>
      <c r="G2489" s="846"/>
      <c r="H2489" s="847"/>
      <c r="I2489" s="846">
        <v>9618</v>
      </c>
      <c r="J2489" s="847">
        <v>8618</v>
      </c>
      <c r="K2489" s="846"/>
      <c r="L2489" s="847"/>
      <c r="M2489" s="846"/>
      <c r="N2489" s="846"/>
      <c r="O2489" s="737">
        <f t="shared" si="311"/>
        <v>0</v>
      </c>
      <c r="P2489" s="847"/>
      <c r="Q2489" s="847"/>
      <c r="R2489" s="738">
        <f t="shared" si="314"/>
        <v>0</v>
      </c>
      <c r="S2489" s="737">
        <f t="shared" si="315"/>
        <v>9618</v>
      </c>
      <c r="T2489" s="739">
        <f t="shared" si="316"/>
        <v>8618</v>
      </c>
      <c r="U2489" s="846"/>
      <c r="V2489" s="847"/>
      <c r="W2489" s="846"/>
      <c r="X2489" s="846"/>
      <c r="Y2489" s="740">
        <f t="shared" si="312"/>
        <v>0</v>
      </c>
      <c r="Z2489" s="847"/>
      <c r="AA2489" s="847"/>
      <c r="AB2489" s="741">
        <f t="shared" si="313"/>
        <v>0</v>
      </c>
      <c r="AC2489" s="846"/>
      <c r="AD2489" s="847"/>
      <c r="AE2489" s="846"/>
      <c r="AF2489" s="846"/>
      <c r="AG2489" s="847"/>
      <c r="AH2489" s="847"/>
      <c r="AI2489" s="742">
        <f t="shared" si="317"/>
        <v>9618</v>
      </c>
      <c r="AJ2489" s="743">
        <f t="shared" si="318"/>
        <v>8618</v>
      </c>
    </row>
    <row r="2490" spans="1:36">
      <c r="A2490" s="1410" t="s">
        <v>146</v>
      </c>
      <c r="B2490" s="1146" t="s">
        <v>272</v>
      </c>
      <c r="C2490" s="1137" t="s">
        <v>1826</v>
      </c>
      <c r="D2490" s="1136"/>
      <c r="E2490" s="1420">
        <v>217615</v>
      </c>
      <c r="F2490" s="1110">
        <v>9</v>
      </c>
      <c r="G2490" s="846"/>
      <c r="H2490" s="847"/>
      <c r="I2490" s="846"/>
      <c r="J2490" s="847"/>
      <c r="K2490" s="846"/>
      <c r="L2490" s="847"/>
      <c r="M2490" s="846"/>
      <c r="N2490" s="846"/>
      <c r="O2490" s="737">
        <f t="shared" si="311"/>
        <v>0</v>
      </c>
      <c r="P2490" s="847"/>
      <c r="Q2490" s="847"/>
      <c r="R2490" s="738">
        <f t="shared" si="314"/>
        <v>0</v>
      </c>
      <c r="S2490" s="737">
        <f t="shared" si="315"/>
        <v>0</v>
      </c>
      <c r="T2490" s="739">
        <f t="shared" si="316"/>
        <v>0</v>
      </c>
      <c r="U2490" s="846"/>
      <c r="V2490" s="847"/>
      <c r="W2490" s="846"/>
      <c r="X2490" s="846"/>
      <c r="Y2490" s="740">
        <f t="shared" si="312"/>
        <v>0</v>
      </c>
      <c r="Z2490" s="847"/>
      <c r="AA2490" s="847"/>
      <c r="AB2490" s="741">
        <f t="shared" si="313"/>
        <v>0</v>
      </c>
      <c r="AC2490" s="846"/>
      <c r="AD2490" s="847"/>
      <c r="AE2490" s="846"/>
      <c r="AF2490" s="846"/>
      <c r="AG2490" s="847"/>
      <c r="AH2490" s="847"/>
      <c r="AI2490" s="742">
        <f t="shared" si="317"/>
        <v>0</v>
      </c>
      <c r="AJ2490" s="743">
        <f t="shared" si="318"/>
        <v>0</v>
      </c>
    </row>
    <row r="2491" spans="1:36">
      <c r="A2491" s="1410" t="s">
        <v>146</v>
      </c>
      <c r="B2491" s="1146" t="s">
        <v>272</v>
      </c>
      <c r="C2491" s="1137" t="s">
        <v>1834</v>
      </c>
      <c r="D2491" s="1136"/>
      <c r="E2491" s="1420">
        <v>217615</v>
      </c>
      <c r="F2491" s="1110">
        <v>9</v>
      </c>
      <c r="G2491" s="846"/>
      <c r="H2491" s="847"/>
      <c r="I2491" s="846"/>
      <c r="J2491" s="847"/>
      <c r="K2491" s="846"/>
      <c r="L2491" s="847"/>
      <c r="M2491" s="846"/>
      <c r="N2491" s="846"/>
      <c r="O2491" s="737">
        <f t="shared" si="311"/>
        <v>0</v>
      </c>
      <c r="P2491" s="847"/>
      <c r="Q2491" s="847"/>
      <c r="R2491" s="738">
        <f t="shared" si="314"/>
        <v>0</v>
      </c>
      <c r="S2491" s="737">
        <f t="shared" si="315"/>
        <v>0</v>
      </c>
      <c r="T2491" s="739">
        <f t="shared" si="316"/>
        <v>0</v>
      </c>
      <c r="U2491" s="846"/>
      <c r="V2491" s="847"/>
      <c r="W2491" s="846"/>
      <c r="X2491" s="846"/>
      <c r="Y2491" s="740">
        <f t="shared" si="312"/>
        <v>0</v>
      </c>
      <c r="Z2491" s="847"/>
      <c r="AA2491" s="847"/>
      <c r="AB2491" s="741">
        <f t="shared" si="313"/>
        <v>0</v>
      </c>
      <c r="AC2491" s="846"/>
      <c r="AD2491" s="847"/>
      <c r="AE2491" s="846"/>
      <c r="AF2491" s="846"/>
      <c r="AG2491" s="847"/>
      <c r="AH2491" s="847"/>
      <c r="AI2491" s="742">
        <f t="shared" si="317"/>
        <v>0</v>
      </c>
      <c r="AJ2491" s="743">
        <f t="shared" si="318"/>
        <v>0</v>
      </c>
    </row>
    <row r="2492" spans="1:36">
      <c r="A2492" s="1410" t="s">
        <v>146</v>
      </c>
      <c r="B2492" s="1146" t="s">
        <v>272</v>
      </c>
      <c r="C2492" s="1137" t="s">
        <v>1829</v>
      </c>
      <c r="D2492" s="1136"/>
      <c r="E2492" s="1420">
        <v>217615</v>
      </c>
      <c r="F2492" s="1110">
        <v>9</v>
      </c>
      <c r="G2492" s="846"/>
      <c r="H2492" s="847"/>
      <c r="I2492" s="846">
        <v>37784</v>
      </c>
      <c r="J2492" s="847">
        <v>37784</v>
      </c>
      <c r="K2492" s="846"/>
      <c r="L2492" s="847"/>
      <c r="M2492" s="846"/>
      <c r="N2492" s="846"/>
      <c r="O2492" s="737">
        <f t="shared" si="311"/>
        <v>0</v>
      </c>
      <c r="P2492" s="847"/>
      <c r="Q2492" s="847"/>
      <c r="R2492" s="738">
        <f t="shared" si="314"/>
        <v>0</v>
      </c>
      <c r="S2492" s="737">
        <f t="shared" si="315"/>
        <v>37784</v>
      </c>
      <c r="T2492" s="739">
        <f t="shared" si="316"/>
        <v>37784</v>
      </c>
      <c r="U2492" s="846"/>
      <c r="V2492" s="847"/>
      <c r="W2492" s="846"/>
      <c r="X2492" s="846"/>
      <c r="Y2492" s="740">
        <f t="shared" si="312"/>
        <v>0</v>
      </c>
      <c r="Z2492" s="847"/>
      <c r="AA2492" s="847"/>
      <c r="AB2492" s="741">
        <f t="shared" si="313"/>
        <v>0</v>
      </c>
      <c r="AC2492" s="846"/>
      <c r="AD2492" s="847"/>
      <c r="AE2492" s="846"/>
      <c r="AF2492" s="846"/>
      <c r="AG2492" s="847"/>
      <c r="AH2492" s="847"/>
      <c r="AI2492" s="742">
        <f t="shared" si="317"/>
        <v>37784</v>
      </c>
      <c r="AJ2492" s="743">
        <f t="shared" si="318"/>
        <v>37784</v>
      </c>
    </row>
    <row r="2493" spans="1:36">
      <c r="A2493" s="1410" t="s">
        <v>146</v>
      </c>
      <c r="B2493" s="1146" t="s">
        <v>272</v>
      </c>
      <c r="C2493" s="1137" t="s">
        <v>1777</v>
      </c>
      <c r="D2493" s="1136"/>
      <c r="E2493" s="1420">
        <v>217615</v>
      </c>
      <c r="F2493" s="1110">
        <v>9</v>
      </c>
      <c r="G2493" s="846"/>
      <c r="H2493" s="847"/>
      <c r="I2493" s="846">
        <v>141878</v>
      </c>
      <c r="J2493" s="847">
        <v>129366</v>
      </c>
      <c r="K2493" s="846"/>
      <c r="L2493" s="847"/>
      <c r="M2493" s="846"/>
      <c r="N2493" s="846"/>
      <c r="O2493" s="737">
        <f t="shared" si="311"/>
        <v>0</v>
      </c>
      <c r="P2493" s="847"/>
      <c r="Q2493" s="847"/>
      <c r="R2493" s="738">
        <f t="shared" si="314"/>
        <v>0</v>
      </c>
      <c r="S2493" s="737">
        <f t="shared" si="315"/>
        <v>141878</v>
      </c>
      <c r="T2493" s="739">
        <f t="shared" si="316"/>
        <v>129366</v>
      </c>
      <c r="U2493" s="846"/>
      <c r="V2493" s="847"/>
      <c r="W2493" s="846"/>
      <c r="X2493" s="846"/>
      <c r="Y2493" s="740">
        <f t="shared" si="312"/>
        <v>0</v>
      </c>
      <c r="Z2493" s="847"/>
      <c r="AA2493" s="847"/>
      <c r="AB2493" s="741">
        <f t="shared" si="313"/>
        <v>0</v>
      </c>
      <c r="AC2493" s="846"/>
      <c r="AD2493" s="847"/>
      <c r="AE2493" s="846"/>
      <c r="AF2493" s="846"/>
      <c r="AG2493" s="847"/>
      <c r="AH2493" s="847"/>
      <c r="AI2493" s="742">
        <f t="shared" si="317"/>
        <v>141878</v>
      </c>
      <c r="AJ2493" s="743">
        <f t="shared" si="318"/>
        <v>129366</v>
      </c>
    </row>
    <row r="2494" spans="1:36">
      <c r="A2494" s="1410" t="s">
        <v>146</v>
      </c>
      <c r="B2494" s="1146" t="s">
        <v>272</v>
      </c>
      <c r="C2494" s="1414" t="s">
        <v>1831</v>
      </c>
      <c r="D2494" s="1136"/>
      <c r="E2494" s="1420">
        <v>217615</v>
      </c>
      <c r="F2494" s="1110">
        <v>9</v>
      </c>
      <c r="G2494" s="846"/>
      <c r="H2494" s="847"/>
      <c r="I2494" s="846"/>
      <c r="J2494" s="847">
        <v>36487</v>
      </c>
      <c r="K2494" s="846"/>
      <c r="L2494" s="847"/>
      <c r="M2494" s="846"/>
      <c r="N2494" s="846"/>
      <c r="O2494" s="737">
        <f t="shared" si="311"/>
        <v>0</v>
      </c>
      <c r="P2494" s="847"/>
      <c r="Q2494" s="847"/>
      <c r="R2494" s="738">
        <f t="shared" si="314"/>
        <v>0</v>
      </c>
      <c r="S2494" s="737">
        <f t="shared" si="315"/>
        <v>0</v>
      </c>
      <c r="T2494" s="739">
        <f t="shared" si="316"/>
        <v>36487</v>
      </c>
      <c r="U2494" s="846"/>
      <c r="V2494" s="847"/>
      <c r="W2494" s="846"/>
      <c r="X2494" s="846"/>
      <c r="Y2494" s="740">
        <f t="shared" si="312"/>
        <v>0</v>
      </c>
      <c r="Z2494" s="847"/>
      <c r="AA2494" s="847"/>
      <c r="AB2494" s="741">
        <f t="shared" si="313"/>
        <v>0</v>
      </c>
      <c r="AC2494" s="846"/>
      <c r="AD2494" s="847"/>
      <c r="AE2494" s="846"/>
      <c r="AF2494" s="846"/>
      <c r="AG2494" s="847"/>
      <c r="AH2494" s="847"/>
      <c r="AI2494" s="742">
        <f t="shared" si="317"/>
        <v>0</v>
      </c>
      <c r="AJ2494" s="743">
        <f t="shared" si="318"/>
        <v>36487</v>
      </c>
    </row>
    <row r="2495" spans="1:36">
      <c r="A2495" s="1410" t="s">
        <v>146</v>
      </c>
      <c r="B2495" s="1146" t="s">
        <v>272</v>
      </c>
      <c r="C2495" s="1414" t="s">
        <v>1846</v>
      </c>
      <c r="D2495" s="1136"/>
      <c r="E2495" s="1420">
        <v>217615</v>
      </c>
      <c r="F2495" s="1110">
        <v>9</v>
      </c>
      <c r="G2495" s="846"/>
      <c r="H2495" s="847"/>
      <c r="I2495" s="846"/>
      <c r="J2495" s="847">
        <v>608500</v>
      </c>
      <c r="K2495" s="846"/>
      <c r="L2495" s="847"/>
      <c r="M2495" s="846"/>
      <c r="N2495" s="846"/>
      <c r="O2495" s="737">
        <f t="shared" si="311"/>
        <v>0</v>
      </c>
      <c r="P2495" s="847"/>
      <c r="Q2495" s="847"/>
      <c r="R2495" s="738">
        <f t="shared" si="314"/>
        <v>0</v>
      </c>
      <c r="S2495" s="737">
        <f t="shared" si="315"/>
        <v>0</v>
      </c>
      <c r="T2495" s="739">
        <f t="shared" si="316"/>
        <v>608500</v>
      </c>
      <c r="U2495" s="846"/>
      <c r="V2495" s="847"/>
      <c r="W2495" s="846"/>
      <c r="X2495" s="846"/>
      <c r="Y2495" s="740">
        <f t="shared" si="312"/>
        <v>0</v>
      </c>
      <c r="Z2495" s="847"/>
      <c r="AA2495" s="847"/>
      <c r="AB2495" s="741">
        <f t="shared" si="313"/>
        <v>0</v>
      </c>
      <c r="AC2495" s="846"/>
      <c r="AD2495" s="847"/>
      <c r="AE2495" s="846"/>
      <c r="AF2495" s="846"/>
      <c r="AG2495" s="847"/>
      <c r="AH2495" s="847"/>
      <c r="AI2495" s="742">
        <f t="shared" si="317"/>
        <v>0</v>
      </c>
      <c r="AJ2495" s="743">
        <f t="shared" si="318"/>
        <v>608500</v>
      </c>
    </row>
    <row r="2496" spans="1:36">
      <c r="A2496" s="1410" t="s">
        <v>146</v>
      </c>
      <c r="B2496" s="1146" t="s">
        <v>264</v>
      </c>
      <c r="C2496" s="1411" t="s">
        <v>1847</v>
      </c>
      <c r="D2496" s="1136"/>
      <c r="E2496" s="1420">
        <v>218858</v>
      </c>
      <c r="F2496" s="1110">
        <v>9</v>
      </c>
      <c r="G2496" s="846">
        <v>3911593</v>
      </c>
      <c r="H2496" s="847">
        <v>3911593</v>
      </c>
      <c r="I2496" s="846"/>
      <c r="J2496" s="847"/>
      <c r="K2496" s="846">
        <v>2218907</v>
      </c>
      <c r="L2496" s="847">
        <v>2154563</v>
      </c>
      <c r="M2496" s="846">
        <v>13228929</v>
      </c>
      <c r="N2496" s="846">
        <v>402550</v>
      </c>
      <c r="O2496" s="737">
        <f t="shared" si="311"/>
        <v>13631479</v>
      </c>
      <c r="P2496" s="847">
        <v>12602732</v>
      </c>
      <c r="Q2496" s="847">
        <v>396618</v>
      </c>
      <c r="R2496" s="738">
        <f t="shared" si="314"/>
        <v>12999350</v>
      </c>
      <c r="S2496" s="737">
        <f t="shared" si="315"/>
        <v>19359429</v>
      </c>
      <c r="T2496" s="739">
        <f t="shared" si="316"/>
        <v>18668888</v>
      </c>
      <c r="U2496" s="846"/>
      <c r="V2496" s="847"/>
      <c r="W2496" s="846"/>
      <c r="X2496" s="846"/>
      <c r="Y2496" s="740">
        <f t="shared" si="312"/>
        <v>0</v>
      </c>
      <c r="Z2496" s="847"/>
      <c r="AA2496" s="847"/>
      <c r="AB2496" s="741">
        <f t="shared" si="313"/>
        <v>0</v>
      </c>
      <c r="AC2496" s="846"/>
      <c r="AD2496" s="847"/>
      <c r="AE2496" s="846"/>
      <c r="AF2496" s="846"/>
      <c r="AG2496" s="847"/>
      <c r="AH2496" s="847"/>
      <c r="AI2496" s="742">
        <f t="shared" si="317"/>
        <v>19359429</v>
      </c>
      <c r="AJ2496" s="743">
        <f t="shared" si="318"/>
        <v>18668888</v>
      </c>
    </row>
    <row r="2497" spans="1:36">
      <c r="A2497" s="1410" t="s">
        <v>146</v>
      </c>
      <c r="B2497" s="1146" t="s">
        <v>264</v>
      </c>
      <c r="C2497" s="1421" t="s">
        <v>1822</v>
      </c>
      <c r="D2497" s="1136"/>
      <c r="E2497" s="1436">
        <v>218858</v>
      </c>
      <c r="F2497" s="1422">
        <v>8</v>
      </c>
      <c r="G2497" s="846"/>
      <c r="H2497" s="847">
        <v>109738</v>
      </c>
      <c r="I2497" s="846"/>
      <c r="J2497" s="352"/>
      <c r="K2497" s="846"/>
      <c r="L2497" s="847"/>
      <c r="M2497" s="846"/>
      <c r="N2497" s="846"/>
      <c r="O2497" s="737">
        <f t="shared" si="311"/>
        <v>0</v>
      </c>
      <c r="P2497" s="847"/>
      <c r="Q2497" s="847"/>
      <c r="R2497" s="738">
        <f t="shared" si="314"/>
        <v>0</v>
      </c>
      <c r="S2497" s="737">
        <f t="shared" si="315"/>
        <v>0</v>
      </c>
      <c r="T2497" s="739">
        <f t="shared" si="316"/>
        <v>109738</v>
      </c>
      <c r="U2497" s="846"/>
      <c r="V2497" s="847"/>
      <c r="W2497" s="846"/>
      <c r="X2497" s="846"/>
      <c r="Y2497" s="740">
        <f t="shared" si="312"/>
        <v>0</v>
      </c>
      <c r="Z2497" s="847"/>
      <c r="AA2497" s="847"/>
      <c r="AB2497" s="741">
        <f t="shared" si="313"/>
        <v>0</v>
      </c>
      <c r="AC2497" s="846"/>
      <c r="AD2497" s="847"/>
      <c r="AE2497" s="846"/>
      <c r="AF2497" s="846"/>
      <c r="AG2497" s="847"/>
      <c r="AH2497" s="847"/>
      <c r="AI2497" s="742">
        <f t="shared" si="317"/>
        <v>0</v>
      </c>
      <c r="AJ2497" s="743">
        <f t="shared" si="318"/>
        <v>109738</v>
      </c>
    </row>
    <row r="2498" spans="1:36">
      <c r="A2498" s="1410" t="s">
        <v>146</v>
      </c>
      <c r="B2498" s="1146" t="s">
        <v>272</v>
      </c>
      <c r="C2498" s="1135" t="s">
        <v>842</v>
      </c>
      <c r="D2498" s="1136"/>
      <c r="E2498" s="1420">
        <v>218858</v>
      </c>
      <c r="F2498" s="1110">
        <v>9</v>
      </c>
      <c r="G2498" s="846"/>
      <c r="H2498" s="847"/>
      <c r="I2498" s="846"/>
      <c r="J2498" s="847"/>
      <c r="K2498" s="846"/>
      <c r="L2498" s="847"/>
      <c r="M2498" s="846"/>
      <c r="N2498" s="846"/>
      <c r="O2498" s="737">
        <f t="shared" si="311"/>
        <v>0</v>
      </c>
      <c r="P2498" s="847"/>
      <c r="Q2498" s="847"/>
      <c r="R2498" s="738">
        <f t="shared" si="314"/>
        <v>0</v>
      </c>
      <c r="S2498" s="737">
        <f t="shared" si="315"/>
        <v>0</v>
      </c>
      <c r="T2498" s="739">
        <f t="shared" si="316"/>
        <v>0</v>
      </c>
      <c r="U2498" s="846"/>
      <c r="V2498" s="847"/>
      <c r="W2498" s="846"/>
      <c r="X2498" s="846"/>
      <c r="Y2498" s="740">
        <f t="shared" si="312"/>
        <v>0</v>
      </c>
      <c r="Z2498" s="847"/>
      <c r="AA2498" s="847"/>
      <c r="AB2498" s="741">
        <f t="shared" si="313"/>
        <v>0</v>
      </c>
      <c r="AC2498" s="846"/>
      <c r="AD2498" s="847"/>
      <c r="AE2498" s="846"/>
      <c r="AF2498" s="846"/>
      <c r="AG2498" s="847"/>
      <c r="AH2498" s="847"/>
      <c r="AI2498" s="742">
        <f t="shared" si="317"/>
        <v>0</v>
      </c>
      <c r="AJ2498" s="743">
        <f t="shared" si="318"/>
        <v>0</v>
      </c>
    </row>
    <row r="2499" spans="1:36">
      <c r="A2499" s="1410" t="s">
        <v>146</v>
      </c>
      <c r="B2499" s="1146" t="s">
        <v>272</v>
      </c>
      <c r="C2499" s="1137" t="s">
        <v>1756</v>
      </c>
      <c r="D2499" s="1136"/>
      <c r="E2499" s="1420">
        <v>218858</v>
      </c>
      <c r="F2499" s="1110">
        <v>9</v>
      </c>
      <c r="G2499" s="846"/>
      <c r="H2499" s="847"/>
      <c r="I2499" s="846">
        <v>53</v>
      </c>
      <c r="J2499" s="847">
        <v>29</v>
      </c>
      <c r="K2499" s="846"/>
      <c r="L2499" s="847"/>
      <c r="M2499" s="846"/>
      <c r="N2499" s="846"/>
      <c r="O2499" s="737">
        <f t="shared" si="311"/>
        <v>0</v>
      </c>
      <c r="P2499" s="847"/>
      <c r="Q2499" s="847"/>
      <c r="R2499" s="738">
        <f t="shared" si="314"/>
        <v>0</v>
      </c>
      <c r="S2499" s="737">
        <f t="shared" si="315"/>
        <v>53</v>
      </c>
      <c r="T2499" s="739">
        <f t="shared" si="316"/>
        <v>29</v>
      </c>
      <c r="U2499" s="846"/>
      <c r="V2499" s="847"/>
      <c r="W2499" s="846"/>
      <c r="X2499" s="846"/>
      <c r="Y2499" s="740">
        <f t="shared" si="312"/>
        <v>0</v>
      </c>
      <c r="Z2499" s="847"/>
      <c r="AA2499" s="847"/>
      <c r="AB2499" s="741">
        <f t="shared" si="313"/>
        <v>0</v>
      </c>
      <c r="AC2499" s="846"/>
      <c r="AD2499" s="847"/>
      <c r="AE2499" s="846"/>
      <c r="AF2499" s="846"/>
      <c r="AG2499" s="847"/>
      <c r="AH2499" s="847"/>
      <c r="AI2499" s="742">
        <f t="shared" si="317"/>
        <v>53</v>
      </c>
      <c r="AJ2499" s="743">
        <f t="shared" si="318"/>
        <v>29</v>
      </c>
    </row>
    <row r="2500" spans="1:36">
      <c r="A2500" s="1410" t="s">
        <v>146</v>
      </c>
      <c r="B2500" s="1146" t="s">
        <v>272</v>
      </c>
      <c r="C2500" s="1137" t="s">
        <v>1823</v>
      </c>
      <c r="D2500" s="1136"/>
      <c r="E2500" s="1420">
        <v>218858</v>
      </c>
      <c r="F2500" s="1110">
        <v>9</v>
      </c>
      <c r="G2500" s="846"/>
      <c r="H2500" s="847"/>
      <c r="I2500" s="846">
        <v>88256</v>
      </c>
      <c r="J2500" s="847">
        <v>102801</v>
      </c>
      <c r="K2500" s="846"/>
      <c r="L2500" s="847"/>
      <c r="M2500" s="846"/>
      <c r="N2500" s="846"/>
      <c r="O2500" s="737">
        <f t="shared" si="311"/>
        <v>0</v>
      </c>
      <c r="P2500" s="847"/>
      <c r="Q2500" s="847"/>
      <c r="R2500" s="738">
        <f t="shared" si="314"/>
        <v>0</v>
      </c>
      <c r="S2500" s="737">
        <f t="shared" si="315"/>
        <v>88256</v>
      </c>
      <c r="T2500" s="739">
        <f t="shared" si="316"/>
        <v>102801</v>
      </c>
      <c r="U2500" s="846"/>
      <c r="V2500" s="847"/>
      <c r="W2500" s="846"/>
      <c r="X2500" s="846"/>
      <c r="Y2500" s="740">
        <f t="shared" si="312"/>
        <v>0</v>
      </c>
      <c r="Z2500" s="847"/>
      <c r="AA2500" s="847"/>
      <c r="AB2500" s="741">
        <f t="shared" si="313"/>
        <v>0</v>
      </c>
      <c r="AC2500" s="846"/>
      <c r="AD2500" s="847"/>
      <c r="AE2500" s="846"/>
      <c r="AF2500" s="846"/>
      <c r="AG2500" s="847"/>
      <c r="AH2500" s="847"/>
      <c r="AI2500" s="742">
        <f t="shared" si="317"/>
        <v>88256</v>
      </c>
      <c r="AJ2500" s="743">
        <f t="shared" si="318"/>
        <v>102801</v>
      </c>
    </row>
    <row r="2501" spans="1:36">
      <c r="A2501" s="1410" t="s">
        <v>146</v>
      </c>
      <c r="B2501" s="1146" t="s">
        <v>272</v>
      </c>
      <c r="C2501" s="1414" t="s">
        <v>1824</v>
      </c>
      <c r="D2501" s="1136"/>
      <c r="E2501" s="1420">
        <v>218858</v>
      </c>
      <c r="F2501" s="1110">
        <v>9</v>
      </c>
      <c r="G2501" s="846"/>
      <c r="H2501" s="847"/>
      <c r="I2501" s="846"/>
      <c r="J2501" s="847">
        <v>1074089</v>
      </c>
      <c r="K2501" s="846"/>
      <c r="L2501" s="847"/>
      <c r="M2501" s="846"/>
      <c r="N2501" s="846"/>
      <c r="O2501" s="737">
        <f t="shared" si="311"/>
        <v>0</v>
      </c>
      <c r="P2501" s="847"/>
      <c r="Q2501" s="847"/>
      <c r="R2501" s="738">
        <f t="shared" si="314"/>
        <v>0</v>
      </c>
      <c r="S2501" s="737">
        <f t="shared" si="315"/>
        <v>0</v>
      </c>
      <c r="T2501" s="739">
        <f t="shared" si="316"/>
        <v>1074089</v>
      </c>
      <c r="U2501" s="846"/>
      <c r="V2501" s="847"/>
      <c r="W2501" s="846"/>
      <c r="X2501" s="846"/>
      <c r="Y2501" s="740">
        <f t="shared" si="312"/>
        <v>0</v>
      </c>
      <c r="Z2501" s="847"/>
      <c r="AA2501" s="847"/>
      <c r="AB2501" s="741">
        <f t="shared" si="313"/>
        <v>0</v>
      </c>
      <c r="AC2501" s="846"/>
      <c r="AD2501" s="847"/>
      <c r="AE2501" s="846"/>
      <c r="AF2501" s="846"/>
      <c r="AG2501" s="847"/>
      <c r="AH2501" s="847"/>
      <c r="AI2501" s="742">
        <f t="shared" si="317"/>
        <v>0</v>
      </c>
      <c r="AJ2501" s="743">
        <f t="shared" si="318"/>
        <v>1074089</v>
      </c>
    </row>
    <row r="2502" spans="1:36">
      <c r="A2502" s="1410" t="s">
        <v>146</v>
      </c>
      <c r="B2502" s="1146" t="s">
        <v>272</v>
      </c>
      <c r="C2502" s="1137" t="s">
        <v>1825</v>
      </c>
      <c r="D2502" s="1136"/>
      <c r="E2502" s="1420">
        <v>218858</v>
      </c>
      <c r="F2502" s="1110">
        <v>9</v>
      </c>
      <c r="G2502" s="846"/>
      <c r="H2502" s="847"/>
      <c r="I2502" s="846">
        <v>18794</v>
      </c>
      <c r="J2502" s="847">
        <v>18794</v>
      </c>
      <c r="K2502" s="846"/>
      <c r="L2502" s="847"/>
      <c r="M2502" s="846"/>
      <c r="N2502" s="846"/>
      <c r="O2502" s="737">
        <f t="shared" si="311"/>
        <v>0</v>
      </c>
      <c r="P2502" s="847"/>
      <c r="Q2502" s="847"/>
      <c r="R2502" s="738">
        <f t="shared" si="314"/>
        <v>0</v>
      </c>
      <c r="S2502" s="737">
        <f t="shared" si="315"/>
        <v>18794</v>
      </c>
      <c r="T2502" s="739">
        <f t="shared" si="316"/>
        <v>18794</v>
      </c>
      <c r="U2502" s="846"/>
      <c r="V2502" s="847"/>
      <c r="W2502" s="846"/>
      <c r="X2502" s="846"/>
      <c r="Y2502" s="740">
        <f t="shared" si="312"/>
        <v>0</v>
      </c>
      <c r="Z2502" s="847"/>
      <c r="AA2502" s="847"/>
      <c r="AB2502" s="741">
        <f t="shared" si="313"/>
        <v>0</v>
      </c>
      <c r="AC2502" s="846"/>
      <c r="AD2502" s="847"/>
      <c r="AE2502" s="846"/>
      <c r="AF2502" s="846"/>
      <c r="AG2502" s="847"/>
      <c r="AH2502" s="847"/>
      <c r="AI2502" s="742">
        <f t="shared" si="317"/>
        <v>18794</v>
      </c>
      <c r="AJ2502" s="743">
        <f t="shared" si="318"/>
        <v>18794</v>
      </c>
    </row>
    <row r="2503" spans="1:36">
      <c r="A2503" s="1410" t="s">
        <v>146</v>
      </c>
      <c r="B2503" s="1146" t="s">
        <v>272</v>
      </c>
      <c r="C2503" s="1137" t="s">
        <v>1826</v>
      </c>
      <c r="D2503" s="1136"/>
      <c r="E2503" s="1420">
        <v>218858</v>
      </c>
      <c r="F2503" s="1110">
        <v>9</v>
      </c>
      <c r="G2503" s="846"/>
      <c r="H2503" s="847"/>
      <c r="I2503" s="846"/>
      <c r="J2503" s="847"/>
      <c r="K2503" s="846"/>
      <c r="L2503" s="847"/>
      <c r="M2503" s="846"/>
      <c r="N2503" s="846"/>
      <c r="O2503" s="737">
        <f t="shared" si="311"/>
        <v>0</v>
      </c>
      <c r="P2503" s="847"/>
      <c r="Q2503" s="847"/>
      <c r="R2503" s="738">
        <f t="shared" si="314"/>
        <v>0</v>
      </c>
      <c r="S2503" s="737">
        <f t="shared" si="315"/>
        <v>0</v>
      </c>
      <c r="T2503" s="739">
        <f t="shared" si="316"/>
        <v>0</v>
      </c>
      <c r="U2503" s="846"/>
      <c r="V2503" s="847"/>
      <c r="W2503" s="846"/>
      <c r="X2503" s="846"/>
      <c r="Y2503" s="740">
        <f t="shared" si="312"/>
        <v>0</v>
      </c>
      <c r="Z2503" s="847"/>
      <c r="AA2503" s="847"/>
      <c r="AB2503" s="741">
        <f t="shared" si="313"/>
        <v>0</v>
      </c>
      <c r="AC2503" s="846"/>
      <c r="AD2503" s="847"/>
      <c r="AE2503" s="846"/>
      <c r="AF2503" s="846"/>
      <c r="AG2503" s="847"/>
      <c r="AH2503" s="847"/>
      <c r="AI2503" s="742">
        <f t="shared" si="317"/>
        <v>0</v>
      </c>
      <c r="AJ2503" s="743">
        <f t="shared" si="318"/>
        <v>0</v>
      </c>
    </row>
    <row r="2504" spans="1:36">
      <c r="A2504" s="1410" t="s">
        <v>146</v>
      </c>
      <c r="B2504" s="1146" t="s">
        <v>272</v>
      </c>
      <c r="C2504" s="1137" t="s">
        <v>1834</v>
      </c>
      <c r="D2504" s="1136"/>
      <c r="E2504" s="1420">
        <v>218858</v>
      </c>
      <c r="F2504" s="1110">
        <v>9</v>
      </c>
      <c r="G2504" s="846"/>
      <c r="H2504" s="847"/>
      <c r="I2504" s="846"/>
      <c r="J2504" s="847"/>
      <c r="K2504" s="846"/>
      <c r="L2504" s="847"/>
      <c r="M2504" s="846"/>
      <c r="N2504" s="846"/>
      <c r="O2504" s="737">
        <f t="shared" si="311"/>
        <v>0</v>
      </c>
      <c r="P2504" s="847"/>
      <c r="Q2504" s="847"/>
      <c r="R2504" s="738">
        <f t="shared" si="314"/>
        <v>0</v>
      </c>
      <c r="S2504" s="737">
        <f t="shared" si="315"/>
        <v>0</v>
      </c>
      <c r="T2504" s="739">
        <f t="shared" si="316"/>
        <v>0</v>
      </c>
      <c r="U2504" s="846"/>
      <c r="V2504" s="847"/>
      <c r="W2504" s="846"/>
      <c r="X2504" s="846"/>
      <c r="Y2504" s="740">
        <f t="shared" si="312"/>
        <v>0</v>
      </c>
      <c r="Z2504" s="847"/>
      <c r="AA2504" s="847"/>
      <c r="AB2504" s="741">
        <f t="shared" si="313"/>
        <v>0</v>
      </c>
      <c r="AC2504" s="846"/>
      <c r="AD2504" s="847"/>
      <c r="AE2504" s="846"/>
      <c r="AF2504" s="846"/>
      <c r="AG2504" s="847"/>
      <c r="AH2504" s="847"/>
      <c r="AI2504" s="742">
        <f t="shared" si="317"/>
        <v>0</v>
      </c>
      <c r="AJ2504" s="743">
        <f t="shared" si="318"/>
        <v>0</v>
      </c>
    </row>
    <row r="2505" spans="1:36">
      <c r="A2505" s="1410" t="s">
        <v>146</v>
      </c>
      <c r="B2505" s="1146" t="s">
        <v>272</v>
      </c>
      <c r="C2505" s="1137" t="s">
        <v>1829</v>
      </c>
      <c r="D2505" s="1136"/>
      <c r="E2505" s="1420">
        <v>218858</v>
      </c>
      <c r="F2505" s="1110">
        <v>9</v>
      </c>
      <c r="G2505" s="846"/>
      <c r="H2505" s="847"/>
      <c r="I2505" s="846">
        <v>37784</v>
      </c>
      <c r="J2505" s="847">
        <v>37784</v>
      </c>
      <c r="K2505" s="846"/>
      <c r="L2505" s="847"/>
      <c r="M2505" s="846"/>
      <c r="N2505" s="846"/>
      <c r="O2505" s="737">
        <f t="shared" si="311"/>
        <v>0</v>
      </c>
      <c r="P2505" s="847"/>
      <c r="Q2505" s="847"/>
      <c r="R2505" s="738">
        <f t="shared" si="314"/>
        <v>0</v>
      </c>
      <c r="S2505" s="737">
        <f t="shared" si="315"/>
        <v>37784</v>
      </c>
      <c r="T2505" s="739">
        <f t="shared" si="316"/>
        <v>37784</v>
      </c>
      <c r="U2505" s="846"/>
      <c r="V2505" s="847"/>
      <c r="W2505" s="846"/>
      <c r="X2505" s="846"/>
      <c r="Y2505" s="740">
        <f t="shared" si="312"/>
        <v>0</v>
      </c>
      <c r="Z2505" s="847"/>
      <c r="AA2505" s="847"/>
      <c r="AB2505" s="741">
        <f t="shared" si="313"/>
        <v>0</v>
      </c>
      <c r="AC2505" s="846"/>
      <c r="AD2505" s="847"/>
      <c r="AE2505" s="846"/>
      <c r="AF2505" s="846"/>
      <c r="AG2505" s="847"/>
      <c r="AH2505" s="847"/>
      <c r="AI2505" s="742">
        <f t="shared" si="317"/>
        <v>37784</v>
      </c>
      <c r="AJ2505" s="743">
        <f t="shared" si="318"/>
        <v>37784</v>
      </c>
    </row>
    <row r="2506" spans="1:36">
      <c r="A2506" s="1410" t="s">
        <v>146</v>
      </c>
      <c r="B2506" s="1146" t="s">
        <v>272</v>
      </c>
      <c r="C2506" s="1137" t="s">
        <v>1777</v>
      </c>
      <c r="D2506" s="1136"/>
      <c r="E2506" s="1420">
        <v>218858</v>
      </c>
      <c r="F2506" s="1110">
        <v>9</v>
      </c>
      <c r="G2506" s="846"/>
      <c r="H2506" s="847"/>
      <c r="I2506" s="846">
        <v>150535</v>
      </c>
      <c r="J2506" s="847">
        <v>137259</v>
      </c>
      <c r="K2506" s="846"/>
      <c r="L2506" s="847"/>
      <c r="M2506" s="846"/>
      <c r="N2506" s="846"/>
      <c r="O2506" s="737">
        <f t="shared" ref="O2506:O2569" si="319">SUM(M2506:N2506)</f>
        <v>0</v>
      </c>
      <c r="P2506" s="847"/>
      <c r="Q2506" s="847"/>
      <c r="R2506" s="738">
        <f t="shared" si="314"/>
        <v>0</v>
      </c>
      <c r="S2506" s="737">
        <f t="shared" si="315"/>
        <v>150535</v>
      </c>
      <c r="T2506" s="739">
        <f t="shared" si="316"/>
        <v>137259</v>
      </c>
      <c r="U2506" s="846"/>
      <c r="V2506" s="847"/>
      <c r="W2506" s="846"/>
      <c r="X2506" s="846"/>
      <c r="Y2506" s="740">
        <f t="shared" ref="Y2506:Y2569" si="320">SUM(W2506:X2506)</f>
        <v>0</v>
      </c>
      <c r="Z2506" s="847"/>
      <c r="AA2506" s="847"/>
      <c r="AB2506" s="741">
        <f t="shared" ref="AB2506:AB2569" si="321">SUM(Z2506:AA2506)</f>
        <v>0</v>
      </c>
      <c r="AC2506" s="846"/>
      <c r="AD2506" s="847"/>
      <c r="AE2506" s="846"/>
      <c r="AF2506" s="846"/>
      <c r="AG2506" s="847"/>
      <c r="AH2506" s="847"/>
      <c r="AI2506" s="742">
        <f t="shared" si="317"/>
        <v>150535</v>
      </c>
      <c r="AJ2506" s="743">
        <f t="shared" si="318"/>
        <v>137259</v>
      </c>
    </row>
    <row r="2507" spans="1:36">
      <c r="A2507" s="1410" t="s">
        <v>146</v>
      </c>
      <c r="B2507" s="1146" t="s">
        <v>272</v>
      </c>
      <c r="C2507" s="1414" t="s">
        <v>1831</v>
      </c>
      <c r="D2507" s="1136"/>
      <c r="E2507" s="1420">
        <v>218858</v>
      </c>
      <c r="F2507" s="1110">
        <v>9</v>
      </c>
      <c r="G2507" s="846"/>
      <c r="H2507" s="847"/>
      <c r="I2507" s="846"/>
      <c r="J2507" s="847">
        <v>38713</v>
      </c>
      <c r="K2507" s="846"/>
      <c r="L2507" s="847"/>
      <c r="M2507" s="846"/>
      <c r="N2507" s="846"/>
      <c r="O2507" s="737">
        <f t="shared" si="319"/>
        <v>0</v>
      </c>
      <c r="P2507" s="847"/>
      <c r="Q2507" s="847"/>
      <c r="R2507" s="738">
        <f t="shared" ref="R2507:R2570" si="322">SUM(P2507:Q2507)</f>
        <v>0</v>
      </c>
      <c r="S2507" s="737">
        <f t="shared" ref="S2507:S2570" si="323">SUM(G2507,I2507,K2507,M2507)</f>
        <v>0</v>
      </c>
      <c r="T2507" s="739">
        <f t="shared" ref="T2507:T2570" si="324">SUM(H2507,J2507,L2507,P2507)</f>
        <v>38713</v>
      </c>
      <c r="U2507" s="846"/>
      <c r="V2507" s="847"/>
      <c r="W2507" s="846"/>
      <c r="X2507" s="846"/>
      <c r="Y2507" s="740">
        <f t="shared" si="320"/>
        <v>0</v>
      </c>
      <c r="Z2507" s="847"/>
      <c r="AA2507" s="847"/>
      <c r="AB2507" s="741">
        <f t="shared" si="321"/>
        <v>0</v>
      </c>
      <c r="AC2507" s="846"/>
      <c r="AD2507" s="847"/>
      <c r="AE2507" s="846"/>
      <c r="AF2507" s="846"/>
      <c r="AG2507" s="847"/>
      <c r="AH2507" s="847"/>
      <c r="AI2507" s="742">
        <f t="shared" ref="AI2507:AI2570" si="325">SUM(S2507,U2507,W2507,AC2507,AE2507)</f>
        <v>0</v>
      </c>
      <c r="AJ2507" s="743">
        <f t="shared" ref="AJ2507:AJ2570" si="326">SUM(T2507,V2507,Z2507,AD2507,AG2507)</f>
        <v>38713</v>
      </c>
    </row>
    <row r="2508" spans="1:36">
      <c r="A2508" s="1410" t="s">
        <v>146</v>
      </c>
      <c r="B2508" s="1146" t="s">
        <v>272</v>
      </c>
      <c r="C2508" s="1414" t="s">
        <v>1848</v>
      </c>
      <c r="D2508" s="1136"/>
      <c r="E2508" s="1420">
        <v>218858</v>
      </c>
      <c r="F2508" s="1110">
        <v>9</v>
      </c>
      <c r="G2508" s="846"/>
      <c r="H2508" s="847"/>
      <c r="I2508" s="846"/>
      <c r="J2508" s="847">
        <v>1594513</v>
      </c>
      <c r="K2508" s="846"/>
      <c r="L2508" s="847"/>
      <c r="M2508" s="846"/>
      <c r="N2508" s="846"/>
      <c r="O2508" s="737">
        <f t="shared" si="319"/>
        <v>0</v>
      </c>
      <c r="P2508" s="847"/>
      <c r="Q2508" s="847"/>
      <c r="R2508" s="738">
        <f t="shared" si="322"/>
        <v>0</v>
      </c>
      <c r="S2508" s="737">
        <f t="shared" si="323"/>
        <v>0</v>
      </c>
      <c r="T2508" s="739">
        <f t="shared" si="324"/>
        <v>1594513</v>
      </c>
      <c r="U2508" s="846"/>
      <c r="V2508" s="847"/>
      <c r="W2508" s="846"/>
      <c r="X2508" s="846"/>
      <c r="Y2508" s="740">
        <f t="shared" si="320"/>
        <v>0</v>
      </c>
      <c r="Z2508" s="847"/>
      <c r="AA2508" s="847"/>
      <c r="AB2508" s="741">
        <f t="shared" si="321"/>
        <v>0</v>
      </c>
      <c r="AC2508" s="846"/>
      <c r="AD2508" s="847"/>
      <c r="AE2508" s="846"/>
      <c r="AF2508" s="846"/>
      <c r="AG2508" s="847"/>
      <c r="AH2508" s="847"/>
      <c r="AI2508" s="742">
        <f t="shared" si="325"/>
        <v>0</v>
      </c>
      <c r="AJ2508" s="743">
        <f t="shared" si="326"/>
        <v>1594513</v>
      </c>
    </row>
    <row r="2509" spans="1:36">
      <c r="A2509" s="1410" t="s">
        <v>146</v>
      </c>
      <c r="B2509" s="1146" t="s">
        <v>264</v>
      </c>
      <c r="C2509" s="1411" t="s">
        <v>1849</v>
      </c>
      <c r="D2509" s="1136"/>
      <c r="E2509" s="1420">
        <v>218487</v>
      </c>
      <c r="F2509" s="1110">
        <v>9</v>
      </c>
      <c r="G2509" s="846">
        <v>3867437</v>
      </c>
      <c r="H2509" s="847">
        <v>3867437</v>
      </c>
      <c r="I2509" s="846"/>
      <c r="J2509" s="847"/>
      <c r="K2509" s="846">
        <v>1374948</v>
      </c>
      <c r="L2509" s="847">
        <v>1428740</v>
      </c>
      <c r="M2509" s="846">
        <v>10779200</v>
      </c>
      <c r="N2509" s="846">
        <v>0</v>
      </c>
      <c r="O2509" s="737">
        <f t="shared" si="319"/>
        <v>10779200</v>
      </c>
      <c r="P2509" s="847">
        <v>11411982</v>
      </c>
      <c r="Q2509" s="847">
        <v>0</v>
      </c>
      <c r="R2509" s="738">
        <f t="shared" si="322"/>
        <v>11411982</v>
      </c>
      <c r="S2509" s="737">
        <f t="shared" si="323"/>
        <v>16021585</v>
      </c>
      <c r="T2509" s="739">
        <f t="shared" si="324"/>
        <v>16708159</v>
      </c>
      <c r="U2509" s="846"/>
      <c r="V2509" s="847"/>
      <c r="W2509" s="846"/>
      <c r="X2509" s="846"/>
      <c r="Y2509" s="740">
        <f t="shared" si="320"/>
        <v>0</v>
      </c>
      <c r="Z2509" s="847"/>
      <c r="AA2509" s="847"/>
      <c r="AB2509" s="741">
        <f t="shared" si="321"/>
        <v>0</v>
      </c>
      <c r="AC2509" s="846"/>
      <c r="AD2509" s="847"/>
      <c r="AE2509" s="846"/>
      <c r="AF2509" s="846"/>
      <c r="AG2509" s="847"/>
      <c r="AH2509" s="847"/>
      <c r="AI2509" s="742">
        <f t="shared" si="325"/>
        <v>16021585</v>
      </c>
      <c r="AJ2509" s="743">
        <f t="shared" si="326"/>
        <v>16708159</v>
      </c>
    </row>
    <row r="2510" spans="1:36">
      <c r="A2510" s="1410" t="s">
        <v>146</v>
      </c>
      <c r="B2510" s="1146" t="s">
        <v>264</v>
      </c>
      <c r="C2510" s="1421" t="s">
        <v>1822</v>
      </c>
      <c r="D2510" s="1136"/>
      <c r="E2510" s="1436">
        <v>218487</v>
      </c>
      <c r="F2510" s="1422">
        <v>9</v>
      </c>
      <c r="G2510" s="846"/>
      <c r="H2510" s="847">
        <v>108499</v>
      </c>
      <c r="I2510" s="846"/>
      <c r="J2510" s="352"/>
      <c r="K2510" s="846"/>
      <c r="L2510" s="847"/>
      <c r="M2510" s="846"/>
      <c r="N2510" s="846"/>
      <c r="O2510" s="737">
        <f t="shared" si="319"/>
        <v>0</v>
      </c>
      <c r="P2510" s="847"/>
      <c r="Q2510" s="847"/>
      <c r="R2510" s="738">
        <f t="shared" si="322"/>
        <v>0</v>
      </c>
      <c r="S2510" s="737">
        <f t="shared" si="323"/>
        <v>0</v>
      </c>
      <c r="T2510" s="739">
        <f t="shared" si="324"/>
        <v>108499</v>
      </c>
      <c r="U2510" s="846"/>
      <c r="V2510" s="847"/>
      <c r="W2510" s="846"/>
      <c r="X2510" s="846"/>
      <c r="Y2510" s="740">
        <f t="shared" si="320"/>
        <v>0</v>
      </c>
      <c r="Z2510" s="847"/>
      <c r="AA2510" s="847"/>
      <c r="AB2510" s="741">
        <f t="shared" si="321"/>
        <v>0</v>
      </c>
      <c r="AC2510" s="846"/>
      <c r="AD2510" s="847"/>
      <c r="AE2510" s="846"/>
      <c r="AF2510" s="846"/>
      <c r="AG2510" s="847"/>
      <c r="AH2510" s="847"/>
      <c r="AI2510" s="742">
        <f t="shared" si="325"/>
        <v>0</v>
      </c>
      <c r="AJ2510" s="743">
        <f t="shared" si="326"/>
        <v>108499</v>
      </c>
    </row>
    <row r="2511" spans="1:36">
      <c r="A2511" s="1410" t="s">
        <v>146</v>
      </c>
      <c r="B2511" s="1146" t="s">
        <v>272</v>
      </c>
      <c r="C2511" s="1135" t="s">
        <v>842</v>
      </c>
      <c r="D2511" s="1136"/>
      <c r="E2511" s="1420">
        <v>218487</v>
      </c>
      <c r="F2511" s="1110">
        <v>9</v>
      </c>
      <c r="G2511" s="846"/>
      <c r="H2511" s="847"/>
      <c r="I2511" s="846"/>
      <c r="J2511" s="847"/>
      <c r="K2511" s="846"/>
      <c r="L2511" s="847"/>
      <c r="M2511" s="846"/>
      <c r="N2511" s="846"/>
      <c r="O2511" s="737">
        <f t="shared" si="319"/>
        <v>0</v>
      </c>
      <c r="P2511" s="847"/>
      <c r="Q2511" s="847"/>
      <c r="R2511" s="738">
        <f t="shared" si="322"/>
        <v>0</v>
      </c>
      <c r="S2511" s="737">
        <f t="shared" si="323"/>
        <v>0</v>
      </c>
      <c r="T2511" s="739">
        <f t="shared" si="324"/>
        <v>0</v>
      </c>
      <c r="U2511" s="846"/>
      <c r="V2511" s="847"/>
      <c r="W2511" s="846"/>
      <c r="X2511" s="846"/>
      <c r="Y2511" s="740">
        <f t="shared" si="320"/>
        <v>0</v>
      </c>
      <c r="Z2511" s="847"/>
      <c r="AA2511" s="847"/>
      <c r="AB2511" s="741">
        <f t="shared" si="321"/>
        <v>0</v>
      </c>
      <c r="AC2511" s="846"/>
      <c r="AD2511" s="847"/>
      <c r="AE2511" s="846"/>
      <c r="AF2511" s="846"/>
      <c r="AG2511" s="847"/>
      <c r="AH2511" s="847"/>
      <c r="AI2511" s="742">
        <f t="shared" si="325"/>
        <v>0</v>
      </c>
      <c r="AJ2511" s="743">
        <f t="shared" si="326"/>
        <v>0</v>
      </c>
    </row>
    <row r="2512" spans="1:36">
      <c r="A2512" s="1410" t="s">
        <v>146</v>
      </c>
      <c r="B2512" s="1146" t="s">
        <v>272</v>
      </c>
      <c r="C2512" s="1137" t="s">
        <v>1756</v>
      </c>
      <c r="D2512" s="1136"/>
      <c r="E2512" s="1420">
        <v>218487</v>
      </c>
      <c r="F2512" s="1110">
        <v>9</v>
      </c>
      <c r="G2512" s="846"/>
      <c r="H2512" s="847"/>
      <c r="I2512" s="846">
        <v>63</v>
      </c>
      <c r="J2512" s="847">
        <v>66</v>
      </c>
      <c r="K2512" s="846"/>
      <c r="L2512" s="847"/>
      <c r="M2512" s="846"/>
      <c r="N2512" s="846"/>
      <c r="O2512" s="737">
        <f t="shared" si="319"/>
        <v>0</v>
      </c>
      <c r="P2512" s="847"/>
      <c r="Q2512" s="847"/>
      <c r="R2512" s="738">
        <f t="shared" si="322"/>
        <v>0</v>
      </c>
      <c r="S2512" s="737">
        <f t="shared" si="323"/>
        <v>63</v>
      </c>
      <c r="T2512" s="739">
        <f t="shared" si="324"/>
        <v>66</v>
      </c>
      <c r="U2512" s="846"/>
      <c r="V2512" s="847"/>
      <c r="W2512" s="846"/>
      <c r="X2512" s="846"/>
      <c r="Y2512" s="740">
        <f t="shared" si="320"/>
        <v>0</v>
      </c>
      <c r="Z2512" s="847"/>
      <c r="AA2512" s="847"/>
      <c r="AB2512" s="741">
        <f t="shared" si="321"/>
        <v>0</v>
      </c>
      <c r="AC2512" s="846"/>
      <c r="AD2512" s="847"/>
      <c r="AE2512" s="846"/>
      <c r="AF2512" s="846"/>
      <c r="AG2512" s="847"/>
      <c r="AH2512" s="847"/>
      <c r="AI2512" s="742">
        <f t="shared" si="325"/>
        <v>63</v>
      </c>
      <c r="AJ2512" s="743">
        <f t="shared" si="326"/>
        <v>66</v>
      </c>
    </row>
    <row r="2513" spans="1:36">
      <c r="A2513" s="1410" t="s">
        <v>146</v>
      </c>
      <c r="B2513" s="1146" t="s">
        <v>272</v>
      </c>
      <c r="C2513" s="1137" t="s">
        <v>1823</v>
      </c>
      <c r="D2513" s="1136"/>
      <c r="E2513" s="1420">
        <v>218487</v>
      </c>
      <c r="F2513" s="1110">
        <v>9</v>
      </c>
      <c r="G2513" s="846"/>
      <c r="H2513" s="847"/>
      <c r="I2513" s="846">
        <v>63643</v>
      </c>
      <c r="J2513" s="847">
        <v>97432</v>
      </c>
      <c r="K2513" s="846"/>
      <c r="L2513" s="847"/>
      <c r="M2513" s="846"/>
      <c r="N2513" s="846"/>
      <c r="O2513" s="737">
        <f t="shared" si="319"/>
        <v>0</v>
      </c>
      <c r="P2513" s="847"/>
      <c r="Q2513" s="847"/>
      <c r="R2513" s="738">
        <f t="shared" si="322"/>
        <v>0</v>
      </c>
      <c r="S2513" s="737">
        <f t="shared" si="323"/>
        <v>63643</v>
      </c>
      <c r="T2513" s="739">
        <f t="shared" si="324"/>
        <v>97432</v>
      </c>
      <c r="U2513" s="846"/>
      <c r="V2513" s="847"/>
      <c r="W2513" s="846"/>
      <c r="X2513" s="846"/>
      <c r="Y2513" s="740">
        <f t="shared" si="320"/>
        <v>0</v>
      </c>
      <c r="Z2513" s="847"/>
      <c r="AA2513" s="847"/>
      <c r="AB2513" s="741">
        <f t="shared" si="321"/>
        <v>0</v>
      </c>
      <c r="AC2513" s="846"/>
      <c r="AD2513" s="847"/>
      <c r="AE2513" s="846"/>
      <c r="AF2513" s="846"/>
      <c r="AG2513" s="847"/>
      <c r="AH2513" s="847"/>
      <c r="AI2513" s="742">
        <f t="shared" si="325"/>
        <v>63643</v>
      </c>
      <c r="AJ2513" s="743">
        <f t="shared" si="326"/>
        <v>97432</v>
      </c>
    </row>
    <row r="2514" spans="1:36">
      <c r="A2514" s="1410" t="s">
        <v>146</v>
      </c>
      <c r="B2514" s="1146" t="s">
        <v>272</v>
      </c>
      <c r="C2514" s="1414" t="s">
        <v>1824</v>
      </c>
      <c r="D2514" s="1136"/>
      <c r="E2514" s="1420">
        <v>218487</v>
      </c>
      <c r="F2514" s="1110">
        <v>9</v>
      </c>
      <c r="G2514" s="846"/>
      <c r="H2514" s="847"/>
      <c r="I2514" s="846"/>
      <c r="J2514" s="847">
        <v>75999</v>
      </c>
      <c r="K2514" s="846"/>
      <c r="L2514" s="847"/>
      <c r="M2514" s="846"/>
      <c r="N2514" s="846"/>
      <c r="O2514" s="737">
        <f t="shared" si="319"/>
        <v>0</v>
      </c>
      <c r="P2514" s="847"/>
      <c r="Q2514" s="847"/>
      <c r="R2514" s="738">
        <f t="shared" si="322"/>
        <v>0</v>
      </c>
      <c r="S2514" s="737">
        <f t="shared" si="323"/>
        <v>0</v>
      </c>
      <c r="T2514" s="739">
        <f t="shared" si="324"/>
        <v>75999</v>
      </c>
      <c r="U2514" s="846"/>
      <c r="V2514" s="847"/>
      <c r="W2514" s="846"/>
      <c r="X2514" s="846"/>
      <c r="Y2514" s="740">
        <f t="shared" si="320"/>
        <v>0</v>
      </c>
      <c r="Z2514" s="847"/>
      <c r="AA2514" s="847"/>
      <c r="AB2514" s="741">
        <f t="shared" si="321"/>
        <v>0</v>
      </c>
      <c r="AC2514" s="846"/>
      <c r="AD2514" s="847"/>
      <c r="AE2514" s="846"/>
      <c r="AF2514" s="846"/>
      <c r="AG2514" s="847"/>
      <c r="AH2514" s="847"/>
      <c r="AI2514" s="742">
        <f t="shared" si="325"/>
        <v>0</v>
      </c>
      <c r="AJ2514" s="743">
        <f t="shared" si="326"/>
        <v>75999</v>
      </c>
    </row>
    <row r="2515" spans="1:36">
      <c r="A2515" s="1410" t="s">
        <v>146</v>
      </c>
      <c r="B2515" s="1146" t="s">
        <v>272</v>
      </c>
      <c r="C2515" s="1137" t="s">
        <v>1825</v>
      </c>
      <c r="D2515" s="1136"/>
      <c r="E2515" s="1420">
        <v>218487</v>
      </c>
      <c r="F2515" s="1110">
        <v>9</v>
      </c>
      <c r="G2515" s="846"/>
      <c r="H2515" s="847"/>
      <c r="I2515" s="846">
        <v>17672</v>
      </c>
      <c r="J2515" s="847">
        <v>17672</v>
      </c>
      <c r="K2515" s="846"/>
      <c r="L2515" s="847"/>
      <c r="M2515" s="846"/>
      <c r="N2515" s="846"/>
      <c r="O2515" s="737">
        <f t="shared" si="319"/>
        <v>0</v>
      </c>
      <c r="P2515" s="847"/>
      <c r="Q2515" s="847"/>
      <c r="R2515" s="738">
        <f t="shared" si="322"/>
        <v>0</v>
      </c>
      <c r="S2515" s="737">
        <f t="shared" si="323"/>
        <v>17672</v>
      </c>
      <c r="T2515" s="739">
        <f t="shared" si="324"/>
        <v>17672</v>
      </c>
      <c r="U2515" s="846"/>
      <c r="V2515" s="847"/>
      <c r="W2515" s="846"/>
      <c r="X2515" s="846"/>
      <c r="Y2515" s="740">
        <f t="shared" si="320"/>
        <v>0</v>
      </c>
      <c r="Z2515" s="847"/>
      <c r="AA2515" s="847"/>
      <c r="AB2515" s="741">
        <f t="shared" si="321"/>
        <v>0</v>
      </c>
      <c r="AC2515" s="846"/>
      <c r="AD2515" s="847"/>
      <c r="AE2515" s="846"/>
      <c r="AF2515" s="846"/>
      <c r="AG2515" s="847"/>
      <c r="AH2515" s="847"/>
      <c r="AI2515" s="742">
        <f t="shared" si="325"/>
        <v>17672</v>
      </c>
      <c r="AJ2515" s="743">
        <f t="shared" si="326"/>
        <v>17672</v>
      </c>
    </row>
    <row r="2516" spans="1:36">
      <c r="A2516" s="1410" t="s">
        <v>146</v>
      </c>
      <c r="B2516" s="1146" t="s">
        <v>272</v>
      </c>
      <c r="C2516" s="1137" t="s">
        <v>1826</v>
      </c>
      <c r="D2516" s="1136"/>
      <c r="E2516" s="1420">
        <v>218487</v>
      </c>
      <c r="F2516" s="1110">
        <v>9</v>
      </c>
      <c r="G2516" s="846"/>
      <c r="H2516" s="847"/>
      <c r="I2516" s="846"/>
      <c r="J2516" s="847"/>
      <c r="K2516" s="846"/>
      <c r="L2516" s="847"/>
      <c r="M2516" s="846"/>
      <c r="N2516" s="846"/>
      <c r="O2516" s="737">
        <f t="shared" si="319"/>
        <v>0</v>
      </c>
      <c r="P2516" s="847"/>
      <c r="Q2516" s="847"/>
      <c r="R2516" s="738">
        <f t="shared" si="322"/>
        <v>0</v>
      </c>
      <c r="S2516" s="737">
        <f t="shared" si="323"/>
        <v>0</v>
      </c>
      <c r="T2516" s="739">
        <f t="shared" si="324"/>
        <v>0</v>
      </c>
      <c r="U2516" s="846"/>
      <c r="V2516" s="847"/>
      <c r="W2516" s="846"/>
      <c r="X2516" s="846"/>
      <c r="Y2516" s="740">
        <f t="shared" si="320"/>
        <v>0</v>
      </c>
      <c r="Z2516" s="847"/>
      <c r="AA2516" s="847"/>
      <c r="AB2516" s="741">
        <f t="shared" si="321"/>
        <v>0</v>
      </c>
      <c r="AC2516" s="846"/>
      <c r="AD2516" s="847"/>
      <c r="AE2516" s="846"/>
      <c r="AF2516" s="846"/>
      <c r="AG2516" s="847"/>
      <c r="AH2516" s="847"/>
      <c r="AI2516" s="742">
        <f t="shared" si="325"/>
        <v>0</v>
      </c>
      <c r="AJ2516" s="743">
        <f t="shared" si="326"/>
        <v>0</v>
      </c>
    </row>
    <row r="2517" spans="1:36">
      <c r="A2517" s="1410" t="s">
        <v>146</v>
      </c>
      <c r="B2517" s="1146" t="s">
        <v>272</v>
      </c>
      <c r="C2517" s="1137" t="s">
        <v>1834</v>
      </c>
      <c r="D2517" s="1136"/>
      <c r="E2517" s="1420">
        <v>218487</v>
      </c>
      <c r="F2517" s="1110">
        <v>9</v>
      </c>
      <c r="G2517" s="846"/>
      <c r="H2517" s="847"/>
      <c r="I2517" s="846"/>
      <c r="J2517" s="847"/>
      <c r="K2517" s="846"/>
      <c r="L2517" s="847"/>
      <c r="M2517" s="846"/>
      <c r="N2517" s="846"/>
      <c r="O2517" s="737">
        <f t="shared" si="319"/>
        <v>0</v>
      </c>
      <c r="P2517" s="847"/>
      <c r="Q2517" s="847"/>
      <c r="R2517" s="738">
        <f t="shared" si="322"/>
        <v>0</v>
      </c>
      <c r="S2517" s="737">
        <f t="shared" si="323"/>
        <v>0</v>
      </c>
      <c r="T2517" s="739">
        <f t="shared" si="324"/>
        <v>0</v>
      </c>
      <c r="U2517" s="846"/>
      <c r="V2517" s="847"/>
      <c r="W2517" s="846"/>
      <c r="X2517" s="846"/>
      <c r="Y2517" s="740">
        <f t="shared" si="320"/>
        <v>0</v>
      </c>
      <c r="Z2517" s="847"/>
      <c r="AA2517" s="847"/>
      <c r="AB2517" s="741">
        <f t="shared" si="321"/>
        <v>0</v>
      </c>
      <c r="AC2517" s="846"/>
      <c r="AD2517" s="847"/>
      <c r="AE2517" s="846"/>
      <c r="AF2517" s="846"/>
      <c r="AG2517" s="847"/>
      <c r="AH2517" s="847"/>
      <c r="AI2517" s="742">
        <f t="shared" si="325"/>
        <v>0</v>
      </c>
      <c r="AJ2517" s="743">
        <f t="shared" si="326"/>
        <v>0</v>
      </c>
    </row>
    <row r="2518" spans="1:36">
      <c r="A2518" s="1410" t="s">
        <v>146</v>
      </c>
      <c r="B2518" s="1146" t="s">
        <v>272</v>
      </c>
      <c r="C2518" s="1137" t="s">
        <v>1829</v>
      </c>
      <c r="D2518" s="1136"/>
      <c r="E2518" s="1420">
        <v>218487</v>
      </c>
      <c r="F2518" s="1110">
        <v>9</v>
      </c>
      <c r="G2518" s="846"/>
      <c r="H2518" s="847"/>
      <c r="I2518" s="846">
        <v>37784</v>
      </c>
      <c r="J2518" s="847">
        <v>37784</v>
      </c>
      <c r="K2518" s="846"/>
      <c r="L2518" s="847"/>
      <c r="M2518" s="846"/>
      <c r="N2518" s="846"/>
      <c r="O2518" s="737">
        <f t="shared" si="319"/>
        <v>0</v>
      </c>
      <c r="P2518" s="847"/>
      <c r="Q2518" s="847"/>
      <c r="R2518" s="738">
        <f t="shared" si="322"/>
        <v>0</v>
      </c>
      <c r="S2518" s="737">
        <f t="shared" si="323"/>
        <v>37784</v>
      </c>
      <c r="T2518" s="739">
        <f t="shared" si="324"/>
        <v>37784</v>
      </c>
      <c r="U2518" s="846"/>
      <c r="V2518" s="847"/>
      <c r="W2518" s="846"/>
      <c r="X2518" s="846"/>
      <c r="Y2518" s="740">
        <f t="shared" si="320"/>
        <v>0</v>
      </c>
      <c r="Z2518" s="847"/>
      <c r="AA2518" s="847"/>
      <c r="AB2518" s="741">
        <f t="shared" si="321"/>
        <v>0</v>
      </c>
      <c r="AC2518" s="846"/>
      <c r="AD2518" s="847"/>
      <c r="AE2518" s="846"/>
      <c r="AF2518" s="846"/>
      <c r="AG2518" s="847"/>
      <c r="AH2518" s="847"/>
      <c r="AI2518" s="742">
        <f t="shared" si="325"/>
        <v>37784</v>
      </c>
      <c r="AJ2518" s="743">
        <f t="shared" si="326"/>
        <v>37784</v>
      </c>
    </row>
    <row r="2519" spans="1:36">
      <c r="A2519" s="1410" t="s">
        <v>146</v>
      </c>
      <c r="B2519" s="1146" t="s">
        <v>272</v>
      </c>
      <c r="C2519" s="1137" t="s">
        <v>1777</v>
      </c>
      <c r="D2519" s="1136"/>
      <c r="E2519" s="1420">
        <v>218487</v>
      </c>
      <c r="F2519" s="1110">
        <v>9</v>
      </c>
      <c r="G2519" s="846"/>
      <c r="H2519" s="847"/>
      <c r="I2519" s="846">
        <v>148836</v>
      </c>
      <c r="J2519" s="847">
        <v>135710</v>
      </c>
      <c r="K2519" s="846"/>
      <c r="L2519" s="847"/>
      <c r="M2519" s="846"/>
      <c r="N2519" s="846"/>
      <c r="O2519" s="737">
        <f t="shared" si="319"/>
        <v>0</v>
      </c>
      <c r="P2519" s="847"/>
      <c r="Q2519" s="847"/>
      <c r="R2519" s="738">
        <f t="shared" si="322"/>
        <v>0</v>
      </c>
      <c r="S2519" s="737">
        <f t="shared" si="323"/>
        <v>148836</v>
      </c>
      <c r="T2519" s="739">
        <f t="shared" si="324"/>
        <v>135710</v>
      </c>
      <c r="U2519" s="846"/>
      <c r="V2519" s="847"/>
      <c r="W2519" s="846"/>
      <c r="X2519" s="846"/>
      <c r="Y2519" s="740">
        <f t="shared" si="320"/>
        <v>0</v>
      </c>
      <c r="Z2519" s="847"/>
      <c r="AA2519" s="847"/>
      <c r="AB2519" s="741">
        <f t="shared" si="321"/>
        <v>0</v>
      </c>
      <c r="AC2519" s="846"/>
      <c r="AD2519" s="847"/>
      <c r="AE2519" s="846"/>
      <c r="AF2519" s="846"/>
      <c r="AG2519" s="847"/>
      <c r="AH2519" s="847"/>
      <c r="AI2519" s="742">
        <f t="shared" si="325"/>
        <v>148836</v>
      </c>
      <c r="AJ2519" s="743">
        <f t="shared" si="326"/>
        <v>135710</v>
      </c>
    </row>
    <row r="2520" spans="1:36">
      <c r="A2520" s="1410" t="s">
        <v>146</v>
      </c>
      <c r="B2520" s="1146" t="s">
        <v>272</v>
      </c>
      <c r="C2520" s="1414" t="s">
        <v>1831</v>
      </c>
      <c r="D2520" s="1136"/>
      <c r="E2520" s="1420">
        <v>218487</v>
      </c>
      <c r="F2520" s="1422">
        <v>9</v>
      </c>
      <c r="G2520" s="846"/>
      <c r="H2520" s="847"/>
      <c r="I2520" s="846"/>
      <c r="J2520" s="847">
        <v>38276</v>
      </c>
      <c r="K2520" s="846"/>
      <c r="L2520" s="847"/>
      <c r="M2520" s="846"/>
      <c r="N2520" s="846"/>
      <c r="O2520" s="737">
        <f t="shared" si="319"/>
        <v>0</v>
      </c>
      <c r="P2520" s="847"/>
      <c r="Q2520" s="847"/>
      <c r="R2520" s="738">
        <f t="shared" si="322"/>
        <v>0</v>
      </c>
      <c r="S2520" s="737">
        <f t="shared" si="323"/>
        <v>0</v>
      </c>
      <c r="T2520" s="739">
        <f t="shared" si="324"/>
        <v>38276</v>
      </c>
      <c r="U2520" s="846"/>
      <c r="V2520" s="847"/>
      <c r="W2520" s="846"/>
      <c r="X2520" s="846"/>
      <c r="Y2520" s="740">
        <f t="shared" si="320"/>
        <v>0</v>
      </c>
      <c r="Z2520" s="847"/>
      <c r="AA2520" s="847"/>
      <c r="AB2520" s="741">
        <f t="shared" si="321"/>
        <v>0</v>
      </c>
      <c r="AC2520" s="846"/>
      <c r="AD2520" s="847"/>
      <c r="AE2520" s="846"/>
      <c r="AF2520" s="846"/>
      <c r="AG2520" s="847"/>
      <c r="AH2520" s="847"/>
      <c r="AI2520" s="742">
        <f t="shared" si="325"/>
        <v>0</v>
      </c>
      <c r="AJ2520" s="743">
        <f t="shared" si="326"/>
        <v>38276</v>
      </c>
    </row>
    <row r="2521" spans="1:36">
      <c r="A2521" s="1410" t="s">
        <v>146</v>
      </c>
      <c r="B2521" s="1146" t="s">
        <v>272</v>
      </c>
      <c r="C2521" s="1414" t="s">
        <v>1850</v>
      </c>
      <c r="D2521" s="1136"/>
      <c r="E2521" s="1420">
        <v>218487</v>
      </c>
      <c r="F2521" s="1422">
        <v>9</v>
      </c>
      <c r="G2521" s="846"/>
      <c r="H2521" s="847"/>
      <c r="I2521" s="846"/>
      <c r="J2521" s="847">
        <v>1000000</v>
      </c>
      <c r="K2521" s="846"/>
      <c r="L2521" s="847"/>
      <c r="M2521" s="846"/>
      <c r="N2521" s="846"/>
      <c r="O2521" s="737">
        <f t="shared" si="319"/>
        <v>0</v>
      </c>
      <c r="P2521" s="847"/>
      <c r="Q2521" s="847"/>
      <c r="R2521" s="738">
        <f t="shared" si="322"/>
        <v>0</v>
      </c>
      <c r="S2521" s="737">
        <f t="shared" si="323"/>
        <v>0</v>
      </c>
      <c r="T2521" s="739">
        <f t="shared" si="324"/>
        <v>1000000</v>
      </c>
      <c r="U2521" s="846"/>
      <c r="V2521" s="847"/>
      <c r="W2521" s="846"/>
      <c r="X2521" s="846"/>
      <c r="Y2521" s="740">
        <f t="shared" si="320"/>
        <v>0</v>
      </c>
      <c r="Z2521" s="847"/>
      <c r="AA2521" s="847"/>
      <c r="AB2521" s="741">
        <f t="shared" si="321"/>
        <v>0</v>
      </c>
      <c r="AC2521" s="846"/>
      <c r="AD2521" s="847"/>
      <c r="AE2521" s="846"/>
      <c r="AF2521" s="846"/>
      <c r="AG2521" s="847"/>
      <c r="AH2521" s="847"/>
      <c r="AI2521" s="742">
        <f t="shared" si="325"/>
        <v>0</v>
      </c>
      <c r="AJ2521" s="743">
        <f t="shared" si="326"/>
        <v>1000000</v>
      </c>
    </row>
    <row r="2522" spans="1:36">
      <c r="A2522" s="1410" t="s">
        <v>146</v>
      </c>
      <c r="B2522" s="1146" t="s">
        <v>264</v>
      </c>
      <c r="C2522" s="1131" t="s">
        <v>1851</v>
      </c>
      <c r="D2522" s="1136"/>
      <c r="E2522" s="1420">
        <v>218830</v>
      </c>
      <c r="F2522" s="1110">
        <v>9</v>
      </c>
      <c r="G2522" s="846">
        <v>6079404</v>
      </c>
      <c r="H2522" s="847">
        <v>6079404</v>
      </c>
      <c r="I2522" s="846"/>
      <c r="J2522" s="847"/>
      <c r="K2522" s="846">
        <v>5182712</v>
      </c>
      <c r="L2522" s="847">
        <v>5531593</v>
      </c>
      <c r="M2522" s="846">
        <v>22249780</v>
      </c>
      <c r="N2522" s="846">
        <v>1096963</v>
      </c>
      <c r="O2522" s="737">
        <f t="shared" si="319"/>
        <v>23346743</v>
      </c>
      <c r="P2522" s="847">
        <v>21756683</v>
      </c>
      <c r="Q2522" s="847">
        <v>1024494</v>
      </c>
      <c r="R2522" s="738">
        <f t="shared" si="322"/>
        <v>22781177</v>
      </c>
      <c r="S2522" s="737">
        <f t="shared" si="323"/>
        <v>33511896</v>
      </c>
      <c r="T2522" s="739">
        <f t="shared" si="324"/>
        <v>33367680</v>
      </c>
      <c r="U2522" s="846"/>
      <c r="V2522" s="847"/>
      <c r="W2522" s="846"/>
      <c r="X2522" s="846"/>
      <c r="Y2522" s="740">
        <f t="shared" si="320"/>
        <v>0</v>
      </c>
      <c r="Z2522" s="847"/>
      <c r="AA2522" s="847"/>
      <c r="AB2522" s="741">
        <f t="shared" si="321"/>
        <v>0</v>
      </c>
      <c r="AC2522" s="846"/>
      <c r="AD2522" s="847"/>
      <c r="AE2522" s="846"/>
      <c r="AF2522" s="846"/>
      <c r="AG2522" s="847"/>
      <c r="AH2522" s="847"/>
      <c r="AI2522" s="742">
        <f t="shared" si="325"/>
        <v>33511896</v>
      </c>
      <c r="AJ2522" s="743">
        <f t="shared" si="326"/>
        <v>33367680</v>
      </c>
    </row>
    <row r="2523" spans="1:36">
      <c r="A2523" s="1410" t="s">
        <v>146</v>
      </c>
      <c r="B2523" s="1146" t="s">
        <v>264</v>
      </c>
      <c r="C2523" s="1421" t="s">
        <v>1822</v>
      </c>
      <c r="D2523" s="1136"/>
      <c r="E2523" s="1436">
        <v>218830</v>
      </c>
      <c r="F2523" s="1422">
        <v>9</v>
      </c>
      <c r="G2523" s="846"/>
      <c r="H2523" s="847">
        <v>170555</v>
      </c>
      <c r="I2523" s="846"/>
      <c r="J2523" s="352"/>
      <c r="K2523" s="846"/>
      <c r="L2523" s="847"/>
      <c r="M2523" s="846"/>
      <c r="N2523" s="846"/>
      <c r="O2523" s="737">
        <f t="shared" si="319"/>
        <v>0</v>
      </c>
      <c r="P2523" s="847"/>
      <c r="Q2523" s="847"/>
      <c r="R2523" s="738">
        <f t="shared" si="322"/>
        <v>0</v>
      </c>
      <c r="S2523" s="737">
        <f t="shared" si="323"/>
        <v>0</v>
      </c>
      <c r="T2523" s="739">
        <f t="shared" si="324"/>
        <v>170555</v>
      </c>
      <c r="U2523" s="846"/>
      <c r="V2523" s="847"/>
      <c r="W2523" s="846"/>
      <c r="X2523" s="846"/>
      <c r="Y2523" s="740">
        <f t="shared" si="320"/>
        <v>0</v>
      </c>
      <c r="Z2523" s="847"/>
      <c r="AA2523" s="847"/>
      <c r="AB2523" s="741">
        <f t="shared" si="321"/>
        <v>0</v>
      </c>
      <c r="AC2523" s="846"/>
      <c r="AD2523" s="847"/>
      <c r="AE2523" s="846"/>
      <c r="AF2523" s="846"/>
      <c r="AG2523" s="847"/>
      <c r="AH2523" s="847"/>
      <c r="AI2523" s="742">
        <f t="shared" si="325"/>
        <v>0</v>
      </c>
      <c r="AJ2523" s="743">
        <f t="shared" si="326"/>
        <v>170555</v>
      </c>
    </row>
    <row r="2524" spans="1:36">
      <c r="A2524" s="1410" t="s">
        <v>146</v>
      </c>
      <c r="B2524" s="1146" t="s">
        <v>272</v>
      </c>
      <c r="C2524" s="1135" t="s">
        <v>842</v>
      </c>
      <c r="D2524" s="1136"/>
      <c r="E2524" s="1420">
        <v>218830</v>
      </c>
      <c r="F2524" s="1110">
        <v>9</v>
      </c>
      <c r="G2524" s="846"/>
      <c r="H2524" s="847"/>
      <c r="I2524" s="846"/>
      <c r="J2524" s="847"/>
      <c r="K2524" s="846"/>
      <c r="L2524" s="847"/>
      <c r="M2524" s="846"/>
      <c r="N2524" s="846"/>
      <c r="O2524" s="737">
        <f t="shared" si="319"/>
        <v>0</v>
      </c>
      <c r="P2524" s="847"/>
      <c r="Q2524" s="847"/>
      <c r="R2524" s="738">
        <f t="shared" si="322"/>
        <v>0</v>
      </c>
      <c r="S2524" s="737">
        <f t="shared" si="323"/>
        <v>0</v>
      </c>
      <c r="T2524" s="739">
        <f t="shared" si="324"/>
        <v>0</v>
      </c>
      <c r="U2524" s="846"/>
      <c r="V2524" s="847"/>
      <c r="W2524" s="846"/>
      <c r="X2524" s="846"/>
      <c r="Y2524" s="740">
        <f t="shared" si="320"/>
        <v>0</v>
      </c>
      <c r="Z2524" s="847"/>
      <c r="AA2524" s="847"/>
      <c r="AB2524" s="741">
        <f t="shared" si="321"/>
        <v>0</v>
      </c>
      <c r="AC2524" s="846"/>
      <c r="AD2524" s="847"/>
      <c r="AE2524" s="846"/>
      <c r="AF2524" s="846"/>
      <c r="AG2524" s="847"/>
      <c r="AH2524" s="847"/>
      <c r="AI2524" s="742">
        <f t="shared" si="325"/>
        <v>0</v>
      </c>
      <c r="AJ2524" s="743">
        <f t="shared" si="326"/>
        <v>0</v>
      </c>
    </row>
    <row r="2525" spans="1:36">
      <c r="A2525" s="1410" t="s">
        <v>146</v>
      </c>
      <c r="B2525" s="1146" t="s">
        <v>272</v>
      </c>
      <c r="C2525" s="1137" t="s">
        <v>1756</v>
      </c>
      <c r="D2525" s="1136"/>
      <c r="E2525" s="1420">
        <v>218830</v>
      </c>
      <c r="F2525" s="1110">
        <v>9</v>
      </c>
      <c r="G2525" s="846"/>
      <c r="H2525" s="847"/>
      <c r="I2525" s="846">
        <v>2521</v>
      </c>
      <c r="J2525" s="847">
        <v>2262</v>
      </c>
      <c r="K2525" s="846"/>
      <c r="L2525" s="847"/>
      <c r="M2525" s="846"/>
      <c r="N2525" s="846"/>
      <c r="O2525" s="737">
        <f t="shared" si="319"/>
        <v>0</v>
      </c>
      <c r="P2525" s="847"/>
      <c r="Q2525" s="847"/>
      <c r="R2525" s="738">
        <f t="shared" si="322"/>
        <v>0</v>
      </c>
      <c r="S2525" s="737">
        <f t="shared" si="323"/>
        <v>2521</v>
      </c>
      <c r="T2525" s="739">
        <f t="shared" si="324"/>
        <v>2262</v>
      </c>
      <c r="U2525" s="846"/>
      <c r="V2525" s="847"/>
      <c r="W2525" s="846"/>
      <c r="X2525" s="846"/>
      <c r="Y2525" s="740">
        <f t="shared" si="320"/>
        <v>0</v>
      </c>
      <c r="Z2525" s="847"/>
      <c r="AA2525" s="847"/>
      <c r="AB2525" s="741">
        <f t="shared" si="321"/>
        <v>0</v>
      </c>
      <c r="AC2525" s="846"/>
      <c r="AD2525" s="847"/>
      <c r="AE2525" s="846"/>
      <c r="AF2525" s="846"/>
      <c r="AG2525" s="847"/>
      <c r="AH2525" s="847"/>
      <c r="AI2525" s="742">
        <f t="shared" si="325"/>
        <v>2521</v>
      </c>
      <c r="AJ2525" s="743">
        <f t="shared" si="326"/>
        <v>2262</v>
      </c>
    </row>
    <row r="2526" spans="1:36">
      <c r="A2526" s="1410" t="s">
        <v>146</v>
      </c>
      <c r="B2526" s="1146" t="s">
        <v>272</v>
      </c>
      <c r="C2526" s="1137" t="s">
        <v>1823</v>
      </c>
      <c r="D2526" s="1136"/>
      <c r="E2526" s="1420">
        <v>218830</v>
      </c>
      <c r="F2526" s="1110">
        <v>9</v>
      </c>
      <c r="G2526" s="846"/>
      <c r="H2526" s="847"/>
      <c r="I2526" s="846">
        <v>82714</v>
      </c>
      <c r="J2526" s="847">
        <v>113210</v>
      </c>
      <c r="K2526" s="846"/>
      <c r="L2526" s="847"/>
      <c r="M2526" s="846"/>
      <c r="N2526" s="846"/>
      <c r="O2526" s="737">
        <f t="shared" si="319"/>
        <v>0</v>
      </c>
      <c r="P2526" s="847"/>
      <c r="Q2526" s="847"/>
      <c r="R2526" s="738">
        <f t="shared" si="322"/>
        <v>0</v>
      </c>
      <c r="S2526" s="737">
        <f t="shared" si="323"/>
        <v>82714</v>
      </c>
      <c r="T2526" s="739">
        <f t="shared" si="324"/>
        <v>113210</v>
      </c>
      <c r="U2526" s="846"/>
      <c r="V2526" s="847"/>
      <c r="W2526" s="846"/>
      <c r="X2526" s="846"/>
      <c r="Y2526" s="740">
        <f t="shared" si="320"/>
        <v>0</v>
      </c>
      <c r="Z2526" s="847"/>
      <c r="AA2526" s="847"/>
      <c r="AB2526" s="741">
        <f t="shared" si="321"/>
        <v>0</v>
      </c>
      <c r="AC2526" s="846"/>
      <c r="AD2526" s="847"/>
      <c r="AE2526" s="846"/>
      <c r="AF2526" s="846"/>
      <c r="AG2526" s="847"/>
      <c r="AH2526" s="847"/>
      <c r="AI2526" s="742">
        <f t="shared" si="325"/>
        <v>82714</v>
      </c>
      <c r="AJ2526" s="743">
        <f t="shared" si="326"/>
        <v>113210</v>
      </c>
    </row>
    <row r="2527" spans="1:36">
      <c r="A2527" s="1410" t="s">
        <v>146</v>
      </c>
      <c r="B2527" s="1146" t="s">
        <v>272</v>
      </c>
      <c r="C2527" s="1414" t="s">
        <v>1824</v>
      </c>
      <c r="D2527" s="1136"/>
      <c r="E2527" s="1420">
        <v>218830</v>
      </c>
      <c r="F2527" s="1110">
        <v>9</v>
      </c>
      <c r="G2527" s="846"/>
      <c r="H2527" s="847"/>
      <c r="I2527" s="846"/>
      <c r="J2527" s="847">
        <v>152748</v>
      </c>
      <c r="K2527" s="846"/>
      <c r="L2527" s="847"/>
      <c r="M2527" s="846"/>
      <c r="N2527" s="846"/>
      <c r="O2527" s="737">
        <f t="shared" si="319"/>
        <v>0</v>
      </c>
      <c r="P2527" s="847"/>
      <c r="Q2527" s="847"/>
      <c r="R2527" s="738">
        <f t="shared" si="322"/>
        <v>0</v>
      </c>
      <c r="S2527" s="737">
        <f t="shared" si="323"/>
        <v>0</v>
      </c>
      <c r="T2527" s="739">
        <f t="shared" si="324"/>
        <v>152748</v>
      </c>
      <c r="U2527" s="846"/>
      <c r="V2527" s="847"/>
      <c r="W2527" s="846"/>
      <c r="X2527" s="846"/>
      <c r="Y2527" s="740">
        <f t="shared" si="320"/>
        <v>0</v>
      </c>
      <c r="Z2527" s="847"/>
      <c r="AA2527" s="847"/>
      <c r="AB2527" s="741">
        <f t="shared" si="321"/>
        <v>0</v>
      </c>
      <c r="AC2527" s="846"/>
      <c r="AD2527" s="847"/>
      <c r="AE2527" s="846"/>
      <c r="AF2527" s="846"/>
      <c r="AG2527" s="847"/>
      <c r="AH2527" s="847"/>
      <c r="AI2527" s="742">
        <f t="shared" si="325"/>
        <v>0</v>
      </c>
      <c r="AJ2527" s="743">
        <f t="shared" si="326"/>
        <v>152748</v>
      </c>
    </row>
    <row r="2528" spans="1:36">
      <c r="A2528" s="1410" t="s">
        <v>146</v>
      </c>
      <c r="B2528" s="1146" t="s">
        <v>272</v>
      </c>
      <c r="C2528" s="1137" t="s">
        <v>1826</v>
      </c>
      <c r="D2528" s="1136"/>
      <c r="E2528" s="1420">
        <v>218830</v>
      </c>
      <c r="F2528" s="1110">
        <v>9</v>
      </c>
      <c r="G2528" s="846"/>
      <c r="H2528" s="847"/>
      <c r="I2528" s="846"/>
      <c r="J2528" s="847"/>
      <c r="K2528" s="846"/>
      <c r="L2528" s="847"/>
      <c r="M2528" s="846"/>
      <c r="N2528" s="846"/>
      <c r="O2528" s="737">
        <f t="shared" si="319"/>
        <v>0</v>
      </c>
      <c r="P2528" s="847"/>
      <c r="Q2528" s="847"/>
      <c r="R2528" s="738">
        <f t="shared" si="322"/>
        <v>0</v>
      </c>
      <c r="S2528" s="737">
        <f t="shared" si="323"/>
        <v>0</v>
      </c>
      <c r="T2528" s="739">
        <f t="shared" si="324"/>
        <v>0</v>
      </c>
      <c r="U2528" s="846"/>
      <c r="V2528" s="847"/>
      <c r="W2528" s="846"/>
      <c r="X2528" s="846"/>
      <c r="Y2528" s="740">
        <f t="shared" si="320"/>
        <v>0</v>
      </c>
      <c r="Z2528" s="847"/>
      <c r="AA2528" s="847"/>
      <c r="AB2528" s="741">
        <f t="shared" si="321"/>
        <v>0</v>
      </c>
      <c r="AC2528" s="846"/>
      <c r="AD2528" s="847"/>
      <c r="AE2528" s="846"/>
      <c r="AF2528" s="846"/>
      <c r="AG2528" s="847"/>
      <c r="AH2528" s="847"/>
      <c r="AI2528" s="742">
        <f t="shared" si="325"/>
        <v>0</v>
      </c>
      <c r="AJ2528" s="743">
        <f t="shared" si="326"/>
        <v>0</v>
      </c>
    </row>
    <row r="2529" spans="1:36">
      <c r="A2529" s="1410" t="s">
        <v>146</v>
      </c>
      <c r="B2529" s="1146" t="s">
        <v>272</v>
      </c>
      <c r="C2529" s="1137" t="s">
        <v>1834</v>
      </c>
      <c r="D2529" s="1136"/>
      <c r="E2529" s="1420">
        <v>218830</v>
      </c>
      <c r="F2529" s="1110">
        <v>9</v>
      </c>
      <c r="G2529" s="846"/>
      <c r="H2529" s="847"/>
      <c r="I2529" s="846"/>
      <c r="J2529" s="847"/>
      <c r="K2529" s="846"/>
      <c r="L2529" s="847"/>
      <c r="M2529" s="846"/>
      <c r="N2529" s="846"/>
      <c r="O2529" s="737">
        <f t="shared" si="319"/>
        <v>0</v>
      </c>
      <c r="P2529" s="847"/>
      <c r="Q2529" s="847"/>
      <c r="R2529" s="738">
        <f t="shared" si="322"/>
        <v>0</v>
      </c>
      <c r="S2529" s="737">
        <f t="shared" si="323"/>
        <v>0</v>
      </c>
      <c r="T2529" s="739">
        <f t="shared" si="324"/>
        <v>0</v>
      </c>
      <c r="U2529" s="846"/>
      <c r="V2529" s="847"/>
      <c r="W2529" s="846"/>
      <c r="X2529" s="846"/>
      <c r="Y2529" s="740">
        <f t="shared" si="320"/>
        <v>0</v>
      </c>
      <c r="Z2529" s="847"/>
      <c r="AA2529" s="847"/>
      <c r="AB2529" s="741">
        <f t="shared" si="321"/>
        <v>0</v>
      </c>
      <c r="AC2529" s="846"/>
      <c r="AD2529" s="847"/>
      <c r="AE2529" s="846"/>
      <c r="AF2529" s="846"/>
      <c r="AG2529" s="847"/>
      <c r="AH2529" s="847"/>
      <c r="AI2529" s="742">
        <f t="shared" si="325"/>
        <v>0</v>
      </c>
      <c r="AJ2529" s="743">
        <f t="shared" si="326"/>
        <v>0</v>
      </c>
    </row>
    <row r="2530" spans="1:36">
      <c r="A2530" s="1410" t="s">
        <v>146</v>
      </c>
      <c r="B2530" s="1146" t="s">
        <v>272</v>
      </c>
      <c r="C2530" s="1137" t="s">
        <v>1852</v>
      </c>
      <c r="D2530" s="1136"/>
      <c r="E2530" s="1420">
        <v>218830</v>
      </c>
      <c r="F2530" s="1110">
        <v>9</v>
      </c>
      <c r="G2530" s="846"/>
      <c r="H2530" s="847"/>
      <c r="I2530" s="846">
        <v>840000</v>
      </c>
      <c r="J2530" s="847">
        <v>750000</v>
      </c>
      <c r="K2530" s="846"/>
      <c r="L2530" s="847"/>
      <c r="M2530" s="846"/>
      <c r="N2530" s="846"/>
      <c r="O2530" s="737">
        <f t="shared" si="319"/>
        <v>0</v>
      </c>
      <c r="P2530" s="847"/>
      <c r="Q2530" s="847"/>
      <c r="R2530" s="738">
        <f t="shared" si="322"/>
        <v>0</v>
      </c>
      <c r="S2530" s="737">
        <f t="shared" si="323"/>
        <v>840000</v>
      </c>
      <c r="T2530" s="739">
        <f t="shared" si="324"/>
        <v>750000</v>
      </c>
      <c r="U2530" s="846"/>
      <c r="V2530" s="847"/>
      <c r="W2530" s="846"/>
      <c r="X2530" s="846"/>
      <c r="Y2530" s="740">
        <f t="shared" si="320"/>
        <v>0</v>
      </c>
      <c r="Z2530" s="847"/>
      <c r="AA2530" s="847"/>
      <c r="AB2530" s="741">
        <f t="shared" si="321"/>
        <v>0</v>
      </c>
      <c r="AC2530" s="846"/>
      <c r="AD2530" s="847"/>
      <c r="AE2530" s="846"/>
      <c r="AF2530" s="846"/>
      <c r="AG2530" s="847"/>
      <c r="AH2530" s="847"/>
      <c r="AI2530" s="742">
        <f t="shared" si="325"/>
        <v>840000</v>
      </c>
      <c r="AJ2530" s="743">
        <f t="shared" si="326"/>
        <v>750000</v>
      </c>
    </row>
    <row r="2531" spans="1:36">
      <c r="A2531" s="1410" t="s">
        <v>146</v>
      </c>
      <c r="B2531" s="1146" t="s">
        <v>272</v>
      </c>
      <c r="C2531" s="1137" t="s">
        <v>1853</v>
      </c>
      <c r="D2531" s="1136"/>
      <c r="E2531" s="1420">
        <v>218830</v>
      </c>
      <c r="F2531" s="1110">
        <v>9</v>
      </c>
      <c r="G2531" s="846"/>
      <c r="H2531" s="847"/>
      <c r="I2531" s="846">
        <v>906816</v>
      </c>
      <c r="J2531" s="847">
        <v>906816</v>
      </c>
      <c r="K2531" s="846"/>
      <c r="L2531" s="847"/>
      <c r="M2531" s="846"/>
      <c r="N2531" s="846"/>
      <c r="O2531" s="737">
        <f t="shared" si="319"/>
        <v>0</v>
      </c>
      <c r="P2531" s="847"/>
      <c r="Q2531" s="847"/>
      <c r="R2531" s="738">
        <f t="shared" si="322"/>
        <v>0</v>
      </c>
      <c r="S2531" s="737">
        <f t="shared" si="323"/>
        <v>906816</v>
      </c>
      <c r="T2531" s="739">
        <f t="shared" si="324"/>
        <v>906816</v>
      </c>
      <c r="U2531" s="846"/>
      <c r="V2531" s="847"/>
      <c r="W2531" s="846"/>
      <c r="X2531" s="846"/>
      <c r="Y2531" s="740">
        <f t="shared" si="320"/>
        <v>0</v>
      </c>
      <c r="Z2531" s="847"/>
      <c r="AA2531" s="847"/>
      <c r="AB2531" s="741">
        <f t="shared" si="321"/>
        <v>0</v>
      </c>
      <c r="AC2531" s="846"/>
      <c r="AD2531" s="847"/>
      <c r="AE2531" s="846"/>
      <c r="AF2531" s="846"/>
      <c r="AG2531" s="847"/>
      <c r="AH2531" s="847"/>
      <c r="AI2531" s="742">
        <f t="shared" si="325"/>
        <v>906816</v>
      </c>
      <c r="AJ2531" s="743">
        <f t="shared" si="326"/>
        <v>906816</v>
      </c>
    </row>
    <row r="2532" spans="1:36">
      <c r="A2532" s="1410" t="s">
        <v>146</v>
      </c>
      <c r="B2532" s="1146" t="s">
        <v>272</v>
      </c>
      <c r="C2532" s="1137" t="s">
        <v>1829</v>
      </c>
      <c r="D2532" s="1136"/>
      <c r="E2532" s="1420">
        <v>218830</v>
      </c>
      <c r="F2532" s="1110">
        <v>9</v>
      </c>
      <c r="G2532" s="846"/>
      <c r="H2532" s="847"/>
      <c r="I2532" s="846">
        <v>37784</v>
      </c>
      <c r="J2532" s="847">
        <v>37784</v>
      </c>
      <c r="K2532" s="846"/>
      <c r="L2532" s="847"/>
      <c r="M2532" s="846"/>
      <c r="N2532" s="846"/>
      <c r="O2532" s="737">
        <f t="shared" si="319"/>
        <v>0</v>
      </c>
      <c r="P2532" s="847"/>
      <c r="Q2532" s="847"/>
      <c r="R2532" s="738">
        <f t="shared" si="322"/>
        <v>0</v>
      </c>
      <c r="S2532" s="737">
        <f t="shared" si="323"/>
        <v>37784</v>
      </c>
      <c r="T2532" s="739">
        <f t="shared" si="324"/>
        <v>37784</v>
      </c>
      <c r="U2532" s="846"/>
      <c r="V2532" s="847"/>
      <c r="W2532" s="846"/>
      <c r="X2532" s="846"/>
      <c r="Y2532" s="740">
        <f t="shared" si="320"/>
        <v>0</v>
      </c>
      <c r="Z2532" s="847"/>
      <c r="AA2532" s="847"/>
      <c r="AB2532" s="741">
        <f t="shared" si="321"/>
        <v>0</v>
      </c>
      <c r="AC2532" s="846"/>
      <c r="AD2532" s="847"/>
      <c r="AE2532" s="846"/>
      <c r="AF2532" s="846"/>
      <c r="AG2532" s="847"/>
      <c r="AH2532" s="847"/>
      <c r="AI2532" s="742">
        <f t="shared" si="325"/>
        <v>37784</v>
      </c>
      <c r="AJ2532" s="743">
        <f t="shared" si="326"/>
        <v>37784</v>
      </c>
    </row>
    <row r="2533" spans="1:36">
      <c r="A2533" s="1410" t="s">
        <v>146</v>
      </c>
      <c r="B2533" s="1146" t="s">
        <v>272</v>
      </c>
      <c r="C2533" s="1137" t="s">
        <v>1777</v>
      </c>
      <c r="D2533" s="1136"/>
      <c r="E2533" s="1420">
        <v>218830</v>
      </c>
      <c r="F2533" s="1110">
        <v>9</v>
      </c>
      <c r="G2533" s="846"/>
      <c r="H2533" s="847"/>
      <c r="I2533" s="846">
        <v>233962</v>
      </c>
      <c r="J2533" s="847">
        <v>213329</v>
      </c>
      <c r="K2533" s="846"/>
      <c r="L2533" s="847"/>
      <c r="M2533" s="846"/>
      <c r="N2533" s="846"/>
      <c r="O2533" s="737">
        <f t="shared" si="319"/>
        <v>0</v>
      </c>
      <c r="P2533" s="847"/>
      <c r="Q2533" s="847"/>
      <c r="R2533" s="738">
        <f t="shared" si="322"/>
        <v>0</v>
      </c>
      <c r="S2533" s="737">
        <f t="shared" si="323"/>
        <v>233962</v>
      </c>
      <c r="T2533" s="739">
        <f t="shared" si="324"/>
        <v>213329</v>
      </c>
      <c r="U2533" s="846"/>
      <c r="V2533" s="847"/>
      <c r="W2533" s="846"/>
      <c r="X2533" s="846"/>
      <c r="Y2533" s="740">
        <f t="shared" si="320"/>
        <v>0</v>
      </c>
      <c r="Z2533" s="847"/>
      <c r="AA2533" s="847"/>
      <c r="AB2533" s="741">
        <f t="shared" si="321"/>
        <v>0</v>
      </c>
      <c r="AC2533" s="846"/>
      <c r="AD2533" s="847"/>
      <c r="AE2533" s="846"/>
      <c r="AF2533" s="846"/>
      <c r="AG2533" s="847"/>
      <c r="AH2533" s="847"/>
      <c r="AI2533" s="742">
        <f t="shared" si="325"/>
        <v>233962</v>
      </c>
      <c r="AJ2533" s="743">
        <f t="shared" si="326"/>
        <v>213329</v>
      </c>
    </row>
    <row r="2534" spans="1:36">
      <c r="A2534" s="1410" t="s">
        <v>146</v>
      </c>
      <c r="B2534" s="1146" t="s">
        <v>272</v>
      </c>
      <c r="C2534" s="1414" t="s">
        <v>1831</v>
      </c>
      <c r="D2534" s="1136"/>
      <c r="E2534" s="1420">
        <v>218830</v>
      </c>
      <c r="F2534" s="1422">
        <v>9</v>
      </c>
      <c r="G2534" s="846"/>
      <c r="H2534" s="847"/>
      <c r="I2534" s="846"/>
      <c r="J2534" s="847">
        <v>60168</v>
      </c>
      <c r="K2534" s="846"/>
      <c r="L2534" s="847"/>
      <c r="M2534" s="846"/>
      <c r="N2534" s="846"/>
      <c r="O2534" s="737">
        <f t="shared" si="319"/>
        <v>0</v>
      </c>
      <c r="P2534" s="847"/>
      <c r="Q2534" s="847"/>
      <c r="R2534" s="738">
        <f t="shared" si="322"/>
        <v>0</v>
      </c>
      <c r="S2534" s="737">
        <f t="shared" si="323"/>
        <v>0</v>
      </c>
      <c r="T2534" s="739">
        <f t="shared" si="324"/>
        <v>60168</v>
      </c>
      <c r="U2534" s="846"/>
      <c r="V2534" s="847"/>
      <c r="W2534" s="846"/>
      <c r="X2534" s="846"/>
      <c r="Y2534" s="740">
        <f t="shared" si="320"/>
        <v>0</v>
      </c>
      <c r="Z2534" s="847"/>
      <c r="AA2534" s="847"/>
      <c r="AB2534" s="741">
        <f t="shared" si="321"/>
        <v>0</v>
      </c>
      <c r="AC2534" s="846"/>
      <c r="AD2534" s="847"/>
      <c r="AE2534" s="846"/>
      <c r="AF2534" s="846"/>
      <c r="AG2534" s="847"/>
      <c r="AH2534" s="847"/>
      <c r="AI2534" s="742">
        <f t="shared" si="325"/>
        <v>0</v>
      </c>
      <c r="AJ2534" s="743">
        <f t="shared" si="326"/>
        <v>60168</v>
      </c>
    </row>
    <row r="2535" spans="1:36">
      <c r="A2535" s="1410" t="s">
        <v>146</v>
      </c>
      <c r="B2535" s="1146" t="s">
        <v>272</v>
      </c>
      <c r="C2535" s="1424" t="s">
        <v>1854</v>
      </c>
      <c r="D2535" s="1136"/>
      <c r="E2535" s="1420">
        <v>218830</v>
      </c>
      <c r="F2535" s="1110">
        <v>9</v>
      </c>
      <c r="G2535" s="846"/>
      <c r="H2535" s="847"/>
      <c r="I2535" s="846"/>
      <c r="J2535" s="847">
        <v>500000</v>
      </c>
      <c r="K2535" s="846"/>
      <c r="L2535" s="847"/>
      <c r="M2535" s="846"/>
      <c r="N2535" s="846"/>
      <c r="O2535" s="737">
        <f t="shared" si="319"/>
        <v>0</v>
      </c>
      <c r="P2535" s="847"/>
      <c r="Q2535" s="847"/>
      <c r="R2535" s="738">
        <f t="shared" si="322"/>
        <v>0</v>
      </c>
      <c r="S2535" s="737">
        <f t="shared" si="323"/>
        <v>0</v>
      </c>
      <c r="T2535" s="739">
        <f t="shared" si="324"/>
        <v>500000</v>
      </c>
      <c r="U2535" s="846"/>
      <c r="V2535" s="847"/>
      <c r="W2535" s="846"/>
      <c r="X2535" s="846"/>
      <c r="Y2535" s="740">
        <f t="shared" si="320"/>
        <v>0</v>
      </c>
      <c r="Z2535" s="847"/>
      <c r="AA2535" s="847"/>
      <c r="AB2535" s="741">
        <f t="shared" si="321"/>
        <v>0</v>
      </c>
      <c r="AC2535" s="846"/>
      <c r="AD2535" s="847"/>
      <c r="AE2535" s="846"/>
      <c r="AF2535" s="846"/>
      <c r="AG2535" s="847"/>
      <c r="AH2535" s="847"/>
      <c r="AI2535" s="742">
        <f t="shared" si="325"/>
        <v>0</v>
      </c>
      <c r="AJ2535" s="743">
        <f t="shared" si="326"/>
        <v>500000</v>
      </c>
    </row>
    <row r="2536" spans="1:36">
      <c r="A2536" s="1410" t="s">
        <v>146</v>
      </c>
      <c r="B2536" s="1146" t="s">
        <v>264</v>
      </c>
      <c r="C2536" s="1146" t="s">
        <v>1855</v>
      </c>
      <c r="D2536" s="1136"/>
      <c r="E2536" s="1436">
        <v>218991</v>
      </c>
      <c r="F2536" s="1422">
        <v>9</v>
      </c>
      <c r="G2536" s="846">
        <v>5698246</v>
      </c>
      <c r="H2536" s="847">
        <v>5698246</v>
      </c>
      <c r="I2536" s="846"/>
      <c r="J2536" s="1425"/>
      <c r="K2536" s="890">
        <v>3927139</v>
      </c>
      <c r="L2536" s="847">
        <v>4125384</v>
      </c>
      <c r="M2536" s="846">
        <v>21976950</v>
      </c>
      <c r="N2536" s="846">
        <v>0</v>
      </c>
      <c r="O2536" s="737">
        <f t="shared" si="319"/>
        <v>21976950</v>
      </c>
      <c r="P2536" s="847">
        <v>22291928</v>
      </c>
      <c r="Q2536" s="847">
        <v>0</v>
      </c>
      <c r="R2536" s="738">
        <f t="shared" si="322"/>
        <v>22291928</v>
      </c>
      <c r="S2536" s="737">
        <f t="shared" si="323"/>
        <v>31602335</v>
      </c>
      <c r="T2536" s="739">
        <f t="shared" si="324"/>
        <v>32115558</v>
      </c>
      <c r="U2536" s="846"/>
      <c r="V2536" s="847"/>
      <c r="W2536" s="846"/>
      <c r="X2536" s="846"/>
      <c r="Y2536" s="740">
        <f t="shared" si="320"/>
        <v>0</v>
      </c>
      <c r="Z2536" s="847"/>
      <c r="AA2536" s="847"/>
      <c r="AB2536" s="741">
        <f t="shared" si="321"/>
        <v>0</v>
      </c>
      <c r="AC2536" s="846"/>
      <c r="AD2536" s="847"/>
      <c r="AE2536" s="846"/>
      <c r="AF2536" s="846"/>
      <c r="AG2536" s="847"/>
      <c r="AH2536" s="847"/>
      <c r="AI2536" s="742">
        <f t="shared" si="325"/>
        <v>31602335</v>
      </c>
      <c r="AJ2536" s="743">
        <f t="shared" si="326"/>
        <v>32115558</v>
      </c>
    </row>
    <row r="2537" spans="1:36">
      <c r="A2537" s="1410" t="s">
        <v>146</v>
      </c>
      <c r="B2537" s="1146" t="s">
        <v>264</v>
      </c>
      <c r="C2537" s="1421" t="s">
        <v>1822</v>
      </c>
      <c r="D2537" s="1136"/>
      <c r="E2537" s="1436">
        <v>218991</v>
      </c>
      <c r="F2537" s="1422">
        <v>9</v>
      </c>
      <c r="G2537" s="846"/>
      <c r="H2537" s="847">
        <v>159862</v>
      </c>
      <c r="I2537" s="846"/>
      <c r="J2537" s="352"/>
      <c r="K2537" s="846"/>
      <c r="L2537" s="847"/>
      <c r="M2537" s="846"/>
      <c r="N2537" s="846"/>
      <c r="O2537" s="737">
        <f t="shared" si="319"/>
        <v>0</v>
      </c>
      <c r="P2537" s="847"/>
      <c r="Q2537" s="847"/>
      <c r="R2537" s="738">
        <f t="shared" si="322"/>
        <v>0</v>
      </c>
      <c r="S2537" s="737">
        <f t="shared" si="323"/>
        <v>0</v>
      </c>
      <c r="T2537" s="739">
        <f t="shared" si="324"/>
        <v>159862</v>
      </c>
      <c r="U2537" s="846"/>
      <c r="V2537" s="847"/>
      <c r="W2537" s="846"/>
      <c r="X2537" s="846"/>
      <c r="Y2537" s="740">
        <f t="shared" si="320"/>
        <v>0</v>
      </c>
      <c r="Z2537" s="847"/>
      <c r="AA2537" s="847"/>
      <c r="AB2537" s="741">
        <f t="shared" si="321"/>
        <v>0</v>
      </c>
      <c r="AC2537" s="846"/>
      <c r="AD2537" s="847"/>
      <c r="AE2537" s="846"/>
      <c r="AF2537" s="846"/>
      <c r="AG2537" s="847"/>
      <c r="AH2537" s="847"/>
      <c r="AI2537" s="742">
        <f t="shared" si="325"/>
        <v>0</v>
      </c>
      <c r="AJ2537" s="743">
        <f t="shared" si="326"/>
        <v>159862</v>
      </c>
    </row>
    <row r="2538" spans="1:36">
      <c r="A2538" s="1410" t="s">
        <v>146</v>
      </c>
      <c r="B2538" s="1146" t="s">
        <v>272</v>
      </c>
      <c r="C2538" s="1135" t="s">
        <v>842</v>
      </c>
      <c r="D2538" s="1136"/>
      <c r="E2538" s="1420">
        <v>218991</v>
      </c>
      <c r="F2538" s="1110">
        <v>9</v>
      </c>
      <c r="G2538" s="846"/>
      <c r="H2538" s="847"/>
      <c r="I2538" s="846"/>
      <c r="J2538" s="847"/>
      <c r="K2538" s="846"/>
      <c r="L2538" s="847"/>
      <c r="M2538" s="846"/>
      <c r="N2538" s="846"/>
      <c r="O2538" s="737">
        <f t="shared" si="319"/>
        <v>0</v>
      </c>
      <c r="P2538" s="847"/>
      <c r="Q2538" s="847"/>
      <c r="R2538" s="738">
        <f t="shared" si="322"/>
        <v>0</v>
      </c>
      <c r="S2538" s="737">
        <f t="shared" si="323"/>
        <v>0</v>
      </c>
      <c r="T2538" s="739">
        <f t="shared" si="324"/>
        <v>0</v>
      </c>
      <c r="U2538" s="846"/>
      <c r="V2538" s="847"/>
      <c r="W2538" s="846"/>
      <c r="X2538" s="846"/>
      <c r="Y2538" s="740">
        <f t="shared" si="320"/>
        <v>0</v>
      </c>
      <c r="Z2538" s="847"/>
      <c r="AA2538" s="847"/>
      <c r="AB2538" s="741">
        <f t="shared" si="321"/>
        <v>0</v>
      </c>
      <c r="AC2538" s="846"/>
      <c r="AD2538" s="847"/>
      <c r="AE2538" s="846"/>
      <c r="AF2538" s="846"/>
      <c r="AG2538" s="847"/>
      <c r="AH2538" s="847"/>
      <c r="AI2538" s="742">
        <f t="shared" si="325"/>
        <v>0</v>
      </c>
      <c r="AJ2538" s="743">
        <f t="shared" si="326"/>
        <v>0</v>
      </c>
    </row>
    <row r="2539" spans="1:36">
      <c r="A2539" s="1410" t="s">
        <v>146</v>
      </c>
      <c r="B2539" s="1146" t="s">
        <v>272</v>
      </c>
      <c r="C2539" s="1137" t="s">
        <v>1756</v>
      </c>
      <c r="D2539" s="1136"/>
      <c r="E2539" s="1420">
        <v>218991</v>
      </c>
      <c r="F2539" s="1110">
        <v>9</v>
      </c>
      <c r="G2539" s="846"/>
      <c r="H2539" s="847"/>
      <c r="I2539" s="846">
        <v>500</v>
      </c>
      <c r="J2539" s="847">
        <v>411</v>
      </c>
      <c r="K2539" s="846"/>
      <c r="L2539" s="847"/>
      <c r="M2539" s="846"/>
      <c r="N2539" s="846"/>
      <c r="O2539" s="737">
        <f t="shared" si="319"/>
        <v>0</v>
      </c>
      <c r="P2539" s="847"/>
      <c r="Q2539" s="847"/>
      <c r="R2539" s="738">
        <f t="shared" si="322"/>
        <v>0</v>
      </c>
      <c r="S2539" s="737">
        <f t="shared" si="323"/>
        <v>500</v>
      </c>
      <c r="T2539" s="739">
        <f t="shared" si="324"/>
        <v>411</v>
      </c>
      <c r="U2539" s="846"/>
      <c r="V2539" s="847"/>
      <c r="W2539" s="846"/>
      <c r="X2539" s="846"/>
      <c r="Y2539" s="740">
        <f t="shared" si="320"/>
        <v>0</v>
      </c>
      <c r="Z2539" s="847"/>
      <c r="AA2539" s="847"/>
      <c r="AB2539" s="741">
        <f t="shared" si="321"/>
        <v>0</v>
      </c>
      <c r="AC2539" s="846"/>
      <c r="AD2539" s="847"/>
      <c r="AE2539" s="846"/>
      <c r="AF2539" s="846"/>
      <c r="AG2539" s="847"/>
      <c r="AH2539" s="847"/>
      <c r="AI2539" s="742">
        <f t="shared" si="325"/>
        <v>500</v>
      </c>
      <c r="AJ2539" s="743">
        <f t="shared" si="326"/>
        <v>411</v>
      </c>
    </row>
    <row r="2540" spans="1:36">
      <c r="A2540" s="1410" t="s">
        <v>146</v>
      </c>
      <c r="B2540" s="1146" t="s">
        <v>272</v>
      </c>
      <c r="C2540" s="1137" t="s">
        <v>1823</v>
      </c>
      <c r="D2540" s="1136"/>
      <c r="E2540" s="1420">
        <v>218991</v>
      </c>
      <c r="F2540" s="1110">
        <v>9</v>
      </c>
      <c r="G2540" s="846"/>
      <c r="H2540" s="847"/>
      <c r="I2540" s="846">
        <v>119539</v>
      </c>
      <c r="J2540" s="847">
        <v>105628</v>
      </c>
      <c r="K2540" s="846"/>
      <c r="L2540" s="847"/>
      <c r="M2540" s="846"/>
      <c r="N2540" s="846"/>
      <c r="O2540" s="737">
        <f t="shared" si="319"/>
        <v>0</v>
      </c>
      <c r="P2540" s="847"/>
      <c r="Q2540" s="847"/>
      <c r="R2540" s="738">
        <f t="shared" si="322"/>
        <v>0</v>
      </c>
      <c r="S2540" s="737">
        <f t="shared" si="323"/>
        <v>119539</v>
      </c>
      <c r="T2540" s="739">
        <f t="shared" si="324"/>
        <v>105628</v>
      </c>
      <c r="U2540" s="846"/>
      <c r="V2540" s="847"/>
      <c r="W2540" s="846"/>
      <c r="X2540" s="846"/>
      <c r="Y2540" s="740">
        <f t="shared" si="320"/>
        <v>0</v>
      </c>
      <c r="Z2540" s="847"/>
      <c r="AA2540" s="847"/>
      <c r="AB2540" s="741">
        <f t="shared" si="321"/>
        <v>0</v>
      </c>
      <c r="AC2540" s="846"/>
      <c r="AD2540" s="847"/>
      <c r="AE2540" s="846"/>
      <c r="AF2540" s="846"/>
      <c r="AG2540" s="847"/>
      <c r="AH2540" s="847"/>
      <c r="AI2540" s="742">
        <f t="shared" si="325"/>
        <v>119539</v>
      </c>
      <c r="AJ2540" s="743">
        <f t="shared" si="326"/>
        <v>105628</v>
      </c>
    </row>
    <row r="2541" spans="1:36">
      <c r="A2541" s="1410" t="s">
        <v>146</v>
      </c>
      <c r="B2541" s="1146" t="s">
        <v>272</v>
      </c>
      <c r="C2541" s="1414" t="s">
        <v>1824</v>
      </c>
      <c r="D2541" s="1136"/>
      <c r="E2541" s="1420">
        <v>218991</v>
      </c>
      <c r="F2541" s="1110">
        <v>9</v>
      </c>
      <c r="G2541" s="846"/>
      <c r="H2541" s="847"/>
      <c r="I2541" s="846"/>
      <c r="J2541" s="847">
        <v>147640</v>
      </c>
      <c r="K2541" s="846"/>
      <c r="L2541" s="847"/>
      <c r="M2541" s="846"/>
      <c r="N2541" s="846"/>
      <c r="O2541" s="737">
        <f t="shared" si="319"/>
        <v>0</v>
      </c>
      <c r="P2541" s="847"/>
      <c r="Q2541" s="847"/>
      <c r="R2541" s="738">
        <f t="shared" si="322"/>
        <v>0</v>
      </c>
      <c r="S2541" s="737">
        <f t="shared" si="323"/>
        <v>0</v>
      </c>
      <c r="T2541" s="739">
        <f t="shared" si="324"/>
        <v>147640</v>
      </c>
      <c r="U2541" s="846"/>
      <c r="V2541" s="847"/>
      <c r="W2541" s="846"/>
      <c r="X2541" s="846"/>
      <c r="Y2541" s="740">
        <f t="shared" si="320"/>
        <v>0</v>
      </c>
      <c r="Z2541" s="847"/>
      <c r="AA2541" s="847"/>
      <c r="AB2541" s="741">
        <f t="shared" si="321"/>
        <v>0</v>
      </c>
      <c r="AC2541" s="846"/>
      <c r="AD2541" s="847"/>
      <c r="AE2541" s="846"/>
      <c r="AF2541" s="846"/>
      <c r="AG2541" s="847"/>
      <c r="AH2541" s="847"/>
      <c r="AI2541" s="742">
        <f t="shared" si="325"/>
        <v>0</v>
      </c>
      <c r="AJ2541" s="743">
        <f t="shared" si="326"/>
        <v>147640</v>
      </c>
    </row>
    <row r="2542" spans="1:36">
      <c r="A2542" s="1410" t="s">
        <v>146</v>
      </c>
      <c r="B2542" s="1146" t="s">
        <v>272</v>
      </c>
      <c r="C2542" s="1137" t="s">
        <v>1825</v>
      </c>
      <c r="D2542" s="1136"/>
      <c r="E2542" s="1420">
        <v>218991</v>
      </c>
      <c r="F2542" s="1110">
        <v>9</v>
      </c>
      <c r="G2542" s="846"/>
      <c r="H2542" s="847"/>
      <c r="I2542" s="846">
        <v>7538</v>
      </c>
      <c r="J2542" s="847">
        <v>7539</v>
      </c>
      <c r="K2542" s="846"/>
      <c r="L2542" s="847"/>
      <c r="M2542" s="846"/>
      <c r="N2542" s="846"/>
      <c r="O2542" s="737">
        <f t="shared" si="319"/>
        <v>0</v>
      </c>
      <c r="P2542" s="847"/>
      <c r="Q2542" s="847"/>
      <c r="R2542" s="738">
        <f t="shared" si="322"/>
        <v>0</v>
      </c>
      <c r="S2542" s="737">
        <f t="shared" si="323"/>
        <v>7538</v>
      </c>
      <c r="T2542" s="739">
        <f t="shared" si="324"/>
        <v>7539</v>
      </c>
      <c r="U2542" s="846"/>
      <c r="V2542" s="847"/>
      <c r="W2542" s="846"/>
      <c r="X2542" s="846"/>
      <c r="Y2542" s="740">
        <f t="shared" si="320"/>
        <v>0</v>
      </c>
      <c r="Z2542" s="847"/>
      <c r="AA2542" s="847"/>
      <c r="AB2542" s="741">
        <f t="shared" si="321"/>
        <v>0</v>
      </c>
      <c r="AC2542" s="846"/>
      <c r="AD2542" s="847"/>
      <c r="AE2542" s="846"/>
      <c r="AF2542" s="846"/>
      <c r="AG2542" s="847"/>
      <c r="AH2542" s="847"/>
      <c r="AI2542" s="742">
        <f t="shared" si="325"/>
        <v>7538</v>
      </c>
      <c r="AJ2542" s="743">
        <f t="shared" si="326"/>
        <v>7539</v>
      </c>
    </row>
    <row r="2543" spans="1:36">
      <c r="A2543" s="1410" t="s">
        <v>146</v>
      </c>
      <c r="B2543" s="1146" t="s">
        <v>272</v>
      </c>
      <c r="C2543" s="1137" t="s">
        <v>1826</v>
      </c>
      <c r="D2543" s="1136"/>
      <c r="E2543" s="1420">
        <v>218991</v>
      </c>
      <c r="F2543" s="1110">
        <v>9</v>
      </c>
      <c r="G2543" s="846"/>
      <c r="H2543" s="847"/>
      <c r="I2543" s="846"/>
      <c r="J2543" s="847"/>
      <c r="K2543" s="846"/>
      <c r="L2543" s="847"/>
      <c r="M2543" s="846"/>
      <c r="N2543" s="846"/>
      <c r="O2543" s="737">
        <f t="shared" si="319"/>
        <v>0</v>
      </c>
      <c r="P2543" s="847"/>
      <c r="Q2543" s="847"/>
      <c r="R2543" s="738">
        <f t="shared" si="322"/>
        <v>0</v>
      </c>
      <c r="S2543" s="737">
        <f t="shared" si="323"/>
        <v>0</v>
      </c>
      <c r="T2543" s="739">
        <f t="shared" si="324"/>
        <v>0</v>
      </c>
      <c r="U2543" s="846"/>
      <c r="V2543" s="847"/>
      <c r="W2543" s="846"/>
      <c r="X2543" s="846"/>
      <c r="Y2543" s="740">
        <f t="shared" si="320"/>
        <v>0</v>
      </c>
      <c r="Z2543" s="847"/>
      <c r="AA2543" s="847"/>
      <c r="AB2543" s="741">
        <f t="shared" si="321"/>
        <v>0</v>
      </c>
      <c r="AC2543" s="846"/>
      <c r="AD2543" s="847"/>
      <c r="AE2543" s="846"/>
      <c r="AF2543" s="846"/>
      <c r="AG2543" s="847"/>
      <c r="AH2543" s="847"/>
      <c r="AI2543" s="742">
        <f t="shared" si="325"/>
        <v>0</v>
      </c>
      <c r="AJ2543" s="743">
        <f t="shared" si="326"/>
        <v>0</v>
      </c>
    </row>
    <row r="2544" spans="1:36">
      <c r="A2544" s="1410" t="s">
        <v>146</v>
      </c>
      <c r="B2544" s="1146" t="s">
        <v>272</v>
      </c>
      <c r="C2544" s="1137" t="s">
        <v>1829</v>
      </c>
      <c r="D2544" s="1136"/>
      <c r="E2544" s="1420">
        <v>218991</v>
      </c>
      <c r="F2544" s="1110">
        <v>9</v>
      </c>
      <c r="G2544" s="846"/>
      <c r="H2544" s="847"/>
      <c r="I2544" s="846">
        <v>37784</v>
      </c>
      <c r="J2544" s="847">
        <v>37784</v>
      </c>
      <c r="K2544" s="846"/>
      <c r="L2544" s="847"/>
      <c r="M2544" s="846"/>
      <c r="N2544" s="846"/>
      <c r="O2544" s="737">
        <f t="shared" si="319"/>
        <v>0</v>
      </c>
      <c r="P2544" s="847"/>
      <c r="Q2544" s="847"/>
      <c r="R2544" s="738">
        <f t="shared" si="322"/>
        <v>0</v>
      </c>
      <c r="S2544" s="737">
        <f t="shared" si="323"/>
        <v>37784</v>
      </c>
      <c r="T2544" s="739">
        <f t="shared" si="324"/>
        <v>37784</v>
      </c>
      <c r="U2544" s="846"/>
      <c r="V2544" s="847"/>
      <c r="W2544" s="846"/>
      <c r="X2544" s="846"/>
      <c r="Y2544" s="740">
        <f t="shared" si="320"/>
        <v>0</v>
      </c>
      <c r="Z2544" s="847"/>
      <c r="AA2544" s="847"/>
      <c r="AB2544" s="741">
        <f t="shared" si="321"/>
        <v>0</v>
      </c>
      <c r="AC2544" s="846"/>
      <c r="AD2544" s="847"/>
      <c r="AE2544" s="846"/>
      <c r="AF2544" s="846"/>
      <c r="AG2544" s="847"/>
      <c r="AH2544" s="847"/>
      <c r="AI2544" s="742">
        <f t="shared" si="325"/>
        <v>37784</v>
      </c>
      <c r="AJ2544" s="743">
        <f t="shared" si="326"/>
        <v>37784</v>
      </c>
    </row>
    <row r="2545" spans="1:36">
      <c r="A2545" s="1410" t="s">
        <v>146</v>
      </c>
      <c r="B2545" s="1146" t="s">
        <v>272</v>
      </c>
      <c r="C2545" s="1137" t="s">
        <v>1777</v>
      </c>
      <c r="D2545" s="1136"/>
      <c r="E2545" s="1420">
        <v>218991</v>
      </c>
      <c r="F2545" s="1110">
        <v>9</v>
      </c>
      <c r="G2545" s="846"/>
      <c r="H2545" s="847"/>
      <c r="I2545" s="846">
        <v>219293</v>
      </c>
      <c r="J2545" s="847">
        <v>199954</v>
      </c>
      <c r="K2545" s="846"/>
      <c r="L2545" s="847"/>
      <c r="M2545" s="846"/>
      <c r="N2545" s="846"/>
      <c r="O2545" s="737">
        <f t="shared" si="319"/>
        <v>0</v>
      </c>
      <c r="P2545" s="847"/>
      <c r="Q2545" s="847"/>
      <c r="R2545" s="738">
        <f t="shared" si="322"/>
        <v>0</v>
      </c>
      <c r="S2545" s="737">
        <f t="shared" si="323"/>
        <v>219293</v>
      </c>
      <c r="T2545" s="739">
        <f t="shared" si="324"/>
        <v>199954</v>
      </c>
      <c r="U2545" s="846"/>
      <c r="V2545" s="847"/>
      <c r="W2545" s="846"/>
      <c r="X2545" s="846"/>
      <c r="Y2545" s="740">
        <f t="shared" si="320"/>
        <v>0</v>
      </c>
      <c r="Z2545" s="847"/>
      <c r="AA2545" s="847"/>
      <c r="AB2545" s="741">
        <f t="shared" si="321"/>
        <v>0</v>
      </c>
      <c r="AC2545" s="846"/>
      <c r="AD2545" s="847"/>
      <c r="AE2545" s="846"/>
      <c r="AF2545" s="846"/>
      <c r="AG2545" s="847"/>
      <c r="AH2545" s="847"/>
      <c r="AI2545" s="742">
        <f t="shared" si="325"/>
        <v>219293</v>
      </c>
      <c r="AJ2545" s="743">
        <f t="shared" si="326"/>
        <v>199954</v>
      </c>
    </row>
    <row r="2546" spans="1:36">
      <c r="A2546" s="1410" t="s">
        <v>146</v>
      </c>
      <c r="B2546" s="1146" t="s">
        <v>272</v>
      </c>
      <c r="C2546" s="1414" t="s">
        <v>1831</v>
      </c>
      <c r="D2546" s="1136"/>
      <c r="E2546" s="1420">
        <v>218991</v>
      </c>
      <c r="F2546" s="1422">
        <v>9</v>
      </c>
      <c r="G2546" s="846"/>
      <c r="H2546" s="847"/>
      <c r="I2546" s="846"/>
      <c r="J2546" s="847">
        <v>56396</v>
      </c>
      <c r="K2546" s="846"/>
      <c r="L2546" s="847"/>
      <c r="M2546" s="846"/>
      <c r="N2546" s="846"/>
      <c r="O2546" s="737">
        <f t="shared" si="319"/>
        <v>0</v>
      </c>
      <c r="P2546" s="847"/>
      <c r="Q2546" s="847"/>
      <c r="R2546" s="738">
        <f t="shared" si="322"/>
        <v>0</v>
      </c>
      <c r="S2546" s="737">
        <f t="shared" si="323"/>
        <v>0</v>
      </c>
      <c r="T2546" s="739">
        <f t="shared" si="324"/>
        <v>56396</v>
      </c>
      <c r="U2546" s="846"/>
      <c r="V2546" s="847"/>
      <c r="W2546" s="846"/>
      <c r="X2546" s="846"/>
      <c r="Y2546" s="740">
        <f t="shared" si="320"/>
        <v>0</v>
      </c>
      <c r="Z2546" s="847"/>
      <c r="AA2546" s="847"/>
      <c r="AB2546" s="741">
        <f t="shared" si="321"/>
        <v>0</v>
      </c>
      <c r="AC2546" s="846"/>
      <c r="AD2546" s="847"/>
      <c r="AE2546" s="846"/>
      <c r="AF2546" s="846"/>
      <c r="AG2546" s="847"/>
      <c r="AH2546" s="847"/>
      <c r="AI2546" s="742">
        <f t="shared" si="325"/>
        <v>0</v>
      </c>
      <c r="AJ2546" s="743">
        <f t="shared" si="326"/>
        <v>56396</v>
      </c>
    </row>
    <row r="2547" spans="1:36">
      <c r="A2547" s="1410" t="s">
        <v>146</v>
      </c>
      <c r="B2547" s="1146" t="s">
        <v>264</v>
      </c>
      <c r="C2547" s="1411" t="s">
        <v>1856</v>
      </c>
      <c r="D2547" s="1136"/>
      <c r="E2547" s="1420">
        <v>217989</v>
      </c>
      <c r="F2547" s="1110">
        <v>10</v>
      </c>
      <c r="G2547" s="846">
        <v>2116371</v>
      </c>
      <c r="H2547" s="847">
        <v>2116371</v>
      </c>
      <c r="I2547" s="846"/>
      <c r="J2547" s="847"/>
      <c r="K2547" s="846">
        <v>5500</v>
      </c>
      <c r="L2547" s="847">
        <v>3300</v>
      </c>
      <c r="M2547" s="846">
        <v>4669270</v>
      </c>
      <c r="N2547" s="846">
        <v>0</v>
      </c>
      <c r="O2547" s="737">
        <f t="shared" si="319"/>
        <v>4669270</v>
      </c>
      <c r="P2547" s="847">
        <v>4161168</v>
      </c>
      <c r="Q2547" s="847">
        <v>0</v>
      </c>
      <c r="R2547" s="738">
        <f t="shared" si="322"/>
        <v>4161168</v>
      </c>
      <c r="S2547" s="737">
        <f t="shared" si="323"/>
        <v>6791141</v>
      </c>
      <c r="T2547" s="739">
        <f t="shared" si="324"/>
        <v>6280839</v>
      </c>
      <c r="U2547" s="846"/>
      <c r="V2547" s="847"/>
      <c r="W2547" s="846"/>
      <c r="X2547" s="846"/>
      <c r="Y2547" s="740">
        <f t="shared" si="320"/>
        <v>0</v>
      </c>
      <c r="Z2547" s="847"/>
      <c r="AA2547" s="847"/>
      <c r="AB2547" s="741">
        <f t="shared" si="321"/>
        <v>0</v>
      </c>
      <c r="AC2547" s="846"/>
      <c r="AD2547" s="847"/>
      <c r="AE2547" s="846"/>
      <c r="AF2547" s="846"/>
      <c r="AG2547" s="847"/>
      <c r="AH2547" s="847"/>
      <c r="AI2547" s="742">
        <f t="shared" si="325"/>
        <v>6791141</v>
      </c>
      <c r="AJ2547" s="743">
        <f t="shared" si="326"/>
        <v>6280839</v>
      </c>
    </row>
    <row r="2548" spans="1:36">
      <c r="A2548" s="1410" t="s">
        <v>146</v>
      </c>
      <c r="B2548" s="1146" t="s">
        <v>264</v>
      </c>
      <c r="C2548" s="1421" t="s">
        <v>1822</v>
      </c>
      <c r="D2548" s="1136"/>
      <c r="E2548" s="1436">
        <v>217989</v>
      </c>
      <c r="F2548" s="1422">
        <v>10</v>
      </c>
      <c r="G2548" s="846"/>
      <c r="H2548" s="847">
        <v>59374</v>
      </c>
      <c r="I2548" s="846"/>
      <c r="J2548" s="352"/>
      <c r="K2548" s="846"/>
      <c r="L2548" s="847"/>
      <c r="M2548" s="846"/>
      <c r="N2548" s="846"/>
      <c r="O2548" s="737">
        <f t="shared" si="319"/>
        <v>0</v>
      </c>
      <c r="P2548" s="847"/>
      <c r="Q2548" s="847"/>
      <c r="R2548" s="738">
        <f t="shared" si="322"/>
        <v>0</v>
      </c>
      <c r="S2548" s="737">
        <f t="shared" si="323"/>
        <v>0</v>
      </c>
      <c r="T2548" s="739">
        <f t="shared" si="324"/>
        <v>59374</v>
      </c>
      <c r="U2548" s="846"/>
      <c r="V2548" s="847"/>
      <c r="W2548" s="846"/>
      <c r="X2548" s="846"/>
      <c r="Y2548" s="740">
        <f t="shared" si="320"/>
        <v>0</v>
      </c>
      <c r="Z2548" s="847"/>
      <c r="AA2548" s="847"/>
      <c r="AB2548" s="741">
        <f t="shared" si="321"/>
        <v>0</v>
      </c>
      <c r="AC2548" s="846"/>
      <c r="AD2548" s="847"/>
      <c r="AE2548" s="846"/>
      <c r="AF2548" s="846"/>
      <c r="AG2548" s="847"/>
      <c r="AH2548" s="847"/>
      <c r="AI2548" s="742">
        <f t="shared" si="325"/>
        <v>0</v>
      </c>
      <c r="AJ2548" s="743">
        <f t="shared" si="326"/>
        <v>59374</v>
      </c>
    </row>
    <row r="2549" spans="1:36">
      <c r="A2549" s="1410" t="s">
        <v>146</v>
      </c>
      <c r="B2549" s="1146" t="s">
        <v>272</v>
      </c>
      <c r="C2549" s="1135" t="s">
        <v>842</v>
      </c>
      <c r="D2549" s="1136"/>
      <c r="E2549" s="1420">
        <v>217989</v>
      </c>
      <c r="F2549" s="1110">
        <v>10</v>
      </c>
      <c r="G2549" s="846"/>
      <c r="H2549" s="847"/>
      <c r="I2549" s="846"/>
      <c r="J2549" s="847"/>
      <c r="K2549" s="846"/>
      <c r="L2549" s="847"/>
      <c r="M2549" s="846"/>
      <c r="N2549" s="846"/>
      <c r="O2549" s="737">
        <f t="shared" si="319"/>
        <v>0</v>
      </c>
      <c r="P2549" s="847"/>
      <c r="Q2549" s="847"/>
      <c r="R2549" s="738">
        <f t="shared" si="322"/>
        <v>0</v>
      </c>
      <c r="S2549" s="737">
        <f t="shared" si="323"/>
        <v>0</v>
      </c>
      <c r="T2549" s="739">
        <f t="shared" si="324"/>
        <v>0</v>
      </c>
      <c r="U2549" s="846"/>
      <c r="V2549" s="847"/>
      <c r="W2549" s="846"/>
      <c r="X2549" s="846"/>
      <c r="Y2549" s="740">
        <f t="shared" si="320"/>
        <v>0</v>
      </c>
      <c r="Z2549" s="847"/>
      <c r="AA2549" s="847"/>
      <c r="AB2549" s="741">
        <f t="shared" si="321"/>
        <v>0</v>
      </c>
      <c r="AC2549" s="846"/>
      <c r="AD2549" s="847"/>
      <c r="AE2549" s="846"/>
      <c r="AF2549" s="846"/>
      <c r="AG2549" s="847"/>
      <c r="AH2549" s="847"/>
      <c r="AI2549" s="742">
        <f t="shared" si="325"/>
        <v>0</v>
      </c>
      <c r="AJ2549" s="743">
        <f t="shared" si="326"/>
        <v>0</v>
      </c>
    </row>
    <row r="2550" spans="1:36">
      <c r="A2550" s="1410" t="s">
        <v>146</v>
      </c>
      <c r="B2550" s="1146" t="s">
        <v>272</v>
      </c>
      <c r="C2550" s="1137" t="s">
        <v>1826</v>
      </c>
      <c r="D2550" s="1136"/>
      <c r="E2550" s="1420">
        <v>217989</v>
      </c>
      <c r="F2550" s="1110">
        <v>10</v>
      </c>
      <c r="G2550" s="846"/>
      <c r="H2550" s="847"/>
      <c r="I2550" s="846"/>
      <c r="J2550" s="847"/>
      <c r="K2550" s="846"/>
      <c r="L2550" s="847"/>
      <c r="M2550" s="846"/>
      <c r="N2550" s="846"/>
      <c r="O2550" s="737">
        <f t="shared" si="319"/>
        <v>0</v>
      </c>
      <c r="P2550" s="847"/>
      <c r="Q2550" s="847"/>
      <c r="R2550" s="738">
        <f t="shared" si="322"/>
        <v>0</v>
      </c>
      <c r="S2550" s="737">
        <f t="shared" si="323"/>
        <v>0</v>
      </c>
      <c r="T2550" s="739">
        <f t="shared" si="324"/>
        <v>0</v>
      </c>
      <c r="U2550" s="846"/>
      <c r="V2550" s="847"/>
      <c r="W2550" s="846"/>
      <c r="X2550" s="846"/>
      <c r="Y2550" s="740">
        <f t="shared" si="320"/>
        <v>0</v>
      </c>
      <c r="Z2550" s="847"/>
      <c r="AA2550" s="847"/>
      <c r="AB2550" s="741">
        <f t="shared" si="321"/>
        <v>0</v>
      </c>
      <c r="AC2550" s="846"/>
      <c r="AD2550" s="847"/>
      <c r="AE2550" s="846"/>
      <c r="AF2550" s="846"/>
      <c r="AG2550" s="847"/>
      <c r="AH2550" s="847"/>
      <c r="AI2550" s="742">
        <f t="shared" si="325"/>
        <v>0</v>
      </c>
      <c r="AJ2550" s="743">
        <f t="shared" si="326"/>
        <v>0</v>
      </c>
    </row>
    <row r="2551" spans="1:36">
      <c r="A2551" s="1410" t="s">
        <v>146</v>
      </c>
      <c r="B2551" s="1146" t="s">
        <v>272</v>
      </c>
      <c r="C2551" s="1137" t="s">
        <v>1823</v>
      </c>
      <c r="D2551" s="1136"/>
      <c r="E2551" s="1420">
        <v>217989</v>
      </c>
      <c r="F2551" s="1110">
        <v>10</v>
      </c>
      <c r="G2551" s="846"/>
      <c r="H2551" s="352"/>
      <c r="I2551" s="846">
        <v>39477</v>
      </c>
      <c r="J2551" s="847">
        <v>52207</v>
      </c>
      <c r="K2551" s="846"/>
      <c r="L2551" s="847"/>
      <c r="M2551" s="846"/>
      <c r="N2551" s="846"/>
      <c r="O2551" s="737">
        <f t="shared" si="319"/>
        <v>0</v>
      </c>
      <c r="P2551" s="847"/>
      <c r="Q2551" s="847"/>
      <c r="R2551" s="738">
        <f t="shared" si="322"/>
        <v>0</v>
      </c>
      <c r="S2551" s="737">
        <f t="shared" si="323"/>
        <v>39477</v>
      </c>
      <c r="T2551" s="739">
        <f t="shared" si="324"/>
        <v>52207</v>
      </c>
      <c r="U2551" s="846"/>
      <c r="V2551" s="847"/>
      <c r="W2551" s="846"/>
      <c r="X2551" s="846"/>
      <c r="Y2551" s="740">
        <f t="shared" si="320"/>
        <v>0</v>
      </c>
      <c r="Z2551" s="847"/>
      <c r="AA2551" s="847"/>
      <c r="AB2551" s="741">
        <f t="shared" si="321"/>
        <v>0</v>
      </c>
      <c r="AC2551" s="846"/>
      <c r="AD2551" s="847"/>
      <c r="AE2551" s="846"/>
      <c r="AF2551" s="846"/>
      <c r="AG2551" s="847"/>
      <c r="AH2551" s="847"/>
      <c r="AI2551" s="742">
        <f t="shared" si="325"/>
        <v>39477</v>
      </c>
      <c r="AJ2551" s="743">
        <f t="shared" si="326"/>
        <v>52207</v>
      </c>
    </row>
    <row r="2552" spans="1:36">
      <c r="A2552" s="1410" t="s">
        <v>146</v>
      </c>
      <c r="B2552" s="1146" t="s">
        <v>272</v>
      </c>
      <c r="C2552" s="1414" t="s">
        <v>1824</v>
      </c>
      <c r="D2552" s="1136"/>
      <c r="E2552" s="1420">
        <v>217989</v>
      </c>
      <c r="F2552" s="1110">
        <v>10</v>
      </c>
      <c r="G2552" s="846"/>
      <c r="H2552" s="352"/>
      <c r="I2552" s="846"/>
      <c r="J2552" s="847">
        <v>52605</v>
      </c>
      <c r="K2552" s="846"/>
      <c r="L2552" s="847"/>
      <c r="M2552" s="846"/>
      <c r="N2552" s="846"/>
      <c r="O2552" s="737">
        <f t="shared" si="319"/>
        <v>0</v>
      </c>
      <c r="P2552" s="847"/>
      <c r="Q2552" s="847"/>
      <c r="R2552" s="738">
        <f t="shared" si="322"/>
        <v>0</v>
      </c>
      <c r="S2552" s="737">
        <f t="shared" si="323"/>
        <v>0</v>
      </c>
      <c r="T2552" s="739">
        <f t="shared" si="324"/>
        <v>52605</v>
      </c>
      <c r="U2552" s="846"/>
      <c r="V2552" s="847"/>
      <c r="W2552" s="846"/>
      <c r="X2552" s="846"/>
      <c r="Y2552" s="740">
        <f t="shared" si="320"/>
        <v>0</v>
      </c>
      <c r="Z2552" s="847"/>
      <c r="AA2552" s="847"/>
      <c r="AB2552" s="741">
        <f t="shared" si="321"/>
        <v>0</v>
      </c>
      <c r="AC2552" s="846"/>
      <c r="AD2552" s="847"/>
      <c r="AE2552" s="846"/>
      <c r="AF2552" s="846"/>
      <c r="AG2552" s="847"/>
      <c r="AH2552" s="847"/>
      <c r="AI2552" s="742">
        <f t="shared" si="325"/>
        <v>0</v>
      </c>
      <c r="AJ2552" s="743">
        <f t="shared" si="326"/>
        <v>52605</v>
      </c>
    </row>
    <row r="2553" spans="1:36">
      <c r="A2553" s="1410" t="s">
        <v>146</v>
      </c>
      <c r="B2553" s="1146" t="s">
        <v>272</v>
      </c>
      <c r="C2553" s="1137" t="s">
        <v>1857</v>
      </c>
      <c r="D2553" s="1136"/>
      <c r="E2553" s="1420">
        <v>217989</v>
      </c>
      <c r="F2553" s="1110">
        <v>10</v>
      </c>
      <c r="G2553" s="846"/>
      <c r="H2553" s="352"/>
      <c r="I2553" s="846">
        <v>435750</v>
      </c>
      <c r="J2553" s="847"/>
      <c r="K2553" s="846"/>
      <c r="L2553" s="847"/>
      <c r="M2553" s="846"/>
      <c r="N2553" s="846"/>
      <c r="O2553" s="737">
        <f t="shared" si="319"/>
        <v>0</v>
      </c>
      <c r="P2553" s="847"/>
      <c r="Q2553" s="847"/>
      <c r="R2553" s="738">
        <f t="shared" si="322"/>
        <v>0</v>
      </c>
      <c r="S2553" s="737">
        <f t="shared" si="323"/>
        <v>435750</v>
      </c>
      <c r="T2553" s="739">
        <f t="shared" si="324"/>
        <v>0</v>
      </c>
      <c r="U2553" s="846"/>
      <c r="V2553" s="847"/>
      <c r="W2553" s="846"/>
      <c r="X2553" s="846"/>
      <c r="Y2553" s="740">
        <f t="shared" si="320"/>
        <v>0</v>
      </c>
      <c r="Z2553" s="847"/>
      <c r="AA2553" s="847"/>
      <c r="AB2553" s="741">
        <f t="shared" si="321"/>
        <v>0</v>
      </c>
      <c r="AC2553" s="846"/>
      <c r="AD2553" s="847"/>
      <c r="AE2553" s="846"/>
      <c r="AF2553" s="846"/>
      <c r="AG2553" s="847"/>
      <c r="AH2553" s="847"/>
      <c r="AI2553" s="742">
        <f t="shared" si="325"/>
        <v>435750</v>
      </c>
      <c r="AJ2553" s="743">
        <f t="shared" si="326"/>
        <v>0</v>
      </c>
    </row>
    <row r="2554" spans="1:36">
      <c r="A2554" s="1410" t="s">
        <v>146</v>
      </c>
      <c r="B2554" s="1146" t="s">
        <v>272</v>
      </c>
      <c r="C2554" s="1137" t="s">
        <v>1834</v>
      </c>
      <c r="D2554" s="1136"/>
      <c r="E2554" s="1420">
        <v>217989</v>
      </c>
      <c r="F2554" s="1110">
        <v>10</v>
      </c>
      <c r="G2554" s="846"/>
      <c r="H2554" s="352"/>
      <c r="I2554" s="846"/>
      <c r="J2554" s="847"/>
      <c r="K2554" s="846"/>
      <c r="L2554" s="847"/>
      <c r="M2554" s="846"/>
      <c r="N2554" s="846"/>
      <c r="O2554" s="737">
        <f t="shared" si="319"/>
        <v>0</v>
      </c>
      <c r="P2554" s="847"/>
      <c r="Q2554" s="847"/>
      <c r="R2554" s="738">
        <f t="shared" si="322"/>
        <v>0</v>
      </c>
      <c r="S2554" s="737">
        <f t="shared" si="323"/>
        <v>0</v>
      </c>
      <c r="T2554" s="739">
        <f t="shared" si="324"/>
        <v>0</v>
      </c>
      <c r="U2554" s="846"/>
      <c r="V2554" s="847"/>
      <c r="W2554" s="846"/>
      <c r="X2554" s="846"/>
      <c r="Y2554" s="740">
        <f t="shared" si="320"/>
        <v>0</v>
      </c>
      <c r="Z2554" s="847"/>
      <c r="AA2554" s="847"/>
      <c r="AB2554" s="741">
        <f t="shared" si="321"/>
        <v>0</v>
      </c>
      <c r="AC2554" s="846"/>
      <c r="AD2554" s="847"/>
      <c r="AE2554" s="846"/>
      <c r="AF2554" s="846"/>
      <c r="AG2554" s="847"/>
      <c r="AH2554" s="847"/>
      <c r="AI2554" s="742">
        <f t="shared" si="325"/>
        <v>0</v>
      </c>
      <c r="AJ2554" s="743">
        <f t="shared" si="326"/>
        <v>0</v>
      </c>
    </row>
    <row r="2555" spans="1:36">
      <c r="A2555" s="1410" t="s">
        <v>146</v>
      </c>
      <c r="B2555" s="1146" t="s">
        <v>272</v>
      </c>
      <c r="C2555" s="1137" t="s">
        <v>1829</v>
      </c>
      <c r="D2555" s="1136"/>
      <c r="E2555" s="1420">
        <v>217989</v>
      </c>
      <c r="F2555" s="1110">
        <v>10</v>
      </c>
      <c r="G2555" s="846"/>
      <c r="H2555" s="352"/>
      <c r="I2555" s="846">
        <v>37784</v>
      </c>
      <c r="J2555" s="847">
        <v>37784</v>
      </c>
      <c r="K2555" s="846"/>
      <c r="L2555" s="847"/>
      <c r="M2555" s="846"/>
      <c r="N2555" s="846"/>
      <c r="O2555" s="737">
        <f t="shared" si="319"/>
        <v>0</v>
      </c>
      <c r="P2555" s="847"/>
      <c r="Q2555" s="847"/>
      <c r="R2555" s="738">
        <f t="shared" si="322"/>
        <v>0</v>
      </c>
      <c r="S2555" s="737">
        <f t="shared" si="323"/>
        <v>37784</v>
      </c>
      <c r="T2555" s="739">
        <f t="shared" si="324"/>
        <v>37784</v>
      </c>
      <c r="U2555" s="846"/>
      <c r="V2555" s="847"/>
      <c r="W2555" s="846"/>
      <c r="X2555" s="846"/>
      <c r="Y2555" s="740">
        <f t="shared" si="320"/>
        <v>0</v>
      </c>
      <c r="Z2555" s="847"/>
      <c r="AA2555" s="847"/>
      <c r="AB2555" s="741">
        <f t="shared" si="321"/>
        <v>0</v>
      </c>
      <c r="AC2555" s="846"/>
      <c r="AD2555" s="847"/>
      <c r="AE2555" s="846"/>
      <c r="AF2555" s="846"/>
      <c r="AG2555" s="847"/>
      <c r="AH2555" s="847"/>
      <c r="AI2555" s="742">
        <f t="shared" si="325"/>
        <v>37784</v>
      </c>
      <c r="AJ2555" s="743">
        <f t="shared" si="326"/>
        <v>37784</v>
      </c>
    </row>
    <row r="2556" spans="1:36">
      <c r="A2556" s="1410" t="s">
        <v>146</v>
      </c>
      <c r="B2556" s="1146" t="s">
        <v>272</v>
      </c>
      <c r="C2556" s="1137" t="s">
        <v>1777</v>
      </c>
      <c r="D2556" s="1136"/>
      <c r="E2556" s="1420">
        <v>217989</v>
      </c>
      <c r="F2556" s="1110">
        <v>10</v>
      </c>
      <c r="G2556" s="846"/>
      <c r="H2556" s="352"/>
      <c r="I2556" s="846">
        <v>93108</v>
      </c>
      <c r="J2556" s="847">
        <v>91112.33</v>
      </c>
      <c r="K2556" s="846"/>
      <c r="L2556" s="847"/>
      <c r="M2556" s="846"/>
      <c r="N2556" s="846"/>
      <c r="O2556" s="737">
        <f t="shared" si="319"/>
        <v>0</v>
      </c>
      <c r="P2556" s="847"/>
      <c r="Q2556" s="847"/>
      <c r="R2556" s="738">
        <f t="shared" si="322"/>
        <v>0</v>
      </c>
      <c r="S2556" s="737">
        <f t="shared" si="323"/>
        <v>93108</v>
      </c>
      <c r="T2556" s="739">
        <f t="shared" si="324"/>
        <v>91112.33</v>
      </c>
      <c r="U2556" s="846"/>
      <c r="V2556" s="847"/>
      <c r="W2556" s="846"/>
      <c r="X2556" s="846"/>
      <c r="Y2556" s="740">
        <f t="shared" si="320"/>
        <v>0</v>
      </c>
      <c r="Z2556" s="847"/>
      <c r="AA2556" s="847"/>
      <c r="AB2556" s="741">
        <f t="shared" si="321"/>
        <v>0</v>
      </c>
      <c r="AC2556" s="846"/>
      <c r="AD2556" s="847"/>
      <c r="AE2556" s="846"/>
      <c r="AF2556" s="846"/>
      <c r="AG2556" s="847"/>
      <c r="AH2556" s="847"/>
      <c r="AI2556" s="742">
        <f t="shared" si="325"/>
        <v>93108</v>
      </c>
      <c r="AJ2556" s="743">
        <f t="shared" si="326"/>
        <v>91112.33</v>
      </c>
    </row>
    <row r="2557" spans="1:36">
      <c r="A2557" s="1410" t="s">
        <v>146</v>
      </c>
      <c r="B2557" s="1146" t="s">
        <v>272</v>
      </c>
      <c r="C2557" s="1414" t="s">
        <v>1831</v>
      </c>
      <c r="D2557" s="1136"/>
      <c r="E2557" s="1420">
        <v>217989</v>
      </c>
      <c r="F2557" s="1422">
        <v>10</v>
      </c>
      <c r="G2557" s="846"/>
      <c r="H2557" s="352"/>
      <c r="I2557" s="846"/>
      <c r="J2557" s="847">
        <v>24156</v>
      </c>
      <c r="K2557" s="846"/>
      <c r="L2557" s="847"/>
      <c r="M2557" s="846"/>
      <c r="N2557" s="846"/>
      <c r="O2557" s="737">
        <f t="shared" si="319"/>
        <v>0</v>
      </c>
      <c r="P2557" s="847"/>
      <c r="Q2557" s="847"/>
      <c r="R2557" s="738">
        <f t="shared" si="322"/>
        <v>0</v>
      </c>
      <c r="S2557" s="737">
        <f t="shared" si="323"/>
        <v>0</v>
      </c>
      <c r="T2557" s="739">
        <f t="shared" si="324"/>
        <v>24156</v>
      </c>
      <c r="U2557" s="846"/>
      <c r="V2557" s="847"/>
      <c r="W2557" s="846"/>
      <c r="X2557" s="846"/>
      <c r="Y2557" s="740">
        <f t="shared" si="320"/>
        <v>0</v>
      </c>
      <c r="Z2557" s="847"/>
      <c r="AA2557" s="847"/>
      <c r="AB2557" s="741">
        <f t="shared" si="321"/>
        <v>0</v>
      </c>
      <c r="AC2557" s="846"/>
      <c r="AD2557" s="847"/>
      <c r="AE2557" s="846"/>
      <c r="AF2557" s="846"/>
      <c r="AG2557" s="847"/>
      <c r="AH2557" s="847"/>
      <c r="AI2557" s="742">
        <f t="shared" si="325"/>
        <v>0</v>
      </c>
      <c r="AJ2557" s="743">
        <f t="shared" si="326"/>
        <v>24156</v>
      </c>
    </row>
    <row r="2558" spans="1:36">
      <c r="A2558" s="1410" t="s">
        <v>146</v>
      </c>
      <c r="B2558" s="1146" t="s">
        <v>264</v>
      </c>
      <c r="C2558" s="1411" t="s">
        <v>1858</v>
      </c>
      <c r="D2558" s="1136"/>
      <c r="E2558" s="1420">
        <v>217837</v>
      </c>
      <c r="F2558" s="1110">
        <v>10</v>
      </c>
      <c r="G2558" s="846">
        <v>1699467</v>
      </c>
      <c r="H2558" s="847">
        <v>1699466</v>
      </c>
      <c r="I2558" s="846"/>
      <c r="J2558" s="847"/>
      <c r="K2558" s="846">
        <v>720680</v>
      </c>
      <c r="L2558" s="847">
        <v>743762</v>
      </c>
      <c r="M2558" s="846">
        <v>4229327</v>
      </c>
      <c r="N2558" s="846">
        <v>0</v>
      </c>
      <c r="O2558" s="737">
        <f t="shared" si="319"/>
        <v>4229327</v>
      </c>
      <c r="P2558" s="847">
        <v>4253764</v>
      </c>
      <c r="Q2558" s="847">
        <v>0</v>
      </c>
      <c r="R2558" s="738">
        <f t="shared" si="322"/>
        <v>4253764</v>
      </c>
      <c r="S2558" s="737">
        <f t="shared" si="323"/>
        <v>6649474</v>
      </c>
      <c r="T2558" s="739">
        <f t="shared" si="324"/>
        <v>6696992</v>
      </c>
      <c r="U2558" s="846"/>
      <c r="V2558" s="847"/>
      <c r="W2558" s="846"/>
      <c r="X2558" s="846"/>
      <c r="Y2558" s="740">
        <f t="shared" si="320"/>
        <v>0</v>
      </c>
      <c r="Z2558" s="847"/>
      <c r="AA2558" s="847"/>
      <c r="AB2558" s="741">
        <f t="shared" si="321"/>
        <v>0</v>
      </c>
      <c r="AC2558" s="846"/>
      <c r="AD2558" s="847"/>
      <c r="AE2558" s="846"/>
      <c r="AF2558" s="846"/>
      <c r="AG2558" s="847"/>
      <c r="AH2558" s="847"/>
      <c r="AI2558" s="742">
        <f t="shared" si="325"/>
        <v>6649474</v>
      </c>
      <c r="AJ2558" s="743">
        <f t="shared" si="326"/>
        <v>6696992</v>
      </c>
    </row>
    <row r="2559" spans="1:36">
      <c r="A2559" s="1410" t="s">
        <v>146</v>
      </c>
      <c r="B2559" s="1146" t="s">
        <v>264</v>
      </c>
      <c r="C2559" s="1421" t="s">
        <v>1822</v>
      </c>
      <c r="D2559" s="1136"/>
      <c r="E2559" s="1436">
        <v>217837</v>
      </c>
      <c r="F2559" s="1422">
        <v>10</v>
      </c>
      <c r="G2559" s="846"/>
      <c r="H2559" s="847">
        <v>47678</v>
      </c>
      <c r="I2559" s="846"/>
      <c r="J2559" s="352"/>
      <c r="K2559" s="846"/>
      <c r="L2559" s="847"/>
      <c r="M2559" s="846"/>
      <c r="N2559" s="846"/>
      <c r="O2559" s="737">
        <f t="shared" si="319"/>
        <v>0</v>
      </c>
      <c r="P2559" s="847"/>
      <c r="Q2559" s="847"/>
      <c r="R2559" s="738">
        <f t="shared" si="322"/>
        <v>0</v>
      </c>
      <c r="S2559" s="737">
        <f t="shared" si="323"/>
        <v>0</v>
      </c>
      <c r="T2559" s="739">
        <f t="shared" si="324"/>
        <v>47678</v>
      </c>
      <c r="U2559" s="846"/>
      <c r="V2559" s="847"/>
      <c r="W2559" s="846"/>
      <c r="X2559" s="846"/>
      <c r="Y2559" s="740">
        <f t="shared" si="320"/>
        <v>0</v>
      </c>
      <c r="Z2559" s="847"/>
      <c r="AA2559" s="847"/>
      <c r="AB2559" s="741">
        <f t="shared" si="321"/>
        <v>0</v>
      </c>
      <c r="AC2559" s="846"/>
      <c r="AD2559" s="847"/>
      <c r="AE2559" s="846"/>
      <c r="AF2559" s="846"/>
      <c r="AG2559" s="847"/>
      <c r="AH2559" s="847"/>
      <c r="AI2559" s="742">
        <f t="shared" si="325"/>
        <v>0</v>
      </c>
      <c r="AJ2559" s="743">
        <f t="shared" si="326"/>
        <v>47678</v>
      </c>
    </row>
    <row r="2560" spans="1:36">
      <c r="A2560" s="1426" t="s">
        <v>146</v>
      </c>
      <c r="B2560" s="1427" t="s">
        <v>272</v>
      </c>
      <c r="C2560" s="1428" t="s">
        <v>842</v>
      </c>
      <c r="D2560" s="1429"/>
      <c r="E2560" s="1420">
        <v>217837</v>
      </c>
      <c r="F2560" s="1422">
        <v>10</v>
      </c>
      <c r="G2560" s="1430"/>
      <c r="H2560" s="1431"/>
      <c r="I2560" s="1430"/>
      <c r="J2560" s="1431"/>
      <c r="K2560" s="1430"/>
      <c r="L2560" s="1431"/>
      <c r="M2560" s="1430"/>
      <c r="N2560" s="1430"/>
      <c r="O2560" s="737">
        <f t="shared" si="319"/>
        <v>0</v>
      </c>
      <c r="P2560" s="1431"/>
      <c r="Q2560" s="1431"/>
      <c r="R2560" s="738">
        <f t="shared" si="322"/>
        <v>0</v>
      </c>
      <c r="S2560" s="737">
        <f t="shared" si="323"/>
        <v>0</v>
      </c>
      <c r="T2560" s="739">
        <f t="shared" si="324"/>
        <v>0</v>
      </c>
      <c r="U2560" s="1430"/>
      <c r="V2560" s="1431"/>
      <c r="W2560" s="1430"/>
      <c r="X2560" s="1430"/>
      <c r="Y2560" s="740">
        <f t="shared" si="320"/>
        <v>0</v>
      </c>
      <c r="Z2560" s="1431"/>
      <c r="AA2560" s="1431"/>
      <c r="AB2560" s="741">
        <f t="shared" si="321"/>
        <v>0</v>
      </c>
      <c r="AC2560" s="1430"/>
      <c r="AD2560" s="1431"/>
      <c r="AE2560" s="1430"/>
      <c r="AF2560" s="1430"/>
      <c r="AG2560" s="1431"/>
      <c r="AH2560" s="1431"/>
      <c r="AI2560" s="742">
        <f t="shared" si="325"/>
        <v>0</v>
      </c>
      <c r="AJ2560" s="743">
        <f t="shared" si="326"/>
        <v>0</v>
      </c>
    </row>
    <row r="2561" spans="1:36">
      <c r="A2561" s="1410" t="s">
        <v>146</v>
      </c>
      <c r="B2561" s="1146" t="s">
        <v>272</v>
      </c>
      <c r="C2561" s="1137" t="s">
        <v>1756</v>
      </c>
      <c r="D2561" s="1136"/>
      <c r="E2561" s="1420">
        <v>217837</v>
      </c>
      <c r="F2561" s="1110">
        <v>10</v>
      </c>
      <c r="G2561" s="846"/>
      <c r="H2561" s="847"/>
      <c r="I2561" s="846">
        <v>12</v>
      </c>
      <c r="J2561" s="847">
        <v>9</v>
      </c>
      <c r="K2561" s="846"/>
      <c r="L2561" s="847"/>
      <c r="M2561" s="846"/>
      <c r="N2561" s="846"/>
      <c r="O2561" s="737">
        <f t="shared" si="319"/>
        <v>0</v>
      </c>
      <c r="P2561" s="847"/>
      <c r="Q2561" s="847"/>
      <c r="R2561" s="738">
        <f t="shared" si="322"/>
        <v>0</v>
      </c>
      <c r="S2561" s="737">
        <f t="shared" si="323"/>
        <v>12</v>
      </c>
      <c r="T2561" s="739">
        <f t="shared" si="324"/>
        <v>9</v>
      </c>
      <c r="U2561" s="846"/>
      <c r="V2561" s="847"/>
      <c r="W2561" s="846"/>
      <c r="X2561" s="846"/>
      <c r="Y2561" s="740">
        <f t="shared" si="320"/>
        <v>0</v>
      </c>
      <c r="Z2561" s="847"/>
      <c r="AA2561" s="847"/>
      <c r="AB2561" s="741">
        <f t="shared" si="321"/>
        <v>0</v>
      </c>
      <c r="AC2561" s="846"/>
      <c r="AD2561" s="847"/>
      <c r="AE2561" s="846"/>
      <c r="AF2561" s="846"/>
      <c r="AG2561" s="847"/>
      <c r="AH2561" s="847"/>
      <c r="AI2561" s="742">
        <f t="shared" si="325"/>
        <v>12</v>
      </c>
      <c r="AJ2561" s="743">
        <f t="shared" si="326"/>
        <v>9</v>
      </c>
    </row>
    <row r="2562" spans="1:36">
      <c r="A2562" s="1410" t="s">
        <v>146</v>
      </c>
      <c r="B2562" s="1146" t="s">
        <v>272</v>
      </c>
      <c r="C2562" s="1137" t="s">
        <v>1823</v>
      </c>
      <c r="D2562" s="1136"/>
      <c r="E2562" s="1420">
        <v>217837</v>
      </c>
      <c r="F2562" s="1110">
        <v>10</v>
      </c>
      <c r="G2562" s="846"/>
      <c r="H2562" s="847"/>
      <c r="I2562" s="846">
        <v>78412</v>
      </c>
      <c r="J2562" s="847">
        <v>85142</v>
      </c>
      <c r="K2562" s="846"/>
      <c r="L2562" s="847"/>
      <c r="M2562" s="846"/>
      <c r="N2562" s="846"/>
      <c r="O2562" s="737">
        <f t="shared" si="319"/>
        <v>0</v>
      </c>
      <c r="P2562" s="847"/>
      <c r="Q2562" s="847"/>
      <c r="R2562" s="738">
        <f t="shared" si="322"/>
        <v>0</v>
      </c>
      <c r="S2562" s="737">
        <f t="shared" si="323"/>
        <v>78412</v>
      </c>
      <c r="T2562" s="739">
        <f t="shared" si="324"/>
        <v>85142</v>
      </c>
      <c r="U2562" s="846"/>
      <c r="V2562" s="847"/>
      <c r="W2562" s="846"/>
      <c r="X2562" s="846"/>
      <c r="Y2562" s="740">
        <f t="shared" si="320"/>
        <v>0</v>
      </c>
      <c r="Z2562" s="847"/>
      <c r="AA2562" s="847"/>
      <c r="AB2562" s="741">
        <f t="shared" si="321"/>
        <v>0</v>
      </c>
      <c r="AC2562" s="846"/>
      <c r="AD2562" s="847"/>
      <c r="AE2562" s="846"/>
      <c r="AF2562" s="846"/>
      <c r="AG2562" s="847"/>
      <c r="AH2562" s="847"/>
      <c r="AI2562" s="742">
        <f t="shared" si="325"/>
        <v>78412</v>
      </c>
      <c r="AJ2562" s="743">
        <f t="shared" si="326"/>
        <v>85142</v>
      </c>
    </row>
    <row r="2563" spans="1:36">
      <c r="A2563" s="1410" t="s">
        <v>146</v>
      </c>
      <c r="B2563" s="1146" t="s">
        <v>272</v>
      </c>
      <c r="C2563" s="1414" t="s">
        <v>1824</v>
      </c>
      <c r="D2563" s="1136"/>
      <c r="E2563" s="1420">
        <v>217837</v>
      </c>
      <c r="F2563" s="1110">
        <v>10</v>
      </c>
      <c r="G2563" s="846"/>
      <c r="H2563" s="847"/>
      <c r="I2563" s="846"/>
      <c r="J2563" s="847">
        <v>49792</v>
      </c>
      <c r="K2563" s="846"/>
      <c r="L2563" s="847"/>
      <c r="M2563" s="846"/>
      <c r="N2563" s="846"/>
      <c r="O2563" s="737">
        <f t="shared" si="319"/>
        <v>0</v>
      </c>
      <c r="P2563" s="847"/>
      <c r="Q2563" s="847"/>
      <c r="R2563" s="738">
        <f t="shared" si="322"/>
        <v>0</v>
      </c>
      <c r="S2563" s="737">
        <f t="shared" si="323"/>
        <v>0</v>
      </c>
      <c r="T2563" s="739">
        <f t="shared" si="324"/>
        <v>49792</v>
      </c>
      <c r="U2563" s="846"/>
      <c r="V2563" s="847"/>
      <c r="W2563" s="846"/>
      <c r="X2563" s="846"/>
      <c r="Y2563" s="740">
        <f t="shared" si="320"/>
        <v>0</v>
      </c>
      <c r="Z2563" s="847"/>
      <c r="AA2563" s="847"/>
      <c r="AB2563" s="741">
        <f t="shared" si="321"/>
        <v>0</v>
      </c>
      <c r="AC2563" s="846"/>
      <c r="AD2563" s="847"/>
      <c r="AE2563" s="846"/>
      <c r="AF2563" s="846"/>
      <c r="AG2563" s="847"/>
      <c r="AH2563" s="847"/>
      <c r="AI2563" s="742">
        <f t="shared" si="325"/>
        <v>0</v>
      </c>
      <c r="AJ2563" s="743">
        <f t="shared" si="326"/>
        <v>49792</v>
      </c>
    </row>
    <row r="2564" spans="1:36">
      <c r="A2564" s="1410" t="s">
        <v>146</v>
      </c>
      <c r="B2564" s="1146" t="s">
        <v>272</v>
      </c>
      <c r="C2564" s="1137" t="s">
        <v>1826</v>
      </c>
      <c r="D2564" s="1136"/>
      <c r="E2564" s="1420">
        <v>217837</v>
      </c>
      <c r="F2564" s="1110">
        <v>10</v>
      </c>
      <c r="G2564" s="846"/>
      <c r="H2564" s="847"/>
      <c r="I2564" s="846"/>
      <c r="J2564" s="847"/>
      <c r="K2564" s="846"/>
      <c r="L2564" s="847"/>
      <c r="M2564" s="846"/>
      <c r="N2564" s="846"/>
      <c r="O2564" s="737">
        <f t="shared" si="319"/>
        <v>0</v>
      </c>
      <c r="P2564" s="847"/>
      <c r="Q2564" s="847"/>
      <c r="R2564" s="738">
        <f t="shared" si="322"/>
        <v>0</v>
      </c>
      <c r="S2564" s="737">
        <f t="shared" si="323"/>
        <v>0</v>
      </c>
      <c r="T2564" s="739">
        <f t="shared" si="324"/>
        <v>0</v>
      </c>
      <c r="U2564" s="846"/>
      <c r="V2564" s="847"/>
      <c r="W2564" s="846"/>
      <c r="X2564" s="846"/>
      <c r="Y2564" s="740">
        <f t="shared" si="320"/>
        <v>0</v>
      </c>
      <c r="Z2564" s="847"/>
      <c r="AA2564" s="847"/>
      <c r="AB2564" s="741">
        <f t="shared" si="321"/>
        <v>0</v>
      </c>
      <c r="AC2564" s="846"/>
      <c r="AD2564" s="847"/>
      <c r="AE2564" s="846"/>
      <c r="AF2564" s="846"/>
      <c r="AG2564" s="847"/>
      <c r="AH2564" s="847"/>
      <c r="AI2564" s="742">
        <f t="shared" si="325"/>
        <v>0</v>
      </c>
      <c r="AJ2564" s="743">
        <f t="shared" si="326"/>
        <v>0</v>
      </c>
    </row>
    <row r="2565" spans="1:36">
      <c r="A2565" s="1410" t="s">
        <v>146</v>
      </c>
      <c r="B2565" s="1146" t="s">
        <v>272</v>
      </c>
      <c r="C2565" s="1137" t="s">
        <v>1829</v>
      </c>
      <c r="D2565" s="1136"/>
      <c r="E2565" s="1420">
        <v>217837</v>
      </c>
      <c r="F2565" s="1110">
        <v>10</v>
      </c>
      <c r="G2565" s="846"/>
      <c r="H2565" s="847"/>
      <c r="I2565" s="846">
        <v>37784</v>
      </c>
      <c r="J2565" s="847">
        <v>37784</v>
      </c>
      <c r="K2565" s="846"/>
      <c r="L2565" s="847"/>
      <c r="M2565" s="846"/>
      <c r="N2565" s="846"/>
      <c r="O2565" s="737">
        <f t="shared" si="319"/>
        <v>0</v>
      </c>
      <c r="P2565" s="847"/>
      <c r="Q2565" s="847"/>
      <c r="R2565" s="738">
        <f t="shared" si="322"/>
        <v>0</v>
      </c>
      <c r="S2565" s="737">
        <f t="shared" si="323"/>
        <v>37784</v>
      </c>
      <c r="T2565" s="739">
        <f t="shared" si="324"/>
        <v>37784</v>
      </c>
      <c r="U2565" s="846"/>
      <c r="V2565" s="847"/>
      <c r="W2565" s="846"/>
      <c r="X2565" s="846"/>
      <c r="Y2565" s="740">
        <f t="shared" si="320"/>
        <v>0</v>
      </c>
      <c r="Z2565" s="847"/>
      <c r="AA2565" s="847"/>
      <c r="AB2565" s="741">
        <f t="shared" si="321"/>
        <v>0</v>
      </c>
      <c r="AC2565" s="846"/>
      <c r="AD2565" s="847"/>
      <c r="AE2565" s="846"/>
      <c r="AF2565" s="846"/>
      <c r="AG2565" s="847"/>
      <c r="AH2565" s="847"/>
      <c r="AI2565" s="742">
        <f t="shared" si="325"/>
        <v>37784</v>
      </c>
      <c r="AJ2565" s="743">
        <f t="shared" si="326"/>
        <v>37784</v>
      </c>
    </row>
    <row r="2566" spans="1:36">
      <c r="A2566" s="1410" t="s">
        <v>146</v>
      </c>
      <c r="B2566" s="1146" t="s">
        <v>272</v>
      </c>
      <c r="C2566" s="1137" t="s">
        <v>1777</v>
      </c>
      <c r="D2566" s="1136"/>
      <c r="E2566" s="1420">
        <v>217837</v>
      </c>
      <c r="F2566" s="1110">
        <v>10</v>
      </c>
      <c r="G2566" s="846"/>
      <c r="H2566" s="847"/>
      <c r="I2566" s="846">
        <v>93108</v>
      </c>
      <c r="J2566" s="847">
        <v>91112</v>
      </c>
      <c r="K2566" s="846"/>
      <c r="L2566" s="847"/>
      <c r="M2566" s="846"/>
      <c r="N2566" s="846"/>
      <c r="O2566" s="737">
        <f t="shared" si="319"/>
        <v>0</v>
      </c>
      <c r="P2566" s="847"/>
      <c r="Q2566" s="847"/>
      <c r="R2566" s="738">
        <f t="shared" si="322"/>
        <v>0</v>
      </c>
      <c r="S2566" s="737">
        <f t="shared" si="323"/>
        <v>93108</v>
      </c>
      <c r="T2566" s="739">
        <f t="shared" si="324"/>
        <v>91112</v>
      </c>
      <c r="U2566" s="846"/>
      <c r="V2566" s="847"/>
      <c r="W2566" s="846"/>
      <c r="X2566" s="846"/>
      <c r="Y2566" s="740">
        <f t="shared" si="320"/>
        <v>0</v>
      </c>
      <c r="Z2566" s="847"/>
      <c r="AA2566" s="847"/>
      <c r="AB2566" s="741">
        <f t="shared" si="321"/>
        <v>0</v>
      </c>
      <c r="AC2566" s="846"/>
      <c r="AD2566" s="847"/>
      <c r="AE2566" s="846"/>
      <c r="AF2566" s="846"/>
      <c r="AG2566" s="847"/>
      <c r="AH2566" s="847"/>
      <c r="AI2566" s="742">
        <f t="shared" si="325"/>
        <v>93108</v>
      </c>
      <c r="AJ2566" s="743">
        <f t="shared" si="326"/>
        <v>91112</v>
      </c>
    </row>
    <row r="2567" spans="1:36">
      <c r="A2567" s="1410" t="s">
        <v>146</v>
      </c>
      <c r="B2567" s="1146" t="s">
        <v>272</v>
      </c>
      <c r="C2567" s="1414" t="s">
        <v>1831</v>
      </c>
      <c r="D2567" s="1136"/>
      <c r="E2567" s="1420">
        <v>217837</v>
      </c>
      <c r="F2567" s="1422">
        <v>10</v>
      </c>
      <c r="G2567" s="846"/>
      <c r="H2567" s="847"/>
      <c r="I2567" s="846"/>
      <c r="J2567" s="847">
        <v>24156</v>
      </c>
      <c r="K2567" s="846"/>
      <c r="L2567" s="847"/>
      <c r="M2567" s="846"/>
      <c r="N2567" s="846"/>
      <c r="O2567" s="737">
        <f t="shared" si="319"/>
        <v>0</v>
      </c>
      <c r="P2567" s="847"/>
      <c r="Q2567" s="847"/>
      <c r="R2567" s="738">
        <f t="shared" si="322"/>
        <v>0</v>
      </c>
      <c r="S2567" s="737">
        <f t="shared" si="323"/>
        <v>0</v>
      </c>
      <c r="T2567" s="739">
        <f t="shared" si="324"/>
        <v>24156</v>
      </c>
      <c r="U2567" s="846"/>
      <c r="V2567" s="847"/>
      <c r="W2567" s="846"/>
      <c r="X2567" s="846"/>
      <c r="Y2567" s="740">
        <f t="shared" si="320"/>
        <v>0</v>
      </c>
      <c r="Z2567" s="847"/>
      <c r="AA2567" s="847"/>
      <c r="AB2567" s="741">
        <f t="shared" si="321"/>
        <v>0</v>
      </c>
      <c r="AC2567" s="846"/>
      <c r="AD2567" s="847"/>
      <c r="AE2567" s="846"/>
      <c r="AF2567" s="846"/>
      <c r="AG2567" s="847"/>
      <c r="AH2567" s="847"/>
      <c r="AI2567" s="742">
        <f t="shared" si="325"/>
        <v>0</v>
      </c>
      <c r="AJ2567" s="743">
        <f t="shared" si="326"/>
        <v>24156</v>
      </c>
    </row>
    <row r="2568" spans="1:36">
      <c r="A2568" s="1410" t="s">
        <v>146</v>
      </c>
      <c r="B2568" s="1146" t="s">
        <v>264</v>
      </c>
      <c r="C2568" s="1411" t="s">
        <v>1859</v>
      </c>
      <c r="D2568" s="1136"/>
      <c r="E2568" s="1420">
        <v>217712</v>
      </c>
      <c r="F2568" s="1110">
        <v>10</v>
      </c>
      <c r="G2568" s="846">
        <v>2651049</v>
      </c>
      <c r="H2568" s="847">
        <v>2651049</v>
      </c>
      <c r="I2568" s="846"/>
      <c r="J2568" s="847"/>
      <c r="K2568" s="846">
        <v>2069000</v>
      </c>
      <c r="L2568" s="847">
        <v>2025000</v>
      </c>
      <c r="M2568" s="846">
        <v>8515264</v>
      </c>
      <c r="N2568" s="846">
        <v>115168</v>
      </c>
      <c r="O2568" s="737">
        <f t="shared" si="319"/>
        <v>8630432</v>
      </c>
      <c r="P2568" s="847">
        <v>9008337</v>
      </c>
      <c r="Q2568" s="847">
        <v>116882</v>
      </c>
      <c r="R2568" s="738">
        <f t="shared" si="322"/>
        <v>9125219</v>
      </c>
      <c r="S2568" s="737">
        <f t="shared" si="323"/>
        <v>13235313</v>
      </c>
      <c r="T2568" s="739">
        <f t="shared" si="324"/>
        <v>13684386</v>
      </c>
      <c r="U2568" s="846"/>
      <c r="V2568" s="847"/>
      <c r="W2568" s="846"/>
      <c r="X2568" s="846"/>
      <c r="Y2568" s="740">
        <f t="shared" si="320"/>
        <v>0</v>
      </c>
      <c r="Z2568" s="847"/>
      <c r="AA2568" s="847"/>
      <c r="AB2568" s="741">
        <f t="shared" si="321"/>
        <v>0</v>
      </c>
      <c r="AC2568" s="846"/>
      <c r="AD2568" s="847"/>
      <c r="AE2568" s="846"/>
      <c r="AF2568" s="846"/>
      <c r="AG2568" s="847"/>
      <c r="AH2568" s="847"/>
      <c r="AI2568" s="742">
        <f t="shared" si="325"/>
        <v>13235313</v>
      </c>
      <c r="AJ2568" s="743">
        <f t="shared" si="326"/>
        <v>13684386</v>
      </c>
    </row>
    <row r="2569" spans="1:36">
      <c r="A2569" s="1410" t="s">
        <v>146</v>
      </c>
      <c r="B2569" s="1146" t="s">
        <v>264</v>
      </c>
      <c r="C2569" s="1421" t="s">
        <v>1822</v>
      </c>
      <c r="D2569" s="1136"/>
      <c r="E2569" s="1436">
        <v>217712</v>
      </c>
      <c r="F2569" s="1422">
        <v>10</v>
      </c>
      <c r="G2569" s="846"/>
      <c r="H2569" s="847">
        <v>74374</v>
      </c>
      <c r="I2569" s="846"/>
      <c r="J2569" s="352"/>
      <c r="K2569" s="846"/>
      <c r="L2569" s="847"/>
      <c r="M2569" s="846"/>
      <c r="N2569" s="846"/>
      <c r="O2569" s="737">
        <f t="shared" si="319"/>
        <v>0</v>
      </c>
      <c r="P2569" s="847"/>
      <c r="Q2569" s="847"/>
      <c r="R2569" s="738">
        <f t="shared" si="322"/>
        <v>0</v>
      </c>
      <c r="S2569" s="737">
        <f t="shared" si="323"/>
        <v>0</v>
      </c>
      <c r="T2569" s="739">
        <f t="shared" si="324"/>
        <v>74374</v>
      </c>
      <c r="U2569" s="846"/>
      <c r="V2569" s="847"/>
      <c r="W2569" s="846"/>
      <c r="X2569" s="846"/>
      <c r="Y2569" s="740">
        <f t="shared" si="320"/>
        <v>0</v>
      </c>
      <c r="Z2569" s="847"/>
      <c r="AA2569" s="847"/>
      <c r="AB2569" s="741">
        <f t="shared" si="321"/>
        <v>0</v>
      </c>
      <c r="AC2569" s="846"/>
      <c r="AD2569" s="847"/>
      <c r="AE2569" s="846"/>
      <c r="AF2569" s="846"/>
      <c r="AG2569" s="847"/>
      <c r="AH2569" s="847"/>
      <c r="AI2569" s="742">
        <f t="shared" si="325"/>
        <v>0</v>
      </c>
      <c r="AJ2569" s="743">
        <f t="shared" si="326"/>
        <v>74374</v>
      </c>
    </row>
    <row r="2570" spans="1:36">
      <c r="A2570" s="1410" t="s">
        <v>146</v>
      </c>
      <c r="B2570" s="1146" t="s">
        <v>272</v>
      </c>
      <c r="C2570" s="1135" t="s">
        <v>842</v>
      </c>
      <c r="D2570" s="1136"/>
      <c r="E2570" s="1420">
        <v>217712</v>
      </c>
      <c r="F2570" s="1110">
        <v>10</v>
      </c>
      <c r="G2570" s="846"/>
      <c r="H2570" s="847"/>
      <c r="I2570" s="846"/>
      <c r="J2570" s="847"/>
      <c r="K2570" s="846"/>
      <c r="L2570" s="847"/>
      <c r="M2570" s="846"/>
      <c r="N2570" s="846"/>
      <c r="O2570" s="737">
        <f t="shared" ref="O2570:O2633" si="327">SUM(M2570:N2570)</f>
        <v>0</v>
      </c>
      <c r="P2570" s="847"/>
      <c r="Q2570" s="847"/>
      <c r="R2570" s="738">
        <f t="shared" si="322"/>
        <v>0</v>
      </c>
      <c r="S2570" s="737">
        <f t="shared" si="323"/>
        <v>0</v>
      </c>
      <c r="T2570" s="739">
        <f t="shared" si="324"/>
        <v>0</v>
      </c>
      <c r="U2570" s="846"/>
      <c r="V2570" s="847"/>
      <c r="W2570" s="846"/>
      <c r="X2570" s="846"/>
      <c r="Y2570" s="740">
        <f t="shared" ref="Y2570:Y2633" si="328">SUM(W2570:X2570)</f>
        <v>0</v>
      </c>
      <c r="Z2570" s="847"/>
      <c r="AA2570" s="847"/>
      <c r="AB2570" s="741">
        <f t="shared" ref="AB2570:AB2633" si="329">SUM(Z2570:AA2570)</f>
        <v>0</v>
      </c>
      <c r="AC2570" s="846"/>
      <c r="AD2570" s="847"/>
      <c r="AE2570" s="846"/>
      <c r="AF2570" s="846"/>
      <c r="AG2570" s="847"/>
      <c r="AH2570" s="847"/>
      <c r="AI2570" s="742">
        <f t="shared" si="325"/>
        <v>0</v>
      </c>
      <c r="AJ2570" s="743">
        <f t="shared" si="326"/>
        <v>0</v>
      </c>
    </row>
    <row r="2571" spans="1:36">
      <c r="A2571" s="1410" t="s">
        <v>146</v>
      </c>
      <c r="B2571" s="1146" t="s">
        <v>272</v>
      </c>
      <c r="C2571" s="1137" t="s">
        <v>1756</v>
      </c>
      <c r="D2571" s="1136"/>
      <c r="E2571" s="1420">
        <v>217712</v>
      </c>
      <c r="F2571" s="1110">
        <v>10</v>
      </c>
      <c r="G2571" s="846"/>
      <c r="H2571" s="847"/>
      <c r="I2571" s="846">
        <v>169</v>
      </c>
      <c r="J2571" s="847">
        <v>167</v>
      </c>
      <c r="K2571" s="846"/>
      <c r="L2571" s="847"/>
      <c r="M2571" s="846"/>
      <c r="N2571" s="846"/>
      <c r="O2571" s="737">
        <f t="shared" si="327"/>
        <v>0</v>
      </c>
      <c r="P2571" s="847"/>
      <c r="Q2571" s="847"/>
      <c r="R2571" s="738">
        <f t="shared" ref="R2571:R2634" si="330">SUM(P2571:Q2571)</f>
        <v>0</v>
      </c>
      <c r="S2571" s="737">
        <f t="shared" ref="S2571:S2634" si="331">SUM(G2571,I2571,K2571,M2571)</f>
        <v>169</v>
      </c>
      <c r="T2571" s="739">
        <f t="shared" ref="T2571:T2634" si="332">SUM(H2571,J2571,L2571,P2571)</f>
        <v>167</v>
      </c>
      <c r="U2571" s="846"/>
      <c r="V2571" s="847"/>
      <c r="W2571" s="846"/>
      <c r="X2571" s="846"/>
      <c r="Y2571" s="740">
        <f t="shared" si="328"/>
        <v>0</v>
      </c>
      <c r="Z2571" s="847"/>
      <c r="AA2571" s="847"/>
      <c r="AB2571" s="741">
        <f t="shared" si="329"/>
        <v>0</v>
      </c>
      <c r="AC2571" s="846"/>
      <c r="AD2571" s="847"/>
      <c r="AE2571" s="846"/>
      <c r="AF2571" s="846"/>
      <c r="AG2571" s="847"/>
      <c r="AH2571" s="847"/>
      <c r="AI2571" s="742">
        <f t="shared" ref="AI2571:AI2634" si="333">SUM(S2571,U2571,W2571,AC2571,AE2571)</f>
        <v>169</v>
      </c>
      <c r="AJ2571" s="743">
        <f t="shared" ref="AJ2571:AJ2634" si="334">SUM(T2571,V2571,Z2571,AD2571,AG2571)</f>
        <v>167</v>
      </c>
    </row>
    <row r="2572" spans="1:36">
      <c r="A2572" s="1410" t="s">
        <v>146</v>
      </c>
      <c r="B2572" s="1146" t="s">
        <v>272</v>
      </c>
      <c r="C2572" s="1137" t="s">
        <v>1823</v>
      </c>
      <c r="D2572" s="1136"/>
      <c r="E2572" s="1420">
        <v>217712</v>
      </c>
      <c r="F2572" s="1110">
        <v>10</v>
      </c>
      <c r="G2572" s="846"/>
      <c r="H2572" s="847"/>
      <c r="I2572" s="846">
        <v>71446</v>
      </c>
      <c r="J2572" s="847">
        <v>87486</v>
      </c>
      <c r="K2572" s="846"/>
      <c r="L2572" s="847"/>
      <c r="M2572" s="846"/>
      <c r="N2572" s="846"/>
      <c r="O2572" s="737">
        <f t="shared" si="327"/>
        <v>0</v>
      </c>
      <c r="P2572" s="847"/>
      <c r="Q2572" s="847"/>
      <c r="R2572" s="738">
        <f t="shared" si="330"/>
        <v>0</v>
      </c>
      <c r="S2572" s="737">
        <f t="shared" si="331"/>
        <v>71446</v>
      </c>
      <c r="T2572" s="739">
        <f t="shared" si="332"/>
        <v>87486</v>
      </c>
      <c r="U2572" s="846"/>
      <c r="V2572" s="847"/>
      <c r="W2572" s="846"/>
      <c r="X2572" s="846"/>
      <c r="Y2572" s="740">
        <f t="shared" si="328"/>
        <v>0</v>
      </c>
      <c r="Z2572" s="847"/>
      <c r="AA2572" s="847"/>
      <c r="AB2572" s="741">
        <f t="shared" si="329"/>
        <v>0</v>
      </c>
      <c r="AC2572" s="846"/>
      <c r="AD2572" s="847"/>
      <c r="AE2572" s="846"/>
      <c r="AF2572" s="846"/>
      <c r="AG2572" s="847"/>
      <c r="AH2572" s="847"/>
      <c r="AI2572" s="742">
        <f t="shared" si="333"/>
        <v>71446</v>
      </c>
      <c r="AJ2572" s="743">
        <f t="shared" si="334"/>
        <v>87486</v>
      </c>
    </row>
    <row r="2573" spans="1:36">
      <c r="A2573" s="1410" t="s">
        <v>146</v>
      </c>
      <c r="B2573" s="1146" t="s">
        <v>272</v>
      </c>
      <c r="C2573" s="1414" t="s">
        <v>1824</v>
      </c>
      <c r="D2573" s="1136"/>
      <c r="E2573" s="1420">
        <v>217712</v>
      </c>
      <c r="F2573" s="1110">
        <v>10</v>
      </c>
      <c r="G2573" s="846"/>
      <c r="H2573" s="847"/>
      <c r="I2573" s="846"/>
      <c r="J2573" s="847">
        <v>73163</v>
      </c>
      <c r="K2573" s="846"/>
      <c r="L2573" s="847"/>
      <c r="M2573" s="846"/>
      <c r="N2573" s="846"/>
      <c r="O2573" s="737">
        <f t="shared" si="327"/>
        <v>0</v>
      </c>
      <c r="P2573" s="847"/>
      <c r="Q2573" s="847"/>
      <c r="R2573" s="738">
        <f t="shared" si="330"/>
        <v>0</v>
      </c>
      <c r="S2573" s="737">
        <f t="shared" si="331"/>
        <v>0</v>
      </c>
      <c r="T2573" s="739">
        <f t="shared" si="332"/>
        <v>73163</v>
      </c>
      <c r="U2573" s="846"/>
      <c r="V2573" s="847"/>
      <c r="W2573" s="846"/>
      <c r="X2573" s="846"/>
      <c r="Y2573" s="740">
        <f t="shared" si="328"/>
        <v>0</v>
      </c>
      <c r="Z2573" s="847"/>
      <c r="AA2573" s="847"/>
      <c r="AB2573" s="741">
        <f t="shared" si="329"/>
        <v>0</v>
      </c>
      <c r="AC2573" s="846"/>
      <c r="AD2573" s="847"/>
      <c r="AE2573" s="846"/>
      <c r="AF2573" s="846"/>
      <c r="AG2573" s="847"/>
      <c r="AH2573" s="847"/>
      <c r="AI2573" s="742">
        <f t="shared" si="333"/>
        <v>0</v>
      </c>
      <c r="AJ2573" s="743">
        <f t="shared" si="334"/>
        <v>73163</v>
      </c>
    </row>
    <row r="2574" spans="1:36">
      <c r="A2574" s="1410" t="s">
        <v>146</v>
      </c>
      <c r="B2574" s="1146" t="s">
        <v>272</v>
      </c>
      <c r="C2574" s="1137" t="s">
        <v>1825</v>
      </c>
      <c r="D2574" s="1136"/>
      <c r="E2574" s="1420">
        <v>217712</v>
      </c>
      <c r="F2574" s="1110">
        <v>10</v>
      </c>
      <c r="G2574" s="846"/>
      <c r="H2574" s="847"/>
      <c r="I2574" s="846">
        <v>15089</v>
      </c>
      <c r="J2574" s="847">
        <v>15089</v>
      </c>
      <c r="K2574" s="846"/>
      <c r="L2574" s="847"/>
      <c r="M2574" s="846"/>
      <c r="N2574" s="846"/>
      <c r="O2574" s="737">
        <f t="shared" si="327"/>
        <v>0</v>
      </c>
      <c r="P2574" s="847"/>
      <c r="Q2574" s="847"/>
      <c r="R2574" s="738">
        <f t="shared" si="330"/>
        <v>0</v>
      </c>
      <c r="S2574" s="737">
        <f t="shared" si="331"/>
        <v>15089</v>
      </c>
      <c r="T2574" s="739">
        <f t="shared" si="332"/>
        <v>15089</v>
      </c>
      <c r="U2574" s="846"/>
      <c r="V2574" s="847"/>
      <c r="W2574" s="846"/>
      <c r="X2574" s="846"/>
      <c r="Y2574" s="740">
        <f t="shared" si="328"/>
        <v>0</v>
      </c>
      <c r="Z2574" s="847"/>
      <c r="AA2574" s="847"/>
      <c r="AB2574" s="741">
        <f t="shared" si="329"/>
        <v>0</v>
      </c>
      <c r="AC2574" s="846"/>
      <c r="AD2574" s="847"/>
      <c r="AE2574" s="846"/>
      <c r="AF2574" s="846"/>
      <c r="AG2574" s="847"/>
      <c r="AH2574" s="847"/>
      <c r="AI2574" s="742">
        <f t="shared" si="333"/>
        <v>15089</v>
      </c>
      <c r="AJ2574" s="743">
        <f t="shared" si="334"/>
        <v>15089</v>
      </c>
    </row>
    <row r="2575" spans="1:36">
      <c r="A2575" s="1410" t="s">
        <v>146</v>
      </c>
      <c r="B2575" s="1146" t="s">
        <v>272</v>
      </c>
      <c r="C2575" s="1137" t="s">
        <v>1860</v>
      </c>
      <c r="D2575" s="1136"/>
      <c r="E2575" s="1420">
        <v>217712</v>
      </c>
      <c r="F2575" s="1110">
        <v>10</v>
      </c>
      <c r="G2575" s="846"/>
      <c r="H2575" s="847"/>
      <c r="I2575" s="846">
        <v>318000</v>
      </c>
      <c r="J2575" s="847">
        <v>1500000</v>
      </c>
      <c r="K2575" s="846"/>
      <c r="L2575" s="847"/>
      <c r="M2575" s="846"/>
      <c r="N2575" s="846"/>
      <c r="O2575" s="737">
        <f t="shared" si="327"/>
        <v>0</v>
      </c>
      <c r="P2575" s="847"/>
      <c r="Q2575" s="847"/>
      <c r="R2575" s="738">
        <f t="shared" si="330"/>
        <v>0</v>
      </c>
      <c r="S2575" s="737">
        <f t="shared" si="331"/>
        <v>318000</v>
      </c>
      <c r="T2575" s="739">
        <f t="shared" si="332"/>
        <v>1500000</v>
      </c>
      <c r="U2575" s="846"/>
      <c r="V2575" s="847"/>
      <c r="W2575" s="846"/>
      <c r="X2575" s="846"/>
      <c r="Y2575" s="740">
        <f t="shared" si="328"/>
        <v>0</v>
      </c>
      <c r="Z2575" s="847"/>
      <c r="AA2575" s="847"/>
      <c r="AB2575" s="741">
        <f t="shared" si="329"/>
        <v>0</v>
      </c>
      <c r="AC2575" s="846"/>
      <c r="AD2575" s="847"/>
      <c r="AE2575" s="846"/>
      <c r="AF2575" s="846"/>
      <c r="AG2575" s="847"/>
      <c r="AH2575" s="847"/>
      <c r="AI2575" s="742">
        <f t="shared" si="333"/>
        <v>318000</v>
      </c>
      <c r="AJ2575" s="743">
        <f t="shared" si="334"/>
        <v>1500000</v>
      </c>
    </row>
    <row r="2576" spans="1:36">
      <c r="A2576" s="1410" t="s">
        <v>146</v>
      </c>
      <c r="B2576" s="1146" t="s">
        <v>272</v>
      </c>
      <c r="C2576" s="1137" t="s">
        <v>1826</v>
      </c>
      <c r="D2576" s="1136"/>
      <c r="E2576" s="1420">
        <v>217712</v>
      </c>
      <c r="F2576" s="1110">
        <v>10</v>
      </c>
      <c r="G2576" s="846"/>
      <c r="H2576" s="847"/>
      <c r="I2576" s="846"/>
      <c r="J2576" s="847"/>
      <c r="K2576" s="846"/>
      <c r="L2576" s="847"/>
      <c r="M2576" s="846"/>
      <c r="N2576" s="846"/>
      <c r="O2576" s="737">
        <f t="shared" si="327"/>
        <v>0</v>
      </c>
      <c r="P2576" s="847"/>
      <c r="Q2576" s="847"/>
      <c r="R2576" s="738">
        <f t="shared" si="330"/>
        <v>0</v>
      </c>
      <c r="S2576" s="737">
        <f t="shared" si="331"/>
        <v>0</v>
      </c>
      <c r="T2576" s="739">
        <f t="shared" si="332"/>
        <v>0</v>
      </c>
      <c r="U2576" s="846"/>
      <c r="V2576" s="847"/>
      <c r="W2576" s="846"/>
      <c r="X2576" s="846"/>
      <c r="Y2576" s="740">
        <f t="shared" si="328"/>
        <v>0</v>
      </c>
      <c r="Z2576" s="847"/>
      <c r="AA2576" s="847"/>
      <c r="AB2576" s="741">
        <f t="shared" si="329"/>
        <v>0</v>
      </c>
      <c r="AC2576" s="846"/>
      <c r="AD2576" s="847"/>
      <c r="AE2576" s="846"/>
      <c r="AF2576" s="846"/>
      <c r="AG2576" s="847"/>
      <c r="AH2576" s="847"/>
      <c r="AI2576" s="742">
        <f t="shared" si="333"/>
        <v>0</v>
      </c>
      <c r="AJ2576" s="743">
        <f t="shared" si="334"/>
        <v>0</v>
      </c>
    </row>
    <row r="2577" spans="1:36">
      <c r="A2577" s="1410" t="s">
        <v>146</v>
      </c>
      <c r="B2577" s="1146" t="s">
        <v>272</v>
      </c>
      <c r="C2577" s="1137" t="s">
        <v>1834</v>
      </c>
      <c r="D2577" s="1136"/>
      <c r="E2577" s="1420">
        <v>217712</v>
      </c>
      <c r="F2577" s="1110">
        <v>10</v>
      </c>
      <c r="G2577" s="846"/>
      <c r="H2577" s="847"/>
      <c r="I2577" s="846"/>
      <c r="J2577" s="847"/>
      <c r="K2577" s="846"/>
      <c r="L2577" s="847"/>
      <c r="M2577" s="846"/>
      <c r="N2577" s="846"/>
      <c r="O2577" s="737">
        <f t="shared" si="327"/>
        <v>0</v>
      </c>
      <c r="P2577" s="847"/>
      <c r="Q2577" s="847"/>
      <c r="R2577" s="738">
        <f t="shared" si="330"/>
        <v>0</v>
      </c>
      <c r="S2577" s="737">
        <f t="shared" si="331"/>
        <v>0</v>
      </c>
      <c r="T2577" s="739">
        <f t="shared" si="332"/>
        <v>0</v>
      </c>
      <c r="U2577" s="846"/>
      <c r="V2577" s="847"/>
      <c r="W2577" s="846"/>
      <c r="X2577" s="846"/>
      <c r="Y2577" s="740">
        <f t="shared" si="328"/>
        <v>0</v>
      </c>
      <c r="Z2577" s="847"/>
      <c r="AA2577" s="847"/>
      <c r="AB2577" s="741">
        <f t="shared" si="329"/>
        <v>0</v>
      </c>
      <c r="AC2577" s="846"/>
      <c r="AD2577" s="847"/>
      <c r="AE2577" s="846"/>
      <c r="AF2577" s="846"/>
      <c r="AG2577" s="847"/>
      <c r="AH2577" s="847"/>
      <c r="AI2577" s="742">
        <f t="shared" si="333"/>
        <v>0</v>
      </c>
      <c r="AJ2577" s="743">
        <f t="shared" si="334"/>
        <v>0</v>
      </c>
    </row>
    <row r="2578" spans="1:36">
      <c r="A2578" s="1410" t="s">
        <v>146</v>
      </c>
      <c r="B2578" s="1146" t="s">
        <v>272</v>
      </c>
      <c r="C2578" s="1137" t="s">
        <v>1829</v>
      </c>
      <c r="D2578" s="1136"/>
      <c r="E2578" s="1420">
        <v>217712</v>
      </c>
      <c r="F2578" s="1110">
        <v>10</v>
      </c>
      <c r="G2578" s="846"/>
      <c r="H2578" s="847"/>
      <c r="I2578" s="846">
        <v>37784</v>
      </c>
      <c r="J2578" s="847">
        <v>37784</v>
      </c>
      <c r="K2578" s="846"/>
      <c r="L2578" s="847"/>
      <c r="M2578" s="846"/>
      <c r="N2578" s="846"/>
      <c r="O2578" s="737">
        <f t="shared" si="327"/>
        <v>0</v>
      </c>
      <c r="P2578" s="847"/>
      <c r="Q2578" s="847"/>
      <c r="R2578" s="738">
        <f t="shared" si="330"/>
        <v>0</v>
      </c>
      <c r="S2578" s="737">
        <f t="shared" si="331"/>
        <v>37784</v>
      </c>
      <c r="T2578" s="739">
        <f t="shared" si="332"/>
        <v>37784</v>
      </c>
      <c r="U2578" s="846"/>
      <c r="V2578" s="847"/>
      <c r="W2578" s="846"/>
      <c r="X2578" s="846"/>
      <c r="Y2578" s="740">
        <f t="shared" si="328"/>
        <v>0</v>
      </c>
      <c r="Z2578" s="847"/>
      <c r="AA2578" s="847"/>
      <c r="AB2578" s="741">
        <f t="shared" si="329"/>
        <v>0</v>
      </c>
      <c r="AC2578" s="846"/>
      <c r="AD2578" s="847"/>
      <c r="AE2578" s="846"/>
      <c r="AF2578" s="846"/>
      <c r="AG2578" s="847"/>
      <c r="AH2578" s="847"/>
      <c r="AI2578" s="742">
        <f t="shared" si="333"/>
        <v>37784</v>
      </c>
      <c r="AJ2578" s="743">
        <f t="shared" si="334"/>
        <v>37784</v>
      </c>
    </row>
    <row r="2579" spans="1:36">
      <c r="A2579" s="1410" t="s">
        <v>146</v>
      </c>
      <c r="B2579" s="1146" t="s">
        <v>272</v>
      </c>
      <c r="C2579" s="1137" t="s">
        <v>1777</v>
      </c>
      <c r="D2579" s="1136"/>
      <c r="E2579" s="1420">
        <v>217712</v>
      </c>
      <c r="F2579" s="1110">
        <v>10</v>
      </c>
      <c r="G2579" s="846"/>
      <c r="H2579" s="847"/>
      <c r="I2579" s="846">
        <v>102024</v>
      </c>
      <c r="J2579" s="847">
        <v>93026</v>
      </c>
      <c r="K2579" s="846"/>
      <c r="L2579" s="847"/>
      <c r="M2579" s="846"/>
      <c r="N2579" s="846"/>
      <c r="O2579" s="737">
        <f t="shared" si="327"/>
        <v>0</v>
      </c>
      <c r="P2579" s="1423"/>
      <c r="Q2579" s="1423"/>
      <c r="R2579" s="738">
        <f t="shared" si="330"/>
        <v>0</v>
      </c>
      <c r="S2579" s="737">
        <f t="shared" si="331"/>
        <v>102024</v>
      </c>
      <c r="T2579" s="739">
        <f t="shared" si="332"/>
        <v>93026</v>
      </c>
      <c r="U2579" s="846"/>
      <c r="V2579" s="847"/>
      <c r="W2579" s="846"/>
      <c r="X2579" s="846"/>
      <c r="Y2579" s="740">
        <f t="shared" si="328"/>
        <v>0</v>
      </c>
      <c r="Z2579" s="1423"/>
      <c r="AA2579" s="1423"/>
      <c r="AB2579" s="741">
        <f t="shared" si="329"/>
        <v>0</v>
      </c>
      <c r="AC2579" s="846"/>
      <c r="AD2579" s="847"/>
      <c r="AE2579" s="846"/>
      <c r="AF2579" s="846"/>
      <c r="AG2579" s="1423"/>
      <c r="AH2579" s="1423"/>
      <c r="AI2579" s="742">
        <f t="shared" si="333"/>
        <v>102024</v>
      </c>
      <c r="AJ2579" s="743">
        <f t="shared" si="334"/>
        <v>93026</v>
      </c>
    </row>
    <row r="2580" spans="1:36">
      <c r="A2580" s="1410" t="s">
        <v>146</v>
      </c>
      <c r="B2580" s="1146" t="s">
        <v>272</v>
      </c>
      <c r="C2580" s="1414" t="s">
        <v>1831</v>
      </c>
      <c r="D2580" s="1136"/>
      <c r="E2580" s="1420">
        <v>217712</v>
      </c>
      <c r="F2580" s="1422">
        <v>10</v>
      </c>
      <c r="G2580" s="846"/>
      <c r="H2580" s="847"/>
      <c r="I2580" s="846"/>
      <c r="J2580" s="847">
        <v>26238</v>
      </c>
      <c r="K2580" s="846"/>
      <c r="L2580" s="847"/>
      <c r="M2580" s="846"/>
      <c r="N2580" s="846"/>
      <c r="O2580" s="737">
        <f t="shared" si="327"/>
        <v>0</v>
      </c>
      <c r="P2580" s="847"/>
      <c r="Q2580" s="847"/>
      <c r="R2580" s="738">
        <f t="shared" si="330"/>
        <v>0</v>
      </c>
      <c r="S2580" s="737">
        <f t="shared" si="331"/>
        <v>0</v>
      </c>
      <c r="T2580" s="739">
        <f t="shared" si="332"/>
        <v>26238</v>
      </c>
      <c r="U2580" s="846"/>
      <c r="V2580" s="847"/>
      <c r="W2580" s="846"/>
      <c r="X2580" s="846"/>
      <c r="Y2580" s="740">
        <f t="shared" si="328"/>
        <v>0</v>
      </c>
      <c r="Z2580" s="847"/>
      <c r="AA2580" s="847"/>
      <c r="AB2580" s="741">
        <f t="shared" si="329"/>
        <v>0</v>
      </c>
      <c r="AC2580" s="846"/>
      <c r="AD2580" s="847"/>
      <c r="AE2580" s="846"/>
      <c r="AF2580" s="846"/>
      <c r="AG2580" s="847"/>
      <c r="AH2580" s="847"/>
      <c r="AI2580" s="742">
        <f t="shared" si="333"/>
        <v>0</v>
      </c>
      <c r="AJ2580" s="743">
        <f t="shared" si="334"/>
        <v>26238</v>
      </c>
    </row>
    <row r="2581" spans="1:36">
      <c r="A2581" s="1410" t="s">
        <v>146</v>
      </c>
      <c r="B2581" s="1146" t="s">
        <v>264</v>
      </c>
      <c r="C2581" s="1411" t="s">
        <v>1861</v>
      </c>
      <c r="D2581" s="1136"/>
      <c r="E2581" s="1420">
        <v>218672</v>
      </c>
      <c r="F2581" s="1110">
        <v>10</v>
      </c>
      <c r="G2581" s="846">
        <v>1244208</v>
      </c>
      <c r="H2581" s="847">
        <v>1274953</v>
      </c>
      <c r="I2581" s="846"/>
      <c r="J2581" s="847"/>
      <c r="K2581" s="846"/>
      <c r="L2581" s="847"/>
      <c r="M2581" s="846">
        <v>7560117</v>
      </c>
      <c r="N2581" s="846">
        <v>19140</v>
      </c>
      <c r="O2581" s="737">
        <f t="shared" si="327"/>
        <v>7579257</v>
      </c>
      <c r="P2581" s="1423">
        <v>7560117</v>
      </c>
      <c r="Q2581" s="1423">
        <v>19140</v>
      </c>
      <c r="R2581" s="738">
        <f t="shared" si="330"/>
        <v>7579257</v>
      </c>
      <c r="S2581" s="737">
        <f t="shared" si="331"/>
        <v>8804325</v>
      </c>
      <c r="T2581" s="739">
        <f t="shared" si="332"/>
        <v>8835070</v>
      </c>
      <c r="U2581" s="846"/>
      <c r="V2581" s="847"/>
      <c r="W2581" s="846"/>
      <c r="X2581" s="846"/>
      <c r="Y2581" s="740">
        <f t="shared" si="328"/>
        <v>0</v>
      </c>
      <c r="Z2581" s="1423"/>
      <c r="AA2581" s="1423"/>
      <c r="AB2581" s="741">
        <f t="shared" si="329"/>
        <v>0</v>
      </c>
      <c r="AC2581" s="846"/>
      <c r="AD2581" s="847"/>
      <c r="AE2581" s="846"/>
      <c r="AF2581" s="846"/>
      <c r="AG2581" s="1423"/>
      <c r="AH2581" s="1423"/>
      <c r="AI2581" s="742">
        <f t="shared" si="333"/>
        <v>8804325</v>
      </c>
      <c r="AJ2581" s="743">
        <f t="shared" si="334"/>
        <v>8835070</v>
      </c>
    </row>
    <row r="2582" spans="1:36">
      <c r="A2582" s="1410" t="s">
        <v>146</v>
      </c>
      <c r="B2582" s="1146" t="s">
        <v>264</v>
      </c>
      <c r="C2582" s="1137" t="s">
        <v>1746</v>
      </c>
      <c r="D2582" s="1136"/>
      <c r="E2582" s="1420">
        <v>218672</v>
      </c>
      <c r="F2582" s="1110">
        <v>10</v>
      </c>
      <c r="G2582" s="846">
        <v>314446</v>
      </c>
      <c r="H2582" s="847">
        <v>331350</v>
      </c>
      <c r="I2582" s="846"/>
      <c r="J2582" s="847"/>
      <c r="K2582" s="846"/>
      <c r="L2582" s="847"/>
      <c r="M2582" s="846"/>
      <c r="N2582" s="846"/>
      <c r="O2582" s="737">
        <f t="shared" si="327"/>
        <v>0</v>
      </c>
      <c r="P2582" s="1423"/>
      <c r="Q2582" s="1423"/>
      <c r="R2582" s="738">
        <f t="shared" si="330"/>
        <v>0</v>
      </c>
      <c r="S2582" s="737">
        <f t="shared" si="331"/>
        <v>314446</v>
      </c>
      <c r="T2582" s="739">
        <f t="shared" si="332"/>
        <v>331350</v>
      </c>
      <c r="U2582" s="846"/>
      <c r="V2582" s="847"/>
      <c r="W2582" s="846"/>
      <c r="X2582" s="846"/>
      <c r="Y2582" s="740">
        <f t="shared" si="328"/>
        <v>0</v>
      </c>
      <c r="Z2582" s="1423"/>
      <c r="AA2582" s="1423"/>
      <c r="AB2582" s="741">
        <f t="shared" si="329"/>
        <v>0</v>
      </c>
      <c r="AC2582" s="846"/>
      <c r="AD2582" s="847"/>
      <c r="AE2582" s="846"/>
      <c r="AF2582" s="846"/>
      <c r="AG2582" s="1423"/>
      <c r="AH2582" s="1423"/>
      <c r="AI2582" s="742">
        <f t="shared" si="333"/>
        <v>314446</v>
      </c>
      <c r="AJ2582" s="743">
        <f t="shared" si="334"/>
        <v>331350</v>
      </c>
    </row>
    <row r="2583" spans="1:36">
      <c r="A2583" s="1410" t="s">
        <v>146</v>
      </c>
      <c r="B2583" s="1146" t="s">
        <v>272</v>
      </c>
      <c r="C2583" s="1135" t="s">
        <v>842</v>
      </c>
      <c r="D2583" s="1136"/>
      <c r="E2583" s="1420">
        <v>218672</v>
      </c>
      <c r="F2583" s="1110">
        <v>10</v>
      </c>
      <c r="G2583" s="846"/>
      <c r="H2583" s="847"/>
      <c r="I2583" s="846"/>
      <c r="J2583" s="847"/>
      <c r="K2583" s="846"/>
      <c r="L2583" s="847"/>
      <c r="M2583" s="846"/>
      <c r="N2583" s="846"/>
      <c r="O2583" s="737">
        <f t="shared" si="327"/>
        <v>0</v>
      </c>
      <c r="P2583" s="1423"/>
      <c r="Q2583" s="1423"/>
      <c r="R2583" s="738">
        <f t="shared" si="330"/>
        <v>0</v>
      </c>
      <c r="S2583" s="737">
        <f t="shared" si="331"/>
        <v>0</v>
      </c>
      <c r="T2583" s="739">
        <f t="shared" si="332"/>
        <v>0</v>
      </c>
      <c r="U2583" s="846"/>
      <c r="V2583" s="847"/>
      <c r="W2583" s="846"/>
      <c r="X2583" s="846"/>
      <c r="Y2583" s="740">
        <f t="shared" si="328"/>
        <v>0</v>
      </c>
      <c r="Z2583" s="1423"/>
      <c r="AA2583" s="1423"/>
      <c r="AB2583" s="741">
        <f t="shared" si="329"/>
        <v>0</v>
      </c>
      <c r="AC2583" s="846"/>
      <c r="AD2583" s="847"/>
      <c r="AE2583" s="846"/>
      <c r="AF2583" s="846"/>
      <c r="AG2583" s="1423"/>
      <c r="AH2583" s="1423"/>
      <c r="AI2583" s="742">
        <f t="shared" si="333"/>
        <v>0</v>
      </c>
      <c r="AJ2583" s="743">
        <f t="shared" si="334"/>
        <v>0</v>
      </c>
    </row>
    <row r="2584" spans="1:36">
      <c r="A2584" s="1410" t="s">
        <v>146</v>
      </c>
      <c r="B2584" s="1146" t="s">
        <v>272</v>
      </c>
      <c r="C2584" s="1137" t="s">
        <v>1862</v>
      </c>
      <c r="D2584" s="1136"/>
      <c r="E2584" s="1420">
        <v>218672</v>
      </c>
      <c r="F2584" s="1110">
        <v>10</v>
      </c>
      <c r="G2584" s="846"/>
      <c r="H2584" s="847"/>
      <c r="I2584" s="846">
        <v>400000</v>
      </c>
      <c r="J2584" s="847"/>
      <c r="K2584" s="846"/>
      <c r="L2584" s="847"/>
      <c r="M2584" s="846"/>
      <c r="N2584" s="846"/>
      <c r="O2584" s="737">
        <f t="shared" si="327"/>
        <v>0</v>
      </c>
      <c r="P2584" s="1423"/>
      <c r="Q2584" s="1423"/>
      <c r="R2584" s="738">
        <f t="shared" si="330"/>
        <v>0</v>
      </c>
      <c r="S2584" s="737">
        <f t="shared" si="331"/>
        <v>400000</v>
      </c>
      <c r="T2584" s="739">
        <f t="shared" si="332"/>
        <v>0</v>
      </c>
      <c r="U2584" s="846"/>
      <c r="V2584" s="847"/>
      <c r="W2584" s="846"/>
      <c r="X2584" s="846"/>
      <c r="Y2584" s="740">
        <f t="shared" si="328"/>
        <v>0</v>
      </c>
      <c r="Z2584" s="1423"/>
      <c r="AA2584" s="1423"/>
      <c r="AB2584" s="741">
        <f t="shared" si="329"/>
        <v>0</v>
      </c>
      <c r="AC2584" s="846"/>
      <c r="AD2584" s="847"/>
      <c r="AE2584" s="846"/>
      <c r="AF2584" s="846"/>
      <c r="AG2584" s="1423"/>
      <c r="AH2584" s="1423"/>
      <c r="AI2584" s="742">
        <f t="shared" si="333"/>
        <v>400000</v>
      </c>
      <c r="AJ2584" s="743">
        <f t="shared" si="334"/>
        <v>0</v>
      </c>
    </row>
    <row r="2585" spans="1:36">
      <c r="A2585" s="1410" t="s">
        <v>146</v>
      </c>
      <c r="B2585" s="1146" t="s">
        <v>272</v>
      </c>
      <c r="C2585" s="1137" t="s">
        <v>1792</v>
      </c>
      <c r="D2585" s="1136"/>
      <c r="E2585" s="1420">
        <v>218672</v>
      </c>
      <c r="F2585" s="1110">
        <v>10</v>
      </c>
      <c r="G2585" s="846"/>
      <c r="H2585" s="847"/>
      <c r="I2585" s="846">
        <v>148400</v>
      </c>
      <c r="J2585" s="847">
        <v>196786</v>
      </c>
      <c r="K2585" s="846"/>
      <c r="L2585" s="847"/>
      <c r="M2585" s="846"/>
      <c r="N2585" s="846"/>
      <c r="O2585" s="737">
        <f t="shared" si="327"/>
        <v>0</v>
      </c>
      <c r="P2585" s="1423"/>
      <c r="Q2585" s="1423"/>
      <c r="R2585" s="738">
        <f t="shared" si="330"/>
        <v>0</v>
      </c>
      <c r="S2585" s="737">
        <f t="shared" si="331"/>
        <v>148400</v>
      </c>
      <c r="T2585" s="739">
        <f t="shared" si="332"/>
        <v>196786</v>
      </c>
      <c r="U2585" s="846"/>
      <c r="V2585" s="847"/>
      <c r="W2585" s="846"/>
      <c r="X2585" s="846"/>
      <c r="Y2585" s="740">
        <f t="shared" si="328"/>
        <v>0</v>
      </c>
      <c r="Z2585" s="1423"/>
      <c r="AA2585" s="1423"/>
      <c r="AB2585" s="741">
        <f t="shared" si="329"/>
        <v>0</v>
      </c>
      <c r="AC2585" s="846"/>
      <c r="AD2585" s="847"/>
      <c r="AE2585" s="846"/>
      <c r="AF2585" s="846"/>
      <c r="AG2585" s="1423"/>
      <c r="AH2585" s="1423"/>
      <c r="AI2585" s="742">
        <f t="shared" si="333"/>
        <v>148400</v>
      </c>
      <c r="AJ2585" s="743">
        <f t="shared" si="334"/>
        <v>196786</v>
      </c>
    </row>
    <row r="2586" spans="1:36">
      <c r="A2586" s="1410" t="s">
        <v>146</v>
      </c>
      <c r="B2586" s="1146" t="s">
        <v>272</v>
      </c>
      <c r="C2586" s="1137" t="s">
        <v>1819</v>
      </c>
      <c r="D2586" s="1136"/>
      <c r="E2586" s="1420">
        <v>218672</v>
      </c>
      <c r="F2586" s="1110">
        <v>10</v>
      </c>
      <c r="G2586" s="846"/>
      <c r="H2586" s="847"/>
      <c r="I2586" s="846">
        <v>148500</v>
      </c>
      <c r="J2586" s="847">
        <v>223283</v>
      </c>
      <c r="K2586" s="846"/>
      <c r="L2586" s="847"/>
      <c r="M2586" s="846"/>
      <c r="N2586" s="846"/>
      <c r="O2586" s="737">
        <f t="shared" si="327"/>
        <v>0</v>
      </c>
      <c r="P2586" s="1423"/>
      <c r="Q2586" s="1423"/>
      <c r="R2586" s="738">
        <f t="shared" si="330"/>
        <v>0</v>
      </c>
      <c r="S2586" s="737">
        <f t="shared" si="331"/>
        <v>148500</v>
      </c>
      <c r="T2586" s="739">
        <f t="shared" si="332"/>
        <v>223283</v>
      </c>
      <c r="U2586" s="846"/>
      <c r="V2586" s="847"/>
      <c r="W2586" s="846"/>
      <c r="X2586" s="846"/>
      <c r="Y2586" s="740">
        <f t="shared" si="328"/>
        <v>0</v>
      </c>
      <c r="Z2586" s="1423"/>
      <c r="AA2586" s="1423"/>
      <c r="AB2586" s="741">
        <f t="shared" si="329"/>
        <v>0</v>
      </c>
      <c r="AC2586" s="846"/>
      <c r="AD2586" s="847"/>
      <c r="AE2586" s="846"/>
      <c r="AF2586" s="846"/>
      <c r="AG2586" s="1423"/>
      <c r="AH2586" s="1423"/>
      <c r="AI2586" s="742">
        <f t="shared" si="333"/>
        <v>148500</v>
      </c>
      <c r="AJ2586" s="743">
        <f t="shared" si="334"/>
        <v>223283</v>
      </c>
    </row>
    <row r="2587" spans="1:36">
      <c r="A2587" s="1410" t="s">
        <v>146</v>
      </c>
      <c r="B2587" s="1146" t="s">
        <v>272</v>
      </c>
      <c r="C2587" s="1137" t="s">
        <v>1754</v>
      </c>
      <c r="D2587" s="1136"/>
      <c r="E2587" s="1420">
        <v>218672</v>
      </c>
      <c r="F2587" s="1110">
        <v>10</v>
      </c>
      <c r="G2587" s="846"/>
      <c r="H2587" s="847"/>
      <c r="I2587" s="846">
        <v>66878</v>
      </c>
      <c r="J2587" s="352"/>
      <c r="K2587" s="846"/>
      <c r="L2587" s="847"/>
      <c r="M2587" s="846"/>
      <c r="N2587" s="846"/>
      <c r="O2587" s="737">
        <f t="shared" si="327"/>
        <v>0</v>
      </c>
      <c r="P2587" s="1423"/>
      <c r="Q2587" s="1423"/>
      <c r="R2587" s="738">
        <f t="shared" si="330"/>
        <v>0</v>
      </c>
      <c r="S2587" s="737">
        <f t="shared" si="331"/>
        <v>66878</v>
      </c>
      <c r="T2587" s="739">
        <f t="shared" si="332"/>
        <v>0</v>
      </c>
      <c r="U2587" s="846"/>
      <c r="V2587" s="847"/>
      <c r="W2587" s="846"/>
      <c r="X2587" s="846"/>
      <c r="Y2587" s="740">
        <f t="shared" si="328"/>
        <v>0</v>
      </c>
      <c r="Z2587" s="1423"/>
      <c r="AA2587" s="1423"/>
      <c r="AB2587" s="741">
        <f t="shared" si="329"/>
        <v>0</v>
      </c>
      <c r="AC2587" s="846"/>
      <c r="AD2587" s="847"/>
      <c r="AE2587" s="846"/>
      <c r="AF2587" s="846"/>
      <c r="AG2587" s="1423"/>
      <c r="AH2587" s="1423"/>
      <c r="AI2587" s="742">
        <f t="shared" si="333"/>
        <v>66878</v>
      </c>
      <c r="AJ2587" s="743">
        <f t="shared" si="334"/>
        <v>0</v>
      </c>
    </row>
    <row r="2588" spans="1:36">
      <c r="A2588" s="1410" t="s">
        <v>146</v>
      </c>
      <c r="B2588" s="1146" t="s">
        <v>272</v>
      </c>
      <c r="C2588" s="1414" t="s">
        <v>1831</v>
      </c>
      <c r="D2588" s="1136"/>
      <c r="E2588" s="1420">
        <v>218672</v>
      </c>
      <c r="F2588" s="1110">
        <v>10</v>
      </c>
      <c r="G2588" s="846"/>
      <c r="H2588" s="847"/>
      <c r="I2588" s="846"/>
      <c r="J2588" s="847">
        <v>19373</v>
      </c>
      <c r="K2588" s="846"/>
      <c r="L2588" s="847"/>
      <c r="M2588" s="846"/>
      <c r="N2588" s="846"/>
      <c r="O2588" s="737">
        <f t="shared" si="327"/>
        <v>0</v>
      </c>
      <c r="P2588" s="1423"/>
      <c r="Q2588" s="1423"/>
      <c r="R2588" s="738">
        <f t="shared" si="330"/>
        <v>0</v>
      </c>
      <c r="S2588" s="737">
        <f t="shared" si="331"/>
        <v>0</v>
      </c>
      <c r="T2588" s="739">
        <f t="shared" si="332"/>
        <v>19373</v>
      </c>
      <c r="U2588" s="846"/>
      <c r="V2588" s="847"/>
      <c r="W2588" s="846"/>
      <c r="X2588" s="846"/>
      <c r="Y2588" s="740">
        <f t="shared" si="328"/>
        <v>0</v>
      </c>
      <c r="Z2588" s="1423"/>
      <c r="AA2588" s="1423"/>
      <c r="AB2588" s="741">
        <f t="shared" si="329"/>
        <v>0</v>
      </c>
      <c r="AC2588" s="846"/>
      <c r="AD2588" s="847"/>
      <c r="AE2588" s="846"/>
      <c r="AF2588" s="846"/>
      <c r="AG2588" s="1423"/>
      <c r="AH2588" s="1423"/>
      <c r="AI2588" s="742">
        <f t="shared" si="333"/>
        <v>0</v>
      </c>
      <c r="AJ2588" s="743">
        <f t="shared" si="334"/>
        <v>19373</v>
      </c>
    </row>
    <row r="2589" spans="1:36">
      <c r="A2589" s="1410" t="s">
        <v>146</v>
      </c>
      <c r="B2589" s="1146" t="s">
        <v>272</v>
      </c>
      <c r="C2589" s="1137" t="s">
        <v>1756</v>
      </c>
      <c r="D2589" s="1136"/>
      <c r="E2589" s="1420">
        <v>218672</v>
      </c>
      <c r="F2589" s="1110">
        <v>10</v>
      </c>
      <c r="G2589" s="846"/>
      <c r="H2589" s="847"/>
      <c r="I2589" s="846">
        <v>3817</v>
      </c>
      <c r="J2589" s="847">
        <v>3185</v>
      </c>
      <c r="K2589" s="846"/>
      <c r="L2589" s="847"/>
      <c r="M2589" s="846"/>
      <c r="N2589" s="846"/>
      <c r="O2589" s="737">
        <f t="shared" si="327"/>
        <v>0</v>
      </c>
      <c r="P2589" s="1423"/>
      <c r="Q2589" s="1423"/>
      <c r="R2589" s="738">
        <f t="shared" si="330"/>
        <v>0</v>
      </c>
      <c r="S2589" s="737">
        <f t="shared" si="331"/>
        <v>3817</v>
      </c>
      <c r="T2589" s="739">
        <f t="shared" si="332"/>
        <v>3185</v>
      </c>
      <c r="U2589" s="846"/>
      <c r="V2589" s="847"/>
      <c r="W2589" s="846"/>
      <c r="X2589" s="846"/>
      <c r="Y2589" s="740">
        <f t="shared" si="328"/>
        <v>0</v>
      </c>
      <c r="Z2589" s="1423"/>
      <c r="AA2589" s="1423"/>
      <c r="AB2589" s="741">
        <f t="shared" si="329"/>
        <v>0</v>
      </c>
      <c r="AC2589" s="846"/>
      <c r="AD2589" s="847"/>
      <c r="AE2589" s="846"/>
      <c r="AF2589" s="846"/>
      <c r="AG2589" s="1423"/>
      <c r="AH2589" s="1423"/>
      <c r="AI2589" s="742">
        <f t="shared" si="333"/>
        <v>3817</v>
      </c>
      <c r="AJ2589" s="743">
        <f t="shared" si="334"/>
        <v>3185</v>
      </c>
    </row>
    <row r="2590" spans="1:36">
      <c r="A2590" s="1410" t="s">
        <v>146</v>
      </c>
      <c r="B2590" s="1146" t="s">
        <v>272</v>
      </c>
      <c r="C2590" s="1137" t="s">
        <v>1777</v>
      </c>
      <c r="D2590" s="1136"/>
      <c r="E2590" s="1420">
        <v>218672</v>
      </c>
      <c r="F2590" s="1110">
        <v>10</v>
      </c>
      <c r="G2590" s="846"/>
      <c r="H2590" s="847"/>
      <c r="I2590" s="846">
        <v>99759</v>
      </c>
      <c r="J2590" s="847">
        <v>92296</v>
      </c>
      <c r="K2590" s="846"/>
      <c r="L2590" s="847"/>
      <c r="M2590" s="846"/>
      <c r="N2590" s="846"/>
      <c r="O2590" s="737">
        <f t="shared" si="327"/>
        <v>0</v>
      </c>
      <c r="P2590" s="1423"/>
      <c r="Q2590" s="1423"/>
      <c r="R2590" s="738">
        <f t="shared" si="330"/>
        <v>0</v>
      </c>
      <c r="S2590" s="737">
        <f t="shared" si="331"/>
        <v>99759</v>
      </c>
      <c r="T2590" s="739">
        <f t="shared" si="332"/>
        <v>92296</v>
      </c>
      <c r="U2590" s="846"/>
      <c r="V2590" s="847"/>
      <c r="W2590" s="846"/>
      <c r="X2590" s="846"/>
      <c r="Y2590" s="740">
        <f t="shared" si="328"/>
        <v>0</v>
      </c>
      <c r="Z2590" s="1423"/>
      <c r="AA2590" s="1423"/>
      <c r="AB2590" s="741">
        <f t="shared" si="329"/>
        <v>0</v>
      </c>
      <c r="AC2590" s="846"/>
      <c r="AD2590" s="847"/>
      <c r="AE2590" s="846"/>
      <c r="AF2590" s="846"/>
      <c r="AG2590" s="1423"/>
      <c r="AH2590" s="1423"/>
      <c r="AI2590" s="742">
        <f t="shared" si="333"/>
        <v>99759</v>
      </c>
      <c r="AJ2590" s="743">
        <f t="shared" si="334"/>
        <v>92296</v>
      </c>
    </row>
    <row r="2591" spans="1:36">
      <c r="A2591" s="1410" t="s">
        <v>146</v>
      </c>
      <c r="B2591" s="1146" t="s">
        <v>272</v>
      </c>
      <c r="C2591" s="1414" t="s">
        <v>1863</v>
      </c>
      <c r="D2591" s="1136"/>
      <c r="E2591" s="1420">
        <v>218672</v>
      </c>
      <c r="F2591" s="1110">
        <v>10</v>
      </c>
      <c r="G2591" s="846"/>
      <c r="H2591" s="847"/>
      <c r="I2591" s="846"/>
      <c r="J2591" s="847">
        <v>495000</v>
      </c>
      <c r="K2591" s="846"/>
      <c r="L2591" s="847"/>
      <c r="M2591" s="846"/>
      <c r="N2591" s="846"/>
      <c r="O2591" s="737">
        <f t="shared" si="327"/>
        <v>0</v>
      </c>
      <c r="P2591" s="1423"/>
      <c r="Q2591" s="1423"/>
      <c r="R2591" s="738">
        <f t="shared" si="330"/>
        <v>0</v>
      </c>
      <c r="S2591" s="737">
        <f t="shared" si="331"/>
        <v>0</v>
      </c>
      <c r="T2591" s="739">
        <f t="shared" si="332"/>
        <v>495000</v>
      </c>
      <c r="U2591" s="846"/>
      <c r="V2591" s="847"/>
      <c r="W2591" s="846"/>
      <c r="X2591" s="846"/>
      <c r="Y2591" s="740">
        <f t="shared" si="328"/>
        <v>0</v>
      </c>
      <c r="Z2591" s="1423"/>
      <c r="AA2591" s="1423"/>
      <c r="AB2591" s="741">
        <f t="shared" si="329"/>
        <v>0</v>
      </c>
      <c r="AC2591" s="846"/>
      <c r="AD2591" s="847"/>
      <c r="AE2591" s="846"/>
      <c r="AF2591" s="846"/>
      <c r="AG2591" s="1423"/>
      <c r="AH2591" s="1423"/>
      <c r="AI2591" s="742">
        <f t="shared" si="333"/>
        <v>0</v>
      </c>
      <c r="AJ2591" s="743">
        <f t="shared" si="334"/>
        <v>495000</v>
      </c>
    </row>
    <row r="2592" spans="1:36">
      <c r="A2592" s="1410" t="s">
        <v>146</v>
      </c>
      <c r="B2592" s="1146" t="s">
        <v>264</v>
      </c>
      <c r="C2592" s="1411" t="s">
        <v>1864</v>
      </c>
      <c r="D2592" s="1136"/>
      <c r="E2592" s="1420">
        <v>218681</v>
      </c>
      <c r="F2592" s="1110">
        <v>10</v>
      </c>
      <c r="G2592" s="846">
        <v>974631</v>
      </c>
      <c r="H2592" s="847">
        <v>998716</v>
      </c>
      <c r="I2592" s="846"/>
      <c r="J2592" s="847"/>
      <c r="K2592" s="846"/>
      <c r="L2592" s="847"/>
      <c r="M2592" s="846">
        <v>5512360</v>
      </c>
      <c r="N2592" s="846">
        <v>34110</v>
      </c>
      <c r="O2592" s="737">
        <f t="shared" si="327"/>
        <v>5546470</v>
      </c>
      <c r="P2592" s="1423">
        <v>5270320</v>
      </c>
      <c r="Q2592" s="1423">
        <v>0</v>
      </c>
      <c r="R2592" s="738">
        <f t="shared" si="330"/>
        <v>5270320</v>
      </c>
      <c r="S2592" s="737">
        <f t="shared" si="331"/>
        <v>6486991</v>
      </c>
      <c r="T2592" s="739">
        <f t="shared" si="332"/>
        <v>6269036</v>
      </c>
      <c r="U2592" s="846"/>
      <c r="V2592" s="847"/>
      <c r="W2592" s="846"/>
      <c r="X2592" s="846"/>
      <c r="Y2592" s="740">
        <f t="shared" si="328"/>
        <v>0</v>
      </c>
      <c r="Z2592" s="1423"/>
      <c r="AA2592" s="1423"/>
      <c r="AB2592" s="741">
        <f t="shared" si="329"/>
        <v>0</v>
      </c>
      <c r="AC2592" s="846"/>
      <c r="AD2592" s="847"/>
      <c r="AE2592" s="846"/>
      <c r="AF2592" s="846"/>
      <c r="AG2592" s="1423"/>
      <c r="AH2592" s="1423"/>
      <c r="AI2592" s="742">
        <f t="shared" si="333"/>
        <v>6486991</v>
      </c>
      <c r="AJ2592" s="743">
        <f t="shared" si="334"/>
        <v>6269036</v>
      </c>
    </row>
    <row r="2593" spans="1:36">
      <c r="A2593" s="1410" t="s">
        <v>146</v>
      </c>
      <c r="B2593" s="1146" t="s">
        <v>264</v>
      </c>
      <c r="C2593" s="1137" t="s">
        <v>1746</v>
      </c>
      <c r="D2593" s="1136"/>
      <c r="E2593" s="1420">
        <v>218681</v>
      </c>
      <c r="F2593" s="1110">
        <v>10</v>
      </c>
      <c r="G2593" s="846">
        <v>248511</v>
      </c>
      <c r="H2593" s="847">
        <v>262704</v>
      </c>
      <c r="I2593" s="846"/>
      <c r="J2593" s="847"/>
      <c r="K2593" s="846"/>
      <c r="L2593" s="847"/>
      <c r="M2593" s="846"/>
      <c r="N2593" s="846"/>
      <c r="O2593" s="737">
        <f t="shared" si="327"/>
        <v>0</v>
      </c>
      <c r="P2593" s="1423"/>
      <c r="Q2593" s="1423"/>
      <c r="R2593" s="738">
        <f t="shared" si="330"/>
        <v>0</v>
      </c>
      <c r="S2593" s="737">
        <f t="shared" si="331"/>
        <v>248511</v>
      </c>
      <c r="T2593" s="739">
        <f t="shared" si="332"/>
        <v>262704</v>
      </c>
      <c r="U2593" s="846"/>
      <c r="V2593" s="847"/>
      <c r="W2593" s="846"/>
      <c r="X2593" s="846"/>
      <c r="Y2593" s="740">
        <f t="shared" si="328"/>
        <v>0</v>
      </c>
      <c r="Z2593" s="1423"/>
      <c r="AA2593" s="1423"/>
      <c r="AB2593" s="741">
        <f t="shared" si="329"/>
        <v>0</v>
      </c>
      <c r="AC2593" s="846"/>
      <c r="AD2593" s="847"/>
      <c r="AE2593" s="846"/>
      <c r="AF2593" s="846"/>
      <c r="AG2593" s="1423"/>
      <c r="AH2593" s="1423"/>
      <c r="AI2593" s="742">
        <f t="shared" si="333"/>
        <v>248511</v>
      </c>
      <c r="AJ2593" s="743">
        <f t="shared" si="334"/>
        <v>262704</v>
      </c>
    </row>
    <row r="2594" spans="1:36">
      <c r="A2594" s="1410" t="s">
        <v>146</v>
      </c>
      <c r="B2594" s="1146" t="s">
        <v>266</v>
      </c>
      <c r="C2594" s="1135" t="s">
        <v>319</v>
      </c>
      <c r="D2594" s="1136"/>
      <c r="E2594" s="1420">
        <v>218681</v>
      </c>
      <c r="F2594" s="1110">
        <v>10</v>
      </c>
      <c r="G2594" s="846"/>
      <c r="H2594" s="847"/>
      <c r="I2594" s="846"/>
      <c r="J2594" s="847"/>
      <c r="K2594" s="846"/>
      <c r="L2594" s="847"/>
      <c r="M2594" s="846"/>
      <c r="N2594" s="846"/>
      <c r="O2594" s="737">
        <f t="shared" si="327"/>
        <v>0</v>
      </c>
      <c r="P2594" s="1423"/>
      <c r="Q2594" s="1423"/>
      <c r="R2594" s="738">
        <f t="shared" si="330"/>
        <v>0</v>
      </c>
      <c r="S2594" s="737">
        <f t="shared" si="331"/>
        <v>0</v>
      </c>
      <c r="T2594" s="739">
        <f t="shared" si="332"/>
        <v>0</v>
      </c>
      <c r="U2594" s="846"/>
      <c r="V2594" s="847"/>
      <c r="W2594" s="846"/>
      <c r="X2594" s="846"/>
      <c r="Y2594" s="740">
        <f t="shared" si="328"/>
        <v>0</v>
      </c>
      <c r="Z2594" s="1423"/>
      <c r="AA2594" s="1423"/>
      <c r="AB2594" s="741">
        <f t="shared" si="329"/>
        <v>0</v>
      </c>
      <c r="AC2594" s="846"/>
      <c r="AD2594" s="847"/>
      <c r="AE2594" s="846"/>
      <c r="AF2594" s="846"/>
      <c r="AG2594" s="1423"/>
      <c r="AH2594" s="1423"/>
      <c r="AI2594" s="742">
        <f t="shared" si="333"/>
        <v>0</v>
      </c>
      <c r="AJ2594" s="743">
        <f t="shared" si="334"/>
        <v>0</v>
      </c>
    </row>
    <row r="2595" spans="1:36">
      <c r="A2595" s="1410" t="s">
        <v>146</v>
      </c>
      <c r="B2595" s="1146" t="s">
        <v>266</v>
      </c>
      <c r="C2595" s="1137" t="s">
        <v>1865</v>
      </c>
      <c r="D2595" s="1136"/>
      <c r="E2595" s="1420">
        <v>218681</v>
      </c>
      <c r="F2595" s="1110">
        <v>10</v>
      </c>
      <c r="G2595" s="846"/>
      <c r="H2595" s="847"/>
      <c r="I2595" s="846">
        <v>100460</v>
      </c>
      <c r="J2595" s="847">
        <v>100460</v>
      </c>
      <c r="K2595" s="846"/>
      <c r="L2595" s="847"/>
      <c r="M2595" s="846"/>
      <c r="N2595" s="846"/>
      <c r="O2595" s="737">
        <f t="shared" si="327"/>
        <v>0</v>
      </c>
      <c r="P2595" s="1423"/>
      <c r="Q2595" s="1423"/>
      <c r="R2595" s="738">
        <f t="shared" si="330"/>
        <v>0</v>
      </c>
      <c r="S2595" s="737">
        <f t="shared" si="331"/>
        <v>100460</v>
      </c>
      <c r="T2595" s="739">
        <f t="shared" si="332"/>
        <v>100460</v>
      </c>
      <c r="U2595" s="846"/>
      <c r="V2595" s="847"/>
      <c r="W2595" s="846"/>
      <c r="X2595" s="846"/>
      <c r="Y2595" s="740">
        <f t="shared" si="328"/>
        <v>0</v>
      </c>
      <c r="Z2595" s="1423"/>
      <c r="AA2595" s="1423"/>
      <c r="AB2595" s="741">
        <f t="shared" si="329"/>
        <v>0</v>
      </c>
      <c r="AC2595" s="846"/>
      <c r="AD2595" s="847"/>
      <c r="AE2595" s="846"/>
      <c r="AF2595" s="846"/>
      <c r="AG2595" s="1423"/>
      <c r="AH2595" s="1423"/>
      <c r="AI2595" s="742">
        <f t="shared" si="333"/>
        <v>100460</v>
      </c>
      <c r="AJ2595" s="743">
        <f t="shared" si="334"/>
        <v>100460</v>
      </c>
    </row>
    <row r="2596" spans="1:36">
      <c r="A2596" s="1410" t="s">
        <v>146</v>
      </c>
      <c r="B2596" s="1146" t="s">
        <v>272</v>
      </c>
      <c r="C2596" s="1135" t="s">
        <v>842</v>
      </c>
      <c r="D2596" s="1136"/>
      <c r="E2596" s="1420">
        <v>218681</v>
      </c>
      <c r="F2596" s="1110">
        <v>10</v>
      </c>
      <c r="G2596" s="846"/>
      <c r="H2596" s="847"/>
      <c r="I2596" s="846"/>
      <c r="J2596" s="847"/>
      <c r="K2596" s="846"/>
      <c r="L2596" s="847"/>
      <c r="M2596" s="846"/>
      <c r="N2596" s="846"/>
      <c r="O2596" s="737">
        <f t="shared" si="327"/>
        <v>0</v>
      </c>
      <c r="P2596" s="1423"/>
      <c r="Q2596" s="1423"/>
      <c r="R2596" s="738">
        <f t="shared" si="330"/>
        <v>0</v>
      </c>
      <c r="S2596" s="737">
        <f t="shared" si="331"/>
        <v>0</v>
      </c>
      <c r="T2596" s="739">
        <f t="shared" si="332"/>
        <v>0</v>
      </c>
      <c r="U2596" s="846"/>
      <c r="V2596" s="847"/>
      <c r="W2596" s="846"/>
      <c r="X2596" s="846"/>
      <c r="Y2596" s="740">
        <f t="shared" si="328"/>
        <v>0</v>
      </c>
      <c r="Z2596" s="1423"/>
      <c r="AA2596" s="1423"/>
      <c r="AB2596" s="741">
        <f t="shared" si="329"/>
        <v>0</v>
      </c>
      <c r="AC2596" s="846"/>
      <c r="AD2596" s="847"/>
      <c r="AE2596" s="846"/>
      <c r="AF2596" s="846"/>
      <c r="AG2596" s="1423"/>
      <c r="AH2596" s="1423"/>
      <c r="AI2596" s="742">
        <f t="shared" si="333"/>
        <v>0</v>
      </c>
      <c r="AJ2596" s="743">
        <f t="shared" si="334"/>
        <v>0</v>
      </c>
    </row>
    <row r="2597" spans="1:36">
      <c r="A2597" s="1410" t="s">
        <v>146</v>
      </c>
      <c r="B2597" s="1146" t="s">
        <v>272</v>
      </c>
      <c r="C2597" s="1137" t="s">
        <v>1753</v>
      </c>
      <c r="D2597" s="1136"/>
      <c r="E2597" s="1420">
        <v>218681</v>
      </c>
      <c r="F2597" s="1110">
        <v>10</v>
      </c>
      <c r="G2597" s="846"/>
      <c r="H2597" s="847"/>
      <c r="I2597" s="846"/>
      <c r="J2597" s="847"/>
      <c r="K2597" s="846"/>
      <c r="L2597" s="847"/>
      <c r="M2597" s="846"/>
      <c r="N2597" s="846"/>
      <c r="O2597" s="737">
        <f t="shared" si="327"/>
        <v>0</v>
      </c>
      <c r="P2597" s="1423"/>
      <c r="Q2597" s="1423"/>
      <c r="R2597" s="738">
        <f t="shared" si="330"/>
        <v>0</v>
      </c>
      <c r="S2597" s="737">
        <f t="shared" si="331"/>
        <v>0</v>
      </c>
      <c r="T2597" s="739">
        <f t="shared" si="332"/>
        <v>0</v>
      </c>
      <c r="U2597" s="846"/>
      <c r="V2597" s="847"/>
      <c r="W2597" s="846"/>
      <c r="X2597" s="846"/>
      <c r="Y2597" s="740">
        <f t="shared" si="328"/>
        <v>0</v>
      </c>
      <c r="Z2597" s="1423"/>
      <c r="AA2597" s="1423"/>
      <c r="AB2597" s="741">
        <f t="shared" si="329"/>
        <v>0</v>
      </c>
      <c r="AC2597" s="846"/>
      <c r="AD2597" s="847"/>
      <c r="AE2597" s="846"/>
      <c r="AF2597" s="846"/>
      <c r="AG2597" s="1423"/>
      <c r="AH2597" s="1423"/>
      <c r="AI2597" s="742">
        <f t="shared" si="333"/>
        <v>0</v>
      </c>
      <c r="AJ2597" s="743">
        <f t="shared" si="334"/>
        <v>0</v>
      </c>
    </row>
    <row r="2598" spans="1:36">
      <c r="A2598" s="1410" t="s">
        <v>146</v>
      </c>
      <c r="B2598" s="1146" t="s">
        <v>272</v>
      </c>
      <c r="C2598" s="1137" t="s">
        <v>1792</v>
      </c>
      <c r="D2598" s="1136"/>
      <c r="E2598" s="1420">
        <v>218681</v>
      </c>
      <c r="F2598" s="1110">
        <v>10</v>
      </c>
      <c r="G2598" s="846"/>
      <c r="H2598" s="847"/>
      <c r="I2598" s="846">
        <v>118720</v>
      </c>
      <c r="J2598" s="847">
        <v>149097</v>
      </c>
      <c r="K2598" s="846"/>
      <c r="L2598" s="847"/>
      <c r="M2598" s="846"/>
      <c r="N2598" s="846"/>
      <c r="O2598" s="737">
        <f t="shared" si="327"/>
        <v>0</v>
      </c>
      <c r="P2598" s="1423"/>
      <c r="Q2598" s="1423"/>
      <c r="R2598" s="738">
        <f t="shared" si="330"/>
        <v>0</v>
      </c>
      <c r="S2598" s="737">
        <f t="shared" si="331"/>
        <v>118720</v>
      </c>
      <c r="T2598" s="739">
        <f t="shared" si="332"/>
        <v>149097</v>
      </c>
      <c r="U2598" s="846"/>
      <c r="V2598" s="847"/>
      <c r="W2598" s="846"/>
      <c r="X2598" s="846"/>
      <c r="Y2598" s="740">
        <f t="shared" si="328"/>
        <v>0</v>
      </c>
      <c r="Z2598" s="1423"/>
      <c r="AA2598" s="1423"/>
      <c r="AB2598" s="741">
        <f t="shared" si="329"/>
        <v>0</v>
      </c>
      <c r="AC2598" s="846"/>
      <c r="AD2598" s="847"/>
      <c r="AE2598" s="846"/>
      <c r="AF2598" s="846"/>
      <c r="AG2598" s="1423"/>
      <c r="AH2598" s="1423"/>
      <c r="AI2598" s="742">
        <f t="shared" si="333"/>
        <v>118720</v>
      </c>
      <c r="AJ2598" s="743">
        <f t="shared" si="334"/>
        <v>149097</v>
      </c>
    </row>
    <row r="2599" spans="1:36">
      <c r="A2599" s="1410" t="s">
        <v>146</v>
      </c>
      <c r="B2599" s="1146" t="s">
        <v>272</v>
      </c>
      <c r="C2599" s="1137" t="s">
        <v>1819</v>
      </c>
      <c r="D2599" s="1136"/>
      <c r="E2599" s="1420">
        <v>218681</v>
      </c>
      <c r="F2599" s="1110">
        <v>10</v>
      </c>
      <c r="G2599" s="846"/>
      <c r="H2599" s="847"/>
      <c r="I2599" s="846">
        <v>148500</v>
      </c>
      <c r="J2599" s="847">
        <v>214587</v>
      </c>
      <c r="K2599" s="846"/>
      <c r="L2599" s="847"/>
      <c r="M2599" s="846"/>
      <c r="N2599" s="846"/>
      <c r="O2599" s="737">
        <f t="shared" si="327"/>
        <v>0</v>
      </c>
      <c r="P2599" s="1423"/>
      <c r="Q2599" s="1423"/>
      <c r="R2599" s="738">
        <f t="shared" si="330"/>
        <v>0</v>
      </c>
      <c r="S2599" s="737">
        <f t="shared" si="331"/>
        <v>148500</v>
      </c>
      <c r="T2599" s="739">
        <f t="shared" si="332"/>
        <v>214587</v>
      </c>
      <c r="U2599" s="846"/>
      <c r="V2599" s="847"/>
      <c r="W2599" s="846"/>
      <c r="X2599" s="846"/>
      <c r="Y2599" s="740">
        <f t="shared" si="328"/>
        <v>0</v>
      </c>
      <c r="Z2599" s="1423"/>
      <c r="AA2599" s="1423"/>
      <c r="AB2599" s="741">
        <f t="shared" si="329"/>
        <v>0</v>
      </c>
      <c r="AC2599" s="846"/>
      <c r="AD2599" s="847"/>
      <c r="AE2599" s="846"/>
      <c r="AF2599" s="846"/>
      <c r="AG2599" s="1423"/>
      <c r="AH2599" s="1423"/>
      <c r="AI2599" s="742">
        <f t="shared" si="333"/>
        <v>148500</v>
      </c>
      <c r="AJ2599" s="743">
        <f t="shared" si="334"/>
        <v>214587</v>
      </c>
    </row>
    <row r="2600" spans="1:36">
      <c r="A2600" s="1410" t="s">
        <v>146</v>
      </c>
      <c r="B2600" s="1146" t="s">
        <v>272</v>
      </c>
      <c r="C2600" s="1137" t="s">
        <v>1754</v>
      </c>
      <c r="D2600" s="1136"/>
      <c r="E2600" s="1420">
        <v>218681</v>
      </c>
      <c r="F2600" s="1110">
        <v>10</v>
      </c>
      <c r="G2600" s="846"/>
      <c r="H2600" s="847"/>
      <c r="I2600" s="846">
        <v>56797</v>
      </c>
      <c r="J2600" s="847"/>
      <c r="K2600" s="846"/>
      <c r="L2600" s="847"/>
      <c r="M2600" s="846"/>
      <c r="N2600" s="846"/>
      <c r="O2600" s="737">
        <f t="shared" si="327"/>
        <v>0</v>
      </c>
      <c r="P2600" s="1423"/>
      <c r="Q2600" s="1423"/>
      <c r="R2600" s="738">
        <f t="shared" si="330"/>
        <v>0</v>
      </c>
      <c r="S2600" s="737">
        <f t="shared" si="331"/>
        <v>56797</v>
      </c>
      <c r="T2600" s="739">
        <f t="shared" si="332"/>
        <v>0</v>
      </c>
      <c r="U2600" s="846"/>
      <c r="V2600" s="847"/>
      <c r="W2600" s="846"/>
      <c r="X2600" s="846"/>
      <c r="Y2600" s="740">
        <f t="shared" si="328"/>
        <v>0</v>
      </c>
      <c r="Z2600" s="1423"/>
      <c r="AA2600" s="1423"/>
      <c r="AB2600" s="741">
        <f t="shared" si="329"/>
        <v>0</v>
      </c>
      <c r="AC2600" s="846"/>
      <c r="AD2600" s="847"/>
      <c r="AE2600" s="846"/>
      <c r="AF2600" s="846"/>
      <c r="AG2600" s="1423"/>
      <c r="AH2600" s="1423"/>
      <c r="AI2600" s="742">
        <f t="shared" si="333"/>
        <v>56797</v>
      </c>
      <c r="AJ2600" s="743">
        <f t="shared" si="334"/>
        <v>0</v>
      </c>
    </row>
    <row r="2601" spans="1:36">
      <c r="A2601" s="1410" t="s">
        <v>146</v>
      </c>
      <c r="B2601" s="1146" t="s">
        <v>272</v>
      </c>
      <c r="C2601" s="1414" t="s">
        <v>1784</v>
      </c>
      <c r="D2601" s="1136"/>
      <c r="E2601" s="1420">
        <v>218681</v>
      </c>
      <c r="F2601" s="1110">
        <v>10</v>
      </c>
      <c r="G2601" s="846"/>
      <c r="H2601" s="847"/>
      <c r="I2601" s="846"/>
      <c r="J2601" s="847">
        <v>16452</v>
      </c>
      <c r="K2601" s="846"/>
      <c r="L2601" s="847"/>
      <c r="M2601" s="846"/>
      <c r="N2601" s="846"/>
      <c r="O2601" s="737">
        <f t="shared" si="327"/>
        <v>0</v>
      </c>
      <c r="P2601" s="1423"/>
      <c r="Q2601" s="1423"/>
      <c r="R2601" s="738">
        <f t="shared" si="330"/>
        <v>0</v>
      </c>
      <c r="S2601" s="737">
        <f t="shared" si="331"/>
        <v>0</v>
      </c>
      <c r="T2601" s="739">
        <f t="shared" si="332"/>
        <v>16452</v>
      </c>
      <c r="U2601" s="846"/>
      <c r="V2601" s="847"/>
      <c r="W2601" s="846"/>
      <c r="X2601" s="846"/>
      <c r="Y2601" s="740">
        <f t="shared" si="328"/>
        <v>0</v>
      </c>
      <c r="Z2601" s="1423"/>
      <c r="AA2601" s="1423"/>
      <c r="AB2601" s="741">
        <f t="shared" si="329"/>
        <v>0</v>
      </c>
      <c r="AC2601" s="846"/>
      <c r="AD2601" s="847"/>
      <c r="AE2601" s="846"/>
      <c r="AF2601" s="846"/>
      <c r="AG2601" s="1423"/>
      <c r="AH2601" s="1423"/>
      <c r="AI2601" s="742">
        <f t="shared" si="333"/>
        <v>0</v>
      </c>
      <c r="AJ2601" s="743">
        <f t="shared" si="334"/>
        <v>16452</v>
      </c>
    </row>
    <row r="2602" spans="1:36">
      <c r="A2602" s="1410" t="s">
        <v>146</v>
      </c>
      <c r="B2602" s="1146" t="s">
        <v>272</v>
      </c>
      <c r="C2602" s="1137" t="s">
        <v>1756</v>
      </c>
      <c r="D2602" s="1136"/>
      <c r="E2602" s="1420">
        <v>218681</v>
      </c>
      <c r="F2602" s="1110">
        <v>10</v>
      </c>
      <c r="G2602" s="846"/>
      <c r="H2602" s="847"/>
      <c r="I2602" s="846">
        <v>247</v>
      </c>
      <c r="J2602" s="847">
        <v>238</v>
      </c>
      <c r="K2602" s="846"/>
      <c r="L2602" s="847"/>
      <c r="M2602" s="846"/>
      <c r="N2602" s="846"/>
      <c r="O2602" s="737">
        <f t="shared" si="327"/>
        <v>0</v>
      </c>
      <c r="P2602" s="1423"/>
      <c r="Q2602" s="1423"/>
      <c r="R2602" s="738">
        <f t="shared" si="330"/>
        <v>0</v>
      </c>
      <c r="S2602" s="737">
        <f t="shared" si="331"/>
        <v>247</v>
      </c>
      <c r="T2602" s="739">
        <f t="shared" si="332"/>
        <v>238</v>
      </c>
      <c r="U2602" s="846"/>
      <c r="V2602" s="847"/>
      <c r="W2602" s="846"/>
      <c r="X2602" s="846"/>
      <c r="Y2602" s="740">
        <f t="shared" si="328"/>
        <v>0</v>
      </c>
      <c r="Z2602" s="1423"/>
      <c r="AA2602" s="1423"/>
      <c r="AB2602" s="741">
        <f t="shared" si="329"/>
        <v>0</v>
      </c>
      <c r="AC2602" s="846"/>
      <c r="AD2602" s="847"/>
      <c r="AE2602" s="846"/>
      <c r="AF2602" s="846"/>
      <c r="AG2602" s="1423"/>
      <c r="AH2602" s="1423"/>
      <c r="AI2602" s="742">
        <f t="shared" si="333"/>
        <v>247</v>
      </c>
      <c r="AJ2602" s="743">
        <f t="shared" si="334"/>
        <v>238</v>
      </c>
    </row>
    <row r="2603" spans="1:36">
      <c r="A2603" s="1410" t="s">
        <v>146</v>
      </c>
      <c r="B2603" s="1146" t="s">
        <v>272</v>
      </c>
      <c r="C2603" s="1137" t="s">
        <v>1777</v>
      </c>
      <c r="D2603" s="1136"/>
      <c r="E2603" s="1420">
        <v>218681</v>
      </c>
      <c r="F2603" s="1110">
        <v>10</v>
      </c>
      <c r="G2603" s="846"/>
      <c r="H2603" s="847"/>
      <c r="I2603" s="846">
        <v>99759</v>
      </c>
      <c r="J2603" s="847">
        <v>92296</v>
      </c>
      <c r="K2603" s="846"/>
      <c r="L2603" s="847"/>
      <c r="M2603" s="846"/>
      <c r="N2603" s="846"/>
      <c r="O2603" s="737">
        <f t="shared" si="327"/>
        <v>0</v>
      </c>
      <c r="P2603" s="1423"/>
      <c r="Q2603" s="1423"/>
      <c r="R2603" s="738">
        <f t="shared" si="330"/>
        <v>0</v>
      </c>
      <c r="S2603" s="737">
        <f t="shared" si="331"/>
        <v>99759</v>
      </c>
      <c r="T2603" s="739">
        <f t="shared" si="332"/>
        <v>92296</v>
      </c>
      <c r="U2603" s="846"/>
      <c r="V2603" s="847"/>
      <c r="W2603" s="846"/>
      <c r="X2603" s="846"/>
      <c r="Y2603" s="740">
        <f t="shared" si="328"/>
        <v>0</v>
      </c>
      <c r="Z2603" s="1423"/>
      <c r="AA2603" s="1423"/>
      <c r="AB2603" s="741">
        <f t="shared" si="329"/>
        <v>0</v>
      </c>
      <c r="AC2603" s="846"/>
      <c r="AD2603" s="847"/>
      <c r="AE2603" s="846"/>
      <c r="AF2603" s="846"/>
      <c r="AG2603" s="1423"/>
      <c r="AH2603" s="1423"/>
      <c r="AI2603" s="742">
        <f t="shared" si="333"/>
        <v>99759</v>
      </c>
      <c r="AJ2603" s="743">
        <f t="shared" si="334"/>
        <v>92296</v>
      </c>
    </row>
    <row r="2604" spans="1:36">
      <c r="A2604" s="1410" t="s">
        <v>146</v>
      </c>
      <c r="B2604" s="1146" t="s">
        <v>264</v>
      </c>
      <c r="C2604" s="1411" t="s">
        <v>1866</v>
      </c>
      <c r="D2604" s="1136"/>
      <c r="E2604" s="1420">
        <v>218690</v>
      </c>
      <c r="F2604" s="1110">
        <v>10</v>
      </c>
      <c r="G2604" s="846">
        <v>1954444</v>
      </c>
      <c r="H2604" s="847">
        <v>2002739</v>
      </c>
      <c r="I2604" s="846"/>
      <c r="J2604" s="847"/>
      <c r="K2604" s="846"/>
      <c r="L2604" s="847"/>
      <c r="M2604" s="846">
        <v>4508329</v>
      </c>
      <c r="N2604" s="846">
        <v>57091</v>
      </c>
      <c r="O2604" s="737">
        <f t="shared" si="327"/>
        <v>4565420</v>
      </c>
      <c r="P2604" s="1423">
        <v>4618168</v>
      </c>
      <c r="Q2604" s="1423">
        <v>57686</v>
      </c>
      <c r="R2604" s="738">
        <f t="shared" si="330"/>
        <v>4675854</v>
      </c>
      <c r="S2604" s="737">
        <f t="shared" si="331"/>
        <v>6462773</v>
      </c>
      <c r="T2604" s="739">
        <f t="shared" si="332"/>
        <v>6620907</v>
      </c>
      <c r="U2604" s="846"/>
      <c r="V2604" s="847"/>
      <c r="W2604" s="846"/>
      <c r="X2604" s="846"/>
      <c r="Y2604" s="740">
        <f t="shared" si="328"/>
        <v>0</v>
      </c>
      <c r="Z2604" s="1423"/>
      <c r="AA2604" s="1423"/>
      <c r="AB2604" s="741">
        <f t="shared" si="329"/>
        <v>0</v>
      </c>
      <c r="AC2604" s="846"/>
      <c r="AD2604" s="847"/>
      <c r="AE2604" s="846"/>
      <c r="AF2604" s="846"/>
      <c r="AG2604" s="1423"/>
      <c r="AH2604" s="1423"/>
      <c r="AI2604" s="742">
        <f t="shared" si="333"/>
        <v>6462773</v>
      </c>
      <c r="AJ2604" s="743">
        <f t="shared" si="334"/>
        <v>6620907</v>
      </c>
    </row>
    <row r="2605" spans="1:36">
      <c r="A2605" s="1410" t="s">
        <v>146</v>
      </c>
      <c r="B2605" s="1146" t="s">
        <v>264</v>
      </c>
      <c r="C2605" s="1137" t="s">
        <v>1746</v>
      </c>
      <c r="D2605" s="1136"/>
      <c r="E2605" s="1420">
        <v>218690</v>
      </c>
      <c r="F2605" s="1110">
        <v>10</v>
      </c>
      <c r="G2605" s="846">
        <v>525276</v>
      </c>
      <c r="H2605" s="847">
        <v>555945</v>
      </c>
      <c r="I2605" s="846"/>
      <c r="J2605" s="847"/>
      <c r="K2605" s="846"/>
      <c r="L2605" s="847"/>
      <c r="M2605" s="846"/>
      <c r="N2605" s="846"/>
      <c r="O2605" s="737">
        <f t="shared" si="327"/>
        <v>0</v>
      </c>
      <c r="P2605" s="1423"/>
      <c r="Q2605" s="1423"/>
      <c r="R2605" s="738">
        <f t="shared" si="330"/>
        <v>0</v>
      </c>
      <c r="S2605" s="737">
        <f t="shared" si="331"/>
        <v>525276</v>
      </c>
      <c r="T2605" s="739">
        <f t="shared" si="332"/>
        <v>555945</v>
      </c>
      <c r="U2605" s="846"/>
      <c r="V2605" s="847"/>
      <c r="W2605" s="846"/>
      <c r="X2605" s="846"/>
      <c r="Y2605" s="740">
        <f t="shared" si="328"/>
        <v>0</v>
      </c>
      <c r="Z2605" s="1423"/>
      <c r="AA2605" s="1423"/>
      <c r="AB2605" s="741">
        <f t="shared" si="329"/>
        <v>0</v>
      </c>
      <c r="AC2605" s="846"/>
      <c r="AD2605" s="847"/>
      <c r="AE2605" s="846"/>
      <c r="AF2605" s="846"/>
      <c r="AG2605" s="1423"/>
      <c r="AH2605" s="1423"/>
      <c r="AI2605" s="742">
        <f t="shared" si="333"/>
        <v>525276</v>
      </c>
      <c r="AJ2605" s="743">
        <f t="shared" si="334"/>
        <v>555945</v>
      </c>
    </row>
    <row r="2606" spans="1:36">
      <c r="A2606" s="1410" t="s">
        <v>146</v>
      </c>
      <c r="B2606" s="1146" t="s">
        <v>272</v>
      </c>
      <c r="C2606" s="1135" t="s">
        <v>842</v>
      </c>
      <c r="D2606" s="1136"/>
      <c r="E2606" s="1420">
        <v>218690</v>
      </c>
      <c r="F2606" s="1110">
        <v>10</v>
      </c>
      <c r="G2606" s="846"/>
      <c r="H2606" s="847"/>
      <c r="I2606" s="846"/>
      <c r="J2606" s="847"/>
      <c r="K2606" s="846"/>
      <c r="L2606" s="847"/>
      <c r="M2606" s="846"/>
      <c r="N2606" s="846"/>
      <c r="O2606" s="737">
        <f t="shared" si="327"/>
        <v>0</v>
      </c>
      <c r="P2606" s="1423"/>
      <c r="Q2606" s="1423"/>
      <c r="R2606" s="738">
        <f t="shared" si="330"/>
        <v>0</v>
      </c>
      <c r="S2606" s="737">
        <f t="shared" si="331"/>
        <v>0</v>
      </c>
      <c r="T2606" s="739">
        <f t="shared" si="332"/>
        <v>0</v>
      </c>
      <c r="U2606" s="846"/>
      <c r="V2606" s="847"/>
      <c r="W2606" s="846"/>
      <c r="X2606" s="846"/>
      <c r="Y2606" s="740">
        <f t="shared" si="328"/>
        <v>0</v>
      </c>
      <c r="Z2606" s="1423"/>
      <c r="AA2606" s="1423"/>
      <c r="AB2606" s="741">
        <f t="shared" si="329"/>
        <v>0</v>
      </c>
      <c r="AC2606" s="846"/>
      <c r="AD2606" s="847"/>
      <c r="AE2606" s="846"/>
      <c r="AF2606" s="846"/>
      <c r="AG2606" s="1423"/>
      <c r="AH2606" s="1423"/>
      <c r="AI2606" s="742">
        <f t="shared" si="333"/>
        <v>0</v>
      </c>
      <c r="AJ2606" s="743">
        <f t="shared" si="334"/>
        <v>0</v>
      </c>
    </row>
    <row r="2607" spans="1:36">
      <c r="A2607" s="1410" t="s">
        <v>146</v>
      </c>
      <c r="B2607" s="1146" t="s">
        <v>272</v>
      </c>
      <c r="C2607" s="1137" t="s">
        <v>1753</v>
      </c>
      <c r="D2607" s="1136"/>
      <c r="E2607" s="1420">
        <v>218690</v>
      </c>
      <c r="F2607" s="1110">
        <v>10</v>
      </c>
      <c r="G2607" s="846"/>
      <c r="H2607" s="847"/>
      <c r="I2607" s="846"/>
      <c r="J2607" s="847"/>
      <c r="K2607" s="846"/>
      <c r="L2607" s="847"/>
      <c r="M2607" s="846"/>
      <c r="N2607" s="846"/>
      <c r="O2607" s="737">
        <f t="shared" si="327"/>
        <v>0</v>
      </c>
      <c r="P2607" s="1423"/>
      <c r="Q2607" s="1423"/>
      <c r="R2607" s="738">
        <f t="shared" si="330"/>
        <v>0</v>
      </c>
      <c r="S2607" s="737">
        <f t="shared" si="331"/>
        <v>0</v>
      </c>
      <c r="T2607" s="739">
        <f t="shared" si="332"/>
        <v>0</v>
      </c>
      <c r="U2607" s="846"/>
      <c r="V2607" s="847"/>
      <c r="W2607" s="846"/>
      <c r="X2607" s="846"/>
      <c r="Y2607" s="740">
        <f t="shared" si="328"/>
        <v>0</v>
      </c>
      <c r="Z2607" s="1423"/>
      <c r="AA2607" s="1423"/>
      <c r="AB2607" s="741">
        <f t="shared" si="329"/>
        <v>0</v>
      </c>
      <c r="AC2607" s="846"/>
      <c r="AD2607" s="847"/>
      <c r="AE2607" s="846"/>
      <c r="AF2607" s="846"/>
      <c r="AG2607" s="1423"/>
      <c r="AH2607" s="1423"/>
      <c r="AI2607" s="742">
        <f t="shared" si="333"/>
        <v>0</v>
      </c>
      <c r="AJ2607" s="743">
        <f t="shared" si="334"/>
        <v>0</v>
      </c>
    </row>
    <row r="2608" spans="1:36">
      <c r="A2608" s="1410" t="s">
        <v>146</v>
      </c>
      <c r="B2608" s="1146" t="s">
        <v>272</v>
      </c>
      <c r="C2608" s="1137" t="s">
        <v>1792</v>
      </c>
      <c r="D2608" s="1136"/>
      <c r="E2608" s="1420">
        <v>218690</v>
      </c>
      <c r="F2608" s="1110">
        <v>10</v>
      </c>
      <c r="G2608" s="846"/>
      <c r="H2608" s="847"/>
      <c r="I2608" s="846">
        <v>176270</v>
      </c>
      <c r="J2608" s="847">
        <v>150000</v>
      </c>
      <c r="K2608" s="846"/>
      <c r="L2608" s="847"/>
      <c r="M2608" s="846"/>
      <c r="N2608" s="846"/>
      <c r="O2608" s="737">
        <f t="shared" si="327"/>
        <v>0</v>
      </c>
      <c r="P2608" s="1423"/>
      <c r="Q2608" s="1423"/>
      <c r="R2608" s="738">
        <f t="shared" si="330"/>
        <v>0</v>
      </c>
      <c r="S2608" s="737">
        <f t="shared" si="331"/>
        <v>176270</v>
      </c>
      <c r="T2608" s="739">
        <f t="shared" si="332"/>
        <v>150000</v>
      </c>
      <c r="U2608" s="846"/>
      <c r="V2608" s="847"/>
      <c r="W2608" s="846"/>
      <c r="X2608" s="846"/>
      <c r="Y2608" s="740">
        <f t="shared" si="328"/>
        <v>0</v>
      </c>
      <c r="Z2608" s="1423"/>
      <c r="AA2608" s="1423"/>
      <c r="AB2608" s="741">
        <f t="shared" si="329"/>
        <v>0</v>
      </c>
      <c r="AC2608" s="846"/>
      <c r="AD2608" s="847"/>
      <c r="AE2608" s="846"/>
      <c r="AF2608" s="846"/>
      <c r="AG2608" s="1423"/>
      <c r="AH2608" s="1423"/>
      <c r="AI2608" s="742">
        <f t="shared" si="333"/>
        <v>176270</v>
      </c>
      <c r="AJ2608" s="743">
        <f t="shared" si="334"/>
        <v>150000</v>
      </c>
    </row>
    <row r="2609" spans="1:36">
      <c r="A2609" s="1410" t="s">
        <v>146</v>
      </c>
      <c r="B2609" s="1146" t="s">
        <v>272</v>
      </c>
      <c r="C2609" s="1137" t="s">
        <v>1819</v>
      </c>
      <c r="D2609" s="1136"/>
      <c r="E2609" s="1420">
        <v>218690</v>
      </c>
      <c r="F2609" s="1110">
        <v>10</v>
      </c>
      <c r="G2609" s="846"/>
      <c r="H2609" s="847"/>
      <c r="I2609" s="846">
        <v>148500</v>
      </c>
      <c r="J2609" s="847">
        <v>205891</v>
      </c>
      <c r="K2609" s="846"/>
      <c r="L2609" s="847"/>
      <c r="M2609" s="846"/>
      <c r="N2609" s="846"/>
      <c r="O2609" s="737">
        <f t="shared" si="327"/>
        <v>0</v>
      </c>
      <c r="P2609" s="1423"/>
      <c r="Q2609" s="1423"/>
      <c r="R2609" s="738">
        <f t="shared" si="330"/>
        <v>0</v>
      </c>
      <c r="S2609" s="737">
        <f t="shared" si="331"/>
        <v>148500</v>
      </c>
      <c r="T2609" s="739">
        <f t="shared" si="332"/>
        <v>205891</v>
      </c>
      <c r="U2609" s="846"/>
      <c r="V2609" s="847"/>
      <c r="W2609" s="846"/>
      <c r="X2609" s="846"/>
      <c r="Y2609" s="740">
        <f t="shared" si="328"/>
        <v>0</v>
      </c>
      <c r="Z2609" s="1423"/>
      <c r="AA2609" s="1423"/>
      <c r="AB2609" s="741">
        <f t="shared" si="329"/>
        <v>0</v>
      </c>
      <c r="AC2609" s="846"/>
      <c r="AD2609" s="847"/>
      <c r="AE2609" s="846"/>
      <c r="AF2609" s="846"/>
      <c r="AG2609" s="1423"/>
      <c r="AH2609" s="1423"/>
      <c r="AI2609" s="742">
        <f t="shared" si="333"/>
        <v>148500</v>
      </c>
      <c r="AJ2609" s="743">
        <f t="shared" si="334"/>
        <v>205891</v>
      </c>
    </row>
    <row r="2610" spans="1:36">
      <c r="A2610" s="1410" t="s">
        <v>146</v>
      </c>
      <c r="B2610" s="1146" t="s">
        <v>272</v>
      </c>
      <c r="C2610" s="1137" t="s">
        <v>1754</v>
      </c>
      <c r="D2610" s="1136"/>
      <c r="E2610" s="1420">
        <v>218690</v>
      </c>
      <c r="F2610" s="1110">
        <v>10</v>
      </c>
      <c r="G2610" s="846"/>
      <c r="H2610" s="847"/>
      <c r="I2610" s="846">
        <v>106232</v>
      </c>
      <c r="J2610" s="847"/>
      <c r="K2610" s="846"/>
      <c r="L2610" s="847"/>
      <c r="M2610" s="846"/>
      <c r="N2610" s="846"/>
      <c r="O2610" s="737">
        <f t="shared" si="327"/>
        <v>0</v>
      </c>
      <c r="P2610" s="1423"/>
      <c r="Q2610" s="1423"/>
      <c r="R2610" s="738">
        <f t="shared" si="330"/>
        <v>0</v>
      </c>
      <c r="S2610" s="737">
        <f t="shared" si="331"/>
        <v>106232</v>
      </c>
      <c r="T2610" s="739">
        <f t="shared" si="332"/>
        <v>0</v>
      </c>
      <c r="U2610" s="846"/>
      <c r="V2610" s="847"/>
      <c r="W2610" s="846"/>
      <c r="X2610" s="846"/>
      <c r="Y2610" s="740">
        <f t="shared" si="328"/>
        <v>0</v>
      </c>
      <c r="Z2610" s="1423"/>
      <c r="AA2610" s="1423"/>
      <c r="AB2610" s="741">
        <f t="shared" si="329"/>
        <v>0</v>
      </c>
      <c r="AC2610" s="846"/>
      <c r="AD2610" s="847"/>
      <c r="AE2610" s="846"/>
      <c r="AF2610" s="846"/>
      <c r="AG2610" s="1423"/>
      <c r="AH2610" s="1423"/>
      <c r="AI2610" s="742">
        <f t="shared" si="333"/>
        <v>106232</v>
      </c>
      <c r="AJ2610" s="743">
        <f t="shared" si="334"/>
        <v>0</v>
      </c>
    </row>
    <row r="2611" spans="1:36">
      <c r="A2611" s="1410" t="s">
        <v>146</v>
      </c>
      <c r="B2611" s="1146" t="s">
        <v>272</v>
      </c>
      <c r="C2611" s="1414" t="s">
        <v>1784</v>
      </c>
      <c r="D2611" s="1136"/>
      <c r="E2611" s="1420">
        <v>218690</v>
      </c>
      <c r="F2611" s="1110">
        <v>10</v>
      </c>
      <c r="G2611" s="846"/>
      <c r="H2611" s="847"/>
      <c r="I2611" s="846"/>
      <c r="J2611" s="847">
        <v>30822</v>
      </c>
      <c r="K2611" s="846"/>
      <c r="L2611" s="847"/>
      <c r="M2611" s="846"/>
      <c r="N2611" s="846"/>
      <c r="O2611" s="737">
        <f t="shared" si="327"/>
        <v>0</v>
      </c>
      <c r="P2611" s="1423"/>
      <c r="Q2611" s="1423"/>
      <c r="R2611" s="738">
        <f t="shared" si="330"/>
        <v>0</v>
      </c>
      <c r="S2611" s="737">
        <f t="shared" si="331"/>
        <v>0</v>
      </c>
      <c r="T2611" s="739">
        <f t="shared" si="332"/>
        <v>30822</v>
      </c>
      <c r="U2611" s="846"/>
      <c r="V2611" s="847"/>
      <c r="W2611" s="846"/>
      <c r="X2611" s="846"/>
      <c r="Y2611" s="740">
        <f t="shared" si="328"/>
        <v>0</v>
      </c>
      <c r="Z2611" s="1423"/>
      <c r="AA2611" s="1423"/>
      <c r="AB2611" s="741">
        <f t="shared" si="329"/>
        <v>0</v>
      </c>
      <c r="AC2611" s="846"/>
      <c r="AD2611" s="847"/>
      <c r="AE2611" s="846"/>
      <c r="AF2611" s="846"/>
      <c r="AG2611" s="1423"/>
      <c r="AH2611" s="1423"/>
      <c r="AI2611" s="742">
        <f t="shared" si="333"/>
        <v>0</v>
      </c>
      <c r="AJ2611" s="743">
        <f t="shared" si="334"/>
        <v>30822</v>
      </c>
    </row>
    <row r="2612" spans="1:36">
      <c r="A2612" s="1410" t="s">
        <v>146</v>
      </c>
      <c r="B2612" s="1146" t="s">
        <v>272</v>
      </c>
      <c r="C2612" s="1137" t="s">
        <v>1756</v>
      </c>
      <c r="D2612" s="1136"/>
      <c r="E2612" s="1420">
        <v>218690</v>
      </c>
      <c r="F2612" s="1110">
        <v>10</v>
      </c>
      <c r="G2612" s="846"/>
      <c r="H2612" s="847"/>
      <c r="I2612" s="846">
        <v>792</v>
      </c>
      <c r="J2612" s="847">
        <v>658</v>
      </c>
      <c r="K2612" s="846"/>
      <c r="L2612" s="847"/>
      <c r="M2612" s="846"/>
      <c r="N2612" s="846"/>
      <c r="O2612" s="737">
        <f t="shared" si="327"/>
        <v>0</v>
      </c>
      <c r="P2612" s="1423"/>
      <c r="Q2612" s="1423"/>
      <c r="R2612" s="738">
        <f t="shared" si="330"/>
        <v>0</v>
      </c>
      <c r="S2612" s="737">
        <f t="shared" si="331"/>
        <v>792</v>
      </c>
      <c r="T2612" s="739">
        <f t="shared" si="332"/>
        <v>658</v>
      </c>
      <c r="U2612" s="846"/>
      <c r="V2612" s="847"/>
      <c r="W2612" s="846"/>
      <c r="X2612" s="846"/>
      <c r="Y2612" s="740">
        <f t="shared" si="328"/>
        <v>0</v>
      </c>
      <c r="Z2612" s="1423"/>
      <c r="AA2612" s="1423"/>
      <c r="AB2612" s="741">
        <f t="shared" si="329"/>
        <v>0</v>
      </c>
      <c r="AC2612" s="846"/>
      <c r="AD2612" s="847"/>
      <c r="AE2612" s="846"/>
      <c r="AF2612" s="846"/>
      <c r="AG2612" s="1423"/>
      <c r="AH2612" s="1423"/>
      <c r="AI2612" s="742">
        <f t="shared" si="333"/>
        <v>792</v>
      </c>
      <c r="AJ2612" s="743">
        <f t="shared" si="334"/>
        <v>658</v>
      </c>
    </row>
    <row r="2613" spans="1:36">
      <c r="A2613" s="1410" t="s">
        <v>146</v>
      </c>
      <c r="B2613" s="1146" t="s">
        <v>272</v>
      </c>
      <c r="C2613" s="1137" t="s">
        <v>1777</v>
      </c>
      <c r="D2613" s="1136"/>
      <c r="E2613" s="1420">
        <v>218690</v>
      </c>
      <c r="F2613" s="1110">
        <v>10</v>
      </c>
      <c r="G2613" s="846"/>
      <c r="H2613" s="847"/>
      <c r="I2613" s="846">
        <v>99759</v>
      </c>
      <c r="J2613" s="847">
        <v>92296</v>
      </c>
      <c r="K2613" s="846"/>
      <c r="L2613" s="847"/>
      <c r="M2613" s="846"/>
      <c r="N2613" s="846"/>
      <c r="O2613" s="737">
        <f t="shared" si="327"/>
        <v>0</v>
      </c>
      <c r="P2613" s="1423"/>
      <c r="Q2613" s="1423"/>
      <c r="R2613" s="738">
        <f t="shared" si="330"/>
        <v>0</v>
      </c>
      <c r="S2613" s="737">
        <f t="shared" si="331"/>
        <v>99759</v>
      </c>
      <c r="T2613" s="739">
        <f t="shared" si="332"/>
        <v>92296</v>
      </c>
      <c r="U2613" s="846"/>
      <c r="V2613" s="847"/>
      <c r="W2613" s="846"/>
      <c r="X2613" s="846"/>
      <c r="Y2613" s="740">
        <f t="shared" si="328"/>
        <v>0</v>
      </c>
      <c r="Z2613" s="1423"/>
      <c r="AA2613" s="1423"/>
      <c r="AB2613" s="741">
        <f t="shared" si="329"/>
        <v>0</v>
      </c>
      <c r="AC2613" s="846"/>
      <c r="AD2613" s="847"/>
      <c r="AE2613" s="846"/>
      <c r="AF2613" s="846"/>
      <c r="AG2613" s="1423"/>
      <c r="AH2613" s="1423"/>
      <c r="AI2613" s="742">
        <f t="shared" si="333"/>
        <v>99759</v>
      </c>
      <c r="AJ2613" s="743">
        <f t="shared" si="334"/>
        <v>92296</v>
      </c>
    </row>
    <row r="2614" spans="1:36">
      <c r="A2614" s="1410" t="s">
        <v>146</v>
      </c>
      <c r="B2614" s="1146" t="s">
        <v>264</v>
      </c>
      <c r="C2614" s="1411" t="s">
        <v>1867</v>
      </c>
      <c r="D2614" s="1136"/>
      <c r="E2614" s="1420">
        <v>218706</v>
      </c>
      <c r="F2614" s="1110">
        <v>10</v>
      </c>
      <c r="G2614" s="846">
        <v>487317</v>
      </c>
      <c r="H2614" s="847">
        <v>499360</v>
      </c>
      <c r="I2614" s="846"/>
      <c r="J2614" s="847"/>
      <c r="K2614" s="846"/>
      <c r="L2614" s="847"/>
      <c r="M2614" s="846">
        <v>2569149</v>
      </c>
      <c r="N2614" s="846">
        <v>22350</v>
      </c>
      <c r="O2614" s="737">
        <f t="shared" si="327"/>
        <v>2591499</v>
      </c>
      <c r="P2614" s="1423">
        <v>2609217</v>
      </c>
      <c r="Q2614" s="1423">
        <v>0</v>
      </c>
      <c r="R2614" s="738">
        <f t="shared" si="330"/>
        <v>2609217</v>
      </c>
      <c r="S2614" s="737">
        <f t="shared" si="331"/>
        <v>3056466</v>
      </c>
      <c r="T2614" s="739">
        <f t="shared" si="332"/>
        <v>3108577</v>
      </c>
      <c r="U2614" s="846"/>
      <c r="V2614" s="847"/>
      <c r="W2614" s="846"/>
      <c r="X2614" s="846"/>
      <c r="Y2614" s="740">
        <f t="shared" si="328"/>
        <v>0</v>
      </c>
      <c r="Z2614" s="1423"/>
      <c r="AA2614" s="1423"/>
      <c r="AB2614" s="741">
        <f t="shared" si="329"/>
        <v>0</v>
      </c>
      <c r="AC2614" s="846"/>
      <c r="AD2614" s="847"/>
      <c r="AE2614" s="846"/>
      <c r="AF2614" s="846"/>
      <c r="AG2614" s="1423"/>
      <c r="AH2614" s="1423"/>
      <c r="AI2614" s="742">
        <f t="shared" si="333"/>
        <v>3056466</v>
      </c>
      <c r="AJ2614" s="743">
        <f t="shared" si="334"/>
        <v>3108577</v>
      </c>
    </row>
    <row r="2615" spans="1:36">
      <c r="A2615" s="1410" t="s">
        <v>146</v>
      </c>
      <c r="B2615" s="1146" t="s">
        <v>264</v>
      </c>
      <c r="C2615" s="1137" t="s">
        <v>1746</v>
      </c>
      <c r="D2615" s="1136"/>
      <c r="E2615" s="1420">
        <v>218706</v>
      </c>
      <c r="F2615" s="1110">
        <v>10</v>
      </c>
      <c r="G2615" s="846">
        <v>121815</v>
      </c>
      <c r="H2615" s="847">
        <v>130463</v>
      </c>
      <c r="I2615" s="846"/>
      <c r="J2615" s="847"/>
      <c r="K2615" s="846"/>
      <c r="L2615" s="847"/>
      <c r="M2615" s="846"/>
      <c r="N2615" s="846"/>
      <c r="O2615" s="737">
        <f t="shared" si="327"/>
        <v>0</v>
      </c>
      <c r="P2615" s="1423"/>
      <c r="Q2615" s="1423"/>
      <c r="R2615" s="738">
        <f t="shared" si="330"/>
        <v>0</v>
      </c>
      <c r="S2615" s="737">
        <f t="shared" si="331"/>
        <v>121815</v>
      </c>
      <c r="T2615" s="739">
        <f t="shared" si="332"/>
        <v>130463</v>
      </c>
      <c r="U2615" s="846"/>
      <c r="V2615" s="847"/>
      <c r="W2615" s="846"/>
      <c r="X2615" s="846"/>
      <c r="Y2615" s="740">
        <f t="shared" si="328"/>
        <v>0</v>
      </c>
      <c r="Z2615" s="1423"/>
      <c r="AA2615" s="1423"/>
      <c r="AB2615" s="741">
        <f t="shared" si="329"/>
        <v>0</v>
      </c>
      <c r="AC2615" s="846"/>
      <c r="AD2615" s="847"/>
      <c r="AE2615" s="846"/>
      <c r="AF2615" s="846"/>
      <c r="AG2615" s="1423"/>
      <c r="AH2615" s="1423"/>
      <c r="AI2615" s="742">
        <f t="shared" si="333"/>
        <v>121815</v>
      </c>
      <c r="AJ2615" s="743">
        <f t="shared" si="334"/>
        <v>130463</v>
      </c>
    </row>
    <row r="2616" spans="1:36">
      <c r="A2616" s="1410" t="s">
        <v>146</v>
      </c>
      <c r="B2616" s="1146" t="s">
        <v>272</v>
      </c>
      <c r="C2616" s="1135" t="s">
        <v>842</v>
      </c>
      <c r="D2616" s="1136"/>
      <c r="E2616" s="1420">
        <v>218706</v>
      </c>
      <c r="F2616" s="1110">
        <v>10</v>
      </c>
      <c r="G2616" s="846"/>
      <c r="H2616" s="847"/>
      <c r="I2616" s="846"/>
      <c r="J2616" s="847"/>
      <c r="K2616" s="846"/>
      <c r="L2616" s="847"/>
      <c r="M2616" s="846"/>
      <c r="N2616" s="846"/>
      <c r="O2616" s="737">
        <f t="shared" si="327"/>
        <v>0</v>
      </c>
      <c r="P2616" s="1423"/>
      <c r="Q2616" s="1423"/>
      <c r="R2616" s="738">
        <f t="shared" si="330"/>
        <v>0</v>
      </c>
      <c r="S2616" s="737">
        <f t="shared" si="331"/>
        <v>0</v>
      </c>
      <c r="T2616" s="739">
        <f t="shared" si="332"/>
        <v>0</v>
      </c>
      <c r="U2616" s="846"/>
      <c r="V2616" s="847"/>
      <c r="W2616" s="846"/>
      <c r="X2616" s="846"/>
      <c r="Y2616" s="740">
        <f t="shared" si="328"/>
        <v>0</v>
      </c>
      <c r="Z2616" s="1423"/>
      <c r="AA2616" s="1423"/>
      <c r="AB2616" s="741">
        <f t="shared" si="329"/>
        <v>0</v>
      </c>
      <c r="AC2616" s="846"/>
      <c r="AD2616" s="847"/>
      <c r="AE2616" s="846"/>
      <c r="AF2616" s="846"/>
      <c r="AG2616" s="1423"/>
      <c r="AH2616" s="1423"/>
      <c r="AI2616" s="742">
        <f t="shared" si="333"/>
        <v>0</v>
      </c>
      <c r="AJ2616" s="743">
        <f t="shared" si="334"/>
        <v>0</v>
      </c>
    </row>
    <row r="2617" spans="1:36">
      <c r="A2617" s="1410" t="s">
        <v>146</v>
      </c>
      <c r="B2617" s="1146" t="s">
        <v>272</v>
      </c>
      <c r="C2617" s="1137" t="s">
        <v>1753</v>
      </c>
      <c r="D2617" s="1136"/>
      <c r="E2617" s="1420">
        <v>218706</v>
      </c>
      <c r="F2617" s="1110">
        <v>10</v>
      </c>
      <c r="G2617" s="846"/>
      <c r="H2617" s="847"/>
      <c r="I2617" s="846"/>
      <c r="J2617" s="847"/>
      <c r="K2617" s="846"/>
      <c r="L2617" s="847"/>
      <c r="M2617" s="846"/>
      <c r="N2617" s="846"/>
      <c r="O2617" s="737">
        <f t="shared" si="327"/>
        <v>0</v>
      </c>
      <c r="P2617" s="1423"/>
      <c r="Q2617" s="1423"/>
      <c r="R2617" s="738">
        <f t="shared" si="330"/>
        <v>0</v>
      </c>
      <c r="S2617" s="737">
        <f t="shared" si="331"/>
        <v>0</v>
      </c>
      <c r="T2617" s="739">
        <f t="shared" si="332"/>
        <v>0</v>
      </c>
      <c r="U2617" s="846"/>
      <c r="V2617" s="847"/>
      <c r="W2617" s="846"/>
      <c r="X2617" s="846"/>
      <c r="Y2617" s="740">
        <f t="shared" si="328"/>
        <v>0</v>
      </c>
      <c r="Z2617" s="1423"/>
      <c r="AA2617" s="1423"/>
      <c r="AB2617" s="741">
        <f t="shared" si="329"/>
        <v>0</v>
      </c>
      <c r="AC2617" s="846"/>
      <c r="AD2617" s="847"/>
      <c r="AE2617" s="846"/>
      <c r="AF2617" s="846"/>
      <c r="AG2617" s="1423"/>
      <c r="AH2617" s="1423"/>
      <c r="AI2617" s="742">
        <f t="shared" si="333"/>
        <v>0</v>
      </c>
      <c r="AJ2617" s="743">
        <f t="shared" si="334"/>
        <v>0</v>
      </c>
    </row>
    <row r="2618" spans="1:36">
      <c r="A2618" s="1410" t="s">
        <v>146</v>
      </c>
      <c r="B2618" s="1146" t="s">
        <v>272</v>
      </c>
      <c r="C2618" s="1137" t="s">
        <v>1792</v>
      </c>
      <c r="D2618" s="1136"/>
      <c r="E2618" s="1420">
        <v>218706</v>
      </c>
      <c r="F2618" s="1110">
        <v>10</v>
      </c>
      <c r="G2618" s="846"/>
      <c r="H2618" s="847"/>
      <c r="I2618" s="846">
        <v>59360</v>
      </c>
      <c r="J2618" s="847">
        <v>87723</v>
      </c>
      <c r="K2618" s="846"/>
      <c r="L2618" s="847"/>
      <c r="M2618" s="846"/>
      <c r="N2618" s="846"/>
      <c r="O2618" s="737">
        <f t="shared" si="327"/>
        <v>0</v>
      </c>
      <c r="P2618" s="1423"/>
      <c r="Q2618" s="1423"/>
      <c r="R2618" s="738">
        <f t="shared" si="330"/>
        <v>0</v>
      </c>
      <c r="S2618" s="737">
        <f t="shared" si="331"/>
        <v>59360</v>
      </c>
      <c r="T2618" s="739">
        <f t="shared" si="332"/>
        <v>87723</v>
      </c>
      <c r="U2618" s="846"/>
      <c r="V2618" s="847"/>
      <c r="W2618" s="846"/>
      <c r="X2618" s="846"/>
      <c r="Y2618" s="740">
        <f t="shared" si="328"/>
        <v>0</v>
      </c>
      <c r="Z2618" s="1423"/>
      <c r="AA2618" s="1423"/>
      <c r="AB2618" s="741">
        <f t="shared" si="329"/>
        <v>0</v>
      </c>
      <c r="AC2618" s="846"/>
      <c r="AD2618" s="847"/>
      <c r="AE2618" s="846"/>
      <c r="AF2618" s="846"/>
      <c r="AG2618" s="1423"/>
      <c r="AH2618" s="1423"/>
      <c r="AI2618" s="742">
        <f t="shared" si="333"/>
        <v>59360</v>
      </c>
      <c r="AJ2618" s="743">
        <f t="shared" si="334"/>
        <v>87723</v>
      </c>
    </row>
    <row r="2619" spans="1:36">
      <c r="A2619" s="1410" t="s">
        <v>146</v>
      </c>
      <c r="B2619" s="1146" t="s">
        <v>272</v>
      </c>
      <c r="C2619" s="1137" t="s">
        <v>1819</v>
      </c>
      <c r="D2619" s="1136"/>
      <c r="E2619" s="1420">
        <v>218706</v>
      </c>
      <c r="F2619" s="1110">
        <v>10</v>
      </c>
      <c r="G2619" s="846"/>
      <c r="H2619" s="847"/>
      <c r="I2619" s="846">
        <v>148500</v>
      </c>
      <c r="J2619" s="847">
        <v>210239</v>
      </c>
      <c r="K2619" s="846"/>
      <c r="L2619" s="847"/>
      <c r="M2619" s="846"/>
      <c r="N2619" s="846"/>
      <c r="O2619" s="737">
        <f t="shared" si="327"/>
        <v>0</v>
      </c>
      <c r="P2619" s="1423"/>
      <c r="Q2619" s="1423"/>
      <c r="R2619" s="738">
        <f t="shared" si="330"/>
        <v>0</v>
      </c>
      <c r="S2619" s="737">
        <f t="shared" si="331"/>
        <v>148500</v>
      </c>
      <c r="T2619" s="739">
        <f t="shared" si="332"/>
        <v>210239</v>
      </c>
      <c r="U2619" s="846"/>
      <c r="V2619" s="847"/>
      <c r="W2619" s="846"/>
      <c r="X2619" s="846"/>
      <c r="Y2619" s="740">
        <f t="shared" si="328"/>
        <v>0</v>
      </c>
      <c r="Z2619" s="1423"/>
      <c r="AA2619" s="1423"/>
      <c r="AB2619" s="741">
        <f t="shared" si="329"/>
        <v>0</v>
      </c>
      <c r="AC2619" s="846"/>
      <c r="AD2619" s="847"/>
      <c r="AE2619" s="846"/>
      <c r="AF2619" s="846"/>
      <c r="AG2619" s="1423"/>
      <c r="AH2619" s="1423"/>
      <c r="AI2619" s="742">
        <f t="shared" si="333"/>
        <v>148500</v>
      </c>
      <c r="AJ2619" s="743">
        <f t="shared" si="334"/>
        <v>210239</v>
      </c>
    </row>
    <row r="2620" spans="1:36">
      <c r="A2620" s="1410" t="s">
        <v>146</v>
      </c>
      <c r="B2620" s="1146" t="s">
        <v>272</v>
      </c>
      <c r="C2620" s="1137" t="s">
        <v>1754</v>
      </c>
      <c r="D2620" s="1136"/>
      <c r="E2620" s="1420">
        <v>218706</v>
      </c>
      <c r="F2620" s="1110">
        <v>10</v>
      </c>
      <c r="G2620" s="846"/>
      <c r="H2620" s="847"/>
      <c r="I2620" s="846">
        <v>26047</v>
      </c>
      <c r="J2620" s="847"/>
      <c r="K2620" s="846"/>
      <c r="L2620" s="847"/>
      <c r="M2620" s="846"/>
      <c r="N2620" s="846"/>
      <c r="O2620" s="737">
        <f t="shared" si="327"/>
        <v>0</v>
      </c>
      <c r="P2620" s="1423"/>
      <c r="Q2620" s="1423"/>
      <c r="R2620" s="738">
        <f t="shared" si="330"/>
        <v>0</v>
      </c>
      <c r="S2620" s="737">
        <f t="shared" si="331"/>
        <v>26047</v>
      </c>
      <c r="T2620" s="739">
        <f t="shared" si="332"/>
        <v>0</v>
      </c>
      <c r="U2620" s="846"/>
      <c r="V2620" s="847"/>
      <c r="W2620" s="846"/>
      <c r="X2620" s="846"/>
      <c r="Y2620" s="740">
        <f t="shared" si="328"/>
        <v>0</v>
      </c>
      <c r="Z2620" s="1423"/>
      <c r="AA2620" s="1423"/>
      <c r="AB2620" s="741">
        <f t="shared" si="329"/>
        <v>0</v>
      </c>
      <c r="AC2620" s="846"/>
      <c r="AD2620" s="847"/>
      <c r="AE2620" s="846"/>
      <c r="AF2620" s="846"/>
      <c r="AG2620" s="1423"/>
      <c r="AH2620" s="1423"/>
      <c r="AI2620" s="742">
        <f t="shared" si="333"/>
        <v>26047</v>
      </c>
      <c r="AJ2620" s="743">
        <f t="shared" si="334"/>
        <v>0</v>
      </c>
    </row>
    <row r="2621" spans="1:36">
      <c r="A2621" s="1410" t="s">
        <v>146</v>
      </c>
      <c r="B2621" s="1146" t="s">
        <v>272</v>
      </c>
      <c r="C2621" s="1414" t="s">
        <v>1784</v>
      </c>
      <c r="D2621" s="1136"/>
      <c r="E2621" s="1420">
        <v>218706</v>
      </c>
      <c r="F2621" s="1110">
        <v>10</v>
      </c>
      <c r="G2621" s="846"/>
      <c r="H2621" s="847"/>
      <c r="I2621" s="846"/>
      <c r="J2621" s="847">
        <v>7571</v>
      </c>
      <c r="K2621" s="846"/>
      <c r="L2621" s="847"/>
      <c r="M2621" s="846"/>
      <c r="N2621" s="846"/>
      <c r="O2621" s="737">
        <f t="shared" si="327"/>
        <v>0</v>
      </c>
      <c r="P2621" s="1423"/>
      <c r="Q2621" s="1423"/>
      <c r="R2621" s="738">
        <f t="shared" si="330"/>
        <v>0</v>
      </c>
      <c r="S2621" s="737">
        <f t="shared" si="331"/>
        <v>0</v>
      </c>
      <c r="T2621" s="739">
        <f t="shared" si="332"/>
        <v>7571</v>
      </c>
      <c r="U2621" s="846"/>
      <c r="V2621" s="847"/>
      <c r="W2621" s="846"/>
      <c r="X2621" s="846"/>
      <c r="Y2621" s="740">
        <f t="shared" si="328"/>
        <v>0</v>
      </c>
      <c r="Z2621" s="1423"/>
      <c r="AA2621" s="1423"/>
      <c r="AB2621" s="741">
        <f t="shared" si="329"/>
        <v>0</v>
      </c>
      <c r="AC2621" s="846"/>
      <c r="AD2621" s="847"/>
      <c r="AE2621" s="846"/>
      <c r="AF2621" s="846"/>
      <c r="AG2621" s="1423"/>
      <c r="AH2621" s="1423"/>
      <c r="AI2621" s="742">
        <f t="shared" si="333"/>
        <v>0</v>
      </c>
      <c r="AJ2621" s="743">
        <f t="shared" si="334"/>
        <v>7571</v>
      </c>
    </row>
    <row r="2622" spans="1:36">
      <c r="A2622" s="1410" t="s">
        <v>146</v>
      </c>
      <c r="B2622" s="1146" t="s">
        <v>272</v>
      </c>
      <c r="C2622" s="1137" t="s">
        <v>1756</v>
      </c>
      <c r="D2622" s="1136"/>
      <c r="E2622" s="1420">
        <v>218706</v>
      </c>
      <c r="F2622" s="1110">
        <v>10</v>
      </c>
      <c r="G2622" s="846"/>
      <c r="H2622" s="847"/>
      <c r="I2622" s="846">
        <v>248</v>
      </c>
      <c r="J2622" s="847">
        <v>239</v>
      </c>
      <c r="K2622" s="846"/>
      <c r="L2622" s="847"/>
      <c r="M2622" s="846"/>
      <c r="N2622" s="846"/>
      <c r="O2622" s="737">
        <f t="shared" si="327"/>
        <v>0</v>
      </c>
      <c r="P2622" s="1423"/>
      <c r="Q2622" s="1423"/>
      <c r="R2622" s="738">
        <f t="shared" si="330"/>
        <v>0</v>
      </c>
      <c r="S2622" s="737">
        <f t="shared" si="331"/>
        <v>248</v>
      </c>
      <c r="T2622" s="739">
        <f t="shared" si="332"/>
        <v>239</v>
      </c>
      <c r="U2622" s="846"/>
      <c r="V2622" s="847"/>
      <c r="W2622" s="846"/>
      <c r="X2622" s="846"/>
      <c r="Y2622" s="740">
        <f t="shared" si="328"/>
        <v>0</v>
      </c>
      <c r="Z2622" s="1423"/>
      <c r="AA2622" s="1423"/>
      <c r="AB2622" s="741">
        <f t="shared" si="329"/>
        <v>0</v>
      </c>
      <c r="AC2622" s="846"/>
      <c r="AD2622" s="847"/>
      <c r="AE2622" s="846"/>
      <c r="AF2622" s="846"/>
      <c r="AG2622" s="1423"/>
      <c r="AH2622" s="1423"/>
      <c r="AI2622" s="742">
        <f t="shared" si="333"/>
        <v>248</v>
      </c>
      <c r="AJ2622" s="743">
        <f t="shared" si="334"/>
        <v>239</v>
      </c>
    </row>
    <row r="2623" spans="1:36">
      <c r="A2623" s="1410" t="s">
        <v>146</v>
      </c>
      <c r="B2623" s="1146" t="s">
        <v>272</v>
      </c>
      <c r="C2623" s="1137" t="s">
        <v>1777</v>
      </c>
      <c r="D2623" s="1136"/>
      <c r="E2623" s="1420">
        <v>218706</v>
      </c>
      <c r="F2623" s="1110">
        <v>10</v>
      </c>
      <c r="G2623" s="846"/>
      <c r="H2623" s="847"/>
      <c r="I2623" s="846">
        <v>99759</v>
      </c>
      <c r="J2623" s="847">
        <v>92296</v>
      </c>
      <c r="K2623" s="846"/>
      <c r="L2623" s="847"/>
      <c r="M2623" s="846"/>
      <c r="N2623" s="846"/>
      <c r="O2623" s="737">
        <f t="shared" si="327"/>
        <v>0</v>
      </c>
      <c r="P2623" s="1423"/>
      <c r="Q2623" s="1423"/>
      <c r="R2623" s="738">
        <f t="shared" si="330"/>
        <v>0</v>
      </c>
      <c r="S2623" s="737">
        <f t="shared" si="331"/>
        <v>99759</v>
      </c>
      <c r="T2623" s="739">
        <f t="shared" si="332"/>
        <v>92296</v>
      </c>
      <c r="U2623" s="846"/>
      <c r="V2623" s="847"/>
      <c r="W2623" s="846"/>
      <c r="X2623" s="846"/>
      <c r="Y2623" s="740">
        <f t="shared" si="328"/>
        <v>0</v>
      </c>
      <c r="Z2623" s="1423"/>
      <c r="AA2623" s="1423"/>
      <c r="AB2623" s="741">
        <f t="shared" si="329"/>
        <v>0</v>
      </c>
      <c r="AC2623" s="846"/>
      <c r="AD2623" s="847"/>
      <c r="AE2623" s="846"/>
      <c r="AF2623" s="846"/>
      <c r="AG2623" s="1423"/>
      <c r="AH2623" s="1423"/>
      <c r="AI2623" s="742">
        <f t="shared" si="333"/>
        <v>99759</v>
      </c>
      <c r="AJ2623" s="743">
        <f t="shared" si="334"/>
        <v>92296</v>
      </c>
    </row>
    <row r="2624" spans="1:36">
      <c r="A2624" s="1410" t="s">
        <v>146</v>
      </c>
      <c r="B2624" s="1146" t="s">
        <v>264</v>
      </c>
      <c r="C2624" s="1411" t="s">
        <v>1868</v>
      </c>
      <c r="D2624" s="1136"/>
      <c r="E2624" s="1420">
        <v>218955</v>
      </c>
      <c r="F2624" s="1110">
        <v>10</v>
      </c>
      <c r="G2624" s="846">
        <v>1308221</v>
      </c>
      <c r="H2624" s="847">
        <v>1308220</v>
      </c>
      <c r="I2624" s="846"/>
      <c r="J2624" s="847"/>
      <c r="K2624" s="846">
        <v>976932</v>
      </c>
      <c r="L2624" s="847">
        <v>1031545</v>
      </c>
      <c r="M2624" s="846">
        <v>2338397</v>
      </c>
      <c r="N2624" s="846">
        <v>0</v>
      </c>
      <c r="O2624" s="737">
        <f t="shared" si="327"/>
        <v>2338397</v>
      </c>
      <c r="P2624" s="1423">
        <v>2263860</v>
      </c>
      <c r="Q2624" s="1423"/>
      <c r="R2624" s="738">
        <f t="shared" si="330"/>
        <v>2263860</v>
      </c>
      <c r="S2624" s="737">
        <f t="shared" si="331"/>
        <v>4623550</v>
      </c>
      <c r="T2624" s="739">
        <f t="shared" si="332"/>
        <v>4603625</v>
      </c>
      <c r="U2624" s="846"/>
      <c r="V2624" s="847"/>
      <c r="W2624" s="846"/>
      <c r="X2624" s="846"/>
      <c r="Y2624" s="740">
        <f t="shared" si="328"/>
        <v>0</v>
      </c>
      <c r="Z2624" s="1423"/>
      <c r="AA2624" s="1423"/>
      <c r="AB2624" s="741">
        <f t="shared" si="329"/>
        <v>0</v>
      </c>
      <c r="AC2624" s="846"/>
      <c r="AD2624" s="847"/>
      <c r="AE2624" s="846"/>
      <c r="AF2624" s="846"/>
      <c r="AG2624" s="1423"/>
      <c r="AH2624" s="1423"/>
      <c r="AI2624" s="742">
        <f t="shared" si="333"/>
        <v>4623550</v>
      </c>
      <c r="AJ2624" s="743">
        <f t="shared" si="334"/>
        <v>4603625</v>
      </c>
    </row>
    <row r="2625" spans="1:36">
      <c r="A2625" s="1410" t="s">
        <v>146</v>
      </c>
      <c r="B2625" s="1146" t="s">
        <v>264</v>
      </c>
      <c r="C2625" s="1421" t="s">
        <v>1822</v>
      </c>
      <c r="D2625" s="1136"/>
      <c r="E2625" s="1436">
        <v>218955</v>
      </c>
      <c r="F2625" s="1422">
        <v>10</v>
      </c>
      <c r="G2625" s="846"/>
      <c r="H2625" s="847">
        <v>36701</v>
      </c>
      <c r="I2625" s="846"/>
      <c r="J2625" s="352"/>
      <c r="K2625" s="846"/>
      <c r="L2625" s="847"/>
      <c r="M2625" s="846"/>
      <c r="N2625" s="846"/>
      <c r="O2625" s="737">
        <f t="shared" si="327"/>
        <v>0</v>
      </c>
      <c r="P2625" s="847"/>
      <c r="Q2625" s="847"/>
      <c r="R2625" s="738">
        <f t="shared" si="330"/>
        <v>0</v>
      </c>
      <c r="S2625" s="737">
        <f t="shared" si="331"/>
        <v>0</v>
      </c>
      <c r="T2625" s="739">
        <f t="shared" si="332"/>
        <v>36701</v>
      </c>
      <c r="U2625" s="846"/>
      <c r="V2625" s="847"/>
      <c r="W2625" s="846"/>
      <c r="X2625" s="846"/>
      <c r="Y2625" s="740">
        <f t="shared" si="328"/>
        <v>0</v>
      </c>
      <c r="Z2625" s="847"/>
      <c r="AA2625" s="847"/>
      <c r="AB2625" s="741">
        <f t="shared" si="329"/>
        <v>0</v>
      </c>
      <c r="AC2625" s="846"/>
      <c r="AD2625" s="847"/>
      <c r="AE2625" s="846"/>
      <c r="AF2625" s="846"/>
      <c r="AG2625" s="847"/>
      <c r="AH2625" s="847"/>
      <c r="AI2625" s="742">
        <f t="shared" si="333"/>
        <v>0</v>
      </c>
      <c r="AJ2625" s="743">
        <f t="shared" si="334"/>
        <v>36701</v>
      </c>
    </row>
    <row r="2626" spans="1:36">
      <c r="A2626" s="1410" t="s">
        <v>146</v>
      </c>
      <c r="B2626" s="1146" t="s">
        <v>272</v>
      </c>
      <c r="C2626" s="1135" t="s">
        <v>842</v>
      </c>
      <c r="D2626" s="1136"/>
      <c r="E2626" s="1420">
        <v>218955</v>
      </c>
      <c r="F2626" s="1110">
        <v>10</v>
      </c>
      <c r="G2626" s="846"/>
      <c r="H2626" s="847"/>
      <c r="I2626" s="846"/>
      <c r="J2626" s="847"/>
      <c r="K2626" s="846"/>
      <c r="L2626" s="847"/>
      <c r="M2626" s="846"/>
      <c r="N2626" s="846"/>
      <c r="O2626" s="737">
        <f t="shared" si="327"/>
        <v>0</v>
      </c>
      <c r="P2626" s="847"/>
      <c r="Q2626" s="847"/>
      <c r="R2626" s="738">
        <f t="shared" si="330"/>
        <v>0</v>
      </c>
      <c r="S2626" s="737">
        <f t="shared" si="331"/>
        <v>0</v>
      </c>
      <c r="T2626" s="739">
        <f t="shared" si="332"/>
        <v>0</v>
      </c>
      <c r="U2626" s="846"/>
      <c r="V2626" s="847"/>
      <c r="W2626" s="846"/>
      <c r="X2626" s="846"/>
      <c r="Y2626" s="740">
        <f t="shared" si="328"/>
        <v>0</v>
      </c>
      <c r="Z2626" s="847"/>
      <c r="AA2626" s="847"/>
      <c r="AB2626" s="741">
        <f t="shared" si="329"/>
        <v>0</v>
      </c>
      <c r="AC2626" s="846"/>
      <c r="AD2626" s="847"/>
      <c r="AE2626" s="846"/>
      <c r="AF2626" s="846"/>
      <c r="AG2626" s="847"/>
      <c r="AH2626" s="847"/>
      <c r="AI2626" s="742">
        <f t="shared" si="333"/>
        <v>0</v>
      </c>
      <c r="AJ2626" s="743">
        <f t="shared" si="334"/>
        <v>0</v>
      </c>
    </row>
    <row r="2627" spans="1:36">
      <c r="A2627" s="1410" t="s">
        <v>146</v>
      </c>
      <c r="B2627" s="1146" t="s">
        <v>272</v>
      </c>
      <c r="C2627" s="1137" t="s">
        <v>1756</v>
      </c>
      <c r="D2627" s="1136"/>
      <c r="E2627" s="1420">
        <v>218955</v>
      </c>
      <c r="F2627" s="1110">
        <v>10</v>
      </c>
      <c r="G2627" s="846"/>
      <c r="H2627" s="847"/>
      <c r="I2627" s="846">
        <v>2</v>
      </c>
      <c r="J2627" s="847">
        <v>2</v>
      </c>
      <c r="K2627" s="846"/>
      <c r="L2627" s="847"/>
      <c r="M2627" s="846"/>
      <c r="N2627" s="846"/>
      <c r="O2627" s="737">
        <f t="shared" si="327"/>
        <v>0</v>
      </c>
      <c r="P2627" s="847"/>
      <c r="Q2627" s="847"/>
      <c r="R2627" s="738">
        <f t="shared" si="330"/>
        <v>0</v>
      </c>
      <c r="S2627" s="737">
        <f t="shared" si="331"/>
        <v>2</v>
      </c>
      <c r="T2627" s="739">
        <f t="shared" si="332"/>
        <v>2</v>
      </c>
      <c r="U2627" s="846"/>
      <c r="V2627" s="847"/>
      <c r="W2627" s="846"/>
      <c r="X2627" s="846"/>
      <c r="Y2627" s="740">
        <f t="shared" si="328"/>
        <v>0</v>
      </c>
      <c r="Z2627" s="847"/>
      <c r="AA2627" s="847"/>
      <c r="AB2627" s="741">
        <f t="shared" si="329"/>
        <v>0</v>
      </c>
      <c r="AC2627" s="846"/>
      <c r="AD2627" s="847"/>
      <c r="AE2627" s="846"/>
      <c r="AF2627" s="846"/>
      <c r="AG2627" s="847"/>
      <c r="AH2627" s="847"/>
      <c r="AI2627" s="742">
        <f t="shared" si="333"/>
        <v>2</v>
      </c>
      <c r="AJ2627" s="743">
        <f t="shared" si="334"/>
        <v>2</v>
      </c>
    </row>
    <row r="2628" spans="1:36">
      <c r="A2628" s="1410" t="s">
        <v>146</v>
      </c>
      <c r="B2628" s="1146" t="s">
        <v>272</v>
      </c>
      <c r="C2628" s="1137" t="s">
        <v>1823</v>
      </c>
      <c r="D2628" s="1136"/>
      <c r="E2628" s="1420">
        <v>218955</v>
      </c>
      <c r="F2628" s="1110">
        <v>10</v>
      </c>
      <c r="G2628" s="846"/>
      <c r="H2628" s="847"/>
      <c r="I2628" s="846">
        <v>46669</v>
      </c>
      <c r="J2628" s="847">
        <v>50016</v>
      </c>
      <c r="K2628" s="846"/>
      <c r="L2628" s="847"/>
      <c r="M2628" s="846"/>
      <c r="N2628" s="846"/>
      <c r="O2628" s="737">
        <f t="shared" si="327"/>
        <v>0</v>
      </c>
      <c r="P2628" s="847"/>
      <c r="Q2628" s="847"/>
      <c r="R2628" s="738">
        <f t="shared" si="330"/>
        <v>0</v>
      </c>
      <c r="S2628" s="737">
        <f t="shared" si="331"/>
        <v>46669</v>
      </c>
      <c r="T2628" s="739">
        <f t="shared" si="332"/>
        <v>50016</v>
      </c>
      <c r="U2628" s="846"/>
      <c r="V2628" s="847"/>
      <c r="W2628" s="846"/>
      <c r="X2628" s="846"/>
      <c r="Y2628" s="740">
        <f t="shared" si="328"/>
        <v>0</v>
      </c>
      <c r="Z2628" s="847"/>
      <c r="AA2628" s="847"/>
      <c r="AB2628" s="741">
        <f t="shared" si="329"/>
        <v>0</v>
      </c>
      <c r="AC2628" s="846"/>
      <c r="AD2628" s="847"/>
      <c r="AE2628" s="846"/>
      <c r="AF2628" s="846"/>
      <c r="AG2628" s="847"/>
      <c r="AH2628" s="847"/>
      <c r="AI2628" s="742">
        <f t="shared" si="333"/>
        <v>46669</v>
      </c>
      <c r="AJ2628" s="743">
        <f t="shared" si="334"/>
        <v>50016</v>
      </c>
    </row>
    <row r="2629" spans="1:36">
      <c r="A2629" s="1410" t="s">
        <v>146</v>
      </c>
      <c r="B2629" s="1146" t="s">
        <v>272</v>
      </c>
      <c r="C2629" s="1414" t="s">
        <v>1824</v>
      </c>
      <c r="D2629" s="1136"/>
      <c r="E2629" s="1420">
        <v>218955</v>
      </c>
      <c r="F2629" s="1110">
        <v>10</v>
      </c>
      <c r="G2629" s="846"/>
      <c r="H2629" s="847"/>
      <c r="I2629" s="846"/>
      <c r="J2629" s="847">
        <v>24440</v>
      </c>
      <c r="K2629" s="846"/>
      <c r="L2629" s="847"/>
      <c r="M2629" s="846"/>
      <c r="N2629" s="846"/>
      <c r="O2629" s="737">
        <f t="shared" si="327"/>
        <v>0</v>
      </c>
      <c r="P2629" s="847"/>
      <c r="Q2629" s="847"/>
      <c r="R2629" s="738">
        <f t="shared" si="330"/>
        <v>0</v>
      </c>
      <c r="S2629" s="737">
        <f t="shared" si="331"/>
        <v>0</v>
      </c>
      <c r="T2629" s="739">
        <f t="shared" si="332"/>
        <v>24440</v>
      </c>
      <c r="U2629" s="846"/>
      <c r="V2629" s="847"/>
      <c r="W2629" s="846"/>
      <c r="X2629" s="846"/>
      <c r="Y2629" s="740">
        <f t="shared" si="328"/>
        <v>0</v>
      </c>
      <c r="Z2629" s="847"/>
      <c r="AA2629" s="847"/>
      <c r="AB2629" s="741">
        <f t="shared" si="329"/>
        <v>0</v>
      </c>
      <c r="AC2629" s="846"/>
      <c r="AD2629" s="847"/>
      <c r="AE2629" s="846"/>
      <c r="AF2629" s="846"/>
      <c r="AG2629" s="847"/>
      <c r="AH2629" s="847"/>
      <c r="AI2629" s="742">
        <f t="shared" si="333"/>
        <v>0</v>
      </c>
      <c r="AJ2629" s="743">
        <f t="shared" si="334"/>
        <v>24440</v>
      </c>
    </row>
    <row r="2630" spans="1:36">
      <c r="A2630" s="1410" t="s">
        <v>146</v>
      </c>
      <c r="B2630" s="1146" t="s">
        <v>272</v>
      </c>
      <c r="C2630" s="1137" t="s">
        <v>1826</v>
      </c>
      <c r="D2630" s="1136"/>
      <c r="E2630" s="1420">
        <v>218955</v>
      </c>
      <c r="F2630" s="1110">
        <v>10</v>
      </c>
      <c r="G2630" s="846"/>
      <c r="H2630" s="847"/>
      <c r="I2630" s="846"/>
      <c r="J2630" s="847"/>
      <c r="K2630" s="846"/>
      <c r="L2630" s="847"/>
      <c r="M2630" s="846"/>
      <c r="N2630" s="846"/>
      <c r="O2630" s="737">
        <f t="shared" si="327"/>
        <v>0</v>
      </c>
      <c r="P2630" s="847"/>
      <c r="Q2630" s="847"/>
      <c r="R2630" s="738">
        <f t="shared" si="330"/>
        <v>0</v>
      </c>
      <c r="S2630" s="737">
        <f t="shared" si="331"/>
        <v>0</v>
      </c>
      <c r="T2630" s="739">
        <f t="shared" si="332"/>
        <v>0</v>
      </c>
      <c r="U2630" s="846"/>
      <c r="V2630" s="847"/>
      <c r="W2630" s="846"/>
      <c r="X2630" s="846"/>
      <c r="Y2630" s="740">
        <f t="shared" si="328"/>
        <v>0</v>
      </c>
      <c r="Z2630" s="847"/>
      <c r="AA2630" s="847"/>
      <c r="AB2630" s="741">
        <f t="shared" si="329"/>
        <v>0</v>
      </c>
      <c r="AC2630" s="846"/>
      <c r="AD2630" s="847"/>
      <c r="AE2630" s="846"/>
      <c r="AF2630" s="846"/>
      <c r="AG2630" s="847"/>
      <c r="AH2630" s="847"/>
      <c r="AI2630" s="742">
        <f t="shared" si="333"/>
        <v>0</v>
      </c>
      <c r="AJ2630" s="743">
        <f t="shared" si="334"/>
        <v>0</v>
      </c>
    </row>
    <row r="2631" spans="1:36">
      <c r="A2631" s="1410" t="s">
        <v>146</v>
      </c>
      <c r="B2631" s="1146" t="s">
        <v>272</v>
      </c>
      <c r="C2631" s="1137" t="s">
        <v>1829</v>
      </c>
      <c r="D2631" s="1136"/>
      <c r="E2631" s="1420">
        <v>218955</v>
      </c>
      <c r="F2631" s="1110">
        <v>10</v>
      </c>
      <c r="G2631" s="846"/>
      <c r="H2631" s="847"/>
      <c r="I2631" s="846">
        <v>37785</v>
      </c>
      <c r="J2631" s="847">
        <v>37785</v>
      </c>
      <c r="K2631" s="846"/>
      <c r="L2631" s="847"/>
      <c r="M2631" s="846"/>
      <c r="N2631" s="846"/>
      <c r="O2631" s="737">
        <f t="shared" si="327"/>
        <v>0</v>
      </c>
      <c r="P2631" s="847"/>
      <c r="Q2631" s="847"/>
      <c r="R2631" s="738">
        <f t="shared" si="330"/>
        <v>0</v>
      </c>
      <c r="S2631" s="737">
        <f t="shared" si="331"/>
        <v>37785</v>
      </c>
      <c r="T2631" s="739">
        <f t="shared" si="332"/>
        <v>37785</v>
      </c>
      <c r="U2631" s="846"/>
      <c r="V2631" s="847"/>
      <c r="W2631" s="846"/>
      <c r="X2631" s="846"/>
      <c r="Y2631" s="740">
        <f t="shared" si="328"/>
        <v>0</v>
      </c>
      <c r="Z2631" s="847"/>
      <c r="AA2631" s="847"/>
      <c r="AB2631" s="741">
        <f t="shared" si="329"/>
        <v>0</v>
      </c>
      <c r="AC2631" s="846"/>
      <c r="AD2631" s="847"/>
      <c r="AE2631" s="846"/>
      <c r="AF2631" s="846"/>
      <c r="AG2631" s="847"/>
      <c r="AH2631" s="847"/>
      <c r="AI2631" s="742">
        <f t="shared" si="333"/>
        <v>37785</v>
      </c>
      <c r="AJ2631" s="743">
        <f t="shared" si="334"/>
        <v>37785</v>
      </c>
    </row>
    <row r="2632" spans="1:36">
      <c r="A2632" s="1410" t="s">
        <v>146</v>
      </c>
      <c r="B2632" s="1146" t="s">
        <v>272</v>
      </c>
      <c r="C2632" s="1137" t="s">
        <v>1777</v>
      </c>
      <c r="D2632" s="1136"/>
      <c r="E2632" s="1420">
        <v>218955</v>
      </c>
      <c r="F2632" s="1110">
        <v>10</v>
      </c>
      <c r="G2632" s="846"/>
      <c r="H2632" s="847"/>
      <c r="I2632" s="846">
        <v>93108</v>
      </c>
      <c r="J2632" s="847">
        <v>91112</v>
      </c>
      <c r="K2632" s="846"/>
      <c r="L2632" s="847"/>
      <c r="M2632" s="846"/>
      <c r="N2632" s="846"/>
      <c r="O2632" s="737">
        <f t="shared" si="327"/>
        <v>0</v>
      </c>
      <c r="P2632" s="847"/>
      <c r="Q2632" s="847"/>
      <c r="R2632" s="738">
        <f t="shared" si="330"/>
        <v>0</v>
      </c>
      <c r="S2632" s="737">
        <f t="shared" si="331"/>
        <v>93108</v>
      </c>
      <c r="T2632" s="739">
        <f t="shared" si="332"/>
        <v>91112</v>
      </c>
      <c r="U2632" s="846"/>
      <c r="V2632" s="847"/>
      <c r="W2632" s="846"/>
      <c r="X2632" s="846"/>
      <c r="Y2632" s="740">
        <f t="shared" si="328"/>
        <v>0</v>
      </c>
      <c r="Z2632" s="847"/>
      <c r="AA2632" s="847"/>
      <c r="AB2632" s="741">
        <f t="shared" si="329"/>
        <v>0</v>
      </c>
      <c r="AC2632" s="846"/>
      <c r="AD2632" s="847"/>
      <c r="AE2632" s="846"/>
      <c r="AF2632" s="846"/>
      <c r="AG2632" s="847"/>
      <c r="AH2632" s="847"/>
      <c r="AI2632" s="742">
        <f t="shared" si="333"/>
        <v>93108</v>
      </c>
      <c r="AJ2632" s="743">
        <f t="shared" si="334"/>
        <v>91112</v>
      </c>
    </row>
    <row r="2633" spans="1:36">
      <c r="A2633" s="1410" t="s">
        <v>146</v>
      </c>
      <c r="B2633" s="1146" t="s">
        <v>272</v>
      </c>
      <c r="C2633" s="1414" t="s">
        <v>1831</v>
      </c>
      <c r="D2633" s="1136"/>
      <c r="E2633" s="1420">
        <v>218955</v>
      </c>
      <c r="F2633" s="1422">
        <v>10</v>
      </c>
      <c r="G2633" s="846"/>
      <c r="H2633" s="847"/>
      <c r="I2633" s="846"/>
      <c r="J2633" s="847">
        <v>24156</v>
      </c>
      <c r="K2633" s="846"/>
      <c r="L2633" s="847"/>
      <c r="M2633" s="846"/>
      <c r="N2633" s="846"/>
      <c r="O2633" s="737">
        <f t="shared" si="327"/>
        <v>0</v>
      </c>
      <c r="P2633" s="847"/>
      <c r="Q2633" s="847"/>
      <c r="R2633" s="738">
        <f t="shared" si="330"/>
        <v>0</v>
      </c>
      <c r="S2633" s="737">
        <f t="shared" si="331"/>
        <v>0</v>
      </c>
      <c r="T2633" s="739">
        <f t="shared" si="332"/>
        <v>24156</v>
      </c>
      <c r="U2633" s="846"/>
      <c r="V2633" s="847"/>
      <c r="W2633" s="846"/>
      <c r="X2633" s="846"/>
      <c r="Y2633" s="740">
        <f t="shared" si="328"/>
        <v>0</v>
      </c>
      <c r="Z2633" s="847"/>
      <c r="AA2633" s="847"/>
      <c r="AB2633" s="741">
        <f t="shared" si="329"/>
        <v>0</v>
      </c>
      <c r="AC2633" s="846"/>
      <c r="AD2633" s="847"/>
      <c r="AE2633" s="846"/>
      <c r="AF2633" s="846"/>
      <c r="AG2633" s="847"/>
      <c r="AH2633" s="847"/>
      <c r="AI2633" s="742">
        <f t="shared" si="333"/>
        <v>0</v>
      </c>
      <c r="AJ2633" s="743">
        <f t="shared" si="334"/>
        <v>24156</v>
      </c>
    </row>
    <row r="2634" spans="1:36">
      <c r="A2634" s="1410" t="s">
        <v>146</v>
      </c>
      <c r="B2634" s="1146" t="s">
        <v>272</v>
      </c>
      <c r="C2634" s="1414" t="s">
        <v>1869</v>
      </c>
      <c r="D2634" s="1136"/>
      <c r="E2634" s="1420">
        <v>218955</v>
      </c>
      <c r="F2634" s="1422">
        <v>10</v>
      </c>
      <c r="G2634" s="846"/>
      <c r="H2634" s="847"/>
      <c r="I2634" s="846"/>
      <c r="J2634" s="847">
        <v>750000</v>
      </c>
      <c r="K2634" s="846"/>
      <c r="L2634" s="847"/>
      <c r="M2634" s="846"/>
      <c r="N2634" s="846"/>
      <c r="O2634" s="737">
        <f t="shared" ref="O2634:O2697" si="335">SUM(M2634:N2634)</f>
        <v>0</v>
      </c>
      <c r="P2634" s="847"/>
      <c r="Q2634" s="847"/>
      <c r="R2634" s="738">
        <f t="shared" si="330"/>
        <v>0</v>
      </c>
      <c r="S2634" s="737">
        <f t="shared" si="331"/>
        <v>0</v>
      </c>
      <c r="T2634" s="739">
        <f t="shared" si="332"/>
        <v>750000</v>
      </c>
      <c r="U2634" s="846"/>
      <c r="V2634" s="847"/>
      <c r="W2634" s="846"/>
      <c r="X2634" s="846"/>
      <c r="Y2634" s="740">
        <f t="shared" ref="Y2634:Y2697" si="336">SUM(W2634:X2634)</f>
        <v>0</v>
      </c>
      <c r="Z2634" s="847"/>
      <c r="AA2634" s="847"/>
      <c r="AB2634" s="741">
        <f t="shared" ref="AB2634:AB2697" si="337">SUM(Z2634:AA2634)</f>
        <v>0</v>
      </c>
      <c r="AC2634" s="846"/>
      <c r="AD2634" s="847"/>
      <c r="AE2634" s="846"/>
      <c r="AF2634" s="846"/>
      <c r="AG2634" s="847"/>
      <c r="AH2634" s="847"/>
      <c r="AI2634" s="742">
        <f t="shared" si="333"/>
        <v>0</v>
      </c>
      <c r="AJ2634" s="743">
        <f t="shared" si="334"/>
        <v>750000</v>
      </c>
    </row>
    <row r="2635" spans="1:36">
      <c r="A2635" s="1410" t="s">
        <v>146</v>
      </c>
      <c r="B2635" s="1146" t="s">
        <v>301</v>
      </c>
      <c r="C2635" s="1411" t="s">
        <v>1870</v>
      </c>
      <c r="D2635" s="1136"/>
      <c r="E2635" s="1420">
        <v>218335</v>
      </c>
      <c r="F2635" s="1110">
        <v>15</v>
      </c>
      <c r="G2635" s="846"/>
      <c r="H2635" s="847"/>
      <c r="I2635" s="846"/>
      <c r="J2635" s="847"/>
      <c r="K2635" s="846"/>
      <c r="L2635" s="847"/>
      <c r="M2635" s="846"/>
      <c r="N2635" s="846"/>
      <c r="O2635" s="737">
        <f t="shared" si="335"/>
        <v>0</v>
      </c>
      <c r="P2635" s="847"/>
      <c r="Q2635" s="847"/>
      <c r="R2635" s="738">
        <f t="shared" ref="R2635:R2698" si="338">SUM(P2635:Q2635)</f>
        <v>0</v>
      </c>
      <c r="S2635" s="737">
        <f t="shared" ref="S2635:S2698" si="339">SUM(G2635,I2635,K2635,M2635)</f>
        <v>0</v>
      </c>
      <c r="T2635" s="739">
        <f t="shared" ref="T2635:T2698" si="340">SUM(H2635,J2635,L2635,P2635)</f>
        <v>0</v>
      </c>
      <c r="U2635" s="846"/>
      <c r="V2635" s="847"/>
      <c r="W2635" s="846"/>
      <c r="X2635" s="846"/>
      <c r="Y2635" s="740">
        <f t="shared" si="336"/>
        <v>0</v>
      </c>
      <c r="Z2635" s="847"/>
      <c r="AA2635" s="847"/>
      <c r="AB2635" s="741">
        <f t="shared" si="337"/>
        <v>0</v>
      </c>
      <c r="AC2635" s="846">
        <v>41346426</v>
      </c>
      <c r="AD2635" s="847">
        <v>42010738</v>
      </c>
      <c r="AE2635" s="846"/>
      <c r="AF2635" s="846"/>
      <c r="AG2635" s="847"/>
      <c r="AH2635" s="847"/>
      <c r="AI2635" s="742">
        <f t="shared" ref="AI2635:AI2698" si="341">SUM(S2635,U2635,W2635,AC2635,AE2635)</f>
        <v>41346426</v>
      </c>
      <c r="AJ2635" s="743">
        <f t="shared" ref="AJ2635:AJ2698" si="342">SUM(T2635,V2635,Z2635,AD2635,AG2635)</f>
        <v>42010738</v>
      </c>
    </row>
    <row r="2636" spans="1:36">
      <c r="A2636" s="1410" t="s">
        <v>146</v>
      </c>
      <c r="B2636" s="1146" t="s">
        <v>301</v>
      </c>
      <c r="C2636" s="1137" t="s">
        <v>1746</v>
      </c>
      <c r="D2636" s="1136"/>
      <c r="E2636" s="1420">
        <v>218335</v>
      </c>
      <c r="F2636" s="1110">
        <v>15</v>
      </c>
      <c r="G2636" s="846"/>
      <c r="H2636" s="847"/>
      <c r="I2636" s="846"/>
      <c r="J2636" s="847"/>
      <c r="K2636" s="846"/>
      <c r="L2636" s="847"/>
      <c r="M2636" s="846"/>
      <c r="N2636" s="846"/>
      <c r="O2636" s="737">
        <f t="shared" si="335"/>
        <v>0</v>
      </c>
      <c r="P2636" s="847"/>
      <c r="Q2636" s="847"/>
      <c r="R2636" s="738">
        <f t="shared" si="338"/>
        <v>0</v>
      </c>
      <c r="S2636" s="737">
        <f t="shared" si="339"/>
        <v>0</v>
      </c>
      <c r="T2636" s="739">
        <f t="shared" si="340"/>
        <v>0</v>
      </c>
      <c r="U2636" s="846"/>
      <c r="V2636" s="847"/>
      <c r="W2636" s="846"/>
      <c r="X2636" s="846"/>
      <c r="Y2636" s="740">
        <f t="shared" si="336"/>
        <v>0</v>
      </c>
      <c r="Z2636" s="847"/>
      <c r="AA2636" s="847"/>
      <c r="AB2636" s="741">
        <f t="shared" si="337"/>
        <v>0</v>
      </c>
      <c r="AC2636" s="846">
        <v>13060732</v>
      </c>
      <c r="AD2636" s="847">
        <v>14121384</v>
      </c>
      <c r="AE2636" s="846"/>
      <c r="AF2636" s="846"/>
      <c r="AG2636" s="847"/>
      <c r="AH2636" s="847"/>
      <c r="AI2636" s="742">
        <f t="shared" si="341"/>
        <v>13060732</v>
      </c>
      <c r="AJ2636" s="743">
        <f t="shared" si="342"/>
        <v>14121384</v>
      </c>
    </row>
    <row r="2637" spans="1:36">
      <c r="A2637" s="1410" t="s">
        <v>146</v>
      </c>
      <c r="B2637" s="1146" t="s">
        <v>301</v>
      </c>
      <c r="C2637" s="1414" t="s">
        <v>1871</v>
      </c>
      <c r="D2637" s="1136"/>
      <c r="E2637" s="1420">
        <v>218335</v>
      </c>
      <c r="F2637" s="1110">
        <v>15</v>
      </c>
      <c r="G2637" s="846"/>
      <c r="H2637" s="847"/>
      <c r="I2637" s="846"/>
      <c r="J2637" s="847"/>
      <c r="K2637" s="846"/>
      <c r="L2637" s="847"/>
      <c r="M2637" s="846"/>
      <c r="N2637" s="846"/>
      <c r="O2637" s="737">
        <f t="shared" si="335"/>
        <v>0</v>
      </c>
      <c r="P2637" s="847"/>
      <c r="Q2637" s="847"/>
      <c r="R2637" s="738">
        <f t="shared" si="338"/>
        <v>0</v>
      </c>
      <c r="S2637" s="737">
        <f t="shared" si="339"/>
        <v>0</v>
      </c>
      <c r="T2637" s="739">
        <f t="shared" si="340"/>
        <v>0</v>
      </c>
      <c r="U2637" s="846"/>
      <c r="V2637" s="847"/>
      <c r="W2637" s="846"/>
      <c r="X2637" s="846"/>
      <c r="Y2637" s="740">
        <f t="shared" si="336"/>
        <v>0</v>
      </c>
      <c r="Z2637" s="847"/>
      <c r="AA2637" s="847"/>
      <c r="AB2637" s="741">
        <f t="shared" si="337"/>
        <v>0</v>
      </c>
      <c r="AC2637" s="846"/>
      <c r="AD2637" s="847">
        <v>900000</v>
      </c>
      <c r="AE2637" s="846"/>
      <c r="AF2637" s="846"/>
      <c r="AG2637" s="847"/>
      <c r="AH2637" s="847"/>
      <c r="AI2637" s="742">
        <f t="shared" si="341"/>
        <v>0</v>
      </c>
      <c r="AJ2637" s="743">
        <f t="shared" si="342"/>
        <v>900000</v>
      </c>
    </row>
    <row r="2638" spans="1:36">
      <c r="A2638" s="1410" t="s">
        <v>146</v>
      </c>
      <c r="B2638" s="1146" t="s">
        <v>272</v>
      </c>
      <c r="C2638" s="1137" t="s">
        <v>1753</v>
      </c>
      <c r="D2638" s="1136"/>
      <c r="E2638" s="1420">
        <v>218335</v>
      </c>
      <c r="F2638" s="1110">
        <v>15</v>
      </c>
      <c r="G2638" s="846"/>
      <c r="H2638" s="847"/>
      <c r="I2638" s="846"/>
      <c r="J2638" s="847"/>
      <c r="K2638" s="846"/>
      <c r="L2638" s="847"/>
      <c r="M2638" s="846"/>
      <c r="N2638" s="846"/>
      <c r="O2638" s="737">
        <f t="shared" si="335"/>
        <v>0</v>
      </c>
      <c r="P2638" s="847"/>
      <c r="Q2638" s="847"/>
      <c r="R2638" s="738">
        <f t="shared" si="338"/>
        <v>0</v>
      </c>
      <c r="S2638" s="737">
        <f t="shared" si="339"/>
        <v>0</v>
      </c>
      <c r="T2638" s="739">
        <f t="shared" si="340"/>
        <v>0</v>
      </c>
      <c r="U2638" s="846"/>
      <c r="V2638" s="847"/>
      <c r="W2638" s="846"/>
      <c r="X2638" s="846"/>
      <c r="Y2638" s="740">
        <f t="shared" si="336"/>
        <v>0</v>
      </c>
      <c r="Z2638" s="847"/>
      <c r="AA2638" s="847"/>
      <c r="AB2638" s="741">
        <f t="shared" si="337"/>
        <v>0</v>
      </c>
      <c r="AC2638" s="846"/>
      <c r="AD2638" s="847"/>
      <c r="AE2638" s="846"/>
      <c r="AF2638" s="846"/>
      <c r="AG2638" s="847"/>
      <c r="AH2638" s="847"/>
      <c r="AI2638" s="742">
        <f t="shared" si="341"/>
        <v>0</v>
      </c>
      <c r="AJ2638" s="743">
        <f t="shared" si="342"/>
        <v>0</v>
      </c>
    </row>
    <row r="2639" spans="1:36">
      <c r="A2639" s="1410" t="s">
        <v>146</v>
      </c>
      <c r="B2639" s="1146" t="s">
        <v>272</v>
      </c>
      <c r="C2639" s="1414" t="s">
        <v>1755</v>
      </c>
      <c r="D2639" s="1136"/>
      <c r="E2639" s="1420">
        <v>218335</v>
      </c>
      <c r="F2639" s="1110">
        <v>15</v>
      </c>
      <c r="G2639" s="846"/>
      <c r="H2639" s="847"/>
      <c r="I2639" s="846"/>
      <c r="J2639" s="847"/>
      <c r="K2639" s="846"/>
      <c r="L2639" s="847"/>
      <c r="M2639" s="846"/>
      <c r="N2639" s="846"/>
      <c r="O2639" s="737">
        <f t="shared" si="335"/>
        <v>0</v>
      </c>
      <c r="P2639" s="847"/>
      <c r="Q2639" s="847"/>
      <c r="R2639" s="738">
        <f t="shared" si="338"/>
        <v>0</v>
      </c>
      <c r="S2639" s="737">
        <f t="shared" si="339"/>
        <v>0</v>
      </c>
      <c r="T2639" s="739">
        <f t="shared" si="340"/>
        <v>0</v>
      </c>
      <c r="U2639" s="846"/>
      <c r="V2639" s="847"/>
      <c r="W2639" s="846"/>
      <c r="X2639" s="846"/>
      <c r="Y2639" s="740">
        <f t="shared" si="336"/>
        <v>0</v>
      </c>
      <c r="Z2639" s="847"/>
      <c r="AA2639" s="847"/>
      <c r="AB2639" s="741">
        <f t="shared" si="337"/>
        <v>0</v>
      </c>
      <c r="AC2639" s="846"/>
      <c r="AD2639" s="847">
        <v>732690</v>
      </c>
      <c r="AE2639" s="846"/>
      <c r="AF2639" s="846"/>
      <c r="AG2639" s="847"/>
      <c r="AH2639" s="847"/>
      <c r="AI2639" s="742">
        <f t="shared" si="341"/>
        <v>0</v>
      </c>
      <c r="AJ2639" s="743">
        <f t="shared" si="342"/>
        <v>732690</v>
      </c>
    </row>
    <row r="2640" spans="1:36">
      <c r="A2640" s="1410" t="s">
        <v>146</v>
      </c>
      <c r="B2640" s="1146" t="s">
        <v>272</v>
      </c>
      <c r="C2640" s="1137" t="s">
        <v>1754</v>
      </c>
      <c r="D2640" s="1136"/>
      <c r="E2640" s="1420">
        <v>218335</v>
      </c>
      <c r="F2640" s="1110">
        <v>15</v>
      </c>
      <c r="G2640" s="846"/>
      <c r="H2640" s="847"/>
      <c r="I2640" s="846"/>
      <c r="J2640" s="847"/>
      <c r="K2640" s="846"/>
      <c r="L2640" s="847"/>
      <c r="M2640" s="846"/>
      <c r="N2640" s="846"/>
      <c r="O2640" s="737">
        <f t="shared" si="335"/>
        <v>0</v>
      </c>
      <c r="P2640" s="847"/>
      <c r="Q2640" s="847"/>
      <c r="R2640" s="738">
        <f t="shared" si="338"/>
        <v>0</v>
      </c>
      <c r="S2640" s="737">
        <f t="shared" si="339"/>
        <v>0</v>
      </c>
      <c r="T2640" s="739">
        <f t="shared" si="340"/>
        <v>0</v>
      </c>
      <c r="U2640" s="846"/>
      <c r="V2640" s="847"/>
      <c r="W2640" s="846"/>
      <c r="X2640" s="846"/>
      <c r="Y2640" s="740">
        <f t="shared" si="336"/>
        <v>0</v>
      </c>
      <c r="Z2640" s="847"/>
      <c r="AA2640" s="847"/>
      <c r="AB2640" s="741">
        <f t="shared" si="337"/>
        <v>0</v>
      </c>
      <c r="AC2640" s="846">
        <v>2351936</v>
      </c>
      <c r="AD2640" s="847"/>
      <c r="AE2640" s="846"/>
      <c r="AF2640" s="846"/>
      <c r="AG2640" s="847"/>
      <c r="AH2640" s="847"/>
      <c r="AI2640" s="742">
        <f t="shared" si="341"/>
        <v>2351936</v>
      </c>
      <c r="AJ2640" s="743">
        <f t="shared" si="342"/>
        <v>0</v>
      </c>
    </row>
    <row r="2641" spans="1:36">
      <c r="A2641" s="1410" t="s">
        <v>146</v>
      </c>
      <c r="B2641" s="1146" t="s">
        <v>301</v>
      </c>
      <c r="C2641" s="1137" t="s">
        <v>1756</v>
      </c>
      <c r="D2641" s="1136"/>
      <c r="E2641" s="1420">
        <v>218335</v>
      </c>
      <c r="F2641" s="1110">
        <v>15</v>
      </c>
      <c r="G2641" s="846"/>
      <c r="H2641" s="847"/>
      <c r="I2641" s="846"/>
      <c r="J2641" s="847"/>
      <c r="K2641" s="846"/>
      <c r="L2641" s="847"/>
      <c r="M2641" s="846"/>
      <c r="N2641" s="846"/>
      <c r="O2641" s="737">
        <f t="shared" si="335"/>
        <v>0</v>
      </c>
      <c r="P2641" s="847"/>
      <c r="Q2641" s="847"/>
      <c r="R2641" s="738">
        <f t="shared" si="338"/>
        <v>0</v>
      </c>
      <c r="S2641" s="737">
        <f t="shared" si="339"/>
        <v>0</v>
      </c>
      <c r="T2641" s="739">
        <f t="shared" si="340"/>
        <v>0</v>
      </c>
      <c r="U2641" s="846"/>
      <c r="V2641" s="847"/>
      <c r="W2641" s="846"/>
      <c r="X2641" s="846"/>
      <c r="Y2641" s="740">
        <f t="shared" si="336"/>
        <v>0</v>
      </c>
      <c r="Z2641" s="847"/>
      <c r="AA2641" s="847"/>
      <c r="AB2641" s="741">
        <f t="shared" si="337"/>
        <v>0</v>
      </c>
      <c r="AC2641" s="846">
        <v>41541</v>
      </c>
      <c r="AD2641" s="847">
        <v>41524</v>
      </c>
      <c r="AE2641" s="846"/>
      <c r="AF2641" s="846"/>
      <c r="AG2641" s="847"/>
      <c r="AH2641" s="847"/>
      <c r="AI2641" s="742">
        <f t="shared" si="341"/>
        <v>41541</v>
      </c>
      <c r="AJ2641" s="743">
        <f t="shared" si="342"/>
        <v>41524</v>
      </c>
    </row>
    <row r="2642" spans="1:36">
      <c r="A2642" s="1410" t="s">
        <v>146</v>
      </c>
      <c r="B2642" s="1146" t="s">
        <v>301</v>
      </c>
      <c r="C2642" s="1137" t="s">
        <v>1872</v>
      </c>
      <c r="D2642" s="1136"/>
      <c r="E2642" s="1420">
        <v>218335</v>
      </c>
      <c r="F2642" s="1110">
        <v>15</v>
      </c>
      <c r="G2642" s="846"/>
      <c r="H2642" s="847"/>
      <c r="I2642" s="846"/>
      <c r="J2642" s="847"/>
      <c r="K2642" s="846"/>
      <c r="L2642" s="847"/>
      <c r="M2642" s="846"/>
      <c r="N2642" s="846"/>
      <c r="O2642" s="737">
        <f t="shared" si="335"/>
        <v>0</v>
      </c>
      <c r="P2642" s="847"/>
      <c r="Q2642" s="847"/>
      <c r="R2642" s="738">
        <f t="shared" si="338"/>
        <v>0</v>
      </c>
      <c r="S2642" s="737">
        <f t="shared" si="339"/>
        <v>0</v>
      </c>
      <c r="T2642" s="739">
        <f t="shared" si="340"/>
        <v>0</v>
      </c>
      <c r="U2642" s="846"/>
      <c r="V2642" s="847"/>
      <c r="W2642" s="846"/>
      <c r="X2642" s="846"/>
      <c r="Y2642" s="740">
        <f t="shared" si="336"/>
        <v>0</v>
      </c>
      <c r="Z2642" s="847"/>
      <c r="AA2642" s="847"/>
      <c r="AB2642" s="741">
        <f t="shared" si="337"/>
        <v>0</v>
      </c>
      <c r="AC2642" s="846">
        <v>240433</v>
      </c>
      <c r="AD2642" s="847">
        <v>240433</v>
      </c>
      <c r="AE2642" s="846"/>
      <c r="AF2642" s="846"/>
      <c r="AG2642" s="847"/>
      <c r="AH2642" s="847"/>
      <c r="AI2642" s="742">
        <f t="shared" si="341"/>
        <v>240433</v>
      </c>
      <c r="AJ2642" s="743">
        <f t="shared" si="342"/>
        <v>240433</v>
      </c>
    </row>
    <row r="2643" spans="1:36">
      <c r="A2643" s="1410" t="s">
        <v>146</v>
      </c>
      <c r="B2643" s="1146" t="s">
        <v>301</v>
      </c>
      <c r="C2643" s="1137" t="s">
        <v>1873</v>
      </c>
      <c r="D2643" s="1136"/>
      <c r="E2643" s="1420">
        <v>218335</v>
      </c>
      <c r="F2643" s="1110">
        <v>15</v>
      </c>
      <c r="G2643" s="846"/>
      <c r="H2643" s="847"/>
      <c r="I2643" s="846"/>
      <c r="J2643" s="847"/>
      <c r="K2643" s="846"/>
      <c r="L2643" s="847"/>
      <c r="M2643" s="846"/>
      <c r="N2643" s="846"/>
      <c r="O2643" s="737">
        <f t="shared" si="335"/>
        <v>0</v>
      </c>
      <c r="P2643" s="847"/>
      <c r="Q2643" s="847"/>
      <c r="R2643" s="738">
        <f t="shared" si="338"/>
        <v>0</v>
      </c>
      <c r="S2643" s="737">
        <f t="shared" si="339"/>
        <v>0</v>
      </c>
      <c r="T2643" s="739">
        <f t="shared" si="340"/>
        <v>0</v>
      </c>
      <c r="U2643" s="846"/>
      <c r="V2643" s="847"/>
      <c r="W2643" s="846"/>
      <c r="X2643" s="846"/>
      <c r="Y2643" s="740">
        <f t="shared" si="336"/>
        <v>0</v>
      </c>
      <c r="Z2643" s="847"/>
      <c r="AA2643" s="847"/>
      <c r="AB2643" s="741">
        <f t="shared" si="337"/>
        <v>0</v>
      </c>
      <c r="AC2643" s="846">
        <v>123470</v>
      </c>
      <c r="AD2643" s="847">
        <v>123470</v>
      </c>
      <c r="AE2643" s="846"/>
      <c r="AF2643" s="846"/>
      <c r="AG2643" s="847"/>
      <c r="AH2643" s="847"/>
      <c r="AI2643" s="742">
        <f t="shared" si="341"/>
        <v>123470</v>
      </c>
      <c r="AJ2643" s="743">
        <f t="shared" si="342"/>
        <v>123470</v>
      </c>
    </row>
    <row r="2644" spans="1:36">
      <c r="A2644" s="1410" t="s">
        <v>146</v>
      </c>
      <c r="B2644" s="1146" t="s">
        <v>301</v>
      </c>
      <c r="C2644" s="1137" t="s">
        <v>1874</v>
      </c>
      <c r="D2644" s="1136"/>
      <c r="E2644" s="1420">
        <v>218335</v>
      </c>
      <c r="F2644" s="1110">
        <v>15</v>
      </c>
      <c r="G2644" s="846"/>
      <c r="H2644" s="847"/>
      <c r="I2644" s="846"/>
      <c r="J2644" s="847"/>
      <c r="K2644" s="846"/>
      <c r="L2644" s="847"/>
      <c r="M2644" s="846"/>
      <c r="N2644" s="846"/>
      <c r="O2644" s="737">
        <f t="shared" si="335"/>
        <v>0</v>
      </c>
      <c r="P2644" s="847"/>
      <c r="Q2644" s="847"/>
      <c r="R2644" s="738">
        <f t="shared" si="338"/>
        <v>0</v>
      </c>
      <c r="S2644" s="737">
        <f t="shared" si="339"/>
        <v>0</v>
      </c>
      <c r="T2644" s="739">
        <f t="shared" si="340"/>
        <v>0</v>
      </c>
      <c r="U2644" s="846"/>
      <c r="V2644" s="847"/>
      <c r="W2644" s="846"/>
      <c r="X2644" s="846"/>
      <c r="Y2644" s="740">
        <f t="shared" si="336"/>
        <v>0</v>
      </c>
      <c r="Z2644" s="847"/>
      <c r="AA2644" s="847"/>
      <c r="AB2644" s="741">
        <f t="shared" si="337"/>
        <v>0</v>
      </c>
      <c r="AC2644" s="846">
        <v>176101</v>
      </c>
      <c r="AD2644" s="847">
        <v>176101</v>
      </c>
      <c r="AE2644" s="846"/>
      <c r="AF2644" s="846"/>
      <c r="AG2644" s="847"/>
      <c r="AH2644" s="847"/>
      <c r="AI2644" s="742">
        <f t="shared" si="341"/>
        <v>176101</v>
      </c>
      <c r="AJ2644" s="743">
        <f t="shared" si="342"/>
        <v>176101</v>
      </c>
    </row>
    <row r="2645" spans="1:36">
      <c r="A2645" s="1410" t="s">
        <v>146</v>
      </c>
      <c r="B2645" s="1146" t="s">
        <v>301</v>
      </c>
      <c r="C2645" s="1414" t="s">
        <v>1875</v>
      </c>
      <c r="D2645" s="1136"/>
      <c r="E2645" s="1420">
        <v>218335</v>
      </c>
      <c r="F2645" s="1110">
        <v>15</v>
      </c>
      <c r="G2645" s="846"/>
      <c r="H2645" s="847"/>
      <c r="I2645" s="846"/>
      <c r="J2645" s="847"/>
      <c r="K2645" s="846"/>
      <c r="L2645" s="847"/>
      <c r="M2645" s="846"/>
      <c r="N2645" s="846"/>
      <c r="O2645" s="737">
        <f t="shared" si="335"/>
        <v>0</v>
      </c>
      <c r="P2645" s="847"/>
      <c r="Q2645" s="847"/>
      <c r="R2645" s="738">
        <f t="shared" si="338"/>
        <v>0</v>
      </c>
      <c r="S2645" s="737">
        <f t="shared" si="339"/>
        <v>0</v>
      </c>
      <c r="T2645" s="739">
        <f t="shared" si="340"/>
        <v>0</v>
      </c>
      <c r="U2645" s="846"/>
      <c r="V2645" s="847"/>
      <c r="W2645" s="846"/>
      <c r="X2645" s="846"/>
      <c r="Y2645" s="740">
        <f t="shared" si="336"/>
        <v>0</v>
      </c>
      <c r="Z2645" s="847"/>
      <c r="AA2645" s="847"/>
      <c r="AB2645" s="741">
        <f t="shared" si="337"/>
        <v>0</v>
      </c>
      <c r="AC2645" s="846"/>
      <c r="AD2645" s="847">
        <v>400000</v>
      </c>
      <c r="AE2645" s="846"/>
      <c r="AF2645" s="846"/>
      <c r="AG2645" s="847"/>
      <c r="AH2645" s="847"/>
      <c r="AI2645" s="742">
        <f t="shared" si="341"/>
        <v>0</v>
      </c>
      <c r="AJ2645" s="743">
        <f t="shared" si="342"/>
        <v>400000</v>
      </c>
    </row>
    <row r="2646" spans="1:36">
      <c r="A2646" s="1410" t="s">
        <v>146</v>
      </c>
      <c r="B2646" s="1146" t="s">
        <v>301</v>
      </c>
      <c r="C2646" s="1414" t="s">
        <v>1876</v>
      </c>
      <c r="D2646" s="1136"/>
      <c r="E2646" s="1420">
        <v>218335</v>
      </c>
      <c r="F2646" s="1110">
        <v>15</v>
      </c>
      <c r="G2646" s="846"/>
      <c r="H2646" s="847"/>
      <c r="I2646" s="846"/>
      <c r="J2646" s="847"/>
      <c r="K2646" s="846"/>
      <c r="L2646" s="847"/>
      <c r="M2646" s="846"/>
      <c r="N2646" s="846"/>
      <c r="O2646" s="737">
        <f t="shared" si="335"/>
        <v>0</v>
      </c>
      <c r="P2646" s="847"/>
      <c r="Q2646" s="847"/>
      <c r="R2646" s="738">
        <f t="shared" si="338"/>
        <v>0</v>
      </c>
      <c r="S2646" s="737">
        <f t="shared" si="339"/>
        <v>0</v>
      </c>
      <c r="T2646" s="739">
        <f t="shared" si="340"/>
        <v>0</v>
      </c>
      <c r="U2646" s="846"/>
      <c r="V2646" s="847"/>
      <c r="W2646" s="846"/>
      <c r="X2646" s="846"/>
      <c r="Y2646" s="740">
        <f t="shared" si="336"/>
        <v>0</v>
      </c>
      <c r="Z2646" s="847"/>
      <c r="AA2646" s="847"/>
      <c r="AB2646" s="741">
        <f t="shared" si="337"/>
        <v>0</v>
      </c>
      <c r="AC2646" s="846"/>
      <c r="AD2646" s="847">
        <v>1000000</v>
      </c>
      <c r="AE2646" s="846"/>
      <c r="AF2646" s="846"/>
      <c r="AG2646" s="847"/>
      <c r="AH2646" s="847"/>
      <c r="AI2646" s="742">
        <f t="shared" si="341"/>
        <v>0</v>
      </c>
      <c r="AJ2646" s="743">
        <f t="shared" si="342"/>
        <v>1000000</v>
      </c>
    </row>
    <row r="2647" spans="1:36" ht="25.5">
      <c r="A2647" s="1410" t="s">
        <v>146</v>
      </c>
      <c r="B2647" s="1146" t="s">
        <v>301</v>
      </c>
      <c r="C2647" s="1417" t="s">
        <v>1758</v>
      </c>
      <c r="D2647" s="1136"/>
      <c r="E2647" s="1420">
        <v>218335</v>
      </c>
      <c r="F2647" s="1110">
        <v>15</v>
      </c>
      <c r="G2647" s="846"/>
      <c r="H2647" s="847"/>
      <c r="I2647" s="846"/>
      <c r="J2647" s="847"/>
      <c r="K2647" s="846"/>
      <c r="L2647" s="847"/>
      <c r="M2647" s="846"/>
      <c r="N2647" s="846"/>
      <c r="O2647" s="737">
        <f t="shared" si="335"/>
        <v>0</v>
      </c>
      <c r="P2647" s="847"/>
      <c r="Q2647" s="847"/>
      <c r="R2647" s="738">
        <f t="shared" si="338"/>
        <v>0</v>
      </c>
      <c r="S2647" s="737">
        <f t="shared" si="339"/>
        <v>0</v>
      </c>
      <c r="T2647" s="739">
        <f t="shared" si="340"/>
        <v>0</v>
      </c>
      <c r="U2647" s="846"/>
      <c r="V2647" s="847"/>
      <c r="W2647" s="846"/>
      <c r="X2647" s="846"/>
      <c r="Y2647" s="740">
        <f t="shared" si="336"/>
        <v>0</v>
      </c>
      <c r="Z2647" s="847"/>
      <c r="AA2647" s="847"/>
      <c r="AB2647" s="741">
        <f t="shared" si="337"/>
        <v>0</v>
      </c>
      <c r="AC2647" s="846"/>
      <c r="AD2647" s="847">
        <v>352825</v>
      </c>
      <c r="AE2647" s="846"/>
      <c r="AF2647" s="846"/>
      <c r="AG2647" s="847"/>
      <c r="AH2647" s="847"/>
      <c r="AI2647" s="742">
        <f t="shared" si="341"/>
        <v>0</v>
      </c>
      <c r="AJ2647" s="743">
        <f t="shared" si="342"/>
        <v>352825</v>
      </c>
    </row>
    <row r="2648" spans="1:36">
      <c r="A2648" s="1410" t="s">
        <v>146</v>
      </c>
      <c r="B2648" s="1146" t="s">
        <v>301</v>
      </c>
      <c r="C2648" s="1414" t="s">
        <v>1877</v>
      </c>
      <c r="D2648" s="1136"/>
      <c r="E2648" s="1420">
        <v>218335</v>
      </c>
      <c r="F2648" s="1110">
        <v>15</v>
      </c>
      <c r="G2648" s="846"/>
      <c r="H2648" s="847"/>
      <c r="I2648" s="846"/>
      <c r="J2648" s="847"/>
      <c r="K2648" s="846"/>
      <c r="L2648" s="847"/>
      <c r="M2648" s="846"/>
      <c r="N2648" s="846"/>
      <c r="O2648" s="737">
        <f t="shared" si="335"/>
        <v>0</v>
      </c>
      <c r="P2648" s="847"/>
      <c r="Q2648" s="847"/>
      <c r="R2648" s="738">
        <f t="shared" si="338"/>
        <v>0</v>
      </c>
      <c r="S2648" s="737">
        <f t="shared" si="339"/>
        <v>0</v>
      </c>
      <c r="T2648" s="739">
        <f t="shared" si="340"/>
        <v>0</v>
      </c>
      <c r="U2648" s="846"/>
      <c r="V2648" s="847"/>
      <c r="W2648" s="846"/>
      <c r="X2648" s="846"/>
      <c r="Y2648" s="740">
        <f t="shared" si="336"/>
        <v>0</v>
      </c>
      <c r="Z2648" s="847"/>
      <c r="AA2648" s="847"/>
      <c r="AB2648" s="741">
        <f t="shared" si="337"/>
        <v>0</v>
      </c>
      <c r="AC2648" s="846"/>
      <c r="AD2648" s="847">
        <v>4000000</v>
      </c>
      <c r="AE2648" s="846"/>
      <c r="AF2648" s="846"/>
      <c r="AG2648" s="847"/>
      <c r="AH2648" s="847"/>
      <c r="AI2648" s="742">
        <f t="shared" si="341"/>
        <v>0</v>
      </c>
      <c r="AJ2648" s="743">
        <f t="shared" si="342"/>
        <v>4000000</v>
      </c>
    </row>
    <row r="2649" spans="1:36">
      <c r="A2649" s="1410" t="s">
        <v>146</v>
      </c>
      <c r="B2649" s="1146" t="s">
        <v>301</v>
      </c>
      <c r="C2649" s="1414" t="s">
        <v>1878</v>
      </c>
      <c r="D2649" s="1136"/>
      <c r="E2649" s="1420">
        <v>218335</v>
      </c>
      <c r="F2649" s="1110">
        <v>15</v>
      </c>
      <c r="G2649" s="846"/>
      <c r="H2649" s="847"/>
      <c r="I2649" s="846"/>
      <c r="J2649" s="847"/>
      <c r="K2649" s="846"/>
      <c r="L2649" s="847"/>
      <c r="M2649" s="846"/>
      <c r="N2649" s="846"/>
      <c r="O2649" s="737">
        <f t="shared" si="335"/>
        <v>0</v>
      </c>
      <c r="P2649" s="847"/>
      <c r="Q2649" s="847"/>
      <c r="R2649" s="738">
        <f t="shared" si="338"/>
        <v>0</v>
      </c>
      <c r="S2649" s="737">
        <f t="shared" si="339"/>
        <v>0</v>
      </c>
      <c r="T2649" s="739">
        <f t="shared" si="340"/>
        <v>0</v>
      </c>
      <c r="U2649" s="846"/>
      <c r="V2649" s="847"/>
      <c r="W2649" s="846"/>
      <c r="X2649" s="846"/>
      <c r="Y2649" s="740">
        <f t="shared" si="336"/>
        <v>0</v>
      </c>
      <c r="Z2649" s="847"/>
      <c r="AA2649" s="847"/>
      <c r="AB2649" s="741">
        <f t="shared" si="337"/>
        <v>0</v>
      </c>
      <c r="AC2649" s="846"/>
      <c r="AD2649" s="847">
        <v>1000000</v>
      </c>
      <c r="AE2649" s="846"/>
      <c r="AF2649" s="846"/>
      <c r="AG2649" s="847"/>
      <c r="AH2649" s="847"/>
      <c r="AI2649" s="742">
        <f t="shared" si="341"/>
        <v>0</v>
      </c>
      <c r="AJ2649" s="743">
        <f t="shared" si="342"/>
        <v>1000000</v>
      </c>
    </row>
    <row r="2650" spans="1:36">
      <c r="A2650" s="1410" t="s">
        <v>146</v>
      </c>
      <c r="B2650" s="1146" t="s">
        <v>301</v>
      </c>
      <c r="C2650" s="1137" t="s">
        <v>1879</v>
      </c>
      <c r="D2650" s="1136"/>
      <c r="E2650" s="1420">
        <v>218335</v>
      </c>
      <c r="F2650" s="1110">
        <v>15</v>
      </c>
      <c r="G2650" s="846"/>
      <c r="H2650" s="847"/>
      <c r="I2650" s="846"/>
      <c r="J2650" s="847"/>
      <c r="K2650" s="846"/>
      <c r="L2650" s="847"/>
      <c r="M2650" s="846"/>
      <c r="N2650" s="846"/>
      <c r="O2650" s="737">
        <f t="shared" si="335"/>
        <v>0</v>
      </c>
      <c r="P2650" s="847"/>
      <c r="Q2650" s="847"/>
      <c r="R2650" s="738">
        <f t="shared" si="338"/>
        <v>0</v>
      </c>
      <c r="S2650" s="737">
        <f t="shared" si="339"/>
        <v>0</v>
      </c>
      <c r="T2650" s="739">
        <f t="shared" si="340"/>
        <v>0</v>
      </c>
      <c r="U2650" s="846"/>
      <c r="V2650" s="847"/>
      <c r="W2650" s="846"/>
      <c r="X2650" s="846"/>
      <c r="Y2650" s="740">
        <f t="shared" si="336"/>
        <v>0</v>
      </c>
      <c r="Z2650" s="847"/>
      <c r="AA2650" s="847"/>
      <c r="AB2650" s="741">
        <f t="shared" si="337"/>
        <v>0</v>
      </c>
      <c r="AC2650" s="846">
        <v>3922744</v>
      </c>
      <c r="AD2650" s="847">
        <v>4015584</v>
      </c>
      <c r="AE2650" s="846"/>
      <c r="AF2650" s="846"/>
      <c r="AG2650" s="847"/>
      <c r="AH2650" s="847"/>
      <c r="AI2650" s="742">
        <f t="shared" si="341"/>
        <v>3922744</v>
      </c>
      <c r="AJ2650" s="743">
        <f t="shared" si="342"/>
        <v>4015584</v>
      </c>
    </row>
    <row r="2651" spans="1:36">
      <c r="A2651" s="1410" t="s">
        <v>146</v>
      </c>
      <c r="B2651" s="1146" t="s">
        <v>301</v>
      </c>
      <c r="C2651" s="1137" t="s">
        <v>1880</v>
      </c>
      <c r="D2651" s="1136"/>
      <c r="E2651" s="1420">
        <v>218335</v>
      </c>
      <c r="F2651" s="1110">
        <v>15</v>
      </c>
      <c r="G2651" s="846"/>
      <c r="H2651" s="847"/>
      <c r="I2651" s="846"/>
      <c r="J2651" s="847"/>
      <c r="K2651" s="846"/>
      <c r="L2651" s="847"/>
      <c r="M2651" s="846"/>
      <c r="N2651" s="846"/>
      <c r="O2651" s="737">
        <f t="shared" si="335"/>
        <v>0</v>
      </c>
      <c r="P2651" s="847"/>
      <c r="Q2651" s="847"/>
      <c r="R2651" s="738">
        <f t="shared" si="338"/>
        <v>0</v>
      </c>
      <c r="S2651" s="737">
        <f t="shared" si="339"/>
        <v>0</v>
      </c>
      <c r="T2651" s="739">
        <f t="shared" si="340"/>
        <v>0</v>
      </c>
      <c r="U2651" s="846"/>
      <c r="V2651" s="847"/>
      <c r="W2651" s="846"/>
      <c r="X2651" s="846"/>
      <c r="Y2651" s="740">
        <f t="shared" si="336"/>
        <v>0</v>
      </c>
      <c r="Z2651" s="847"/>
      <c r="AA2651" s="847"/>
      <c r="AB2651" s="741">
        <f t="shared" si="337"/>
        <v>0</v>
      </c>
      <c r="AC2651" s="846">
        <v>1087885</v>
      </c>
      <c r="AD2651" s="847">
        <v>1124698</v>
      </c>
      <c r="AE2651" s="846"/>
      <c r="AF2651" s="846"/>
      <c r="AG2651" s="847"/>
      <c r="AH2651" s="847"/>
      <c r="AI2651" s="742">
        <f t="shared" si="341"/>
        <v>1087885</v>
      </c>
      <c r="AJ2651" s="743">
        <f t="shared" si="342"/>
        <v>1124698</v>
      </c>
    </row>
    <row r="2652" spans="1:36">
      <c r="A2652" s="1410" t="s">
        <v>146</v>
      </c>
      <c r="B2652" s="1146" t="s">
        <v>301</v>
      </c>
      <c r="C2652" s="1137" t="s">
        <v>1881</v>
      </c>
      <c r="D2652" s="1136"/>
      <c r="E2652" s="1420">
        <v>218335</v>
      </c>
      <c r="F2652" s="1110">
        <v>15</v>
      </c>
      <c r="G2652" s="846"/>
      <c r="H2652" s="847"/>
      <c r="I2652" s="846"/>
      <c r="J2652" s="847"/>
      <c r="K2652" s="846"/>
      <c r="L2652" s="847"/>
      <c r="M2652" s="846"/>
      <c r="N2652" s="846"/>
      <c r="O2652" s="737">
        <f t="shared" si="335"/>
        <v>0</v>
      </c>
      <c r="P2652" s="847"/>
      <c r="Q2652" s="847"/>
      <c r="R2652" s="738">
        <f t="shared" si="338"/>
        <v>0</v>
      </c>
      <c r="S2652" s="737">
        <f t="shared" si="339"/>
        <v>0</v>
      </c>
      <c r="T2652" s="739">
        <f t="shared" si="340"/>
        <v>0</v>
      </c>
      <c r="U2652" s="846"/>
      <c r="V2652" s="847"/>
      <c r="W2652" s="846"/>
      <c r="X2652" s="846"/>
      <c r="Y2652" s="740">
        <f t="shared" si="336"/>
        <v>0</v>
      </c>
      <c r="Z2652" s="847"/>
      <c r="AA2652" s="847"/>
      <c r="AB2652" s="741">
        <f t="shared" si="337"/>
        <v>0</v>
      </c>
      <c r="AC2652" s="846">
        <v>3692360</v>
      </c>
      <c r="AD2652" s="847">
        <v>3692360</v>
      </c>
      <c r="AE2652" s="846"/>
      <c r="AF2652" s="846"/>
      <c r="AG2652" s="847"/>
      <c r="AH2652" s="847"/>
      <c r="AI2652" s="742">
        <f t="shared" si="341"/>
        <v>3692360</v>
      </c>
      <c r="AJ2652" s="743">
        <f t="shared" si="342"/>
        <v>3692360</v>
      </c>
    </row>
    <row r="2653" spans="1:36">
      <c r="A2653" s="1410" t="s">
        <v>146</v>
      </c>
      <c r="B2653" s="1146" t="s">
        <v>301</v>
      </c>
      <c r="C2653" s="1137" t="s">
        <v>1882</v>
      </c>
      <c r="D2653" s="1136"/>
      <c r="E2653" s="1420">
        <v>218335</v>
      </c>
      <c r="F2653" s="1110">
        <v>15</v>
      </c>
      <c r="G2653" s="846"/>
      <c r="H2653" s="847"/>
      <c r="I2653" s="846"/>
      <c r="J2653" s="847"/>
      <c r="K2653" s="846"/>
      <c r="L2653" s="847"/>
      <c r="M2653" s="846"/>
      <c r="N2653" s="846"/>
      <c r="O2653" s="737">
        <f t="shared" si="335"/>
        <v>0</v>
      </c>
      <c r="P2653" s="847"/>
      <c r="Q2653" s="847"/>
      <c r="R2653" s="738">
        <f t="shared" si="338"/>
        <v>0</v>
      </c>
      <c r="S2653" s="737">
        <f t="shared" si="339"/>
        <v>0</v>
      </c>
      <c r="T2653" s="739">
        <f t="shared" si="340"/>
        <v>0</v>
      </c>
      <c r="U2653" s="846"/>
      <c r="V2653" s="847"/>
      <c r="W2653" s="846"/>
      <c r="X2653" s="846"/>
      <c r="Y2653" s="740">
        <f t="shared" si="336"/>
        <v>0</v>
      </c>
      <c r="Z2653" s="847"/>
      <c r="AA2653" s="847"/>
      <c r="AB2653" s="741">
        <f t="shared" si="337"/>
        <v>0</v>
      </c>
      <c r="AC2653" s="846">
        <v>400000</v>
      </c>
      <c r="AD2653" s="847">
        <v>400000</v>
      </c>
      <c r="AE2653" s="846"/>
      <c r="AF2653" s="846"/>
      <c r="AG2653" s="847"/>
      <c r="AH2653" s="847"/>
      <c r="AI2653" s="742">
        <f t="shared" si="341"/>
        <v>400000</v>
      </c>
      <c r="AJ2653" s="743">
        <f t="shared" si="342"/>
        <v>400000</v>
      </c>
    </row>
    <row r="2654" spans="1:36">
      <c r="A2654" s="1410" t="s">
        <v>146</v>
      </c>
      <c r="B2654" s="1146" t="s">
        <v>301</v>
      </c>
      <c r="C2654" s="1137" t="s">
        <v>1883</v>
      </c>
      <c r="D2654" s="1136"/>
      <c r="E2654" s="1420">
        <v>218335</v>
      </c>
      <c r="F2654" s="1110">
        <v>15</v>
      </c>
      <c r="G2654" s="846"/>
      <c r="H2654" s="847"/>
      <c r="I2654" s="846"/>
      <c r="J2654" s="847"/>
      <c r="K2654" s="846"/>
      <c r="L2654" s="847"/>
      <c r="M2654" s="846"/>
      <c r="N2654" s="846"/>
      <c r="O2654" s="737">
        <f t="shared" si="335"/>
        <v>0</v>
      </c>
      <c r="P2654" s="847"/>
      <c r="Q2654" s="847"/>
      <c r="R2654" s="738">
        <f t="shared" si="338"/>
        <v>0</v>
      </c>
      <c r="S2654" s="737">
        <f t="shared" si="339"/>
        <v>0</v>
      </c>
      <c r="T2654" s="739">
        <f t="shared" si="340"/>
        <v>0</v>
      </c>
      <c r="U2654" s="846"/>
      <c r="V2654" s="847"/>
      <c r="W2654" s="846"/>
      <c r="X2654" s="846"/>
      <c r="Y2654" s="740">
        <f t="shared" si="336"/>
        <v>0</v>
      </c>
      <c r="Z2654" s="847"/>
      <c r="AA2654" s="847"/>
      <c r="AB2654" s="741">
        <f t="shared" si="337"/>
        <v>0</v>
      </c>
      <c r="AC2654" s="846">
        <v>500000</v>
      </c>
      <c r="AD2654" s="847">
        <v>500000</v>
      </c>
      <c r="AE2654" s="846"/>
      <c r="AF2654" s="846"/>
      <c r="AG2654" s="847"/>
      <c r="AH2654" s="847"/>
      <c r="AI2654" s="742">
        <f t="shared" si="341"/>
        <v>500000</v>
      </c>
      <c r="AJ2654" s="743">
        <f t="shared" si="342"/>
        <v>500000</v>
      </c>
    </row>
    <row r="2655" spans="1:36">
      <c r="A2655" s="1410" t="s">
        <v>146</v>
      </c>
      <c r="B2655" s="1146" t="s">
        <v>301</v>
      </c>
      <c r="C2655" s="1137" t="s">
        <v>1884</v>
      </c>
      <c r="D2655" s="1136"/>
      <c r="E2655" s="1420">
        <v>218335</v>
      </c>
      <c r="F2655" s="1110">
        <v>15</v>
      </c>
      <c r="G2655" s="846"/>
      <c r="H2655" s="847"/>
      <c r="I2655" s="846"/>
      <c r="J2655" s="847"/>
      <c r="K2655" s="846"/>
      <c r="L2655" s="847"/>
      <c r="M2655" s="846"/>
      <c r="N2655" s="846"/>
      <c r="O2655" s="737">
        <f t="shared" si="335"/>
        <v>0</v>
      </c>
      <c r="P2655" s="847"/>
      <c r="Q2655" s="847"/>
      <c r="R2655" s="738">
        <f t="shared" si="338"/>
        <v>0</v>
      </c>
      <c r="S2655" s="737">
        <f t="shared" si="339"/>
        <v>0</v>
      </c>
      <c r="T2655" s="739">
        <f t="shared" si="340"/>
        <v>0</v>
      </c>
      <c r="U2655" s="846"/>
      <c r="V2655" s="847"/>
      <c r="W2655" s="846"/>
      <c r="X2655" s="846"/>
      <c r="Y2655" s="740">
        <f t="shared" si="336"/>
        <v>0</v>
      </c>
      <c r="Z2655" s="847"/>
      <c r="AA2655" s="847"/>
      <c r="AB2655" s="741">
        <f t="shared" si="337"/>
        <v>0</v>
      </c>
      <c r="AC2655" s="846">
        <v>20000</v>
      </c>
      <c r="AD2655" s="847">
        <v>20000</v>
      </c>
      <c r="AE2655" s="846"/>
      <c r="AF2655" s="846"/>
      <c r="AG2655" s="847"/>
      <c r="AH2655" s="847"/>
      <c r="AI2655" s="742">
        <f t="shared" si="341"/>
        <v>20000</v>
      </c>
      <c r="AJ2655" s="743">
        <f t="shared" si="342"/>
        <v>20000</v>
      </c>
    </row>
    <row r="2656" spans="1:36">
      <c r="A2656" s="1410" t="s">
        <v>146</v>
      </c>
      <c r="B2656" s="1146" t="s">
        <v>301</v>
      </c>
      <c r="C2656" s="1137" t="s">
        <v>1885</v>
      </c>
      <c r="D2656" s="1136"/>
      <c r="E2656" s="1420">
        <v>218335</v>
      </c>
      <c r="F2656" s="1110">
        <v>15</v>
      </c>
      <c r="G2656" s="846"/>
      <c r="H2656" s="847"/>
      <c r="I2656" s="846"/>
      <c r="J2656" s="847"/>
      <c r="K2656" s="846"/>
      <c r="L2656" s="847"/>
      <c r="M2656" s="846"/>
      <c r="N2656" s="846"/>
      <c r="O2656" s="737">
        <f t="shared" si="335"/>
        <v>0</v>
      </c>
      <c r="P2656" s="847"/>
      <c r="Q2656" s="847"/>
      <c r="R2656" s="738">
        <f t="shared" si="338"/>
        <v>0</v>
      </c>
      <c r="S2656" s="737">
        <f t="shared" si="339"/>
        <v>0</v>
      </c>
      <c r="T2656" s="739">
        <f t="shared" si="340"/>
        <v>0</v>
      </c>
      <c r="U2656" s="846"/>
      <c r="V2656" s="847"/>
      <c r="W2656" s="846"/>
      <c r="X2656" s="846"/>
      <c r="Y2656" s="740">
        <f t="shared" si="336"/>
        <v>0</v>
      </c>
      <c r="Z2656" s="847"/>
      <c r="AA2656" s="847"/>
      <c r="AB2656" s="741">
        <f t="shared" si="337"/>
        <v>0</v>
      </c>
      <c r="AC2656" s="846">
        <v>20000</v>
      </c>
      <c r="AD2656" s="847">
        <v>200000</v>
      </c>
      <c r="AE2656" s="846"/>
      <c r="AF2656" s="846"/>
      <c r="AG2656" s="847"/>
      <c r="AH2656" s="847"/>
      <c r="AI2656" s="742">
        <f t="shared" si="341"/>
        <v>20000</v>
      </c>
      <c r="AJ2656" s="743">
        <f t="shared" si="342"/>
        <v>200000</v>
      </c>
    </row>
    <row r="2657" spans="1:36">
      <c r="A2657" s="1410" t="s">
        <v>146</v>
      </c>
      <c r="B2657" s="1146" t="s">
        <v>303</v>
      </c>
      <c r="C2657" s="1432" t="s">
        <v>826</v>
      </c>
      <c r="D2657" s="1136"/>
      <c r="E2657" s="1109"/>
      <c r="F2657" s="1110"/>
      <c r="G2657" s="846"/>
      <c r="H2657" s="847"/>
      <c r="I2657" s="846"/>
      <c r="J2657" s="847"/>
      <c r="K2657" s="846"/>
      <c r="L2657" s="847"/>
      <c r="M2657" s="846"/>
      <c r="N2657" s="846"/>
      <c r="O2657" s="737">
        <f t="shared" si="335"/>
        <v>0</v>
      </c>
      <c r="P2657" s="847"/>
      <c r="Q2657" s="847"/>
      <c r="R2657" s="738">
        <f t="shared" si="338"/>
        <v>0</v>
      </c>
      <c r="S2657" s="737">
        <f t="shared" si="339"/>
        <v>0</v>
      </c>
      <c r="T2657" s="739">
        <f t="shared" si="340"/>
        <v>0</v>
      </c>
      <c r="U2657" s="846"/>
      <c r="V2657" s="847"/>
      <c r="W2657" s="846"/>
      <c r="X2657" s="846"/>
      <c r="Y2657" s="740">
        <f t="shared" si="336"/>
        <v>0</v>
      </c>
      <c r="Z2657" s="847"/>
      <c r="AA2657" s="847"/>
      <c r="AB2657" s="741">
        <f t="shared" si="337"/>
        <v>0</v>
      </c>
      <c r="AC2657" s="846"/>
      <c r="AD2657" s="847"/>
      <c r="AE2657" s="846"/>
      <c r="AF2657" s="846"/>
      <c r="AG2657" s="847"/>
      <c r="AH2657" s="847"/>
      <c r="AI2657" s="742">
        <f t="shared" si="341"/>
        <v>0</v>
      </c>
      <c r="AJ2657" s="743">
        <f t="shared" si="342"/>
        <v>0</v>
      </c>
    </row>
    <row r="2658" spans="1:36">
      <c r="A2658" s="1410" t="s">
        <v>146</v>
      </c>
      <c r="B2658" s="1146" t="s">
        <v>303</v>
      </c>
      <c r="C2658" s="1137" t="s">
        <v>1886</v>
      </c>
      <c r="D2658" s="1136"/>
      <c r="E2658" s="1149"/>
      <c r="F2658" s="1150"/>
      <c r="G2658" s="846"/>
      <c r="H2658" s="847"/>
      <c r="I2658" s="846">
        <v>594390</v>
      </c>
      <c r="J2658" s="847">
        <v>594390</v>
      </c>
      <c r="K2658" s="846"/>
      <c r="L2658" s="847"/>
      <c r="M2658" s="846"/>
      <c r="N2658" s="846"/>
      <c r="O2658" s="737">
        <f t="shared" si="335"/>
        <v>0</v>
      </c>
      <c r="P2658" s="847"/>
      <c r="Q2658" s="847"/>
      <c r="R2658" s="738">
        <f t="shared" si="338"/>
        <v>0</v>
      </c>
      <c r="S2658" s="737">
        <f t="shared" si="339"/>
        <v>594390</v>
      </c>
      <c r="T2658" s="739">
        <f t="shared" si="340"/>
        <v>594390</v>
      </c>
      <c r="U2658" s="846"/>
      <c r="V2658" s="847"/>
      <c r="W2658" s="846"/>
      <c r="X2658" s="846"/>
      <c r="Y2658" s="740">
        <f t="shared" si="336"/>
        <v>0</v>
      </c>
      <c r="Z2658" s="847"/>
      <c r="AA2658" s="847"/>
      <c r="AB2658" s="741">
        <f t="shared" si="337"/>
        <v>0</v>
      </c>
      <c r="AC2658" s="846"/>
      <c r="AD2658" s="847"/>
      <c r="AE2658" s="846"/>
      <c r="AF2658" s="846"/>
      <c r="AG2658" s="847"/>
      <c r="AH2658" s="847"/>
      <c r="AI2658" s="742">
        <f t="shared" si="341"/>
        <v>594390</v>
      </c>
      <c r="AJ2658" s="743">
        <f t="shared" si="342"/>
        <v>594390</v>
      </c>
    </row>
    <row r="2659" spans="1:36">
      <c r="A2659" s="1410" t="s">
        <v>146</v>
      </c>
      <c r="B2659" s="1146" t="s">
        <v>303</v>
      </c>
      <c r="C2659" s="1137" t="s">
        <v>1887</v>
      </c>
      <c r="D2659" s="1136"/>
      <c r="E2659" s="1149"/>
      <c r="F2659" s="1150"/>
      <c r="G2659" s="846"/>
      <c r="H2659" s="847"/>
      <c r="I2659" s="846">
        <v>1084899</v>
      </c>
      <c r="J2659" s="847">
        <v>1084899</v>
      </c>
      <c r="K2659" s="846"/>
      <c r="L2659" s="847"/>
      <c r="M2659" s="846"/>
      <c r="N2659" s="846"/>
      <c r="O2659" s="737">
        <f t="shared" si="335"/>
        <v>0</v>
      </c>
      <c r="P2659" s="847"/>
      <c r="Q2659" s="847"/>
      <c r="R2659" s="738">
        <f t="shared" si="338"/>
        <v>0</v>
      </c>
      <c r="S2659" s="737">
        <f t="shared" si="339"/>
        <v>1084899</v>
      </c>
      <c r="T2659" s="739">
        <f t="shared" si="340"/>
        <v>1084899</v>
      </c>
      <c r="U2659" s="846"/>
      <c r="V2659" s="847"/>
      <c r="W2659" s="846"/>
      <c r="X2659" s="846"/>
      <c r="Y2659" s="740">
        <f t="shared" si="336"/>
        <v>0</v>
      </c>
      <c r="Z2659" s="847"/>
      <c r="AA2659" s="847"/>
      <c r="AB2659" s="741">
        <f t="shared" si="337"/>
        <v>0</v>
      </c>
      <c r="AC2659" s="846"/>
      <c r="AD2659" s="847"/>
      <c r="AE2659" s="846"/>
      <c r="AF2659" s="846"/>
      <c r="AG2659" s="847"/>
      <c r="AH2659" s="847"/>
      <c r="AI2659" s="742">
        <f t="shared" si="341"/>
        <v>1084899</v>
      </c>
      <c r="AJ2659" s="743">
        <f t="shared" si="342"/>
        <v>1084899</v>
      </c>
    </row>
    <row r="2660" spans="1:36">
      <c r="A2660" s="1410" t="s">
        <v>146</v>
      </c>
      <c r="B2660" s="1146" t="s">
        <v>303</v>
      </c>
      <c r="C2660" s="1137" t="s">
        <v>1888</v>
      </c>
      <c r="D2660" s="1136"/>
      <c r="E2660" s="1149"/>
      <c r="F2660" s="1150"/>
      <c r="G2660" s="846"/>
      <c r="H2660" s="847"/>
      <c r="I2660" s="846">
        <v>200000</v>
      </c>
      <c r="J2660" s="847"/>
      <c r="K2660" s="846"/>
      <c r="L2660" s="847"/>
      <c r="M2660" s="846"/>
      <c r="N2660" s="846"/>
      <c r="O2660" s="737">
        <f t="shared" si="335"/>
        <v>0</v>
      </c>
      <c r="P2660" s="847"/>
      <c r="Q2660" s="847"/>
      <c r="R2660" s="738">
        <f t="shared" si="338"/>
        <v>0</v>
      </c>
      <c r="S2660" s="737">
        <f t="shared" si="339"/>
        <v>200000</v>
      </c>
      <c r="T2660" s="739">
        <f t="shared" si="340"/>
        <v>0</v>
      </c>
      <c r="U2660" s="846"/>
      <c r="V2660" s="847"/>
      <c r="W2660" s="846"/>
      <c r="X2660" s="846"/>
      <c r="Y2660" s="740">
        <f t="shared" si="336"/>
        <v>0</v>
      </c>
      <c r="Z2660" s="847"/>
      <c r="AA2660" s="847"/>
      <c r="AB2660" s="741">
        <f t="shared" si="337"/>
        <v>0</v>
      </c>
      <c r="AC2660" s="846"/>
      <c r="AD2660" s="847"/>
      <c r="AE2660" s="846"/>
      <c r="AF2660" s="846"/>
      <c r="AG2660" s="847"/>
      <c r="AH2660" s="847"/>
      <c r="AI2660" s="742">
        <f t="shared" si="341"/>
        <v>200000</v>
      </c>
      <c r="AJ2660" s="743">
        <f t="shared" si="342"/>
        <v>0</v>
      </c>
    </row>
    <row r="2661" spans="1:36">
      <c r="A2661" s="1410" t="s">
        <v>146</v>
      </c>
      <c r="B2661" s="1146" t="s">
        <v>303</v>
      </c>
      <c r="C2661" s="1137" t="s">
        <v>1889</v>
      </c>
      <c r="D2661" s="1136"/>
      <c r="E2661" s="1149"/>
      <c r="F2661" s="1150"/>
      <c r="G2661" s="846"/>
      <c r="H2661" s="847"/>
      <c r="I2661" s="846">
        <v>785099</v>
      </c>
      <c r="J2661" s="847">
        <v>785099</v>
      </c>
      <c r="K2661" s="846"/>
      <c r="L2661" s="847"/>
      <c r="M2661" s="846"/>
      <c r="N2661" s="846"/>
      <c r="O2661" s="737">
        <f t="shared" si="335"/>
        <v>0</v>
      </c>
      <c r="P2661" s="847"/>
      <c r="Q2661" s="847"/>
      <c r="R2661" s="738">
        <f t="shared" si="338"/>
        <v>0</v>
      </c>
      <c r="S2661" s="737">
        <f t="shared" si="339"/>
        <v>785099</v>
      </c>
      <c r="T2661" s="739">
        <f t="shared" si="340"/>
        <v>785099</v>
      </c>
      <c r="U2661" s="846"/>
      <c r="V2661" s="847"/>
      <c r="W2661" s="846"/>
      <c r="X2661" s="846"/>
      <c r="Y2661" s="740">
        <f t="shared" si="336"/>
        <v>0</v>
      </c>
      <c r="Z2661" s="847"/>
      <c r="AA2661" s="847"/>
      <c r="AB2661" s="741">
        <f t="shared" si="337"/>
        <v>0</v>
      </c>
      <c r="AC2661" s="846"/>
      <c r="AD2661" s="847"/>
      <c r="AE2661" s="846"/>
      <c r="AF2661" s="846"/>
      <c r="AG2661" s="847"/>
      <c r="AH2661" s="847"/>
      <c r="AI2661" s="742">
        <f t="shared" si="341"/>
        <v>785099</v>
      </c>
      <c r="AJ2661" s="743">
        <f t="shared" si="342"/>
        <v>785099</v>
      </c>
    </row>
    <row r="2662" spans="1:36">
      <c r="A2662" s="1410" t="s">
        <v>146</v>
      </c>
      <c r="B2662" s="1146" t="s">
        <v>303</v>
      </c>
      <c r="C2662" s="1137" t="s">
        <v>1890</v>
      </c>
      <c r="D2662" s="1136"/>
      <c r="E2662" s="1149"/>
      <c r="F2662" s="1150"/>
      <c r="G2662" s="846"/>
      <c r="H2662" s="847"/>
      <c r="I2662" s="846">
        <v>0</v>
      </c>
      <c r="J2662" s="847"/>
      <c r="K2662" s="846"/>
      <c r="L2662" s="847"/>
      <c r="M2662" s="846"/>
      <c r="N2662" s="846"/>
      <c r="O2662" s="737">
        <f t="shared" si="335"/>
        <v>0</v>
      </c>
      <c r="P2662" s="847"/>
      <c r="Q2662" s="847"/>
      <c r="R2662" s="738">
        <f t="shared" si="338"/>
        <v>0</v>
      </c>
      <c r="S2662" s="737">
        <f t="shared" si="339"/>
        <v>0</v>
      </c>
      <c r="T2662" s="739">
        <f t="shared" si="340"/>
        <v>0</v>
      </c>
      <c r="U2662" s="846"/>
      <c r="V2662" s="847"/>
      <c r="W2662" s="846"/>
      <c r="X2662" s="846"/>
      <c r="Y2662" s="740">
        <f t="shared" si="336"/>
        <v>0</v>
      </c>
      <c r="Z2662" s="847"/>
      <c r="AA2662" s="847"/>
      <c r="AB2662" s="741">
        <f t="shared" si="337"/>
        <v>0</v>
      </c>
      <c r="AC2662" s="846"/>
      <c r="AD2662" s="847"/>
      <c r="AE2662" s="846"/>
      <c r="AF2662" s="846"/>
      <c r="AG2662" s="847"/>
      <c r="AH2662" s="847"/>
      <c r="AI2662" s="742">
        <f t="shared" si="341"/>
        <v>0</v>
      </c>
      <c r="AJ2662" s="743">
        <f t="shared" si="342"/>
        <v>0</v>
      </c>
    </row>
    <row r="2663" spans="1:36">
      <c r="A2663" s="1410" t="s">
        <v>146</v>
      </c>
      <c r="B2663" s="1146" t="s">
        <v>303</v>
      </c>
      <c r="C2663" s="1137" t="s">
        <v>1891</v>
      </c>
      <c r="D2663" s="1136"/>
      <c r="E2663" s="1149"/>
      <c r="F2663" s="1150"/>
      <c r="G2663" s="846"/>
      <c r="H2663" s="847"/>
      <c r="I2663" s="846">
        <v>0</v>
      </c>
      <c r="J2663" s="847"/>
      <c r="K2663" s="846"/>
      <c r="L2663" s="847"/>
      <c r="M2663" s="846"/>
      <c r="N2663" s="846"/>
      <c r="O2663" s="737">
        <f t="shared" si="335"/>
        <v>0</v>
      </c>
      <c r="P2663" s="847"/>
      <c r="Q2663" s="847"/>
      <c r="R2663" s="738">
        <f t="shared" si="338"/>
        <v>0</v>
      </c>
      <c r="S2663" s="737">
        <f t="shared" si="339"/>
        <v>0</v>
      </c>
      <c r="T2663" s="739">
        <f t="shared" si="340"/>
        <v>0</v>
      </c>
      <c r="U2663" s="846"/>
      <c r="V2663" s="847"/>
      <c r="W2663" s="846"/>
      <c r="X2663" s="846"/>
      <c r="Y2663" s="740">
        <f t="shared" si="336"/>
        <v>0</v>
      </c>
      <c r="Z2663" s="847"/>
      <c r="AA2663" s="847"/>
      <c r="AB2663" s="741">
        <f t="shared" si="337"/>
        <v>0</v>
      </c>
      <c r="AC2663" s="846"/>
      <c r="AD2663" s="847"/>
      <c r="AE2663" s="846"/>
      <c r="AF2663" s="846"/>
      <c r="AG2663" s="847"/>
      <c r="AH2663" s="847"/>
      <c r="AI2663" s="742">
        <f t="shared" si="341"/>
        <v>0</v>
      </c>
      <c r="AJ2663" s="743">
        <f t="shared" si="342"/>
        <v>0</v>
      </c>
    </row>
    <row r="2664" spans="1:36">
      <c r="A2664" s="1410" t="s">
        <v>146</v>
      </c>
      <c r="B2664" s="1146" t="s">
        <v>303</v>
      </c>
      <c r="C2664" s="1137" t="s">
        <v>1892</v>
      </c>
      <c r="D2664" s="1136"/>
      <c r="E2664" s="1149"/>
      <c r="F2664" s="1150"/>
      <c r="G2664" s="846"/>
      <c r="H2664" s="847"/>
      <c r="I2664" s="846">
        <v>177201</v>
      </c>
      <c r="J2664" s="847">
        <v>177201</v>
      </c>
      <c r="K2664" s="846"/>
      <c r="L2664" s="847"/>
      <c r="M2664" s="846"/>
      <c r="N2664" s="846"/>
      <c r="O2664" s="737">
        <f t="shared" si="335"/>
        <v>0</v>
      </c>
      <c r="P2664" s="847"/>
      <c r="Q2664" s="847"/>
      <c r="R2664" s="738">
        <f t="shared" si="338"/>
        <v>0</v>
      </c>
      <c r="S2664" s="737">
        <f t="shared" si="339"/>
        <v>177201</v>
      </c>
      <c r="T2664" s="739">
        <f t="shared" si="340"/>
        <v>177201</v>
      </c>
      <c r="U2664" s="846"/>
      <c r="V2664" s="847"/>
      <c r="W2664" s="846"/>
      <c r="X2664" s="846"/>
      <c r="Y2664" s="740">
        <f t="shared" si="336"/>
        <v>0</v>
      </c>
      <c r="Z2664" s="847"/>
      <c r="AA2664" s="847"/>
      <c r="AB2664" s="741">
        <f t="shared" si="337"/>
        <v>0</v>
      </c>
      <c r="AC2664" s="846"/>
      <c r="AD2664" s="847"/>
      <c r="AE2664" s="846"/>
      <c r="AF2664" s="846"/>
      <c r="AG2664" s="847"/>
      <c r="AH2664" s="847"/>
      <c r="AI2664" s="742">
        <f t="shared" si="341"/>
        <v>177201</v>
      </c>
      <c r="AJ2664" s="743">
        <f t="shared" si="342"/>
        <v>177201</v>
      </c>
    </row>
    <row r="2665" spans="1:36">
      <c r="A2665" s="1410" t="s">
        <v>146</v>
      </c>
      <c r="B2665" s="1146" t="s">
        <v>303</v>
      </c>
      <c r="C2665" s="1137" t="s">
        <v>1893</v>
      </c>
      <c r="D2665" s="1136"/>
      <c r="E2665" s="1149"/>
      <c r="F2665" s="1150"/>
      <c r="G2665" s="846"/>
      <c r="H2665" s="847"/>
      <c r="I2665" s="846">
        <v>164289</v>
      </c>
      <c r="J2665" s="847">
        <v>164289</v>
      </c>
      <c r="K2665" s="846"/>
      <c r="L2665" s="847"/>
      <c r="M2665" s="846"/>
      <c r="N2665" s="846"/>
      <c r="O2665" s="737">
        <f t="shared" si="335"/>
        <v>0</v>
      </c>
      <c r="P2665" s="847"/>
      <c r="Q2665" s="847"/>
      <c r="R2665" s="738">
        <f t="shared" si="338"/>
        <v>0</v>
      </c>
      <c r="S2665" s="737">
        <f t="shared" si="339"/>
        <v>164289</v>
      </c>
      <c r="T2665" s="739">
        <f t="shared" si="340"/>
        <v>164289</v>
      </c>
      <c r="U2665" s="846"/>
      <c r="V2665" s="847"/>
      <c r="W2665" s="846"/>
      <c r="X2665" s="846"/>
      <c r="Y2665" s="740">
        <f t="shared" si="336"/>
        <v>0</v>
      </c>
      <c r="Z2665" s="847"/>
      <c r="AA2665" s="847"/>
      <c r="AB2665" s="741">
        <f t="shared" si="337"/>
        <v>0</v>
      </c>
      <c r="AC2665" s="846"/>
      <c r="AD2665" s="847"/>
      <c r="AE2665" s="846"/>
      <c r="AF2665" s="846"/>
      <c r="AG2665" s="847"/>
      <c r="AH2665" s="847"/>
      <c r="AI2665" s="742">
        <f t="shared" si="341"/>
        <v>164289</v>
      </c>
      <c r="AJ2665" s="743">
        <f t="shared" si="342"/>
        <v>164289</v>
      </c>
    </row>
    <row r="2666" spans="1:36">
      <c r="A2666" s="1410" t="s">
        <v>146</v>
      </c>
      <c r="B2666" s="1146" t="s">
        <v>303</v>
      </c>
      <c r="C2666" s="1137" t="s">
        <v>1894</v>
      </c>
      <c r="D2666" s="1136"/>
      <c r="E2666" s="1109"/>
      <c r="F2666" s="1110"/>
      <c r="G2666" s="846"/>
      <c r="H2666" s="847"/>
      <c r="I2666" s="846">
        <v>1279330</v>
      </c>
      <c r="J2666" s="847">
        <f>1118016+161314</f>
        <v>1279330</v>
      </c>
      <c r="K2666" s="846"/>
      <c r="L2666" s="847"/>
      <c r="M2666" s="846"/>
      <c r="N2666" s="846"/>
      <c r="O2666" s="737">
        <f t="shared" si="335"/>
        <v>0</v>
      </c>
      <c r="P2666" s="847"/>
      <c r="Q2666" s="847"/>
      <c r="R2666" s="738">
        <f t="shared" si="338"/>
        <v>0</v>
      </c>
      <c r="S2666" s="737">
        <f t="shared" si="339"/>
        <v>1279330</v>
      </c>
      <c r="T2666" s="739">
        <f t="shared" si="340"/>
        <v>1279330</v>
      </c>
      <c r="U2666" s="846"/>
      <c r="V2666" s="847"/>
      <c r="W2666" s="846"/>
      <c r="X2666" s="846"/>
      <c r="Y2666" s="740">
        <f t="shared" si="336"/>
        <v>0</v>
      </c>
      <c r="Z2666" s="847"/>
      <c r="AA2666" s="847"/>
      <c r="AB2666" s="741">
        <f t="shared" si="337"/>
        <v>0</v>
      </c>
      <c r="AC2666" s="846"/>
      <c r="AD2666" s="847"/>
      <c r="AE2666" s="846"/>
      <c r="AF2666" s="846"/>
      <c r="AG2666" s="847"/>
      <c r="AH2666" s="847"/>
      <c r="AI2666" s="742">
        <f t="shared" si="341"/>
        <v>1279330</v>
      </c>
      <c r="AJ2666" s="743">
        <f t="shared" si="342"/>
        <v>1279330</v>
      </c>
    </row>
    <row r="2667" spans="1:36">
      <c r="A2667" s="1410" t="s">
        <v>146</v>
      </c>
      <c r="B2667" s="1146" t="s">
        <v>303</v>
      </c>
      <c r="C2667" s="1137" t="s">
        <v>1895</v>
      </c>
      <c r="D2667" s="1136"/>
      <c r="E2667" s="1413"/>
      <c r="F2667" s="1110"/>
      <c r="G2667" s="846"/>
      <c r="H2667" s="847"/>
      <c r="I2667" s="846">
        <v>179178</v>
      </c>
      <c r="J2667" s="847">
        <v>179178</v>
      </c>
      <c r="K2667" s="846"/>
      <c r="L2667" s="847"/>
      <c r="M2667" s="846"/>
      <c r="N2667" s="846"/>
      <c r="O2667" s="737">
        <f t="shared" si="335"/>
        <v>0</v>
      </c>
      <c r="P2667" s="847"/>
      <c r="Q2667" s="847"/>
      <c r="R2667" s="738">
        <f t="shared" si="338"/>
        <v>0</v>
      </c>
      <c r="S2667" s="737">
        <f t="shared" si="339"/>
        <v>179178</v>
      </c>
      <c r="T2667" s="739">
        <f t="shared" si="340"/>
        <v>179178</v>
      </c>
      <c r="U2667" s="846"/>
      <c r="V2667" s="847"/>
      <c r="W2667" s="846"/>
      <c r="X2667" s="846"/>
      <c r="Y2667" s="740">
        <f t="shared" si="336"/>
        <v>0</v>
      </c>
      <c r="Z2667" s="847"/>
      <c r="AA2667" s="847"/>
      <c r="AB2667" s="741">
        <f t="shared" si="337"/>
        <v>0</v>
      </c>
      <c r="AC2667" s="846"/>
      <c r="AD2667" s="847"/>
      <c r="AE2667" s="846"/>
      <c r="AF2667" s="846"/>
      <c r="AG2667" s="847"/>
      <c r="AH2667" s="847"/>
      <c r="AI2667" s="742">
        <f t="shared" si="341"/>
        <v>179178</v>
      </c>
      <c r="AJ2667" s="743">
        <f t="shared" si="342"/>
        <v>179178</v>
      </c>
    </row>
    <row r="2668" spans="1:36">
      <c r="A2668" s="1410" t="s">
        <v>146</v>
      </c>
      <c r="B2668" s="1146" t="s">
        <v>303</v>
      </c>
      <c r="C2668" s="1137" t="s">
        <v>1807</v>
      </c>
      <c r="D2668" s="1136"/>
      <c r="E2668" s="1413"/>
      <c r="F2668" s="1110"/>
      <c r="G2668" s="846"/>
      <c r="H2668" s="847"/>
      <c r="I2668" s="846">
        <v>31376</v>
      </c>
      <c r="J2668" s="847">
        <v>31376</v>
      </c>
      <c r="K2668" s="846"/>
      <c r="L2668" s="847"/>
      <c r="M2668" s="846"/>
      <c r="N2668" s="846"/>
      <c r="O2668" s="737">
        <f t="shared" si="335"/>
        <v>0</v>
      </c>
      <c r="P2668" s="847"/>
      <c r="Q2668" s="847"/>
      <c r="R2668" s="738">
        <f t="shared" si="338"/>
        <v>0</v>
      </c>
      <c r="S2668" s="737">
        <f t="shared" si="339"/>
        <v>31376</v>
      </c>
      <c r="T2668" s="739">
        <f t="shared" si="340"/>
        <v>31376</v>
      </c>
      <c r="U2668" s="846"/>
      <c r="V2668" s="847"/>
      <c r="W2668" s="846"/>
      <c r="X2668" s="846"/>
      <c r="Y2668" s="740">
        <f t="shared" si="336"/>
        <v>0</v>
      </c>
      <c r="Z2668" s="847"/>
      <c r="AA2668" s="847"/>
      <c r="AB2668" s="741">
        <f t="shared" si="337"/>
        <v>0</v>
      </c>
      <c r="AC2668" s="846"/>
      <c r="AD2668" s="847"/>
      <c r="AE2668" s="846"/>
      <c r="AF2668" s="846"/>
      <c r="AG2668" s="847"/>
      <c r="AH2668" s="847"/>
      <c r="AI2668" s="742">
        <f t="shared" si="341"/>
        <v>31376</v>
      </c>
      <c r="AJ2668" s="743">
        <f t="shared" si="342"/>
        <v>31376</v>
      </c>
    </row>
    <row r="2669" spans="1:36">
      <c r="A2669" s="1410" t="s">
        <v>146</v>
      </c>
      <c r="B2669" s="1146" t="s">
        <v>281</v>
      </c>
      <c r="C2669" s="1432" t="s">
        <v>109</v>
      </c>
      <c r="D2669" s="1136"/>
      <c r="E2669" s="1109"/>
      <c r="F2669" s="1110"/>
      <c r="G2669" s="846"/>
      <c r="H2669" s="847"/>
      <c r="I2669" s="846"/>
      <c r="J2669" s="847"/>
      <c r="K2669" s="846"/>
      <c r="L2669" s="847"/>
      <c r="M2669" s="846"/>
      <c r="N2669" s="846"/>
      <c r="O2669" s="737">
        <f t="shared" si="335"/>
        <v>0</v>
      </c>
      <c r="P2669" s="847"/>
      <c r="Q2669" s="847"/>
      <c r="R2669" s="738">
        <f t="shared" si="338"/>
        <v>0</v>
      </c>
      <c r="S2669" s="737">
        <f t="shared" si="339"/>
        <v>0</v>
      </c>
      <c r="T2669" s="739">
        <f t="shared" si="340"/>
        <v>0</v>
      </c>
      <c r="U2669" s="846"/>
      <c r="V2669" s="847"/>
      <c r="W2669" s="846"/>
      <c r="X2669" s="846"/>
      <c r="Y2669" s="740">
        <f t="shared" si="336"/>
        <v>0</v>
      </c>
      <c r="Z2669" s="847"/>
      <c r="AA2669" s="847"/>
      <c r="AB2669" s="741">
        <f t="shared" si="337"/>
        <v>0</v>
      </c>
      <c r="AC2669" s="846"/>
      <c r="AD2669" s="847"/>
      <c r="AE2669" s="846"/>
      <c r="AF2669" s="846"/>
      <c r="AG2669" s="847"/>
      <c r="AH2669" s="847"/>
      <c r="AI2669" s="742">
        <f t="shared" si="341"/>
        <v>0</v>
      </c>
      <c r="AJ2669" s="743">
        <f t="shared" si="342"/>
        <v>0</v>
      </c>
    </row>
    <row r="2670" spans="1:36">
      <c r="A2670" s="1410" t="s">
        <v>146</v>
      </c>
      <c r="B2670" s="1146" t="s">
        <v>282</v>
      </c>
      <c r="C2670" s="1135" t="s">
        <v>140</v>
      </c>
      <c r="D2670" s="1136"/>
      <c r="E2670" s="1109"/>
      <c r="F2670" s="1110"/>
      <c r="G2670" s="846"/>
      <c r="H2670" s="847"/>
      <c r="I2670" s="846"/>
      <c r="J2670" s="847"/>
      <c r="K2670" s="846"/>
      <c r="L2670" s="847"/>
      <c r="M2670" s="846"/>
      <c r="N2670" s="846"/>
      <c r="O2670" s="737">
        <f t="shared" si="335"/>
        <v>0</v>
      </c>
      <c r="P2670" s="847"/>
      <c r="Q2670" s="847"/>
      <c r="R2670" s="738">
        <f t="shared" si="338"/>
        <v>0</v>
      </c>
      <c r="S2670" s="737">
        <f t="shared" si="339"/>
        <v>0</v>
      </c>
      <c r="T2670" s="739">
        <f t="shared" si="340"/>
        <v>0</v>
      </c>
      <c r="U2670" s="846"/>
      <c r="V2670" s="847"/>
      <c r="W2670" s="846"/>
      <c r="X2670" s="846"/>
      <c r="Y2670" s="740">
        <f t="shared" si="336"/>
        <v>0</v>
      </c>
      <c r="Z2670" s="847"/>
      <c r="AA2670" s="847"/>
      <c r="AB2670" s="741">
        <f t="shared" si="337"/>
        <v>0</v>
      </c>
      <c r="AC2670" s="846"/>
      <c r="AD2670" s="847"/>
      <c r="AE2670" s="846"/>
      <c r="AF2670" s="846"/>
      <c r="AG2670" s="847"/>
      <c r="AH2670" s="847"/>
      <c r="AI2670" s="742">
        <f t="shared" si="341"/>
        <v>0</v>
      </c>
      <c r="AJ2670" s="743">
        <f t="shared" si="342"/>
        <v>0</v>
      </c>
    </row>
    <row r="2671" spans="1:36">
      <c r="A2671" s="1410" t="s">
        <v>146</v>
      </c>
      <c r="B2671" s="1146" t="s">
        <v>282</v>
      </c>
      <c r="C2671" s="1137" t="s">
        <v>1896</v>
      </c>
      <c r="D2671" s="1136"/>
      <c r="E2671" s="1109"/>
      <c r="F2671" s="1110"/>
      <c r="G2671" s="846"/>
      <c r="H2671" s="847"/>
      <c r="I2671" s="846"/>
      <c r="J2671" s="847"/>
      <c r="K2671" s="846"/>
      <c r="L2671" s="847"/>
      <c r="M2671" s="846"/>
      <c r="N2671" s="846"/>
      <c r="O2671" s="737">
        <f t="shared" si="335"/>
        <v>0</v>
      </c>
      <c r="P2671" s="847"/>
      <c r="Q2671" s="847"/>
      <c r="R2671" s="738">
        <f t="shared" si="338"/>
        <v>0</v>
      </c>
      <c r="S2671" s="737">
        <f t="shared" si="339"/>
        <v>0</v>
      </c>
      <c r="T2671" s="739">
        <f t="shared" si="340"/>
        <v>0</v>
      </c>
      <c r="U2671" s="846">
        <v>2131281</v>
      </c>
      <c r="V2671" s="847">
        <v>2180389</v>
      </c>
      <c r="W2671" s="846"/>
      <c r="X2671" s="846"/>
      <c r="Y2671" s="740">
        <f t="shared" si="336"/>
        <v>0</v>
      </c>
      <c r="Z2671" s="847"/>
      <c r="AA2671" s="847"/>
      <c r="AB2671" s="741">
        <f t="shared" si="337"/>
        <v>0</v>
      </c>
      <c r="AC2671" s="846"/>
      <c r="AD2671" s="847"/>
      <c r="AE2671" s="846"/>
      <c r="AF2671" s="846"/>
      <c r="AG2671" s="847"/>
      <c r="AH2671" s="847"/>
      <c r="AI2671" s="742">
        <f t="shared" si="341"/>
        <v>2131281</v>
      </c>
      <c r="AJ2671" s="743">
        <f t="shared" si="342"/>
        <v>2180389</v>
      </c>
    </row>
    <row r="2672" spans="1:36">
      <c r="A2672" s="1410" t="s">
        <v>146</v>
      </c>
      <c r="B2672" s="1146" t="s">
        <v>282</v>
      </c>
      <c r="C2672" s="1137" t="s">
        <v>1897</v>
      </c>
      <c r="D2672" s="1136"/>
      <c r="E2672" s="1413"/>
      <c r="F2672" s="1110"/>
      <c r="G2672" s="846"/>
      <c r="H2672" s="847"/>
      <c r="I2672" s="846"/>
      <c r="J2672" s="847"/>
      <c r="K2672" s="846"/>
      <c r="L2672" s="847"/>
      <c r="M2672" s="846"/>
      <c r="N2672" s="846"/>
      <c r="O2672" s="737">
        <f t="shared" si="335"/>
        <v>0</v>
      </c>
      <c r="P2672" s="847"/>
      <c r="Q2672" s="847"/>
      <c r="R2672" s="738">
        <f t="shared" si="338"/>
        <v>0</v>
      </c>
      <c r="S2672" s="737">
        <f t="shared" si="339"/>
        <v>0</v>
      </c>
      <c r="T2672" s="739">
        <f t="shared" si="340"/>
        <v>0</v>
      </c>
      <c r="U2672" s="846">
        <v>1180576</v>
      </c>
      <c r="V2672" s="847">
        <v>1180576</v>
      </c>
      <c r="W2672" s="846"/>
      <c r="X2672" s="846"/>
      <c r="Y2672" s="740">
        <f t="shared" si="336"/>
        <v>0</v>
      </c>
      <c r="Z2672" s="847"/>
      <c r="AA2672" s="847"/>
      <c r="AB2672" s="741">
        <f t="shared" si="337"/>
        <v>0</v>
      </c>
      <c r="AC2672" s="846"/>
      <c r="AD2672" s="847"/>
      <c r="AE2672" s="846"/>
      <c r="AF2672" s="846"/>
      <c r="AG2672" s="847"/>
      <c r="AH2672" s="847"/>
      <c r="AI2672" s="742">
        <f t="shared" si="341"/>
        <v>1180576</v>
      </c>
      <c r="AJ2672" s="743">
        <f t="shared" si="342"/>
        <v>1180576</v>
      </c>
    </row>
    <row r="2673" spans="1:36">
      <c r="A2673" s="1410" t="s">
        <v>146</v>
      </c>
      <c r="B2673" s="1146" t="s">
        <v>282</v>
      </c>
      <c r="C2673" s="1137" t="s">
        <v>1807</v>
      </c>
      <c r="D2673" s="1136"/>
      <c r="E2673" s="1413"/>
      <c r="F2673" s="1110"/>
      <c r="G2673" s="846"/>
      <c r="H2673" s="847"/>
      <c r="I2673" s="846"/>
      <c r="J2673" s="847"/>
      <c r="K2673" s="846"/>
      <c r="L2673" s="847"/>
      <c r="M2673" s="846"/>
      <c r="N2673" s="846"/>
      <c r="O2673" s="737">
        <f t="shared" si="335"/>
        <v>0</v>
      </c>
      <c r="P2673" s="847"/>
      <c r="Q2673" s="847"/>
      <c r="R2673" s="738">
        <f t="shared" si="338"/>
        <v>0</v>
      </c>
      <c r="S2673" s="737">
        <f t="shared" si="339"/>
        <v>0</v>
      </c>
      <c r="T2673" s="739">
        <f t="shared" si="340"/>
        <v>0</v>
      </c>
      <c r="U2673" s="846"/>
      <c r="V2673" s="847"/>
      <c r="W2673" s="846"/>
      <c r="X2673" s="846"/>
      <c r="Y2673" s="740">
        <f t="shared" si="336"/>
        <v>0</v>
      </c>
      <c r="Z2673" s="847"/>
      <c r="AA2673" s="847"/>
      <c r="AB2673" s="741">
        <f t="shared" si="337"/>
        <v>0</v>
      </c>
      <c r="AC2673" s="846"/>
      <c r="AD2673" s="847"/>
      <c r="AE2673" s="846"/>
      <c r="AF2673" s="846"/>
      <c r="AG2673" s="847"/>
      <c r="AH2673" s="847"/>
      <c r="AI2673" s="742">
        <f t="shared" si="341"/>
        <v>0</v>
      </c>
      <c r="AJ2673" s="743">
        <f t="shared" si="342"/>
        <v>0</v>
      </c>
    </row>
    <row r="2674" spans="1:36">
      <c r="A2674" s="1410" t="s">
        <v>146</v>
      </c>
      <c r="B2674" s="1146" t="s">
        <v>282</v>
      </c>
      <c r="C2674" s="1137" t="s">
        <v>1898</v>
      </c>
      <c r="D2674" s="1136"/>
      <c r="E2674" s="1413"/>
      <c r="F2674" s="1110"/>
      <c r="G2674" s="846"/>
      <c r="H2674" s="847"/>
      <c r="I2674" s="846"/>
      <c r="J2674" s="847"/>
      <c r="K2674" s="846"/>
      <c r="L2674" s="847"/>
      <c r="M2674" s="846"/>
      <c r="N2674" s="846"/>
      <c r="O2674" s="737">
        <f t="shared" si="335"/>
        <v>0</v>
      </c>
      <c r="P2674" s="847"/>
      <c r="Q2674" s="847"/>
      <c r="R2674" s="738">
        <f t="shared" si="338"/>
        <v>0</v>
      </c>
      <c r="S2674" s="737">
        <f t="shared" si="339"/>
        <v>0</v>
      </c>
      <c r="T2674" s="739">
        <f t="shared" si="340"/>
        <v>0</v>
      </c>
      <c r="U2674" s="846"/>
      <c r="V2674" s="847"/>
      <c r="W2674" s="846"/>
      <c r="X2674" s="846"/>
      <c r="Y2674" s="740">
        <f t="shared" si="336"/>
        <v>0</v>
      </c>
      <c r="Z2674" s="847"/>
      <c r="AA2674" s="847"/>
      <c r="AB2674" s="741">
        <f t="shared" si="337"/>
        <v>0</v>
      </c>
      <c r="AC2674" s="846"/>
      <c r="AD2674" s="847"/>
      <c r="AE2674" s="846"/>
      <c r="AF2674" s="846"/>
      <c r="AG2674" s="847"/>
      <c r="AH2674" s="847"/>
      <c r="AI2674" s="742">
        <f t="shared" si="341"/>
        <v>0</v>
      </c>
      <c r="AJ2674" s="743">
        <f t="shared" si="342"/>
        <v>0</v>
      </c>
    </row>
    <row r="2675" spans="1:36">
      <c r="A2675" s="1410" t="s">
        <v>146</v>
      </c>
      <c r="B2675" s="1146" t="s">
        <v>282</v>
      </c>
      <c r="C2675" s="1137" t="s">
        <v>1899</v>
      </c>
      <c r="D2675" s="1136"/>
      <c r="E2675" s="1413"/>
      <c r="F2675" s="1110"/>
      <c r="G2675" s="846"/>
      <c r="H2675" s="847"/>
      <c r="I2675" s="846"/>
      <c r="J2675" s="847"/>
      <c r="K2675" s="846"/>
      <c r="L2675" s="847"/>
      <c r="M2675" s="846"/>
      <c r="N2675" s="846"/>
      <c r="O2675" s="737">
        <f t="shared" si="335"/>
        <v>0</v>
      </c>
      <c r="P2675" s="847"/>
      <c r="Q2675" s="847"/>
      <c r="R2675" s="738">
        <f t="shared" si="338"/>
        <v>0</v>
      </c>
      <c r="S2675" s="737">
        <f t="shared" si="339"/>
        <v>0</v>
      </c>
      <c r="T2675" s="739">
        <f t="shared" si="340"/>
        <v>0</v>
      </c>
      <c r="U2675" s="846">
        <v>89968</v>
      </c>
      <c r="V2675" s="847">
        <v>89968</v>
      </c>
      <c r="W2675" s="846"/>
      <c r="X2675" s="846"/>
      <c r="Y2675" s="740">
        <f t="shared" si="336"/>
        <v>0</v>
      </c>
      <c r="Z2675" s="847"/>
      <c r="AA2675" s="847"/>
      <c r="AB2675" s="741">
        <f t="shared" si="337"/>
        <v>0</v>
      </c>
      <c r="AC2675" s="846"/>
      <c r="AD2675" s="847"/>
      <c r="AE2675" s="846"/>
      <c r="AF2675" s="846"/>
      <c r="AG2675" s="847"/>
      <c r="AH2675" s="847"/>
      <c r="AI2675" s="742">
        <f t="shared" si="341"/>
        <v>89968</v>
      </c>
      <c r="AJ2675" s="743">
        <f t="shared" si="342"/>
        <v>89968</v>
      </c>
    </row>
    <row r="2676" spans="1:36">
      <c r="A2676" s="1410" t="s">
        <v>146</v>
      </c>
      <c r="B2676" s="1146" t="s">
        <v>282</v>
      </c>
      <c r="C2676" s="1137" t="s">
        <v>1900</v>
      </c>
      <c r="D2676" s="1136"/>
      <c r="E2676" s="1413"/>
      <c r="F2676" s="1110"/>
      <c r="G2676" s="846"/>
      <c r="H2676" s="847"/>
      <c r="I2676" s="846"/>
      <c r="J2676" s="847"/>
      <c r="K2676" s="846"/>
      <c r="L2676" s="847"/>
      <c r="M2676" s="846"/>
      <c r="N2676" s="846"/>
      <c r="O2676" s="737">
        <f t="shared" si="335"/>
        <v>0</v>
      </c>
      <c r="P2676" s="847"/>
      <c r="Q2676" s="847"/>
      <c r="R2676" s="738">
        <f t="shared" si="338"/>
        <v>0</v>
      </c>
      <c r="S2676" s="737">
        <f t="shared" si="339"/>
        <v>0</v>
      </c>
      <c r="T2676" s="739">
        <f t="shared" si="340"/>
        <v>0</v>
      </c>
      <c r="U2676" s="846"/>
      <c r="V2676" s="847"/>
      <c r="W2676" s="846"/>
      <c r="X2676" s="846"/>
      <c r="Y2676" s="740">
        <f t="shared" si="336"/>
        <v>0</v>
      </c>
      <c r="Z2676" s="847"/>
      <c r="AA2676" s="847"/>
      <c r="AB2676" s="741">
        <f t="shared" si="337"/>
        <v>0</v>
      </c>
      <c r="AC2676" s="846"/>
      <c r="AD2676" s="847"/>
      <c r="AE2676" s="846"/>
      <c r="AF2676" s="846"/>
      <c r="AG2676" s="847"/>
      <c r="AH2676" s="847"/>
      <c r="AI2676" s="742">
        <f t="shared" si="341"/>
        <v>0</v>
      </c>
      <c r="AJ2676" s="743">
        <f t="shared" si="342"/>
        <v>0</v>
      </c>
    </row>
    <row r="2677" spans="1:36">
      <c r="A2677" s="1410" t="s">
        <v>146</v>
      </c>
      <c r="B2677" s="1146" t="s">
        <v>283</v>
      </c>
      <c r="C2677" s="1135" t="s">
        <v>139</v>
      </c>
      <c r="D2677" s="1136"/>
      <c r="E2677" s="1109"/>
      <c r="F2677" s="1110"/>
      <c r="G2677" s="846"/>
      <c r="H2677" s="847"/>
      <c r="I2677" s="846"/>
      <c r="J2677" s="847"/>
      <c r="K2677" s="846"/>
      <c r="L2677" s="847"/>
      <c r="M2677" s="846"/>
      <c r="N2677" s="846"/>
      <c r="O2677" s="737">
        <f t="shared" si="335"/>
        <v>0</v>
      </c>
      <c r="P2677" s="847"/>
      <c r="Q2677" s="847"/>
      <c r="R2677" s="738">
        <f t="shared" si="338"/>
        <v>0</v>
      </c>
      <c r="S2677" s="737">
        <f t="shared" si="339"/>
        <v>0</v>
      </c>
      <c r="T2677" s="739">
        <f t="shared" si="340"/>
        <v>0</v>
      </c>
      <c r="U2677" s="846"/>
      <c r="V2677" s="847"/>
      <c r="W2677" s="846"/>
      <c r="X2677" s="846"/>
      <c r="Y2677" s="740">
        <f t="shared" si="336"/>
        <v>0</v>
      </c>
      <c r="Z2677" s="847"/>
      <c r="AA2677" s="847"/>
      <c r="AB2677" s="741">
        <f t="shared" si="337"/>
        <v>0</v>
      </c>
      <c r="AC2677" s="846"/>
      <c r="AD2677" s="847"/>
      <c r="AE2677" s="846"/>
      <c r="AF2677" s="846"/>
      <c r="AG2677" s="847"/>
      <c r="AH2677" s="847"/>
      <c r="AI2677" s="742">
        <f t="shared" si="341"/>
        <v>0</v>
      </c>
      <c r="AJ2677" s="743">
        <f t="shared" si="342"/>
        <v>0</v>
      </c>
    </row>
    <row r="2678" spans="1:36">
      <c r="A2678" s="1410" t="s">
        <v>146</v>
      </c>
      <c r="B2678" s="1146" t="s">
        <v>283</v>
      </c>
      <c r="C2678" s="1137" t="s">
        <v>1901</v>
      </c>
      <c r="D2678" s="1136"/>
      <c r="E2678" s="1109"/>
      <c r="F2678" s="1110"/>
      <c r="G2678" s="846"/>
      <c r="H2678" s="847"/>
      <c r="I2678" s="846"/>
      <c r="J2678" s="847"/>
      <c r="K2678" s="846"/>
      <c r="L2678" s="847"/>
      <c r="M2678" s="846"/>
      <c r="N2678" s="846"/>
      <c r="O2678" s="737">
        <f t="shared" si="335"/>
        <v>0</v>
      </c>
      <c r="P2678" s="847"/>
      <c r="Q2678" s="847"/>
      <c r="R2678" s="738">
        <f t="shared" si="338"/>
        <v>0</v>
      </c>
      <c r="S2678" s="737">
        <f t="shared" si="339"/>
        <v>0</v>
      </c>
      <c r="T2678" s="739">
        <f t="shared" si="340"/>
        <v>0</v>
      </c>
      <c r="U2678" s="846">
        <v>3405058</v>
      </c>
      <c r="V2678" s="847">
        <v>2357669</v>
      </c>
      <c r="W2678" s="846"/>
      <c r="X2678" s="846"/>
      <c r="Y2678" s="740">
        <f t="shared" si="336"/>
        <v>0</v>
      </c>
      <c r="Z2678" s="847"/>
      <c r="AA2678" s="847"/>
      <c r="AB2678" s="741">
        <f t="shared" si="337"/>
        <v>0</v>
      </c>
      <c r="AC2678" s="846"/>
      <c r="AD2678" s="847"/>
      <c r="AE2678" s="846"/>
      <c r="AF2678" s="846"/>
      <c r="AG2678" s="847"/>
      <c r="AH2678" s="847"/>
      <c r="AI2678" s="742">
        <f t="shared" si="341"/>
        <v>3405058</v>
      </c>
      <c r="AJ2678" s="743">
        <f t="shared" si="342"/>
        <v>2357669</v>
      </c>
    </row>
    <row r="2679" spans="1:36">
      <c r="A2679" s="1410" t="s">
        <v>146</v>
      </c>
      <c r="B2679" s="1146" t="s">
        <v>283</v>
      </c>
      <c r="C2679" s="1414" t="s">
        <v>1772</v>
      </c>
      <c r="D2679" s="1136"/>
      <c r="E2679" s="1109"/>
      <c r="F2679" s="1110"/>
      <c r="G2679" s="846"/>
      <c r="H2679" s="847"/>
      <c r="I2679" s="846"/>
      <c r="J2679" s="847"/>
      <c r="K2679" s="846"/>
      <c r="L2679" s="847"/>
      <c r="M2679" s="846"/>
      <c r="N2679" s="846"/>
      <c r="O2679" s="737">
        <f t="shared" si="335"/>
        <v>0</v>
      </c>
      <c r="P2679" s="847"/>
      <c r="Q2679" s="847"/>
      <c r="R2679" s="738">
        <f t="shared" si="338"/>
        <v>0</v>
      </c>
      <c r="S2679" s="737">
        <f t="shared" si="339"/>
        <v>0</v>
      </c>
      <c r="T2679" s="739">
        <f t="shared" si="340"/>
        <v>0</v>
      </c>
      <c r="U2679" s="846"/>
      <c r="V2679" s="847">
        <v>1075500</v>
      </c>
      <c r="W2679" s="846"/>
      <c r="X2679" s="846"/>
      <c r="Y2679" s="740">
        <f t="shared" si="336"/>
        <v>0</v>
      </c>
      <c r="Z2679" s="847"/>
      <c r="AA2679" s="847"/>
      <c r="AB2679" s="741">
        <f t="shared" si="337"/>
        <v>0</v>
      </c>
      <c r="AC2679" s="846"/>
      <c r="AD2679" s="847"/>
      <c r="AE2679" s="846"/>
      <c r="AF2679" s="846"/>
      <c r="AG2679" s="847"/>
      <c r="AH2679" s="847"/>
      <c r="AI2679" s="742">
        <f t="shared" si="341"/>
        <v>0</v>
      </c>
      <c r="AJ2679" s="743">
        <f t="shared" si="342"/>
        <v>1075500</v>
      </c>
    </row>
    <row r="2680" spans="1:36">
      <c r="A2680" s="1410" t="s">
        <v>146</v>
      </c>
      <c r="B2680" s="1146" t="s">
        <v>283</v>
      </c>
      <c r="C2680" s="1137" t="s">
        <v>1902</v>
      </c>
      <c r="D2680" s="1136"/>
      <c r="E2680" s="1109"/>
      <c r="F2680" s="1110"/>
      <c r="G2680" s="846"/>
      <c r="H2680" s="847"/>
      <c r="I2680" s="846"/>
      <c r="J2680" s="847"/>
      <c r="K2680" s="846"/>
      <c r="L2680" s="847"/>
      <c r="M2680" s="846"/>
      <c r="N2680" s="846"/>
      <c r="O2680" s="737">
        <f t="shared" si="335"/>
        <v>0</v>
      </c>
      <c r="P2680" s="847"/>
      <c r="Q2680" s="847"/>
      <c r="R2680" s="738">
        <f t="shared" si="338"/>
        <v>0</v>
      </c>
      <c r="S2680" s="737">
        <f t="shared" si="339"/>
        <v>0</v>
      </c>
      <c r="T2680" s="739">
        <f t="shared" si="340"/>
        <v>0</v>
      </c>
      <c r="U2680" s="846">
        <v>1935408</v>
      </c>
      <c r="V2680" s="847">
        <v>1775289</v>
      </c>
      <c r="W2680" s="846"/>
      <c r="X2680" s="846"/>
      <c r="Y2680" s="740">
        <f t="shared" si="336"/>
        <v>0</v>
      </c>
      <c r="Z2680" s="847"/>
      <c r="AA2680" s="847"/>
      <c r="AB2680" s="741">
        <f t="shared" si="337"/>
        <v>0</v>
      </c>
      <c r="AC2680" s="846"/>
      <c r="AD2680" s="847"/>
      <c r="AE2680" s="846"/>
      <c r="AF2680" s="846"/>
      <c r="AG2680" s="847"/>
      <c r="AH2680" s="847"/>
      <c r="AI2680" s="742">
        <f t="shared" si="341"/>
        <v>1935408</v>
      </c>
      <c r="AJ2680" s="743">
        <f t="shared" si="342"/>
        <v>1775289</v>
      </c>
    </row>
    <row r="2681" spans="1:36">
      <c r="A2681" s="1410" t="s">
        <v>146</v>
      </c>
      <c r="B2681" s="1146" t="s">
        <v>283</v>
      </c>
      <c r="C2681" s="1137" t="s">
        <v>1903</v>
      </c>
      <c r="D2681" s="1136"/>
      <c r="E2681" s="1109"/>
      <c r="F2681" s="1110"/>
      <c r="G2681" s="846"/>
      <c r="H2681" s="847"/>
      <c r="I2681" s="846"/>
      <c r="J2681" s="847"/>
      <c r="K2681" s="846"/>
      <c r="L2681" s="847"/>
      <c r="M2681" s="846"/>
      <c r="N2681" s="846"/>
      <c r="O2681" s="737">
        <f t="shared" si="335"/>
        <v>0</v>
      </c>
      <c r="P2681" s="847"/>
      <c r="Q2681" s="847"/>
      <c r="R2681" s="738">
        <f t="shared" si="338"/>
        <v>0</v>
      </c>
      <c r="S2681" s="737">
        <f t="shared" si="339"/>
        <v>0</v>
      </c>
      <c r="T2681" s="739">
        <f t="shared" si="340"/>
        <v>0</v>
      </c>
      <c r="U2681" s="846"/>
      <c r="V2681" s="847"/>
      <c r="W2681" s="846"/>
      <c r="X2681" s="846"/>
      <c r="Y2681" s="740">
        <f t="shared" si="336"/>
        <v>0</v>
      </c>
      <c r="Z2681" s="847"/>
      <c r="AA2681" s="847"/>
      <c r="AB2681" s="741">
        <f t="shared" si="337"/>
        <v>0</v>
      </c>
      <c r="AC2681" s="846"/>
      <c r="AD2681" s="847"/>
      <c r="AE2681" s="846"/>
      <c r="AF2681" s="846"/>
      <c r="AG2681" s="847"/>
      <c r="AH2681" s="847"/>
      <c r="AI2681" s="742">
        <f t="shared" si="341"/>
        <v>0</v>
      </c>
      <c r="AJ2681" s="743">
        <f t="shared" si="342"/>
        <v>0</v>
      </c>
    </row>
    <row r="2682" spans="1:36">
      <c r="A2682" s="1410" t="s">
        <v>146</v>
      </c>
      <c r="B2682" s="1146" t="s">
        <v>283</v>
      </c>
      <c r="C2682" s="1137" t="s">
        <v>1904</v>
      </c>
      <c r="D2682" s="1136"/>
      <c r="E2682" s="1109"/>
      <c r="F2682" s="1110"/>
      <c r="G2682" s="846"/>
      <c r="H2682" s="847"/>
      <c r="I2682" s="846"/>
      <c r="J2682" s="847"/>
      <c r="K2682" s="846"/>
      <c r="L2682" s="847"/>
      <c r="M2682" s="846"/>
      <c r="N2682" s="846"/>
      <c r="O2682" s="737">
        <f t="shared" si="335"/>
        <v>0</v>
      </c>
      <c r="P2682" s="847"/>
      <c r="Q2682" s="847"/>
      <c r="R2682" s="738">
        <f t="shared" si="338"/>
        <v>0</v>
      </c>
      <c r="S2682" s="737">
        <f t="shared" si="339"/>
        <v>0</v>
      </c>
      <c r="T2682" s="739">
        <f t="shared" si="340"/>
        <v>0</v>
      </c>
      <c r="U2682" s="846">
        <v>3775000</v>
      </c>
      <c r="V2682" s="847"/>
      <c r="W2682" s="846"/>
      <c r="X2682" s="846"/>
      <c r="Y2682" s="740">
        <f t="shared" si="336"/>
        <v>0</v>
      </c>
      <c r="Z2682" s="847"/>
      <c r="AA2682" s="847"/>
      <c r="AB2682" s="741">
        <f t="shared" si="337"/>
        <v>0</v>
      </c>
      <c r="AC2682" s="846"/>
      <c r="AD2682" s="847"/>
      <c r="AE2682" s="846"/>
      <c r="AF2682" s="846"/>
      <c r="AG2682" s="847"/>
      <c r="AH2682" s="847"/>
      <c r="AI2682" s="742">
        <f t="shared" si="341"/>
        <v>3775000</v>
      </c>
      <c r="AJ2682" s="743">
        <f t="shared" si="342"/>
        <v>0</v>
      </c>
    </row>
    <row r="2683" spans="1:36">
      <c r="A2683" s="1410" t="s">
        <v>146</v>
      </c>
      <c r="B2683" s="1146" t="s">
        <v>283</v>
      </c>
      <c r="C2683" s="1137" t="s">
        <v>1905</v>
      </c>
      <c r="D2683" s="1136"/>
      <c r="E2683" s="1109"/>
      <c r="F2683" s="1110"/>
      <c r="G2683" s="846"/>
      <c r="H2683" s="847"/>
      <c r="I2683" s="846"/>
      <c r="J2683" s="847"/>
      <c r="K2683" s="846"/>
      <c r="L2683" s="847"/>
      <c r="M2683" s="846"/>
      <c r="N2683" s="846"/>
      <c r="O2683" s="737">
        <f t="shared" si="335"/>
        <v>0</v>
      </c>
      <c r="P2683" s="847"/>
      <c r="Q2683" s="847"/>
      <c r="R2683" s="738">
        <f t="shared" si="338"/>
        <v>0</v>
      </c>
      <c r="S2683" s="737">
        <f t="shared" si="339"/>
        <v>0</v>
      </c>
      <c r="T2683" s="739">
        <f t="shared" si="340"/>
        <v>0</v>
      </c>
      <c r="U2683" s="846"/>
      <c r="V2683" s="847"/>
      <c r="W2683" s="846"/>
      <c r="X2683" s="846"/>
      <c r="Y2683" s="740">
        <f t="shared" si="336"/>
        <v>0</v>
      </c>
      <c r="Z2683" s="847"/>
      <c r="AA2683" s="847"/>
      <c r="AB2683" s="741">
        <f t="shared" si="337"/>
        <v>0</v>
      </c>
      <c r="AC2683" s="846"/>
      <c r="AD2683" s="847"/>
      <c r="AE2683" s="846"/>
      <c r="AF2683" s="846"/>
      <c r="AG2683" s="847"/>
      <c r="AH2683" s="847"/>
      <c r="AI2683" s="742">
        <f t="shared" si="341"/>
        <v>0</v>
      </c>
      <c r="AJ2683" s="743">
        <f t="shared" si="342"/>
        <v>0</v>
      </c>
    </row>
    <row r="2684" spans="1:36">
      <c r="A2684" s="1410" t="s">
        <v>146</v>
      </c>
      <c r="B2684" s="1146" t="s">
        <v>283</v>
      </c>
      <c r="C2684" s="1137" t="s">
        <v>1906</v>
      </c>
      <c r="D2684" s="1136"/>
      <c r="E2684" s="1413"/>
      <c r="F2684" s="1110"/>
      <c r="G2684" s="846"/>
      <c r="H2684" s="847"/>
      <c r="I2684" s="846"/>
      <c r="J2684" s="847"/>
      <c r="K2684" s="846"/>
      <c r="L2684" s="847"/>
      <c r="M2684" s="846"/>
      <c r="N2684" s="846"/>
      <c r="O2684" s="737">
        <f t="shared" si="335"/>
        <v>0</v>
      </c>
      <c r="P2684" s="847"/>
      <c r="Q2684" s="847"/>
      <c r="R2684" s="738">
        <f t="shared" si="338"/>
        <v>0</v>
      </c>
      <c r="S2684" s="737">
        <f t="shared" si="339"/>
        <v>0</v>
      </c>
      <c r="T2684" s="739">
        <f t="shared" si="340"/>
        <v>0</v>
      </c>
      <c r="U2684" s="846">
        <v>1134307</v>
      </c>
      <c r="V2684" s="847">
        <v>2404520</v>
      </c>
      <c r="W2684" s="846"/>
      <c r="X2684" s="846"/>
      <c r="Y2684" s="740">
        <f t="shared" si="336"/>
        <v>0</v>
      </c>
      <c r="Z2684" s="847"/>
      <c r="AA2684" s="847"/>
      <c r="AB2684" s="741">
        <f t="shared" si="337"/>
        <v>0</v>
      </c>
      <c r="AC2684" s="846"/>
      <c r="AD2684" s="847"/>
      <c r="AE2684" s="846"/>
      <c r="AF2684" s="846"/>
      <c r="AG2684" s="847"/>
      <c r="AH2684" s="847"/>
      <c r="AI2684" s="742">
        <f t="shared" si="341"/>
        <v>1134307</v>
      </c>
      <c r="AJ2684" s="743">
        <f t="shared" si="342"/>
        <v>2404520</v>
      </c>
    </row>
    <row r="2685" spans="1:36">
      <c r="A2685" s="1410" t="s">
        <v>146</v>
      </c>
      <c r="B2685" s="1146" t="s">
        <v>283</v>
      </c>
      <c r="C2685" s="1137" t="s">
        <v>1907</v>
      </c>
      <c r="D2685" s="1136"/>
      <c r="E2685" s="1413"/>
      <c r="F2685" s="1110"/>
      <c r="G2685" s="846"/>
      <c r="H2685" s="847"/>
      <c r="I2685" s="846"/>
      <c r="J2685" s="847"/>
      <c r="K2685" s="846"/>
      <c r="L2685" s="847"/>
      <c r="M2685" s="846"/>
      <c r="N2685" s="846"/>
      <c r="O2685" s="737">
        <f t="shared" si="335"/>
        <v>0</v>
      </c>
      <c r="P2685" s="847"/>
      <c r="Q2685" s="847"/>
      <c r="R2685" s="738">
        <f t="shared" si="338"/>
        <v>0</v>
      </c>
      <c r="S2685" s="737">
        <f t="shared" si="339"/>
        <v>0</v>
      </c>
      <c r="T2685" s="739">
        <f t="shared" si="340"/>
        <v>0</v>
      </c>
      <c r="U2685" s="846">
        <v>0</v>
      </c>
      <c r="V2685" s="847">
        <f>550058</f>
        <v>550058</v>
      </c>
      <c r="W2685" s="846"/>
      <c r="X2685" s="846"/>
      <c r="Y2685" s="740">
        <f t="shared" si="336"/>
        <v>0</v>
      </c>
      <c r="Z2685" s="847"/>
      <c r="AA2685" s="847"/>
      <c r="AB2685" s="741">
        <f t="shared" si="337"/>
        <v>0</v>
      </c>
      <c r="AC2685" s="846"/>
      <c r="AD2685" s="847"/>
      <c r="AE2685" s="846"/>
      <c r="AF2685" s="846"/>
      <c r="AG2685" s="847"/>
      <c r="AH2685" s="847"/>
      <c r="AI2685" s="742">
        <f t="shared" si="341"/>
        <v>0</v>
      </c>
      <c r="AJ2685" s="743">
        <f t="shared" si="342"/>
        <v>550058</v>
      </c>
    </row>
    <row r="2686" spans="1:36">
      <c r="A2686" s="1410" t="s">
        <v>146</v>
      </c>
      <c r="B2686" s="1146" t="s">
        <v>283</v>
      </c>
      <c r="C2686" s="1414" t="s">
        <v>1908</v>
      </c>
      <c r="D2686" s="1136"/>
      <c r="E2686" s="1413"/>
      <c r="F2686" s="1110"/>
      <c r="G2686" s="846"/>
      <c r="H2686" s="847"/>
      <c r="I2686" s="846"/>
      <c r="J2686" s="847"/>
      <c r="K2686" s="846"/>
      <c r="L2686" s="847"/>
      <c r="M2686" s="846"/>
      <c r="N2686" s="846"/>
      <c r="O2686" s="737">
        <f t="shared" si="335"/>
        <v>0</v>
      </c>
      <c r="P2686" s="847"/>
      <c r="Q2686" s="847"/>
      <c r="R2686" s="738">
        <f t="shared" si="338"/>
        <v>0</v>
      </c>
      <c r="S2686" s="737">
        <f t="shared" si="339"/>
        <v>0</v>
      </c>
      <c r="T2686" s="739">
        <f t="shared" si="340"/>
        <v>0</v>
      </c>
      <c r="U2686" s="846">
        <v>330000</v>
      </c>
      <c r="V2686" s="847">
        <v>330000</v>
      </c>
      <c r="W2686" s="846"/>
      <c r="X2686" s="846"/>
      <c r="Y2686" s="740">
        <f t="shared" si="336"/>
        <v>0</v>
      </c>
      <c r="Z2686" s="847"/>
      <c r="AA2686" s="847"/>
      <c r="AB2686" s="741">
        <f t="shared" si="337"/>
        <v>0</v>
      </c>
      <c r="AC2686" s="846"/>
      <c r="AD2686" s="847"/>
      <c r="AE2686" s="846"/>
      <c r="AF2686" s="846"/>
      <c r="AG2686" s="847"/>
      <c r="AH2686" s="847"/>
      <c r="AI2686" s="742">
        <f t="shared" si="341"/>
        <v>330000</v>
      </c>
      <c r="AJ2686" s="743">
        <f t="shared" si="342"/>
        <v>330000</v>
      </c>
    </row>
    <row r="2687" spans="1:36">
      <c r="A2687" s="1410" t="s">
        <v>146</v>
      </c>
      <c r="B2687" s="1146" t="s">
        <v>284</v>
      </c>
      <c r="C2687" s="1137" t="s">
        <v>1909</v>
      </c>
      <c r="D2687" s="1136"/>
      <c r="E2687" s="1413"/>
      <c r="F2687" s="1110"/>
      <c r="G2687" s="846"/>
      <c r="H2687" s="847"/>
      <c r="I2687" s="846"/>
      <c r="J2687" s="847"/>
      <c r="K2687" s="846"/>
      <c r="L2687" s="847"/>
      <c r="M2687" s="846"/>
      <c r="N2687" s="846"/>
      <c r="O2687" s="737">
        <f t="shared" si="335"/>
        <v>0</v>
      </c>
      <c r="P2687" s="847"/>
      <c r="Q2687" s="847"/>
      <c r="R2687" s="738">
        <f t="shared" si="338"/>
        <v>0</v>
      </c>
      <c r="S2687" s="737">
        <f t="shared" si="339"/>
        <v>0</v>
      </c>
      <c r="T2687" s="739">
        <f t="shared" si="340"/>
        <v>0</v>
      </c>
      <c r="U2687" s="846">
        <v>1033566</v>
      </c>
      <c r="V2687" s="847"/>
      <c r="W2687" s="846"/>
      <c r="X2687" s="846"/>
      <c r="Y2687" s="740">
        <f t="shared" si="336"/>
        <v>0</v>
      </c>
      <c r="Z2687" s="847"/>
      <c r="AA2687" s="847"/>
      <c r="AB2687" s="741">
        <f t="shared" si="337"/>
        <v>0</v>
      </c>
      <c r="AC2687" s="846"/>
      <c r="AD2687" s="847"/>
      <c r="AE2687" s="846"/>
      <c r="AF2687" s="846"/>
      <c r="AG2687" s="847"/>
      <c r="AH2687" s="847"/>
      <c r="AI2687" s="742">
        <f t="shared" si="341"/>
        <v>1033566</v>
      </c>
      <c r="AJ2687" s="743">
        <f t="shared" si="342"/>
        <v>0</v>
      </c>
    </row>
    <row r="2688" spans="1:36">
      <c r="A2688" s="1410" t="s">
        <v>146</v>
      </c>
      <c r="B2688" s="1146" t="s">
        <v>283</v>
      </c>
      <c r="C2688" s="1137" t="s">
        <v>1910</v>
      </c>
      <c r="D2688" s="1136"/>
      <c r="E2688" s="1413"/>
      <c r="F2688" s="1110"/>
      <c r="G2688" s="846"/>
      <c r="H2688" s="847"/>
      <c r="I2688" s="846"/>
      <c r="J2688" s="847"/>
      <c r="K2688" s="846"/>
      <c r="L2688" s="847"/>
      <c r="M2688" s="846"/>
      <c r="N2688" s="846"/>
      <c r="O2688" s="737">
        <f t="shared" si="335"/>
        <v>0</v>
      </c>
      <c r="P2688" s="847"/>
      <c r="Q2688" s="847"/>
      <c r="R2688" s="738">
        <f t="shared" si="338"/>
        <v>0</v>
      </c>
      <c r="S2688" s="737">
        <f t="shared" si="339"/>
        <v>0</v>
      </c>
      <c r="T2688" s="739">
        <f t="shared" si="340"/>
        <v>0</v>
      </c>
      <c r="U2688" s="846">
        <v>7538694</v>
      </c>
      <c r="V2688" s="847" t="s">
        <v>91</v>
      </c>
      <c r="W2688" s="846"/>
      <c r="X2688" s="846"/>
      <c r="Y2688" s="740">
        <f t="shared" si="336"/>
        <v>0</v>
      </c>
      <c r="Z2688" s="847"/>
      <c r="AA2688" s="847"/>
      <c r="AB2688" s="741">
        <f t="shared" si="337"/>
        <v>0</v>
      </c>
      <c r="AC2688" s="846"/>
      <c r="AD2688" s="847"/>
      <c r="AE2688" s="846"/>
      <c r="AF2688" s="846"/>
      <c r="AG2688" s="847"/>
      <c r="AH2688" s="847"/>
      <c r="AI2688" s="742">
        <f t="shared" si="341"/>
        <v>7538694</v>
      </c>
      <c r="AJ2688" s="743">
        <f t="shared" si="342"/>
        <v>0</v>
      </c>
    </row>
    <row r="2689" spans="1:36">
      <c r="A2689" s="1410" t="s">
        <v>146</v>
      </c>
      <c r="B2689" s="1146" t="s">
        <v>284</v>
      </c>
      <c r="C2689" s="1137" t="s">
        <v>1911</v>
      </c>
      <c r="D2689" s="1136"/>
      <c r="E2689" s="1413"/>
      <c r="F2689" s="1110"/>
      <c r="G2689" s="846"/>
      <c r="H2689" s="847"/>
      <c r="I2689" s="846"/>
      <c r="J2689" s="847"/>
      <c r="K2689" s="846"/>
      <c r="L2689" s="847"/>
      <c r="M2689" s="846"/>
      <c r="N2689" s="846"/>
      <c r="O2689" s="737">
        <f t="shared" si="335"/>
        <v>0</v>
      </c>
      <c r="P2689" s="847"/>
      <c r="Q2689" s="847"/>
      <c r="R2689" s="738">
        <f t="shared" si="338"/>
        <v>0</v>
      </c>
      <c r="S2689" s="737">
        <f t="shared" si="339"/>
        <v>0</v>
      </c>
      <c r="T2689" s="739">
        <f t="shared" si="340"/>
        <v>0</v>
      </c>
      <c r="U2689" s="846">
        <v>7970379</v>
      </c>
      <c r="V2689" s="847">
        <v>7239253</v>
      </c>
      <c r="W2689" s="846"/>
      <c r="X2689" s="846"/>
      <c r="Y2689" s="740">
        <f t="shared" si="336"/>
        <v>0</v>
      </c>
      <c r="Z2689" s="847"/>
      <c r="AA2689" s="847"/>
      <c r="AB2689" s="741">
        <f t="shared" si="337"/>
        <v>0</v>
      </c>
      <c r="AC2689" s="846"/>
      <c r="AD2689" s="847"/>
      <c r="AE2689" s="846"/>
      <c r="AF2689" s="846"/>
      <c r="AG2689" s="847"/>
      <c r="AH2689" s="847"/>
      <c r="AI2689" s="742">
        <f t="shared" si="341"/>
        <v>7970379</v>
      </c>
      <c r="AJ2689" s="743">
        <f t="shared" si="342"/>
        <v>7239253</v>
      </c>
    </row>
    <row r="2690" spans="1:36">
      <c r="A2690" s="1410" t="s">
        <v>146</v>
      </c>
      <c r="B2690" s="1146" t="s">
        <v>284</v>
      </c>
      <c r="C2690" s="1135" t="s">
        <v>138</v>
      </c>
      <c r="D2690" s="1136"/>
      <c r="E2690" s="1109"/>
      <c r="F2690" s="1110"/>
      <c r="G2690" s="846"/>
      <c r="H2690" s="847"/>
      <c r="I2690" s="846"/>
      <c r="J2690" s="847"/>
      <c r="K2690" s="846"/>
      <c r="L2690" s="847"/>
      <c r="M2690" s="846"/>
      <c r="N2690" s="846"/>
      <c r="O2690" s="737">
        <f t="shared" si="335"/>
        <v>0</v>
      </c>
      <c r="P2690" s="847"/>
      <c r="Q2690" s="847"/>
      <c r="R2690" s="738">
        <f t="shared" si="338"/>
        <v>0</v>
      </c>
      <c r="S2690" s="737">
        <f t="shared" si="339"/>
        <v>0</v>
      </c>
      <c r="T2690" s="739">
        <f t="shared" si="340"/>
        <v>0</v>
      </c>
      <c r="U2690" s="846"/>
      <c r="V2690" s="847"/>
      <c r="W2690" s="846"/>
      <c r="X2690" s="846"/>
      <c r="Y2690" s="740">
        <f t="shared" si="336"/>
        <v>0</v>
      </c>
      <c r="Z2690" s="847"/>
      <c r="AA2690" s="847"/>
      <c r="AB2690" s="741">
        <f t="shared" si="337"/>
        <v>0</v>
      </c>
      <c r="AC2690" s="846"/>
      <c r="AD2690" s="847"/>
      <c r="AE2690" s="846"/>
      <c r="AF2690" s="846"/>
      <c r="AG2690" s="847"/>
      <c r="AH2690" s="847"/>
      <c r="AI2690" s="742">
        <f t="shared" si="341"/>
        <v>0</v>
      </c>
      <c r="AJ2690" s="743">
        <f t="shared" si="342"/>
        <v>0</v>
      </c>
    </row>
    <row r="2691" spans="1:36">
      <c r="A2691" s="1410" t="s">
        <v>146</v>
      </c>
      <c r="B2691" s="1146" t="s">
        <v>284</v>
      </c>
      <c r="C2691" s="1137" t="s">
        <v>566</v>
      </c>
      <c r="D2691" s="1136"/>
      <c r="E2691" s="1109"/>
      <c r="F2691" s="1110"/>
      <c r="G2691" s="846"/>
      <c r="H2691" s="847"/>
      <c r="I2691" s="846"/>
      <c r="J2691" s="847"/>
      <c r="K2691" s="846"/>
      <c r="L2691" s="847"/>
      <c r="M2691" s="846"/>
      <c r="N2691" s="846"/>
      <c r="O2691" s="737">
        <f t="shared" si="335"/>
        <v>0</v>
      </c>
      <c r="P2691" s="847"/>
      <c r="Q2691" s="847"/>
      <c r="R2691" s="738">
        <f t="shared" si="338"/>
        <v>0</v>
      </c>
      <c r="S2691" s="737">
        <f t="shared" si="339"/>
        <v>0</v>
      </c>
      <c r="T2691" s="739">
        <f t="shared" si="340"/>
        <v>0</v>
      </c>
      <c r="U2691" s="846">
        <v>193500</v>
      </c>
      <c r="V2691" s="847">
        <v>193550</v>
      </c>
      <c r="W2691" s="846"/>
      <c r="X2691" s="846"/>
      <c r="Y2691" s="740">
        <f t="shared" si="336"/>
        <v>0</v>
      </c>
      <c r="Z2691" s="847"/>
      <c r="AA2691" s="847"/>
      <c r="AB2691" s="741">
        <f t="shared" si="337"/>
        <v>0</v>
      </c>
      <c r="AC2691" s="846"/>
      <c r="AD2691" s="847"/>
      <c r="AE2691" s="846"/>
      <c r="AF2691" s="846"/>
      <c r="AG2691" s="847"/>
      <c r="AH2691" s="847"/>
      <c r="AI2691" s="742">
        <f t="shared" si="341"/>
        <v>193500</v>
      </c>
      <c r="AJ2691" s="743">
        <f t="shared" si="342"/>
        <v>193550</v>
      </c>
    </row>
    <row r="2692" spans="1:36">
      <c r="A2692" s="1410" t="s">
        <v>146</v>
      </c>
      <c r="B2692" s="1146" t="s">
        <v>285</v>
      </c>
      <c r="C2692" s="1137" t="s">
        <v>1912</v>
      </c>
      <c r="D2692" s="1136"/>
      <c r="E2692" s="1109"/>
      <c r="F2692" s="1110"/>
      <c r="G2692" s="846"/>
      <c r="H2692" s="847"/>
      <c r="I2692" s="846"/>
      <c r="J2692" s="847"/>
      <c r="K2692" s="846"/>
      <c r="L2692" s="847"/>
      <c r="M2692" s="846"/>
      <c r="N2692" s="846"/>
      <c r="O2692" s="737">
        <f t="shared" si="335"/>
        <v>0</v>
      </c>
      <c r="P2692" s="847"/>
      <c r="Q2692" s="847"/>
      <c r="R2692" s="738">
        <f t="shared" si="338"/>
        <v>0</v>
      </c>
      <c r="S2692" s="737">
        <f t="shared" si="339"/>
        <v>0</v>
      </c>
      <c r="T2692" s="739">
        <f t="shared" si="340"/>
        <v>0</v>
      </c>
      <c r="U2692" s="846">
        <v>8000</v>
      </c>
      <c r="V2692" s="847">
        <v>8000</v>
      </c>
      <c r="W2692" s="846"/>
      <c r="X2692" s="846"/>
      <c r="Y2692" s="740">
        <f t="shared" si="336"/>
        <v>0</v>
      </c>
      <c r="Z2692" s="847"/>
      <c r="AA2692" s="847"/>
      <c r="AB2692" s="741">
        <f t="shared" si="337"/>
        <v>0</v>
      </c>
      <c r="AC2692" s="846"/>
      <c r="AD2692" s="847"/>
      <c r="AE2692" s="846"/>
      <c r="AF2692" s="846"/>
      <c r="AG2692" s="847"/>
      <c r="AH2692" s="847"/>
      <c r="AI2692" s="742">
        <f t="shared" si="341"/>
        <v>8000</v>
      </c>
      <c r="AJ2692" s="743">
        <f t="shared" si="342"/>
        <v>8000</v>
      </c>
    </row>
    <row r="2693" spans="1:36">
      <c r="A2693" s="1410" t="s">
        <v>146</v>
      </c>
      <c r="B2693" s="1146" t="s">
        <v>285</v>
      </c>
      <c r="C2693" s="1135" t="s">
        <v>504</v>
      </c>
      <c r="D2693" s="1136"/>
      <c r="E2693" s="1109"/>
      <c r="F2693" s="1110"/>
      <c r="G2693" s="846"/>
      <c r="H2693" s="847"/>
      <c r="I2693" s="846"/>
      <c r="J2693" s="847"/>
      <c r="K2693" s="846"/>
      <c r="L2693" s="847"/>
      <c r="M2693" s="846"/>
      <c r="N2693" s="846"/>
      <c r="O2693" s="737">
        <f t="shared" si="335"/>
        <v>0</v>
      </c>
      <c r="P2693" s="847"/>
      <c r="Q2693" s="847"/>
      <c r="R2693" s="738">
        <f t="shared" si="338"/>
        <v>0</v>
      </c>
      <c r="S2693" s="737">
        <f t="shared" si="339"/>
        <v>0</v>
      </c>
      <c r="T2693" s="739">
        <f t="shared" si="340"/>
        <v>0</v>
      </c>
      <c r="U2693" s="846"/>
      <c r="V2693" s="847"/>
      <c r="W2693" s="846"/>
      <c r="X2693" s="846"/>
      <c r="Y2693" s="740">
        <f t="shared" si="336"/>
        <v>0</v>
      </c>
      <c r="Z2693" s="847"/>
      <c r="AA2693" s="847"/>
      <c r="AB2693" s="741">
        <f t="shared" si="337"/>
        <v>0</v>
      </c>
      <c r="AC2693" s="846"/>
      <c r="AD2693" s="847"/>
      <c r="AE2693" s="846"/>
      <c r="AF2693" s="846"/>
      <c r="AG2693" s="847"/>
      <c r="AH2693" s="847"/>
      <c r="AI2693" s="742">
        <f t="shared" si="341"/>
        <v>0</v>
      </c>
      <c r="AJ2693" s="743">
        <f t="shared" si="342"/>
        <v>0</v>
      </c>
    </row>
    <row r="2694" spans="1:36">
      <c r="A2694" s="1410" t="s">
        <v>146</v>
      </c>
      <c r="B2694" s="1146" t="s">
        <v>286</v>
      </c>
      <c r="C2694" s="1432" t="s">
        <v>506</v>
      </c>
      <c r="D2694" s="1136"/>
      <c r="E2694" s="1109"/>
      <c r="F2694" s="1110"/>
      <c r="G2694" s="846"/>
      <c r="H2694" s="847"/>
      <c r="I2694" s="846"/>
      <c r="J2694" s="847"/>
      <c r="K2694" s="846"/>
      <c r="L2694" s="847"/>
      <c r="M2694" s="846"/>
      <c r="N2694" s="846"/>
      <c r="O2694" s="737">
        <f t="shared" si="335"/>
        <v>0</v>
      </c>
      <c r="P2694" s="847"/>
      <c r="Q2694" s="847"/>
      <c r="R2694" s="738">
        <f t="shared" si="338"/>
        <v>0</v>
      </c>
      <c r="S2694" s="737">
        <f t="shared" si="339"/>
        <v>0</v>
      </c>
      <c r="T2694" s="739">
        <f t="shared" si="340"/>
        <v>0</v>
      </c>
      <c r="U2694" s="846"/>
      <c r="V2694" s="847"/>
      <c r="W2694" s="846"/>
      <c r="X2694" s="846"/>
      <c r="Y2694" s="740">
        <f t="shared" si="336"/>
        <v>0</v>
      </c>
      <c r="Z2694" s="847"/>
      <c r="AA2694" s="847"/>
      <c r="AB2694" s="741">
        <f t="shared" si="337"/>
        <v>0</v>
      </c>
      <c r="AC2694" s="846"/>
      <c r="AD2694" s="847"/>
      <c r="AE2694" s="846"/>
      <c r="AF2694" s="846"/>
      <c r="AG2694" s="847"/>
      <c r="AH2694" s="847"/>
      <c r="AI2694" s="742">
        <f t="shared" si="341"/>
        <v>0</v>
      </c>
      <c r="AJ2694" s="743">
        <f t="shared" si="342"/>
        <v>0</v>
      </c>
    </row>
    <row r="2695" spans="1:36">
      <c r="A2695" s="1410" t="s">
        <v>146</v>
      </c>
      <c r="B2695" s="1146" t="s">
        <v>286</v>
      </c>
      <c r="C2695" s="1137" t="s">
        <v>1913</v>
      </c>
      <c r="D2695" s="1136"/>
      <c r="E2695" s="1149"/>
      <c r="F2695" s="1150"/>
      <c r="G2695" s="846"/>
      <c r="H2695" s="847"/>
      <c r="I2695" s="846"/>
      <c r="J2695" s="847"/>
      <c r="K2695" s="846"/>
      <c r="L2695" s="847"/>
      <c r="M2695" s="846"/>
      <c r="N2695" s="846"/>
      <c r="O2695" s="737">
        <f t="shared" si="335"/>
        <v>0</v>
      </c>
      <c r="P2695" s="847"/>
      <c r="Q2695" s="847"/>
      <c r="R2695" s="738">
        <f t="shared" si="338"/>
        <v>0</v>
      </c>
      <c r="S2695" s="737">
        <f t="shared" si="339"/>
        <v>0</v>
      </c>
      <c r="T2695" s="739">
        <f t="shared" si="340"/>
        <v>0</v>
      </c>
      <c r="U2695" s="846">
        <v>3480797</v>
      </c>
      <c r="V2695" s="847">
        <v>3768708</v>
      </c>
      <c r="W2695" s="846"/>
      <c r="X2695" s="846"/>
      <c r="Y2695" s="740">
        <f t="shared" si="336"/>
        <v>0</v>
      </c>
      <c r="Z2695" s="847"/>
      <c r="AA2695" s="847"/>
      <c r="AB2695" s="741">
        <f t="shared" si="337"/>
        <v>0</v>
      </c>
      <c r="AC2695" s="846"/>
      <c r="AD2695" s="847"/>
      <c r="AE2695" s="846"/>
      <c r="AF2695" s="846"/>
      <c r="AG2695" s="847"/>
      <c r="AH2695" s="847"/>
      <c r="AI2695" s="742">
        <f t="shared" si="341"/>
        <v>3480797</v>
      </c>
      <c r="AJ2695" s="743">
        <f t="shared" si="342"/>
        <v>3768708</v>
      </c>
    </row>
    <row r="2696" spans="1:36">
      <c r="A2696" s="1410" t="s">
        <v>146</v>
      </c>
      <c r="B2696" s="1146" t="s">
        <v>286</v>
      </c>
      <c r="C2696" s="1137" t="s">
        <v>1914</v>
      </c>
      <c r="D2696" s="1136"/>
      <c r="E2696" s="1149"/>
      <c r="F2696" s="1150"/>
      <c r="G2696" s="846"/>
      <c r="H2696" s="847"/>
      <c r="I2696" s="846"/>
      <c r="J2696" s="847"/>
      <c r="K2696" s="846"/>
      <c r="L2696" s="847"/>
      <c r="M2696" s="846"/>
      <c r="N2696" s="846"/>
      <c r="O2696" s="737">
        <f t="shared" si="335"/>
        <v>0</v>
      </c>
      <c r="P2696" s="847"/>
      <c r="Q2696" s="847"/>
      <c r="R2696" s="738">
        <f t="shared" si="338"/>
        <v>0</v>
      </c>
      <c r="S2696" s="737">
        <f t="shared" si="339"/>
        <v>0</v>
      </c>
      <c r="T2696" s="739">
        <f t="shared" si="340"/>
        <v>0</v>
      </c>
      <c r="U2696" s="846" t="s">
        <v>91</v>
      </c>
      <c r="V2696" s="847">
        <v>227799</v>
      </c>
      <c r="W2696" s="846"/>
      <c r="X2696" s="846"/>
      <c r="Y2696" s="740">
        <f t="shared" si="336"/>
        <v>0</v>
      </c>
      <c r="Z2696" s="847"/>
      <c r="AA2696" s="847"/>
      <c r="AB2696" s="741">
        <f t="shared" si="337"/>
        <v>0</v>
      </c>
      <c r="AC2696" s="846"/>
      <c r="AD2696" s="847"/>
      <c r="AE2696" s="846"/>
      <c r="AF2696" s="846"/>
      <c r="AG2696" s="847"/>
      <c r="AH2696" s="847"/>
      <c r="AI2696" s="742">
        <f t="shared" si="341"/>
        <v>0</v>
      </c>
      <c r="AJ2696" s="743">
        <f t="shared" si="342"/>
        <v>227799</v>
      </c>
    </row>
    <row r="2697" spans="1:36">
      <c r="A2697" s="1410" t="s">
        <v>146</v>
      </c>
      <c r="B2697" s="1146" t="s">
        <v>287</v>
      </c>
      <c r="C2697" s="1432" t="s">
        <v>510</v>
      </c>
      <c r="D2697" s="1136"/>
      <c r="E2697" s="1109"/>
      <c r="F2697" s="1110"/>
      <c r="G2697" s="846"/>
      <c r="H2697" s="847"/>
      <c r="I2697" s="846"/>
      <c r="J2697" s="847"/>
      <c r="K2697" s="846"/>
      <c r="L2697" s="847"/>
      <c r="M2697" s="846"/>
      <c r="N2697" s="846"/>
      <c r="O2697" s="737">
        <f t="shared" si="335"/>
        <v>0</v>
      </c>
      <c r="P2697" s="847"/>
      <c r="Q2697" s="847"/>
      <c r="R2697" s="738">
        <f t="shared" si="338"/>
        <v>0</v>
      </c>
      <c r="S2697" s="737">
        <f t="shared" si="339"/>
        <v>0</v>
      </c>
      <c r="T2697" s="739">
        <f t="shared" si="340"/>
        <v>0</v>
      </c>
      <c r="U2697" s="846"/>
      <c r="V2697" s="847"/>
      <c r="W2697" s="846"/>
      <c r="X2697" s="846"/>
      <c r="Y2697" s="740">
        <f t="shared" si="336"/>
        <v>0</v>
      </c>
      <c r="Z2697" s="847"/>
      <c r="AA2697" s="847"/>
      <c r="AB2697" s="741">
        <f t="shared" si="337"/>
        <v>0</v>
      </c>
      <c r="AC2697" s="846"/>
      <c r="AD2697" s="847"/>
      <c r="AE2697" s="846"/>
      <c r="AF2697" s="846"/>
      <c r="AG2697" s="847"/>
      <c r="AH2697" s="847"/>
      <c r="AI2697" s="742">
        <f t="shared" si="341"/>
        <v>0</v>
      </c>
      <c r="AJ2697" s="743">
        <f t="shared" si="342"/>
        <v>0</v>
      </c>
    </row>
    <row r="2698" spans="1:36">
      <c r="A2698" s="1410" t="s">
        <v>146</v>
      </c>
      <c r="B2698" s="1146" t="s">
        <v>288</v>
      </c>
      <c r="C2698" s="1135" t="s">
        <v>511</v>
      </c>
      <c r="D2698" s="1136"/>
      <c r="E2698" s="1109"/>
      <c r="F2698" s="1110"/>
      <c r="G2698" s="846"/>
      <c r="H2698" s="847"/>
      <c r="I2698" s="846"/>
      <c r="J2698" s="847"/>
      <c r="K2698" s="846"/>
      <c r="L2698" s="847"/>
      <c r="M2698" s="846"/>
      <c r="N2698" s="846"/>
      <c r="O2698" s="737">
        <f t="shared" ref="O2698:O2761" si="343">SUM(M2698:N2698)</f>
        <v>0</v>
      </c>
      <c r="P2698" s="847"/>
      <c r="Q2698" s="847"/>
      <c r="R2698" s="738">
        <f t="shared" si="338"/>
        <v>0</v>
      </c>
      <c r="S2698" s="737">
        <f t="shared" si="339"/>
        <v>0</v>
      </c>
      <c r="T2698" s="739">
        <f t="shared" si="340"/>
        <v>0</v>
      </c>
      <c r="U2698" s="846"/>
      <c r="V2698" s="847"/>
      <c r="W2698" s="846"/>
      <c r="X2698" s="846"/>
      <c r="Y2698" s="740">
        <f t="shared" ref="Y2698:Y2761" si="344">SUM(W2698:X2698)</f>
        <v>0</v>
      </c>
      <c r="Z2698" s="847"/>
      <c r="AA2698" s="847"/>
      <c r="AB2698" s="741">
        <f t="shared" ref="AB2698:AB2761" si="345">SUM(Z2698:AA2698)</f>
        <v>0</v>
      </c>
      <c r="AC2698" s="846"/>
      <c r="AD2698" s="847"/>
      <c r="AE2698" s="846"/>
      <c r="AF2698" s="846"/>
      <c r="AG2698" s="847"/>
      <c r="AH2698" s="847"/>
      <c r="AI2698" s="742">
        <f t="shared" si="341"/>
        <v>0</v>
      </c>
      <c r="AJ2698" s="743">
        <f t="shared" si="342"/>
        <v>0</v>
      </c>
    </row>
    <row r="2699" spans="1:36">
      <c r="A2699" s="1410" t="s">
        <v>146</v>
      </c>
      <c r="B2699" s="1146" t="s">
        <v>288</v>
      </c>
      <c r="C2699" s="1137" t="s">
        <v>884</v>
      </c>
      <c r="D2699" s="1136"/>
      <c r="E2699" s="1109"/>
      <c r="F2699" s="1110"/>
      <c r="G2699" s="846"/>
      <c r="H2699" s="847"/>
      <c r="I2699" s="846"/>
      <c r="J2699" s="847"/>
      <c r="K2699" s="846"/>
      <c r="L2699" s="847"/>
      <c r="M2699" s="846"/>
      <c r="N2699" s="846"/>
      <c r="O2699" s="737">
        <f t="shared" si="343"/>
        <v>0</v>
      </c>
      <c r="P2699" s="847"/>
      <c r="Q2699" s="847"/>
      <c r="R2699" s="738">
        <f t="shared" ref="R2699:R2762" si="346">SUM(P2699:Q2699)</f>
        <v>0</v>
      </c>
      <c r="S2699" s="737">
        <f t="shared" ref="S2699:S2762" si="347">SUM(G2699,I2699,K2699,M2699)</f>
        <v>0</v>
      </c>
      <c r="T2699" s="739">
        <f t="shared" ref="T2699:T2762" si="348">SUM(H2699,J2699,L2699,P2699)</f>
        <v>0</v>
      </c>
      <c r="U2699" s="846">
        <v>399000</v>
      </c>
      <c r="V2699" s="847">
        <v>443200</v>
      </c>
      <c r="W2699" s="846"/>
      <c r="X2699" s="846"/>
      <c r="Y2699" s="740">
        <f t="shared" si="344"/>
        <v>0</v>
      </c>
      <c r="Z2699" s="847"/>
      <c r="AA2699" s="847"/>
      <c r="AB2699" s="741">
        <f t="shared" si="345"/>
        <v>0</v>
      </c>
      <c r="AC2699" s="846"/>
      <c r="AD2699" s="847"/>
      <c r="AE2699" s="846"/>
      <c r="AF2699" s="846"/>
      <c r="AG2699" s="847"/>
      <c r="AH2699" s="847"/>
      <c r="AI2699" s="742">
        <f t="shared" ref="AI2699:AI2762" si="349">SUM(S2699,U2699,W2699,AC2699,AE2699)</f>
        <v>399000</v>
      </c>
      <c r="AJ2699" s="743">
        <f t="shared" ref="AJ2699:AJ2762" si="350">SUM(T2699,V2699,Z2699,AD2699,AG2699)</f>
        <v>443200</v>
      </c>
    </row>
    <row r="2700" spans="1:36">
      <c r="A2700" s="1410" t="s">
        <v>146</v>
      </c>
      <c r="B2700" s="1146" t="s">
        <v>288</v>
      </c>
      <c r="C2700" s="1137" t="s">
        <v>568</v>
      </c>
      <c r="D2700" s="1136"/>
      <c r="E2700" s="1109"/>
      <c r="F2700" s="1110"/>
      <c r="G2700" s="846"/>
      <c r="H2700" s="847"/>
      <c r="I2700" s="846"/>
      <c r="J2700" s="847"/>
      <c r="K2700" s="846"/>
      <c r="L2700" s="847"/>
      <c r="M2700" s="846"/>
      <c r="N2700" s="846"/>
      <c r="O2700" s="737">
        <f t="shared" si="343"/>
        <v>0</v>
      </c>
      <c r="P2700" s="847"/>
      <c r="Q2700" s="847"/>
      <c r="R2700" s="738">
        <f t="shared" si="346"/>
        <v>0</v>
      </c>
      <c r="S2700" s="737">
        <f t="shared" si="347"/>
        <v>0</v>
      </c>
      <c r="T2700" s="739">
        <f t="shared" si="348"/>
        <v>0</v>
      </c>
      <c r="U2700" s="846">
        <v>214200</v>
      </c>
      <c r="V2700" s="847">
        <v>206700</v>
      </c>
      <c r="W2700" s="846"/>
      <c r="X2700" s="846"/>
      <c r="Y2700" s="740">
        <f t="shared" si="344"/>
        <v>0</v>
      </c>
      <c r="Z2700" s="847"/>
      <c r="AA2700" s="847"/>
      <c r="AB2700" s="741">
        <f t="shared" si="345"/>
        <v>0</v>
      </c>
      <c r="AC2700" s="846"/>
      <c r="AD2700" s="847"/>
      <c r="AE2700" s="846"/>
      <c r="AF2700" s="846"/>
      <c r="AG2700" s="847"/>
      <c r="AH2700" s="847"/>
      <c r="AI2700" s="742">
        <f t="shared" si="349"/>
        <v>214200</v>
      </c>
      <c r="AJ2700" s="743">
        <f t="shared" si="350"/>
        <v>206700</v>
      </c>
    </row>
    <row r="2701" spans="1:36">
      <c r="A2701" s="1410" t="s">
        <v>146</v>
      </c>
      <c r="B2701" s="1146" t="s">
        <v>289</v>
      </c>
      <c r="C2701" s="1135" t="s">
        <v>515</v>
      </c>
      <c r="D2701" s="1136"/>
      <c r="E2701" s="1109"/>
      <c r="F2701" s="1110"/>
      <c r="G2701" s="846"/>
      <c r="H2701" s="847"/>
      <c r="I2701" s="846"/>
      <c r="J2701" s="847"/>
      <c r="K2701" s="846"/>
      <c r="L2701" s="847"/>
      <c r="M2701" s="846"/>
      <c r="N2701" s="846"/>
      <c r="O2701" s="737">
        <f t="shared" si="343"/>
        <v>0</v>
      </c>
      <c r="P2701" s="847"/>
      <c r="Q2701" s="847"/>
      <c r="R2701" s="738">
        <f t="shared" si="346"/>
        <v>0</v>
      </c>
      <c r="S2701" s="737">
        <f t="shared" si="347"/>
        <v>0</v>
      </c>
      <c r="T2701" s="739">
        <f t="shared" si="348"/>
        <v>0</v>
      </c>
      <c r="U2701" s="846"/>
      <c r="V2701" s="847"/>
      <c r="W2701" s="846"/>
      <c r="X2701" s="846"/>
      <c r="Y2701" s="740">
        <f t="shared" si="344"/>
        <v>0</v>
      </c>
      <c r="Z2701" s="847"/>
      <c r="AA2701" s="847"/>
      <c r="AB2701" s="741">
        <f t="shared" si="345"/>
        <v>0</v>
      </c>
      <c r="AC2701" s="846"/>
      <c r="AD2701" s="847"/>
      <c r="AE2701" s="846"/>
      <c r="AF2701" s="846"/>
      <c r="AG2701" s="847"/>
      <c r="AH2701" s="847"/>
      <c r="AI2701" s="742">
        <f t="shared" si="349"/>
        <v>0</v>
      </c>
      <c r="AJ2701" s="743">
        <f t="shared" si="350"/>
        <v>0</v>
      </c>
    </row>
    <row r="2702" spans="1:36">
      <c r="A2702" s="1410" t="s">
        <v>146</v>
      </c>
      <c r="B2702" s="1146" t="s">
        <v>289</v>
      </c>
      <c r="C2702" s="1137" t="s">
        <v>571</v>
      </c>
      <c r="D2702" s="1136"/>
      <c r="E2702" s="1109"/>
      <c r="F2702" s="1110"/>
      <c r="G2702" s="846"/>
      <c r="H2702" s="847"/>
      <c r="I2702" s="846"/>
      <c r="J2702" s="847"/>
      <c r="K2702" s="846"/>
      <c r="L2702" s="847"/>
      <c r="M2702" s="846"/>
      <c r="N2702" s="846"/>
      <c r="O2702" s="737">
        <f t="shared" si="343"/>
        <v>0</v>
      </c>
      <c r="P2702" s="847"/>
      <c r="Q2702" s="847"/>
      <c r="R2702" s="738">
        <f t="shared" si="346"/>
        <v>0</v>
      </c>
      <c r="S2702" s="737">
        <f t="shared" si="347"/>
        <v>0</v>
      </c>
      <c r="T2702" s="739">
        <f t="shared" si="348"/>
        <v>0</v>
      </c>
      <c r="U2702" s="846">
        <v>99450</v>
      </c>
      <c r="V2702" s="847">
        <v>95400</v>
      </c>
      <c r="W2702" s="846"/>
      <c r="X2702" s="846"/>
      <c r="Y2702" s="740">
        <f t="shared" si="344"/>
        <v>0</v>
      </c>
      <c r="Z2702" s="847"/>
      <c r="AA2702" s="847"/>
      <c r="AB2702" s="741">
        <f t="shared" si="345"/>
        <v>0</v>
      </c>
      <c r="AC2702" s="846"/>
      <c r="AD2702" s="847"/>
      <c r="AE2702" s="846"/>
      <c r="AF2702" s="846"/>
      <c r="AG2702" s="847"/>
      <c r="AH2702" s="847"/>
      <c r="AI2702" s="742">
        <f t="shared" si="349"/>
        <v>99450</v>
      </c>
      <c r="AJ2702" s="743">
        <f t="shared" si="350"/>
        <v>95400</v>
      </c>
    </row>
    <row r="2703" spans="1:36">
      <c r="A2703" s="1410" t="s">
        <v>146</v>
      </c>
      <c r="B2703" s="1146" t="s">
        <v>289</v>
      </c>
      <c r="C2703" s="1137" t="s">
        <v>885</v>
      </c>
      <c r="D2703" s="1136"/>
      <c r="E2703" s="1109"/>
      <c r="F2703" s="1110"/>
      <c r="G2703" s="846"/>
      <c r="H2703" s="847"/>
      <c r="I2703" s="846"/>
      <c r="J2703" s="847"/>
      <c r="K2703" s="846"/>
      <c r="L2703" s="847"/>
      <c r="M2703" s="846"/>
      <c r="N2703" s="846"/>
      <c r="O2703" s="737">
        <f t="shared" si="343"/>
        <v>0</v>
      </c>
      <c r="P2703" s="847"/>
      <c r="Q2703" s="847"/>
      <c r="R2703" s="738">
        <f t="shared" si="346"/>
        <v>0</v>
      </c>
      <c r="S2703" s="737">
        <f t="shared" si="347"/>
        <v>0</v>
      </c>
      <c r="T2703" s="739">
        <f t="shared" si="348"/>
        <v>0</v>
      </c>
      <c r="U2703" s="846">
        <v>1808800</v>
      </c>
      <c r="V2703" s="847">
        <v>1883600</v>
      </c>
      <c r="W2703" s="846"/>
      <c r="X2703" s="846"/>
      <c r="Y2703" s="740">
        <f t="shared" si="344"/>
        <v>0</v>
      </c>
      <c r="Z2703" s="847"/>
      <c r="AA2703" s="847"/>
      <c r="AB2703" s="741">
        <f t="shared" si="345"/>
        <v>0</v>
      </c>
      <c r="AC2703" s="846"/>
      <c r="AD2703" s="847"/>
      <c r="AE2703" s="846"/>
      <c r="AF2703" s="846"/>
      <c r="AG2703" s="847"/>
      <c r="AH2703" s="847"/>
      <c r="AI2703" s="742">
        <f t="shared" si="349"/>
        <v>1808800</v>
      </c>
      <c r="AJ2703" s="743">
        <f t="shared" si="350"/>
        <v>1883600</v>
      </c>
    </row>
    <row r="2704" spans="1:36">
      <c r="A2704" s="1410" t="s">
        <v>146</v>
      </c>
      <c r="B2704" s="1146" t="s">
        <v>289</v>
      </c>
      <c r="C2704" s="1137" t="s">
        <v>1294</v>
      </c>
      <c r="D2704" s="1136"/>
      <c r="E2704" s="1109"/>
      <c r="F2704" s="1110"/>
      <c r="G2704" s="846"/>
      <c r="H2704" s="847"/>
      <c r="I2704" s="846"/>
      <c r="J2704" s="847"/>
      <c r="K2704" s="846"/>
      <c r="L2704" s="847"/>
      <c r="M2704" s="846"/>
      <c r="N2704" s="846"/>
      <c r="O2704" s="737">
        <f t="shared" si="343"/>
        <v>0</v>
      </c>
      <c r="P2704" s="847"/>
      <c r="Q2704" s="847"/>
      <c r="R2704" s="738">
        <f t="shared" si="346"/>
        <v>0</v>
      </c>
      <c r="S2704" s="737">
        <f t="shared" si="347"/>
        <v>0</v>
      </c>
      <c r="T2704" s="739">
        <f t="shared" si="348"/>
        <v>0</v>
      </c>
      <c r="U2704" s="846">
        <v>532000</v>
      </c>
      <c r="V2704" s="847">
        <v>554000</v>
      </c>
      <c r="W2704" s="846"/>
      <c r="X2704" s="846"/>
      <c r="Y2704" s="740">
        <f t="shared" si="344"/>
        <v>0</v>
      </c>
      <c r="Z2704" s="847"/>
      <c r="AA2704" s="847"/>
      <c r="AB2704" s="741">
        <f t="shared" si="345"/>
        <v>0</v>
      </c>
      <c r="AC2704" s="846"/>
      <c r="AD2704" s="847"/>
      <c r="AE2704" s="846"/>
      <c r="AF2704" s="846"/>
      <c r="AG2704" s="847"/>
      <c r="AH2704" s="847"/>
      <c r="AI2704" s="742">
        <f t="shared" si="349"/>
        <v>532000</v>
      </c>
      <c r="AJ2704" s="743">
        <f t="shared" si="350"/>
        <v>554000</v>
      </c>
    </row>
    <row r="2705" spans="1:36">
      <c r="A2705" s="1410" t="s">
        <v>146</v>
      </c>
      <c r="B2705" s="1146" t="s">
        <v>290</v>
      </c>
      <c r="C2705" s="1135" t="s">
        <v>137</v>
      </c>
      <c r="D2705" s="1136"/>
      <c r="E2705" s="1109"/>
      <c r="F2705" s="1110"/>
      <c r="G2705" s="846"/>
      <c r="H2705" s="847"/>
      <c r="I2705" s="846"/>
      <c r="J2705" s="847"/>
      <c r="K2705" s="846"/>
      <c r="L2705" s="847"/>
      <c r="M2705" s="846"/>
      <c r="N2705" s="846"/>
      <c r="O2705" s="737">
        <f t="shared" si="343"/>
        <v>0</v>
      </c>
      <c r="P2705" s="847"/>
      <c r="Q2705" s="847"/>
      <c r="R2705" s="738">
        <f t="shared" si="346"/>
        <v>0</v>
      </c>
      <c r="S2705" s="737">
        <f t="shared" si="347"/>
        <v>0</v>
      </c>
      <c r="T2705" s="739">
        <f t="shared" si="348"/>
        <v>0</v>
      </c>
      <c r="U2705" s="846"/>
      <c r="V2705" s="847"/>
      <c r="W2705" s="846"/>
      <c r="X2705" s="846"/>
      <c r="Y2705" s="740">
        <f t="shared" si="344"/>
        <v>0</v>
      </c>
      <c r="Z2705" s="847"/>
      <c r="AA2705" s="847"/>
      <c r="AB2705" s="741">
        <f t="shared" si="345"/>
        <v>0</v>
      </c>
      <c r="AC2705" s="846"/>
      <c r="AD2705" s="847"/>
      <c r="AE2705" s="846"/>
      <c r="AF2705" s="846"/>
      <c r="AG2705" s="847"/>
      <c r="AH2705" s="847"/>
      <c r="AI2705" s="742">
        <f t="shared" si="349"/>
        <v>0</v>
      </c>
      <c r="AJ2705" s="743">
        <f t="shared" si="350"/>
        <v>0</v>
      </c>
    </row>
    <row r="2706" spans="1:36">
      <c r="A2706" s="1410" t="s">
        <v>146</v>
      </c>
      <c r="B2706" s="1146" t="s">
        <v>290</v>
      </c>
      <c r="C2706" s="1137" t="s">
        <v>1915</v>
      </c>
      <c r="D2706" s="1136"/>
      <c r="E2706" s="1413"/>
      <c r="F2706" s="1110"/>
      <c r="G2706" s="846"/>
      <c r="H2706" s="847"/>
      <c r="I2706" s="846"/>
      <c r="J2706" s="847"/>
      <c r="K2706" s="846"/>
      <c r="L2706" s="847"/>
      <c r="M2706" s="846"/>
      <c r="N2706" s="846"/>
      <c r="O2706" s="737">
        <f t="shared" si="343"/>
        <v>0</v>
      </c>
      <c r="P2706" s="847"/>
      <c r="Q2706" s="847"/>
      <c r="R2706" s="738">
        <f t="shared" si="346"/>
        <v>0</v>
      </c>
      <c r="S2706" s="737">
        <f t="shared" si="347"/>
        <v>0</v>
      </c>
      <c r="T2706" s="739">
        <f t="shared" si="348"/>
        <v>0</v>
      </c>
      <c r="U2706" s="846">
        <v>300000</v>
      </c>
      <c r="V2706" s="847">
        <v>300000</v>
      </c>
      <c r="W2706" s="846"/>
      <c r="X2706" s="846"/>
      <c r="Y2706" s="740">
        <f t="shared" si="344"/>
        <v>0</v>
      </c>
      <c r="Z2706" s="847"/>
      <c r="AA2706" s="847"/>
      <c r="AB2706" s="741">
        <f t="shared" si="345"/>
        <v>0</v>
      </c>
      <c r="AC2706" s="846"/>
      <c r="AD2706" s="847"/>
      <c r="AE2706" s="846"/>
      <c r="AF2706" s="846"/>
      <c r="AG2706" s="847"/>
      <c r="AH2706" s="847"/>
      <c r="AI2706" s="742">
        <f t="shared" si="349"/>
        <v>300000</v>
      </c>
      <c r="AJ2706" s="743">
        <f t="shared" si="350"/>
        <v>300000</v>
      </c>
    </row>
    <row r="2707" spans="1:36">
      <c r="A2707" s="1410" t="s">
        <v>146</v>
      </c>
      <c r="B2707" s="1146" t="s">
        <v>290</v>
      </c>
      <c r="C2707" s="1137" t="s">
        <v>731</v>
      </c>
      <c r="D2707" s="1136"/>
      <c r="E2707" s="1413"/>
      <c r="F2707" s="1110"/>
      <c r="G2707" s="846"/>
      <c r="H2707" s="847"/>
      <c r="I2707" s="846"/>
      <c r="J2707" s="847"/>
      <c r="K2707" s="846"/>
      <c r="L2707" s="847"/>
      <c r="M2707" s="846"/>
      <c r="N2707" s="846"/>
      <c r="O2707" s="737">
        <f t="shared" si="343"/>
        <v>0</v>
      </c>
      <c r="P2707" s="847"/>
      <c r="Q2707" s="847"/>
      <c r="R2707" s="738">
        <f t="shared" si="346"/>
        <v>0</v>
      </c>
      <c r="S2707" s="737">
        <f t="shared" si="347"/>
        <v>0</v>
      </c>
      <c r="T2707" s="739">
        <f t="shared" si="348"/>
        <v>0</v>
      </c>
      <c r="U2707" s="846">
        <v>7177</v>
      </c>
      <c r="V2707" s="847">
        <v>7177</v>
      </c>
      <c r="W2707" s="846"/>
      <c r="X2707" s="846"/>
      <c r="Y2707" s="740">
        <f t="shared" si="344"/>
        <v>0</v>
      </c>
      <c r="Z2707" s="847"/>
      <c r="AA2707" s="847"/>
      <c r="AB2707" s="741">
        <f t="shared" si="345"/>
        <v>0</v>
      </c>
      <c r="AC2707" s="846"/>
      <c r="AD2707" s="847"/>
      <c r="AE2707" s="846"/>
      <c r="AF2707" s="846"/>
      <c r="AG2707" s="847"/>
      <c r="AH2707" s="847"/>
      <c r="AI2707" s="742">
        <f t="shared" si="349"/>
        <v>7177</v>
      </c>
      <c r="AJ2707" s="743">
        <f t="shared" si="350"/>
        <v>7177</v>
      </c>
    </row>
    <row r="2708" spans="1:36">
      <c r="A2708" s="1410" t="s">
        <v>146</v>
      </c>
      <c r="B2708" s="1146" t="s">
        <v>291</v>
      </c>
      <c r="C2708" s="1432" t="s">
        <v>520</v>
      </c>
      <c r="D2708" s="1136"/>
      <c r="E2708" s="1109"/>
      <c r="F2708" s="1110"/>
      <c r="G2708" s="846"/>
      <c r="H2708" s="847"/>
      <c r="I2708" s="846"/>
      <c r="J2708" s="847"/>
      <c r="K2708" s="846"/>
      <c r="L2708" s="847"/>
      <c r="M2708" s="846"/>
      <c r="N2708" s="846"/>
      <c r="O2708" s="737">
        <f t="shared" si="343"/>
        <v>0</v>
      </c>
      <c r="P2708" s="847"/>
      <c r="Q2708" s="847"/>
      <c r="R2708" s="738">
        <f t="shared" si="346"/>
        <v>0</v>
      </c>
      <c r="S2708" s="737">
        <f t="shared" si="347"/>
        <v>0</v>
      </c>
      <c r="T2708" s="739">
        <f t="shared" si="348"/>
        <v>0</v>
      </c>
      <c r="U2708" s="846"/>
      <c r="V2708" s="847"/>
      <c r="W2708" s="846"/>
      <c r="X2708" s="846"/>
      <c r="Y2708" s="740">
        <f t="shared" si="344"/>
        <v>0</v>
      </c>
      <c r="Z2708" s="847"/>
      <c r="AA2708" s="847"/>
      <c r="AB2708" s="741">
        <f t="shared" si="345"/>
        <v>0</v>
      </c>
      <c r="AC2708" s="846"/>
      <c r="AD2708" s="847"/>
      <c r="AE2708" s="846"/>
      <c r="AF2708" s="846"/>
      <c r="AG2708" s="847"/>
      <c r="AH2708" s="847"/>
      <c r="AI2708" s="742">
        <f t="shared" si="349"/>
        <v>0</v>
      </c>
      <c r="AJ2708" s="743">
        <f t="shared" si="350"/>
        <v>0</v>
      </c>
    </row>
    <row r="2709" spans="1:36">
      <c r="A2709" s="1410" t="s">
        <v>146</v>
      </c>
      <c r="B2709" s="1146" t="s">
        <v>292</v>
      </c>
      <c r="C2709" s="1147" t="s">
        <v>34</v>
      </c>
      <c r="D2709" s="1136"/>
      <c r="E2709" s="1109"/>
      <c r="F2709" s="1110"/>
      <c r="G2709" s="846"/>
      <c r="H2709" s="847"/>
      <c r="I2709" s="846"/>
      <c r="J2709" s="847"/>
      <c r="K2709" s="846"/>
      <c r="L2709" s="847"/>
      <c r="M2709" s="846"/>
      <c r="N2709" s="846"/>
      <c r="O2709" s="737">
        <f t="shared" si="343"/>
        <v>0</v>
      </c>
      <c r="P2709" s="847"/>
      <c r="Q2709" s="847"/>
      <c r="R2709" s="738">
        <f t="shared" si="346"/>
        <v>0</v>
      </c>
      <c r="S2709" s="737">
        <f t="shared" si="347"/>
        <v>0</v>
      </c>
      <c r="T2709" s="739">
        <f t="shared" si="348"/>
        <v>0</v>
      </c>
      <c r="U2709" s="846"/>
      <c r="V2709" s="847"/>
      <c r="W2709" s="846"/>
      <c r="X2709" s="846"/>
      <c r="Y2709" s="740">
        <f t="shared" si="344"/>
        <v>0</v>
      </c>
      <c r="Z2709" s="847"/>
      <c r="AA2709" s="847"/>
      <c r="AB2709" s="741">
        <f t="shared" si="345"/>
        <v>0</v>
      </c>
      <c r="AC2709" s="846"/>
      <c r="AD2709" s="847"/>
      <c r="AE2709" s="846"/>
      <c r="AF2709" s="846"/>
      <c r="AG2709" s="847"/>
      <c r="AH2709" s="847"/>
      <c r="AI2709" s="742">
        <f t="shared" si="349"/>
        <v>0</v>
      </c>
      <c r="AJ2709" s="743">
        <f t="shared" si="350"/>
        <v>0</v>
      </c>
    </row>
    <row r="2710" spans="1:36">
      <c r="A2710" s="1410" t="s">
        <v>146</v>
      </c>
      <c r="B2710" s="1146" t="s">
        <v>292</v>
      </c>
      <c r="C2710" s="1433" t="s">
        <v>1916</v>
      </c>
      <c r="D2710" s="1136"/>
      <c r="E2710" s="1109"/>
      <c r="F2710" s="1110"/>
      <c r="G2710" s="846"/>
      <c r="H2710" s="847"/>
      <c r="I2710" s="846"/>
      <c r="J2710" s="847"/>
      <c r="K2710" s="846"/>
      <c r="L2710" s="847"/>
      <c r="M2710" s="846"/>
      <c r="N2710" s="846"/>
      <c r="O2710" s="737">
        <f t="shared" si="343"/>
        <v>0</v>
      </c>
      <c r="P2710" s="847"/>
      <c r="Q2710" s="847"/>
      <c r="R2710" s="738">
        <f t="shared" si="346"/>
        <v>0</v>
      </c>
      <c r="S2710" s="737">
        <f t="shared" si="347"/>
        <v>0</v>
      </c>
      <c r="T2710" s="739">
        <f t="shared" si="348"/>
        <v>0</v>
      </c>
      <c r="U2710" s="846"/>
      <c r="V2710" s="847"/>
      <c r="W2710" s="846"/>
      <c r="X2710" s="846"/>
      <c r="Y2710" s="740">
        <f t="shared" si="344"/>
        <v>0</v>
      </c>
      <c r="Z2710" s="847"/>
      <c r="AA2710" s="847"/>
      <c r="AB2710" s="741">
        <f t="shared" si="345"/>
        <v>0</v>
      </c>
      <c r="AC2710" s="846"/>
      <c r="AD2710" s="847"/>
      <c r="AE2710" s="846"/>
      <c r="AF2710" s="846"/>
      <c r="AG2710" s="847"/>
      <c r="AH2710" s="847"/>
      <c r="AI2710" s="742">
        <f t="shared" si="349"/>
        <v>0</v>
      </c>
      <c r="AJ2710" s="743">
        <f t="shared" si="350"/>
        <v>0</v>
      </c>
    </row>
    <row r="2711" spans="1:36">
      <c r="A2711" s="1410" t="s">
        <v>146</v>
      </c>
      <c r="B2711" s="1141" t="s">
        <v>209</v>
      </c>
      <c r="C2711" s="1142" t="s">
        <v>522</v>
      </c>
      <c r="D2711" s="1136"/>
      <c r="E2711" s="1149"/>
      <c r="F2711" s="1150"/>
      <c r="G2711" s="846"/>
      <c r="H2711" s="847"/>
      <c r="I2711" s="846"/>
      <c r="J2711" s="847"/>
      <c r="K2711" s="846"/>
      <c r="L2711" s="847"/>
      <c r="M2711" s="846"/>
      <c r="N2711" s="846"/>
      <c r="O2711" s="737">
        <f t="shared" si="343"/>
        <v>0</v>
      </c>
      <c r="P2711" s="847"/>
      <c r="Q2711" s="847"/>
      <c r="R2711" s="738">
        <f t="shared" si="346"/>
        <v>0</v>
      </c>
      <c r="S2711" s="737">
        <f t="shared" si="347"/>
        <v>0</v>
      </c>
      <c r="T2711" s="739">
        <f t="shared" si="348"/>
        <v>0</v>
      </c>
      <c r="U2711" s="846"/>
      <c r="V2711" s="847"/>
      <c r="W2711" s="846"/>
      <c r="X2711" s="846"/>
      <c r="Y2711" s="740">
        <f t="shared" si="344"/>
        <v>0</v>
      </c>
      <c r="Z2711" s="847"/>
      <c r="AA2711" s="847"/>
      <c r="AB2711" s="741">
        <f t="shared" si="345"/>
        <v>0</v>
      </c>
      <c r="AC2711" s="846"/>
      <c r="AD2711" s="847"/>
      <c r="AE2711" s="846"/>
      <c r="AF2711" s="846"/>
      <c r="AG2711" s="847"/>
      <c r="AH2711" s="847"/>
      <c r="AI2711" s="742">
        <f t="shared" si="349"/>
        <v>0</v>
      </c>
      <c r="AJ2711" s="743">
        <f t="shared" si="350"/>
        <v>0</v>
      </c>
    </row>
    <row r="2712" spans="1:36">
      <c r="A2712" s="1410" t="s">
        <v>146</v>
      </c>
      <c r="B2712" s="1141" t="s">
        <v>210</v>
      </c>
      <c r="C2712" s="1142" t="s">
        <v>311</v>
      </c>
      <c r="D2712" s="1136"/>
      <c r="E2712" s="1149"/>
      <c r="F2712" s="1150"/>
      <c r="G2712" s="846"/>
      <c r="H2712" s="847"/>
      <c r="I2712" s="846"/>
      <c r="J2712" s="847"/>
      <c r="K2712" s="846"/>
      <c r="L2712" s="847"/>
      <c r="M2712" s="846"/>
      <c r="N2712" s="846"/>
      <c r="O2712" s="737">
        <f t="shared" si="343"/>
        <v>0</v>
      </c>
      <c r="P2712" s="847"/>
      <c r="Q2712" s="847"/>
      <c r="R2712" s="738">
        <f t="shared" si="346"/>
        <v>0</v>
      </c>
      <c r="S2712" s="737">
        <f t="shared" si="347"/>
        <v>0</v>
      </c>
      <c r="T2712" s="739">
        <f t="shared" si="348"/>
        <v>0</v>
      </c>
      <c r="U2712" s="846"/>
      <c r="V2712" s="847"/>
      <c r="W2712" s="846"/>
      <c r="X2712" s="846"/>
      <c r="Y2712" s="740">
        <f t="shared" si="344"/>
        <v>0</v>
      </c>
      <c r="Z2712" s="847"/>
      <c r="AA2712" s="847"/>
      <c r="AB2712" s="741">
        <f t="shared" si="345"/>
        <v>0</v>
      </c>
      <c r="AC2712" s="846"/>
      <c r="AD2712" s="847"/>
      <c r="AE2712" s="846"/>
      <c r="AF2712" s="846"/>
      <c r="AG2712" s="847"/>
      <c r="AH2712" s="847"/>
      <c r="AI2712" s="742">
        <f t="shared" si="349"/>
        <v>0</v>
      </c>
      <c r="AJ2712" s="743">
        <f t="shared" si="350"/>
        <v>0</v>
      </c>
    </row>
    <row r="2713" spans="1:36">
      <c r="A2713" s="1410" t="s">
        <v>146</v>
      </c>
      <c r="B2713" s="1141" t="s">
        <v>204</v>
      </c>
      <c r="C2713" s="1142" t="s">
        <v>249</v>
      </c>
      <c r="D2713" s="1136"/>
      <c r="E2713" s="1149"/>
      <c r="F2713" s="1150"/>
      <c r="G2713" s="846"/>
      <c r="H2713" s="847"/>
      <c r="I2713" s="846"/>
      <c r="J2713" s="847"/>
      <c r="K2713" s="846"/>
      <c r="L2713" s="847"/>
      <c r="M2713" s="846"/>
      <c r="N2713" s="846"/>
      <c r="O2713" s="737">
        <f t="shared" si="343"/>
        <v>0</v>
      </c>
      <c r="P2713" s="847"/>
      <c r="Q2713" s="847"/>
      <c r="R2713" s="738">
        <f t="shared" si="346"/>
        <v>0</v>
      </c>
      <c r="S2713" s="737">
        <f t="shared" si="347"/>
        <v>0</v>
      </c>
      <c r="T2713" s="739">
        <f t="shared" si="348"/>
        <v>0</v>
      </c>
      <c r="U2713" s="846">
        <v>141005228.13133919</v>
      </c>
      <c r="V2713" s="847">
        <v>158312150</v>
      </c>
      <c r="W2713" s="846"/>
      <c r="X2713" s="846"/>
      <c r="Y2713" s="740">
        <f t="shared" si="344"/>
        <v>0</v>
      </c>
      <c r="Z2713" s="847"/>
      <c r="AA2713" s="847"/>
      <c r="AB2713" s="741">
        <f t="shared" si="345"/>
        <v>0</v>
      </c>
      <c r="AC2713" s="846"/>
      <c r="AD2713" s="847"/>
      <c r="AE2713" s="846"/>
      <c r="AF2713" s="846"/>
      <c r="AG2713" s="847"/>
      <c r="AH2713" s="847"/>
      <c r="AI2713" s="742">
        <f t="shared" si="349"/>
        <v>141005228.13133919</v>
      </c>
      <c r="AJ2713" s="743">
        <f t="shared" si="350"/>
        <v>158312150</v>
      </c>
    </row>
    <row r="2714" spans="1:36">
      <c r="A2714" s="1410" t="s">
        <v>146</v>
      </c>
      <c r="B2714" s="1141" t="s">
        <v>205</v>
      </c>
      <c r="C2714" s="1142" t="s">
        <v>523</v>
      </c>
      <c r="D2714" s="1136"/>
      <c r="E2714" s="1149"/>
      <c r="F2714" s="1150"/>
      <c r="G2714" s="846"/>
      <c r="H2714" s="847"/>
      <c r="I2714" s="846"/>
      <c r="J2714" s="847"/>
      <c r="K2714" s="846"/>
      <c r="L2714" s="847"/>
      <c r="M2714" s="846"/>
      <c r="N2714" s="846"/>
      <c r="O2714" s="737">
        <f t="shared" si="343"/>
        <v>0</v>
      </c>
      <c r="P2714" s="847"/>
      <c r="Q2714" s="847"/>
      <c r="R2714" s="738">
        <f t="shared" si="346"/>
        <v>0</v>
      </c>
      <c r="S2714" s="737">
        <f t="shared" si="347"/>
        <v>0</v>
      </c>
      <c r="T2714" s="739">
        <f t="shared" si="348"/>
        <v>0</v>
      </c>
      <c r="U2714" s="846"/>
      <c r="V2714" s="847"/>
      <c r="W2714" s="846"/>
      <c r="X2714" s="846"/>
      <c r="Y2714" s="740">
        <f t="shared" si="344"/>
        <v>0</v>
      </c>
      <c r="Z2714" s="847"/>
      <c r="AA2714" s="847"/>
      <c r="AB2714" s="741">
        <f t="shared" si="345"/>
        <v>0</v>
      </c>
      <c r="AC2714" s="846"/>
      <c r="AD2714" s="847"/>
      <c r="AE2714" s="846"/>
      <c r="AF2714" s="846"/>
      <c r="AG2714" s="847"/>
      <c r="AH2714" s="847"/>
      <c r="AI2714" s="742">
        <f t="shared" si="349"/>
        <v>0</v>
      </c>
      <c r="AJ2714" s="743">
        <f t="shared" si="350"/>
        <v>0</v>
      </c>
    </row>
    <row r="2715" spans="1:36">
      <c r="A2715" s="1410" t="s">
        <v>146</v>
      </c>
      <c r="B2715" s="1141" t="s">
        <v>218</v>
      </c>
      <c r="C2715" s="1142" t="s">
        <v>311</v>
      </c>
      <c r="D2715" s="1136"/>
      <c r="E2715" s="1149"/>
      <c r="F2715" s="1150"/>
      <c r="G2715" s="846"/>
      <c r="H2715" s="847"/>
      <c r="I2715" s="846"/>
      <c r="J2715" s="847"/>
      <c r="K2715" s="846"/>
      <c r="L2715" s="847"/>
      <c r="M2715" s="846"/>
      <c r="N2715" s="846"/>
      <c r="O2715" s="737">
        <f t="shared" si="343"/>
        <v>0</v>
      </c>
      <c r="P2715" s="847"/>
      <c r="Q2715" s="847"/>
      <c r="R2715" s="738">
        <f t="shared" si="346"/>
        <v>0</v>
      </c>
      <c r="S2715" s="737">
        <f t="shared" si="347"/>
        <v>0</v>
      </c>
      <c r="T2715" s="739">
        <f t="shared" si="348"/>
        <v>0</v>
      </c>
      <c r="U2715" s="846"/>
      <c r="V2715" s="847"/>
      <c r="W2715" s="846"/>
      <c r="X2715" s="846"/>
      <c r="Y2715" s="740">
        <f t="shared" si="344"/>
        <v>0</v>
      </c>
      <c r="Z2715" s="847"/>
      <c r="AA2715" s="847"/>
      <c r="AB2715" s="741">
        <f t="shared" si="345"/>
        <v>0</v>
      </c>
      <c r="AC2715" s="846"/>
      <c r="AD2715" s="847"/>
      <c r="AE2715" s="846"/>
      <c r="AF2715" s="846"/>
      <c r="AG2715" s="847"/>
      <c r="AH2715" s="847"/>
      <c r="AI2715" s="742">
        <f t="shared" si="349"/>
        <v>0</v>
      </c>
      <c r="AJ2715" s="743">
        <f t="shared" si="350"/>
        <v>0</v>
      </c>
    </row>
    <row r="2716" spans="1:36">
      <c r="A2716" s="1410" t="s">
        <v>146</v>
      </c>
      <c r="B2716" s="1141" t="s">
        <v>219</v>
      </c>
      <c r="C2716" s="1142" t="s">
        <v>249</v>
      </c>
      <c r="D2716" s="1136"/>
      <c r="E2716" s="1149"/>
      <c r="F2716" s="1150"/>
      <c r="G2716" s="846"/>
      <c r="H2716" s="847"/>
      <c r="I2716" s="846"/>
      <c r="J2716" s="847"/>
      <c r="K2716" s="846"/>
      <c r="L2716" s="847"/>
      <c r="M2716" s="846"/>
      <c r="N2716" s="846"/>
      <c r="O2716" s="737">
        <f t="shared" si="343"/>
        <v>0</v>
      </c>
      <c r="P2716" s="847"/>
      <c r="Q2716" s="847"/>
      <c r="R2716" s="738">
        <f t="shared" si="346"/>
        <v>0</v>
      </c>
      <c r="S2716" s="737">
        <f t="shared" si="347"/>
        <v>0</v>
      </c>
      <c r="T2716" s="739">
        <f t="shared" si="348"/>
        <v>0</v>
      </c>
      <c r="U2716" s="846">
        <v>29385056.868660793</v>
      </c>
      <c r="V2716" s="847">
        <v>33087172</v>
      </c>
      <c r="W2716" s="846"/>
      <c r="X2716" s="846"/>
      <c r="Y2716" s="740">
        <f t="shared" si="344"/>
        <v>0</v>
      </c>
      <c r="Z2716" s="847"/>
      <c r="AA2716" s="847"/>
      <c r="AB2716" s="741">
        <f t="shared" si="345"/>
        <v>0</v>
      </c>
      <c r="AC2716" s="846"/>
      <c r="AD2716" s="847"/>
      <c r="AE2716" s="846"/>
      <c r="AF2716" s="846"/>
      <c r="AG2716" s="847"/>
      <c r="AH2716" s="847"/>
      <c r="AI2716" s="742">
        <f t="shared" si="349"/>
        <v>29385056.868660793</v>
      </c>
      <c r="AJ2716" s="743">
        <f t="shared" si="350"/>
        <v>33087172</v>
      </c>
    </row>
    <row r="2717" spans="1:36">
      <c r="A2717" s="1410" t="s">
        <v>146</v>
      </c>
      <c r="B2717" s="1146" t="s">
        <v>292</v>
      </c>
      <c r="C2717" s="1433" t="s">
        <v>1917</v>
      </c>
      <c r="D2717" s="1136"/>
      <c r="E2717" s="1109"/>
      <c r="F2717" s="1110"/>
      <c r="G2717" s="846"/>
      <c r="H2717" s="847"/>
      <c r="I2717" s="846"/>
      <c r="J2717" s="847"/>
      <c r="K2717" s="846"/>
      <c r="L2717" s="847"/>
      <c r="M2717" s="846"/>
      <c r="N2717" s="846"/>
      <c r="O2717" s="737">
        <f t="shared" si="343"/>
        <v>0</v>
      </c>
      <c r="P2717" s="847"/>
      <c r="Q2717" s="847"/>
      <c r="R2717" s="738">
        <f t="shared" si="346"/>
        <v>0</v>
      </c>
      <c r="S2717" s="737">
        <f t="shared" si="347"/>
        <v>0</v>
      </c>
      <c r="T2717" s="739">
        <f t="shared" si="348"/>
        <v>0</v>
      </c>
      <c r="U2717" s="846"/>
      <c r="V2717" s="847"/>
      <c r="W2717" s="846"/>
      <c r="X2717" s="846"/>
      <c r="Y2717" s="740">
        <f t="shared" si="344"/>
        <v>0</v>
      </c>
      <c r="Z2717" s="847"/>
      <c r="AA2717" s="847"/>
      <c r="AB2717" s="741">
        <f t="shared" si="345"/>
        <v>0</v>
      </c>
      <c r="AC2717" s="846"/>
      <c r="AD2717" s="847"/>
      <c r="AE2717" s="846"/>
      <c r="AF2717" s="846"/>
      <c r="AG2717" s="847"/>
      <c r="AH2717" s="847"/>
      <c r="AI2717" s="742">
        <f t="shared" si="349"/>
        <v>0</v>
      </c>
      <c r="AJ2717" s="743">
        <f t="shared" si="350"/>
        <v>0</v>
      </c>
    </row>
    <row r="2718" spans="1:36">
      <c r="A2718" s="1410" t="s">
        <v>146</v>
      </c>
      <c r="B2718" s="1141" t="s">
        <v>209</v>
      </c>
      <c r="C2718" s="1142" t="s">
        <v>522</v>
      </c>
      <c r="D2718" s="1136"/>
      <c r="E2718" s="1149"/>
      <c r="F2718" s="1150"/>
      <c r="G2718" s="846"/>
      <c r="H2718" s="847"/>
      <c r="I2718" s="846"/>
      <c r="J2718" s="847"/>
      <c r="K2718" s="846"/>
      <c r="L2718" s="847"/>
      <c r="M2718" s="846"/>
      <c r="N2718" s="846"/>
      <c r="O2718" s="737">
        <f t="shared" si="343"/>
        <v>0</v>
      </c>
      <c r="P2718" s="847"/>
      <c r="Q2718" s="847"/>
      <c r="R2718" s="738">
        <f t="shared" si="346"/>
        <v>0</v>
      </c>
      <c r="S2718" s="737">
        <f t="shared" si="347"/>
        <v>0</v>
      </c>
      <c r="T2718" s="739">
        <f t="shared" si="348"/>
        <v>0</v>
      </c>
      <c r="U2718" s="846"/>
      <c r="V2718" s="847"/>
      <c r="W2718" s="846"/>
      <c r="X2718" s="846"/>
      <c r="Y2718" s="740">
        <f t="shared" si="344"/>
        <v>0</v>
      </c>
      <c r="Z2718" s="847"/>
      <c r="AA2718" s="847"/>
      <c r="AB2718" s="741">
        <f t="shared" si="345"/>
        <v>0</v>
      </c>
      <c r="AC2718" s="846"/>
      <c r="AD2718" s="847"/>
      <c r="AE2718" s="846"/>
      <c r="AF2718" s="846"/>
      <c r="AG2718" s="847"/>
      <c r="AH2718" s="847"/>
      <c r="AI2718" s="742">
        <f t="shared" si="349"/>
        <v>0</v>
      </c>
      <c r="AJ2718" s="743">
        <f t="shared" si="350"/>
        <v>0</v>
      </c>
    </row>
    <row r="2719" spans="1:36">
      <c r="A2719" s="1410" t="s">
        <v>146</v>
      </c>
      <c r="B2719" s="1141" t="s">
        <v>210</v>
      </c>
      <c r="C2719" s="1142" t="s">
        <v>311</v>
      </c>
      <c r="D2719" s="1136"/>
      <c r="E2719" s="1149"/>
      <c r="F2719" s="1150"/>
      <c r="G2719" s="846"/>
      <c r="H2719" s="847"/>
      <c r="I2719" s="846"/>
      <c r="J2719" s="847"/>
      <c r="K2719" s="846"/>
      <c r="L2719" s="847"/>
      <c r="M2719" s="846"/>
      <c r="N2719" s="846"/>
      <c r="O2719" s="737">
        <f t="shared" si="343"/>
        <v>0</v>
      </c>
      <c r="P2719" s="847"/>
      <c r="Q2719" s="847"/>
      <c r="R2719" s="738">
        <f t="shared" si="346"/>
        <v>0</v>
      </c>
      <c r="S2719" s="737">
        <f t="shared" si="347"/>
        <v>0</v>
      </c>
      <c r="T2719" s="739">
        <f t="shared" si="348"/>
        <v>0</v>
      </c>
      <c r="U2719" s="846"/>
      <c r="V2719" s="847"/>
      <c r="W2719" s="846"/>
      <c r="X2719" s="846"/>
      <c r="Y2719" s="740">
        <f t="shared" si="344"/>
        <v>0</v>
      </c>
      <c r="Z2719" s="847"/>
      <c r="AA2719" s="847"/>
      <c r="AB2719" s="741">
        <f t="shared" si="345"/>
        <v>0</v>
      </c>
      <c r="AC2719" s="846"/>
      <c r="AD2719" s="847"/>
      <c r="AE2719" s="846"/>
      <c r="AF2719" s="846"/>
      <c r="AG2719" s="847"/>
      <c r="AH2719" s="847"/>
      <c r="AI2719" s="742">
        <f t="shared" si="349"/>
        <v>0</v>
      </c>
      <c r="AJ2719" s="743">
        <f t="shared" si="350"/>
        <v>0</v>
      </c>
    </row>
    <row r="2720" spans="1:36">
      <c r="A2720" s="1410" t="s">
        <v>146</v>
      </c>
      <c r="B2720" s="1141" t="s">
        <v>204</v>
      </c>
      <c r="C2720" s="1142" t="s">
        <v>249</v>
      </c>
      <c r="D2720" s="1136"/>
      <c r="E2720" s="1149"/>
      <c r="F2720" s="1150"/>
      <c r="G2720" s="846"/>
      <c r="H2720" s="847"/>
      <c r="I2720" s="846"/>
      <c r="J2720" s="847"/>
      <c r="K2720" s="846"/>
      <c r="L2720" s="847"/>
      <c r="M2720" s="846"/>
      <c r="N2720" s="846"/>
      <c r="O2720" s="737">
        <f t="shared" si="343"/>
        <v>0</v>
      </c>
      <c r="P2720" s="847"/>
      <c r="Q2720" s="847"/>
      <c r="R2720" s="738">
        <f t="shared" si="346"/>
        <v>0</v>
      </c>
      <c r="S2720" s="737">
        <f t="shared" si="347"/>
        <v>0</v>
      </c>
      <c r="T2720" s="739">
        <f t="shared" si="348"/>
        <v>0</v>
      </c>
      <c r="U2720" s="846">
        <v>48418078.441039331</v>
      </c>
      <c r="V2720" s="847">
        <v>48486217</v>
      </c>
      <c r="W2720" s="846"/>
      <c r="X2720" s="846"/>
      <c r="Y2720" s="740">
        <f t="shared" si="344"/>
        <v>0</v>
      </c>
      <c r="Z2720" s="847"/>
      <c r="AA2720" s="847"/>
      <c r="AB2720" s="741">
        <f t="shared" si="345"/>
        <v>0</v>
      </c>
      <c r="AC2720" s="846"/>
      <c r="AD2720" s="847"/>
      <c r="AE2720" s="846"/>
      <c r="AF2720" s="846"/>
      <c r="AG2720" s="847"/>
      <c r="AH2720" s="847"/>
      <c r="AI2720" s="742">
        <f t="shared" si="349"/>
        <v>48418078.441039331</v>
      </c>
      <c r="AJ2720" s="743">
        <f t="shared" si="350"/>
        <v>48486217</v>
      </c>
    </row>
    <row r="2721" spans="1:36">
      <c r="A2721" s="1410" t="s">
        <v>146</v>
      </c>
      <c r="B2721" s="1141" t="s">
        <v>205</v>
      </c>
      <c r="C2721" s="1142" t="s">
        <v>523</v>
      </c>
      <c r="D2721" s="1136"/>
      <c r="E2721" s="1149"/>
      <c r="F2721" s="1150"/>
      <c r="G2721" s="846"/>
      <c r="H2721" s="847"/>
      <c r="I2721" s="846"/>
      <c r="J2721" s="847"/>
      <c r="K2721" s="846"/>
      <c r="L2721" s="847"/>
      <c r="M2721" s="846"/>
      <c r="N2721" s="846"/>
      <c r="O2721" s="737">
        <f t="shared" si="343"/>
        <v>0</v>
      </c>
      <c r="P2721" s="847"/>
      <c r="Q2721" s="847"/>
      <c r="R2721" s="738">
        <f t="shared" si="346"/>
        <v>0</v>
      </c>
      <c r="S2721" s="737">
        <f t="shared" si="347"/>
        <v>0</v>
      </c>
      <c r="T2721" s="739">
        <f t="shared" si="348"/>
        <v>0</v>
      </c>
      <c r="U2721" s="846"/>
      <c r="V2721" s="847"/>
      <c r="W2721" s="846"/>
      <c r="X2721" s="846"/>
      <c r="Y2721" s="740">
        <f t="shared" si="344"/>
        <v>0</v>
      </c>
      <c r="Z2721" s="847"/>
      <c r="AA2721" s="847"/>
      <c r="AB2721" s="741">
        <f t="shared" si="345"/>
        <v>0</v>
      </c>
      <c r="AC2721" s="846"/>
      <c r="AD2721" s="847"/>
      <c r="AE2721" s="846"/>
      <c r="AF2721" s="846"/>
      <c r="AG2721" s="847"/>
      <c r="AH2721" s="847"/>
      <c r="AI2721" s="742">
        <f t="shared" si="349"/>
        <v>0</v>
      </c>
      <c r="AJ2721" s="743">
        <f t="shared" si="350"/>
        <v>0</v>
      </c>
    </row>
    <row r="2722" spans="1:36">
      <c r="A2722" s="1410" t="s">
        <v>146</v>
      </c>
      <c r="B2722" s="1141" t="s">
        <v>218</v>
      </c>
      <c r="C2722" s="1142" t="s">
        <v>311</v>
      </c>
      <c r="D2722" s="1136"/>
      <c r="E2722" s="1149"/>
      <c r="F2722" s="1150"/>
      <c r="G2722" s="846"/>
      <c r="H2722" s="847"/>
      <c r="I2722" s="846"/>
      <c r="J2722" s="847"/>
      <c r="K2722" s="846"/>
      <c r="L2722" s="847"/>
      <c r="M2722" s="846"/>
      <c r="N2722" s="846"/>
      <c r="O2722" s="737">
        <f t="shared" si="343"/>
        <v>0</v>
      </c>
      <c r="P2722" s="847"/>
      <c r="Q2722" s="847"/>
      <c r="R2722" s="738">
        <f t="shared" si="346"/>
        <v>0</v>
      </c>
      <c r="S2722" s="737">
        <f t="shared" si="347"/>
        <v>0</v>
      </c>
      <c r="T2722" s="739">
        <f t="shared" si="348"/>
        <v>0</v>
      </c>
      <c r="U2722" s="846"/>
      <c r="V2722" s="847"/>
      <c r="W2722" s="846"/>
      <c r="X2722" s="846"/>
      <c r="Y2722" s="740">
        <f t="shared" si="344"/>
        <v>0</v>
      </c>
      <c r="Z2722" s="847"/>
      <c r="AA2722" s="847"/>
      <c r="AB2722" s="741">
        <f t="shared" si="345"/>
        <v>0</v>
      </c>
      <c r="AC2722" s="846"/>
      <c r="AD2722" s="847"/>
      <c r="AE2722" s="846"/>
      <c r="AF2722" s="846"/>
      <c r="AG2722" s="847"/>
      <c r="AH2722" s="847"/>
      <c r="AI2722" s="742">
        <f t="shared" si="349"/>
        <v>0</v>
      </c>
      <c r="AJ2722" s="743">
        <f t="shared" si="350"/>
        <v>0</v>
      </c>
    </row>
    <row r="2723" spans="1:36">
      <c r="A2723" s="1410" t="s">
        <v>146</v>
      </c>
      <c r="B2723" s="1141" t="s">
        <v>219</v>
      </c>
      <c r="C2723" s="1142" t="s">
        <v>249</v>
      </c>
      <c r="D2723" s="1136"/>
      <c r="E2723" s="1149"/>
      <c r="F2723" s="1150"/>
      <c r="G2723" s="846"/>
      <c r="H2723" s="847"/>
      <c r="I2723" s="846"/>
      <c r="J2723" s="847"/>
      <c r="K2723" s="846"/>
      <c r="L2723" s="847"/>
      <c r="M2723" s="846"/>
      <c r="N2723" s="846"/>
      <c r="O2723" s="737">
        <f t="shared" si="343"/>
        <v>0</v>
      </c>
      <c r="P2723" s="847"/>
      <c r="Q2723" s="847"/>
      <c r="R2723" s="738">
        <f t="shared" si="346"/>
        <v>0</v>
      </c>
      <c r="S2723" s="737">
        <f t="shared" si="347"/>
        <v>0</v>
      </c>
      <c r="T2723" s="739">
        <f t="shared" si="348"/>
        <v>0</v>
      </c>
      <c r="U2723" s="846">
        <v>681921.55896067037</v>
      </c>
      <c r="V2723" s="847">
        <v>613783</v>
      </c>
      <c r="W2723" s="846"/>
      <c r="X2723" s="846"/>
      <c r="Y2723" s="740">
        <f t="shared" si="344"/>
        <v>0</v>
      </c>
      <c r="Z2723" s="847"/>
      <c r="AA2723" s="847"/>
      <c r="AB2723" s="741">
        <f t="shared" si="345"/>
        <v>0</v>
      </c>
      <c r="AC2723" s="846"/>
      <c r="AD2723" s="847"/>
      <c r="AE2723" s="846"/>
      <c r="AF2723" s="846"/>
      <c r="AG2723" s="847"/>
      <c r="AH2723" s="847"/>
      <c r="AI2723" s="742">
        <f t="shared" si="349"/>
        <v>681921.55896067037</v>
      </c>
      <c r="AJ2723" s="743">
        <f t="shared" si="350"/>
        <v>613783</v>
      </c>
    </row>
    <row r="2724" spans="1:36">
      <c r="A2724" s="1410" t="s">
        <v>146</v>
      </c>
      <c r="B2724" s="1146" t="s">
        <v>292</v>
      </c>
      <c r="C2724" s="1433" t="s">
        <v>1918</v>
      </c>
      <c r="D2724" s="1136"/>
      <c r="E2724" s="1109"/>
      <c r="F2724" s="1110"/>
      <c r="G2724" s="846"/>
      <c r="H2724" s="847"/>
      <c r="I2724" s="846"/>
      <c r="J2724" s="847"/>
      <c r="K2724" s="846"/>
      <c r="L2724" s="847"/>
      <c r="M2724" s="846"/>
      <c r="N2724" s="846"/>
      <c r="O2724" s="737">
        <f t="shared" si="343"/>
        <v>0</v>
      </c>
      <c r="P2724" s="847"/>
      <c r="Q2724" s="847"/>
      <c r="R2724" s="738">
        <f t="shared" si="346"/>
        <v>0</v>
      </c>
      <c r="S2724" s="737">
        <f t="shared" si="347"/>
        <v>0</v>
      </c>
      <c r="T2724" s="739">
        <f t="shared" si="348"/>
        <v>0</v>
      </c>
      <c r="U2724" s="846"/>
      <c r="V2724" s="847"/>
      <c r="W2724" s="846"/>
      <c r="X2724" s="846"/>
      <c r="Y2724" s="740">
        <f t="shared" si="344"/>
        <v>0</v>
      </c>
      <c r="Z2724" s="847"/>
      <c r="AA2724" s="847"/>
      <c r="AB2724" s="741">
        <f t="shared" si="345"/>
        <v>0</v>
      </c>
      <c r="AC2724" s="846"/>
      <c r="AD2724" s="847"/>
      <c r="AE2724" s="846"/>
      <c r="AF2724" s="846"/>
      <c r="AG2724" s="847"/>
      <c r="AH2724" s="847"/>
      <c r="AI2724" s="742">
        <f t="shared" si="349"/>
        <v>0</v>
      </c>
      <c r="AJ2724" s="743">
        <f t="shared" si="350"/>
        <v>0</v>
      </c>
    </row>
    <row r="2725" spans="1:36">
      <c r="A2725" s="1410" t="s">
        <v>146</v>
      </c>
      <c r="B2725" s="1141" t="s">
        <v>209</v>
      </c>
      <c r="C2725" s="1142" t="s">
        <v>522</v>
      </c>
      <c r="D2725" s="1136"/>
      <c r="E2725" s="1149"/>
      <c r="F2725" s="1150"/>
      <c r="G2725" s="846"/>
      <c r="H2725" s="847"/>
      <c r="I2725" s="846"/>
      <c r="J2725" s="847"/>
      <c r="K2725" s="846"/>
      <c r="L2725" s="847"/>
      <c r="M2725" s="846"/>
      <c r="N2725" s="846"/>
      <c r="O2725" s="737">
        <f t="shared" si="343"/>
        <v>0</v>
      </c>
      <c r="P2725" s="847"/>
      <c r="Q2725" s="847"/>
      <c r="R2725" s="738">
        <f t="shared" si="346"/>
        <v>0</v>
      </c>
      <c r="S2725" s="737">
        <f t="shared" si="347"/>
        <v>0</v>
      </c>
      <c r="T2725" s="739">
        <f t="shared" si="348"/>
        <v>0</v>
      </c>
      <c r="U2725" s="846"/>
      <c r="V2725" s="847"/>
      <c r="W2725" s="846"/>
      <c r="X2725" s="846"/>
      <c r="Y2725" s="740">
        <f t="shared" si="344"/>
        <v>0</v>
      </c>
      <c r="Z2725" s="847"/>
      <c r="AA2725" s="847"/>
      <c r="AB2725" s="741">
        <f t="shared" si="345"/>
        <v>0</v>
      </c>
      <c r="AC2725" s="846"/>
      <c r="AD2725" s="847"/>
      <c r="AE2725" s="846"/>
      <c r="AF2725" s="846"/>
      <c r="AG2725" s="847"/>
      <c r="AH2725" s="847"/>
      <c r="AI2725" s="742">
        <f t="shared" si="349"/>
        <v>0</v>
      </c>
      <c r="AJ2725" s="743">
        <f t="shared" si="350"/>
        <v>0</v>
      </c>
    </row>
    <row r="2726" spans="1:36">
      <c r="A2726" s="1410" t="s">
        <v>146</v>
      </c>
      <c r="B2726" s="1141" t="s">
        <v>210</v>
      </c>
      <c r="C2726" s="1142" t="s">
        <v>311</v>
      </c>
      <c r="D2726" s="1136"/>
      <c r="E2726" s="1149"/>
      <c r="F2726" s="1150"/>
      <c r="G2726" s="846"/>
      <c r="H2726" s="847"/>
      <c r="I2726" s="846"/>
      <c r="J2726" s="847"/>
      <c r="K2726" s="846"/>
      <c r="L2726" s="847"/>
      <c r="M2726" s="846"/>
      <c r="N2726" s="846"/>
      <c r="O2726" s="737">
        <f t="shared" si="343"/>
        <v>0</v>
      </c>
      <c r="P2726" s="847"/>
      <c r="Q2726" s="847"/>
      <c r="R2726" s="738">
        <f t="shared" si="346"/>
        <v>0</v>
      </c>
      <c r="S2726" s="737">
        <f t="shared" si="347"/>
        <v>0</v>
      </c>
      <c r="T2726" s="739">
        <f t="shared" si="348"/>
        <v>0</v>
      </c>
      <c r="U2726" s="846"/>
      <c r="V2726" s="847"/>
      <c r="W2726" s="846"/>
      <c r="X2726" s="846"/>
      <c r="Y2726" s="740">
        <f t="shared" si="344"/>
        <v>0</v>
      </c>
      <c r="Z2726" s="847"/>
      <c r="AA2726" s="847"/>
      <c r="AB2726" s="741">
        <f t="shared" si="345"/>
        <v>0</v>
      </c>
      <c r="AC2726" s="846"/>
      <c r="AD2726" s="847"/>
      <c r="AE2726" s="846"/>
      <c r="AF2726" s="846"/>
      <c r="AG2726" s="847"/>
      <c r="AH2726" s="847"/>
      <c r="AI2726" s="742">
        <f t="shared" si="349"/>
        <v>0</v>
      </c>
      <c r="AJ2726" s="743">
        <f t="shared" si="350"/>
        <v>0</v>
      </c>
    </row>
    <row r="2727" spans="1:36">
      <c r="A2727" s="1410" t="s">
        <v>146</v>
      </c>
      <c r="B2727" s="1141" t="s">
        <v>204</v>
      </c>
      <c r="C2727" s="1142" t="s">
        <v>249</v>
      </c>
      <c r="D2727" s="1136"/>
      <c r="E2727" s="1149"/>
      <c r="F2727" s="1150"/>
      <c r="G2727" s="846"/>
      <c r="H2727" s="847"/>
      <c r="I2727" s="846"/>
      <c r="J2727" s="847"/>
      <c r="K2727" s="846"/>
      <c r="L2727" s="847"/>
      <c r="M2727" s="846"/>
      <c r="N2727" s="846"/>
      <c r="O2727" s="737">
        <f t="shared" si="343"/>
        <v>0</v>
      </c>
      <c r="P2727" s="847"/>
      <c r="Q2727" s="847"/>
      <c r="R2727" s="738">
        <f t="shared" si="346"/>
        <v>0</v>
      </c>
      <c r="S2727" s="737">
        <f t="shared" si="347"/>
        <v>0</v>
      </c>
      <c r="T2727" s="739">
        <f t="shared" si="348"/>
        <v>0</v>
      </c>
      <c r="U2727" s="846">
        <v>40096810.073983558</v>
      </c>
      <c r="V2727" s="847">
        <v>47422028</v>
      </c>
      <c r="W2727" s="846"/>
      <c r="X2727" s="846"/>
      <c r="Y2727" s="740">
        <f t="shared" si="344"/>
        <v>0</v>
      </c>
      <c r="Z2727" s="847"/>
      <c r="AA2727" s="847"/>
      <c r="AB2727" s="741">
        <f t="shared" si="345"/>
        <v>0</v>
      </c>
      <c r="AC2727" s="846"/>
      <c r="AD2727" s="847"/>
      <c r="AE2727" s="846"/>
      <c r="AF2727" s="846"/>
      <c r="AG2727" s="847"/>
      <c r="AH2727" s="847"/>
      <c r="AI2727" s="742">
        <f t="shared" si="349"/>
        <v>40096810.073983558</v>
      </c>
      <c r="AJ2727" s="743">
        <f t="shared" si="350"/>
        <v>47422028</v>
      </c>
    </row>
    <row r="2728" spans="1:36">
      <c r="A2728" s="1410" t="s">
        <v>146</v>
      </c>
      <c r="B2728" s="1141" t="s">
        <v>205</v>
      </c>
      <c r="C2728" s="1142" t="s">
        <v>523</v>
      </c>
      <c r="D2728" s="1136"/>
      <c r="E2728" s="1149"/>
      <c r="F2728" s="1150"/>
      <c r="G2728" s="846"/>
      <c r="H2728" s="847"/>
      <c r="I2728" s="846"/>
      <c r="J2728" s="847"/>
      <c r="K2728" s="846"/>
      <c r="L2728" s="847"/>
      <c r="M2728" s="846"/>
      <c r="N2728" s="846"/>
      <c r="O2728" s="737">
        <f t="shared" si="343"/>
        <v>0</v>
      </c>
      <c r="P2728" s="847"/>
      <c r="Q2728" s="847"/>
      <c r="R2728" s="738">
        <f t="shared" si="346"/>
        <v>0</v>
      </c>
      <c r="S2728" s="737">
        <f t="shared" si="347"/>
        <v>0</v>
      </c>
      <c r="T2728" s="739">
        <f t="shared" si="348"/>
        <v>0</v>
      </c>
      <c r="U2728" s="846"/>
      <c r="V2728" s="847"/>
      <c r="W2728" s="846"/>
      <c r="X2728" s="846"/>
      <c r="Y2728" s="740">
        <f t="shared" si="344"/>
        <v>0</v>
      </c>
      <c r="Z2728" s="847"/>
      <c r="AA2728" s="847"/>
      <c r="AB2728" s="741">
        <f t="shared" si="345"/>
        <v>0</v>
      </c>
      <c r="AC2728" s="846"/>
      <c r="AD2728" s="847"/>
      <c r="AE2728" s="846"/>
      <c r="AF2728" s="846"/>
      <c r="AG2728" s="847"/>
      <c r="AH2728" s="847"/>
      <c r="AI2728" s="742">
        <f t="shared" si="349"/>
        <v>0</v>
      </c>
      <c r="AJ2728" s="743">
        <f t="shared" si="350"/>
        <v>0</v>
      </c>
    </row>
    <row r="2729" spans="1:36">
      <c r="A2729" s="1410" t="s">
        <v>146</v>
      </c>
      <c r="B2729" s="1141" t="s">
        <v>218</v>
      </c>
      <c r="C2729" s="1142" t="s">
        <v>311</v>
      </c>
      <c r="D2729" s="1136"/>
      <c r="E2729" s="1149"/>
      <c r="F2729" s="1150"/>
      <c r="G2729" s="846"/>
      <c r="H2729" s="847"/>
      <c r="I2729" s="846"/>
      <c r="J2729" s="847"/>
      <c r="K2729" s="846"/>
      <c r="L2729" s="847"/>
      <c r="M2729" s="846"/>
      <c r="N2729" s="846"/>
      <c r="O2729" s="737">
        <f t="shared" si="343"/>
        <v>0</v>
      </c>
      <c r="P2729" s="847"/>
      <c r="Q2729" s="847"/>
      <c r="R2729" s="738">
        <f t="shared" si="346"/>
        <v>0</v>
      </c>
      <c r="S2729" s="737">
        <f t="shared" si="347"/>
        <v>0</v>
      </c>
      <c r="T2729" s="739">
        <f t="shared" si="348"/>
        <v>0</v>
      </c>
      <c r="U2729" s="846"/>
      <c r="V2729" s="847"/>
      <c r="W2729" s="846"/>
      <c r="X2729" s="846"/>
      <c r="Y2729" s="740">
        <f t="shared" si="344"/>
        <v>0</v>
      </c>
      <c r="Z2729" s="847"/>
      <c r="AA2729" s="847"/>
      <c r="AB2729" s="741">
        <f t="shared" si="345"/>
        <v>0</v>
      </c>
      <c r="AC2729" s="846"/>
      <c r="AD2729" s="847"/>
      <c r="AE2729" s="846"/>
      <c r="AF2729" s="846"/>
      <c r="AG2729" s="847"/>
      <c r="AH2729" s="847"/>
      <c r="AI2729" s="742">
        <f t="shared" si="349"/>
        <v>0</v>
      </c>
      <c r="AJ2729" s="743">
        <f t="shared" si="350"/>
        <v>0</v>
      </c>
    </row>
    <row r="2730" spans="1:36">
      <c r="A2730" s="1410" t="s">
        <v>146</v>
      </c>
      <c r="B2730" s="1141" t="s">
        <v>219</v>
      </c>
      <c r="C2730" s="1142" t="s">
        <v>249</v>
      </c>
      <c r="D2730" s="1136"/>
      <c r="E2730" s="1149"/>
      <c r="F2730" s="1150"/>
      <c r="G2730" s="846"/>
      <c r="H2730" s="847"/>
      <c r="I2730" s="846"/>
      <c r="J2730" s="847"/>
      <c r="K2730" s="846"/>
      <c r="L2730" s="847"/>
      <c r="M2730" s="846"/>
      <c r="N2730" s="846"/>
      <c r="O2730" s="737">
        <f t="shared" si="343"/>
        <v>0</v>
      </c>
      <c r="P2730" s="847"/>
      <c r="Q2730" s="847"/>
      <c r="R2730" s="738">
        <f t="shared" si="346"/>
        <v>0</v>
      </c>
      <c r="S2730" s="737">
        <f t="shared" si="347"/>
        <v>0</v>
      </c>
      <c r="T2730" s="739">
        <f t="shared" si="348"/>
        <v>0</v>
      </c>
      <c r="U2730" s="846">
        <v>9789856.9260164462</v>
      </c>
      <c r="V2730" s="847">
        <v>10665570</v>
      </c>
      <c r="W2730" s="846"/>
      <c r="X2730" s="846"/>
      <c r="Y2730" s="740">
        <f t="shared" si="344"/>
        <v>0</v>
      </c>
      <c r="Z2730" s="847"/>
      <c r="AA2730" s="847"/>
      <c r="AB2730" s="741">
        <f t="shared" si="345"/>
        <v>0</v>
      </c>
      <c r="AC2730" s="846"/>
      <c r="AD2730" s="847"/>
      <c r="AE2730" s="846"/>
      <c r="AF2730" s="846"/>
      <c r="AG2730" s="847"/>
      <c r="AH2730" s="847"/>
      <c r="AI2730" s="742">
        <f t="shared" si="349"/>
        <v>9789856.9260164462</v>
      </c>
      <c r="AJ2730" s="743">
        <f t="shared" si="350"/>
        <v>10665570</v>
      </c>
    </row>
    <row r="2731" spans="1:36">
      <c r="A2731" s="1410" t="s">
        <v>146</v>
      </c>
      <c r="B2731" s="1146" t="s">
        <v>292</v>
      </c>
      <c r="C2731" s="1433" t="s">
        <v>1919</v>
      </c>
      <c r="D2731" s="1136"/>
      <c r="E2731" s="1109"/>
      <c r="F2731" s="1110"/>
      <c r="G2731" s="846"/>
      <c r="H2731" s="847"/>
      <c r="I2731" s="846"/>
      <c r="J2731" s="847"/>
      <c r="K2731" s="846"/>
      <c r="L2731" s="847"/>
      <c r="M2731" s="846"/>
      <c r="N2731" s="846"/>
      <c r="O2731" s="737">
        <f t="shared" si="343"/>
        <v>0</v>
      </c>
      <c r="P2731" s="847"/>
      <c r="Q2731" s="847"/>
      <c r="R2731" s="738">
        <f t="shared" si="346"/>
        <v>0</v>
      </c>
      <c r="S2731" s="737">
        <f t="shared" si="347"/>
        <v>0</v>
      </c>
      <c r="T2731" s="739">
        <f t="shared" si="348"/>
        <v>0</v>
      </c>
      <c r="U2731" s="846"/>
      <c r="V2731" s="847"/>
      <c r="W2731" s="846"/>
      <c r="X2731" s="846"/>
      <c r="Y2731" s="740">
        <f t="shared" si="344"/>
        <v>0</v>
      </c>
      <c r="Z2731" s="847"/>
      <c r="AA2731" s="847"/>
      <c r="AB2731" s="741">
        <f t="shared" si="345"/>
        <v>0</v>
      </c>
      <c r="AC2731" s="846"/>
      <c r="AD2731" s="847"/>
      <c r="AE2731" s="846"/>
      <c r="AF2731" s="846"/>
      <c r="AG2731" s="847"/>
      <c r="AH2731" s="847"/>
      <c r="AI2731" s="742">
        <f t="shared" si="349"/>
        <v>0</v>
      </c>
      <c r="AJ2731" s="743">
        <f t="shared" si="350"/>
        <v>0</v>
      </c>
    </row>
    <row r="2732" spans="1:36">
      <c r="A2732" s="1410" t="s">
        <v>146</v>
      </c>
      <c r="B2732" s="1141" t="s">
        <v>209</v>
      </c>
      <c r="C2732" s="1142" t="s">
        <v>522</v>
      </c>
      <c r="D2732" s="1136"/>
      <c r="E2732" s="1149"/>
      <c r="F2732" s="1150"/>
      <c r="G2732" s="846"/>
      <c r="H2732" s="847"/>
      <c r="I2732" s="846"/>
      <c r="J2732" s="847"/>
      <c r="K2732" s="846"/>
      <c r="L2732" s="847"/>
      <c r="M2732" s="846"/>
      <c r="N2732" s="846"/>
      <c r="O2732" s="737">
        <f t="shared" si="343"/>
        <v>0</v>
      </c>
      <c r="P2732" s="847"/>
      <c r="Q2732" s="847"/>
      <c r="R2732" s="738">
        <f t="shared" si="346"/>
        <v>0</v>
      </c>
      <c r="S2732" s="737">
        <f t="shared" si="347"/>
        <v>0</v>
      </c>
      <c r="T2732" s="739">
        <f t="shared" si="348"/>
        <v>0</v>
      </c>
      <c r="U2732" s="846"/>
      <c r="V2732" s="847"/>
      <c r="W2732" s="846"/>
      <c r="X2732" s="846"/>
      <c r="Y2732" s="740">
        <f t="shared" si="344"/>
        <v>0</v>
      </c>
      <c r="Z2732" s="847"/>
      <c r="AA2732" s="847"/>
      <c r="AB2732" s="741">
        <f t="shared" si="345"/>
        <v>0</v>
      </c>
      <c r="AC2732" s="846"/>
      <c r="AD2732" s="847"/>
      <c r="AE2732" s="846"/>
      <c r="AF2732" s="846"/>
      <c r="AG2732" s="847"/>
      <c r="AH2732" s="847"/>
      <c r="AI2732" s="742">
        <f t="shared" si="349"/>
        <v>0</v>
      </c>
      <c r="AJ2732" s="743">
        <f t="shared" si="350"/>
        <v>0</v>
      </c>
    </row>
    <row r="2733" spans="1:36">
      <c r="A2733" s="1410" t="s">
        <v>146</v>
      </c>
      <c r="B2733" s="1141" t="s">
        <v>210</v>
      </c>
      <c r="C2733" s="1142" t="s">
        <v>311</v>
      </c>
      <c r="D2733" s="1136"/>
      <c r="E2733" s="1149"/>
      <c r="F2733" s="1150"/>
      <c r="G2733" s="846"/>
      <c r="H2733" s="847"/>
      <c r="I2733" s="846"/>
      <c r="J2733" s="847"/>
      <c r="K2733" s="846"/>
      <c r="L2733" s="847"/>
      <c r="M2733" s="846"/>
      <c r="N2733" s="846"/>
      <c r="O2733" s="737">
        <f t="shared" si="343"/>
        <v>0</v>
      </c>
      <c r="P2733" s="847"/>
      <c r="Q2733" s="847"/>
      <c r="R2733" s="738">
        <f t="shared" si="346"/>
        <v>0</v>
      </c>
      <c r="S2733" s="737">
        <f t="shared" si="347"/>
        <v>0</v>
      </c>
      <c r="T2733" s="739">
        <f t="shared" si="348"/>
        <v>0</v>
      </c>
      <c r="U2733" s="846"/>
      <c r="V2733" s="847"/>
      <c r="W2733" s="846"/>
      <c r="X2733" s="846"/>
      <c r="Y2733" s="740">
        <f t="shared" si="344"/>
        <v>0</v>
      </c>
      <c r="Z2733" s="847"/>
      <c r="AA2733" s="847"/>
      <c r="AB2733" s="741">
        <f t="shared" si="345"/>
        <v>0</v>
      </c>
      <c r="AC2733" s="846"/>
      <c r="AD2733" s="847"/>
      <c r="AE2733" s="846"/>
      <c r="AF2733" s="846"/>
      <c r="AG2733" s="847"/>
      <c r="AH2733" s="847"/>
      <c r="AI2733" s="742">
        <f t="shared" si="349"/>
        <v>0</v>
      </c>
      <c r="AJ2733" s="743">
        <f t="shared" si="350"/>
        <v>0</v>
      </c>
    </row>
    <row r="2734" spans="1:36">
      <c r="A2734" s="1410" t="s">
        <v>146</v>
      </c>
      <c r="B2734" s="1141" t="s">
        <v>204</v>
      </c>
      <c r="C2734" s="1142" t="s">
        <v>249</v>
      </c>
      <c r="D2734" s="1136"/>
      <c r="E2734" s="1149"/>
      <c r="F2734" s="1150"/>
      <c r="G2734" s="846"/>
      <c r="H2734" s="847"/>
      <c r="I2734" s="846"/>
      <c r="J2734" s="847"/>
      <c r="K2734" s="846"/>
      <c r="L2734" s="847"/>
      <c r="M2734" s="846"/>
      <c r="N2734" s="846"/>
      <c r="O2734" s="737">
        <f t="shared" si="343"/>
        <v>0</v>
      </c>
      <c r="P2734" s="847"/>
      <c r="Q2734" s="847"/>
      <c r="R2734" s="738">
        <f t="shared" si="346"/>
        <v>0</v>
      </c>
      <c r="S2734" s="737">
        <f t="shared" si="347"/>
        <v>0</v>
      </c>
      <c r="T2734" s="739">
        <f t="shared" si="348"/>
        <v>0</v>
      </c>
      <c r="U2734" s="846">
        <v>5631637.8007988781</v>
      </c>
      <c r="V2734" s="847">
        <v>5980334</v>
      </c>
      <c r="W2734" s="846"/>
      <c r="X2734" s="846"/>
      <c r="Y2734" s="740">
        <f t="shared" si="344"/>
        <v>0</v>
      </c>
      <c r="Z2734" s="847"/>
      <c r="AA2734" s="847"/>
      <c r="AB2734" s="741">
        <f t="shared" si="345"/>
        <v>0</v>
      </c>
      <c r="AC2734" s="846"/>
      <c r="AD2734" s="847"/>
      <c r="AE2734" s="846"/>
      <c r="AF2734" s="846"/>
      <c r="AG2734" s="847"/>
      <c r="AH2734" s="847"/>
      <c r="AI2734" s="742">
        <f t="shared" si="349"/>
        <v>5631637.8007988781</v>
      </c>
      <c r="AJ2734" s="743">
        <f t="shared" si="350"/>
        <v>5980334</v>
      </c>
    </row>
    <row r="2735" spans="1:36">
      <c r="A2735" s="1410" t="s">
        <v>146</v>
      </c>
      <c r="B2735" s="1141" t="s">
        <v>205</v>
      </c>
      <c r="C2735" s="1142" t="s">
        <v>523</v>
      </c>
      <c r="D2735" s="1136"/>
      <c r="E2735" s="1149"/>
      <c r="F2735" s="1150"/>
      <c r="G2735" s="846"/>
      <c r="H2735" s="847"/>
      <c r="I2735" s="846"/>
      <c r="J2735" s="847"/>
      <c r="K2735" s="846"/>
      <c r="L2735" s="847"/>
      <c r="M2735" s="846"/>
      <c r="N2735" s="846"/>
      <c r="O2735" s="737">
        <f t="shared" si="343"/>
        <v>0</v>
      </c>
      <c r="P2735" s="847"/>
      <c r="Q2735" s="847"/>
      <c r="R2735" s="738">
        <f t="shared" si="346"/>
        <v>0</v>
      </c>
      <c r="S2735" s="737">
        <f t="shared" si="347"/>
        <v>0</v>
      </c>
      <c r="T2735" s="739">
        <f t="shared" si="348"/>
        <v>0</v>
      </c>
      <c r="U2735" s="846"/>
      <c r="V2735" s="847"/>
      <c r="W2735" s="846"/>
      <c r="X2735" s="846"/>
      <c r="Y2735" s="740">
        <f t="shared" si="344"/>
        <v>0</v>
      </c>
      <c r="Z2735" s="847"/>
      <c r="AA2735" s="847"/>
      <c r="AB2735" s="741">
        <f t="shared" si="345"/>
        <v>0</v>
      </c>
      <c r="AC2735" s="846"/>
      <c r="AD2735" s="847"/>
      <c r="AE2735" s="846"/>
      <c r="AF2735" s="846"/>
      <c r="AG2735" s="847"/>
      <c r="AH2735" s="847"/>
      <c r="AI2735" s="742">
        <f t="shared" si="349"/>
        <v>0</v>
      </c>
      <c r="AJ2735" s="743">
        <f t="shared" si="350"/>
        <v>0</v>
      </c>
    </row>
    <row r="2736" spans="1:36">
      <c r="A2736" s="1410" t="s">
        <v>146</v>
      </c>
      <c r="B2736" s="1141" t="s">
        <v>218</v>
      </c>
      <c r="C2736" s="1142" t="s">
        <v>311</v>
      </c>
      <c r="D2736" s="1136"/>
      <c r="E2736" s="1149"/>
      <c r="F2736" s="1150"/>
      <c r="G2736" s="846"/>
      <c r="H2736" s="847"/>
      <c r="I2736" s="846"/>
      <c r="J2736" s="847"/>
      <c r="K2736" s="846"/>
      <c r="L2736" s="847"/>
      <c r="M2736" s="846"/>
      <c r="N2736" s="846"/>
      <c r="O2736" s="737">
        <f t="shared" si="343"/>
        <v>0</v>
      </c>
      <c r="P2736" s="847"/>
      <c r="Q2736" s="847"/>
      <c r="R2736" s="738">
        <f t="shared" si="346"/>
        <v>0</v>
      </c>
      <c r="S2736" s="737">
        <f t="shared" si="347"/>
        <v>0</v>
      </c>
      <c r="T2736" s="739">
        <f t="shared" si="348"/>
        <v>0</v>
      </c>
      <c r="U2736" s="846"/>
      <c r="V2736" s="847"/>
      <c r="W2736" s="846"/>
      <c r="X2736" s="846"/>
      <c r="Y2736" s="740">
        <f t="shared" si="344"/>
        <v>0</v>
      </c>
      <c r="Z2736" s="847"/>
      <c r="AA2736" s="847"/>
      <c r="AB2736" s="741">
        <f t="shared" si="345"/>
        <v>0</v>
      </c>
      <c r="AC2736" s="846"/>
      <c r="AD2736" s="847"/>
      <c r="AE2736" s="846"/>
      <c r="AF2736" s="846"/>
      <c r="AG2736" s="847"/>
      <c r="AH2736" s="847"/>
      <c r="AI2736" s="742">
        <f t="shared" si="349"/>
        <v>0</v>
      </c>
      <c r="AJ2736" s="743">
        <f t="shared" si="350"/>
        <v>0</v>
      </c>
    </row>
    <row r="2737" spans="1:36">
      <c r="A2737" s="1410" t="s">
        <v>146</v>
      </c>
      <c r="B2737" s="1141" t="s">
        <v>219</v>
      </c>
      <c r="C2737" s="1142" t="s">
        <v>249</v>
      </c>
      <c r="D2737" s="1136"/>
      <c r="E2737" s="1149"/>
      <c r="F2737" s="1150"/>
      <c r="G2737" s="846"/>
      <c r="H2737" s="847"/>
      <c r="I2737" s="846"/>
      <c r="J2737" s="847"/>
      <c r="K2737" s="846"/>
      <c r="L2737" s="847"/>
      <c r="M2737" s="846"/>
      <c r="N2737" s="846"/>
      <c r="O2737" s="737">
        <f t="shared" si="343"/>
        <v>0</v>
      </c>
      <c r="P2737" s="847"/>
      <c r="Q2737" s="847"/>
      <c r="R2737" s="738">
        <f t="shared" si="346"/>
        <v>0</v>
      </c>
      <c r="S2737" s="737">
        <f t="shared" si="347"/>
        <v>0</v>
      </c>
      <c r="T2737" s="739">
        <f t="shared" si="348"/>
        <v>0</v>
      </c>
      <c r="U2737" s="846">
        <v>2379945.1992011215</v>
      </c>
      <c r="V2737" s="847">
        <v>2727638</v>
      </c>
      <c r="W2737" s="846"/>
      <c r="X2737" s="846"/>
      <c r="Y2737" s="740">
        <f t="shared" si="344"/>
        <v>0</v>
      </c>
      <c r="Z2737" s="847"/>
      <c r="AA2737" s="847"/>
      <c r="AB2737" s="741">
        <f t="shared" si="345"/>
        <v>0</v>
      </c>
      <c r="AC2737" s="846"/>
      <c r="AD2737" s="847"/>
      <c r="AE2737" s="846"/>
      <c r="AF2737" s="846"/>
      <c r="AG2737" s="847"/>
      <c r="AH2737" s="847"/>
      <c r="AI2737" s="742">
        <f t="shared" si="349"/>
        <v>2379945.1992011215</v>
      </c>
      <c r="AJ2737" s="743">
        <f t="shared" si="350"/>
        <v>2727638</v>
      </c>
    </row>
    <row r="2738" spans="1:36">
      <c r="A2738" s="1410" t="s">
        <v>146</v>
      </c>
      <c r="B2738" s="1146" t="s">
        <v>292</v>
      </c>
      <c r="C2738" s="1433" t="s">
        <v>1920</v>
      </c>
      <c r="D2738" s="1136"/>
      <c r="E2738" s="1109"/>
      <c r="F2738" s="1110"/>
      <c r="G2738" s="846"/>
      <c r="H2738" s="847"/>
      <c r="I2738" s="846"/>
      <c r="J2738" s="847"/>
      <c r="K2738" s="846"/>
      <c r="L2738" s="847"/>
      <c r="M2738" s="846"/>
      <c r="N2738" s="846"/>
      <c r="O2738" s="737">
        <f t="shared" si="343"/>
        <v>0</v>
      </c>
      <c r="P2738" s="847"/>
      <c r="Q2738" s="847"/>
      <c r="R2738" s="738">
        <f t="shared" si="346"/>
        <v>0</v>
      </c>
      <c r="S2738" s="737">
        <f t="shared" si="347"/>
        <v>0</v>
      </c>
      <c r="T2738" s="739">
        <f t="shared" si="348"/>
        <v>0</v>
      </c>
      <c r="U2738" s="846"/>
      <c r="V2738" s="847"/>
      <c r="W2738" s="846"/>
      <c r="X2738" s="846"/>
      <c r="Y2738" s="740">
        <f t="shared" si="344"/>
        <v>0</v>
      </c>
      <c r="Z2738" s="847"/>
      <c r="AA2738" s="847"/>
      <c r="AB2738" s="741">
        <f t="shared" si="345"/>
        <v>0</v>
      </c>
      <c r="AC2738" s="846"/>
      <c r="AD2738" s="847"/>
      <c r="AE2738" s="846"/>
      <c r="AF2738" s="846"/>
      <c r="AG2738" s="847"/>
      <c r="AH2738" s="847"/>
      <c r="AI2738" s="742">
        <f t="shared" si="349"/>
        <v>0</v>
      </c>
      <c r="AJ2738" s="743">
        <f t="shared" si="350"/>
        <v>0</v>
      </c>
    </row>
    <row r="2739" spans="1:36">
      <c r="A2739" s="1410" t="s">
        <v>146</v>
      </c>
      <c r="B2739" s="1141" t="s">
        <v>209</v>
      </c>
      <c r="C2739" s="1142" t="s">
        <v>522</v>
      </c>
      <c r="D2739" s="1136"/>
      <c r="E2739" s="1149"/>
      <c r="F2739" s="1150"/>
      <c r="G2739" s="846"/>
      <c r="H2739" s="847"/>
      <c r="I2739" s="846"/>
      <c r="J2739" s="847"/>
      <c r="K2739" s="846"/>
      <c r="L2739" s="847"/>
      <c r="M2739" s="846"/>
      <c r="N2739" s="846"/>
      <c r="O2739" s="737">
        <f t="shared" si="343"/>
        <v>0</v>
      </c>
      <c r="P2739" s="847"/>
      <c r="Q2739" s="847"/>
      <c r="R2739" s="738">
        <f t="shared" si="346"/>
        <v>0</v>
      </c>
      <c r="S2739" s="737">
        <f t="shared" si="347"/>
        <v>0</v>
      </c>
      <c r="T2739" s="739">
        <f t="shared" si="348"/>
        <v>0</v>
      </c>
      <c r="U2739" s="846"/>
      <c r="V2739" s="847"/>
      <c r="W2739" s="846"/>
      <c r="X2739" s="846"/>
      <c r="Y2739" s="740">
        <f t="shared" si="344"/>
        <v>0</v>
      </c>
      <c r="Z2739" s="847"/>
      <c r="AA2739" s="847"/>
      <c r="AB2739" s="741">
        <f t="shared" si="345"/>
        <v>0</v>
      </c>
      <c r="AC2739" s="846"/>
      <c r="AD2739" s="847"/>
      <c r="AE2739" s="846"/>
      <c r="AF2739" s="846"/>
      <c r="AG2739" s="847"/>
      <c r="AH2739" s="847"/>
      <c r="AI2739" s="742">
        <f t="shared" si="349"/>
        <v>0</v>
      </c>
      <c r="AJ2739" s="743">
        <f t="shared" si="350"/>
        <v>0</v>
      </c>
    </row>
    <row r="2740" spans="1:36">
      <c r="A2740" s="1410" t="s">
        <v>146</v>
      </c>
      <c r="B2740" s="1141" t="s">
        <v>210</v>
      </c>
      <c r="C2740" s="1142" t="s">
        <v>311</v>
      </c>
      <c r="D2740" s="1136"/>
      <c r="E2740" s="1149"/>
      <c r="F2740" s="1150"/>
      <c r="G2740" s="846"/>
      <c r="H2740" s="847"/>
      <c r="I2740" s="846"/>
      <c r="J2740" s="847"/>
      <c r="K2740" s="846"/>
      <c r="L2740" s="847"/>
      <c r="M2740" s="846"/>
      <c r="N2740" s="846"/>
      <c r="O2740" s="737">
        <f t="shared" si="343"/>
        <v>0</v>
      </c>
      <c r="P2740" s="847"/>
      <c r="Q2740" s="847"/>
      <c r="R2740" s="738">
        <f t="shared" si="346"/>
        <v>0</v>
      </c>
      <c r="S2740" s="737">
        <f t="shared" si="347"/>
        <v>0</v>
      </c>
      <c r="T2740" s="739">
        <f t="shared" si="348"/>
        <v>0</v>
      </c>
      <c r="U2740" s="846">
        <v>20449021.582770318</v>
      </c>
      <c r="V2740" s="847">
        <v>22514935</v>
      </c>
      <c r="W2740" s="846"/>
      <c r="X2740" s="846"/>
      <c r="Y2740" s="740">
        <f t="shared" si="344"/>
        <v>0</v>
      </c>
      <c r="Z2740" s="847"/>
      <c r="AA2740" s="847"/>
      <c r="AB2740" s="741">
        <f t="shared" si="345"/>
        <v>0</v>
      </c>
      <c r="AC2740" s="846"/>
      <c r="AD2740" s="847"/>
      <c r="AE2740" s="846"/>
      <c r="AF2740" s="846"/>
      <c r="AG2740" s="847"/>
      <c r="AH2740" s="847"/>
      <c r="AI2740" s="742">
        <f t="shared" si="349"/>
        <v>20449021.582770318</v>
      </c>
      <c r="AJ2740" s="743">
        <f t="shared" si="350"/>
        <v>22514935</v>
      </c>
    </row>
    <row r="2741" spans="1:36">
      <c r="A2741" s="1410" t="s">
        <v>146</v>
      </c>
      <c r="B2741" s="1141" t="s">
        <v>204</v>
      </c>
      <c r="C2741" s="1142" t="s">
        <v>249</v>
      </c>
      <c r="D2741" s="1136"/>
      <c r="E2741" s="1149"/>
      <c r="F2741" s="1150"/>
      <c r="G2741" s="846"/>
      <c r="H2741" s="847"/>
      <c r="I2741" s="846"/>
      <c r="J2741" s="847"/>
      <c r="K2741" s="846"/>
      <c r="L2741" s="847"/>
      <c r="M2741" s="846"/>
      <c r="N2741" s="846"/>
      <c r="O2741" s="737">
        <f t="shared" si="343"/>
        <v>0</v>
      </c>
      <c r="P2741" s="847"/>
      <c r="Q2741" s="847"/>
      <c r="R2741" s="738">
        <f t="shared" si="346"/>
        <v>0</v>
      </c>
      <c r="S2741" s="737">
        <f t="shared" si="347"/>
        <v>0</v>
      </c>
      <c r="T2741" s="739">
        <f t="shared" si="348"/>
        <v>0</v>
      </c>
      <c r="U2741" s="846"/>
      <c r="V2741" s="847"/>
      <c r="W2741" s="846"/>
      <c r="X2741" s="846"/>
      <c r="Y2741" s="740">
        <f t="shared" si="344"/>
        <v>0</v>
      </c>
      <c r="Z2741" s="847"/>
      <c r="AA2741" s="847"/>
      <c r="AB2741" s="741">
        <f t="shared" si="345"/>
        <v>0</v>
      </c>
      <c r="AC2741" s="846"/>
      <c r="AD2741" s="847"/>
      <c r="AE2741" s="846"/>
      <c r="AF2741" s="846"/>
      <c r="AG2741" s="847"/>
      <c r="AH2741" s="847"/>
      <c r="AI2741" s="742">
        <f t="shared" si="349"/>
        <v>0</v>
      </c>
      <c r="AJ2741" s="743">
        <f t="shared" si="350"/>
        <v>0</v>
      </c>
    </row>
    <row r="2742" spans="1:36">
      <c r="A2742" s="1410" t="s">
        <v>146</v>
      </c>
      <c r="B2742" s="1141" t="s">
        <v>205</v>
      </c>
      <c r="C2742" s="1142" t="s">
        <v>523</v>
      </c>
      <c r="D2742" s="1136"/>
      <c r="E2742" s="1149"/>
      <c r="F2742" s="1150"/>
      <c r="G2742" s="846"/>
      <c r="H2742" s="847"/>
      <c r="I2742" s="846"/>
      <c r="J2742" s="847"/>
      <c r="K2742" s="846"/>
      <c r="L2742" s="847"/>
      <c r="M2742" s="846"/>
      <c r="N2742" s="846"/>
      <c r="O2742" s="737">
        <f t="shared" si="343"/>
        <v>0</v>
      </c>
      <c r="P2742" s="847"/>
      <c r="Q2742" s="847"/>
      <c r="R2742" s="738">
        <f t="shared" si="346"/>
        <v>0</v>
      </c>
      <c r="S2742" s="737">
        <f t="shared" si="347"/>
        <v>0</v>
      </c>
      <c r="T2742" s="739">
        <f t="shared" si="348"/>
        <v>0</v>
      </c>
      <c r="U2742" s="846"/>
      <c r="V2742" s="847"/>
      <c r="W2742" s="846"/>
      <c r="X2742" s="846"/>
      <c r="Y2742" s="740">
        <f t="shared" si="344"/>
        <v>0</v>
      </c>
      <c r="Z2742" s="847"/>
      <c r="AA2742" s="847"/>
      <c r="AB2742" s="741">
        <f t="shared" si="345"/>
        <v>0</v>
      </c>
      <c r="AC2742" s="846"/>
      <c r="AD2742" s="847"/>
      <c r="AE2742" s="846"/>
      <c r="AF2742" s="846"/>
      <c r="AG2742" s="847"/>
      <c r="AH2742" s="847"/>
      <c r="AI2742" s="742">
        <f t="shared" si="349"/>
        <v>0</v>
      </c>
      <c r="AJ2742" s="743">
        <f t="shared" si="350"/>
        <v>0</v>
      </c>
    </row>
    <row r="2743" spans="1:36">
      <c r="A2743" s="1410" t="s">
        <v>146</v>
      </c>
      <c r="B2743" s="1141" t="s">
        <v>218</v>
      </c>
      <c r="C2743" s="1142" t="s">
        <v>311</v>
      </c>
      <c r="D2743" s="1136"/>
      <c r="E2743" s="1149"/>
      <c r="F2743" s="1150"/>
      <c r="G2743" s="846"/>
      <c r="H2743" s="847"/>
      <c r="I2743" s="846"/>
      <c r="J2743" s="847"/>
      <c r="K2743" s="846"/>
      <c r="L2743" s="847"/>
      <c r="M2743" s="846"/>
      <c r="N2743" s="846"/>
      <c r="O2743" s="737">
        <f t="shared" si="343"/>
        <v>0</v>
      </c>
      <c r="P2743" s="847"/>
      <c r="Q2743" s="847"/>
      <c r="R2743" s="738">
        <f t="shared" si="346"/>
        <v>0</v>
      </c>
      <c r="S2743" s="737">
        <f t="shared" si="347"/>
        <v>0</v>
      </c>
      <c r="T2743" s="739">
        <f t="shared" si="348"/>
        <v>0</v>
      </c>
      <c r="U2743" s="846">
        <v>4550978.4172296831</v>
      </c>
      <c r="V2743" s="847">
        <v>5085065</v>
      </c>
      <c r="W2743" s="846"/>
      <c r="X2743" s="846"/>
      <c r="Y2743" s="740">
        <f t="shared" si="344"/>
        <v>0</v>
      </c>
      <c r="Z2743" s="847"/>
      <c r="AA2743" s="847"/>
      <c r="AB2743" s="741">
        <f t="shared" si="345"/>
        <v>0</v>
      </c>
      <c r="AC2743" s="846"/>
      <c r="AD2743" s="847"/>
      <c r="AE2743" s="846"/>
      <c r="AF2743" s="846"/>
      <c r="AG2743" s="847"/>
      <c r="AH2743" s="847"/>
      <c r="AI2743" s="742">
        <f t="shared" si="349"/>
        <v>4550978.4172296831</v>
      </c>
      <c r="AJ2743" s="743">
        <f t="shared" si="350"/>
        <v>5085065</v>
      </c>
    </row>
    <row r="2744" spans="1:36">
      <c r="A2744" s="1410" t="s">
        <v>146</v>
      </c>
      <c r="B2744" s="1141" t="s">
        <v>219</v>
      </c>
      <c r="C2744" s="1142" t="s">
        <v>249</v>
      </c>
      <c r="D2744" s="1136"/>
      <c r="E2744" s="1149"/>
      <c r="F2744" s="1150"/>
      <c r="G2744" s="846"/>
      <c r="H2744" s="847"/>
      <c r="I2744" s="846"/>
      <c r="J2744" s="847"/>
      <c r="K2744" s="846"/>
      <c r="L2744" s="847"/>
      <c r="M2744" s="846"/>
      <c r="N2744" s="846"/>
      <c r="O2744" s="737">
        <f t="shared" si="343"/>
        <v>0</v>
      </c>
      <c r="P2744" s="847"/>
      <c r="Q2744" s="847"/>
      <c r="R2744" s="738">
        <f t="shared" si="346"/>
        <v>0</v>
      </c>
      <c r="S2744" s="737">
        <f t="shared" si="347"/>
        <v>0</v>
      </c>
      <c r="T2744" s="739">
        <f t="shared" si="348"/>
        <v>0</v>
      </c>
      <c r="U2744" s="846"/>
      <c r="V2744" s="847"/>
      <c r="W2744" s="846"/>
      <c r="X2744" s="846"/>
      <c r="Y2744" s="740">
        <f t="shared" si="344"/>
        <v>0</v>
      </c>
      <c r="Z2744" s="847"/>
      <c r="AA2744" s="847"/>
      <c r="AB2744" s="741">
        <f t="shared" si="345"/>
        <v>0</v>
      </c>
      <c r="AC2744" s="846"/>
      <c r="AD2744" s="847"/>
      <c r="AE2744" s="846"/>
      <c r="AF2744" s="846"/>
      <c r="AG2744" s="847"/>
      <c r="AH2744" s="847"/>
      <c r="AI2744" s="742">
        <f t="shared" si="349"/>
        <v>0</v>
      </c>
      <c r="AJ2744" s="743">
        <f t="shared" si="350"/>
        <v>0</v>
      </c>
    </row>
    <row r="2745" spans="1:36">
      <c r="A2745" s="1410" t="s">
        <v>146</v>
      </c>
      <c r="B2745" s="1141" t="s">
        <v>292</v>
      </c>
      <c r="C2745" s="1434" t="s">
        <v>1921</v>
      </c>
      <c r="D2745" s="1136"/>
      <c r="E2745" s="1149"/>
      <c r="F2745" s="1150"/>
      <c r="G2745" s="846"/>
      <c r="H2745" s="847"/>
      <c r="I2745" s="846"/>
      <c r="J2745" s="847"/>
      <c r="K2745" s="846"/>
      <c r="L2745" s="847"/>
      <c r="M2745" s="846"/>
      <c r="N2745" s="846"/>
      <c r="O2745" s="737">
        <f t="shared" si="343"/>
        <v>0</v>
      </c>
      <c r="P2745" s="847"/>
      <c r="Q2745" s="847"/>
      <c r="R2745" s="738">
        <f t="shared" si="346"/>
        <v>0</v>
      </c>
      <c r="S2745" s="737">
        <f t="shared" si="347"/>
        <v>0</v>
      </c>
      <c r="T2745" s="739">
        <f t="shared" si="348"/>
        <v>0</v>
      </c>
      <c r="U2745" s="846"/>
      <c r="V2745" s="847"/>
      <c r="W2745" s="846"/>
      <c r="X2745" s="846"/>
      <c r="Y2745" s="740">
        <f t="shared" si="344"/>
        <v>0</v>
      </c>
      <c r="Z2745" s="847"/>
      <c r="AA2745" s="847"/>
      <c r="AB2745" s="741">
        <f t="shared" si="345"/>
        <v>0</v>
      </c>
      <c r="AC2745" s="846"/>
      <c r="AD2745" s="847"/>
      <c r="AE2745" s="846"/>
      <c r="AF2745" s="846"/>
      <c r="AG2745" s="847"/>
      <c r="AH2745" s="847"/>
      <c r="AI2745" s="742">
        <f t="shared" si="349"/>
        <v>0</v>
      </c>
      <c r="AJ2745" s="743">
        <f t="shared" si="350"/>
        <v>0</v>
      </c>
    </row>
    <row r="2746" spans="1:36">
      <c r="A2746" s="1410" t="s">
        <v>146</v>
      </c>
      <c r="B2746" s="1141" t="s">
        <v>310</v>
      </c>
      <c r="C2746" s="1142" t="s">
        <v>311</v>
      </c>
      <c r="D2746" s="1136"/>
      <c r="E2746" s="1149"/>
      <c r="F2746" s="1150"/>
      <c r="G2746" s="846"/>
      <c r="H2746" s="847"/>
      <c r="I2746" s="846"/>
      <c r="J2746" s="847"/>
      <c r="K2746" s="846"/>
      <c r="L2746" s="847"/>
      <c r="M2746" s="846"/>
      <c r="N2746" s="846"/>
      <c r="O2746" s="737">
        <f t="shared" si="343"/>
        <v>0</v>
      </c>
      <c r="P2746" s="847"/>
      <c r="Q2746" s="847"/>
      <c r="R2746" s="738">
        <f t="shared" si="346"/>
        <v>0</v>
      </c>
      <c r="S2746" s="737">
        <f t="shared" si="347"/>
        <v>0</v>
      </c>
      <c r="T2746" s="739">
        <f t="shared" si="348"/>
        <v>0</v>
      </c>
      <c r="U2746" s="846"/>
      <c r="V2746" s="847"/>
      <c r="W2746" s="846"/>
      <c r="X2746" s="846"/>
      <c r="Y2746" s="740">
        <f t="shared" si="344"/>
        <v>0</v>
      </c>
      <c r="Z2746" s="847"/>
      <c r="AA2746" s="847"/>
      <c r="AB2746" s="741">
        <f t="shared" si="345"/>
        <v>0</v>
      </c>
      <c r="AC2746" s="846"/>
      <c r="AD2746" s="847"/>
      <c r="AE2746" s="846"/>
      <c r="AF2746" s="846"/>
      <c r="AG2746" s="847"/>
      <c r="AH2746" s="847"/>
      <c r="AI2746" s="742">
        <f t="shared" si="349"/>
        <v>0</v>
      </c>
      <c r="AJ2746" s="743">
        <f t="shared" si="350"/>
        <v>0</v>
      </c>
    </row>
    <row r="2747" spans="1:36">
      <c r="A2747" s="1410" t="s">
        <v>146</v>
      </c>
      <c r="B2747" s="1141" t="s">
        <v>251</v>
      </c>
      <c r="C2747" s="1142" t="s">
        <v>249</v>
      </c>
      <c r="D2747" s="1136"/>
      <c r="E2747" s="1149"/>
      <c r="F2747" s="1150"/>
      <c r="G2747" s="846"/>
      <c r="H2747" s="847"/>
      <c r="I2747" s="846"/>
      <c r="J2747" s="847"/>
      <c r="K2747" s="846"/>
      <c r="L2747" s="847"/>
      <c r="M2747" s="846"/>
      <c r="N2747" s="846"/>
      <c r="O2747" s="737">
        <f t="shared" si="343"/>
        <v>0</v>
      </c>
      <c r="P2747" s="847"/>
      <c r="Q2747" s="847"/>
      <c r="R2747" s="738">
        <f t="shared" si="346"/>
        <v>0</v>
      </c>
      <c r="S2747" s="737">
        <f t="shared" si="347"/>
        <v>0</v>
      </c>
      <c r="T2747" s="739">
        <f t="shared" si="348"/>
        <v>0</v>
      </c>
      <c r="U2747" s="846">
        <v>4545000</v>
      </c>
      <c r="V2747" s="847">
        <v>4545000</v>
      </c>
      <c r="W2747" s="846"/>
      <c r="X2747" s="846"/>
      <c r="Y2747" s="740">
        <f t="shared" si="344"/>
        <v>0</v>
      </c>
      <c r="Z2747" s="847"/>
      <c r="AA2747" s="847"/>
      <c r="AB2747" s="741">
        <f t="shared" si="345"/>
        <v>0</v>
      </c>
      <c r="AC2747" s="846"/>
      <c r="AD2747" s="847"/>
      <c r="AE2747" s="846"/>
      <c r="AF2747" s="846"/>
      <c r="AG2747" s="847"/>
      <c r="AH2747" s="847"/>
      <c r="AI2747" s="742">
        <f t="shared" si="349"/>
        <v>4545000</v>
      </c>
      <c r="AJ2747" s="743">
        <f t="shared" si="350"/>
        <v>4545000</v>
      </c>
    </row>
    <row r="2748" spans="1:36">
      <c r="A2748" s="1410" t="s">
        <v>146</v>
      </c>
      <c r="B2748" s="1146" t="s">
        <v>293</v>
      </c>
      <c r="C2748" s="1147" t="s">
        <v>121</v>
      </c>
      <c r="D2748" s="1136"/>
      <c r="E2748" s="1109"/>
      <c r="F2748" s="1110"/>
      <c r="G2748" s="846"/>
      <c r="H2748" s="847"/>
      <c r="I2748" s="846"/>
      <c r="J2748" s="847"/>
      <c r="K2748" s="846"/>
      <c r="L2748" s="847"/>
      <c r="M2748" s="846"/>
      <c r="N2748" s="846"/>
      <c r="O2748" s="737">
        <f t="shared" si="343"/>
        <v>0</v>
      </c>
      <c r="P2748" s="847"/>
      <c r="Q2748" s="847"/>
      <c r="R2748" s="738">
        <f t="shared" si="346"/>
        <v>0</v>
      </c>
      <c r="S2748" s="737">
        <f t="shared" si="347"/>
        <v>0</v>
      </c>
      <c r="T2748" s="739">
        <f t="shared" si="348"/>
        <v>0</v>
      </c>
      <c r="U2748" s="846"/>
      <c r="V2748" s="847"/>
      <c r="W2748" s="846"/>
      <c r="X2748" s="846"/>
      <c r="Y2748" s="740">
        <f t="shared" si="344"/>
        <v>0</v>
      </c>
      <c r="Z2748" s="847"/>
      <c r="AA2748" s="847"/>
      <c r="AB2748" s="741">
        <f t="shared" si="345"/>
        <v>0</v>
      </c>
      <c r="AC2748" s="846"/>
      <c r="AD2748" s="847"/>
      <c r="AE2748" s="846"/>
      <c r="AF2748" s="846"/>
      <c r="AG2748" s="847"/>
      <c r="AH2748" s="847"/>
      <c r="AI2748" s="742">
        <f t="shared" si="349"/>
        <v>0</v>
      </c>
      <c r="AJ2748" s="743">
        <f t="shared" si="350"/>
        <v>0</v>
      </c>
    </row>
    <row r="2749" spans="1:36">
      <c r="A2749" s="1410" t="s">
        <v>146</v>
      </c>
      <c r="B2749" s="1146" t="s">
        <v>294</v>
      </c>
      <c r="C2749" s="1147" t="s">
        <v>307</v>
      </c>
      <c r="D2749" s="1136"/>
      <c r="E2749" s="1109"/>
      <c r="F2749" s="1110"/>
      <c r="G2749" s="846"/>
      <c r="H2749" s="847"/>
      <c r="I2749" s="846"/>
      <c r="J2749" s="847"/>
      <c r="K2749" s="846"/>
      <c r="L2749" s="847"/>
      <c r="M2749" s="846"/>
      <c r="N2749" s="846"/>
      <c r="O2749" s="737">
        <f t="shared" si="343"/>
        <v>0</v>
      </c>
      <c r="P2749" s="847"/>
      <c r="Q2749" s="847"/>
      <c r="R2749" s="738">
        <f t="shared" si="346"/>
        <v>0</v>
      </c>
      <c r="S2749" s="737">
        <f t="shared" si="347"/>
        <v>0</v>
      </c>
      <c r="T2749" s="739">
        <f t="shared" si="348"/>
        <v>0</v>
      </c>
      <c r="U2749" s="846"/>
      <c r="V2749" s="847"/>
      <c r="W2749" s="846"/>
      <c r="X2749" s="846"/>
      <c r="Y2749" s="740">
        <f t="shared" si="344"/>
        <v>0</v>
      </c>
      <c r="Z2749" s="847"/>
      <c r="AA2749" s="847"/>
      <c r="AB2749" s="741">
        <f t="shared" si="345"/>
        <v>0</v>
      </c>
      <c r="AC2749" s="846"/>
      <c r="AD2749" s="847"/>
      <c r="AE2749" s="846"/>
      <c r="AF2749" s="846"/>
      <c r="AG2749" s="847"/>
      <c r="AH2749" s="847"/>
      <c r="AI2749" s="742">
        <f t="shared" si="349"/>
        <v>0</v>
      </c>
      <c r="AJ2749" s="743">
        <f t="shared" si="350"/>
        <v>0</v>
      </c>
    </row>
    <row r="2750" spans="1:36">
      <c r="A2750" s="1410" t="s">
        <v>146</v>
      </c>
      <c r="B2750" s="1146" t="s">
        <v>294</v>
      </c>
      <c r="C2750" s="1433" t="s">
        <v>1922</v>
      </c>
      <c r="D2750" s="1136"/>
      <c r="E2750" s="1109"/>
      <c r="F2750" s="1110"/>
      <c r="G2750" s="846"/>
      <c r="H2750" s="847"/>
      <c r="I2750" s="846"/>
      <c r="J2750" s="847"/>
      <c r="K2750" s="846"/>
      <c r="L2750" s="847"/>
      <c r="M2750" s="846"/>
      <c r="N2750" s="846"/>
      <c r="O2750" s="737">
        <f t="shared" si="343"/>
        <v>0</v>
      </c>
      <c r="P2750" s="847"/>
      <c r="Q2750" s="847"/>
      <c r="R2750" s="738">
        <f t="shared" si="346"/>
        <v>0</v>
      </c>
      <c r="S2750" s="737">
        <f t="shared" si="347"/>
        <v>0</v>
      </c>
      <c r="T2750" s="739">
        <f t="shared" si="348"/>
        <v>0</v>
      </c>
      <c r="U2750" s="846"/>
      <c r="V2750" s="847"/>
      <c r="W2750" s="846"/>
      <c r="X2750" s="846"/>
      <c r="Y2750" s="740">
        <f t="shared" si="344"/>
        <v>0</v>
      </c>
      <c r="Z2750" s="847"/>
      <c r="AA2750" s="847"/>
      <c r="AB2750" s="741">
        <f t="shared" si="345"/>
        <v>0</v>
      </c>
      <c r="AC2750" s="846"/>
      <c r="AD2750" s="847"/>
      <c r="AE2750" s="846"/>
      <c r="AF2750" s="846"/>
      <c r="AG2750" s="847"/>
      <c r="AH2750" s="847"/>
      <c r="AI2750" s="742">
        <f t="shared" si="349"/>
        <v>0</v>
      </c>
      <c r="AJ2750" s="743">
        <f t="shared" si="350"/>
        <v>0</v>
      </c>
    </row>
    <row r="2751" spans="1:36">
      <c r="A2751" s="1410" t="s">
        <v>146</v>
      </c>
      <c r="B2751" s="1141" t="s">
        <v>254</v>
      </c>
      <c r="C2751" s="1142" t="s">
        <v>311</v>
      </c>
      <c r="D2751" s="1136"/>
      <c r="E2751" s="1149"/>
      <c r="F2751" s="1150"/>
      <c r="G2751" s="846"/>
      <c r="H2751" s="847"/>
      <c r="I2751" s="846"/>
      <c r="J2751" s="847"/>
      <c r="K2751" s="846"/>
      <c r="L2751" s="847"/>
      <c r="M2751" s="846"/>
      <c r="N2751" s="846"/>
      <c r="O2751" s="737">
        <f t="shared" si="343"/>
        <v>0</v>
      </c>
      <c r="P2751" s="847"/>
      <c r="Q2751" s="847"/>
      <c r="R2751" s="738">
        <f t="shared" si="346"/>
        <v>0</v>
      </c>
      <c r="S2751" s="737">
        <f t="shared" si="347"/>
        <v>0</v>
      </c>
      <c r="T2751" s="739">
        <f t="shared" si="348"/>
        <v>0</v>
      </c>
      <c r="U2751" s="846">
        <v>31288622</v>
      </c>
      <c r="V2751" s="847">
        <v>31547386</v>
      </c>
      <c r="W2751" s="846"/>
      <c r="X2751" s="846"/>
      <c r="Y2751" s="740">
        <f t="shared" si="344"/>
        <v>0</v>
      </c>
      <c r="Z2751" s="847"/>
      <c r="AA2751" s="847"/>
      <c r="AB2751" s="741">
        <f t="shared" si="345"/>
        <v>0</v>
      </c>
      <c r="AC2751" s="846"/>
      <c r="AD2751" s="847"/>
      <c r="AE2751" s="846"/>
      <c r="AF2751" s="846"/>
      <c r="AG2751" s="847"/>
      <c r="AH2751" s="847"/>
      <c r="AI2751" s="742">
        <f t="shared" si="349"/>
        <v>31288622</v>
      </c>
      <c r="AJ2751" s="743">
        <f t="shared" si="350"/>
        <v>31547386</v>
      </c>
    </row>
    <row r="2752" spans="1:36">
      <c r="A2752" s="1410" t="s">
        <v>146</v>
      </c>
      <c r="B2752" s="1141" t="s">
        <v>255</v>
      </c>
      <c r="C2752" s="1142" t="s">
        <v>249</v>
      </c>
      <c r="D2752" s="1143"/>
      <c r="E2752" s="1149"/>
      <c r="F2752" s="1150"/>
      <c r="G2752" s="846"/>
      <c r="H2752" s="847"/>
      <c r="I2752" s="846"/>
      <c r="J2752" s="847"/>
      <c r="K2752" s="846"/>
      <c r="L2752" s="847"/>
      <c r="M2752" s="846"/>
      <c r="N2752" s="846"/>
      <c r="O2752" s="737">
        <f t="shared" si="343"/>
        <v>0</v>
      </c>
      <c r="P2752" s="847"/>
      <c r="Q2752" s="847"/>
      <c r="R2752" s="738">
        <f t="shared" si="346"/>
        <v>0</v>
      </c>
      <c r="S2752" s="737">
        <f t="shared" si="347"/>
        <v>0</v>
      </c>
      <c r="T2752" s="739">
        <f t="shared" si="348"/>
        <v>0</v>
      </c>
      <c r="U2752" s="846"/>
      <c r="V2752" s="847"/>
      <c r="W2752" s="846"/>
      <c r="X2752" s="846"/>
      <c r="Y2752" s="740">
        <f t="shared" si="344"/>
        <v>0</v>
      </c>
      <c r="Z2752" s="847"/>
      <c r="AA2752" s="847"/>
      <c r="AB2752" s="741">
        <f t="shared" si="345"/>
        <v>0</v>
      </c>
      <c r="AC2752" s="846"/>
      <c r="AD2752" s="847"/>
      <c r="AE2752" s="846"/>
      <c r="AF2752" s="846"/>
      <c r="AG2752" s="847"/>
      <c r="AH2752" s="847"/>
      <c r="AI2752" s="742">
        <f t="shared" si="349"/>
        <v>0</v>
      </c>
      <c r="AJ2752" s="743">
        <f t="shared" si="350"/>
        <v>0</v>
      </c>
    </row>
    <row r="2753" spans="1:36">
      <c r="A2753" s="991" t="s">
        <v>155</v>
      </c>
      <c r="B2753" s="992" t="s">
        <v>264</v>
      </c>
      <c r="C2753" s="993" t="s">
        <v>766</v>
      </c>
      <c r="D2753" s="994"/>
      <c r="E2753" s="995">
        <v>220862</v>
      </c>
      <c r="F2753" s="996">
        <v>1</v>
      </c>
      <c r="G2753" s="890">
        <v>100079647</v>
      </c>
      <c r="H2753" s="847">
        <v>97238318</v>
      </c>
      <c r="I2753" s="846"/>
      <c r="J2753" s="847"/>
      <c r="K2753" s="846"/>
      <c r="L2753" s="847"/>
      <c r="M2753" s="846">
        <v>161375900</v>
      </c>
      <c r="N2753" s="846">
        <v>3658000</v>
      </c>
      <c r="O2753" s="737">
        <f t="shared" si="343"/>
        <v>165033900</v>
      </c>
      <c r="P2753" s="847">
        <v>156009950</v>
      </c>
      <c r="Q2753" s="997">
        <v>8305000</v>
      </c>
      <c r="R2753" s="738">
        <f t="shared" si="346"/>
        <v>164314950</v>
      </c>
      <c r="S2753" s="737">
        <f t="shared" si="347"/>
        <v>261455547</v>
      </c>
      <c r="T2753" s="739">
        <f t="shared" si="348"/>
        <v>253248268</v>
      </c>
      <c r="U2753" s="846"/>
      <c r="V2753" s="847"/>
      <c r="W2753" s="846"/>
      <c r="X2753" s="846"/>
      <c r="Y2753" s="740">
        <f t="shared" si="344"/>
        <v>0</v>
      </c>
      <c r="Z2753" s="997"/>
      <c r="AA2753" s="997"/>
      <c r="AB2753" s="741">
        <f t="shared" si="345"/>
        <v>0</v>
      </c>
      <c r="AC2753" s="846"/>
      <c r="AD2753" s="847"/>
      <c r="AE2753" s="846"/>
      <c r="AF2753" s="846"/>
      <c r="AG2753" s="997"/>
      <c r="AH2753" s="997"/>
      <c r="AI2753" s="742">
        <f t="shared" si="349"/>
        <v>261455547</v>
      </c>
      <c r="AJ2753" s="743">
        <f t="shared" si="350"/>
        <v>253248268</v>
      </c>
    </row>
    <row r="2754" spans="1:36">
      <c r="A2754" s="991" t="s">
        <v>155</v>
      </c>
      <c r="B2754" s="992" t="s">
        <v>264</v>
      </c>
      <c r="C2754" s="998" t="s">
        <v>767</v>
      </c>
      <c r="D2754" s="999"/>
      <c r="E2754" s="1000">
        <v>221759</v>
      </c>
      <c r="F2754" s="1001">
        <v>1</v>
      </c>
      <c r="G2754" s="846">
        <v>183530942.87731534</v>
      </c>
      <c r="H2754" s="847">
        <v>188251386.04415557</v>
      </c>
      <c r="I2754" s="846"/>
      <c r="J2754" s="847"/>
      <c r="K2754" s="846"/>
      <c r="L2754" s="847"/>
      <c r="M2754" s="846">
        <v>271563300</v>
      </c>
      <c r="N2754" s="846">
        <v>1100000</v>
      </c>
      <c r="O2754" s="737">
        <f t="shared" si="343"/>
        <v>272663300</v>
      </c>
      <c r="P2754" s="847">
        <v>290285693</v>
      </c>
      <c r="Q2754" s="847">
        <v>1100000</v>
      </c>
      <c r="R2754" s="738">
        <f t="shared" si="346"/>
        <v>291385693</v>
      </c>
      <c r="S2754" s="737">
        <f t="shared" si="347"/>
        <v>455094242.87731534</v>
      </c>
      <c r="T2754" s="739">
        <f t="shared" si="348"/>
        <v>478537079.0441556</v>
      </c>
      <c r="U2754" s="846"/>
      <c r="V2754" s="847"/>
      <c r="W2754" s="846"/>
      <c r="X2754" s="846"/>
      <c r="Y2754" s="740">
        <f t="shared" si="344"/>
        <v>0</v>
      </c>
      <c r="Z2754" s="847"/>
      <c r="AA2754" s="847"/>
      <c r="AB2754" s="741">
        <f t="shared" si="345"/>
        <v>0</v>
      </c>
      <c r="AC2754" s="846"/>
      <c r="AD2754" s="847"/>
      <c r="AE2754" s="846"/>
      <c r="AF2754" s="846"/>
      <c r="AG2754" s="847"/>
      <c r="AH2754" s="847"/>
      <c r="AI2754" s="742">
        <f t="shared" si="349"/>
        <v>455094242.87731534</v>
      </c>
      <c r="AJ2754" s="743">
        <f t="shared" si="350"/>
        <v>478537079.0441556</v>
      </c>
    </row>
    <row r="2755" spans="1:36">
      <c r="A2755" s="991" t="s">
        <v>155</v>
      </c>
      <c r="B2755" s="992" t="s">
        <v>266</v>
      </c>
      <c r="C2755" s="1002" t="s">
        <v>768</v>
      </c>
      <c r="D2755" s="1003"/>
      <c r="E2755" s="1000">
        <v>221759</v>
      </c>
      <c r="F2755" s="1001">
        <v>1</v>
      </c>
      <c r="G2755" s="846"/>
      <c r="H2755" s="847"/>
      <c r="I2755" s="846"/>
      <c r="J2755" s="847"/>
      <c r="K2755" s="846"/>
      <c r="L2755" s="847"/>
      <c r="M2755" s="846"/>
      <c r="N2755" s="846"/>
      <c r="O2755" s="737">
        <f t="shared" si="343"/>
        <v>0</v>
      </c>
      <c r="P2755" s="847"/>
      <c r="Q2755" s="847"/>
      <c r="R2755" s="738">
        <f t="shared" si="346"/>
        <v>0</v>
      </c>
      <c r="S2755" s="737">
        <f t="shared" si="347"/>
        <v>0</v>
      </c>
      <c r="T2755" s="739">
        <f t="shared" si="348"/>
        <v>0</v>
      </c>
      <c r="U2755" s="846"/>
      <c r="V2755" s="847"/>
      <c r="W2755" s="846"/>
      <c r="X2755" s="846"/>
      <c r="Y2755" s="740">
        <f t="shared" si="344"/>
        <v>0</v>
      </c>
      <c r="Z2755" s="847"/>
      <c r="AA2755" s="847"/>
      <c r="AB2755" s="741">
        <f t="shared" si="345"/>
        <v>0</v>
      </c>
      <c r="AC2755" s="846"/>
      <c r="AD2755" s="847"/>
      <c r="AE2755" s="846"/>
      <c r="AF2755" s="846"/>
      <c r="AG2755" s="847"/>
      <c r="AH2755" s="847"/>
      <c r="AI2755" s="742">
        <f t="shared" si="349"/>
        <v>0</v>
      </c>
      <c r="AJ2755" s="743">
        <f t="shared" si="350"/>
        <v>0</v>
      </c>
    </row>
    <row r="2756" spans="1:36">
      <c r="A2756" s="991" t="s">
        <v>155</v>
      </c>
      <c r="B2756" s="992" t="s">
        <v>266</v>
      </c>
      <c r="C2756" s="1004" t="s">
        <v>769</v>
      </c>
      <c r="D2756" s="1003"/>
      <c r="E2756" s="1000">
        <v>221759</v>
      </c>
      <c r="F2756" s="1001">
        <v>1</v>
      </c>
      <c r="G2756" s="846"/>
      <c r="H2756" s="847"/>
      <c r="I2756" s="846">
        <v>2892013</v>
      </c>
      <c r="J2756" s="847">
        <v>2903313</v>
      </c>
      <c r="K2756" s="846"/>
      <c r="L2756" s="847"/>
      <c r="M2756" s="846">
        <v>0</v>
      </c>
      <c r="N2756" s="846">
        <v>0</v>
      </c>
      <c r="O2756" s="737">
        <f t="shared" si="343"/>
        <v>0</v>
      </c>
      <c r="P2756" s="847">
        <v>0</v>
      </c>
      <c r="Q2756" s="847">
        <v>0</v>
      </c>
      <c r="R2756" s="738">
        <f t="shared" si="346"/>
        <v>0</v>
      </c>
      <c r="S2756" s="737">
        <f t="shared" si="347"/>
        <v>2892013</v>
      </c>
      <c r="T2756" s="739">
        <f t="shared" si="348"/>
        <v>2903313</v>
      </c>
      <c r="U2756" s="846"/>
      <c r="V2756" s="847"/>
      <c r="W2756" s="846"/>
      <c r="X2756" s="846"/>
      <c r="Y2756" s="740">
        <f t="shared" si="344"/>
        <v>0</v>
      </c>
      <c r="Z2756" s="847"/>
      <c r="AA2756" s="847"/>
      <c r="AB2756" s="741">
        <f t="shared" si="345"/>
        <v>0</v>
      </c>
      <c r="AC2756" s="846"/>
      <c r="AD2756" s="847"/>
      <c r="AE2756" s="846"/>
      <c r="AF2756" s="846"/>
      <c r="AG2756" s="847"/>
      <c r="AH2756" s="847"/>
      <c r="AI2756" s="742">
        <f t="shared" si="349"/>
        <v>2892013</v>
      </c>
      <c r="AJ2756" s="743">
        <f t="shared" si="350"/>
        <v>2903313</v>
      </c>
    </row>
    <row r="2757" spans="1:36">
      <c r="A2757" s="991" t="s">
        <v>155</v>
      </c>
      <c r="B2757" s="992" t="s">
        <v>266</v>
      </c>
      <c r="C2757" s="1004" t="s">
        <v>770</v>
      </c>
      <c r="D2757" s="1003"/>
      <c r="E2757" s="1000">
        <v>221759</v>
      </c>
      <c r="F2757" s="1001">
        <v>1</v>
      </c>
      <c r="G2757" s="846"/>
      <c r="H2757" s="847"/>
      <c r="I2757" s="846">
        <v>1758013</v>
      </c>
      <c r="J2757" s="847">
        <v>1767913</v>
      </c>
      <c r="K2757" s="846"/>
      <c r="L2757" s="847"/>
      <c r="M2757" s="846">
        <v>0</v>
      </c>
      <c r="N2757" s="846">
        <v>0</v>
      </c>
      <c r="O2757" s="737">
        <f t="shared" si="343"/>
        <v>0</v>
      </c>
      <c r="P2757" s="847">
        <v>0</v>
      </c>
      <c r="Q2757" s="847">
        <v>0</v>
      </c>
      <c r="R2757" s="738">
        <f t="shared" si="346"/>
        <v>0</v>
      </c>
      <c r="S2757" s="737">
        <f t="shared" si="347"/>
        <v>1758013</v>
      </c>
      <c r="T2757" s="739">
        <f t="shared" si="348"/>
        <v>1767913</v>
      </c>
      <c r="U2757" s="846"/>
      <c r="V2757" s="847"/>
      <c r="W2757" s="846"/>
      <c r="X2757" s="846"/>
      <c r="Y2757" s="740">
        <f t="shared" si="344"/>
        <v>0</v>
      </c>
      <c r="Z2757" s="847"/>
      <c r="AA2757" s="847"/>
      <c r="AB2757" s="741">
        <f t="shared" si="345"/>
        <v>0</v>
      </c>
      <c r="AC2757" s="846"/>
      <c r="AD2757" s="847"/>
      <c r="AE2757" s="846"/>
      <c r="AF2757" s="846"/>
      <c r="AG2757" s="847"/>
      <c r="AH2757" s="847"/>
      <c r="AI2757" s="742">
        <f t="shared" si="349"/>
        <v>1758013</v>
      </c>
      <c r="AJ2757" s="743">
        <f t="shared" si="350"/>
        <v>1767913</v>
      </c>
    </row>
    <row r="2758" spans="1:36">
      <c r="A2758" s="991" t="s">
        <v>155</v>
      </c>
      <c r="B2758" s="992" t="s">
        <v>266</v>
      </c>
      <c r="C2758" s="1004" t="s">
        <v>771</v>
      </c>
      <c r="D2758" s="1003"/>
      <c r="E2758" s="1000">
        <v>221759</v>
      </c>
      <c r="F2758" s="1001">
        <v>1</v>
      </c>
      <c r="G2758" s="846"/>
      <c r="H2758" s="847"/>
      <c r="I2758" s="846">
        <v>5249898</v>
      </c>
      <c r="J2758" s="847">
        <v>5265298</v>
      </c>
      <c r="K2758" s="846"/>
      <c r="L2758" s="847"/>
      <c r="M2758" s="846">
        <v>0</v>
      </c>
      <c r="N2758" s="846">
        <v>0</v>
      </c>
      <c r="O2758" s="737">
        <f t="shared" si="343"/>
        <v>0</v>
      </c>
      <c r="P2758" s="847">
        <v>0</v>
      </c>
      <c r="Q2758" s="847">
        <v>0</v>
      </c>
      <c r="R2758" s="738">
        <f t="shared" si="346"/>
        <v>0</v>
      </c>
      <c r="S2758" s="737">
        <f t="shared" si="347"/>
        <v>5249898</v>
      </c>
      <c r="T2758" s="739">
        <f t="shared" si="348"/>
        <v>5265298</v>
      </c>
      <c r="U2758" s="846"/>
      <c r="V2758" s="847"/>
      <c r="W2758" s="846"/>
      <c r="X2758" s="846"/>
      <c r="Y2758" s="740">
        <f t="shared" si="344"/>
        <v>0</v>
      </c>
      <c r="Z2758" s="847"/>
      <c r="AA2758" s="847"/>
      <c r="AB2758" s="741">
        <f t="shared" si="345"/>
        <v>0</v>
      </c>
      <c r="AC2758" s="846"/>
      <c r="AD2758" s="847"/>
      <c r="AE2758" s="846"/>
      <c r="AF2758" s="846"/>
      <c r="AG2758" s="847"/>
      <c r="AH2758" s="847"/>
      <c r="AI2758" s="742">
        <f t="shared" si="349"/>
        <v>5249898</v>
      </c>
      <c r="AJ2758" s="743">
        <f t="shared" si="350"/>
        <v>5265298</v>
      </c>
    </row>
    <row r="2759" spans="1:36">
      <c r="A2759" s="991" t="s">
        <v>155</v>
      </c>
      <c r="B2759" s="992" t="s">
        <v>268</v>
      </c>
      <c r="C2759" s="1002" t="s">
        <v>257</v>
      </c>
      <c r="D2759" s="1003"/>
      <c r="E2759" s="1000">
        <v>221759</v>
      </c>
      <c r="F2759" s="1001">
        <v>1</v>
      </c>
      <c r="G2759" s="846"/>
      <c r="H2759" s="847"/>
      <c r="I2759" s="846">
        <v>30987767</v>
      </c>
      <c r="J2759" s="847">
        <v>31195267</v>
      </c>
      <c r="K2759" s="846"/>
      <c r="L2759" s="847"/>
      <c r="M2759" s="846">
        <v>0</v>
      </c>
      <c r="N2759" s="846">
        <v>0</v>
      </c>
      <c r="O2759" s="737">
        <f t="shared" si="343"/>
        <v>0</v>
      </c>
      <c r="P2759" s="847">
        <v>0</v>
      </c>
      <c r="Q2759" s="847">
        <v>0</v>
      </c>
      <c r="R2759" s="738">
        <f t="shared" si="346"/>
        <v>0</v>
      </c>
      <c r="S2759" s="737">
        <f t="shared" si="347"/>
        <v>30987767</v>
      </c>
      <c r="T2759" s="739">
        <f t="shared" si="348"/>
        <v>31195267</v>
      </c>
      <c r="U2759" s="846"/>
      <c r="V2759" s="847"/>
      <c r="W2759" s="846"/>
      <c r="X2759" s="846"/>
      <c r="Y2759" s="740">
        <f t="shared" si="344"/>
        <v>0</v>
      </c>
      <c r="Z2759" s="847"/>
      <c r="AA2759" s="847"/>
      <c r="AB2759" s="741">
        <f t="shared" si="345"/>
        <v>0</v>
      </c>
      <c r="AC2759" s="846"/>
      <c r="AD2759" s="847"/>
      <c r="AE2759" s="846"/>
      <c r="AF2759" s="846"/>
      <c r="AG2759" s="847"/>
      <c r="AH2759" s="847"/>
      <c r="AI2759" s="742">
        <f t="shared" si="349"/>
        <v>30987767</v>
      </c>
      <c r="AJ2759" s="743">
        <f t="shared" si="350"/>
        <v>31195267</v>
      </c>
    </row>
    <row r="2760" spans="1:36">
      <c r="A2760" s="991" t="s">
        <v>155</v>
      </c>
      <c r="B2760" s="992" t="s">
        <v>269</v>
      </c>
      <c r="C2760" s="1002" t="s">
        <v>256</v>
      </c>
      <c r="D2760" s="1003"/>
      <c r="E2760" s="1000">
        <v>221759</v>
      </c>
      <c r="F2760" s="1001">
        <v>1</v>
      </c>
      <c r="G2760" s="846"/>
      <c r="H2760" s="847"/>
      <c r="I2760" s="846">
        <v>25579486</v>
      </c>
      <c r="J2760" s="847">
        <v>25698486</v>
      </c>
      <c r="K2760" s="846"/>
      <c r="L2760" s="847"/>
      <c r="M2760" s="846">
        <v>0</v>
      </c>
      <c r="N2760" s="846">
        <v>0</v>
      </c>
      <c r="O2760" s="737">
        <f t="shared" si="343"/>
        <v>0</v>
      </c>
      <c r="P2760" s="847">
        <v>0</v>
      </c>
      <c r="Q2760" s="847">
        <v>0</v>
      </c>
      <c r="R2760" s="738">
        <f t="shared" si="346"/>
        <v>0</v>
      </c>
      <c r="S2760" s="737">
        <f t="shared" si="347"/>
        <v>25579486</v>
      </c>
      <c r="T2760" s="739">
        <f t="shared" si="348"/>
        <v>25698486</v>
      </c>
      <c r="U2760" s="846"/>
      <c r="V2760" s="847"/>
      <c r="W2760" s="846"/>
      <c r="X2760" s="846"/>
      <c r="Y2760" s="740">
        <f t="shared" si="344"/>
        <v>0</v>
      </c>
      <c r="Z2760" s="847"/>
      <c r="AA2760" s="847"/>
      <c r="AB2760" s="741">
        <f t="shared" si="345"/>
        <v>0</v>
      </c>
      <c r="AC2760" s="846"/>
      <c r="AD2760" s="847"/>
      <c r="AE2760" s="846"/>
      <c r="AF2760" s="846"/>
      <c r="AG2760" s="847"/>
      <c r="AH2760" s="847"/>
      <c r="AI2760" s="742">
        <f t="shared" si="349"/>
        <v>25579486</v>
      </c>
      <c r="AJ2760" s="743">
        <f t="shared" si="350"/>
        <v>25698486</v>
      </c>
    </row>
    <row r="2761" spans="1:36">
      <c r="A2761" s="991" t="s">
        <v>155</v>
      </c>
      <c r="B2761" s="992" t="s">
        <v>264</v>
      </c>
      <c r="C2761" s="993" t="s">
        <v>772</v>
      </c>
      <c r="D2761" s="1005"/>
      <c r="E2761" s="1000">
        <v>221838</v>
      </c>
      <c r="F2761" s="996">
        <v>2</v>
      </c>
      <c r="G2761" s="890">
        <v>36031535</v>
      </c>
      <c r="H2761" s="847">
        <v>35316164.799999997</v>
      </c>
      <c r="I2761" s="846"/>
      <c r="J2761" s="847"/>
      <c r="K2761" s="846"/>
      <c r="L2761" s="847"/>
      <c r="M2761" s="846">
        <v>69406700</v>
      </c>
      <c r="N2761" s="846">
        <v>1537500</v>
      </c>
      <c r="O2761" s="737">
        <f t="shared" si="343"/>
        <v>70944200</v>
      </c>
      <c r="P2761" s="847">
        <v>77231800</v>
      </c>
      <c r="Q2761" s="847">
        <v>1552900</v>
      </c>
      <c r="R2761" s="738">
        <f t="shared" si="346"/>
        <v>78784700</v>
      </c>
      <c r="S2761" s="737">
        <f t="shared" si="347"/>
        <v>105438235</v>
      </c>
      <c r="T2761" s="739">
        <f t="shared" si="348"/>
        <v>112547964.8</v>
      </c>
      <c r="U2761" s="846"/>
      <c r="V2761" s="847"/>
      <c r="W2761" s="846"/>
      <c r="X2761" s="846"/>
      <c r="Y2761" s="740">
        <f t="shared" si="344"/>
        <v>0</v>
      </c>
      <c r="Z2761" s="847"/>
      <c r="AA2761" s="847"/>
      <c r="AB2761" s="741">
        <f t="shared" si="345"/>
        <v>0</v>
      </c>
      <c r="AC2761" s="846"/>
      <c r="AD2761" s="847"/>
      <c r="AE2761" s="846"/>
      <c r="AF2761" s="846"/>
      <c r="AG2761" s="847"/>
      <c r="AH2761" s="847"/>
      <c r="AI2761" s="742">
        <f t="shared" si="349"/>
        <v>105438235</v>
      </c>
      <c r="AJ2761" s="743">
        <f t="shared" si="350"/>
        <v>112547964.8</v>
      </c>
    </row>
    <row r="2762" spans="1:36">
      <c r="A2762" s="991" t="s">
        <v>155</v>
      </c>
      <c r="B2762" s="992" t="s">
        <v>268</v>
      </c>
      <c r="C2762" s="1002" t="s">
        <v>256</v>
      </c>
      <c r="D2762" s="1003"/>
      <c r="E2762" s="1000">
        <v>221838</v>
      </c>
      <c r="F2762" s="996">
        <v>2</v>
      </c>
      <c r="G2762" s="846"/>
      <c r="H2762" s="847"/>
      <c r="I2762" s="846"/>
      <c r="J2762" s="847"/>
      <c r="K2762" s="846"/>
      <c r="L2762" s="847"/>
      <c r="M2762" s="846"/>
      <c r="N2762" s="846"/>
      <c r="O2762" s="737">
        <f t="shared" ref="O2762:O2825" si="351">SUM(M2762:N2762)</f>
        <v>0</v>
      </c>
      <c r="P2762" s="847"/>
      <c r="Q2762" s="847"/>
      <c r="R2762" s="738">
        <f t="shared" si="346"/>
        <v>0</v>
      </c>
      <c r="S2762" s="737">
        <f t="shared" si="347"/>
        <v>0</v>
      </c>
      <c r="T2762" s="739">
        <f t="shared" si="348"/>
        <v>0</v>
      </c>
      <c r="U2762" s="846"/>
      <c r="V2762" s="847"/>
      <c r="W2762" s="846"/>
      <c r="X2762" s="846"/>
      <c r="Y2762" s="740">
        <f t="shared" ref="Y2762:Y2825" si="352">SUM(W2762:X2762)</f>
        <v>0</v>
      </c>
      <c r="Z2762" s="847"/>
      <c r="AA2762" s="847"/>
      <c r="AB2762" s="741">
        <f t="shared" ref="AB2762:AB2825" si="353">SUM(Z2762:AA2762)</f>
        <v>0</v>
      </c>
      <c r="AC2762" s="846"/>
      <c r="AD2762" s="847"/>
      <c r="AE2762" s="846"/>
      <c r="AF2762" s="846"/>
      <c r="AG2762" s="847"/>
      <c r="AH2762" s="847"/>
      <c r="AI2762" s="742">
        <f t="shared" si="349"/>
        <v>0</v>
      </c>
      <c r="AJ2762" s="743">
        <f t="shared" si="350"/>
        <v>0</v>
      </c>
    </row>
    <row r="2763" spans="1:36">
      <c r="A2763" s="991" t="s">
        <v>155</v>
      </c>
      <c r="B2763" s="992" t="s">
        <v>268</v>
      </c>
      <c r="C2763" s="1004" t="s">
        <v>773</v>
      </c>
      <c r="D2763" s="1003"/>
      <c r="E2763" s="1000">
        <v>221838</v>
      </c>
      <c r="F2763" s="996">
        <v>2</v>
      </c>
      <c r="G2763" s="846"/>
      <c r="H2763" s="847"/>
      <c r="I2763" s="846">
        <v>560700</v>
      </c>
      <c r="J2763" s="847">
        <v>560700</v>
      </c>
      <c r="K2763" s="846"/>
      <c r="L2763" s="847"/>
      <c r="M2763" s="846">
        <v>0</v>
      </c>
      <c r="N2763" s="846">
        <v>0</v>
      </c>
      <c r="O2763" s="737">
        <f t="shared" si="351"/>
        <v>0</v>
      </c>
      <c r="P2763" s="847">
        <v>0</v>
      </c>
      <c r="Q2763" s="847">
        <v>0</v>
      </c>
      <c r="R2763" s="738">
        <f t="shared" ref="R2763:R2826" si="354">SUM(P2763:Q2763)</f>
        <v>0</v>
      </c>
      <c r="S2763" s="737">
        <f t="shared" ref="S2763:S2826" si="355">SUM(G2763,I2763,K2763,M2763)</f>
        <v>560700</v>
      </c>
      <c r="T2763" s="739">
        <f t="shared" ref="T2763:T2826" si="356">SUM(H2763,J2763,L2763,P2763)</f>
        <v>560700</v>
      </c>
      <c r="U2763" s="846"/>
      <c r="V2763" s="847"/>
      <c r="W2763" s="846"/>
      <c r="X2763" s="846"/>
      <c r="Y2763" s="740">
        <f t="shared" si="352"/>
        <v>0</v>
      </c>
      <c r="Z2763" s="847"/>
      <c r="AA2763" s="847"/>
      <c r="AB2763" s="741">
        <f t="shared" si="353"/>
        <v>0</v>
      </c>
      <c r="AC2763" s="846"/>
      <c r="AD2763" s="847"/>
      <c r="AE2763" s="846"/>
      <c r="AF2763" s="846"/>
      <c r="AG2763" s="847"/>
      <c r="AH2763" s="847"/>
      <c r="AI2763" s="742">
        <f t="shared" ref="AI2763:AI2826" si="357">SUM(S2763,U2763,W2763,AC2763,AE2763)</f>
        <v>560700</v>
      </c>
      <c r="AJ2763" s="743">
        <f t="shared" ref="AJ2763:AJ2826" si="358">SUM(T2763,V2763,Z2763,AD2763,AG2763)</f>
        <v>560700</v>
      </c>
    </row>
    <row r="2764" spans="1:36">
      <c r="A2764" s="991" t="s">
        <v>155</v>
      </c>
      <c r="B2764" s="992" t="s">
        <v>268</v>
      </c>
      <c r="C2764" s="1004" t="s">
        <v>774</v>
      </c>
      <c r="D2764" s="1003"/>
      <c r="E2764" s="1000">
        <v>221838</v>
      </c>
      <c r="F2764" s="996">
        <v>2</v>
      </c>
      <c r="G2764" s="846"/>
      <c r="H2764" s="847"/>
      <c r="I2764" s="846">
        <v>2280500</v>
      </c>
      <c r="J2764" s="847">
        <v>2278500</v>
      </c>
      <c r="K2764" s="846"/>
      <c r="L2764" s="847"/>
      <c r="M2764" s="846">
        <v>0</v>
      </c>
      <c r="N2764" s="846">
        <v>0</v>
      </c>
      <c r="O2764" s="737">
        <f t="shared" si="351"/>
        <v>0</v>
      </c>
      <c r="P2764" s="847">
        <v>0</v>
      </c>
      <c r="Q2764" s="847">
        <v>0</v>
      </c>
      <c r="R2764" s="738">
        <f t="shared" si="354"/>
        <v>0</v>
      </c>
      <c r="S2764" s="737">
        <f t="shared" si="355"/>
        <v>2280500</v>
      </c>
      <c r="T2764" s="739">
        <f t="shared" si="356"/>
        <v>2278500</v>
      </c>
      <c r="U2764" s="846"/>
      <c r="V2764" s="847"/>
      <c r="W2764" s="846"/>
      <c r="X2764" s="846"/>
      <c r="Y2764" s="740">
        <f t="shared" si="352"/>
        <v>0</v>
      </c>
      <c r="Z2764" s="847"/>
      <c r="AA2764" s="847"/>
      <c r="AB2764" s="741">
        <f t="shared" si="353"/>
        <v>0</v>
      </c>
      <c r="AC2764" s="846"/>
      <c r="AD2764" s="847"/>
      <c r="AE2764" s="846"/>
      <c r="AF2764" s="846"/>
      <c r="AG2764" s="847"/>
      <c r="AH2764" s="847"/>
      <c r="AI2764" s="742">
        <f t="shared" si="357"/>
        <v>2280500</v>
      </c>
      <c r="AJ2764" s="743">
        <f t="shared" si="358"/>
        <v>2278500</v>
      </c>
    </row>
    <row r="2765" spans="1:36">
      <c r="A2765" s="991" t="s">
        <v>155</v>
      </c>
      <c r="B2765" s="992" t="s">
        <v>268</v>
      </c>
      <c r="C2765" s="1004" t="s">
        <v>775</v>
      </c>
      <c r="D2765" s="1003"/>
      <c r="E2765" s="1000">
        <v>221838</v>
      </c>
      <c r="F2765" s="996">
        <v>2</v>
      </c>
      <c r="G2765" s="846"/>
      <c r="H2765" s="847"/>
      <c r="I2765" s="846">
        <v>3110400</v>
      </c>
      <c r="J2765" s="847">
        <v>3108900</v>
      </c>
      <c r="K2765" s="846"/>
      <c r="L2765" s="847"/>
      <c r="M2765" s="846">
        <v>0</v>
      </c>
      <c r="N2765" s="846">
        <v>0</v>
      </c>
      <c r="O2765" s="737">
        <f t="shared" si="351"/>
        <v>0</v>
      </c>
      <c r="P2765" s="847">
        <v>0</v>
      </c>
      <c r="Q2765" s="847">
        <v>0</v>
      </c>
      <c r="R2765" s="738">
        <f t="shared" si="354"/>
        <v>0</v>
      </c>
      <c r="S2765" s="737">
        <f t="shared" si="355"/>
        <v>3110400</v>
      </c>
      <c r="T2765" s="739">
        <f t="shared" si="356"/>
        <v>3108900</v>
      </c>
      <c r="U2765" s="846"/>
      <c r="V2765" s="847"/>
      <c r="W2765" s="846"/>
      <c r="X2765" s="846"/>
      <c r="Y2765" s="740">
        <f t="shared" si="352"/>
        <v>0</v>
      </c>
      <c r="Z2765" s="847"/>
      <c r="AA2765" s="847"/>
      <c r="AB2765" s="741">
        <f t="shared" si="353"/>
        <v>0</v>
      </c>
      <c r="AC2765" s="846"/>
      <c r="AD2765" s="847"/>
      <c r="AE2765" s="846"/>
      <c r="AF2765" s="846"/>
      <c r="AG2765" s="847"/>
      <c r="AH2765" s="847"/>
      <c r="AI2765" s="742">
        <f t="shared" si="357"/>
        <v>3110400</v>
      </c>
      <c r="AJ2765" s="743">
        <f t="shared" si="358"/>
        <v>3108900</v>
      </c>
    </row>
    <row r="2766" spans="1:36">
      <c r="A2766" s="991" t="s">
        <v>155</v>
      </c>
      <c r="B2766" s="992" t="s">
        <v>268</v>
      </c>
      <c r="C2766" s="1004" t="s">
        <v>776</v>
      </c>
      <c r="D2766" s="1003"/>
      <c r="E2766" s="1000">
        <v>221838</v>
      </c>
      <c r="F2766" s="996">
        <v>2</v>
      </c>
      <c r="G2766" s="846"/>
      <c r="H2766" s="847"/>
      <c r="I2766" s="846">
        <v>179400</v>
      </c>
      <c r="J2766" s="847">
        <v>179400</v>
      </c>
      <c r="K2766" s="846"/>
      <c r="L2766" s="847"/>
      <c r="M2766" s="846">
        <v>0</v>
      </c>
      <c r="N2766" s="846">
        <v>0</v>
      </c>
      <c r="O2766" s="737">
        <f t="shared" si="351"/>
        <v>0</v>
      </c>
      <c r="P2766" s="847">
        <v>0</v>
      </c>
      <c r="Q2766" s="847">
        <v>0</v>
      </c>
      <c r="R2766" s="738">
        <f t="shared" si="354"/>
        <v>0</v>
      </c>
      <c r="S2766" s="737">
        <f t="shared" si="355"/>
        <v>179400</v>
      </c>
      <c r="T2766" s="739">
        <f t="shared" si="356"/>
        <v>179400</v>
      </c>
      <c r="U2766" s="846"/>
      <c r="V2766" s="847"/>
      <c r="W2766" s="846"/>
      <c r="X2766" s="846"/>
      <c r="Y2766" s="740">
        <f t="shared" si="352"/>
        <v>0</v>
      </c>
      <c r="Z2766" s="847"/>
      <c r="AA2766" s="847"/>
      <c r="AB2766" s="741">
        <f t="shared" si="353"/>
        <v>0</v>
      </c>
      <c r="AC2766" s="846"/>
      <c r="AD2766" s="847"/>
      <c r="AE2766" s="846"/>
      <c r="AF2766" s="846"/>
      <c r="AG2766" s="847"/>
      <c r="AH2766" s="847"/>
      <c r="AI2766" s="742">
        <f t="shared" si="357"/>
        <v>179400</v>
      </c>
      <c r="AJ2766" s="743">
        <f t="shared" si="358"/>
        <v>179400</v>
      </c>
    </row>
    <row r="2767" spans="1:36">
      <c r="A2767" s="991" t="s">
        <v>155</v>
      </c>
      <c r="B2767" s="992" t="s">
        <v>264</v>
      </c>
      <c r="C2767" s="993" t="s">
        <v>777</v>
      </c>
      <c r="D2767" s="994"/>
      <c r="E2767" s="1000">
        <v>219602</v>
      </c>
      <c r="F2767" s="996">
        <v>3</v>
      </c>
      <c r="G2767" s="846">
        <v>34495044.329999998</v>
      </c>
      <c r="H2767" s="847">
        <v>35681529</v>
      </c>
      <c r="I2767" s="846"/>
      <c r="J2767" s="847"/>
      <c r="K2767" s="846"/>
      <c r="L2767" s="847"/>
      <c r="M2767" s="846">
        <v>63726600</v>
      </c>
      <c r="N2767" s="846">
        <v>2370800</v>
      </c>
      <c r="O2767" s="737">
        <f t="shared" si="351"/>
        <v>66097400</v>
      </c>
      <c r="P2767" s="847">
        <v>64609000</v>
      </c>
      <c r="Q2767" s="847">
        <v>2269600</v>
      </c>
      <c r="R2767" s="738">
        <f t="shared" si="354"/>
        <v>66878600</v>
      </c>
      <c r="S2767" s="737">
        <f t="shared" si="355"/>
        <v>98221644.329999998</v>
      </c>
      <c r="T2767" s="739">
        <f t="shared" si="356"/>
        <v>100290529</v>
      </c>
      <c r="U2767" s="846"/>
      <c r="V2767" s="847"/>
      <c r="W2767" s="846"/>
      <c r="X2767" s="846"/>
      <c r="Y2767" s="740">
        <f t="shared" si="352"/>
        <v>0</v>
      </c>
      <c r="Z2767" s="847"/>
      <c r="AA2767" s="847"/>
      <c r="AB2767" s="741">
        <f t="shared" si="353"/>
        <v>0</v>
      </c>
      <c r="AC2767" s="846"/>
      <c r="AD2767" s="847"/>
      <c r="AE2767" s="846"/>
      <c r="AF2767" s="846"/>
      <c r="AG2767" s="847"/>
      <c r="AH2767" s="847"/>
      <c r="AI2767" s="742">
        <f t="shared" si="357"/>
        <v>98221644.329999998</v>
      </c>
      <c r="AJ2767" s="743">
        <f t="shared" si="358"/>
        <v>100290529</v>
      </c>
    </row>
    <row r="2768" spans="1:36">
      <c r="A2768" s="991" t="s">
        <v>155</v>
      </c>
      <c r="B2768" s="992" t="s">
        <v>264</v>
      </c>
      <c r="C2768" s="998" t="s">
        <v>778</v>
      </c>
      <c r="D2768" s="1006" t="s">
        <v>831</v>
      </c>
      <c r="E2768" s="1000">
        <v>220075</v>
      </c>
      <c r="F2768" s="1001">
        <v>3</v>
      </c>
      <c r="G2768" s="846">
        <v>50382270.659999996</v>
      </c>
      <c r="H2768" s="847">
        <v>49822847</v>
      </c>
      <c r="I2768" s="846"/>
      <c r="J2768" s="847"/>
      <c r="K2768" s="846"/>
      <c r="L2768" s="847"/>
      <c r="M2768" s="846">
        <v>100945380</v>
      </c>
      <c r="N2768" s="846">
        <v>2641000</v>
      </c>
      <c r="O2768" s="737">
        <f t="shared" si="351"/>
        <v>103586380</v>
      </c>
      <c r="P2768" s="847">
        <v>106101350</v>
      </c>
      <c r="Q2768" s="847">
        <v>2587800</v>
      </c>
      <c r="R2768" s="738">
        <f t="shared" si="354"/>
        <v>108689150</v>
      </c>
      <c r="S2768" s="737">
        <f t="shared" si="355"/>
        <v>151327650.66</v>
      </c>
      <c r="T2768" s="739">
        <f t="shared" si="356"/>
        <v>155924197</v>
      </c>
      <c r="U2768" s="846"/>
      <c r="V2768" s="847"/>
      <c r="W2768" s="846"/>
      <c r="X2768" s="846"/>
      <c r="Y2768" s="740">
        <f t="shared" si="352"/>
        <v>0</v>
      </c>
      <c r="Z2768" s="847"/>
      <c r="AA2768" s="847"/>
      <c r="AB2768" s="741">
        <f t="shared" si="353"/>
        <v>0</v>
      </c>
      <c r="AC2768" s="846"/>
      <c r="AD2768" s="847"/>
      <c r="AE2768" s="846"/>
      <c r="AF2768" s="846"/>
      <c r="AG2768" s="847"/>
      <c r="AH2768" s="847"/>
      <c r="AI2768" s="742">
        <f t="shared" si="357"/>
        <v>151327650.66</v>
      </c>
      <c r="AJ2768" s="743">
        <f t="shared" si="358"/>
        <v>155924197</v>
      </c>
    </row>
    <row r="2769" spans="1:36">
      <c r="A2769" s="991" t="s">
        <v>155</v>
      </c>
      <c r="B2769" s="992" t="s">
        <v>280</v>
      </c>
      <c r="C2769" s="1004" t="s">
        <v>717</v>
      </c>
      <c r="D2769" s="1003"/>
      <c r="E2769" s="1000">
        <v>220075</v>
      </c>
      <c r="F2769" s="1001">
        <v>3</v>
      </c>
      <c r="G2769" s="846"/>
      <c r="H2769" s="847"/>
      <c r="I2769" s="846"/>
      <c r="J2769" s="847"/>
      <c r="K2769" s="846"/>
      <c r="L2769" s="847"/>
      <c r="M2769" s="846"/>
      <c r="N2769" s="846"/>
      <c r="O2769" s="737">
        <f t="shared" si="351"/>
        <v>0</v>
      </c>
      <c r="P2769" s="847"/>
      <c r="Q2769" s="847"/>
      <c r="R2769" s="738">
        <f t="shared" si="354"/>
        <v>0</v>
      </c>
      <c r="S2769" s="737">
        <f t="shared" si="355"/>
        <v>0</v>
      </c>
      <c r="T2769" s="739">
        <f t="shared" si="356"/>
        <v>0</v>
      </c>
      <c r="U2769" s="846"/>
      <c r="V2769" s="847"/>
      <c r="W2769" s="846"/>
      <c r="X2769" s="846"/>
      <c r="Y2769" s="740">
        <f t="shared" si="352"/>
        <v>0</v>
      </c>
      <c r="Z2769" s="847"/>
      <c r="AA2769" s="847"/>
      <c r="AB2769" s="741">
        <f t="shared" si="353"/>
        <v>0</v>
      </c>
      <c r="AC2769" s="846">
        <v>35236200</v>
      </c>
      <c r="AD2769" s="847">
        <v>35304100</v>
      </c>
      <c r="AE2769" s="890">
        <v>19499200</v>
      </c>
      <c r="AF2769" s="846">
        <v>164600</v>
      </c>
      <c r="AG2769" s="1023">
        <v>19811300</v>
      </c>
      <c r="AH2769" s="847">
        <v>147300</v>
      </c>
      <c r="AI2769" s="742">
        <f t="shared" si="357"/>
        <v>54735400</v>
      </c>
      <c r="AJ2769" s="743">
        <f t="shared" si="358"/>
        <v>55115400</v>
      </c>
    </row>
    <row r="2770" spans="1:36">
      <c r="A2770" s="991" t="s">
        <v>155</v>
      </c>
      <c r="B2770" s="992" t="s">
        <v>264</v>
      </c>
      <c r="C2770" s="998" t="s">
        <v>779</v>
      </c>
      <c r="D2770" s="999"/>
      <c r="E2770" s="1000">
        <v>220978</v>
      </c>
      <c r="F2770" s="1001">
        <v>3</v>
      </c>
      <c r="G2770" s="890">
        <v>83052580</v>
      </c>
      <c r="H2770" s="847">
        <v>85047215</v>
      </c>
      <c r="I2770" s="846"/>
      <c r="J2770" s="847"/>
      <c r="K2770" s="846"/>
      <c r="L2770" s="847"/>
      <c r="M2770" s="846">
        <v>160637379</v>
      </c>
      <c r="N2770" s="846">
        <v>8700000</v>
      </c>
      <c r="O2770" s="737">
        <f t="shared" si="351"/>
        <v>169337379</v>
      </c>
      <c r="P2770" s="847">
        <v>160549122</v>
      </c>
      <c r="Q2770" s="847">
        <v>8378400</v>
      </c>
      <c r="R2770" s="738">
        <f t="shared" si="354"/>
        <v>168927522</v>
      </c>
      <c r="S2770" s="737">
        <f t="shared" si="355"/>
        <v>243689959</v>
      </c>
      <c r="T2770" s="739">
        <f t="shared" si="356"/>
        <v>245596337</v>
      </c>
      <c r="U2770" s="846"/>
      <c r="V2770" s="847"/>
      <c r="W2770" s="846"/>
      <c r="X2770" s="846"/>
      <c r="Y2770" s="740">
        <f t="shared" si="352"/>
        <v>0</v>
      </c>
      <c r="Z2770" s="847"/>
      <c r="AA2770" s="847"/>
      <c r="AB2770" s="741">
        <f t="shared" si="353"/>
        <v>0</v>
      </c>
      <c r="AC2770" s="846"/>
      <c r="AD2770" s="847"/>
      <c r="AE2770" s="846"/>
      <c r="AF2770" s="846"/>
      <c r="AG2770" s="847"/>
      <c r="AH2770" s="847"/>
      <c r="AI2770" s="742">
        <f t="shared" si="357"/>
        <v>243689959</v>
      </c>
      <c r="AJ2770" s="743">
        <f t="shared" si="358"/>
        <v>245596337</v>
      </c>
    </row>
    <row r="2771" spans="1:36">
      <c r="A2771" s="991" t="s">
        <v>155</v>
      </c>
      <c r="B2771" s="992" t="s">
        <v>264</v>
      </c>
      <c r="C2771" s="993" t="s">
        <v>780</v>
      </c>
      <c r="D2771" s="994"/>
      <c r="E2771" s="995">
        <v>221847</v>
      </c>
      <c r="F2771" s="996">
        <v>3</v>
      </c>
      <c r="G2771" s="890">
        <v>43912465</v>
      </c>
      <c r="H2771" s="847">
        <v>42509040</v>
      </c>
      <c r="I2771" s="846"/>
      <c r="J2771" s="847"/>
      <c r="K2771" s="846"/>
      <c r="L2771" s="847"/>
      <c r="M2771" s="846">
        <v>80670620</v>
      </c>
      <c r="N2771" s="846">
        <v>587000</v>
      </c>
      <c r="O2771" s="737">
        <f t="shared" si="351"/>
        <v>81257620</v>
      </c>
      <c r="P2771" s="847">
        <v>90506800</v>
      </c>
      <c r="Q2771" s="847">
        <v>1613700</v>
      </c>
      <c r="R2771" s="738">
        <f t="shared" si="354"/>
        <v>92120500</v>
      </c>
      <c r="S2771" s="737">
        <f t="shared" si="355"/>
        <v>124583085</v>
      </c>
      <c r="T2771" s="739">
        <f t="shared" si="356"/>
        <v>133015840</v>
      </c>
      <c r="U2771" s="846"/>
      <c r="V2771" s="847"/>
      <c r="W2771" s="846"/>
      <c r="X2771" s="846"/>
      <c r="Y2771" s="740">
        <f t="shared" si="352"/>
        <v>0</v>
      </c>
      <c r="Z2771" s="847"/>
      <c r="AA2771" s="847"/>
      <c r="AB2771" s="741">
        <f t="shared" si="353"/>
        <v>0</v>
      </c>
      <c r="AC2771" s="846"/>
      <c r="AD2771" s="847"/>
      <c r="AE2771" s="846"/>
      <c r="AF2771" s="846"/>
      <c r="AG2771" s="847"/>
      <c r="AH2771" s="847"/>
      <c r="AI2771" s="742">
        <f t="shared" si="357"/>
        <v>124583085</v>
      </c>
      <c r="AJ2771" s="743">
        <f t="shared" si="358"/>
        <v>133015840</v>
      </c>
    </row>
    <row r="2772" spans="1:36">
      <c r="A2772" s="991" t="s">
        <v>155</v>
      </c>
      <c r="B2772" s="992" t="s">
        <v>264</v>
      </c>
      <c r="C2772" s="998" t="s">
        <v>781</v>
      </c>
      <c r="D2772" s="999"/>
      <c r="E2772" s="1000">
        <v>221740</v>
      </c>
      <c r="F2772" s="1001">
        <v>3</v>
      </c>
      <c r="G2772" s="846">
        <v>38681641.691104561</v>
      </c>
      <c r="H2772" s="847">
        <v>39686595.586178131</v>
      </c>
      <c r="I2772" s="846"/>
      <c r="J2772" s="847"/>
      <c r="K2772" s="846"/>
      <c r="L2772" s="847"/>
      <c r="M2772" s="846">
        <v>74434353</v>
      </c>
      <c r="N2772" s="846">
        <v>3000000</v>
      </c>
      <c r="O2772" s="737">
        <f t="shared" si="351"/>
        <v>77434353</v>
      </c>
      <c r="P2772" s="847">
        <v>80140908</v>
      </c>
      <c r="Q2772" s="847">
        <v>3000000</v>
      </c>
      <c r="R2772" s="738">
        <f t="shared" si="354"/>
        <v>83140908</v>
      </c>
      <c r="S2772" s="737">
        <f t="shared" si="355"/>
        <v>113115994.69110456</v>
      </c>
      <c r="T2772" s="739">
        <f t="shared" si="356"/>
        <v>119827503.58617812</v>
      </c>
      <c r="U2772" s="846"/>
      <c r="V2772" s="847"/>
      <c r="W2772" s="846"/>
      <c r="X2772" s="846"/>
      <c r="Y2772" s="740">
        <f t="shared" si="352"/>
        <v>0</v>
      </c>
      <c r="Z2772" s="847"/>
      <c r="AA2772" s="847"/>
      <c r="AB2772" s="741">
        <f t="shared" si="353"/>
        <v>0</v>
      </c>
      <c r="AC2772" s="846"/>
      <c r="AD2772" s="847"/>
      <c r="AE2772" s="846"/>
      <c r="AF2772" s="846"/>
      <c r="AG2772" s="847"/>
      <c r="AH2772" s="847"/>
      <c r="AI2772" s="742">
        <f t="shared" si="357"/>
        <v>113115994.69110456</v>
      </c>
      <c r="AJ2772" s="743">
        <f t="shared" si="358"/>
        <v>119827503.58617812</v>
      </c>
    </row>
    <row r="2773" spans="1:36">
      <c r="A2773" s="991" t="s">
        <v>155</v>
      </c>
      <c r="B2773" s="992" t="s">
        <v>264</v>
      </c>
      <c r="C2773" s="998" t="s">
        <v>782</v>
      </c>
      <c r="D2773" s="994"/>
      <c r="E2773" s="1000">
        <v>221768</v>
      </c>
      <c r="F2773" s="1001">
        <v>5</v>
      </c>
      <c r="G2773" s="846">
        <v>26780564.698208787</v>
      </c>
      <c r="H2773" s="847">
        <v>27467642.664461784</v>
      </c>
      <c r="I2773" s="846"/>
      <c r="J2773" s="847"/>
      <c r="K2773" s="846"/>
      <c r="L2773" s="847"/>
      <c r="M2773" s="846">
        <v>52866500</v>
      </c>
      <c r="N2773" s="846">
        <v>2500000</v>
      </c>
      <c r="O2773" s="737">
        <f t="shared" si="351"/>
        <v>55366500</v>
      </c>
      <c r="P2773" s="847">
        <v>54584186</v>
      </c>
      <c r="Q2773" s="847">
        <v>2500000</v>
      </c>
      <c r="R2773" s="738">
        <f t="shared" si="354"/>
        <v>57084186</v>
      </c>
      <c r="S2773" s="737">
        <f t="shared" si="355"/>
        <v>79647064.698208779</v>
      </c>
      <c r="T2773" s="739">
        <f t="shared" si="356"/>
        <v>82051828.664461792</v>
      </c>
      <c r="U2773" s="846"/>
      <c r="V2773" s="847"/>
      <c r="W2773" s="846"/>
      <c r="X2773" s="846"/>
      <c r="Y2773" s="740">
        <f t="shared" si="352"/>
        <v>0</v>
      </c>
      <c r="Z2773" s="847"/>
      <c r="AA2773" s="847"/>
      <c r="AB2773" s="741">
        <f t="shared" si="353"/>
        <v>0</v>
      </c>
      <c r="AC2773" s="846"/>
      <c r="AD2773" s="847"/>
      <c r="AE2773" s="846"/>
      <c r="AF2773" s="846"/>
      <c r="AG2773" s="847"/>
      <c r="AH2773" s="847"/>
      <c r="AI2773" s="742">
        <f t="shared" si="357"/>
        <v>79647064.698208779</v>
      </c>
      <c r="AJ2773" s="743">
        <f t="shared" si="358"/>
        <v>82051828.664461792</v>
      </c>
    </row>
    <row r="2774" spans="1:36">
      <c r="A2774" s="991" t="s">
        <v>155</v>
      </c>
      <c r="B2774" s="992" t="s">
        <v>264</v>
      </c>
      <c r="C2774" s="998" t="s">
        <v>783</v>
      </c>
      <c r="D2774" s="1007"/>
      <c r="E2774" s="1008">
        <v>219824</v>
      </c>
      <c r="F2774" s="1009">
        <v>8</v>
      </c>
      <c r="G2774" s="846">
        <v>27016809.209693097</v>
      </c>
      <c r="H2774" s="847">
        <v>26378631</v>
      </c>
      <c r="I2774" s="846"/>
      <c r="J2774" s="847"/>
      <c r="K2774" s="846"/>
      <c r="L2774" s="847"/>
      <c r="M2774" s="846">
        <v>30475000</v>
      </c>
      <c r="N2774" s="846">
        <v>0</v>
      </c>
      <c r="O2774" s="737">
        <f t="shared" si="351"/>
        <v>30475000</v>
      </c>
      <c r="P2774" s="847">
        <v>29450000</v>
      </c>
      <c r="Q2774" s="847">
        <v>0</v>
      </c>
      <c r="R2774" s="738">
        <f t="shared" si="354"/>
        <v>29450000</v>
      </c>
      <c r="S2774" s="737">
        <f t="shared" si="355"/>
        <v>57491809.209693097</v>
      </c>
      <c r="T2774" s="739">
        <f t="shared" si="356"/>
        <v>55828631</v>
      </c>
      <c r="U2774" s="846"/>
      <c r="V2774" s="847"/>
      <c r="W2774" s="846"/>
      <c r="X2774" s="846"/>
      <c r="Y2774" s="740">
        <f t="shared" si="352"/>
        <v>0</v>
      </c>
      <c r="Z2774" s="847"/>
      <c r="AA2774" s="847"/>
      <c r="AB2774" s="741">
        <f t="shared" si="353"/>
        <v>0</v>
      </c>
      <c r="AC2774" s="846"/>
      <c r="AD2774" s="847"/>
      <c r="AE2774" s="846"/>
      <c r="AF2774" s="846"/>
      <c r="AG2774" s="847"/>
      <c r="AH2774" s="847"/>
      <c r="AI2774" s="742">
        <f t="shared" si="357"/>
        <v>57491809.209693097</v>
      </c>
      <c r="AJ2774" s="743">
        <f t="shared" si="358"/>
        <v>55828631</v>
      </c>
    </row>
    <row r="2775" spans="1:36">
      <c r="A2775" s="991" t="s">
        <v>155</v>
      </c>
      <c r="B2775" s="992" t="s">
        <v>264</v>
      </c>
      <c r="C2775" s="993" t="s">
        <v>784</v>
      </c>
      <c r="D2775" s="1010"/>
      <c r="E2775" s="1008">
        <v>221184</v>
      </c>
      <c r="F2775" s="996">
        <v>8</v>
      </c>
      <c r="G2775" s="846">
        <v>16231044.744341064</v>
      </c>
      <c r="H2775" s="847">
        <v>16100004</v>
      </c>
      <c r="I2775" s="846"/>
      <c r="J2775" s="847"/>
      <c r="K2775" s="846"/>
      <c r="L2775" s="847"/>
      <c r="M2775" s="846">
        <v>27606600</v>
      </c>
      <c r="N2775" s="846">
        <v>0</v>
      </c>
      <c r="O2775" s="737">
        <f t="shared" si="351"/>
        <v>27606600</v>
      </c>
      <c r="P2775" s="847">
        <v>27640860</v>
      </c>
      <c r="Q2775" s="847">
        <v>0</v>
      </c>
      <c r="R2775" s="738">
        <f t="shared" si="354"/>
        <v>27640860</v>
      </c>
      <c r="S2775" s="737">
        <f t="shared" si="355"/>
        <v>43837644.744341061</v>
      </c>
      <c r="T2775" s="739">
        <f t="shared" si="356"/>
        <v>43740864</v>
      </c>
      <c r="U2775" s="846"/>
      <c r="V2775" s="847"/>
      <c r="W2775" s="846"/>
      <c r="X2775" s="846"/>
      <c r="Y2775" s="740">
        <f t="shared" si="352"/>
        <v>0</v>
      </c>
      <c r="Z2775" s="847"/>
      <c r="AA2775" s="847"/>
      <c r="AB2775" s="741">
        <f t="shared" si="353"/>
        <v>0</v>
      </c>
      <c r="AC2775" s="846"/>
      <c r="AD2775" s="847"/>
      <c r="AE2775" s="846"/>
      <c r="AF2775" s="846"/>
      <c r="AG2775" s="847"/>
      <c r="AH2775" s="847"/>
      <c r="AI2775" s="742">
        <f t="shared" si="357"/>
        <v>43837644.744341061</v>
      </c>
      <c r="AJ2775" s="743">
        <f t="shared" si="358"/>
        <v>43740864</v>
      </c>
    </row>
    <row r="2776" spans="1:36">
      <c r="A2776" s="991" t="s">
        <v>155</v>
      </c>
      <c r="B2776" s="992" t="s">
        <v>264</v>
      </c>
      <c r="C2776" s="998" t="s">
        <v>785</v>
      </c>
      <c r="D2776" s="1007"/>
      <c r="E2776" s="1008">
        <v>221643</v>
      </c>
      <c r="F2776" s="1009">
        <v>8</v>
      </c>
      <c r="G2776" s="846">
        <v>23198377.195389528</v>
      </c>
      <c r="H2776" s="847">
        <v>23688940</v>
      </c>
      <c r="I2776" s="846"/>
      <c r="J2776" s="847"/>
      <c r="K2776" s="846"/>
      <c r="L2776" s="847"/>
      <c r="M2776" s="846">
        <v>33250000</v>
      </c>
      <c r="N2776" s="846">
        <v>330000</v>
      </c>
      <c r="O2776" s="737">
        <f t="shared" si="351"/>
        <v>33580000</v>
      </c>
      <c r="P2776" s="847">
        <v>34035000</v>
      </c>
      <c r="Q2776" s="847">
        <v>310000</v>
      </c>
      <c r="R2776" s="738">
        <f t="shared" si="354"/>
        <v>34345000</v>
      </c>
      <c r="S2776" s="737">
        <f t="shared" si="355"/>
        <v>56448377.195389524</v>
      </c>
      <c r="T2776" s="739">
        <f t="shared" si="356"/>
        <v>57723940</v>
      </c>
      <c r="U2776" s="846"/>
      <c r="V2776" s="847"/>
      <c r="W2776" s="846"/>
      <c r="X2776" s="846"/>
      <c r="Y2776" s="740">
        <f t="shared" si="352"/>
        <v>0</v>
      </c>
      <c r="Z2776" s="847"/>
      <c r="AA2776" s="847"/>
      <c r="AB2776" s="741">
        <f t="shared" si="353"/>
        <v>0</v>
      </c>
      <c r="AC2776" s="846"/>
      <c r="AD2776" s="847"/>
      <c r="AE2776" s="846"/>
      <c r="AF2776" s="846"/>
      <c r="AG2776" s="847"/>
      <c r="AH2776" s="847"/>
      <c r="AI2776" s="742">
        <f t="shared" si="357"/>
        <v>56448377.195389524</v>
      </c>
      <c r="AJ2776" s="743">
        <f t="shared" si="358"/>
        <v>57723940</v>
      </c>
    </row>
    <row r="2777" spans="1:36">
      <c r="A2777" s="991" t="s">
        <v>155</v>
      </c>
      <c r="B2777" s="992" t="s">
        <v>264</v>
      </c>
      <c r="C2777" s="998" t="s">
        <v>786</v>
      </c>
      <c r="D2777" s="1007"/>
      <c r="E2777" s="1008">
        <v>221485</v>
      </c>
      <c r="F2777" s="1009">
        <v>8</v>
      </c>
      <c r="G2777" s="846">
        <v>28442513.386474099</v>
      </c>
      <c r="H2777" s="847">
        <v>25210496</v>
      </c>
      <c r="I2777" s="846"/>
      <c r="J2777" s="847"/>
      <c r="K2777" s="846"/>
      <c r="L2777" s="847"/>
      <c r="M2777" s="846">
        <v>35031400</v>
      </c>
      <c r="N2777" s="846">
        <v>0</v>
      </c>
      <c r="O2777" s="737">
        <f t="shared" si="351"/>
        <v>35031400</v>
      </c>
      <c r="P2777" s="847">
        <v>31923000</v>
      </c>
      <c r="Q2777" s="847">
        <v>0</v>
      </c>
      <c r="R2777" s="738">
        <f t="shared" si="354"/>
        <v>31923000</v>
      </c>
      <c r="S2777" s="737">
        <f t="shared" si="355"/>
        <v>63473913.386474103</v>
      </c>
      <c r="T2777" s="739">
        <f t="shared" si="356"/>
        <v>57133496</v>
      </c>
      <c r="U2777" s="846"/>
      <c r="V2777" s="847"/>
      <c r="W2777" s="846"/>
      <c r="X2777" s="846"/>
      <c r="Y2777" s="740">
        <f t="shared" si="352"/>
        <v>0</v>
      </c>
      <c r="Z2777" s="847"/>
      <c r="AA2777" s="847"/>
      <c r="AB2777" s="741">
        <f t="shared" si="353"/>
        <v>0</v>
      </c>
      <c r="AC2777" s="846"/>
      <c r="AD2777" s="847"/>
      <c r="AE2777" s="846"/>
      <c r="AF2777" s="846"/>
      <c r="AG2777" s="847"/>
      <c r="AH2777" s="847"/>
      <c r="AI2777" s="742">
        <f t="shared" si="357"/>
        <v>63473913.386474103</v>
      </c>
      <c r="AJ2777" s="743">
        <f t="shared" si="358"/>
        <v>57133496</v>
      </c>
    </row>
    <row r="2778" spans="1:36">
      <c r="A2778" s="991" t="s">
        <v>155</v>
      </c>
      <c r="B2778" s="992" t="s">
        <v>264</v>
      </c>
      <c r="C2778" s="993" t="s">
        <v>787</v>
      </c>
      <c r="D2778" s="1010"/>
      <c r="E2778" s="1008">
        <v>222053</v>
      </c>
      <c r="F2778" s="996">
        <v>8</v>
      </c>
      <c r="G2778" s="846">
        <v>16423090.356894875</v>
      </c>
      <c r="H2778" s="847">
        <v>16501160</v>
      </c>
      <c r="I2778" s="846"/>
      <c r="J2778" s="847"/>
      <c r="K2778" s="846"/>
      <c r="L2778" s="847"/>
      <c r="M2778" s="846">
        <v>23862800</v>
      </c>
      <c r="N2778" s="846">
        <v>0</v>
      </c>
      <c r="O2778" s="737">
        <f t="shared" si="351"/>
        <v>23862800</v>
      </c>
      <c r="P2778" s="847">
        <v>24399700</v>
      </c>
      <c r="Q2778" s="847">
        <v>0</v>
      </c>
      <c r="R2778" s="738">
        <f t="shared" si="354"/>
        <v>24399700</v>
      </c>
      <c r="S2778" s="737">
        <f t="shared" si="355"/>
        <v>40285890.356894873</v>
      </c>
      <c r="T2778" s="739">
        <f t="shared" si="356"/>
        <v>40900860</v>
      </c>
      <c r="U2778" s="846"/>
      <c r="V2778" s="847"/>
      <c r="W2778" s="846"/>
      <c r="X2778" s="846"/>
      <c r="Y2778" s="740">
        <f t="shared" si="352"/>
        <v>0</v>
      </c>
      <c r="Z2778" s="847"/>
      <c r="AA2778" s="847"/>
      <c r="AB2778" s="741">
        <f t="shared" si="353"/>
        <v>0</v>
      </c>
      <c r="AC2778" s="846"/>
      <c r="AD2778" s="847"/>
      <c r="AE2778" s="846"/>
      <c r="AF2778" s="846"/>
      <c r="AG2778" s="847"/>
      <c r="AH2778" s="847"/>
      <c r="AI2778" s="742">
        <f t="shared" si="357"/>
        <v>40285890.356894873</v>
      </c>
      <c r="AJ2778" s="743">
        <f t="shared" si="358"/>
        <v>40900860</v>
      </c>
    </row>
    <row r="2779" spans="1:36">
      <c r="A2779" s="991" t="s">
        <v>155</v>
      </c>
      <c r="B2779" s="992" t="s">
        <v>264</v>
      </c>
      <c r="C2779" s="998" t="s">
        <v>788</v>
      </c>
      <c r="D2779" s="1007"/>
      <c r="E2779" s="1008">
        <v>219879</v>
      </c>
      <c r="F2779" s="1009">
        <v>9</v>
      </c>
      <c r="G2779" s="846">
        <v>9259459.8889043182</v>
      </c>
      <c r="H2779" s="847">
        <v>9023560</v>
      </c>
      <c r="I2779" s="846"/>
      <c r="J2779" s="847"/>
      <c r="K2779" s="846"/>
      <c r="L2779" s="847"/>
      <c r="M2779" s="846">
        <v>11253000</v>
      </c>
      <c r="N2779" s="846">
        <v>0</v>
      </c>
      <c r="O2779" s="737">
        <f t="shared" si="351"/>
        <v>11253000</v>
      </c>
      <c r="P2779" s="847">
        <v>10401800</v>
      </c>
      <c r="Q2779" s="847">
        <v>0</v>
      </c>
      <c r="R2779" s="738">
        <f t="shared" si="354"/>
        <v>10401800</v>
      </c>
      <c r="S2779" s="737">
        <f t="shared" si="355"/>
        <v>20512459.888904318</v>
      </c>
      <c r="T2779" s="739">
        <f t="shared" si="356"/>
        <v>19425360</v>
      </c>
      <c r="U2779" s="846"/>
      <c r="V2779" s="847"/>
      <c r="W2779" s="846"/>
      <c r="X2779" s="846"/>
      <c r="Y2779" s="740">
        <f t="shared" si="352"/>
        <v>0</v>
      </c>
      <c r="Z2779" s="847"/>
      <c r="AA2779" s="847"/>
      <c r="AB2779" s="741">
        <f t="shared" si="353"/>
        <v>0</v>
      </c>
      <c r="AC2779" s="846"/>
      <c r="AD2779" s="847"/>
      <c r="AE2779" s="846"/>
      <c r="AF2779" s="846"/>
      <c r="AG2779" s="847"/>
      <c r="AH2779" s="847"/>
      <c r="AI2779" s="742">
        <f t="shared" si="357"/>
        <v>20512459.888904318</v>
      </c>
      <c r="AJ2779" s="743">
        <f t="shared" si="358"/>
        <v>19425360</v>
      </c>
    </row>
    <row r="2780" spans="1:36">
      <c r="A2780" s="991" t="s">
        <v>155</v>
      </c>
      <c r="B2780" s="992" t="s">
        <v>264</v>
      </c>
      <c r="C2780" s="998" t="s">
        <v>789</v>
      </c>
      <c r="D2780" s="1007"/>
      <c r="E2780" s="1008">
        <v>219888</v>
      </c>
      <c r="F2780" s="1009">
        <v>9</v>
      </c>
      <c r="G2780" s="846">
        <v>12717070.659630606</v>
      </c>
      <c r="H2780" s="847">
        <v>12602340</v>
      </c>
      <c r="I2780" s="846"/>
      <c r="J2780" s="847"/>
      <c r="K2780" s="846"/>
      <c r="L2780" s="847"/>
      <c r="M2780" s="846">
        <v>13997000</v>
      </c>
      <c r="N2780" s="846">
        <v>0</v>
      </c>
      <c r="O2780" s="737">
        <f t="shared" si="351"/>
        <v>13997000</v>
      </c>
      <c r="P2780" s="847">
        <v>14230000</v>
      </c>
      <c r="Q2780" s="847">
        <v>0</v>
      </c>
      <c r="R2780" s="738">
        <f t="shared" si="354"/>
        <v>14230000</v>
      </c>
      <c r="S2780" s="737">
        <f t="shared" si="355"/>
        <v>26714070.659630604</v>
      </c>
      <c r="T2780" s="739">
        <f t="shared" si="356"/>
        <v>26832340</v>
      </c>
      <c r="U2780" s="846"/>
      <c r="V2780" s="847"/>
      <c r="W2780" s="846"/>
      <c r="X2780" s="846"/>
      <c r="Y2780" s="740">
        <f t="shared" si="352"/>
        <v>0</v>
      </c>
      <c r="Z2780" s="847"/>
      <c r="AA2780" s="847"/>
      <c r="AB2780" s="741">
        <f t="shared" si="353"/>
        <v>0</v>
      </c>
      <c r="AC2780" s="846"/>
      <c r="AD2780" s="847"/>
      <c r="AE2780" s="846"/>
      <c r="AF2780" s="846"/>
      <c r="AG2780" s="847"/>
      <c r="AH2780" s="847"/>
      <c r="AI2780" s="742">
        <f t="shared" si="357"/>
        <v>26714070.659630604</v>
      </c>
      <c r="AJ2780" s="743">
        <f t="shared" si="358"/>
        <v>26832340</v>
      </c>
    </row>
    <row r="2781" spans="1:36">
      <c r="A2781" s="991" t="s">
        <v>155</v>
      </c>
      <c r="B2781" s="992" t="s">
        <v>264</v>
      </c>
      <c r="C2781" s="993" t="s">
        <v>790</v>
      </c>
      <c r="D2781" s="1006" t="s">
        <v>532</v>
      </c>
      <c r="E2781" s="1008">
        <v>220057</v>
      </c>
      <c r="F2781" s="996">
        <v>9</v>
      </c>
      <c r="G2781" s="846">
        <v>7480695.2398278015</v>
      </c>
      <c r="H2781" s="847">
        <v>7500780</v>
      </c>
      <c r="I2781" s="846"/>
      <c r="J2781" s="847"/>
      <c r="K2781" s="846"/>
      <c r="L2781" s="847"/>
      <c r="M2781" s="846">
        <v>8113300</v>
      </c>
      <c r="N2781" s="846">
        <v>0</v>
      </c>
      <c r="O2781" s="737">
        <f t="shared" si="351"/>
        <v>8113300</v>
      </c>
      <c r="P2781" s="847">
        <v>7824000</v>
      </c>
      <c r="Q2781" s="847">
        <v>0</v>
      </c>
      <c r="R2781" s="738">
        <f t="shared" si="354"/>
        <v>7824000</v>
      </c>
      <c r="S2781" s="737">
        <f t="shared" si="355"/>
        <v>15593995.239827801</v>
      </c>
      <c r="T2781" s="739">
        <f t="shared" si="356"/>
        <v>15324780</v>
      </c>
      <c r="U2781" s="846"/>
      <c r="V2781" s="847"/>
      <c r="W2781" s="846"/>
      <c r="X2781" s="846"/>
      <c r="Y2781" s="740">
        <f t="shared" si="352"/>
        <v>0</v>
      </c>
      <c r="Z2781" s="847"/>
      <c r="AA2781" s="847"/>
      <c r="AB2781" s="741">
        <f t="shared" si="353"/>
        <v>0</v>
      </c>
      <c r="AC2781" s="846"/>
      <c r="AD2781" s="847"/>
      <c r="AE2781" s="846"/>
      <c r="AF2781" s="846"/>
      <c r="AG2781" s="847"/>
      <c r="AH2781" s="847"/>
      <c r="AI2781" s="742">
        <f t="shared" si="357"/>
        <v>15593995.239827801</v>
      </c>
      <c r="AJ2781" s="743">
        <f t="shared" si="358"/>
        <v>15324780</v>
      </c>
    </row>
    <row r="2782" spans="1:36">
      <c r="A2782" s="991" t="s">
        <v>155</v>
      </c>
      <c r="B2782" s="992" t="s">
        <v>264</v>
      </c>
      <c r="C2782" s="998" t="s">
        <v>791</v>
      </c>
      <c r="D2782" s="1007"/>
      <c r="E2782" s="1008">
        <v>220400</v>
      </c>
      <c r="F2782" s="1009">
        <v>9</v>
      </c>
      <c r="G2782" s="846">
        <v>11748943.921677545</v>
      </c>
      <c r="H2782" s="847">
        <v>11326080</v>
      </c>
      <c r="I2782" s="846"/>
      <c r="J2782" s="847"/>
      <c r="K2782" s="846"/>
      <c r="L2782" s="847"/>
      <c r="M2782" s="846">
        <v>13620600</v>
      </c>
      <c r="N2782" s="846">
        <v>0</v>
      </c>
      <c r="O2782" s="737">
        <f t="shared" si="351"/>
        <v>13620600</v>
      </c>
      <c r="P2782" s="847">
        <v>14052200</v>
      </c>
      <c r="Q2782" s="847">
        <v>0</v>
      </c>
      <c r="R2782" s="738">
        <f t="shared" si="354"/>
        <v>14052200</v>
      </c>
      <c r="S2782" s="737">
        <f t="shared" si="355"/>
        <v>25369543.921677545</v>
      </c>
      <c r="T2782" s="739">
        <f t="shared" si="356"/>
        <v>25378280</v>
      </c>
      <c r="U2782" s="846"/>
      <c r="V2782" s="847"/>
      <c r="W2782" s="846"/>
      <c r="X2782" s="846"/>
      <c r="Y2782" s="740">
        <f t="shared" si="352"/>
        <v>0</v>
      </c>
      <c r="Z2782" s="847"/>
      <c r="AA2782" s="847"/>
      <c r="AB2782" s="741">
        <f t="shared" si="353"/>
        <v>0</v>
      </c>
      <c r="AC2782" s="846"/>
      <c r="AD2782" s="847"/>
      <c r="AE2782" s="846"/>
      <c r="AF2782" s="846"/>
      <c r="AG2782" s="847"/>
      <c r="AH2782" s="847"/>
      <c r="AI2782" s="742">
        <f t="shared" si="357"/>
        <v>25369543.921677545</v>
      </c>
      <c r="AJ2782" s="743">
        <f t="shared" si="358"/>
        <v>25378280</v>
      </c>
    </row>
    <row r="2783" spans="1:36">
      <c r="A2783" s="991" t="s">
        <v>155</v>
      </c>
      <c r="B2783" s="992" t="s">
        <v>264</v>
      </c>
      <c r="C2783" s="998" t="s">
        <v>792</v>
      </c>
      <c r="D2783" s="1007"/>
      <c r="E2783" s="1008">
        <v>221096</v>
      </c>
      <c r="F2783" s="1009">
        <v>9</v>
      </c>
      <c r="G2783" s="846">
        <v>11258285.41452576</v>
      </c>
      <c r="H2783" s="847">
        <v>10889670</v>
      </c>
      <c r="I2783" s="846"/>
      <c r="J2783" s="847"/>
      <c r="K2783" s="846"/>
      <c r="L2783" s="847"/>
      <c r="M2783" s="846">
        <v>13236700</v>
      </c>
      <c r="N2783" s="846">
        <v>0</v>
      </c>
      <c r="O2783" s="737">
        <f t="shared" si="351"/>
        <v>13236700</v>
      </c>
      <c r="P2783" s="847">
        <v>14366800</v>
      </c>
      <c r="Q2783" s="847">
        <v>0</v>
      </c>
      <c r="R2783" s="738">
        <f t="shared" si="354"/>
        <v>14366800</v>
      </c>
      <c r="S2783" s="737">
        <f t="shared" si="355"/>
        <v>24494985.414525762</v>
      </c>
      <c r="T2783" s="739">
        <f t="shared" si="356"/>
        <v>25256470</v>
      </c>
      <c r="U2783" s="846"/>
      <c r="V2783" s="847"/>
      <c r="W2783" s="846"/>
      <c r="X2783" s="846"/>
      <c r="Y2783" s="740">
        <f t="shared" si="352"/>
        <v>0</v>
      </c>
      <c r="Z2783" s="847"/>
      <c r="AA2783" s="847"/>
      <c r="AB2783" s="741">
        <f t="shared" si="353"/>
        <v>0</v>
      </c>
      <c r="AC2783" s="846"/>
      <c r="AD2783" s="847"/>
      <c r="AE2783" s="846"/>
      <c r="AF2783" s="846"/>
      <c r="AG2783" s="847"/>
      <c r="AH2783" s="847"/>
      <c r="AI2783" s="742">
        <f t="shared" si="357"/>
        <v>24494985.414525762</v>
      </c>
      <c r="AJ2783" s="743">
        <f t="shared" si="358"/>
        <v>25256470</v>
      </c>
    </row>
    <row r="2784" spans="1:36">
      <c r="A2784" s="991" t="s">
        <v>155</v>
      </c>
      <c r="B2784" s="992" t="s">
        <v>264</v>
      </c>
      <c r="C2784" s="998" t="s">
        <v>793</v>
      </c>
      <c r="D2784" s="1007"/>
      <c r="E2784" s="1008">
        <v>221908</v>
      </c>
      <c r="F2784" s="1009">
        <v>9</v>
      </c>
      <c r="G2784" s="846">
        <v>13919104.006388001</v>
      </c>
      <c r="H2784" s="847">
        <v>13442388</v>
      </c>
      <c r="I2784" s="846"/>
      <c r="J2784" s="847"/>
      <c r="K2784" s="846"/>
      <c r="L2784" s="847"/>
      <c r="M2784" s="846">
        <v>17941580</v>
      </c>
      <c r="N2784" s="846">
        <v>0</v>
      </c>
      <c r="O2784" s="737">
        <f t="shared" si="351"/>
        <v>17941580</v>
      </c>
      <c r="P2784" s="847">
        <v>18254600</v>
      </c>
      <c r="Q2784" s="847">
        <v>0</v>
      </c>
      <c r="R2784" s="738">
        <f t="shared" si="354"/>
        <v>18254600</v>
      </c>
      <c r="S2784" s="737">
        <f t="shared" si="355"/>
        <v>31860684.006388001</v>
      </c>
      <c r="T2784" s="739">
        <f t="shared" si="356"/>
        <v>31696988</v>
      </c>
      <c r="U2784" s="846"/>
      <c r="V2784" s="847"/>
      <c r="W2784" s="846"/>
      <c r="X2784" s="846"/>
      <c r="Y2784" s="740">
        <f t="shared" si="352"/>
        <v>0</v>
      </c>
      <c r="Z2784" s="847"/>
      <c r="AA2784" s="847"/>
      <c r="AB2784" s="741">
        <f t="shared" si="353"/>
        <v>0</v>
      </c>
      <c r="AC2784" s="846"/>
      <c r="AD2784" s="847"/>
      <c r="AE2784" s="846"/>
      <c r="AF2784" s="846"/>
      <c r="AG2784" s="847"/>
      <c r="AH2784" s="847"/>
      <c r="AI2784" s="742">
        <f t="shared" si="357"/>
        <v>31860684.006388001</v>
      </c>
      <c r="AJ2784" s="743">
        <f t="shared" si="358"/>
        <v>31696988</v>
      </c>
    </row>
    <row r="2785" spans="1:36">
      <c r="A2785" s="991" t="s">
        <v>155</v>
      </c>
      <c r="B2785" s="992" t="s">
        <v>264</v>
      </c>
      <c r="C2785" s="998" t="s">
        <v>794</v>
      </c>
      <c r="D2785" s="1007"/>
      <c r="E2785" s="1008">
        <v>221397</v>
      </c>
      <c r="F2785" s="1009">
        <v>9</v>
      </c>
      <c r="G2785" s="846">
        <v>16901186.059852798</v>
      </c>
      <c r="H2785" s="847">
        <v>17628775.079999998</v>
      </c>
      <c r="I2785" s="846"/>
      <c r="J2785" s="847"/>
      <c r="K2785" s="846"/>
      <c r="L2785" s="847"/>
      <c r="M2785" s="846">
        <v>18165100</v>
      </c>
      <c r="N2785" s="846">
        <v>0</v>
      </c>
      <c r="O2785" s="737">
        <f t="shared" si="351"/>
        <v>18165100</v>
      </c>
      <c r="P2785" s="847">
        <v>17666300</v>
      </c>
      <c r="Q2785" s="847">
        <v>0</v>
      </c>
      <c r="R2785" s="738">
        <f t="shared" si="354"/>
        <v>17666300</v>
      </c>
      <c r="S2785" s="737">
        <f t="shared" si="355"/>
        <v>35066286.059852794</v>
      </c>
      <c r="T2785" s="739">
        <f t="shared" si="356"/>
        <v>35295075.079999998</v>
      </c>
      <c r="U2785" s="846"/>
      <c r="V2785" s="847"/>
      <c r="W2785" s="846"/>
      <c r="X2785" s="846"/>
      <c r="Y2785" s="740">
        <f t="shared" si="352"/>
        <v>0</v>
      </c>
      <c r="Z2785" s="847"/>
      <c r="AA2785" s="847"/>
      <c r="AB2785" s="741">
        <f t="shared" si="353"/>
        <v>0</v>
      </c>
      <c r="AC2785" s="846"/>
      <c r="AD2785" s="847"/>
      <c r="AE2785" s="846"/>
      <c r="AF2785" s="846"/>
      <c r="AG2785" s="847"/>
      <c r="AH2785" s="847"/>
      <c r="AI2785" s="742">
        <f t="shared" si="357"/>
        <v>35066286.059852794</v>
      </c>
      <c r="AJ2785" s="743">
        <f t="shared" si="358"/>
        <v>35295075.079999998</v>
      </c>
    </row>
    <row r="2786" spans="1:36">
      <c r="A2786" s="991" t="s">
        <v>155</v>
      </c>
      <c r="B2786" s="992" t="s">
        <v>264</v>
      </c>
      <c r="C2786" s="998" t="s">
        <v>795</v>
      </c>
      <c r="D2786" s="1006"/>
      <c r="E2786" s="1008">
        <v>222062</v>
      </c>
      <c r="F2786" s="1009">
        <v>9</v>
      </c>
      <c r="G2786" s="846">
        <v>20234755.9164005</v>
      </c>
      <c r="H2786" s="847">
        <v>20634164</v>
      </c>
      <c r="I2786" s="846"/>
      <c r="J2786" s="847"/>
      <c r="K2786" s="846"/>
      <c r="L2786" s="847"/>
      <c r="M2786" s="846">
        <v>19544400</v>
      </c>
      <c r="N2786" s="846">
        <v>0</v>
      </c>
      <c r="O2786" s="737">
        <f t="shared" si="351"/>
        <v>19544400</v>
      </c>
      <c r="P2786" s="847">
        <v>19918200</v>
      </c>
      <c r="Q2786" s="847">
        <v>0</v>
      </c>
      <c r="R2786" s="738">
        <f t="shared" si="354"/>
        <v>19918200</v>
      </c>
      <c r="S2786" s="737">
        <f t="shared" si="355"/>
        <v>39779155.9164005</v>
      </c>
      <c r="T2786" s="739">
        <f t="shared" si="356"/>
        <v>40552364</v>
      </c>
      <c r="U2786" s="846"/>
      <c r="V2786" s="847"/>
      <c r="W2786" s="846"/>
      <c r="X2786" s="846"/>
      <c r="Y2786" s="740">
        <f t="shared" si="352"/>
        <v>0</v>
      </c>
      <c r="Z2786" s="847"/>
      <c r="AA2786" s="847"/>
      <c r="AB2786" s="741">
        <f t="shared" si="353"/>
        <v>0</v>
      </c>
      <c r="AC2786" s="846"/>
      <c r="AD2786" s="847"/>
      <c r="AE2786" s="846"/>
      <c r="AF2786" s="846"/>
      <c r="AG2786" s="847"/>
      <c r="AH2786" s="847"/>
      <c r="AI2786" s="742">
        <f t="shared" si="357"/>
        <v>39779155.9164005</v>
      </c>
      <c r="AJ2786" s="743">
        <f t="shared" si="358"/>
        <v>40552364</v>
      </c>
    </row>
    <row r="2787" spans="1:36">
      <c r="A2787" s="991" t="s">
        <v>155</v>
      </c>
      <c r="B2787" s="992" t="s">
        <v>264</v>
      </c>
      <c r="C2787" s="993" t="s">
        <v>796</v>
      </c>
      <c r="D2787" s="1005"/>
      <c r="E2787" s="1008" t="s">
        <v>797</v>
      </c>
      <c r="F2787" s="1009">
        <v>12</v>
      </c>
      <c r="G2787" s="846">
        <v>3387500</v>
      </c>
      <c r="H2787" s="847">
        <v>3264000</v>
      </c>
      <c r="I2787" s="846"/>
      <c r="J2787" s="847"/>
      <c r="K2787" s="846"/>
      <c r="L2787" s="847"/>
      <c r="M2787" s="846">
        <v>2676000</v>
      </c>
      <c r="N2787" s="846">
        <v>0</v>
      </c>
      <c r="O2787" s="737">
        <f t="shared" si="351"/>
        <v>2676000</v>
      </c>
      <c r="P2787" s="847">
        <v>2404500</v>
      </c>
      <c r="Q2787" s="847">
        <v>0</v>
      </c>
      <c r="R2787" s="738">
        <f t="shared" si="354"/>
        <v>2404500</v>
      </c>
      <c r="S2787" s="737">
        <f t="shared" si="355"/>
        <v>6063500</v>
      </c>
      <c r="T2787" s="739">
        <f t="shared" si="356"/>
        <v>5668500</v>
      </c>
      <c r="U2787" s="846"/>
      <c r="V2787" s="847"/>
      <c r="W2787" s="846"/>
      <c r="X2787" s="846"/>
      <c r="Y2787" s="740">
        <f t="shared" si="352"/>
        <v>0</v>
      </c>
      <c r="Z2787" s="847"/>
      <c r="AA2787" s="847"/>
      <c r="AB2787" s="741">
        <f t="shared" si="353"/>
        <v>0</v>
      </c>
      <c r="AC2787" s="846"/>
      <c r="AD2787" s="847"/>
      <c r="AE2787" s="846"/>
      <c r="AF2787" s="846"/>
      <c r="AG2787" s="847"/>
      <c r="AH2787" s="847"/>
      <c r="AI2787" s="742">
        <f t="shared" si="357"/>
        <v>6063500</v>
      </c>
      <c r="AJ2787" s="743">
        <f t="shared" si="358"/>
        <v>5668500</v>
      </c>
    </row>
    <row r="2788" spans="1:36">
      <c r="A2788" s="991" t="s">
        <v>155</v>
      </c>
      <c r="B2788" s="992" t="s">
        <v>264</v>
      </c>
      <c r="C2788" s="998" t="s">
        <v>798</v>
      </c>
      <c r="D2788" s="1007"/>
      <c r="E2788" s="1008">
        <v>219596</v>
      </c>
      <c r="F2788" s="1009">
        <v>13</v>
      </c>
      <c r="G2788" s="846">
        <v>1473700</v>
      </c>
      <c r="H2788" s="847">
        <v>1420000</v>
      </c>
      <c r="I2788" s="846"/>
      <c r="J2788" s="847"/>
      <c r="K2788" s="846"/>
      <c r="L2788" s="847"/>
      <c r="M2788" s="846">
        <v>581500</v>
      </c>
      <c r="N2788" s="846">
        <v>0</v>
      </c>
      <c r="O2788" s="737">
        <f t="shared" si="351"/>
        <v>581500</v>
      </c>
      <c r="P2788" s="847">
        <v>664600</v>
      </c>
      <c r="Q2788" s="847">
        <v>0</v>
      </c>
      <c r="R2788" s="738">
        <f t="shared" si="354"/>
        <v>664600</v>
      </c>
      <c r="S2788" s="737">
        <f t="shared" si="355"/>
        <v>2055200</v>
      </c>
      <c r="T2788" s="739">
        <f t="shared" si="356"/>
        <v>2084600</v>
      </c>
      <c r="U2788" s="846"/>
      <c r="V2788" s="847"/>
      <c r="W2788" s="846"/>
      <c r="X2788" s="846"/>
      <c r="Y2788" s="740">
        <f t="shared" si="352"/>
        <v>0</v>
      </c>
      <c r="Z2788" s="847"/>
      <c r="AA2788" s="847"/>
      <c r="AB2788" s="741">
        <f t="shared" si="353"/>
        <v>0</v>
      </c>
      <c r="AC2788" s="846"/>
      <c r="AD2788" s="847"/>
      <c r="AE2788" s="846"/>
      <c r="AF2788" s="846"/>
      <c r="AG2788" s="847"/>
      <c r="AH2788" s="847"/>
      <c r="AI2788" s="742">
        <f t="shared" si="357"/>
        <v>2055200</v>
      </c>
      <c r="AJ2788" s="743">
        <f t="shared" si="358"/>
        <v>2084600</v>
      </c>
    </row>
    <row r="2789" spans="1:36">
      <c r="A2789" s="991" t="s">
        <v>155</v>
      </c>
      <c r="B2789" s="992" t="s">
        <v>264</v>
      </c>
      <c r="C2789" s="998" t="s">
        <v>799</v>
      </c>
      <c r="D2789" s="1007"/>
      <c r="E2789" s="1008">
        <v>219921</v>
      </c>
      <c r="F2789" s="1009">
        <v>13</v>
      </c>
      <c r="G2789" s="846">
        <v>1235700</v>
      </c>
      <c r="H2789" s="847">
        <v>1190600</v>
      </c>
      <c r="I2789" s="846"/>
      <c r="J2789" s="847"/>
      <c r="K2789" s="846"/>
      <c r="L2789" s="847"/>
      <c r="M2789" s="846">
        <v>459800</v>
      </c>
      <c r="N2789" s="846">
        <v>0</v>
      </c>
      <c r="O2789" s="737">
        <f t="shared" si="351"/>
        <v>459800</v>
      </c>
      <c r="P2789" s="847">
        <v>474000</v>
      </c>
      <c r="Q2789" s="847">
        <v>0</v>
      </c>
      <c r="R2789" s="738">
        <f t="shared" si="354"/>
        <v>474000</v>
      </c>
      <c r="S2789" s="737">
        <f t="shared" si="355"/>
        <v>1695500</v>
      </c>
      <c r="T2789" s="739">
        <f t="shared" si="356"/>
        <v>1664600</v>
      </c>
      <c r="U2789" s="846"/>
      <c r="V2789" s="847"/>
      <c r="W2789" s="846"/>
      <c r="X2789" s="846"/>
      <c r="Y2789" s="740">
        <f t="shared" si="352"/>
        <v>0</v>
      </c>
      <c r="Z2789" s="847"/>
      <c r="AA2789" s="847"/>
      <c r="AB2789" s="741">
        <f t="shared" si="353"/>
        <v>0</v>
      </c>
      <c r="AC2789" s="846"/>
      <c r="AD2789" s="847"/>
      <c r="AE2789" s="846"/>
      <c r="AF2789" s="846"/>
      <c r="AG2789" s="847"/>
      <c r="AH2789" s="847"/>
      <c r="AI2789" s="742">
        <f t="shared" si="357"/>
        <v>1695500</v>
      </c>
      <c r="AJ2789" s="743">
        <f t="shared" si="358"/>
        <v>1664600</v>
      </c>
    </row>
    <row r="2790" spans="1:36">
      <c r="A2790" s="991" t="s">
        <v>155</v>
      </c>
      <c r="B2790" s="992" t="s">
        <v>264</v>
      </c>
      <c r="C2790" s="998" t="s">
        <v>800</v>
      </c>
      <c r="D2790" s="1007"/>
      <c r="E2790" s="1008">
        <v>221591</v>
      </c>
      <c r="F2790" s="1009">
        <v>13</v>
      </c>
      <c r="G2790" s="846">
        <v>2472100</v>
      </c>
      <c r="H2790" s="847">
        <v>2382000</v>
      </c>
      <c r="I2790" s="846"/>
      <c r="J2790" s="847"/>
      <c r="K2790" s="846"/>
      <c r="L2790" s="847"/>
      <c r="M2790" s="846">
        <v>825000</v>
      </c>
      <c r="N2790" s="846">
        <v>0</v>
      </c>
      <c r="O2790" s="737">
        <f t="shared" si="351"/>
        <v>825000</v>
      </c>
      <c r="P2790" s="847">
        <v>951500</v>
      </c>
      <c r="Q2790" s="847">
        <v>0</v>
      </c>
      <c r="R2790" s="738">
        <f t="shared" si="354"/>
        <v>951500</v>
      </c>
      <c r="S2790" s="737">
        <f t="shared" si="355"/>
        <v>3297100</v>
      </c>
      <c r="T2790" s="739">
        <f t="shared" si="356"/>
        <v>3333500</v>
      </c>
      <c r="U2790" s="846"/>
      <c r="V2790" s="847"/>
      <c r="W2790" s="846"/>
      <c r="X2790" s="846"/>
      <c r="Y2790" s="740">
        <f t="shared" si="352"/>
        <v>0</v>
      </c>
      <c r="Z2790" s="847"/>
      <c r="AA2790" s="847"/>
      <c r="AB2790" s="741">
        <f t="shared" si="353"/>
        <v>0</v>
      </c>
      <c r="AC2790" s="846"/>
      <c r="AD2790" s="847"/>
      <c r="AE2790" s="846"/>
      <c r="AF2790" s="846"/>
      <c r="AG2790" s="847"/>
      <c r="AH2790" s="847"/>
      <c r="AI2790" s="742">
        <f t="shared" si="357"/>
        <v>3297100</v>
      </c>
      <c r="AJ2790" s="743">
        <f t="shared" si="358"/>
        <v>3333500</v>
      </c>
    </row>
    <row r="2791" spans="1:36">
      <c r="A2791" s="991" t="s">
        <v>155</v>
      </c>
      <c r="B2791" s="992" t="s">
        <v>264</v>
      </c>
      <c r="C2791" s="998" t="s">
        <v>801</v>
      </c>
      <c r="D2791" s="1007"/>
      <c r="E2791" s="1008">
        <v>221430</v>
      </c>
      <c r="F2791" s="1009">
        <v>13</v>
      </c>
      <c r="G2791" s="846">
        <v>1701600</v>
      </c>
      <c r="H2791" s="847">
        <v>1639600</v>
      </c>
      <c r="I2791" s="846"/>
      <c r="J2791" s="847"/>
      <c r="K2791" s="846"/>
      <c r="L2791" s="847"/>
      <c r="M2791" s="846">
        <v>745300</v>
      </c>
      <c r="N2791" s="846">
        <v>0</v>
      </c>
      <c r="O2791" s="737">
        <f t="shared" si="351"/>
        <v>745300</v>
      </c>
      <c r="P2791" s="847">
        <v>706500</v>
      </c>
      <c r="Q2791" s="847">
        <v>0</v>
      </c>
      <c r="R2791" s="738">
        <f t="shared" si="354"/>
        <v>706500</v>
      </c>
      <c r="S2791" s="737">
        <f t="shared" si="355"/>
        <v>2446900</v>
      </c>
      <c r="T2791" s="739">
        <f t="shared" si="356"/>
        <v>2346100</v>
      </c>
      <c r="U2791" s="846"/>
      <c r="V2791" s="847"/>
      <c r="W2791" s="846"/>
      <c r="X2791" s="846"/>
      <c r="Y2791" s="740">
        <f t="shared" si="352"/>
        <v>0</v>
      </c>
      <c r="Z2791" s="847"/>
      <c r="AA2791" s="847"/>
      <c r="AB2791" s="741">
        <f t="shared" si="353"/>
        <v>0</v>
      </c>
      <c r="AC2791" s="846"/>
      <c r="AD2791" s="847"/>
      <c r="AE2791" s="846"/>
      <c r="AF2791" s="846"/>
      <c r="AG2791" s="847"/>
      <c r="AH2791" s="847"/>
      <c r="AI2791" s="742">
        <f t="shared" si="357"/>
        <v>2446900</v>
      </c>
      <c r="AJ2791" s="743">
        <f t="shared" si="358"/>
        <v>2346100</v>
      </c>
    </row>
    <row r="2792" spans="1:36">
      <c r="A2792" s="991" t="s">
        <v>155</v>
      </c>
      <c r="B2792" s="992" t="s">
        <v>264</v>
      </c>
      <c r="C2792" s="998" t="s">
        <v>802</v>
      </c>
      <c r="D2792" s="1007"/>
      <c r="E2792" s="1008">
        <v>219994</v>
      </c>
      <c r="F2792" s="1009">
        <v>13</v>
      </c>
      <c r="G2792" s="846">
        <v>2518800</v>
      </c>
      <c r="H2792" s="847">
        <v>2427000</v>
      </c>
      <c r="I2792" s="846"/>
      <c r="J2792" s="847"/>
      <c r="K2792" s="846"/>
      <c r="L2792" s="847"/>
      <c r="M2792" s="846">
        <v>1371500</v>
      </c>
      <c r="N2792" s="846">
        <v>0</v>
      </c>
      <c r="O2792" s="737">
        <f t="shared" si="351"/>
        <v>1371500</v>
      </c>
      <c r="P2792" s="847">
        <v>1442300</v>
      </c>
      <c r="Q2792" s="847">
        <v>0</v>
      </c>
      <c r="R2792" s="738">
        <f t="shared" si="354"/>
        <v>1442300</v>
      </c>
      <c r="S2792" s="737">
        <f t="shared" si="355"/>
        <v>3890300</v>
      </c>
      <c r="T2792" s="739">
        <f t="shared" si="356"/>
        <v>3869300</v>
      </c>
      <c r="U2792" s="846"/>
      <c r="V2792" s="847"/>
      <c r="W2792" s="846"/>
      <c r="X2792" s="846"/>
      <c r="Y2792" s="740">
        <f t="shared" si="352"/>
        <v>0</v>
      </c>
      <c r="Z2792" s="847"/>
      <c r="AA2792" s="847"/>
      <c r="AB2792" s="741">
        <f t="shared" si="353"/>
        <v>0</v>
      </c>
      <c r="AC2792" s="846"/>
      <c r="AD2792" s="847"/>
      <c r="AE2792" s="846"/>
      <c r="AF2792" s="846"/>
      <c r="AG2792" s="847"/>
      <c r="AH2792" s="847"/>
      <c r="AI2792" s="742">
        <f t="shared" si="357"/>
        <v>3890300</v>
      </c>
      <c r="AJ2792" s="743">
        <f t="shared" si="358"/>
        <v>3869300</v>
      </c>
    </row>
    <row r="2793" spans="1:36">
      <c r="A2793" s="991" t="s">
        <v>155</v>
      </c>
      <c r="B2793" s="992" t="s">
        <v>264</v>
      </c>
      <c r="C2793" s="998" t="s">
        <v>803</v>
      </c>
      <c r="D2793" s="1007"/>
      <c r="E2793" s="1008">
        <v>220127</v>
      </c>
      <c r="F2793" s="1009">
        <v>13</v>
      </c>
      <c r="G2793" s="846">
        <v>1629500</v>
      </c>
      <c r="H2793" s="847">
        <v>1570100</v>
      </c>
      <c r="I2793" s="846"/>
      <c r="J2793" s="847"/>
      <c r="K2793" s="846"/>
      <c r="L2793" s="847"/>
      <c r="M2793" s="846">
        <v>1444800</v>
      </c>
      <c r="N2793" s="846">
        <v>0</v>
      </c>
      <c r="O2793" s="737">
        <f t="shared" si="351"/>
        <v>1444800</v>
      </c>
      <c r="P2793" s="847">
        <v>1503650</v>
      </c>
      <c r="Q2793" s="847">
        <v>0</v>
      </c>
      <c r="R2793" s="738">
        <f t="shared" si="354"/>
        <v>1503650</v>
      </c>
      <c r="S2793" s="737">
        <f t="shared" si="355"/>
        <v>3074300</v>
      </c>
      <c r="T2793" s="739">
        <f t="shared" si="356"/>
        <v>3073750</v>
      </c>
      <c r="U2793" s="846"/>
      <c r="V2793" s="847"/>
      <c r="W2793" s="846"/>
      <c r="X2793" s="846"/>
      <c r="Y2793" s="740">
        <f t="shared" si="352"/>
        <v>0</v>
      </c>
      <c r="Z2793" s="847"/>
      <c r="AA2793" s="847"/>
      <c r="AB2793" s="741">
        <f t="shared" si="353"/>
        <v>0</v>
      </c>
      <c r="AC2793" s="846"/>
      <c r="AD2793" s="847"/>
      <c r="AE2793" s="846"/>
      <c r="AF2793" s="846"/>
      <c r="AG2793" s="847"/>
      <c r="AH2793" s="847"/>
      <c r="AI2793" s="742">
        <f t="shared" si="357"/>
        <v>3074300</v>
      </c>
      <c r="AJ2793" s="743">
        <f t="shared" si="358"/>
        <v>3073750</v>
      </c>
    </row>
    <row r="2794" spans="1:36">
      <c r="A2794" s="991" t="s">
        <v>155</v>
      </c>
      <c r="B2794" s="992" t="s">
        <v>264</v>
      </c>
      <c r="C2794" s="998" t="s">
        <v>804</v>
      </c>
      <c r="D2794" s="1007"/>
      <c r="E2794" s="1008">
        <v>220251</v>
      </c>
      <c r="F2794" s="1009">
        <v>13</v>
      </c>
      <c r="G2794" s="846">
        <v>1520900</v>
      </c>
      <c r="H2794" s="847">
        <v>1465400</v>
      </c>
      <c r="I2794" s="846"/>
      <c r="J2794" s="847"/>
      <c r="K2794" s="846"/>
      <c r="L2794" s="847"/>
      <c r="M2794" s="846">
        <v>744900</v>
      </c>
      <c r="N2794" s="846">
        <v>0</v>
      </c>
      <c r="O2794" s="737">
        <f t="shared" si="351"/>
        <v>744900</v>
      </c>
      <c r="P2794" s="847">
        <v>760900</v>
      </c>
      <c r="Q2794" s="847">
        <v>0</v>
      </c>
      <c r="R2794" s="738">
        <f t="shared" si="354"/>
        <v>760900</v>
      </c>
      <c r="S2794" s="737">
        <f t="shared" si="355"/>
        <v>2265800</v>
      </c>
      <c r="T2794" s="739">
        <f t="shared" si="356"/>
        <v>2226300</v>
      </c>
      <c r="U2794" s="846"/>
      <c r="V2794" s="847"/>
      <c r="W2794" s="846"/>
      <c r="X2794" s="846"/>
      <c r="Y2794" s="740">
        <f t="shared" si="352"/>
        <v>0</v>
      </c>
      <c r="Z2794" s="847"/>
      <c r="AA2794" s="847"/>
      <c r="AB2794" s="741">
        <f t="shared" si="353"/>
        <v>0</v>
      </c>
      <c r="AC2794" s="846"/>
      <c r="AD2794" s="847"/>
      <c r="AE2794" s="846"/>
      <c r="AF2794" s="846"/>
      <c r="AG2794" s="847"/>
      <c r="AH2794" s="847"/>
      <c r="AI2794" s="742">
        <f t="shared" si="357"/>
        <v>2265800</v>
      </c>
      <c r="AJ2794" s="743">
        <f t="shared" si="358"/>
        <v>2226300</v>
      </c>
    </row>
    <row r="2795" spans="1:36">
      <c r="A2795" s="991" t="s">
        <v>155</v>
      </c>
      <c r="B2795" s="992" t="s">
        <v>264</v>
      </c>
      <c r="C2795" s="998" t="s">
        <v>805</v>
      </c>
      <c r="D2795" s="1007"/>
      <c r="E2795" s="1008">
        <v>220279</v>
      </c>
      <c r="F2795" s="1009">
        <v>13</v>
      </c>
      <c r="G2795" s="846">
        <v>1209800</v>
      </c>
      <c r="H2795" s="847">
        <v>1165700</v>
      </c>
      <c r="I2795" s="846"/>
      <c r="J2795" s="847"/>
      <c r="K2795" s="846"/>
      <c r="L2795" s="847"/>
      <c r="M2795" s="846">
        <v>901200</v>
      </c>
      <c r="N2795" s="846">
        <v>0</v>
      </c>
      <c r="O2795" s="737">
        <f t="shared" si="351"/>
        <v>901200</v>
      </c>
      <c r="P2795" s="847">
        <v>918200</v>
      </c>
      <c r="Q2795" s="847">
        <v>0</v>
      </c>
      <c r="R2795" s="738">
        <f t="shared" si="354"/>
        <v>918200</v>
      </c>
      <c r="S2795" s="737">
        <f t="shared" si="355"/>
        <v>2111000</v>
      </c>
      <c r="T2795" s="739">
        <f t="shared" si="356"/>
        <v>2083900</v>
      </c>
      <c r="U2795" s="846"/>
      <c r="V2795" s="847"/>
      <c r="W2795" s="846"/>
      <c r="X2795" s="846"/>
      <c r="Y2795" s="740">
        <f t="shared" si="352"/>
        <v>0</v>
      </c>
      <c r="Z2795" s="847"/>
      <c r="AA2795" s="847"/>
      <c r="AB2795" s="741">
        <f t="shared" si="353"/>
        <v>0</v>
      </c>
      <c r="AC2795" s="846"/>
      <c r="AD2795" s="847"/>
      <c r="AE2795" s="846"/>
      <c r="AF2795" s="846"/>
      <c r="AG2795" s="847"/>
      <c r="AH2795" s="847"/>
      <c r="AI2795" s="742">
        <f t="shared" si="357"/>
        <v>2111000</v>
      </c>
      <c r="AJ2795" s="743">
        <f t="shared" si="358"/>
        <v>2083900</v>
      </c>
    </row>
    <row r="2796" spans="1:36">
      <c r="A2796" s="991" t="s">
        <v>155</v>
      </c>
      <c r="B2796" s="992" t="s">
        <v>264</v>
      </c>
      <c r="C2796" s="998" t="s">
        <v>806</v>
      </c>
      <c r="D2796" s="1007"/>
      <c r="E2796" s="1008">
        <v>220321</v>
      </c>
      <c r="F2796" s="1009">
        <v>13</v>
      </c>
      <c r="G2796" s="846">
        <v>1654900</v>
      </c>
      <c r="H2796" s="847">
        <v>1594600</v>
      </c>
      <c r="I2796" s="846"/>
      <c r="J2796" s="847"/>
      <c r="K2796" s="846"/>
      <c r="L2796" s="847"/>
      <c r="M2796" s="846">
        <v>930700</v>
      </c>
      <c r="N2796" s="846">
        <v>0</v>
      </c>
      <c r="O2796" s="737">
        <f t="shared" si="351"/>
        <v>930700</v>
      </c>
      <c r="P2796" s="847">
        <v>975800</v>
      </c>
      <c r="Q2796" s="847">
        <v>0</v>
      </c>
      <c r="R2796" s="738">
        <f t="shared" si="354"/>
        <v>975800</v>
      </c>
      <c r="S2796" s="737">
        <f t="shared" si="355"/>
        <v>2585600</v>
      </c>
      <c r="T2796" s="739">
        <f t="shared" si="356"/>
        <v>2570400</v>
      </c>
      <c r="U2796" s="846"/>
      <c r="V2796" s="847"/>
      <c r="W2796" s="846"/>
      <c r="X2796" s="846"/>
      <c r="Y2796" s="740">
        <f t="shared" si="352"/>
        <v>0</v>
      </c>
      <c r="Z2796" s="847"/>
      <c r="AA2796" s="847"/>
      <c r="AB2796" s="741">
        <f t="shared" si="353"/>
        <v>0</v>
      </c>
      <c r="AC2796" s="846"/>
      <c r="AD2796" s="847"/>
      <c r="AE2796" s="846"/>
      <c r="AF2796" s="846"/>
      <c r="AG2796" s="847"/>
      <c r="AH2796" s="847"/>
      <c r="AI2796" s="742">
        <f t="shared" si="357"/>
        <v>2585600</v>
      </c>
      <c r="AJ2796" s="743">
        <f t="shared" si="358"/>
        <v>2570400</v>
      </c>
    </row>
    <row r="2797" spans="1:36">
      <c r="A2797" s="991" t="s">
        <v>155</v>
      </c>
      <c r="B2797" s="992" t="s">
        <v>264</v>
      </c>
      <c r="C2797" s="998" t="s">
        <v>807</v>
      </c>
      <c r="D2797" s="1007"/>
      <c r="E2797" s="1008">
        <v>220394</v>
      </c>
      <c r="F2797" s="1009">
        <v>13</v>
      </c>
      <c r="G2797" s="846">
        <v>1419200</v>
      </c>
      <c r="H2797" s="847">
        <v>1367500</v>
      </c>
      <c r="I2797" s="846"/>
      <c r="J2797" s="847"/>
      <c r="K2797" s="846"/>
      <c r="L2797" s="847"/>
      <c r="M2797" s="846">
        <v>405800</v>
      </c>
      <c r="N2797" s="846">
        <v>0</v>
      </c>
      <c r="O2797" s="737">
        <f t="shared" si="351"/>
        <v>405800</v>
      </c>
      <c r="P2797" s="847">
        <v>457400</v>
      </c>
      <c r="Q2797" s="847">
        <v>0</v>
      </c>
      <c r="R2797" s="738">
        <f t="shared" si="354"/>
        <v>457400</v>
      </c>
      <c r="S2797" s="737">
        <f t="shared" si="355"/>
        <v>1825000</v>
      </c>
      <c r="T2797" s="739">
        <f t="shared" si="356"/>
        <v>1824900</v>
      </c>
      <c r="U2797" s="846"/>
      <c r="V2797" s="847"/>
      <c r="W2797" s="846"/>
      <c r="X2797" s="846"/>
      <c r="Y2797" s="740">
        <f t="shared" si="352"/>
        <v>0</v>
      </c>
      <c r="Z2797" s="847"/>
      <c r="AA2797" s="847"/>
      <c r="AB2797" s="741">
        <f t="shared" si="353"/>
        <v>0</v>
      </c>
      <c r="AC2797" s="846"/>
      <c r="AD2797" s="847"/>
      <c r="AE2797" s="846"/>
      <c r="AF2797" s="846"/>
      <c r="AG2797" s="847"/>
      <c r="AH2797" s="847"/>
      <c r="AI2797" s="742">
        <f t="shared" si="357"/>
        <v>1825000</v>
      </c>
      <c r="AJ2797" s="743">
        <f t="shared" si="358"/>
        <v>1824900</v>
      </c>
    </row>
    <row r="2798" spans="1:36">
      <c r="A2798" s="991" t="s">
        <v>155</v>
      </c>
      <c r="B2798" s="992" t="s">
        <v>264</v>
      </c>
      <c r="C2798" s="998" t="s">
        <v>808</v>
      </c>
      <c r="D2798" s="1007"/>
      <c r="E2798" s="1008">
        <v>221616</v>
      </c>
      <c r="F2798" s="1009">
        <v>13</v>
      </c>
      <c r="G2798" s="846">
        <v>3269900</v>
      </c>
      <c r="H2798" s="847">
        <v>3150700</v>
      </c>
      <c r="I2798" s="846"/>
      <c r="J2798" s="847"/>
      <c r="K2798" s="846"/>
      <c r="L2798" s="847"/>
      <c r="M2798" s="846">
        <v>1339500</v>
      </c>
      <c r="N2798" s="846">
        <v>0</v>
      </c>
      <c r="O2798" s="737">
        <f t="shared" si="351"/>
        <v>1339500</v>
      </c>
      <c r="P2798" s="847">
        <v>1311900</v>
      </c>
      <c r="Q2798" s="847">
        <v>0</v>
      </c>
      <c r="R2798" s="738">
        <f t="shared" si="354"/>
        <v>1311900</v>
      </c>
      <c r="S2798" s="737">
        <f t="shared" si="355"/>
        <v>4609400</v>
      </c>
      <c r="T2798" s="739">
        <f t="shared" si="356"/>
        <v>4462600</v>
      </c>
      <c r="U2798" s="846"/>
      <c r="V2798" s="847"/>
      <c r="W2798" s="846"/>
      <c r="X2798" s="846"/>
      <c r="Y2798" s="740">
        <f t="shared" si="352"/>
        <v>0</v>
      </c>
      <c r="Z2798" s="847"/>
      <c r="AA2798" s="847"/>
      <c r="AB2798" s="741">
        <f t="shared" si="353"/>
        <v>0</v>
      </c>
      <c r="AC2798" s="846"/>
      <c r="AD2798" s="847"/>
      <c r="AE2798" s="846"/>
      <c r="AF2798" s="846"/>
      <c r="AG2798" s="847"/>
      <c r="AH2798" s="847"/>
      <c r="AI2798" s="742">
        <f t="shared" si="357"/>
        <v>4609400</v>
      </c>
      <c r="AJ2798" s="743">
        <f t="shared" si="358"/>
        <v>4462600</v>
      </c>
    </row>
    <row r="2799" spans="1:36">
      <c r="A2799" s="991" t="s">
        <v>155</v>
      </c>
      <c r="B2799" s="992" t="s">
        <v>264</v>
      </c>
      <c r="C2799" s="998" t="s">
        <v>809</v>
      </c>
      <c r="D2799" s="1007"/>
      <c r="E2799" s="1008">
        <v>221625</v>
      </c>
      <c r="F2799" s="1009">
        <v>13</v>
      </c>
      <c r="G2799" s="846">
        <v>3424000</v>
      </c>
      <c r="H2799" s="847">
        <v>3299100</v>
      </c>
      <c r="I2799" s="846"/>
      <c r="J2799" s="847"/>
      <c r="K2799" s="846"/>
      <c r="L2799" s="847"/>
      <c r="M2799" s="846">
        <v>1761500</v>
      </c>
      <c r="N2799" s="846">
        <v>0</v>
      </c>
      <c r="O2799" s="737">
        <f t="shared" si="351"/>
        <v>1761500</v>
      </c>
      <c r="P2799" s="847">
        <v>2127300</v>
      </c>
      <c r="Q2799" s="847">
        <v>0</v>
      </c>
      <c r="R2799" s="738">
        <f t="shared" si="354"/>
        <v>2127300</v>
      </c>
      <c r="S2799" s="737">
        <f t="shared" si="355"/>
        <v>5185500</v>
      </c>
      <c r="T2799" s="739">
        <f t="shared" si="356"/>
        <v>5426400</v>
      </c>
      <c r="U2799" s="846"/>
      <c r="V2799" s="847"/>
      <c r="W2799" s="846"/>
      <c r="X2799" s="846"/>
      <c r="Y2799" s="740">
        <f t="shared" si="352"/>
        <v>0</v>
      </c>
      <c r="Z2799" s="847"/>
      <c r="AA2799" s="847"/>
      <c r="AB2799" s="741">
        <f t="shared" si="353"/>
        <v>0</v>
      </c>
      <c r="AC2799" s="846"/>
      <c r="AD2799" s="847"/>
      <c r="AE2799" s="846"/>
      <c r="AF2799" s="846"/>
      <c r="AG2799" s="847"/>
      <c r="AH2799" s="847"/>
      <c r="AI2799" s="742">
        <f t="shared" si="357"/>
        <v>5185500</v>
      </c>
      <c r="AJ2799" s="743">
        <f t="shared" si="358"/>
        <v>5426400</v>
      </c>
    </row>
    <row r="2800" spans="1:36">
      <c r="A2800" s="991" t="s">
        <v>155</v>
      </c>
      <c r="B2800" s="992" t="s">
        <v>264</v>
      </c>
      <c r="C2800" s="998" t="s">
        <v>810</v>
      </c>
      <c r="D2800" s="1007"/>
      <c r="E2800" s="1008">
        <v>220640</v>
      </c>
      <c r="F2800" s="1009">
        <v>13</v>
      </c>
      <c r="G2800" s="846">
        <v>2278100</v>
      </c>
      <c r="H2800" s="847">
        <v>2195000</v>
      </c>
      <c r="I2800" s="846"/>
      <c r="J2800" s="847"/>
      <c r="K2800" s="846"/>
      <c r="L2800" s="847"/>
      <c r="M2800" s="846">
        <v>955600</v>
      </c>
      <c r="N2800" s="846">
        <v>0</v>
      </c>
      <c r="O2800" s="737">
        <f t="shared" si="351"/>
        <v>955600</v>
      </c>
      <c r="P2800" s="847">
        <v>955600</v>
      </c>
      <c r="Q2800" s="847">
        <v>0</v>
      </c>
      <c r="R2800" s="738">
        <f t="shared" si="354"/>
        <v>955600</v>
      </c>
      <c r="S2800" s="737">
        <f t="shared" si="355"/>
        <v>3233700</v>
      </c>
      <c r="T2800" s="739">
        <f t="shared" si="356"/>
        <v>3150600</v>
      </c>
      <c r="U2800" s="846"/>
      <c r="V2800" s="847"/>
      <c r="W2800" s="846"/>
      <c r="X2800" s="846"/>
      <c r="Y2800" s="740">
        <f t="shared" si="352"/>
        <v>0</v>
      </c>
      <c r="Z2800" s="847"/>
      <c r="AA2800" s="847"/>
      <c r="AB2800" s="741">
        <f t="shared" si="353"/>
        <v>0</v>
      </c>
      <c r="AC2800" s="846"/>
      <c r="AD2800" s="847"/>
      <c r="AE2800" s="846"/>
      <c r="AF2800" s="846"/>
      <c r="AG2800" s="847"/>
      <c r="AH2800" s="847"/>
      <c r="AI2800" s="742">
        <f t="shared" si="357"/>
        <v>3233700</v>
      </c>
      <c r="AJ2800" s="743">
        <f t="shared" si="358"/>
        <v>3150600</v>
      </c>
    </row>
    <row r="2801" spans="1:36">
      <c r="A2801" s="991" t="s">
        <v>155</v>
      </c>
      <c r="B2801" s="992" t="s">
        <v>264</v>
      </c>
      <c r="C2801" s="998" t="s">
        <v>811</v>
      </c>
      <c r="D2801" s="1007"/>
      <c r="E2801" s="1008">
        <v>220756</v>
      </c>
      <c r="F2801" s="1009">
        <v>13</v>
      </c>
      <c r="G2801" s="846">
        <v>1364700</v>
      </c>
      <c r="H2801" s="847">
        <v>1314900</v>
      </c>
      <c r="I2801" s="846"/>
      <c r="J2801" s="847"/>
      <c r="K2801" s="846"/>
      <c r="L2801" s="847"/>
      <c r="M2801" s="846">
        <v>667800</v>
      </c>
      <c r="N2801" s="846">
        <v>0</v>
      </c>
      <c r="O2801" s="737">
        <f t="shared" si="351"/>
        <v>667800</v>
      </c>
      <c r="P2801" s="847">
        <v>560200</v>
      </c>
      <c r="Q2801" s="847">
        <v>0</v>
      </c>
      <c r="R2801" s="738">
        <f t="shared" si="354"/>
        <v>560200</v>
      </c>
      <c r="S2801" s="737">
        <f t="shared" si="355"/>
        <v>2032500</v>
      </c>
      <c r="T2801" s="739">
        <f t="shared" si="356"/>
        <v>1875100</v>
      </c>
      <c r="U2801" s="846"/>
      <c r="V2801" s="847"/>
      <c r="W2801" s="846"/>
      <c r="X2801" s="846"/>
      <c r="Y2801" s="740">
        <f t="shared" si="352"/>
        <v>0</v>
      </c>
      <c r="Z2801" s="847"/>
      <c r="AA2801" s="847"/>
      <c r="AB2801" s="741">
        <f t="shared" si="353"/>
        <v>0</v>
      </c>
      <c r="AC2801" s="846"/>
      <c r="AD2801" s="847"/>
      <c r="AE2801" s="846"/>
      <c r="AF2801" s="846"/>
      <c r="AG2801" s="847"/>
      <c r="AH2801" s="847"/>
      <c r="AI2801" s="742">
        <f t="shared" si="357"/>
        <v>2032500</v>
      </c>
      <c r="AJ2801" s="743">
        <f t="shared" si="358"/>
        <v>1875100</v>
      </c>
    </row>
    <row r="2802" spans="1:36">
      <c r="A2802" s="991" t="s">
        <v>155</v>
      </c>
      <c r="B2802" s="992" t="s">
        <v>264</v>
      </c>
      <c r="C2802" s="998" t="s">
        <v>812</v>
      </c>
      <c r="D2802" s="1007"/>
      <c r="E2802" s="1008">
        <v>221607</v>
      </c>
      <c r="F2802" s="1009">
        <v>13</v>
      </c>
      <c r="G2802" s="846">
        <v>1495800</v>
      </c>
      <c r="H2802" s="847">
        <v>1441300</v>
      </c>
      <c r="I2802" s="846"/>
      <c r="J2802" s="847"/>
      <c r="K2802" s="846"/>
      <c r="L2802" s="847"/>
      <c r="M2802" s="846">
        <v>638900</v>
      </c>
      <c r="N2802" s="846">
        <v>0</v>
      </c>
      <c r="O2802" s="737">
        <f t="shared" si="351"/>
        <v>638900</v>
      </c>
      <c r="P2802" s="847">
        <v>641700</v>
      </c>
      <c r="Q2802" s="847">
        <v>0</v>
      </c>
      <c r="R2802" s="738">
        <f t="shared" si="354"/>
        <v>641700</v>
      </c>
      <c r="S2802" s="737">
        <f t="shared" si="355"/>
        <v>2134700</v>
      </c>
      <c r="T2802" s="739">
        <f t="shared" si="356"/>
        <v>2083000</v>
      </c>
      <c r="U2802" s="846"/>
      <c r="V2802" s="847"/>
      <c r="W2802" s="846"/>
      <c r="X2802" s="846"/>
      <c r="Y2802" s="740">
        <f t="shared" si="352"/>
        <v>0</v>
      </c>
      <c r="Z2802" s="847"/>
      <c r="AA2802" s="847"/>
      <c r="AB2802" s="741">
        <f t="shared" si="353"/>
        <v>0</v>
      </c>
      <c r="AC2802" s="846"/>
      <c r="AD2802" s="847"/>
      <c r="AE2802" s="846"/>
      <c r="AF2802" s="846"/>
      <c r="AG2802" s="847"/>
      <c r="AH2802" s="847"/>
      <c r="AI2802" s="742">
        <f t="shared" si="357"/>
        <v>2134700</v>
      </c>
      <c r="AJ2802" s="743">
        <f t="shared" si="358"/>
        <v>2083000</v>
      </c>
    </row>
    <row r="2803" spans="1:36">
      <c r="A2803" s="991" t="s">
        <v>155</v>
      </c>
      <c r="B2803" s="992" t="s">
        <v>264</v>
      </c>
      <c r="C2803" s="1011" t="s">
        <v>813</v>
      </c>
      <c r="D2803" s="1006"/>
      <c r="E2803" s="1008">
        <v>220853</v>
      </c>
      <c r="F2803" s="1009">
        <v>13</v>
      </c>
      <c r="G2803" s="846">
        <v>4527800</v>
      </c>
      <c r="H2803" s="847">
        <v>4362700</v>
      </c>
      <c r="I2803" s="846"/>
      <c r="J2803" s="847"/>
      <c r="K2803" s="846"/>
      <c r="L2803" s="847"/>
      <c r="M2803" s="846">
        <v>2425050</v>
      </c>
      <c r="N2803" s="846">
        <v>0</v>
      </c>
      <c r="O2803" s="737">
        <f t="shared" si="351"/>
        <v>2425050</v>
      </c>
      <c r="P2803" s="847">
        <v>2654800</v>
      </c>
      <c r="Q2803" s="847">
        <v>0</v>
      </c>
      <c r="R2803" s="738">
        <f t="shared" si="354"/>
        <v>2654800</v>
      </c>
      <c r="S2803" s="737">
        <f t="shared" si="355"/>
        <v>6952850</v>
      </c>
      <c r="T2803" s="739">
        <f t="shared" si="356"/>
        <v>7017500</v>
      </c>
      <c r="U2803" s="846"/>
      <c r="V2803" s="847"/>
      <c r="W2803" s="846"/>
      <c r="X2803" s="846"/>
      <c r="Y2803" s="740">
        <f t="shared" si="352"/>
        <v>0</v>
      </c>
      <c r="Z2803" s="847"/>
      <c r="AA2803" s="847"/>
      <c r="AB2803" s="741">
        <f t="shared" si="353"/>
        <v>0</v>
      </c>
      <c r="AC2803" s="846"/>
      <c r="AD2803" s="847"/>
      <c r="AE2803" s="846"/>
      <c r="AF2803" s="846"/>
      <c r="AG2803" s="847"/>
      <c r="AH2803" s="847"/>
      <c r="AI2803" s="742">
        <f t="shared" si="357"/>
        <v>6952850</v>
      </c>
      <c r="AJ2803" s="743">
        <f t="shared" si="358"/>
        <v>7017500</v>
      </c>
    </row>
    <row r="2804" spans="1:36">
      <c r="A2804" s="991" t="s">
        <v>155</v>
      </c>
      <c r="B2804" s="992" t="s">
        <v>264</v>
      </c>
      <c r="C2804" s="998" t="s">
        <v>814</v>
      </c>
      <c r="D2804" s="1007"/>
      <c r="E2804" s="1008">
        <v>221050</v>
      </c>
      <c r="F2804" s="1009">
        <v>13</v>
      </c>
      <c r="G2804" s="846">
        <v>4181400</v>
      </c>
      <c r="H2804" s="847">
        <v>4028900</v>
      </c>
      <c r="I2804" s="846"/>
      <c r="J2804" s="847"/>
      <c r="K2804" s="846"/>
      <c r="L2804" s="847"/>
      <c r="M2804" s="846">
        <v>1561000</v>
      </c>
      <c r="N2804" s="846">
        <v>0</v>
      </c>
      <c r="O2804" s="737">
        <f t="shared" si="351"/>
        <v>1561000</v>
      </c>
      <c r="P2804" s="847">
        <v>1783800</v>
      </c>
      <c r="Q2804" s="847">
        <v>0</v>
      </c>
      <c r="R2804" s="738">
        <f t="shared" si="354"/>
        <v>1783800</v>
      </c>
      <c r="S2804" s="737">
        <f t="shared" si="355"/>
        <v>5742400</v>
      </c>
      <c r="T2804" s="739">
        <f t="shared" si="356"/>
        <v>5812700</v>
      </c>
      <c r="U2804" s="846"/>
      <c r="V2804" s="847"/>
      <c r="W2804" s="846"/>
      <c r="X2804" s="846"/>
      <c r="Y2804" s="740">
        <f t="shared" si="352"/>
        <v>0</v>
      </c>
      <c r="Z2804" s="847"/>
      <c r="AA2804" s="847"/>
      <c r="AB2804" s="741">
        <f t="shared" si="353"/>
        <v>0</v>
      </c>
      <c r="AC2804" s="846"/>
      <c r="AD2804" s="847"/>
      <c r="AE2804" s="846"/>
      <c r="AF2804" s="846"/>
      <c r="AG2804" s="847"/>
      <c r="AH2804" s="847"/>
      <c r="AI2804" s="742">
        <f t="shared" si="357"/>
        <v>5742400</v>
      </c>
      <c r="AJ2804" s="743">
        <f t="shared" si="358"/>
        <v>5812700</v>
      </c>
    </row>
    <row r="2805" spans="1:36">
      <c r="A2805" s="991" t="s">
        <v>155</v>
      </c>
      <c r="B2805" s="992" t="s">
        <v>264</v>
      </c>
      <c r="C2805" s="998" t="s">
        <v>815</v>
      </c>
      <c r="D2805" s="1007"/>
      <c r="E2805" s="1008">
        <v>221102</v>
      </c>
      <c r="F2805" s="1009">
        <v>13</v>
      </c>
      <c r="G2805" s="846">
        <v>1851800</v>
      </c>
      <c r="H2805" s="847">
        <v>1784300</v>
      </c>
      <c r="I2805" s="846"/>
      <c r="J2805" s="847"/>
      <c r="K2805" s="846"/>
      <c r="L2805" s="847"/>
      <c r="M2805" s="846">
        <v>1136600</v>
      </c>
      <c r="N2805" s="846">
        <v>0</v>
      </c>
      <c r="O2805" s="737">
        <f t="shared" si="351"/>
        <v>1136600</v>
      </c>
      <c r="P2805" s="847">
        <v>1188900</v>
      </c>
      <c r="Q2805" s="847">
        <v>0</v>
      </c>
      <c r="R2805" s="738">
        <f t="shared" si="354"/>
        <v>1188900</v>
      </c>
      <c r="S2805" s="737">
        <f t="shared" si="355"/>
        <v>2988400</v>
      </c>
      <c r="T2805" s="739">
        <f t="shared" si="356"/>
        <v>2973200</v>
      </c>
      <c r="U2805" s="846"/>
      <c r="V2805" s="847"/>
      <c r="W2805" s="846"/>
      <c r="X2805" s="846"/>
      <c r="Y2805" s="740">
        <f t="shared" si="352"/>
        <v>0</v>
      </c>
      <c r="Z2805" s="847"/>
      <c r="AA2805" s="847"/>
      <c r="AB2805" s="741">
        <f t="shared" si="353"/>
        <v>0</v>
      </c>
      <c r="AC2805" s="846"/>
      <c r="AD2805" s="847"/>
      <c r="AE2805" s="846"/>
      <c r="AF2805" s="846"/>
      <c r="AG2805" s="847"/>
      <c r="AH2805" s="847"/>
      <c r="AI2805" s="742">
        <f t="shared" si="357"/>
        <v>2988400</v>
      </c>
      <c r="AJ2805" s="743">
        <f t="shared" si="358"/>
        <v>2973200</v>
      </c>
    </row>
    <row r="2806" spans="1:36">
      <c r="A2806" s="991" t="s">
        <v>155</v>
      </c>
      <c r="B2806" s="992" t="s">
        <v>264</v>
      </c>
      <c r="C2806" s="998" t="s">
        <v>816</v>
      </c>
      <c r="D2806" s="1006"/>
      <c r="E2806" s="1008">
        <v>248925</v>
      </c>
      <c r="F2806" s="1009">
        <v>13</v>
      </c>
      <c r="G2806" s="846">
        <v>3920000</v>
      </c>
      <c r="H2806" s="847">
        <v>3777100</v>
      </c>
      <c r="I2806" s="846"/>
      <c r="J2806" s="847"/>
      <c r="K2806" s="846"/>
      <c r="L2806" s="847"/>
      <c r="M2806" s="846">
        <v>2166300</v>
      </c>
      <c r="N2806" s="846">
        <v>0</v>
      </c>
      <c r="O2806" s="737">
        <f t="shared" si="351"/>
        <v>2166300</v>
      </c>
      <c r="P2806" s="847">
        <v>2485700</v>
      </c>
      <c r="Q2806" s="847">
        <v>0</v>
      </c>
      <c r="R2806" s="738">
        <f t="shared" si="354"/>
        <v>2485700</v>
      </c>
      <c r="S2806" s="737">
        <f t="shared" si="355"/>
        <v>6086300</v>
      </c>
      <c r="T2806" s="739">
        <f t="shared" si="356"/>
        <v>6262800</v>
      </c>
      <c r="U2806" s="846"/>
      <c r="V2806" s="847"/>
      <c r="W2806" s="846"/>
      <c r="X2806" s="846"/>
      <c r="Y2806" s="740">
        <f t="shared" si="352"/>
        <v>0</v>
      </c>
      <c r="Z2806" s="847"/>
      <c r="AA2806" s="847"/>
      <c r="AB2806" s="741">
        <f t="shared" si="353"/>
        <v>0</v>
      </c>
      <c r="AC2806" s="846"/>
      <c r="AD2806" s="847"/>
      <c r="AE2806" s="846"/>
      <c r="AF2806" s="846"/>
      <c r="AG2806" s="847"/>
      <c r="AH2806" s="847"/>
      <c r="AI2806" s="742">
        <f t="shared" si="357"/>
        <v>6086300</v>
      </c>
      <c r="AJ2806" s="743">
        <f t="shared" si="358"/>
        <v>6262800</v>
      </c>
    </row>
    <row r="2807" spans="1:36">
      <c r="A2807" s="991" t="s">
        <v>155</v>
      </c>
      <c r="B2807" s="992" t="s">
        <v>264</v>
      </c>
      <c r="C2807" s="998" t="s">
        <v>817</v>
      </c>
      <c r="D2807" s="1007"/>
      <c r="E2807" s="1008">
        <v>221236</v>
      </c>
      <c r="F2807" s="1009">
        <v>13</v>
      </c>
      <c r="G2807" s="846">
        <v>1484900</v>
      </c>
      <c r="H2807" s="847">
        <v>1430800</v>
      </c>
      <c r="I2807" s="846"/>
      <c r="J2807" s="847"/>
      <c r="K2807" s="846"/>
      <c r="L2807" s="847"/>
      <c r="M2807" s="846">
        <v>725600</v>
      </c>
      <c r="N2807" s="846">
        <v>0</v>
      </c>
      <c r="O2807" s="737">
        <f t="shared" si="351"/>
        <v>725600</v>
      </c>
      <c r="P2807" s="847">
        <v>766900</v>
      </c>
      <c r="Q2807" s="847">
        <v>0</v>
      </c>
      <c r="R2807" s="738">
        <f t="shared" si="354"/>
        <v>766900</v>
      </c>
      <c r="S2807" s="737">
        <f t="shared" si="355"/>
        <v>2210500</v>
      </c>
      <c r="T2807" s="739">
        <f t="shared" si="356"/>
        <v>2197700</v>
      </c>
      <c r="U2807" s="846"/>
      <c r="V2807" s="847"/>
      <c r="W2807" s="846"/>
      <c r="X2807" s="846"/>
      <c r="Y2807" s="740">
        <f t="shared" si="352"/>
        <v>0</v>
      </c>
      <c r="Z2807" s="847"/>
      <c r="AA2807" s="847"/>
      <c r="AB2807" s="741">
        <f t="shared" si="353"/>
        <v>0</v>
      </c>
      <c r="AC2807" s="846"/>
      <c r="AD2807" s="847"/>
      <c r="AE2807" s="846"/>
      <c r="AF2807" s="846"/>
      <c r="AG2807" s="847"/>
      <c r="AH2807" s="847"/>
      <c r="AI2807" s="742">
        <f t="shared" si="357"/>
        <v>2210500</v>
      </c>
      <c r="AJ2807" s="743">
        <f t="shared" si="358"/>
        <v>2197700</v>
      </c>
    </row>
    <row r="2808" spans="1:36">
      <c r="A2808" s="991" t="s">
        <v>155</v>
      </c>
      <c r="B2808" s="992" t="s">
        <v>264</v>
      </c>
      <c r="C2808" s="998" t="s">
        <v>818</v>
      </c>
      <c r="D2808" s="1007"/>
      <c r="E2808" s="1008">
        <v>221582</v>
      </c>
      <c r="F2808" s="1009">
        <v>13</v>
      </c>
      <c r="G2808" s="846">
        <v>1419300</v>
      </c>
      <c r="H2808" s="847">
        <v>1367500</v>
      </c>
      <c r="I2808" s="846"/>
      <c r="J2808" s="847"/>
      <c r="K2808" s="846"/>
      <c r="L2808" s="847"/>
      <c r="M2808" s="846">
        <v>605000</v>
      </c>
      <c r="N2808" s="846">
        <v>0</v>
      </c>
      <c r="O2808" s="737">
        <f t="shared" si="351"/>
        <v>605000</v>
      </c>
      <c r="P2808" s="847">
        <v>602000</v>
      </c>
      <c r="Q2808" s="847">
        <v>0</v>
      </c>
      <c r="R2808" s="738">
        <f t="shared" si="354"/>
        <v>602000</v>
      </c>
      <c r="S2808" s="737">
        <f t="shared" si="355"/>
        <v>2024300</v>
      </c>
      <c r="T2808" s="739">
        <f t="shared" si="356"/>
        <v>1969500</v>
      </c>
      <c r="U2808" s="846"/>
      <c r="V2808" s="847"/>
      <c r="W2808" s="846"/>
      <c r="X2808" s="846"/>
      <c r="Y2808" s="740">
        <f t="shared" si="352"/>
        <v>0</v>
      </c>
      <c r="Z2808" s="847"/>
      <c r="AA2808" s="847"/>
      <c r="AB2808" s="741">
        <f t="shared" si="353"/>
        <v>0</v>
      </c>
      <c r="AC2808" s="846"/>
      <c r="AD2808" s="847"/>
      <c r="AE2808" s="846"/>
      <c r="AF2808" s="846"/>
      <c r="AG2808" s="847"/>
      <c r="AH2808" s="847"/>
      <c r="AI2808" s="742">
        <f t="shared" si="357"/>
        <v>2024300</v>
      </c>
      <c r="AJ2808" s="743">
        <f t="shared" si="358"/>
        <v>1969500</v>
      </c>
    </row>
    <row r="2809" spans="1:36">
      <c r="A2809" s="991" t="s">
        <v>155</v>
      </c>
      <c r="B2809" s="992" t="s">
        <v>264</v>
      </c>
      <c r="C2809" s="998" t="s">
        <v>819</v>
      </c>
      <c r="D2809" s="1007"/>
      <c r="E2809" s="1008">
        <v>221281</v>
      </c>
      <c r="F2809" s="1009">
        <v>13</v>
      </c>
      <c r="G2809" s="846">
        <v>1900100</v>
      </c>
      <c r="H2809" s="847">
        <v>1830800</v>
      </c>
      <c r="I2809" s="846"/>
      <c r="J2809" s="847"/>
      <c r="K2809" s="846"/>
      <c r="L2809" s="847"/>
      <c r="M2809" s="846">
        <v>907500</v>
      </c>
      <c r="N2809" s="846">
        <v>0</v>
      </c>
      <c r="O2809" s="737">
        <f t="shared" si="351"/>
        <v>907500</v>
      </c>
      <c r="P2809" s="847">
        <v>1061800</v>
      </c>
      <c r="Q2809" s="847">
        <v>0</v>
      </c>
      <c r="R2809" s="738">
        <f t="shared" si="354"/>
        <v>1061800</v>
      </c>
      <c r="S2809" s="737">
        <f t="shared" si="355"/>
        <v>2807600</v>
      </c>
      <c r="T2809" s="739">
        <f t="shared" si="356"/>
        <v>2892600</v>
      </c>
      <c r="U2809" s="846"/>
      <c r="V2809" s="847"/>
      <c r="W2809" s="846"/>
      <c r="X2809" s="846"/>
      <c r="Y2809" s="740">
        <f t="shared" si="352"/>
        <v>0</v>
      </c>
      <c r="Z2809" s="847"/>
      <c r="AA2809" s="847"/>
      <c r="AB2809" s="741">
        <f t="shared" si="353"/>
        <v>0</v>
      </c>
      <c r="AC2809" s="846"/>
      <c r="AD2809" s="847"/>
      <c r="AE2809" s="846"/>
      <c r="AF2809" s="846"/>
      <c r="AG2809" s="847"/>
      <c r="AH2809" s="847"/>
      <c r="AI2809" s="742">
        <f t="shared" si="357"/>
        <v>2807600</v>
      </c>
      <c r="AJ2809" s="743">
        <f t="shared" si="358"/>
        <v>2892600</v>
      </c>
    </row>
    <row r="2810" spans="1:36">
      <c r="A2810" s="991" t="s">
        <v>155</v>
      </c>
      <c r="B2810" s="992" t="s">
        <v>264</v>
      </c>
      <c r="C2810" s="998" t="s">
        <v>820</v>
      </c>
      <c r="D2810" s="1007"/>
      <c r="E2810" s="1008">
        <v>221333</v>
      </c>
      <c r="F2810" s="1009">
        <v>13</v>
      </c>
      <c r="G2810" s="846">
        <v>1507400</v>
      </c>
      <c r="H2810" s="847">
        <v>1452400</v>
      </c>
      <c r="I2810" s="846"/>
      <c r="J2810" s="847"/>
      <c r="K2810" s="846"/>
      <c r="L2810" s="847"/>
      <c r="M2810" s="846">
        <v>688800</v>
      </c>
      <c r="N2810" s="846">
        <v>0</v>
      </c>
      <c r="O2810" s="737">
        <f t="shared" si="351"/>
        <v>688800</v>
      </c>
      <c r="P2810" s="847">
        <v>857300</v>
      </c>
      <c r="Q2810" s="847">
        <v>0</v>
      </c>
      <c r="R2810" s="738">
        <f t="shared" si="354"/>
        <v>857300</v>
      </c>
      <c r="S2810" s="737">
        <f t="shared" si="355"/>
        <v>2196200</v>
      </c>
      <c r="T2810" s="739">
        <f t="shared" si="356"/>
        <v>2309700</v>
      </c>
      <c r="U2810" s="846"/>
      <c r="V2810" s="847"/>
      <c r="W2810" s="846"/>
      <c r="X2810" s="846"/>
      <c r="Y2810" s="740">
        <f t="shared" si="352"/>
        <v>0</v>
      </c>
      <c r="Z2810" s="847"/>
      <c r="AA2810" s="847"/>
      <c r="AB2810" s="741">
        <f t="shared" si="353"/>
        <v>0</v>
      </c>
      <c r="AC2810" s="846"/>
      <c r="AD2810" s="847"/>
      <c r="AE2810" s="846"/>
      <c r="AF2810" s="846"/>
      <c r="AG2810" s="847"/>
      <c r="AH2810" s="847"/>
      <c r="AI2810" s="742">
        <f t="shared" si="357"/>
        <v>2196200</v>
      </c>
      <c r="AJ2810" s="743">
        <f t="shared" si="358"/>
        <v>2309700</v>
      </c>
    </row>
    <row r="2811" spans="1:36">
      <c r="A2811" s="991" t="s">
        <v>155</v>
      </c>
      <c r="B2811" s="992" t="s">
        <v>264</v>
      </c>
      <c r="C2811" s="998" t="s">
        <v>821</v>
      </c>
      <c r="D2811" s="1007"/>
      <c r="E2811" s="1008">
        <v>221388</v>
      </c>
      <c r="F2811" s="1009">
        <v>13</v>
      </c>
      <c r="G2811" s="846">
        <v>1209100</v>
      </c>
      <c r="H2811" s="847">
        <v>1165000</v>
      </c>
      <c r="I2811" s="846"/>
      <c r="J2811" s="847"/>
      <c r="K2811" s="846"/>
      <c r="L2811" s="847"/>
      <c r="M2811" s="846">
        <v>355400</v>
      </c>
      <c r="N2811" s="846">
        <v>0</v>
      </c>
      <c r="O2811" s="737">
        <f t="shared" si="351"/>
        <v>355400</v>
      </c>
      <c r="P2811" s="847">
        <v>349200</v>
      </c>
      <c r="Q2811" s="847">
        <v>0</v>
      </c>
      <c r="R2811" s="738">
        <f t="shared" si="354"/>
        <v>349200</v>
      </c>
      <c r="S2811" s="737">
        <f t="shared" si="355"/>
        <v>1564500</v>
      </c>
      <c r="T2811" s="739">
        <f t="shared" si="356"/>
        <v>1514200</v>
      </c>
      <c r="U2811" s="846"/>
      <c r="V2811" s="847"/>
      <c r="W2811" s="846"/>
      <c r="X2811" s="846"/>
      <c r="Y2811" s="740">
        <f t="shared" si="352"/>
        <v>0</v>
      </c>
      <c r="Z2811" s="847"/>
      <c r="AA2811" s="847"/>
      <c r="AB2811" s="741">
        <f t="shared" si="353"/>
        <v>0</v>
      </c>
      <c r="AC2811" s="846"/>
      <c r="AD2811" s="847"/>
      <c r="AE2811" s="846"/>
      <c r="AF2811" s="846"/>
      <c r="AG2811" s="847"/>
      <c r="AH2811" s="847"/>
      <c r="AI2811" s="742">
        <f t="shared" si="357"/>
        <v>1564500</v>
      </c>
      <c r="AJ2811" s="743">
        <f t="shared" si="358"/>
        <v>1514200</v>
      </c>
    </row>
    <row r="2812" spans="1:36">
      <c r="A2812" s="991" t="s">
        <v>155</v>
      </c>
      <c r="B2812" s="992" t="s">
        <v>264</v>
      </c>
      <c r="C2812" s="998" t="s">
        <v>822</v>
      </c>
      <c r="D2812" s="1007"/>
      <c r="E2812" s="1008">
        <v>221494</v>
      </c>
      <c r="F2812" s="1009">
        <v>13</v>
      </c>
      <c r="G2812" s="846">
        <v>2128200</v>
      </c>
      <c r="H2812" s="847">
        <v>2050600</v>
      </c>
      <c r="I2812" s="846"/>
      <c r="J2812" s="847"/>
      <c r="K2812" s="846"/>
      <c r="L2812" s="847"/>
      <c r="M2812" s="846">
        <v>1272500</v>
      </c>
      <c r="N2812" s="846">
        <v>0</v>
      </c>
      <c r="O2812" s="737">
        <f t="shared" si="351"/>
        <v>1272500</v>
      </c>
      <c r="P2812" s="847">
        <v>1449100</v>
      </c>
      <c r="Q2812" s="847">
        <v>0</v>
      </c>
      <c r="R2812" s="738">
        <f t="shared" si="354"/>
        <v>1449100</v>
      </c>
      <c r="S2812" s="737">
        <f t="shared" si="355"/>
        <v>3400700</v>
      </c>
      <c r="T2812" s="739">
        <f t="shared" si="356"/>
        <v>3499700</v>
      </c>
      <c r="U2812" s="846"/>
      <c r="V2812" s="847"/>
      <c r="W2812" s="846"/>
      <c r="X2812" s="846"/>
      <c r="Y2812" s="740">
        <f t="shared" si="352"/>
        <v>0</v>
      </c>
      <c r="Z2812" s="847"/>
      <c r="AA2812" s="847"/>
      <c r="AB2812" s="741">
        <f t="shared" si="353"/>
        <v>0</v>
      </c>
      <c r="AC2812" s="846"/>
      <c r="AD2812" s="847"/>
      <c r="AE2812" s="846"/>
      <c r="AF2812" s="846"/>
      <c r="AG2812" s="847"/>
      <c r="AH2812" s="847"/>
      <c r="AI2812" s="742">
        <f t="shared" si="357"/>
        <v>3400700</v>
      </c>
      <c r="AJ2812" s="743">
        <f t="shared" si="358"/>
        <v>3499700</v>
      </c>
    </row>
    <row r="2813" spans="1:36">
      <c r="A2813" s="991" t="s">
        <v>155</v>
      </c>
      <c r="B2813" s="992" t="s">
        <v>264</v>
      </c>
      <c r="C2813" s="998" t="s">
        <v>823</v>
      </c>
      <c r="D2813" s="1007"/>
      <c r="E2813" s="1008">
        <v>221634</v>
      </c>
      <c r="F2813" s="1009">
        <v>13</v>
      </c>
      <c r="G2813" s="846">
        <v>1389700</v>
      </c>
      <c r="H2813" s="847">
        <v>1339000</v>
      </c>
      <c r="I2813" s="846"/>
      <c r="J2813" s="847"/>
      <c r="K2813" s="846"/>
      <c r="L2813" s="847"/>
      <c r="M2813" s="846">
        <v>497200</v>
      </c>
      <c r="N2813" s="846">
        <v>0</v>
      </c>
      <c r="O2813" s="737">
        <f t="shared" si="351"/>
        <v>497200</v>
      </c>
      <c r="P2813" s="847">
        <v>550500</v>
      </c>
      <c r="Q2813" s="847">
        <v>0</v>
      </c>
      <c r="R2813" s="738">
        <f t="shared" si="354"/>
        <v>550500</v>
      </c>
      <c r="S2813" s="737">
        <f t="shared" si="355"/>
        <v>1886900</v>
      </c>
      <c r="T2813" s="739">
        <f t="shared" si="356"/>
        <v>1889500</v>
      </c>
      <c r="U2813" s="846"/>
      <c r="V2813" s="847"/>
      <c r="W2813" s="846"/>
      <c r="X2813" s="846"/>
      <c r="Y2813" s="740">
        <f t="shared" si="352"/>
        <v>0</v>
      </c>
      <c r="Z2813" s="847"/>
      <c r="AA2813" s="847"/>
      <c r="AB2813" s="741">
        <f t="shared" si="353"/>
        <v>0</v>
      </c>
      <c r="AC2813" s="846"/>
      <c r="AD2813" s="847"/>
      <c r="AE2813" s="846"/>
      <c r="AF2813" s="846"/>
      <c r="AG2813" s="847"/>
      <c r="AH2813" s="847"/>
      <c r="AI2813" s="742">
        <f t="shared" si="357"/>
        <v>1886900</v>
      </c>
      <c r="AJ2813" s="743">
        <f t="shared" si="358"/>
        <v>1889500</v>
      </c>
    </row>
    <row r="2814" spans="1:36">
      <c r="A2814" s="991" t="s">
        <v>155</v>
      </c>
      <c r="B2814" s="992" t="s">
        <v>301</v>
      </c>
      <c r="C2814" s="998" t="s">
        <v>824</v>
      </c>
      <c r="D2814" s="999"/>
      <c r="E2814" s="1000">
        <v>221704</v>
      </c>
      <c r="F2814" s="1001">
        <v>15</v>
      </c>
      <c r="G2814" s="846"/>
      <c r="H2814" s="847"/>
      <c r="I2814" s="846"/>
      <c r="J2814" s="847"/>
      <c r="K2814" s="846"/>
      <c r="L2814" s="847"/>
      <c r="M2814" s="846"/>
      <c r="N2814" s="846"/>
      <c r="O2814" s="737">
        <f t="shared" si="351"/>
        <v>0</v>
      </c>
      <c r="P2814" s="847"/>
      <c r="Q2814" s="847">
        <v>0</v>
      </c>
      <c r="R2814" s="738">
        <f t="shared" si="354"/>
        <v>0</v>
      </c>
      <c r="S2814" s="737">
        <f t="shared" si="355"/>
        <v>0</v>
      </c>
      <c r="T2814" s="739">
        <f t="shared" si="356"/>
        <v>0</v>
      </c>
      <c r="U2814" s="846"/>
      <c r="V2814" s="847"/>
      <c r="W2814" s="846"/>
      <c r="X2814" s="846"/>
      <c r="Y2814" s="740">
        <f t="shared" si="352"/>
        <v>0</v>
      </c>
      <c r="Z2814" s="847"/>
      <c r="AA2814" s="847"/>
      <c r="AB2814" s="741">
        <f t="shared" si="353"/>
        <v>0</v>
      </c>
      <c r="AC2814" s="846"/>
      <c r="AD2814" s="847"/>
      <c r="AE2814" s="846"/>
      <c r="AF2814" s="846"/>
      <c r="AG2814" s="847"/>
      <c r="AH2814" s="847"/>
      <c r="AI2814" s="742">
        <f t="shared" si="357"/>
        <v>0</v>
      </c>
      <c r="AJ2814" s="743">
        <f t="shared" si="358"/>
        <v>0</v>
      </c>
    </row>
    <row r="2815" spans="1:36">
      <c r="A2815" s="991" t="s">
        <v>155</v>
      </c>
      <c r="B2815" s="992" t="s">
        <v>301</v>
      </c>
      <c r="C2815" s="1002" t="s">
        <v>716</v>
      </c>
      <c r="D2815" s="1003"/>
      <c r="E2815" s="1000">
        <v>221704</v>
      </c>
      <c r="F2815" s="1001">
        <v>15</v>
      </c>
      <c r="G2815" s="846"/>
      <c r="H2815" s="847"/>
      <c r="I2815" s="846"/>
      <c r="J2815" s="847"/>
      <c r="K2815" s="846"/>
      <c r="L2815" s="847"/>
      <c r="M2815" s="846"/>
      <c r="N2815" s="846"/>
      <c r="O2815" s="737">
        <f t="shared" si="351"/>
        <v>0</v>
      </c>
      <c r="P2815" s="847"/>
      <c r="Q2815" s="847"/>
      <c r="R2815" s="738">
        <f t="shared" si="354"/>
        <v>0</v>
      </c>
      <c r="S2815" s="737">
        <f t="shared" si="355"/>
        <v>0</v>
      </c>
      <c r="T2815" s="739">
        <f t="shared" si="356"/>
        <v>0</v>
      </c>
      <c r="U2815" s="846"/>
      <c r="V2815" s="847"/>
      <c r="W2815" s="846"/>
      <c r="X2815" s="846"/>
      <c r="Y2815" s="740">
        <f t="shared" si="352"/>
        <v>0</v>
      </c>
      <c r="Z2815" s="847"/>
      <c r="AA2815" s="847"/>
      <c r="AB2815" s="741">
        <f t="shared" si="353"/>
        <v>0</v>
      </c>
      <c r="AC2815" s="846">
        <v>78284887.135669321</v>
      </c>
      <c r="AD2815" s="847">
        <v>78898145.99670884</v>
      </c>
      <c r="AE2815" s="846">
        <v>45327760</v>
      </c>
      <c r="AF2815" s="846">
        <v>157975</v>
      </c>
      <c r="AG2815" s="847">
        <v>48912960</v>
      </c>
      <c r="AH2815" s="847">
        <v>158182</v>
      </c>
      <c r="AI2815" s="742">
        <f t="shared" si="357"/>
        <v>123612647.13566932</v>
      </c>
      <c r="AJ2815" s="743">
        <f t="shared" si="358"/>
        <v>127811105.99670884</v>
      </c>
    </row>
    <row r="2816" spans="1:36">
      <c r="A2816" s="991" t="s">
        <v>155</v>
      </c>
      <c r="B2816" s="992" t="s">
        <v>301</v>
      </c>
      <c r="C2816" s="1004" t="s">
        <v>717</v>
      </c>
      <c r="D2816" s="1003"/>
      <c r="E2816" s="1000">
        <v>221704</v>
      </c>
      <c r="F2816" s="1001">
        <v>15</v>
      </c>
      <c r="G2816" s="846"/>
      <c r="H2816" s="847"/>
      <c r="I2816" s="846"/>
      <c r="J2816" s="847"/>
      <c r="K2816" s="846"/>
      <c r="L2816" s="847"/>
      <c r="M2816" s="846"/>
      <c r="N2816" s="846"/>
      <c r="O2816" s="737">
        <f t="shared" si="351"/>
        <v>0</v>
      </c>
      <c r="P2816" s="847"/>
      <c r="Q2816" s="847"/>
      <c r="R2816" s="738">
        <f t="shared" si="354"/>
        <v>0</v>
      </c>
      <c r="S2816" s="737">
        <f t="shared" si="355"/>
        <v>0</v>
      </c>
      <c r="T2816" s="739">
        <f t="shared" si="356"/>
        <v>0</v>
      </c>
      <c r="U2816" s="846"/>
      <c r="V2816" s="847"/>
      <c r="W2816" s="846"/>
      <c r="X2816" s="846"/>
      <c r="Y2816" s="740">
        <f t="shared" si="352"/>
        <v>0</v>
      </c>
      <c r="Z2816" s="847"/>
      <c r="AA2816" s="847"/>
      <c r="AB2816" s="741">
        <f t="shared" si="353"/>
        <v>0</v>
      </c>
      <c r="AC2816" s="846">
        <v>57587300</v>
      </c>
      <c r="AD2816" s="847">
        <v>57525900</v>
      </c>
      <c r="AE2816" s="846">
        <v>25243300</v>
      </c>
      <c r="AF2816" s="846">
        <v>0</v>
      </c>
      <c r="AG2816" s="847">
        <v>25826400</v>
      </c>
      <c r="AH2816" s="847">
        <v>0</v>
      </c>
      <c r="AI2816" s="742">
        <f t="shared" si="357"/>
        <v>82830600</v>
      </c>
      <c r="AJ2816" s="743">
        <f t="shared" si="358"/>
        <v>83352300</v>
      </c>
    </row>
    <row r="2817" spans="1:36">
      <c r="A2817" s="991" t="s">
        <v>155</v>
      </c>
      <c r="B2817" s="992" t="s">
        <v>301</v>
      </c>
      <c r="C2817" s="1004" t="s">
        <v>587</v>
      </c>
      <c r="D2817" s="1003"/>
      <c r="E2817" s="1000">
        <v>221704</v>
      </c>
      <c r="F2817" s="1001">
        <v>15</v>
      </c>
      <c r="G2817" s="846"/>
      <c r="H2817" s="847"/>
      <c r="I2817" s="846"/>
      <c r="J2817" s="847"/>
      <c r="K2817" s="846"/>
      <c r="L2817" s="847"/>
      <c r="M2817" s="846"/>
      <c r="N2817" s="846"/>
      <c r="O2817" s="737">
        <f t="shared" si="351"/>
        <v>0</v>
      </c>
      <c r="P2817" s="847"/>
      <c r="Q2817" s="847"/>
      <c r="R2817" s="738">
        <f t="shared" si="354"/>
        <v>0</v>
      </c>
      <c r="S2817" s="737">
        <f t="shared" si="355"/>
        <v>0</v>
      </c>
      <c r="T2817" s="739">
        <f t="shared" si="356"/>
        <v>0</v>
      </c>
      <c r="U2817" s="846"/>
      <c r="V2817" s="847"/>
      <c r="W2817" s="846"/>
      <c r="X2817" s="846"/>
      <c r="Y2817" s="740">
        <f t="shared" si="352"/>
        <v>0</v>
      </c>
      <c r="Z2817" s="847"/>
      <c r="AA2817" s="847"/>
      <c r="AB2817" s="741">
        <f t="shared" si="353"/>
        <v>0</v>
      </c>
      <c r="AC2817" s="846">
        <v>17319675.246857088</v>
      </c>
      <c r="AD2817" s="847">
        <v>17384991.323062096</v>
      </c>
      <c r="AE2817" s="846">
        <v>11260659</v>
      </c>
      <c r="AF2817" s="846">
        <v>0</v>
      </c>
      <c r="AG2817" s="847">
        <v>11494417</v>
      </c>
      <c r="AH2817" s="847">
        <v>0</v>
      </c>
      <c r="AI2817" s="742">
        <f t="shared" si="357"/>
        <v>28580334.246857088</v>
      </c>
      <c r="AJ2817" s="743">
        <f t="shared" si="358"/>
        <v>28879408.323062096</v>
      </c>
    </row>
    <row r="2818" spans="1:36">
      <c r="A2818" s="991" t="s">
        <v>155</v>
      </c>
      <c r="B2818" s="992" t="s">
        <v>302</v>
      </c>
      <c r="C2818" s="1004" t="s">
        <v>825</v>
      </c>
      <c r="D2818" s="1003"/>
      <c r="E2818" s="1000">
        <v>221704</v>
      </c>
      <c r="F2818" s="1001">
        <v>15</v>
      </c>
      <c r="G2818" s="846"/>
      <c r="H2818" s="847"/>
      <c r="I2818" s="846"/>
      <c r="J2818" s="847"/>
      <c r="K2818" s="846"/>
      <c r="L2818" s="847"/>
      <c r="M2818" s="846"/>
      <c r="N2818" s="846"/>
      <c r="O2818" s="737">
        <f t="shared" si="351"/>
        <v>0</v>
      </c>
      <c r="P2818" s="847"/>
      <c r="Q2818" s="847"/>
      <c r="R2818" s="738">
        <f t="shared" si="354"/>
        <v>0</v>
      </c>
      <c r="S2818" s="737">
        <f t="shared" si="355"/>
        <v>0</v>
      </c>
      <c r="T2818" s="739">
        <f t="shared" si="356"/>
        <v>0</v>
      </c>
      <c r="U2818" s="846">
        <v>8923113.9352994487</v>
      </c>
      <c r="V2818" s="847">
        <v>8928675.9698881209</v>
      </c>
      <c r="W2818" s="846">
        <v>1450000</v>
      </c>
      <c r="X2818" s="846">
        <v>0</v>
      </c>
      <c r="Y2818" s="740">
        <f t="shared" si="352"/>
        <v>1450000</v>
      </c>
      <c r="Z2818" s="847">
        <v>1123020</v>
      </c>
      <c r="AA2818" s="847">
        <v>0</v>
      </c>
      <c r="AB2818" s="741">
        <f t="shared" si="353"/>
        <v>1123020</v>
      </c>
      <c r="AC2818" s="846"/>
      <c r="AD2818" s="847"/>
      <c r="AE2818" s="846"/>
      <c r="AF2818" s="846"/>
      <c r="AG2818" s="847"/>
      <c r="AH2818" s="847"/>
      <c r="AI2818" s="742">
        <f t="shared" si="357"/>
        <v>10373113.935299449</v>
      </c>
      <c r="AJ2818" s="743">
        <f t="shared" si="358"/>
        <v>10051695.969888121</v>
      </c>
    </row>
    <row r="2819" spans="1:36">
      <c r="A2819" s="991" t="s">
        <v>155</v>
      </c>
      <c r="B2819" s="992" t="s">
        <v>303</v>
      </c>
      <c r="C2819" s="1012" t="s">
        <v>826</v>
      </c>
      <c r="D2819" s="999"/>
      <c r="E2819" s="1000"/>
      <c r="F2819" s="1001"/>
      <c r="G2819" s="846"/>
      <c r="H2819" s="847"/>
      <c r="I2819" s="846"/>
      <c r="J2819" s="847"/>
      <c r="K2819" s="846"/>
      <c r="L2819" s="847"/>
      <c r="M2819" s="846"/>
      <c r="N2819" s="846"/>
      <c r="O2819" s="737">
        <f t="shared" si="351"/>
        <v>0</v>
      </c>
      <c r="P2819" s="847"/>
      <c r="Q2819" s="847"/>
      <c r="R2819" s="738">
        <f t="shared" si="354"/>
        <v>0</v>
      </c>
      <c r="S2819" s="737">
        <f t="shared" si="355"/>
        <v>0</v>
      </c>
      <c r="T2819" s="739">
        <f t="shared" si="356"/>
        <v>0</v>
      </c>
      <c r="U2819" s="846"/>
      <c r="V2819" s="847"/>
      <c r="W2819" s="846"/>
      <c r="X2819" s="846"/>
      <c r="Y2819" s="740">
        <f t="shared" si="352"/>
        <v>0</v>
      </c>
      <c r="Z2819" s="847"/>
      <c r="AA2819" s="847"/>
      <c r="AB2819" s="741">
        <f t="shared" si="353"/>
        <v>0</v>
      </c>
      <c r="AC2819" s="846"/>
      <c r="AD2819" s="847"/>
      <c r="AE2819" s="846"/>
      <c r="AF2819" s="846"/>
      <c r="AG2819" s="847"/>
      <c r="AH2819" s="847"/>
      <c r="AI2819" s="742">
        <f t="shared" si="357"/>
        <v>0</v>
      </c>
      <c r="AJ2819" s="743">
        <f t="shared" si="358"/>
        <v>0</v>
      </c>
    </row>
    <row r="2820" spans="1:36">
      <c r="A2820" s="991" t="s">
        <v>155</v>
      </c>
      <c r="B2820" s="992" t="s">
        <v>303</v>
      </c>
      <c r="C2820" s="1004" t="s">
        <v>827</v>
      </c>
      <c r="D2820" s="1003"/>
      <c r="E2820" s="1000"/>
      <c r="F2820" s="1001"/>
      <c r="G2820" s="846"/>
      <c r="H2820" s="847"/>
      <c r="I2820" s="846">
        <v>422000</v>
      </c>
      <c r="J2820" s="847">
        <v>423700</v>
      </c>
      <c r="K2820" s="846"/>
      <c r="L2820" s="847"/>
      <c r="M2820" s="846">
        <v>0</v>
      </c>
      <c r="N2820" s="846">
        <v>0</v>
      </c>
      <c r="O2820" s="737">
        <f t="shared" si="351"/>
        <v>0</v>
      </c>
      <c r="P2820" s="847">
        <v>0</v>
      </c>
      <c r="Q2820" s="847">
        <v>0</v>
      </c>
      <c r="R2820" s="738">
        <f t="shared" si="354"/>
        <v>0</v>
      </c>
      <c r="S2820" s="737">
        <f t="shared" si="355"/>
        <v>422000</v>
      </c>
      <c r="T2820" s="739">
        <f t="shared" si="356"/>
        <v>423700</v>
      </c>
      <c r="U2820" s="846"/>
      <c r="V2820" s="847"/>
      <c r="W2820" s="846"/>
      <c r="X2820" s="846"/>
      <c r="Y2820" s="740">
        <f t="shared" si="352"/>
        <v>0</v>
      </c>
      <c r="Z2820" s="847"/>
      <c r="AA2820" s="847"/>
      <c r="AB2820" s="741">
        <f t="shared" si="353"/>
        <v>0</v>
      </c>
      <c r="AC2820" s="846"/>
      <c r="AD2820" s="847"/>
      <c r="AE2820" s="846"/>
      <c r="AF2820" s="846"/>
      <c r="AG2820" s="847"/>
      <c r="AH2820" s="847"/>
      <c r="AI2820" s="742">
        <f t="shared" si="357"/>
        <v>422000</v>
      </c>
      <c r="AJ2820" s="743">
        <f t="shared" si="358"/>
        <v>423700</v>
      </c>
    </row>
    <row r="2821" spans="1:36">
      <c r="A2821" s="991" t="s">
        <v>155</v>
      </c>
      <c r="B2821" s="992" t="s">
        <v>281</v>
      </c>
      <c r="C2821" s="1012" t="s">
        <v>109</v>
      </c>
      <c r="D2821" s="999"/>
      <c r="E2821" s="1000"/>
      <c r="F2821" s="1001"/>
      <c r="G2821" s="846"/>
      <c r="H2821" s="847"/>
      <c r="I2821" s="846"/>
      <c r="J2821" s="847"/>
      <c r="K2821" s="846"/>
      <c r="L2821" s="847"/>
      <c r="M2821" s="846"/>
      <c r="N2821" s="846"/>
      <c r="O2821" s="737">
        <f t="shared" si="351"/>
        <v>0</v>
      </c>
      <c r="P2821" s="847"/>
      <c r="Q2821" s="847"/>
      <c r="R2821" s="738">
        <f t="shared" si="354"/>
        <v>0</v>
      </c>
      <c r="S2821" s="737">
        <f t="shared" si="355"/>
        <v>0</v>
      </c>
      <c r="T2821" s="739">
        <f t="shared" si="356"/>
        <v>0</v>
      </c>
      <c r="U2821" s="846"/>
      <c r="V2821" s="847"/>
      <c r="W2821" s="846"/>
      <c r="X2821" s="846"/>
      <c r="Y2821" s="740">
        <f t="shared" si="352"/>
        <v>0</v>
      </c>
      <c r="Z2821" s="847"/>
      <c r="AA2821" s="847"/>
      <c r="AB2821" s="741">
        <f t="shared" si="353"/>
        <v>0</v>
      </c>
      <c r="AC2821" s="846"/>
      <c r="AD2821" s="847"/>
      <c r="AE2821" s="846"/>
      <c r="AF2821" s="846"/>
      <c r="AG2821" s="847"/>
      <c r="AH2821" s="847"/>
      <c r="AI2821" s="742">
        <f t="shared" si="357"/>
        <v>0</v>
      </c>
      <c r="AJ2821" s="743">
        <f t="shared" si="358"/>
        <v>0</v>
      </c>
    </row>
    <row r="2822" spans="1:36">
      <c r="A2822" s="991" t="s">
        <v>155</v>
      </c>
      <c r="B2822" s="992" t="s">
        <v>282</v>
      </c>
      <c r="C2822" s="1002" t="s">
        <v>140</v>
      </c>
      <c r="D2822" s="1003"/>
      <c r="E2822" s="1000"/>
      <c r="F2822" s="1001"/>
      <c r="G2822" s="846"/>
      <c r="H2822" s="847"/>
      <c r="I2822" s="846"/>
      <c r="J2822" s="847"/>
      <c r="K2822" s="846"/>
      <c r="L2822" s="847"/>
      <c r="M2822" s="846"/>
      <c r="N2822" s="846"/>
      <c r="O2822" s="737">
        <f t="shared" si="351"/>
        <v>0</v>
      </c>
      <c r="P2822" s="847"/>
      <c r="Q2822" s="847"/>
      <c r="R2822" s="738">
        <f t="shared" si="354"/>
        <v>0</v>
      </c>
      <c r="S2822" s="737">
        <f t="shared" si="355"/>
        <v>0</v>
      </c>
      <c r="T2822" s="739">
        <f t="shared" si="356"/>
        <v>0</v>
      </c>
      <c r="U2822" s="846"/>
      <c r="V2822" s="847"/>
      <c r="W2822" s="846"/>
      <c r="X2822" s="846"/>
      <c r="Y2822" s="740">
        <f t="shared" si="352"/>
        <v>0</v>
      </c>
      <c r="Z2822" s="847"/>
      <c r="AA2822" s="847"/>
      <c r="AB2822" s="741">
        <f t="shared" si="353"/>
        <v>0</v>
      </c>
      <c r="AC2822" s="846"/>
      <c r="AD2822" s="847"/>
      <c r="AE2822" s="846"/>
      <c r="AF2822" s="846"/>
      <c r="AG2822" s="847"/>
      <c r="AH2822" s="847"/>
      <c r="AI2822" s="742">
        <f t="shared" si="357"/>
        <v>0</v>
      </c>
      <c r="AJ2822" s="743">
        <f t="shared" si="358"/>
        <v>0</v>
      </c>
    </row>
    <row r="2823" spans="1:36">
      <c r="A2823" s="991" t="s">
        <v>155</v>
      </c>
      <c r="B2823" s="992" t="s">
        <v>282</v>
      </c>
      <c r="C2823" s="1004" t="s">
        <v>828</v>
      </c>
      <c r="D2823" s="1003"/>
      <c r="E2823" s="1000"/>
      <c r="F2823" s="1001"/>
      <c r="G2823" s="846"/>
      <c r="H2823" s="847"/>
      <c r="I2823" s="846"/>
      <c r="J2823" s="847"/>
      <c r="K2823" s="846"/>
      <c r="L2823" s="847"/>
      <c r="M2823" s="846"/>
      <c r="N2823" s="846"/>
      <c r="O2823" s="737">
        <f t="shared" si="351"/>
        <v>0</v>
      </c>
      <c r="P2823" s="847"/>
      <c r="Q2823" s="847"/>
      <c r="R2823" s="738">
        <f t="shared" si="354"/>
        <v>0</v>
      </c>
      <c r="S2823" s="737">
        <f t="shared" si="355"/>
        <v>0</v>
      </c>
      <c r="T2823" s="739">
        <f t="shared" si="356"/>
        <v>0</v>
      </c>
      <c r="U2823" s="846">
        <v>6229200</v>
      </c>
      <c r="V2823" s="847">
        <v>7356800</v>
      </c>
      <c r="W2823" s="846">
        <v>0</v>
      </c>
      <c r="X2823" s="846">
        <v>0</v>
      </c>
      <c r="Y2823" s="740">
        <f t="shared" si="352"/>
        <v>0</v>
      </c>
      <c r="Z2823" s="847">
        <v>0</v>
      </c>
      <c r="AA2823" s="847">
        <v>0</v>
      </c>
      <c r="AB2823" s="741">
        <f t="shared" si="353"/>
        <v>0</v>
      </c>
      <c r="AC2823" s="846"/>
      <c r="AD2823" s="847"/>
      <c r="AE2823" s="846"/>
      <c r="AF2823" s="846"/>
      <c r="AG2823" s="847"/>
      <c r="AH2823" s="847"/>
      <c r="AI2823" s="742">
        <f t="shared" si="357"/>
        <v>6229200</v>
      </c>
      <c r="AJ2823" s="743">
        <f t="shared" si="358"/>
        <v>7356800</v>
      </c>
    </row>
    <row r="2824" spans="1:36">
      <c r="A2824" s="991" t="s">
        <v>155</v>
      </c>
      <c r="B2824" s="992" t="s">
        <v>282</v>
      </c>
      <c r="C2824" s="1004" t="s">
        <v>829</v>
      </c>
      <c r="D2824" s="1003"/>
      <c r="E2824" s="1000"/>
      <c r="F2824" s="1001"/>
      <c r="G2824" s="846"/>
      <c r="H2824" s="847"/>
      <c r="I2824" s="846"/>
      <c r="J2824" s="847"/>
      <c r="K2824" s="846"/>
      <c r="L2824" s="847"/>
      <c r="M2824" s="846"/>
      <c r="N2824" s="846"/>
      <c r="O2824" s="737">
        <f t="shared" si="351"/>
        <v>0</v>
      </c>
      <c r="P2824" s="847"/>
      <c r="Q2824" s="847"/>
      <c r="R2824" s="738">
        <f t="shared" si="354"/>
        <v>0</v>
      </c>
      <c r="S2824" s="737">
        <f t="shared" si="355"/>
        <v>0</v>
      </c>
      <c r="T2824" s="739">
        <f t="shared" si="356"/>
        <v>0</v>
      </c>
      <c r="U2824" s="846">
        <v>12444460</v>
      </c>
      <c r="V2824" s="847">
        <v>12089936</v>
      </c>
      <c r="W2824" s="846">
        <v>0</v>
      </c>
      <c r="X2824" s="846">
        <v>0</v>
      </c>
      <c r="Y2824" s="740">
        <f t="shared" si="352"/>
        <v>0</v>
      </c>
      <c r="Z2824" s="847">
        <v>0</v>
      </c>
      <c r="AA2824" s="847">
        <v>0</v>
      </c>
      <c r="AB2824" s="741">
        <f t="shared" si="353"/>
        <v>0</v>
      </c>
      <c r="AC2824" s="846"/>
      <c r="AD2824" s="847"/>
      <c r="AE2824" s="846"/>
      <c r="AF2824" s="846"/>
      <c r="AG2824" s="847"/>
      <c r="AH2824" s="847"/>
      <c r="AI2824" s="742">
        <f t="shared" si="357"/>
        <v>12444460</v>
      </c>
      <c r="AJ2824" s="743">
        <f t="shared" si="358"/>
        <v>12089936</v>
      </c>
    </row>
    <row r="2825" spans="1:36">
      <c r="A2825" s="991" t="s">
        <v>155</v>
      </c>
      <c r="B2825" s="992" t="s">
        <v>284</v>
      </c>
      <c r="C2825" s="1002" t="s">
        <v>138</v>
      </c>
      <c r="D2825" s="1003"/>
      <c r="E2825" s="1000"/>
      <c r="F2825" s="1001"/>
      <c r="G2825" s="846"/>
      <c r="H2825" s="847"/>
      <c r="I2825" s="846"/>
      <c r="J2825" s="847"/>
      <c r="K2825" s="846"/>
      <c r="L2825" s="847"/>
      <c r="M2825" s="846"/>
      <c r="N2825" s="846"/>
      <c r="O2825" s="737">
        <f t="shared" si="351"/>
        <v>0</v>
      </c>
      <c r="P2825" s="847"/>
      <c r="Q2825" s="847"/>
      <c r="R2825" s="738">
        <f t="shared" si="354"/>
        <v>0</v>
      </c>
      <c r="S2825" s="737">
        <f t="shared" si="355"/>
        <v>0</v>
      </c>
      <c r="T2825" s="739">
        <f t="shared" si="356"/>
        <v>0</v>
      </c>
      <c r="U2825" s="846"/>
      <c r="V2825" s="847"/>
      <c r="W2825" s="846"/>
      <c r="X2825" s="846"/>
      <c r="Y2825" s="740">
        <f t="shared" si="352"/>
        <v>0</v>
      </c>
      <c r="Z2825" s="847"/>
      <c r="AA2825" s="847"/>
      <c r="AB2825" s="741">
        <f t="shared" si="353"/>
        <v>0</v>
      </c>
      <c r="AC2825" s="846"/>
      <c r="AD2825" s="847"/>
      <c r="AE2825" s="846"/>
      <c r="AF2825" s="846"/>
      <c r="AG2825" s="847"/>
      <c r="AH2825" s="847"/>
      <c r="AI2825" s="742">
        <f t="shared" si="357"/>
        <v>0</v>
      </c>
      <c r="AJ2825" s="743">
        <f t="shared" si="358"/>
        <v>0</v>
      </c>
    </row>
    <row r="2826" spans="1:36">
      <c r="A2826" s="991" t="s">
        <v>155</v>
      </c>
      <c r="B2826" s="992" t="s">
        <v>284</v>
      </c>
      <c r="C2826" s="1004" t="s">
        <v>566</v>
      </c>
      <c r="D2826" s="1003"/>
      <c r="E2826" s="1000"/>
      <c r="F2826" s="1001"/>
      <c r="G2826" s="846"/>
      <c r="H2826" s="847"/>
      <c r="I2826" s="846"/>
      <c r="J2826" s="847"/>
      <c r="K2826" s="846"/>
      <c r="L2826" s="847"/>
      <c r="M2826" s="846"/>
      <c r="N2826" s="846"/>
      <c r="O2826" s="737">
        <f t="shared" ref="O2826:O2889" si="359">SUM(M2826:N2826)</f>
        <v>0</v>
      </c>
      <c r="P2826" s="847"/>
      <c r="Q2826" s="847"/>
      <c r="R2826" s="738">
        <f t="shared" si="354"/>
        <v>0</v>
      </c>
      <c r="S2826" s="737">
        <f t="shared" si="355"/>
        <v>0</v>
      </c>
      <c r="T2826" s="739">
        <f t="shared" si="356"/>
        <v>0</v>
      </c>
      <c r="U2826" s="846"/>
      <c r="V2826" s="847"/>
      <c r="W2826" s="846"/>
      <c r="X2826" s="846"/>
      <c r="Y2826" s="740">
        <f t="shared" ref="Y2826:Y2889" si="360">SUM(W2826:X2826)</f>
        <v>0</v>
      </c>
      <c r="Z2826" s="847"/>
      <c r="AA2826" s="847"/>
      <c r="AB2826" s="741">
        <f t="shared" ref="AB2826:AB2889" si="361">SUM(Z2826:AA2826)</f>
        <v>0</v>
      </c>
      <c r="AC2826" s="846"/>
      <c r="AD2826" s="847"/>
      <c r="AE2826" s="846"/>
      <c r="AF2826" s="846"/>
      <c r="AG2826" s="847"/>
      <c r="AH2826" s="847"/>
      <c r="AI2826" s="742">
        <f t="shared" si="357"/>
        <v>0</v>
      </c>
      <c r="AJ2826" s="743">
        <f t="shared" si="358"/>
        <v>0</v>
      </c>
    </row>
    <row r="2827" spans="1:36">
      <c r="A2827" s="991" t="s">
        <v>155</v>
      </c>
      <c r="B2827" s="992" t="s">
        <v>285</v>
      </c>
      <c r="C2827" s="1013" t="s">
        <v>504</v>
      </c>
      <c r="D2827" s="1014"/>
      <c r="E2827" s="1000"/>
      <c r="F2827" s="1001"/>
      <c r="G2827" s="846"/>
      <c r="H2827" s="847"/>
      <c r="I2827" s="846"/>
      <c r="J2827" s="847"/>
      <c r="K2827" s="846"/>
      <c r="L2827" s="847"/>
      <c r="M2827" s="846"/>
      <c r="N2827" s="846"/>
      <c r="O2827" s="737">
        <f t="shared" si="359"/>
        <v>0</v>
      </c>
      <c r="P2827" s="847"/>
      <c r="Q2827" s="847"/>
      <c r="R2827" s="738">
        <f t="shared" ref="R2827:R2890" si="362">SUM(P2827:Q2827)</f>
        <v>0</v>
      </c>
      <c r="S2827" s="737">
        <f t="shared" ref="S2827:S2890" si="363">SUM(G2827,I2827,K2827,M2827)</f>
        <v>0</v>
      </c>
      <c r="T2827" s="739">
        <f t="shared" ref="T2827:T2890" si="364">SUM(H2827,J2827,L2827,P2827)</f>
        <v>0</v>
      </c>
      <c r="U2827" s="846">
        <v>1353500</v>
      </c>
      <c r="V2827" s="847">
        <v>1333500</v>
      </c>
      <c r="W2827" s="846">
        <v>0</v>
      </c>
      <c r="X2827" s="846">
        <v>0</v>
      </c>
      <c r="Y2827" s="740">
        <f t="shared" si="360"/>
        <v>0</v>
      </c>
      <c r="Z2827" s="847">
        <v>0</v>
      </c>
      <c r="AA2827" s="847">
        <v>0</v>
      </c>
      <c r="AB2827" s="741">
        <f t="shared" si="361"/>
        <v>0</v>
      </c>
      <c r="AC2827" s="846"/>
      <c r="AD2827" s="847"/>
      <c r="AE2827" s="846"/>
      <c r="AF2827" s="846"/>
      <c r="AG2827" s="847"/>
      <c r="AH2827" s="847"/>
      <c r="AI2827" s="742">
        <f t="shared" ref="AI2827:AI2890" si="365">SUM(S2827,U2827,W2827,AC2827,AE2827)</f>
        <v>1353500</v>
      </c>
      <c r="AJ2827" s="743">
        <f t="shared" ref="AJ2827:AJ2890" si="366">SUM(T2827,V2827,Z2827,AD2827,AG2827)</f>
        <v>1333500</v>
      </c>
    </row>
    <row r="2828" spans="1:36">
      <c r="A2828" s="991" t="s">
        <v>155</v>
      </c>
      <c r="B2828" s="992" t="s">
        <v>286</v>
      </c>
      <c r="C2828" s="1012" t="s">
        <v>506</v>
      </c>
      <c r="D2828" s="999"/>
      <c r="E2828" s="1000"/>
      <c r="F2828" s="1001"/>
      <c r="G2828" s="846"/>
      <c r="H2828" s="847"/>
      <c r="I2828" s="846"/>
      <c r="J2828" s="847"/>
      <c r="K2828" s="846"/>
      <c r="L2828" s="847"/>
      <c r="M2828" s="846"/>
      <c r="N2828" s="846"/>
      <c r="O2828" s="737">
        <f t="shared" si="359"/>
        <v>0</v>
      </c>
      <c r="P2828" s="847"/>
      <c r="Q2828" s="847"/>
      <c r="R2828" s="738">
        <f t="shared" si="362"/>
        <v>0</v>
      </c>
      <c r="S2828" s="737">
        <f t="shared" si="363"/>
        <v>0</v>
      </c>
      <c r="T2828" s="739">
        <f t="shared" si="364"/>
        <v>0</v>
      </c>
      <c r="U2828" s="846"/>
      <c r="V2828" s="847"/>
      <c r="W2828" s="846"/>
      <c r="X2828" s="846"/>
      <c r="Y2828" s="740">
        <f t="shared" si="360"/>
        <v>0</v>
      </c>
      <c r="Z2828" s="847"/>
      <c r="AA2828" s="847"/>
      <c r="AB2828" s="741">
        <f t="shared" si="361"/>
        <v>0</v>
      </c>
      <c r="AC2828" s="846"/>
      <c r="AD2828" s="847"/>
      <c r="AE2828" s="846"/>
      <c r="AF2828" s="846"/>
      <c r="AG2828" s="847"/>
      <c r="AH2828" s="847"/>
      <c r="AI2828" s="742">
        <f t="shared" si="365"/>
        <v>0</v>
      </c>
      <c r="AJ2828" s="743">
        <f t="shared" si="366"/>
        <v>0</v>
      </c>
    </row>
    <row r="2829" spans="1:36">
      <c r="A2829" s="991" t="s">
        <v>155</v>
      </c>
      <c r="B2829" s="992" t="s">
        <v>287</v>
      </c>
      <c r="C2829" s="1012" t="s">
        <v>510</v>
      </c>
      <c r="D2829" s="999"/>
      <c r="E2829" s="1000"/>
      <c r="F2829" s="1001"/>
      <c r="G2829" s="846"/>
      <c r="H2829" s="847"/>
      <c r="I2829" s="846"/>
      <c r="J2829" s="847"/>
      <c r="K2829" s="846"/>
      <c r="L2829" s="847"/>
      <c r="M2829" s="846"/>
      <c r="N2829" s="846"/>
      <c r="O2829" s="737">
        <f t="shared" si="359"/>
        <v>0</v>
      </c>
      <c r="P2829" s="847"/>
      <c r="Q2829" s="847"/>
      <c r="R2829" s="738">
        <f t="shared" si="362"/>
        <v>0</v>
      </c>
      <c r="S2829" s="737">
        <f t="shared" si="363"/>
        <v>0</v>
      </c>
      <c r="T2829" s="739">
        <f t="shared" si="364"/>
        <v>0</v>
      </c>
      <c r="U2829" s="846"/>
      <c r="V2829" s="847"/>
      <c r="W2829" s="846"/>
      <c r="X2829" s="846"/>
      <c r="Y2829" s="740">
        <f t="shared" si="360"/>
        <v>0</v>
      </c>
      <c r="Z2829" s="847"/>
      <c r="AA2829" s="847"/>
      <c r="AB2829" s="741">
        <f t="shared" si="361"/>
        <v>0</v>
      </c>
      <c r="AC2829" s="846"/>
      <c r="AD2829" s="847"/>
      <c r="AE2829" s="846"/>
      <c r="AF2829" s="846"/>
      <c r="AG2829" s="847"/>
      <c r="AH2829" s="847"/>
      <c r="AI2829" s="742">
        <f t="shared" si="365"/>
        <v>0</v>
      </c>
      <c r="AJ2829" s="743">
        <f t="shared" si="366"/>
        <v>0</v>
      </c>
    </row>
    <row r="2830" spans="1:36">
      <c r="A2830" s="991" t="s">
        <v>155</v>
      </c>
      <c r="B2830" s="992" t="s">
        <v>288</v>
      </c>
      <c r="C2830" s="1002" t="s">
        <v>511</v>
      </c>
      <c r="D2830" s="1003"/>
      <c r="E2830" s="1000"/>
      <c r="F2830" s="1001"/>
      <c r="G2830" s="846"/>
      <c r="H2830" s="847"/>
      <c r="I2830" s="846"/>
      <c r="J2830" s="847"/>
      <c r="K2830" s="846"/>
      <c r="L2830" s="847"/>
      <c r="M2830" s="846"/>
      <c r="N2830" s="846"/>
      <c r="O2830" s="737">
        <f t="shared" si="359"/>
        <v>0</v>
      </c>
      <c r="P2830" s="847"/>
      <c r="Q2830" s="847"/>
      <c r="R2830" s="738">
        <f t="shared" si="362"/>
        <v>0</v>
      </c>
      <c r="S2830" s="737">
        <f t="shared" si="363"/>
        <v>0</v>
      </c>
      <c r="T2830" s="739">
        <f t="shared" si="364"/>
        <v>0</v>
      </c>
      <c r="U2830" s="846">
        <v>2020900</v>
      </c>
      <c r="V2830" s="847">
        <v>1968800</v>
      </c>
      <c r="W2830" s="846">
        <v>0</v>
      </c>
      <c r="X2830" s="846">
        <v>0</v>
      </c>
      <c r="Y2830" s="740">
        <f t="shared" si="360"/>
        <v>0</v>
      </c>
      <c r="Z2830" s="847">
        <v>0</v>
      </c>
      <c r="AA2830" s="847">
        <v>0</v>
      </c>
      <c r="AB2830" s="741">
        <f t="shared" si="361"/>
        <v>0</v>
      </c>
      <c r="AC2830" s="846"/>
      <c r="AD2830" s="847"/>
      <c r="AE2830" s="846"/>
      <c r="AF2830" s="846"/>
      <c r="AG2830" s="847"/>
      <c r="AH2830" s="847"/>
      <c r="AI2830" s="742">
        <f t="shared" si="365"/>
        <v>2020900</v>
      </c>
      <c r="AJ2830" s="743">
        <f t="shared" si="366"/>
        <v>1968800</v>
      </c>
    </row>
    <row r="2831" spans="1:36">
      <c r="A2831" s="991" t="s">
        <v>155</v>
      </c>
      <c r="B2831" s="992" t="s">
        <v>288</v>
      </c>
      <c r="C2831" s="1004" t="s">
        <v>744</v>
      </c>
      <c r="D2831" s="1003"/>
      <c r="E2831" s="1000"/>
      <c r="F2831" s="1001"/>
      <c r="G2831" s="846"/>
      <c r="H2831" s="847"/>
      <c r="I2831" s="846"/>
      <c r="J2831" s="847"/>
      <c r="K2831" s="846"/>
      <c r="L2831" s="847"/>
      <c r="M2831" s="846"/>
      <c r="N2831" s="846"/>
      <c r="O2831" s="737">
        <f t="shared" si="359"/>
        <v>0</v>
      </c>
      <c r="P2831" s="847"/>
      <c r="Q2831" s="847"/>
      <c r="R2831" s="738">
        <f t="shared" si="362"/>
        <v>0</v>
      </c>
      <c r="S2831" s="737">
        <f t="shared" si="363"/>
        <v>0</v>
      </c>
      <c r="T2831" s="739">
        <f t="shared" si="364"/>
        <v>0</v>
      </c>
      <c r="U2831" s="846"/>
      <c r="V2831" s="847"/>
      <c r="W2831" s="846"/>
      <c r="X2831" s="846"/>
      <c r="Y2831" s="740">
        <f t="shared" si="360"/>
        <v>0</v>
      </c>
      <c r="Z2831" s="847"/>
      <c r="AA2831" s="847"/>
      <c r="AB2831" s="741">
        <f t="shared" si="361"/>
        <v>0</v>
      </c>
      <c r="AC2831" s="846"/>
      <c r="AD2831" s="847"/>
      <c r="AE2831" s="846"/>
      <c r="AF2831" s="846"/>
      <c r="AG2831" s="847"/>
      <c r="AH2831" s="847"/>
      <c r="AI2831" s="742">
        <f t="shared" si="365"/>
        <v>0</v>
      </c>
      <c r="AJ2831" s="743">
        <f t="shared" si="366"/>
        <v>0</v>
      </c>
    </row>
    <row r="2832" spans="1:36">
      <c r="A2832" s="991" t="s">
        <v>155</v>
      </c>
      <c r="B2832" s="992" t="s">
        <v>288</v>
      </c>
      <c r="C2832" s="1004" t="s">
        <v>568</v>
      </c>
      <c r="D2832" s="1003"/>
      <c r="E2832" s="1000"/>
      <c r="F2832" s="1001"/>
      <c r="G2832" s="846"/>
      <c r="H2832" s="847"/>
      <c r="I2832" s="846"/>
      <c r="J2832" s="847"/>
      <c r="K2832" s="846"/>
      <c r="L2832" s="847"/>
      <c r="M2832" s="846"/>
      <c r="N2832" s="846"/>
      <c r="O2832" s="737">
        <f t="shared" si="359"/>
        <v>0</v>
      </c>
      <c r="P2832" s="847"/>
      <c r="Q2832" s="847"/>
      <c r="R2832" s="738">
        <f t="shared" si="362"/>
        <v>0</v>
      </c>
      <c r="S2832" s="737">
        <f t="shared" si="363"/>
        <v>0</v>
      </c>
      <c r="T2832" s="739">
        <f t="shared" si="364"/>
        <v>0</v>
      </c>
      <c r="U2832" s="846"/>
      <c r="V2832" s="847"/>
      <c r="W2832" s="846"/>
      <c r="X2832" s="846"/>
      <c r="Y2832" s="740">
        <f t="shared" si="360"/>
        <v>0</v>
      </c>
      <c r="Z2832" s="847"/>
      <c r="AA2832" s="847"/>
      <c r="AB2832" s="741">
        <f t="shared" si="361"/>
        <v>0</v>
      </c>
      <c r="AC2832" s="846"/>
      <c r="AD2832" s="847"/>
      <c r="AE2832" s="846"/>
      <c r="AF2832" s="846"/>
      <c r="AG2832" s="847"/>
      <c r="AH2832" s="847"/>
      <c r="AI2832" s="742">
        <f t="shared" si="365"/>
        <v>0</v>
      </c>
      <c r="AJ2832" s="743">
        <f t="shared" si="366"/>
        <v>0</v>
      </c>
    </row>
    <row r="2833" spans="1:36">
      <c r="A2833" s="991" t="s">
        <v>155</v>
      </c>
      <c r="B2833" s="992" t="s">
        <v>289</v>
      </c>
      <c r="C2833" s="1002" t="s">
        <v>515</v>
      </c>
      <c r="D2833" s="1003"/>
      <c r="E2833" s="1000"/>
      <c r="F2833" s="1001"/>
      <c r="G2833" s="846"/>
      <c r="H2833" s="847"/>
      <c r="I2833" s="846"/>
      <c r="J2833" s="847"/>
      <c r="K2833" s="846"/>
      <c r="L2833" s="847"/>
      <c r="M2833" s="846"/>
      <c r="N2833" s="846"/>
      <c r="O2833" s="737">
        <f t="shared" si="359"/>
        <v>0</v>
      </c>
      <c r="P2833" s="847"/>
      <c r="Q2833" s="847"/>
      <c r="R2833" s="738">
        <f t="shared" si="362"/>
        <v>0</v>
      </c>
      <c r="S2833" s="737">
        <f t="shared" si="363"/>
        <v>0</v>
      </c>
      <c r="T2833" s="739">
        <f t="shared" si="364"/>
        <v>0</v>
      </c>
      <c r="U2833" s="846"/>
      <c r="V2833" s="847"/>
      <c r="W2833" s="846"/>
      <c r="X2833" s="846"/>
      <c r="Y2833" s="740">
        <f t="shared" si="360"/>
        <v>0</v>
      </c>
      <c r="Z2833" s="847"/>
      <c r="AA2833" s="847"/>
      <c r="AB2833" s="741">
        <f t="shared" si="361"/>
        <v>0</v>
      </c>
      <c r="AC2833" s="846"/>
      <c r="AD2833" s="847"/>
      <c r="AE2833" s="846"/>
      <c r="AF2833" s="846"/>
      <c r="AG2833" s="847"/>
      <c r="AH2833" s="847"/>
      <c r="AI2833" s="742">
        <f t="shared" si="365"/>
        <v>0</v>
      </c>
      <c r="AJ2833" s="743">
        <f t="shared" si="366"/>
        <v>0</v>
      </c>
    </row>
    <row r="2834" spans="1:36">
      <c r="A2834" s="991" t="s">
        <v>155</v>
      </c>
      <c r="B2834" s="992" t="s">
        <v>290</v>
      </c>
      <c r="C2834" s="1002" t="s">
        <v>137</v>
      </c>
      <c r="D2834" s="1003"/>
      <c r="E2834" s="1000"/>
      <c r="F2834" s="1001"/>
      <c r="G2834" s="846"/>
      <c r="H2834" s="847"/>
      <c r="I2834" s="846"/>
      <c r="J2834" s="847"/>
      <c r="K2834" s="846"/>
      <c r="L2834" s="847"/>
      <c r="M2834" s="846"/>
      <c r="N2834" s="846"/>
      <c r="O2834" s="737">
        <f t="shared" si="359"/>
        <v>0</v>
      </c>
      <c r="P2834" s="847"/>
      <c r="Q2834" s="847"/>
      <c r="R2834" s="738">
        <f t="shared" si="362"/>
        <v>0</v>
      </c>
      <c r="S2834" s="737">
        <f t="shared" si="363"/>
        <v>0</v>
      </c>
      <c r="T2834" s="739">
        <f t="shared" si="364"/>
        <v>0</v>
      </c>
      <c r="U2834" s="846"/>
      <c r="V2834" s="847"/>
      <c r="W2834" s="846"/>
      <c r="X2834" s="846"/>
      <c r="Y2834" s="740">
        <f t="shared" si="360"/>
        <v>0</v>
      </c>
      <c r="Z2834" s="847"/>
      <c r="AA2834" s="847"/>
      <c r="AB2834" s="741">
        <f t="shared" si="361"/>
        <v>0</v>
      </c>
      <c r="AC2834" s="846"/>
      <c r="AD2834" s="847"/>
      <c r="AE2834" s="846"/>
      <c r="AF2834" s="846"/>
      <c r="AG2834" s="847"/>
      <c r="AH2834" s="847"/>
      <c r="AI2834" s="742">
        <f t="shared" si="365"/>
        <v>0</v>
      </c>
      <c r="AJ2834" s="743">
        <f t="shared" si="366"/>
        <v>0</v>
      </c>
    </row>
    <row r="2835" spans="1:36">
      <c r="A2835" s="991" t="s">
        <v>155</v>
      </c>
      <c r="B2835" s="992" t="s">
        <v>291</v>
      </c>
      <c r="C2835" s="1012" t="s">
        <v>520</v>
      </c>
      <c r="D2835" s="999"/>
      <c r="E2835" s="1000"/>
      <c r="F2835" s="1001"/>
      <c r="G2835" s="846"/>
      <c r="H2835" s="847"/>
      <c r="I2835" s="846"/>
      <c r="J2835" s="847"/>
      <c r="K2835" s="846"/>
      <c r="L2835" s="847"/>
      <c r="M2835" s="846"/>
      <c r="N2835" s="846"/>
      <c r="O2835" s="737">
        <f t="shared" si="359"/>
        <v>0</v>
      </c>
      <c r="P2835" s="847"/>
      <c r="Q2835" s="847"/>
      <c r="R2835" s="738">
        <f t="shared" si="362"/>
        <v>0</v>
      </c>
      <c r="S2835" s="737">
        <f t="shared" si="363"/>
        <v>0</v>
      </c>
      <c r="T2835" s="739">
        <f t="shared" si="364"/>
        <v>0</v>
      </c>
      <c r="U2835" s="846"/>
      <c r="V2835" s="847"/>
      <c r="W2835" s="846"/>
      <c r="X2835" s="846"/>
      <c r="Y2835" s="740">
        <f t="shared" si="360"/>
        <v>0</v>
      </c>
      <c r="Z2835" s="847"/>
      <c r="AA2835" s="847"/>
      <c r="AB2835" s="741">
        <f t="shared" si="361"/>
        <v>0</v>
      </c>
      <c r="AC2835" s="846"/>
      <c r="AD2835" s="847"/>
      <c r="AE2835" s="846"/>
      <c r="AF2835" s="846"/>
      <c r="AG2835" s="847"/>
      <c r="AH2835" s="847"/>
      <c r="AI2835" s="742">
        <f t="shared" si="365"/>
        <v>0</v>
      </c>
      <c r="AJ2835" s="743">
        <f t="shared" si="366"/>
        <v>0</v>
      </c>
    </row>
    <row r="2836" spans="1:36">
      <c r="A2836" s="991" t="s">
        <v>155</v>
      </c>
      <c r="B2836" s="992" t="s">
        <v>292</v>
      </c>
      <c r="C2836" s="1015" t="s">
        <v>34</v>
      </c>
      <c r="D2836" s="1016"/>
      <c r="E2836" s="1000"/>
      <c r="F2836" s="1001"/>
      <c r="G2836" s="846"/>
      <c r="H2836" s="847"/>
      <c r="I2836" s="846"/>
      <c r="J2836" s="847"/>
      <c r="K2836" s="846"/>
      <c r="L2836" s="847"/>
      <c r="M2836" s="846"/>
      <c r="N2836" s="846"/>
      <c r="O2836" s="737">
        <f t="shared" si="359"/>
        <v>0</v>
      </c>
      <c r="P2836" s="847"/>
      <c r="Q2836" s="847"/>
      <c r="R2836" s="738">
        <f t="shared" si="362"/>
        <v>0</v>
      </c>
      <c r="S2836" s="737">
        <f t="shared" si="363"/>
        <v>0</v>
      </c>
      <c r="T2836" s="739">
        <f t="shared" si="364"/>
        <v>0</v>
      </c>
      <c r="U2836" s="846"/>
      <c r="V2836" s="847"/>
      <c r="W2836" s="846"/>
      <c r="X2836" s="846"/>
      <c r="Y2836" s="740">
        <f t="shared" si="360"/>
        <v>0</v>
      </c>
      <c r="Z2836" s="847"/>
      <c r="AA2836" s="847"/>
      <c r="AB2836" s="741">
        <f t="shared" si="361"/>
        <v>0</v>
      </c>
      <c r="AC2836" s="846"/>
      <c r="AD2836" s="847"/>
      <c r="AE2836" s="846"/>
      <c r="AF2836" s="846"/>
      <c r="AG2836" s="847"/>
      <c r="AH2836" s="847"/>
      <c r="AI2836" s="742">
        <f t="shared" si="365"/>
        <v>0</v>
      </c>
      <c r="AJ2836" s="743">
        <f t="shared" si="366"/>
        <v>0</v>
      </c>
    </row>
    <row r="2837" spans="1:36">
      <c r="A2837" s="991" t="s">
        <v>155</v>
      </c>
      <c r="B2837" s="992" t="s">
        <v>292</v>
      </c>
      <c r="C2837" s="1017" t="s">
        <v>830</v>
      </c>
      <c r="D2837" s="1003"/>
      <c r="E2837" s="1000"/>
      <c r="F2837" s="1001"/>
      <c r="G2837" s="846"/>
      <c r="H2837" s="847"/>
      <c r="I2837" s="846"/>
      <c r="J2837" s="847"/>
      <c r="K2837" s="846"/>
      <c r="L2837" s="847"/>
      <c r="M2837" s="846"/>
      <c r="N2837" s="846"/>
      <c r="O2837" s="737">
        <f t="shared" si="359"/>
        <v>0</v>
      </c>
      <c r="P2837" s="847"/>
      <c r="Q2837" s="847"/>
      <c r="R2837" s="738">
        <f t="shared" si="362"/>
        <v>0</v>
      </c>
      <c r="S2837" s="737">
        <f t="shared" si="363"/>
        <v>0</v>
      </c>
      <c r="T2837" s="739">
        <f t="shared" si="364"/>
        <v>0</v>
      </c>
      <c r="U2837" s="846"/>
      <c r="V2837" s="847"/>
      <c r="W2837" s="846"/>
      <c r="X2837" s="846"/>
      <c r="Y2837" s="740">
        <f t="shared" si="360"/>
        <v>0</v>
      </c>
      <c r="Z2837" s="847"/>
      <c r="AA2837" s="847"/>
      <c r="AB2837" s="741">
        <f t="shared" si="361"/>
        <v>0</v>
      </c>
      <c r="AC2837" s="846"/>
      <c r="AD2837" s="847"/>
      <c r="AE2837" s="846"/>
      <c r="AF2837" s="846"/>
      <c r="AG2837" s="847"/>
      <c r="AH2837" s="847"/>
      <c r="AI2837" s="742">
        <f t="shared" si="365"/>
        <v>0</v>
      </c>
      <c r="AJ2837" s="743">
        <f t="shared" si="366"/>
        <v>0</v>
      </c>
    </row>
    <row r="2838" spans="1:36">
      <c r="A2838" s="991" t="s">
        <v>155</v>
      </c>
      <c r="B2838" s="1018" t="s">
        <v>209</v>
      </c>
      <c r="C2838" s="1019" t="s">
        <v>522</v>
      </c>
      <c r="D2838" s="1020"/>
      <c r="E2838" s="1021"/>
      <c r="F2838" s="1022"/>
      <c r="G2838" s="846"/>
      <c r="H2838" s="847"/>
      <c r="I2838" s="846"/>
      <c r="J2838" s="847"/>
      <c r="K2838" s="846"/>
      <c r="L2838" s="847"/>
      <c r="M2838" s="846"/>
      <c r="N2838" s="846"/>
      <c r="O2838" s="737">
        <f t="shared" si="359"/>
        <v>0</v>
      </c>
      <c r="P2838" s="847"/>
      <c r="Q2838" s="847"/>
      <c r="R2838" s="738">
        <f t="shared" si="362"/>
        <v>0</v>
      </c>
      <c r="S2838" s="737">
        <f t="shared" si="363"/>
        <v>0</v>
      </c>
      <c r="T2838" s="739">
        <f t="shared" si="364"/>
        <v>0</v>
      </c>
      <c r="U2838" s="846"/>
      <c r="V2838" s="847"/>
      <c r="W2838" s="846"/>
      <c r="X2838" s="846"/>
      <c r="Y2838" s="740">
        <f t="shared" si="360"/>
        <v>0</v>
      </c>
      <c r="Z2838" s="847"/>
      <c r="AA2838" s="847"/>
      <c r="AB2838" s="741">
        <f t="shared" si="361"/>
        <v>0</v>
      </c>
      <c r="AC2838" s="846"/>
      <c r="AD2838" s="847"/>
      <c r="AE2838" s="846"/>
      <c r="AF2838" s="846"/>
      <c r="AG2838" s="847"/>
      <c r="AH2838" s="847"/>
      <c r="AI2838" s="742">
        <f t="shared" si="365"/>
        <v>0</v>
      </c>
      <c r="AJ2838" s="743">
        <f t="shared" si="366"/>
        <v>0</v>
      </c>
    </row>
    <row r="2839" spans="1:36">
      <c r="A2839" s="991" t="s">
        <v>155</v>
      </c>
      <c r="B2839" s="1018" t="s">
        <v>210</v>
      </c>
      <c r="C2839" s="1019" t="s">
        <v>311</v>
      </c>
      <c r="D2839" s="1020"/>
      <c r="E2839" s="1021"/>
      <c r="F2839" s="1022"/>
      <c r="G2839" s="846"/>
      <c r="H2839" s="847"/>
      <c r="I2839" s="846"/>
      <c r="J2839" s="847"/>
      <c r="K2839" s="846"/>
      <c r="L2839" s="847"/>
      <c r="M2839" s="846"/>
      <c r="N2839" s="846"/>
      <c r="O2839" s="737">
        <f t="shared" si="359"/>
        <v>0</v>
      </c>
      <c r="P2839" s="847"/>
      <c r="Q2839" s="847"/>
      <c r="R2839" s="738">
        <f t="shared" si="362"/>
        <v>0</v>
      </c>
      <c r="S2839" s="737">
        <f t="shared" si="363"/>
        <v>0</v>
      </c>
      <c r="T2839" s="739">
        <f t="shared" si="364"/>
        <v>0</v>
      </c>
      <c r="U2839" s="846">
        <v>113858091.14</v>
      </c>
      <c r="V2839" s="1023">
        <v>113022444</v>
      </c>
      <c r="W2839" s="846">
        <v>0</v>
      </c>
      <c r="X2839" s="846">
        <v>0</v>
      </c>
      <c r="Y2839" s="740">
        <f t="shared" si="360"/>
        <v>0</v>
      </c>
      <c r="Z2839" s="847">
        <v>0</v>
      </c>
      <c r="AA2839" s="847">
        <v>0</v>
      </c>
      <c r="AB2839" s="741">
        <f t="shared" si="361"/>
        <v>0</v>
      </c>
      <c r="AC2839" s="846"/>
      <c r="AD2839" s="847"/>
      <c r="AE2839" s="846"/>
      <c r="AF2839" s="846"/>
      <c r="AG2839" s="847"/>
      <c r="AH2839" s="847"/>
      <c r="AI2839" s="742">
        <f t="shared" si="365"/>
        <v>113858091.14</v>
      </c>
      <c r="AJ2839" s="743">
        <f t="shared" si="366"/>
        <v>113022444</v>
      </c>
    </row>
    <row r="2840" spans="1:36">
      <c r="A2840" s="991" t="s">
        <v>155</v>
      </c>
      <c r="B2840" s="1018" t="s">
        <v>204</v>
      </c>
      <c r="C2840" s="1019" t="s">
        <v>249</v>
      </c>
      <c r="D2840" s="1020"/>
      <c r="E2840" s="1021"/>
      <c r="F2840" s="1022"/>
      <c r="G2840" s="846"/>
      <c r="H2840" s="847"/>
      <c r="I2840" s="846"/>
      <c r="J2840" s="847"/>
      <c r="K2840" s="846"/>
      <c r="L2840" s="847"/>
      <c r="M2840" s="846"/>
      <c r="N2840" s="846"/>
      <c r="O2840" s="737">
        <f t="shared" si="359"/>
        <v>0</v>
      </c>
      <c r="P2840" s="847"/>
      <c r="Q2840" s="847"/>
      <c r="R2840" s="738">
        <f t="shared" si="362"/>
        <v>0</v>
      </c>
      <c r="S2840" s="737">
        <f t="shared" si="363"/>
        <v>0</v>
      </c>
      <c r="T2840" s="739">
        <f t="shared" si="364"/>
        <v>0</v>
      </c>
      <c r="U2840" s="846">
        <v>165956549</v>
      </c>
      <c r="V2840" s="1023">
        <v>170568942</v>
      </c>
      <c r="W2840" s="846">
        <v>0</v>
      </c>
      <c r="X2840" s="846">
        <v>0</v>
      </c>
      <c r="Y2840" s="740">
        <f t="shared" si="360"/>
        <v>0</v>
      </c>
      <c r="Z2840" s="847">
        <v>0</v>
      </c>
      <c r="AA2840" s="847">
        <v>0</v>
      </c>
      <c r="AB2840" s="741">
        <f t="shared" si="361"/>
        <v>0</v>
      </c>
      <c r="AC2840" s="846"/>
      <c r="AD2840" s="847"/>
      <c r="AE2840" s="846"/>
      <c r="AF2840" s="846"/>
      <c r="AG2840" s="847"/>
      <c r="AH2840" s="847"/>
      <c r="AI2840" s="742">
        <f t="shared" si="365"/>
        <v>165956549</v>
      </c>
      <c r="AJ2840" s="743">
        <f t="shared" si="366"/>
        <v>170568942</v>
      </c>
    </row>
    <row r="2841" spans="1:36">
      <c r="A2841" s="991" t="s">
        <v>155</v>
      </c>
      <c r="B2841" s="1018" t="s">
        <v>205</v>
      </c>
      <c r="C2841" s="1019" t="s">
        <v>523</v>
      </c>
      <c r="D2841" s="1020"/>
      <c r="E2841" s="1021"/>
      <c r="F2841" s="1022"/>
      <c r="G2841" s="846"/>
      <c r="H2841" s="847"/>
      <c r="I2841" s="846"/>
      <c r="J2841" s="847"/>
      <c r="K2841" s="846"/>
      <c r="L2841" s="847"/>
      <c r="M2841" s="846"/>
      <c r="N2841" s="846"/>
      <c r="O2841" s="737">
        <f t="shared" si="359"/>
        <v>0</v>
      </c>
      <c r="P2841" s="847"/>
      <c r="Q2841" s="847"/>
      <c r="R2841" s="738">
        <f t="shared" si="362"/>
        <v>0</v>
      </c>
      <c r="S2841" s="737">
        <f t="shared" si="363"/>
        <v>0</v>
      </c>
      <c r="T2841" s="739">
        <f t="shared" si="364"/>
        <v>0</v>
      </c>
      <c r="U2841" s="846"/>
      <c r="V2841" s="847"/>
      <c r="W2841" s="846"/>
      <c r="X2841" s="846"/>
      <c r="Y2841" s="740">
        <f t="shared" si="360"/>
        <v>0</v>
      </c>
      <c r="Z2841" s="847"/>
      <c r="AA2841" s="847"/>
      <c r="AB2841" s="741">
        <f t="shared" si="361"/>
        <v>0</v>
      </c>
      <c r="AC2841" s="846"/>
      <c r="AD2841" s="847"/>
      <c r="AE2841" s="846"/>
      <c r="AF2841" s="846"/>
      <c r="AG2841" s="847"/>
      <c r="AH2841" s="847"/>
      <c r="AI2841" s="742">
        <f t="shared" si="365"/>
        <v>0</v>
      </c>
      <c r="AJ2841" s="743">
        <f t="shared" si="366"/>
        <v>0</v>
      </c>
    </row>
    <row r="2842" spans="1:36">
      <c r="A2842" s="991" t="s">
        <v>155</v>
      </c>
      <c r="B2842" s="1018" t="s">
        <v>218</v>
      </c>
      <c r="C2842" s="1019" t="s">
        <v>311</v>
      </c>
      <c r="D2842" s="1020"/>
      <c r="E2842" s="1021"/>
      <c r="F2842" s="1022"/>
      <c r="G2842" s="846"/>
      <c r="H2842" s="847"/>
      <c r="I2842" s="846"/>
      <c r="J2842" s="847"/>
      <c r="K2842" s="846"/>
      <c r="L2842" s="847"/>
      <c r="M2842" s="846"/>
      <c r="N2842" s="846"/>
      <c r="O2842" s="737">
        <f t="shared" si="359"/>
        <v>0</v>
      </c>
      <c r="P2842" s="847"/>
      <c r="Q2842" s="847"/>
      <c r="R2842" s="738">
        <f t="shared" si="362"/>
        <v>0</v>
      </c>
      <c r="S2842" s="737">
        <f t="shared" si="363"/>
        <v>0</v>
      </c>
      <c r="T2842" s="739">
        <f t="shared" si="364"/>
        <v>0</v>
      </c>
      <c r="U2842" s="846">
        <v>46943432.5</v>
      </c>
      <c r="V2842" s="1023">
        <v>44129707.879999995</v>
      </c>
      <c r="W2842" s="846">
        <v>0</v>
      </c>
      <c r="X2842" s="846">
        <v>0</v>
      </c>
      <c r="Y2842" s="740">
        <f t="shared" si="360"/>
        <v>0</v>
      </c>
      <c r="Z2842" s="847">
        <v>0</v>
      </c>
      <c r="AA2842" s="847">
        <v>0</v>
      </c>
      <c r="AB2842" s="741">
        <f t="shared" si="361"/>
        <v>0</v>
      </c>
      <c r="AC2842" s="846"/>
      <c r="AD2842" s="847"/>
      <c r="AE2842" s="846"/>
      <c r="AF2842" s="846"/>
      <c r="AG2842" s="847"/>
      <c r="AH2842" s="847"/>
      <c r="AI2842" s="742">
        <f t="shared" si="365"/>
        <v>46943432.5</v>
      </c>
      <c r="AJ2842" s="743">
        <f t="shared" si="366"/>
        <v>44129707.879999995</v>
      </c>
    </row>
    <row r="2843" spans="1:36">
      <c r="A2843" s="991" t="s">
        <v>155</v>
      </c>
      <c r="B2843" s="1018" t="s">
        <v>219</v>
      </c>
      <c r="C2843" s="1019" t="s">
        <v>249</v>
      </c>
      <c r="D2843" s="1020"/>
      <c r="E2843" s="1021"/>
      <c r="F2843" s="1022"/>
      <c r="G2843" s="846"/>
      <c r="H2843" s="847"/>
      <c r="I2843" s="846"/>
      <c r="J2843" s="847"/>
      <c r="K2843" s="846"/>
      <c r="L2843" s="847"/>
      <c r="M2843" s="846"/>
      <c r="N2843" s="846"/>
      <c r="O2843" s="737">
        <f t="shared" si="359"/>
        <v>0</v>
      </c>
      <c r="P2843" s="847"/>
      <c r="Q2843" s="847"/>
      <c r="R2843" s="738">
        <f t="shared" si="362"/>
        <v>0</v>
      </c>
      <c r="S2843" s="737">
        <f t="shared" si="363"/>
        <v>0</v>
      </c>
      <c r="T2843" s="739">
        <f t="shared" si="364"/>
        <v>0</v>
      </c>
      <c r="U2843" s="846">
        <v>40567472.32</v>
      </c>
      <c r="V2843" s="1023">
        <v>40319166</v>
      </c>
      <c r="W2843" s="846">
        <v>0</v>
      </c>
      <c r="X2843" s="846">
        <v>0</v>
      </c>
      <c r="Y2843" s="740">
        <f t="shared" si="360"/>
        <v>0</v>
      </c>
      <c r="Z2843" s="847">
        <v>0</v>
      </c>
      <c r="AA2843" s="847">
        <v>0</v>
      </c>
      <c r="AB2843" s="741">
        <f t="shared" si="361"/>
        <v>0</v>
      </c>
      <c r="AC2843" s="846"/>
      <c r="AD2843" s="847"/>
      <c r="AE2843" s="846"/>
      <c r="AF2843" s="846"/>
      <c r="AG2843" s="847"/>
      <c r="AH2843" s="847"/>
      <c r="AI2843" s="742">
        <f t="shared" si="365"/>
        <v>40567472.32</v>
      </c>
      <c r="AJ2843" s="743">
        <f t="shared" si="366"/>
        <v>40319166</v>
      </c>
    </row>
    <row r="2844" spans="1:36">
      <c r="A2844" s="991" t="s">
        <v>155</v>
      </c>
      <c r="B2844" s="1018" t="s">
        <v>293</v>
      </c>
      <c r="C2844" s="1024" t="s">
        <v>525</v>
      </c>
      <c r="D2844" s="1025"/>
      <c r="E2844" s="1021"/>
      <c r="F2844" s="1022"/>
      <c r="G2844" s="846"/>
      <c r="H2844" s="847"/>
      <c r="I2844" s="846"/>
      <c r="J2844" s="847"/>
      <c r="K2844" s="846"/>
      <c r="L2844" s="847"/>
      <c r="M2844" s="846"/>
      <c r="N2844" s="846"/>
      <c r="O2844" s="737">
        <f t="shared" si="359"/>
        <v>0</v>
      </c>
      <c r="P2844" s="847"/>
      <c r="Q2844" s="847"/>
      <c r="R2844" s="738">
        <f t="shared" si="362"/>
        <v>0</v>
      </c>
      <c r="S2844" s="737">
        <f t="shared" si="363"/>
        <v>0</v>
      </c>
      <c r="T2844" s="739">
        <f t="shared" si="364"/>
        <v>0</v>
      </c>
      <c r="U2844" s="846"/>
      <c r="V2844" s="847"/>
      <c r="W2844" s="846"/>
      <c r="X2844" s="846"/>
      <c r="Y2844" s="740">
        <f t="shared" si="360"/>
        <v>0</v>
      </c>
      <c r="Z2844" s="847"/>
      <c r="AA2844" s="847"/>
      <c r="AB2844" s="741">
        <f t="shared" si="361"/>
        <v>0</v>
      </c>
      <c r="AC2844" s="846"/>
      <c r="AD2844" s="847"/>
      <c r="AE2844" s="846"/>
      <c r="AF2844" s="846"/>
      <c r="AG2844" s="847"/>
      <c r="AH2844" s="847"/>
      <c r="AI2844" s="742">
        <f t="shared" si="365"/>
        <v>0</v>
      </c>
      <c r="AJ2844" s="743">
        <f t="shared" si="366"/>
        <v>0</v>
      </c>
    </row>
    <row r="2845" spans="1:36">
      <c r="A2845" s="991" t="s">
        <v>155</v>
      </c>
      <c r="B2845" s="1018" t="s">
        <v>252</v>
      </c>
      <c r="C2845" s="1019" t="s">
        <v>311</v>
      </c>
      <c r="D2845" s="1020"/>
      <c r="E2845" s="1021"/>
      <c r="F2845" s="1022"/>
      <c r="G2845" s="846"/>
      <c r="H2845" s="847"/>
      <c r="I2845" s="846"/>
      <c r="J2845" s="847"/>
      <c r="K2845" s="846"/>
      <c r="L2845" s="847"/>
      <c r="M2845" s="846"/>
      <c r="N2845" s="846"/>
      <c r="O2845" s="737">
        <f t="shared" si="359"/>
        <v>0</v>
      </c>
      <c r="P2845" s="847"/>
      <c r="Q2845" s="847"/>
      <c r="R2845" s="738">
        <f t="shared" si="362"/>
        <v>0</v>
      </c>
      <c r="S2845" s="737">
        <f t="shared" si="363"/>
        <v>0</v>
      </c>
      <c r="T2845" s="739">
        <f t="shared" si="364"/>
        <v>0</v>
      </c>
      <c r="U2845" s="846"/>
      <c r="V2845" s="847"/>
      <c r="W2845" s="846"/>
      <c r="X2845" s="846"/>
      <c r="Y2845" s="740">
        <f t="shared" si="360"/>
        <v>0</v>
      </c>
      <c r="Z2845" s="847"/>
      <c r="AA2845" s="847"/>
      <c r="AB2845" s="741">
        <f t="shared" si="361"/>
        <v>0</v>
      </c>
      <c r="AC2845" s="846"/>
      <c r="AD2845" s="847"/>
      <c r="AE2845" s="846"/>
      <c r="AF2845" s="846"/>
      <c r="AG2845" s="847"/>
      <c r="AH2845" s="847"/>
      <c r="AI2845" s="742">
        <f t="shared" si="365"/>
        <v>0</v>
      </c>
      <c r="AJ2845" s="743">
        <f t="shared" si="366"/>
        <v>0</v>
      </c>
    </row>
    <row r="2846" spans="1:36">
      <c r="A2846" s="991" t="s">
        <v>155</v>
      </c>
      <c r="B2846" s="1018" t="s">
        <v>253</v>
      </c>
      <c r="C2846" s="1019" t="s">
        <v>249</v>
      </c>
      <c r="D2846" s="1020"/>
      <c r="E2846" s="1021"/>
      <c r="F2846" s="1022"/>
      <c r="G2846" s="846"/>
      <c r="H2846" s="847"/>
      <c r="I2846" s="846"/>
      <c r="J2846" s="847"/>
      <c r="K2846" s="846"/>
      <c r="L2846" s="847"/>
      <c r="M2846" s="846"/>
      <c r="N2846" s="846"/>
      <c r="O2846" s="737">
        <f t="shared" si="359"/>
        <v>0</v>
      </c>
      <c r="P2846" s="847"/>
      <c r="Q2846" s="847"/>
      <c r="R2846" s="738">
        <f t="shared" si="362"/>
        <v>0</v>
      </c>
      <c r="S2846" s="737">
        <f t="shared" si="363"/>
        <v>0</v>
      </c>
      <c r="T2846" s="739">
        <f t="shared" si="364"/>
        <v>0</v>
      </c>
      <c r="U2846" s="846"/>
      <c r="V2846" s="847"/>
      <c r="W2846" s="846"/>
      <c r="X2846" s="846"/>
      <c r="Y2846" s="740">
        <f t="shared" si="360"/>
        <v>0</v>
      </c>
      <c r="Z2846" s="847"/>
      <c r="AA2846" s="847"/>
      <c r="AB2846" s="741">
        <f t="shared" si="361"/>
        <v>0</v>
      </c>
      <c r="AC2846" s="846"/>
      <c r="AD2846" s="847"/>
      <c r="AE2846" s="846"/>
      <c r="AF2846" s="846"/>
      <c r="AG2846" s="847"/>
      <c r="AH2846" s="847"/>
      <c r="AI2846" s="742">
        <f t="shared" si="365"/>
        <v>0</v>
      </c>
      <c r="AJ2846" s="743">
        <f t="shared" si="366"/>
        <v>0</v>
      </c>
    </row>
    <row r="2847" spans="1:36">
      <c r="A2847" s="991" t="s">
        <v>155</v>
      </c>
      <c r="B2847" s="992" t="s">
        <v>294</v>
      </c>
      <c r="C2847" s="1015" t="s">
        <v>307</v>
      </c>
      <c r="D2847" s="1016"/>
      <c r="E2847" s="1000"/>
      <c r="F2847" s="1001"/>
      <c r="G2847" s="846"/>
      <c r="H2847" s="847"/>
      <c r="I2847" s="846"/>
      <c r="J2847" s="847"/>
      <c r="K2847" s="846"/>
      <c r="L2847" s="847"/>
      <c r="M2847" s="846"/>
      <c r="N2847" s="846"/>
      <c r="O2847" s="737">
        <f t="shared" si="359"/>
        <v>0</v>
      </c>
      <c r="P2847" s="847"/>
      <c r="Q2847" s="847"/>
      <c r="R2847" s="738">
        <f t="shared" si="362"/>
        <v>0</v>
      </c>
      <c r="S2847" s="737">
        <f t="shared" si="363"/>
        <v>0</v>
      </c>
      <c r="T2847" s="739">
        <f t="shared" si="364"/>
        <v>0</v>
      </c>
      <c r="U2847" s="846"/>
      <c r="V2847" s="847"/>
      <c r="W2847" s="846"/>
      <c r="X2847" s="846"/>
      <c r="Y2847" s="740">
        <f t="shared" si="360"/>
        <v>0</v>
      </c>
      <c r="Z2847" s="847"/>
      <c r="AA2847" s="847"/>
      <c r="AB2847" s="741">
        <f t="shared" si="361"/>
        <v>0</v>
      </c>
      <c r="AC2847" s="846"/>
      <c r="AD2847" s="847"/>
      <c r="AE2847" s="846"/>
      <c r="AF2847" s="846"/>
      <c r="AG2847" s="847"/>
      <c r="AH2847" s="847"/>
      <c r="AI2847" s="742">
        <f t="shared" si="365"/>
        <v>0</v>
      </c>
      <c r="AJ2847" s="743">
        <f t="shared" si="366"/>
        <v>0</v>
      </c>
    </row>
    <row r="2848" spans="1:36">
      <c r="A2848" s="991" t="s">
        <v>155</v>
      </c>
      <c r="B2848" s="1018" t="s">
        <v>254</v>
      </c>
      <c r="C2848" s="1019" t="s">
        <v>311</v>
      </c>
      <c r="D2848" s="1020"/>
      <c r="E2848" s="1021"/>
      <c r="F2848" s="1022"/>
      <c r="G2848" s="846"/>
      <c r="H2848" s="847"/>
      <c r="I2848" s="846"/>
      <c r="J2848" s="847"/>
      <c r="K2848" s="846"/>
      <c r="L2848" s="847"/>
      <c r="M2848" s="846"/>
      <c r="N2848" s="846"/>
      <c r="O2848" s="737">
        <f t="shared" si="359"/>
        <v>0</v>
      </c>
      <c r="P2848" s="847"/>
      <c r="Q2848" s="847"/>
      <c r="R2848" s="738">
        <f t="shared" si="362"/>
        <v>0</v>
      </c>
      <c r="S2848" s="737">
        <f t="shared" si="363"/>
        <v>0</v>
      </c>
      <c r="T2848" s="739">
        <f t="shared" si="364"/>
        <v>0</v>
      </c>
      <c r="U2848" s="846"/>
      <c r="V2848" s="847"/>
      <c r="W2848" s="846"/>
      <c r="X2848" s="846"/>
      <c r="Y2848" s="740">
        <f t="shared" si="360"/>
        <v>0</v>
      </c>
      <c r="Z2848" s="847"/>
      <c r="AA2848" s="847"/>
      <c r="AB2848" s="741">
        <f t="shared" si="361"/>
        <v>0</v>
      </c>
      <c r="AC2848" s="846"/>
      <c r="AD2848" s="847"/>
      <c r="AE2848" s="846"/>
      <c r="AF2848" s="846"/>
      <c r="AG2848" s="847"/>
      <c r="AH2848" s="847"/>
      <c r="AI2848" s="742">
        <f t="shared" si="365"/>
        <v>0</v>
      </c>
      <c r="AJ2848" s="743">
        <f t="shared" si="366"/>
        <v>0</v>
      </c>
    </row>
    <row r="2849" spans="1:36">
      <c r="A2849" s="991" t="s">
        <v>155</v>
      </c>
      <c r="B2849" s="1018" t="s">
        <v>255</v>
      </c>
      <c r="C2849" s="1019" t="s">
        <v>249</v>
      </c>
      <c r="D2849" s="1020"/>
      <c r="E2849" s="1021"/>
      <c r="F2849" s="1022"/>
      <c r="G2849" s="846"/>
      <c r="H2849" s="847"/>
      <c r="I2849" s="846"/>
      <c r="J2849" s="847"/>
      <c r="K2849" s="846"/>
      <c r="L2849" s="847"/>
      <c r="M2849" s="846"/>
      <c r="N2849" s="846"/>
      <c r="O2849" s="737">
        <f t="shared" si="359"/>
        <v>0</v>
      </c>
      <c r="P2849" s="847"/>
      <c r="Q2849" s="847"/>
      <c r="R2849" s="738">
        <f t="shared" si="362"/>
        <v>0</v>
      </c>
      <c r="S2849" s="737">
        <f t="shared" si="363"/>
        <v>0</v>
      </c>
      <c r="T2849" s="739">
        <f t="shared" si="364"/>
        <v>0</v>
      </c>
      <c r="U2849" s="846"/>
      <c r="V2849" s="847"/>
      <c r="W2849" s="846"/>
      <c r="X2849" s="846"/>
      <c r="Y2849" s="740">
        <f t="shared" si="360"/>
        <v>0</v>
      </c>
      <c r="Z2849" s="847"/>
      <c r="AA2849" s="847"/>
      <c r="AB2849" s="741">
        <f t="shared" si="361"/>
        <v>0</v>
      </c>
      <c r="AC2849" s="846"/>
      <c r="AD2849" s="847"/>
      <c r="AE2849" s="846"/>
      <c r="AF2849" s="846"/>
      <c r="AG2849" s="847"/>
      <c r="AH2849" s="847"/>
      <c r="AI2849" s="742">
        <f t="shared" si="365"/>
        <v>0</v>
      </c>
      <c r="AJ2849" s="743">
        <f t="shared" si="366"/>
        <v>0</v>
      </c>
    </row>
    <row r="2850" spans="1:36">
      <c r="A2850" s="1062" t="s">
        <v>147</v>
      </c>
      <c r="B2850" s="901" t="s">
        <v>264</v>
      </c>
      <c r="C2850" s="1069" t="s">
        <v>1097</v>
      </c>
      <c r="D2850" s="1151"/>
      <c r="E2850" s="1152">
        <v>228723</v>
      </c>
      <c r="F2850" s="911">
        <v>1</v>
      </c>
      <c r="G2850" s="846">
        <v>382370491</v>
      </c>
      <c r="H2850" s="1153">
        <v>377016364</v>
      </c>
      <c r="I2850" s="1154"/>
      <c r="J2850" s="1155"/>
      <c r="K2850" s="846"/>
      <c r="L2850" s="847"/>
      <c r="M2850" s="846">
        <v>337842499</v>
      </c>
      <c r="N2850" s="846"/>
      <c r="O2850" s="737">
        <f t="shared" si="359"/>
        <v>337842499</v>
      </c>
      <c r="P2850" s="1155">
        <v>371221490</v>
      </c>
      <c r="Q2850" s="1153"/>
      <c r="R2850" s="738">
        <f t="shared" si="362"/>
        <v>371221490</v>
      </c>
      <c r="S2850" s="737">
        <f t="shared" si="363"/>
        <v>720212990</v>
      </c>
      <c r="T2850" s="739">
        <f t="shared" si="364"/>
        <v>748237854</v>
      </c>
      <c r="U2850" s="846"/>
      <c r="V2850" s="847"/>
      <c r="W2850" s="846"/>
      <c r="X2850" s="846"/>
      <c r="Y2850" s="740">
        <f t="shared" si="360"/>
        <v>0</v>
      </c>
      <c r="Z2850" s="1156"/>
      <c r="AA2850" s="847"/>
      <c r="AB2850" s="741">
        <f t="shared" si="361"/>
        <v>0</v>
      </c>
      <c r="AC2850" s="846">
        <v>24484103</v>
      </c>
      <c r="AD2850" s="847">
        <v>24484103</v>
      </c>
      <c r="AE2850" s="846">
        <v>13749215</v>
      </c>
      <c r="AF2850" s="846"/>
      <c r="AG2850" s="1156">
        <v>17698530</v>
      </c>
      <c r="AH2850" s="1157"/>
      <c r="AI2850" s="742">
        <f t="shared" si="365"/>
        <v>758446308</v>
      </c>
      <c r="AJ2850" s="743">
        <f t="shared" si="366"/>
        <v>790420487</v>
      </c>
    </row>
    <row r="2851" spans="1:36">
      <c r="A2851" s="1062" t="s">
        <v>147</v>
      </c>
      <c r="B2851" s="901" t="s">
        <v>280</v>
      </c>
      <c r="C2851" s="1158" t="s">
        <v>716</v>
      </c>
      <c r="D2851" s="1159"/>
      <c r="E2851" s="1152">
        <v>228723</v>
      </c>
      <c r="F2851" s="911">
        <v>1</v>
      </c>
      <c r="G2851" s="846"/>
      <c r="H2851" s="1153"/>
      <c r="I2851" s="1154"/>
      <c r="J2851" s="1155"/>
      <c r="K2851" s="846"/>
      <c r="L2851" s="847"/>
      <c r="M2851" s="846"/>
      <c r="N2851" s="846"/>
      <c r="O2851" s="737">
        <f t="shared" si="359"/>
        <v>0</v>
      </c>
      <c r="P2851" s="1155"/>
      <c r="Q2851" s="1153"/>
      <c r="R2851" s="738">
        <f t="shared" si="362"/>
        <v>0</v>
      </c>
      <c r="S2851" s="737">
        <f t="shared" si="363"/>
        <v>0</v>
      </c>
      <c r="T2851" s="739">
        <f t="shared" si="364"/>
        <v>0</v>
      </c>
      <c r="U2851" s="846"/>
      <c r="V2851" s="847"/>
      <c r="W2851" s="846"/>
      <c r="X2851" s="846"/>
      <c r="Y2851" s="740">
        <f t="shared" si="360"/>
        <v>0</v>
      </c>
      <c r="Z2851" s="1156"/>
      <c r="AA2851" s="847"/>
      <c r="AB2851" s="741">
        <f t="shared" si="361"/>
        <v>0</v>
      </c>
      <c r="AC2851" s="846"/>
      <c r="AD2851" s="847"/>
      <c r="AE2851" s="846"/>
      <c r="AF2851" s="846"/>
      <c r="AG2851" s="1156"/>
      <c r="AH2851" s="1157"/>
      <c r="AI2851" s="742">
        <f t="shared" si="365"/>
        <v>0</v>
      </c>
      <c r="AJ2851" s="743">
        <f t="shared" si="366"/>
        <v>0</v>
      </c>
    </row>
    <row r="2852" spans="1:36">
      <c r="A2852" s="1062" t="s">
        <v>147</v>
      </c>
      <c r="B2852" s="901" t="s">
        <v>280</v>
      </c>
      <c r="C2852" s="1066" t="s">
        <v>1098</v>
      </c>
      <c r="D2852" s="1160"/>
      <c r="E2852" s="1152">
        <v>228723</v>
      </c>
      <c r="F2852" s="911">
        <v>1</v>
      </c>
      <c r="G2852" s="846"/>
      <c r="H2852" s="1153"/>
      <c r="I2852" s="1154"/>
      <c r="J2852" s="1155"/>
      <c r="K2852" s="846"/>
      <c r="L2852" s="847"/>
      <c r="M2852" s="846"/>
      <c r="N2852" s="846"/>
      <c r="O2852" s="737">
        <f t="shared" si="359"/>
        <v>0</v>
      </c>
      <c r="P2852" s="1155"/>
      <c r="Q2852" s="1153"/>
      <c r="R2852" s="738">
        <f t="shared" si="362"/>
        <v>0</v>
      </c>
      <c r="S2852" s="737">
        <f t="shared" si="363"/>
        <v>0</v>
      </c>
      <c r="T2852" s="739">
        <f t="shared" si="364"/>
        <v>0</v>
      </c>
      <c r="U2852" s="846"/>
      <c r="V2852" s="847"/>
      <c r="W2852" s="846"/>
      <c r="X2852" s="846"/>
      <c r="Y2852" s="740">
        <f t="shared" si="360"/>
        <v>0</v>
      </c>
      <c r="Z2852" s="1156"/>
      <c r="AA2852" s="847"/>
      <c r="AB2852" s="741">
        <f t="shared" si="361"/>
        <v>0</v>
      </c>
      <c r="AC2852" s="846"/>
      <c r="AD2852" s="847"/>
      <c r="AE2852" s="846"/>
      <c r="AF2852" s="846"/>
      <c r="AG2852" s="1156"/>
      <c r="AH2852" s="1157"/>
      <c r="AI2852" s="742">
        <f t="shared" si="365"/>
        <v>0</v>
      </c>
      <c r="AJ2852" s="743">
        <f t="shared" si="366"/>
        <v>0</v>
      </c>
    </row>
    <row r="2853" spans="1:36">
      <c r="A2853" s="1062" t="s">
        <v>147</v>
      </c>
      <c r="B2853" s="901" t="s">
        <v>269</v>
      </c>
      <c r="C2853" s="1066" t="s">
        <v>1099</v>
      </c>
      <c r="D2853" s="1159"/>
      <c r="E2853" s="1152">
        <v>228723</v>
      </c>
      <c r="F2853" s="911">
        <v>1</v>
      </c>
      <c r="G2853" s="846"/>
      <c r="H2853" s="1153"/>
      <c r="I2853" s="1154">
        <v>67164344</v>
      </c>
      <c r="J2853" s="1155">
        <v>68060028</v>
      </c>
      <c r="K2853" s="846"/>
      <c r="L2853" s="847"/>
      <c r="M2853" s="846"/>
      <c r="N2853" s="846"/>
      <c r="O2853" s="737">
        <f t="shared" si="359"/>
        <v>0</v>
      </c>
      <c r="P2853" s="1155"/>
      <c r="Q2853" s="1161"/>
      <c r="R2853" s="738">
        <f t="shared" si="362"/>
        <v>0</v>
      </c>
      <c r="S2853" s="737">
        <f t="shared" si="363"/>
        <v>67164344</v>
      </c>
      <c r="T2853" s="739">
        <f t="shared" si="364"/>
        <v>68060028</v>
      </c>
      <c r="U2853" s="846"/>
      <c r="V2853" s="847"/>
      <c r="W2853" s="846"/>
      <c r="X2853" s="846"/>
      <c r="Y2853" s="740">
        <f t="shared" si="360"/>
        <v>0</v>
      </c>
      <c r="Z2853" s="1156"/>
      <c r="AA2853" s="847"/>
      <c r="AB2853" s="741">
        <f t="shared" si="361"/>
        <v>0</v>
      </c>
      <c r="AC2853" s="846"/>
      <c r="AD2853" s="847"/>
      <c r="AE2853" s="846"/>
      <c r="AF2853" s="846"/>
      <c r="AG2853" s="1156"/>
      <c r="AH2853" s="1157"/>
      <c r="AI2853" s="742">
        <f t="shared" si="365"/>
        <v>67164344</v>
      </c>
      <c r="AJ2853" s="743">
        <f t="shared" si="366"/>
        <v>68060028</v>
      </c>
    </row>
    <row r="2854" spans="1:36">
      <c r="A2854" s="1062" t="s">
        <v>147</v>
      </c>
      <c r="B2854" s="901" t="s">
        <v>268</v>
      </c>
      <c r="C2854" s="1066" t="s">
        <v>1100</v>
      </c>
      <c r="D2854" s="1159"/>
      <c r="E2854" s="1152">
        <v>228723</v>
      </c>
      <c r="F2854" s="911">
        <v>1</v>
      </c>
      <c r="G2854" s="846"/>
      <c r="H2854" s="1153"/>
      <c r="I2854" s="1154">
        <v>60447709</v>
      </c>
      <c r="J2854" s="1155">
        <v>61664003</v>
      </c>
      <c r="K2854" s="846"/>
      <c r="L2854" s="847"/>
      <c r="M2854" s="846"/>
      <c r="N2854" s="846"/>
      <c r="O2854" s="737">
        <f t="shared" si="359"/>
        <v>0</v>
      </c>
      <c r="P2854" s="1155"/>
      <c r="Q2854" s="1153"/>
      <c r="R2854" s="738">
        <f t="shared" si="362"/>
        <v>0</v>
      </c>
      <c r="S2854" s="737">
        <f t="shared" si="363"/>
        <v>60447709</v>
      </c>
      <c r="T2854" s="739">
        <f t="shared" si="364"/>
        <v>61664003</v>
      </c>
      <c r="U2854" s="846"/>
      <c r="V2854" s="847"/>
      <c r="W2854" s="846"/>
      <c r="X2854" s="846"/>
      <c r="Y2854" s="740">
        <f t="shared" si="360"/>
        <v>0</v>
      </c>
      <c r="Z2854" s="1156"/>
      <c r="AA2854" s="847"/>
      <c r="AB2854" s="741">
        <f t="shared" si="361"/>
        <v>0</v>
      </c>
      <c r="AC2854" s="846"/>
      <c r="AD2854" s="847"/>
      <c r="AE2854" s="846"/>
      <c r="AF2854" s="846"/>
      <c r="AG2854" s="1156"/>
      <c r="AH2854" s="1157"/>
      <c r="AI2854" s="742">
        <f t="shared" si="365"/>
        <v>60447709</v>
      </c>
      <c r="AJ2854" s="743">
        <f t="shared" si="366"/>
        <v>61664003</v>
      </c>
    </row>
    <row r="2855" spans="1:36">
      <c r="A2855" s="1062" t="s">
        <v>147</v>
      </c>
      <c r="B2855" s="901" t="s">
        <v>270</v>
      </c>
      <c r="C2855" s="1066" t="s">
        <v>1101</v>
      </c>
      <c r="D2855" s="1159"/>
      <c r="E2855" s="1152">
        <v>228723</v>
      </c>
      <c r="F2855" s="911">
        <v>1</v>
      </c>
      <c r="G2855" s="846"/>
      <c r="H2855" s="1153"/>
      <c r="I2855" s="1154">
        <v>21165810</v>
      </c>
      <c r="J2855" s="1155">
        <v>21481165</v>
      </c>
      <c r="K2855" s="846"/>
      <c r="L2855" s="847"/>
      <c r="M2855" s="846"/>
      <c r="N2855" s="846"/>
      <c r="O2855" s="737">
        <f t="shared" si="359"/>
        <v>0</v>
      </c>
      <c r="P2855" s="1155"/>
      <c r="Q2855" s="1161"/>
      <c r="R2855" s="738">
        <f t="shared" si="362"/>
        <v>0</v>
      </c>
      <c r="S2855" s="737">
        <f t="shared" si="363"/>
        <v>21165810</v>
      </c>
      <c r="T2855" s="739">
        <f t="shared" si="364"/>
        <v>21481165</v>
      </c>
      <c r="U2855" s="846"/>
      <c r="V2855" s="847"/>
      <c r="W2855" s="846"/>
      <c r="X2855" s="846"/>
      <c r="Y2855" s="740">
        <f t="shared" si="360"/>
        <v>0</v>
      </c>
      <c r="Z2855" s="1156"/>
      <c r="AA2855" s="847"/>
      <c r="AB2855" s="741">
        <f t="shared" si="361"/>
        <v>0</v>
      </c>
      <c r="AC2855" s="846"/>
      <c r="AD2855" s="847"/>
      <c r="AE2855" s="846"/>
      <c r="AF2855" s="846"/>
      <c r="AG2855" s="1156"/>
      <c r="AH2855" s="1157"/>
      <c r="AI2855" s="742">
        <f t="shared" si="365"/>
        <v>21165810</v>
      </c>
      <c r="AJ2855" s="743">
        <f t="shared" si="366"/>
        <v>21481165</v>
      </c>
    </row>
    <row r="2856" spans="1:36">
      <c r="A2856" s="1062" t="s">
        <v>147</v>
      </c>
      <c r="B2856" s="901" t="s">
        <v>266</v>
      </c>
      <c r="C2856" s="1066" t="s">
        <v>1102</v>
      </c>
      <c r="D2856" s="1160"/>
      <c r="E2856" s="1152">
        <v>228723</v>
      </c>
      <c r="F2856" s="911">
        <v>1</v>
      </c>
      <c r="G2856" s="846"/>
      <c r="H2856" s="1153"/>
      <c r="I2856" s="1154">
        <v>3490743</v>
      </c>
      <c r="J2856" s="1155">
        <v>3582208</v>
      </c>
      <c r="K2856" s="846"/>
      <c r="L2856" s="847"/>
      <c r="M2856" s="846"/>
      <c r="N2856" s="846"/>
      <c r="O2856" s="737">
        <f t="shared" si="359"/>
        <v>0</v>
      </c>
      <c r="P2856" s="1155"/>
      <c r="Q2856" s="1153"/>
      <c r="R2856" s="738">
        <f t="shared" si="362"/>
        <v>0</v>
      </c>
      <c r="S2856" s="737">
        <f t="shared" si="363"/>
        <v>3490743</v>
      </c>
      <c r="T2856" s="739">
        <f t="shared" si="364"/>
        <v>3582208</v>
      </c>
      <c r="U2856" s="846"/>
      <c r="V2856" s="847"/>
      <c r="W2856" s="846"/>
      <c r="X2856" s="846"/>
      <c r="Y2856" s="740">
        <f t="shared" si="360"/>
        <v>0</v>
      </c>
      <c r="Z2856" s="1156"/>
      <c r="AA2856" s="847"/>
      <c r="AB2856" s="741">
        <f t="shared" si="361"/>
        <v>0</v>
      </c>
      <c r="AC2856" s="846"/>
      <c r="AD2856" s="847"/>
      <c r="AE2856" s="846"/>
      <c r="AF2856" s="846"/>
      <c r="AG2856" s="1156"/>
      <c r="AH2856" s="1157"/>
      <c r="AI2856" s="742">
        <f t="shared" si="365"/>
        <v>3490743</v>
      </c>
      <c r="AJ2856" s="743">
        <f t="shared" si="366"/>
        <v>3582208</v>
      </c>
    </row>
    <row r="2857" spans="1:36">
      <c r="A2857" s="1062" t="s">
        <v>147</v>
      </c>
      <c r="B2857" s="901" t="s">
        <v>277</v>
      </c>
      <c r="C2857" s="1066" t="s">
        <v>1103</v>
      </c>
      <c r="D2857" s="1160"/>
      <c r="E2857" s="1152">
        <v>228723</v>
      </c>
      <c r="F2857" s="911">
        <v>1</v>
      </c>
      <c r="G2857" s="846"/>
      <c r="H2857" s="1153"/>
      <c r="I2857" s="1154">
        <v>9493132</v>
      </c>
      <c r="J2857" s="1155">
        <v>9658220</v>
      </c>
      <c r="K2857" s="846"/>
      <c r="L2857" s="847"/>
      <c r="M2857" s="846"/>
      <c r="N2857" s="846"/>
      <c r="O2857" s="737">
        <f t="shared" si="359"/>
        <v>0</v>
      </c>
      <c r="P2857" s="1155"/>
      <c r="Q2857" s="1161"/>
      <c r="R2857" s="738">
        <f t="shared" si="362"/>
        <v>0</v>
      </c>
      <c r="S2857" s="737">
        <f t="shared" si="363"/>
        <v>9493132</v>
      </c>
      <c r="T2857" s="739">
        <f t="shared" si="364"/>
        <v>9658220</v>
      </c>
      <c r="U2857" s="846"/>
      <c r="V2857" s="847"/>
      <c r="W2857" s="846"/>
      <c r="X2857" s="846"/>
      <c r="Y2857" s="740">
        <f t="shared" si="360"/>
        <v>0</v>
      </c>
      <c r="Z2857" s="1156"/>
      <c r="AA2857" s="847"/>
      <c r="AB2857" s="741">
        <f t="shared" si="361"/>
        <v>0</v>
      </c>
      <c r="AC2857" s="846"/>
      <c r="AD2857" s="847"/>
      <c r="AE2857" s="846"/>
      <c r="AF2857" s="846"/>
      <c r="AG2857" s="1156"/>
      <c r="AH2857" s="1157"/>
      <c r="AI2857" s="742">
        <f t="shared" si="365"/>
        <v>9493132</v>
      </c>
      <c r="AJ2857" s="743">
        <f t="shared" si="366"/>
        <v>9658220</v>
      </c>
    </row>
    <row r="2858" spans="1:36">
      <c r="A2858" s="1062" t="s">
        <v>147</v>
      </c>
      <c r="B2858" s="901" t="s">
        <v>266</v>
      </c>
      <c r="C2858" s="1066" t="s">
        <v>1104</v>
      </c>
      <c r="D2858" s="1160"/>
      <c r="E2858" s="1152">
        <v>228723</v>
      </c>
      <c r="F2858" s="911">
        <v>1</v>
      </c>
      <c r="G2858" s="846"/>
      <c r="H2858" s="1153"/>
      <c r="I2858" s="1154">
        <v>39378872</v>
      </c>
      <c r="J2858" s="1155">
        <v>39749135</v>
      </c>
      <c r="K2858" s="846"/>
      <c r="L2858" s="847"/>
      <c r="M2858" s="846"/>
      <c r="N2858" s="846"/>
      <c r="O2858" s="737">
        <f t="shared" si="359"/>
        <v>0</v>
      </c>
      <c r="P2858" s="1155"/>
      <c r="Q2858" s="1153"/>
      <c r="R2858" s="738">
        <f t="shared" si="362"/>
        <v>0</v>
      </c>
      <c r="S2858" s="737">
        <f t="shared" si="363"/>
        <v>39378872</v>
      </c>
      <c r="T2858" s="739">
        <f t="shared" si="364"/>
        <v>39749135</v>
      </c>
      <c r="U2858" s="846"/>
      <c r="V2858" s="847"/>
      <c r="W2858" s="846"/>
      <c r="X2858" s="846"/>
      <c r="Y2858" s="740">
        <f t="shared" si="360"/>
        <v>0</v>
      </c>
      <c r="Z2858" s="1156"/>
      <c r="AA2858" s="847"/>
      <c r="AB2858" s="741">
        <f t="shared" si="361"/>
        <v>0</v>
      </c>
      <c r="AC2858" s="846"/>
      <c r="AD2858" s="847"/>
      <c r="AE2858" s="846"/>
      <c r="AF2858" s="846"/>
      <c r="AG2858" s="1156"/>
      <c r="AH2858" s="1157"/>
      <c r="AI2858" s="742">
        <f t="shared" si="365"/>
        <v>39378872</v>
      </c>
      <c r="AJ2858" s="743">
        <f t="shared" si="366"/>
        <v>39749135</v>
      </c>
    </row>
    <row r="2859" spans="1:36">
      <c r="A2859" s="1062" t="s">
        <v>147</v>
      </c>
      <c r="B2859" s="901" t="s">
        <v>266</v>
      </c>
      <c r="C2859" s="1162" t="s">
        <v>1105</v>
      </c>
      <c r="D2859" s="1159"/>
      <c r="E2859" s="1152">
        <v>228723</v>
      </c>
      <c r="F2859" s="911">
        <v>1</v>
      </c>
      <c r="G2859" s="846"/>
      <c r="H2859" s="1153"/>
      <c r="I2859" s="1154">
        <v>9869798</v>
      </c>
      <c r="J2859" s="1155">
        <v>9943295</v>
      </c>
      <c r="K2859" s="846"/>
      <c r="L2859" s="847"/>
      <c r="M2859" s="846"/>
      <c r="N2859" s="846"/>
      <c r="O2859" s="737">
        <f t="shared" si="359"/>
        <v>0</v>
      </c>
      <c r="P2859" s="1155"/>
      <c r="Q2859" s="1153"/>
      <c r="R2859" s="738">
        <f t="shared" si="362"/>
        <v>0</v>
      </c>
      <c r="S2859" s="737">
        <f t="shared" si="363"/>
        <v>9869798</v>
      </c>
      <c r="T2859" s="739">
        <f t="shared" si="364"/>
        <v>9943295</v>
      </c>
      <c r="U2859" s="846"/>
      <c r="V2859" s="847"/>
      <c r="W2859" s="846"/>
      <c r="X2859" s="846"/>
      <c r="Y2859" s="740">
        <f t="shared" si="360"/>
        <v>0</v>
      </c>
      <c r="Z2859" s="1156"/>
      <c r="AA2859" s="847"/>
      <c r="AB2859" s="741">
        <f t="shared" si="361"/>
        <v>0</v>
      </c>
      <c r="AC2859" s="846"/>
      <c r="AD2859" s="847"/>
      <c r="AE2859" s="846"/>
      <c r="AF2859" s="846"/>
      <c r="AG2859" s="1156"/>
      <c r="AH2859" s="1157"/>
      <c r="AI2859" s="742">
        <f t="shared" si="365"/>
        <v>9869798</v>
      </c>
      <c r="AJ2859" s="743">
        <f t="shared" si="366"/>
        <v>9943295</v>
      </c>
    </row>
    <row r="2860" spans="1:36">
      <c r="A2860" s="1062" t="s">
        <v>147</v>
      </c>
      <c r="B2860" s="901" t="s">
        <v>266</v>
      </c>
      <c r="C2860" s="1158" t="s">
        <v>319</v>
      </c>
      <c r="D2860" s="1159"/>
      <c r="E2860" s="1152">
        <v>228723</v>
      </c>
      <c r="F2860" s="911">
        <v>1</v>
      </c>
      <c r="G2860" s="846"/>
      <c r="H2860" s="1153"/>
      <c r="I2860" s="1154"/>
      <c r="J2860" s="1155"/>
      <c r="K2860" s="846"/>
      <c r="L2860" s="847"/>
      <c r="M2860" s="846"/>
      <c r="N2860" s="846"/>
      <c r="O2860" s="737">
        <f t="shared" si="359"/>
        <v>0</v>
      </c>
      <c r="P2860" s="1155"/>
      <c r="Q2860" s="1153"/>
      <c r="R2860" s="738">
        <f t="shared" si="362"/>
        <v>0</v>
      </c>
      <c r="S2860" s="737">
        <f t="shared" si="363"/>
        <v>0</v>
      </c>
      <c r="T2860" s="739">
        <f t="shared" si="364"/>
        <v>0</v>
      </c>
      <c r="U2860" s="846"/>
      <c r="V2860" s="847"/>
      <c r="W2860" s="846"/>
      <c r="X2860" s="846"/>
      <c r="Y2860" s="740">
        <f t="shared" si="360"/>
        <v>0</v>
      </c>
      <c r="Z2860" s="1156"/>
      <c r="AA2860" s="847"/>
      <c r="AB2860" s="741">
        <f t="shared" si="361"/>
        <v>0</v>
      </c>
      <c r="AC2860" s="846"/>
      <c r="AD2860" s="847"/>
      <c r="AE2860" s="846"/>
      <c r="AF2860" s="846"/>
      <c r="AG2860" s="1156"/>
      <c r="AH2860" s="1157"/>
      <c r="AI2860" s="742">
        <f t="shared" si="365"/>
        <v>0</v>
      </c>
      <c r="AJ2860" s="743">
        <f t="shared" si="366"/>
        <v>0</v>
      </c>
    </row>
    <row r="2861" spans="1:36">
      <c r="A2861" s="1062" t="s">
        <v>147</v>
      </c>
      <c r="B2861" s="901" t="s">
        <v>264</v>
      </c>
      <c r="C2861" s="1069" t="s">
        <v>1106</v>
      </c>
      <c r="D2861" s="1151"/>
      <c r="E2861" s="1152">
        <v>229115</v>
      </c>
      <c r="F2861" s="911">
        <v>1</v>
      </c>
      <c r="G2861" s="846">
        <v>173158365</v>
      </c>
      <c r="H2861" s="1153">
        <v>174945632</v>
      </c>
      <c r="I2861" s="1154">
        <v>13332075</v>
      </c>
      <c r="J2861" s="1155">
        <v>8081615</v>
      </c>
      <c r="K2861" s="846"/>
      <c r="L2861" s="847"/>
      <c r="M2861" s="846">
        <v>257319023</v>
      </c>
      <c r="N2861" s="846"/>
      <c r="O2861" s="737">
        <f t="shared" si="359"/>
        <v>257319023</v>
      </c>
      <c r="P2861" s="1155">
        <v>256676360</v>
      </c>
      <c r="Q2861" s="1153"/>
      <c r="R2861" s="738">
        <f t="shared" si="362"/>
        <v>256676360</v>
      </c>
      <c r="S2861" s="737">
        <f t="shared" si="363"/>
        <v>443809463</v>
      </c>
      <c r="T2861" s="739">
        <f t="shared" si="364"/>
        <v>439703607</v>
      </c>
      <c r="U2861" s="846"/>
      <c r="V2861" s="847"/>
      <c r="W2861" s="846"/>
      <c r="X2861" s="846"/>
      <c r="Y2861" s="740">
        <f t="shared" si="360"/>
        <v>0</v>
      </c>
      <c r="Z2861" s="1156"/>
      <c r="AA2861" s="847"/>
      <c r="AB2861" s="741">
        <f t="shared" si="361"/>
        <v>0</v>
      </c>
      <c r="AC2861" s="846"/>
      <c r="AD2861" s="847"/>
      <c r="AE2861" s="846"/>
      <c r="AF2861" s="846"/>
      <c r="AG2861" s="1156"/>
      <c r="AH2861" s="1157"/>
      <c r="AI2861" s="742">
        <f t="shared" si="365"/>
        <v>443809463</v>
      </c>
      <c r="AJ2861" s="743">
        <f t="shared" si="366"/>
        <v>439703607</v>
      </c>
    </row>
    <row r="2862" spans="1:36">
      <c r="A2862" s="1062" t="s">
        <v>147</v>
      </c>
      <c r="B2862" s="901" t="s">
        <v>264</v>
      </c>
      <c r="C2862" s="1069" t="s">
        <v>1107</v>
      </c>
      <c r="D2862" s="1151"/>
      <c r="E2862" s="1152">
        <v>225511</v>
      </c>
      <c r="F2862" s="911">
        <v>1</v>
      </c>
      <c r="G2862" s="846">
        <v>183447588</v>
      </c>
      <c r="H2862" s="1153">
        <v>185205567</v>
      </c>
      <c r="I2862" s="1154">
        <v>474375</v>
      </c>
      <c r="J2862" s="1155">
        <v>1408334</v>
      </c>
      <c r="K2862" s="846"/>
      <c r="L2862" s="847"/>
      <c r="M2862" s="846">
        <v>283284674</v>
      </c>
      <c r="N2862" s="846"/>
      <c r="O2862" s="737">
        <f t="shared" si="359"/>
        <v>283284674</v>
      </c>
      <c r="P2862" s="1155">
        <v>295962039</v>
      </c>
      <c r="Q2862" s="1153"/>
      <c r="R2862" s="738">
        <f t="shared" si="362"/>
        <v>295962039</v>
      </c>
      <c r="S2862" s="737">
        <f t="shared" si="363"/>
        <v>467206637</v>
      </c>
      <c r="T2862" s="739">
        <f t="shared" si="364"/>
        <v>482575940</v>
      </c>
      <c r="U2862" s="846"/>
      <c r="V2862" s="847"/>
      <c r="W2862" s="846"/>
      <c r="X2862" s="846"/>
      <c r="Y2862" s="740">
        <f t="shared" si="360"/>
        <v>0</v>
      </c>
      <c r="Z2862" s="1156"/>
      <c r="AA2862" s="847"/>
      <c r="AB2862" s="741">
        <f t="shared" si="361"/>
        <v>0</v>
      </c>
      <c r="AC2862" s="846"/>
      <c r="AD2862" s="847"/>
      <c r="AE2862" s="846"/>
      <c r="AF2862" s="846"/>
      <c r="AG2862" s="1156"/>
      <c r="AH2862" s="1157"/>
      <c r="AI2862" s="742">
        <f t="shared" si="365"/>
        <v>467206637</v>
      </c>
      <c r="AJ2862" s="743">
        <f t="shared" si="366"/>
        <v>482575940</v>
      </c>
    </row>
    <row r="2863" spans="1:36">
      <c r="A2863" s="1062" t="s">
        <v>147</v>
      </c>
      <c r="B2863" s="901" t="s">
        <v>264</v>
      </c>
      <c r="C2863" s="1069" t="s">
        <v>1108</v>
      </c>
      <c r="D2863" s="1151"/>
      <c r="E2863" s="1152">
        <v>227216</v>
      </c>
      <c r="F2863" s="911">
        <v>1</v>
      </c>
      <c r="G2863" s="846">
        <v>129304016</v>
      </c>
      <c r="H2863" s="1153">
        <v>131686122</v>
      </c>
      <c r="I2863" s="1154">
        <v>0</v>
      </c>
      <c r="J2863" s="1155">
        <v>0</v>
      </c>
      <c r="K2863" s="846"/>
      <c r="L2863" s="847"/>
      <c r="M2863" s="890">
        <v>224311842</v>
      </c>
      <c r="N2863" s="846"/>
      <c r="O2863" s="737">
        <f t="shared" si="359"/>
        <v>224311842</v>
      </c>
      <c r="P2863" s="1155">
        <v>236918876</v>
      </c>
      <c r="Q2863" s="1153"/>
      <c r="R2863" s="738">
        <f t="shared" si="362"/>
        <v>236918876</v>
      </c>
      <c r="S2863" s="737">
        <f t="shared" si="363"/>
        <v>353615858</v>
      </c>
      <c r="T2863" s="739">
        <f t="shared" si="364"/>
        <v>368604998</v>
      </c>
      <c r="U2863" s="846"/>
      <c r="V2863" s="847"/>
      <c r="W2863" s="846"/>
      <c r="X2863" s="846"/>
      <c r="Y2863" s="740">
        <f t="shared" si="360"/>
        <v>0</v>
      </c>
      <c r="Z2863" s="1156"/>
      <c r="AA2863" s="847"/>
      <c r="AB2863" s="741">
        <f t="shared" si="361"/>
        <v>0</v>
      </c>
      <c r="AC2863" s="846"/>
      <c r="AD2863" s="847"/>
      <c r="AE2863" s="846"/>
      <c r="AF2863" s="846"/>
      <c r="AG2863" s="1156"/>
      <c r="AH2863" s="1157"/>
      <c r="AI2863" s="742">
        <f t="shared" si="365"/>
        <v>353615858</v>
      </c>
      <c r="AJ2863" s="743">
        <f t="shared" si="366"/>
        <v>368604998</v>
      </c>
    </row>
    <row r="2864" spans="1:36">
      <c r="A2864" s="1062" t="s">
        <v>147</v>
      </c>
      <c r="B2864" s="901" t="s">
        <v>264</v>
      </c>
      <c r="C2864" s="1069" t="s">
        <v>1109</v>
      </c>
      <c r="D2864" s="1151"/>
      <c r="E2864" s="1152">
        <v>228769</v>
      </c>
      <c r="F2864" s="911">
        <v>1</v>
      </c>
      <c r="G2864" s="846">
        <v>114872045</v>
      </c>
      <c r="H2864" s="1153">
        <v>116361193</v>
      </c>
      <c r="I2864" s="1154">
        <v>217500</v>
      </c>
      <c r="J2864" s="1155">
        <v>325000</v>
      </c>
      <c r="K2864" s="846"/>
      <c r="L2864" s="847"/>
      <c r="M2864" s="846">
        <v>182249596</v>
      </c>
      <c r="N2864" s="846"/>
      <c r="O2864" s="737">
        <f t="shared" si="359"/>
        <v>182249596</v>
      </c>
      <c r="P2864" s="1155">
        <v>210712249</v>
      </c>
      <c r="Q2864" s="1153"/>
      <c r="R2864" s="738">
        <f t="shared" si="362"/>
        <v>210712249</v>
      </c>
      <c r="S2864" s="737">
        <f t="shared" si="363"/>
        <v>297339141</v>
      </c>
      <c r="T2864" s="739">
        <f t="shared" si="364"/>
        <v>327398442</v>
      </c>
      <c r="U2864" s="846"/>
      <c r="V2864" s="847"/>
      <c r="W2864" s="846"/>
      <c r="X2864" s="846"/>
      <c r="Y2864" s="740">
        <f t="shared" si="360"/>
        <v>0</v>
      </c>
      <c r="Z2864" s="1156"/>
      <c r="AA2864" s="847"/>
      <c r="AB2864" s="741">
        <f t="shared" si="361"/>
        <v>0</v>
      </c>
      <c r="AC2864" s="846"/>
      <c r="AD2864" s="847"/>
      <c r="AE2864" s="846"/>
      <c r="AF2864" s="846"/>
      <c r="AG2864" s="1156"/>
      <c r="AH2864" s="1157"/>
      <c r="AI2864" s="742">
        <f t="shared" si="365"/>
        <v>297339141</v>
      </c>
      <c r="AJ2864" s="743">
        <f t="shared" si="366"/>
        <v>327398442</v>
      </c>
    </row>
    <row r="2865" spans="1:36">
      <c r="A2865" s="1062" t="s">
        <v>147</v>
      </c>
      <c r="B2865" s="901" t="s">
        <v>264</v>
      </c>
      <c r="C2865" s="1069" t="s">
        <v>1110</v>
      </c>
      <c r="D2865" s="1151"/>
      <c r="E2865" s="1152">
        <v>228778</v>
      </c>
      <c r="F2865" s="911">
        <v>1</v>
      </c>
      <c r="G2865" s="846">
        <v>554214079</v>
      </c>
      <c r="H2865" s="1153">
        <v>554589226</v>
      </c>
      <c r="I2865" s="1154"/>
      <c r="J2865" s="1155"/>
      <c r="K2865" s="846"/>
      <c r="L2865" s="847"/>
      <c r="M2865" s="846">
        <v>458702122</v>
      </c>
      <c r="N2865" s="846"/>
      <c r="O2865" s="737">
        <f t="shared" si="359"/>
        <v>458702122</v>
      </c>
      <c r="P2865" s="1155">
        <v>444317943</v>
      </c>
      <c r="Q2865" s="1153"/>
      <c r="R2865" s="738">
        <f t="shared" si="362"/>
        <v>444317943</v>
      </c>
      <c r="S2865" s="737">
        <f t="shared" si="363"/>
        <v>1012916201</v>
      </c>
      <c r="T2865" s="739">
        <f t="shared" si="364"/>
        <v>998907169</v>
      </c>
      <c r="U2865" s="846"/>
      <c r="V2865" s="847"/>
      <c r="W2865" s="846"/>
      <c r="X2865" s="846"/>
      <c r="Y2865" s="740">
        <f t="shared" si="360"/>
        <v>0</v>
      </c>
      <c r="Z2865" s="1156"/>
      <c r="AA2865" s="847"/>
      <c r="AB2865" s="741">
        <f t="shared" si="361"/>
        <v>0</v>
      </c>
      <c r="AC2865" s="846"/>
      <c r="AD2865" s="847"/>
      <c r="AE2865" s="846"/>
      <c r="AF2865" s="846"/>
      <c r="AG2865" s="1156"/>
      <c r="AH2865" s="1157"/>
      <c r="AI2865" s="742">
        <f t="shared" si="365"/>
        <v>1012916201</v>
      </c>
      <c r="AJ2865" s="743">
        <f t="shared" si="366"/>
        <v>998907169</v>
      </c>
    </row>
    <row r="2866" spans="1:36">
      <c r="A2866" s="1062" t="s">
        <v>147</v>
      </c>
      <c r="B2866" s="901" t="s">
        <v>264</v>
      </c>
      <c r="C2866" s="1069" t="s">
        <v>1111</v>
      </c>
      <c r="D2866" s="1151"/>
      <c r="E2866" s="1152">
        <v>228787</v>
      </c>
      <c r="F2866" s="911">
        <v>1</v>
      </c>
      <c r="G2866" s="846">
        <v>104009603</v>
      </c>
      <c r="H2866" s="1153">
        <v>104858422</v>
      </c>
      <c r="I2866" s="1154">
        <v>2549950</v>
      </c>
      <c r="J2866" s="1155">
        <v>3042124</v>
      </c>
      <c r="K2866" s="846"/>
      <c r="L2866" s="847"/>
      <c r="M2866" s="846">
        <v>183814538</v>
      </c>
      <c r="N2866" s="846"/>
      <c r="O2866" s="737">
        <f t="shared" si="359"/>
        <v>183814538</v>
      </c>
      <c r="P2866" s="1155">
        <v>200235800</v>
      </c>
      <c r="Q2866" s="1153"/>
      <c r="R2866" s="738">
        <f t="shared" si="362"/>
        <v>200235800</v>
      </c>
      <c r="S2866" s="737">
        <f t="shared" si="363"/>
        <v>290374091</v>
      </c>
      <c r="T2866" s="739">
        <f t="shared" si="364"/>
        <v>308136346</v>
      </c>
      <c r="U2866" s="846"/>
      <c r="V2866" s="847"/>
      <c r="W2866" s="846"/>
      <c r="X2866" s="846"/>
      <c r="Y2866" s="740">
        <f t="shared" si="360"/>
        <v>0</v>
      </c>
      <c r="Z2866" s="1156"/>
      <c r="AA2866" s="847"/>
      <c r="AB2866" s="741">
        <f t="shared" si="361"/>
        <v>0</v>
      </c>
      <c r="AC2866" s="846"/>
      <c r="AD2866" s="847"/>
      <c r="AE2866" s="846"/>
      <c r="AF2866" s="846"/>
      <c r="AG2866" s="1156"/>
      <c r="AH2866" s="1157"/>
      <c r="AI2866" s="742">
        <f t="shared" si="365"/>
        <v>290374091</v>
      </c>
      <c r="AJ2866" s="743">
        <f t="shared" si="366"/>
        <v>308136346</v>
      </c>
    </row>
    <row r="2867" spans="1:36">
      <c r="A2867" s="1062" t="s">
        <v>147</v>
      </c>
      <c r="B2867" s="901" t="s">
        <v>264</v>
      </c>
      <c r="C2867" s="896" t="s">
        <v>1112</v>
      </c>
      <c r="D2867" s="894" t="s">
        <v>708</v>
      </c>
      <c r="E2867" s="1152">
        <v>229179</v>
      </c>
      <c r="F2867" s="911">
        <v>2</v>
      </c>
      <c r="G2867" s="846">
        <v>59290399</v>
      </c>
      <c r="H2867" s="1153">
        <v>60147447</v>
      </c>
      <c r="I2867" s="1154"/>
      <c r="J2867" s="1155"/>
      <c r="K2867" s="846"/>
      <c r="L2867" s="847"/>
      <c r="M2867" s="846">
        <v>65839859</v>
      </c>
      <c r="N2867" s="846"/>
      <c r="O2867" s="737">
        <f t="shared" si="359"/>
        <v>65839859</v>
      </c>
      <c r="P2867" s="1155">
        <v>67171639</v>
      </c>
      <c r="Q2867" s="1153"/>
      <c r="R2867" s="738">
        <f t="shared" si="362"/>
        <v>67171639</v>
      </c>
      <c r="S2867" s="737">
        <f t="shared" si="363"/>
        <v>125130258</v>
      </c>
      <c r="T2867" s="739">
        <f t="shared" si="364"/>
        <v>127319086</v>
      </c>
      <c r="U2867" s="846"/>
      <c r="V2867" s="847"/>
      <c r="W2867" s="846"/>
      <c r="X2867" s="846"/>
      <c r="Y2867" s="740">
        <f t="shared" si="360"/>
        <v>0</v>
      </c>
      <c r="Z2867" s="1156"/>
      <c r="AA2867" s="847"/>
      <c r="AB2867" s="741">
        <f t="shared" si="361"/>
        <v>0</v>
      </c>
      <c r="AC2867" s="846"/>
      <c r="AD2867" s="847"/>
      <c r="AE2867" s="846"/>
      <c r="AF2867" s="846"/>
      <c r="AG2867" s="1156"/>
      <c r="AH2867" s="1157"/>
      <c r="AI2867" s="742">
        <f t="shared" si="365"/>
        <v>125130258</v>
      </c>
      <c r="AJ2867" s="743">
        <f t="shared" si="366"/>
        <v>127319086</v>
      </c>
    </row>
    <row r="2868" spans="1:36">
      <c r="A2868" s="1062" t="s">
        <v>147</v>
      </c>
      <c r="B2868" s="901" t="s">
        <v>264</v>
      </c>
      <c r="C2868" s="1069" t="s">
        <v>1113</v>
      </c>
      <c r="D2868" s="894" t="s">
        <v>1685</v>
      </c>
      <c r="E2868" s="1152">
        <v>228796</v>
      </c>
      <c r="F2868" s="911">
        <v>2</v>
      </c>
      <c r="G2868" s="846">
        <v>91867542</v>
      </c>
      <c r="H2868" s="1153">
        <v>93067410</v>
      </c>
      <c r="I2868" s="1154">
        <v>123125</v>
      </c>
      <c r="J2868" s="1155">
        <v>4002434</v>
      </c>
      <c r="K2868" s="846"/>
      <c r="L2868" s="847"/>
      <c r="M2868" s="846">
        <v>80444489</v>
      </c>
      <c r="N2868" s="846"/>
      <c r="O2868" s="737">
        <f t="shared" si="359"/>
        <v>80444489</v>
      </c>
      <c r="P2868" s="1155">
        <v>97008096</v>
      </c>
      <c r="Q2868" s="1153"/>
      <c r="R2868" s="738">
        <f t="shared" si="362"/>
        <v>97008096</v>
      </c>
      <c r="S2868" s="737">
        <f t="shared" si="363"/>
        <v>172435156</v>
      </c>
      <c r="T2868" s="739">
        <f t="shared" si="364"/>
        <v>194077940</v>
      </c>
      <c r="U2868" s="846"/>
      <c r="V2868" s="847"/>
      <c r="W2868" s="846"/>
      <c r="X2868" s="846"/>
      <c r="Y2868" s="740">
        <f t="shared" si="360"/>
        <v>0</v>
      </c>
      <c r="Z2868" s="1156"/>
      <c r="AA2868" s="847"/>
      <c r="AB2868" s="741">
        <f t="shared" si="361"/>
        <v>0</v>
      </c>
      <c r="AC2868" s="846"/>
      <c r="AD2868" s="847"/>
      <c r="AE2868" s="846"/>
      <c r="AF2868" s="846"/>
      <c r="AG2868" s="1156"/>
      <c r="AH2868" s="1157"/>
      <c r="AI2868" s="742">
        <f t="shared" si="365"/>
        <v>172435156</v>
      </c>
      <c r="AJ2868" s="743">
        <f t="shared" si="366"/>
        <v>194077940</v>
      </c>
    </row>
    <row r="2869" spans="1:36">
      <c r="A2869" s="1062" t="s">
        <v>147</v>
      </c>
      <c r="B2869" s="901" t="s">
        <v>264</v>
      </c>
      <c r="C2869" s="896" t="s">
        <v>1114</v>
      </c>
      <c r="D2869" s="894" t="s">
        <v>708</v>
      </c>
      <c r="E2869" s="897">
        <v>229027</v>
      </c>
      <c r="F2869" s="898">
        <v>2</v>
      </c>
      <c r="G2869" s="846">
        <v>113248468</v>
      </c>
      <c r="H2869" s="1153">
        <v>115177213</v>
      </c>
      <c r="I2869" s="1154">
        <v>100000</v>
      </c>
      <c r="J2869" s="1155">
        <v>727145</v>
      </c>
      <c r="K2869" s="846"/>
      <c r="L2869" s="847"/>
      <c r="M2869" s="846">
        <v>158403609</v>
      </c>
      <c r="N2869" s="846"/>
      <c r="O2869" s="737">
        <f t="shared" si="359"/>
        <v>158403609</v>
      </c>
      <c r="P2869" s="1155">
        <v>161993022</v>
      </c>
      <c r="Q2869" s="1153"/>
      <c r="R2869" s="738">
        <f t="shared" si="362"/>
        <v>161993022</v>
      </c>
      <c r="S2869" s="737">
        <f t="shared" si="363"/>
        <v>271752077</v>
      </c>
      <c r="T2869" s="739">
        <f t="shared" si="364"/>
        <v>277897380</v>
      </c>
      <c r="U2869" s="846"/>
      <c r="V2869" s="847"/>
      <c r="W2869" s="846"/>
      <c r="X2869" s="846"/>
      <c r="Y2869" s="740">
        <f t="shared" si="360"/>
        <v>0</v>
      </c>
      <c r="Z2869" s="1156"/>
      <c r="AA2869" s="847"/>
      <c r="AB2869" s="741">
        <f t="shared" si="361"/>
        <v>0</v>
      </c>
      <c r="AC2869" s="846"/>
      <c r="AD2869" s="847"/>
      <c r="AE2869" s="846"/>
      <c r="AF2869" s="846"/>
      <c r="AG2869" s="1156"/>
      <c r="AH2869" s="1157"/>
      <c r="AI2869" s="742">
        <f t="shared" si="365"/>
        <v>271752077</v>
      </c>
      <c r="AJ2869" s="743">
        <f t="shared" si="366"/>
        <v>277897380</v>
      </c>
    </row>
    <row r="2870" spans="1:36">
      <c r="A2870" s="1062" t="s">
        <v>147</v>
      </c>
      <c r="B2870" s="901" t="s">
        <v>264</v>
      </c>
      <c r="C2870" s="1069" t="s">
        <v>1115</v>
      </c>
      <c r="D2870" s="1151"/>
      <c r="E2870" s="1152">
        <v>222831</v>
      </c>
      <c r="F2870" s="911">
        <v>3</v>
      </c>
      <c r="G2870" s="846">
        <v>30292147</v>
      </c>
      <c r="H2870" s="1153">
        <v>30786439</v>
      </c>
      <c r="I2870" s="1154"/>
      <c r="J2870" s="1155"/>
      <c r="K2870" s="846"/>
      <c r="L2870" s="847"/>
      <c r="M2870" s="846">
        <v>33916306</v>
      </c>
      <c r="N2870" s="846"/>
      <c r="O2870" s="737">
        <f t="shared" si="359"/>
        <v>33916306</v>
      </c>
      <c r="P2870" s="1155">
        <v>30735695</v>
      </c>
      <c r="Q2870" s="1153"/>
      <c r="R2870" s="738">
        <f t="shared" si="362"/>
        <v>30735695</v>
      </c>
      <c r="S2870" s="737">
        <f t="shared" si="363"/>
        <v>64208453</v>
      </c>
      <c r="T2870" s="739">
        <f t="shared" si="364"/>
        <v>61522134</v>
      </c>
      <c r="U2870" s="846"/>
      <c r="V2870" s="847"/>
      <c r="W2870" s="846"/>
      <c r="X2870" s="846"/>
      <c r="Y2870" s="740">
        <f t="shared" si="360"/>
        <v>0</v>
      </c>
      <c r="Z2870" s="1156"/>
      <c r="AA2870" s="847"/>
      <c r="AB2870" s="741">
        <f t="shared" si="361"/>
        <v>0</v>
      </c>
      <c r="AC2870" s="846"/>
      <c r="AD2870" s="847"/>
      <c r="AE2870" s="846"/>
      <c r="AF2870" s="846"/>
      <c r="AG2870" s="1156"/>
      <c r="AH2870" s="1157"/>
      <c r="AI2870" s="742">
        <f t="shared" si="365"/>
        <v>64208453</v>
      </c>
      <c r="AJ2870" s="743">
        <f t="shared" si="366"/>
        <v>61522134</v>
      </c>
    </row>
    <row r="2871" spans="1:36">
      <c r="A2871" s="1062" t="s">
        <v>147</v>
      </c>
      <c r="B2871" s="901" t="s">
        <v>264</v>
      </c>
      <c r="C2871" s="1069" t="s">
        <v>1116</v>
      </c>
      <c r="D2871" s="1151"/>
      <c r="E2871" s="1152">
        <v>226091</v>
      </c>
      <c r="F2871" s="911">
        <v>3</v>
      </c>
      <c r="G2871" s="846">
        <v>49379031</v>
      </c>
      <c r="H2871" s="1153">
        <v>50082297</v>
      </c>
      <c r="I2871" s="1154"/>
      <c r="J2871" s="1155"/>
      <c r="K2871" s="846"/>
      <c r="L2871" s="847"/>
      <c r="M2871" s="846">
        <v>83404139</v>
      </c>
      <c r="N2871" s="846"/>
      <c r="O2871" s="737">
        <f t="shared" si="359"/>
        <v>83404139</v>
      </c>
      <c r="P2871" s="1155">
        <v>85080557</v>
      </c>
      <c r="Q2871" s="1153"/>
      <c r="R2871" s="738">
        <f t="shared" si="362"/>
        <v>85080557</v>
      </c>
      <c r="S2871" s="737">
        <f t="shared" si="363"/>
        <v>132783170</v>
      </c>
      <c r="T2871" s="739">
        <f t="shared" si="364"/>
        <v>135162854</v>
      </c>
      <c r="U2871" s="846"/>
      <c r="V2871" s="847"/>
      <c r="W2871" s="846"/>
      <c r="X2871" s="846"/>
      <c r="Y2871" s="740">
        <f t="shared" si="360"/>
        <v>0</v>
      </c>
      <c r="Z2871" s="1156"/>
      <c r="AA2871" s="847"/>
      <c r="AB2871" s="741">
        <f t="shared" si="361"/>
        <v>0</v>
      </c>
      <c r="AC2871" s="846"/>
      <c r="AD2871" s="847"/>
      <c r="AE2871" s="846"/>
      <c r="AF2871" s="846"/>
      <c r="AG2871" s="1156"/>
      <c r="AH2871" s="1157"/>
      <c r="AI2871" s="742">
        <f t="shared" si="365"/>
        <v>132783170</v>
      </c>
      <c r="AJ2871" s="743">
        <f t="shared" si="366"/>
        <v>135162854</v>
      </c>
    </row>
    <row r="2872" spans="1:36">
      <c r="A2872" s="1062" t="s">
        <v>147</v>
      </c>
      <c r="B2872" s="901" t="s">
        <v>264</v>
      </c>
      <c r="C2872" s="1069" t="s">
        <v>1117</v>
      </c>
      <c r="D2872" s="1151"/>
      <c r="E2872" s="1152">
        <v>226833</v>
      </c>
      <c r="F2872" s="911">
        <v>3</v>
      </c>
      <c r="G2872" s="846">
        <v>20532679</v>
      </c>
      <c r="H2872" s="1153">
        <v>20814756</v>
      </c>
      <c r="I2872" s="1154"/>
      <c r="J2872" s="1155"/>
      <c r="K2872" s="846"/>
      <c r="L2872" s="847"/>
      <c r="M2872" s="846">
        <v>31130657</v>
      </c>
      <c r="N2872" s="846"/>
      <c r="O2872" s="737">
        <f t="shared" si="359"/>
        <v>31130657</v>
      </c>
      <c r="P2872" s="1155">
        <v>31048888</v>
      </c>
      <c r="Q2872" s="1153"/>
      <c r="R2872" s="738">
        <f t="shared" si="362"/>
        <v>31048888</v>
      </c>
      <c r="S2872" s="737">
        <f t="shared" si="363"/>
        <v>51663336</v>
      </c>
      <c r="T2872" s="739">
        <f t="shared" si="364"/>
        <v>51863644</v>
      </c>
      <c r="U2872" s="846"/>
      <c r="V2872" s="847"/>
      <c r="W2872" s="846"/>
      <c r="X2872" s="846"/>
      <c r="Y2872" s="740">
        <f t="shared" si="360"/>
        <v>0</v>
      </c>
      <c r="Z2872" s="1156"/>
      <c r="AA2872" s="847"/>
      <c r="AB2872" s="741">
        <f t="shared" si="361"/>
        <v>0</v>
      </c>
      <c r="AC2872" s="846"/>
      <c r="AD2872" s="847"/>
      <c r="AE2872" s="846"/>
      <c r="AF2872" s="846"/>
      <c r="AG2872" s="1156"/>
      <c r="AH2872" s="1157"/>
      <c r="AI2872" s="742">
        <f t="shared" si="365"/>
        <v>51663336</v>
      </c>
      <c r="AJ2872" s="743">
        <f t="shared" si="366"/>
        <v>51863644</v>
      </c>
    </row>
    <row r="2873" spans="1:36">
      <c r="A2873" s="1062" t="s">
        <v>147</v>
      </c>
      <c r="B2873" s="901" t="s">
        <v>264</v>
      </c>
      <c r="C2873" s="1069" t="s">
        <v>1118</v>
      </c>
      <c r="D2873" s="1151"/>
      <c r="E2873" s="1152">
        <v>227526</v>
      </c>
      <c r="F2873" s="911">
        <v>3</v>
      </c>
      <c r="G2873" s="846">
        <v>62152018</v>
      </c>
      <c r="H2873" s="1153">
        <v>62731877</v>
      </c>
      <c r="I2873" s="1154"/>
      <c r="J2873" s="1155"/>
      <c r="K2873" s="846"/>
      <c r="L2873" s="847"/>
      <c r="M2873" s="846">
        <v>32976606</v>
      </c>
      <c r="N2873" s="846"/>
      <c r="O2873" s="737">
        <f t="shared" si="359"/>
        <v>32976606</v>
      </c>
      <c r="P2873" s="1155">
        <v>32483688</v>
      </c>
      <c r="Q2873" s="1153"/>
      <c r="R2873" s="738">
        <f t="shared" si="362"/>
        <v>32483688</v>
      </c>
      <c r="S2873" s="737">
        <f t="shared" si="363"/>
        <v>95128624</v>
      </c>
      <c r="T2873" s="739">
        <f t="shared" si="364"/>
        <v>95215565</v>
      </c>
      <c r="U2873" s="846"/>
      <c r="V2873" s="847"/>
      <c r="W2873" s="846"/>
      <c r="X2873" s="846"/>
      <c r="Y2873" s="740">
        <f t="shared" si="360"/>
        <v>0</v>
      </c>
      <c r="Z2873" s="1156"/>
      <c r="AA2873" s="847"/>
      <c r="AB2873" s="741">
        <f t="shared" si="361"/>
        <v>0</v>
      </c>
      <c r="AC2873" s="846"/>
      <c r="AD2873" s="847"/>
      <c r="AE2873" s="846"/>
      <c r="AF2873" s="846"/>
      <c r="AG2873" s="1156"/>
      <c r="AH2873" s="1157"/>
      <c r="AI2873" s="742">
        <f t="shared" si="365"/>
        <v>95128624</v>
      </c>
      <c r="AJ2873" s="743">
        <f t="shared" si="366"/>
        <v>95215565</v>
      </c>
    </row>
    <row r="2874" spans="1:36">
      <c r="A2874" s="1062" t="s">
        <v>147</v>
      </c>
      <c r="B2874" s="901" t="s">
        <v>264</v>
      </c>
      <c r="C2874" s="1069" t="s">
        <v>1119</v>
      </c>
      <c r="D2874" s="1151"/>
      <c r="E2874" s="1152">
        <v>227881</v>
      </c>
      <c r="F2874" s="911">
        <v>3</v>
      </c>
      <c r="G2874" s="846">
        <v>55017287</v>
      </c>
      <c r="H2874" s="1153">
        <v>55988378</v>
      </c>
      <c r="I2874" s="1154"/>
      <c r="J2874" s="1155"/>
      <c r="K2874" s="846"/>
      <c r="L2874" s="847"/>
      <c r="M2874" s="846">
        <v>95482701</v>
      </c>
      <c r="N2874" s="846"/>
      <c r="O2874" s="737">
        <f t="shared" si="359"/>
        <v>95482701</v>
      </c>
      <c r="P2874" s="1155">
        <v>113966816</v>
      </c>
      <c r="Q2874" s="1153"/>
      <c r="R2874" s="738">
        <f t="shared" si="362"/>
        <v>113966816</v>
      </c>
      <c r="S2874" s="737">
        <f t="shared" si="363"/>
        <v>150499988</v>
      </c>
      <c r="T2874" s="739">
        <f t="shared" si="364"/>
        <v>169955194</v>
      </c>
      <c r="U2874" s="846"/>
      <c r="V2874" s="847"/>
      <c r="W2874" s="846"/>
      <c r="X2874" s="846"/>
      <c r="Y2874" s="740">
        <f t="shared" si="360"/>
        <v>0</v>
      </c>
      <c r="Z2874" s="1156"/>
      <c r="AA2874" s="847"/>
      <c r="AB2874" s="741">
        <f t="shared" si="361"/>
        <v>0</v>
      </c>
      <c r="AC2874" s="846"/>
      <c r="AD2874" s="847"/>
      <c r="AE2874" s="846"/>
      <c r="AF2874" s="846"/>
      <c r="AG2874" s="1156"/>
      <c r="AH2874" s="1157"/>
      <c r="AI2874" s="742">
        <f t="shared" si="365"/>
        <v>150499988</v>
      </c>
      <c r="AJ2874" s="743">
        <f t="shared" si="366"/>
        <v>169955194</v>
      </c>
    </row>
    <row r="2875" spans="1:36">
      <c r="A2875" s="1062" t="s">
        <v>147</v>
      </c>
      <c r="B2875" s="901" t="s">
        <v>264</v>
      </c>
      <c r="C2875" s="1069" t="s">
        <v>1120</v>
      </c>
      <c r="D2875" s="1151"/>
      <c r="E2875" s="1152">
        <v>228431</v>
      </c>
      <c r="F2875" s="911">
        <v>3</v>
      </c>
      <c r="G2875" s="846">
        <v>49388727</v>
      </c>
      <c r="H2875" s="1153">
        <v>50412317</v>
      </c>
      <c r="I2875" s="1154"/>
      <c r="J2875" s="1155"/>
      <c r="K2875" s="846"/>
      <c r="L2875" s="847"/>
      <c r="M2875" s="846">
        <v>68185946</v>
      </c>
      <c r="N2875" s="846"/>
      <c r="O2875" s="737">
        <f t="shared" si="359"/>
        <v>68185946</v>
      </c>
      <c r="P2875" s="1155">
        <v>71040569</v>
      </c>
      <c r="Q2875" s="1153"/>
      <c r="R2875" s="738">
        <f t="shared" si="362"/>
        <v>71040569</v>
      </c>
      <c r="S2875" s="737">
        <f t="shared" si="363"/>
        <v>117574673</v>
      </c>
      <c r="T2875" s="739">
        <f t="shared" si="364"/>
        <v>121452886</v>
      </c>
      <c r="U2875" s="846"/>
      <c r="V2875" s="847"/>
      <c r="W2875" s="846"/>
      <c r="X2875" s="846"/>
      <c r="Y2875" s="740">
        <f t="shared" si="360"/>
        <v>0</v>
      </c>
      <c r="Z2875" s="1156"/>
      <c r="AA2875" s="847"/>
      <c r="AB2875" s="741">
        <f t="shared" si="361"/>
        <v>0</v>
      </c>
      <c r="AC2875" s="846"/>
      <c r="AD2875" s="847"/>
      <c r="AE2875" s="846"/>
      <c r="AF2875" s="846"/>
      <c r="AG2875" s="1156"/>
      <c r="AH2875" s="1157"/>
      <c r="AI2875" s="742">
        <f t="shared" si="365"/>
        <v>117574673</v>
      </c>
      <c r="AJ2875" s="743">
        <f t="shared" si="366"/>
        <v>121452886</v>
      </c>
    </row>
    <row r="2876" spans="1:36">
      <c r="A2876" s="1062" t="s">
        <v>147</v>
      </c>
      <c r="B2876" s="901" t="s">
        <v>264</v>
      </c>
      <c r="C2876" s="1069" t="s">
        <v>1121</v>
      </c>
      <c r="D2876" s="1151"/>
      <c r="E2876" s="1152">
        <v>228501</v>
      </c>
      <c r="F2876" s="911">
        <v>3</v>
      </c>
      <c r="G2876" s="846">
        <v>13789618</v>
      </c>
      <c r="H2876" s="1153">
        <v>14043939</v>
      </c>
      <c r="I2876" s="1154"/>
      <c r="J2876" s="1155"/>
      <c r="K2876" s="846"/>
      <c r="L2876" s="847"/>
      <c r="M2876" s="846">
        <v>10709181</v>
      </c>
      <c r="N2876" s="846"/>
      <c r="O2876" s="737">
        <f t="shared" si="359"/>
        <v>10709181</v>
      </c>
      <c r="P2876" s="1155">
        <v>7643400</v>
      </c>
      <c r="Q2876" s="1153"/>
      <c r="R2876" s="738">
        <f t="shared" si="362"/>
        <v>7643400</v>
      </c>
      <c r="S2876" s="737">
        <f t="shared" si="363"/>
        <v>24498799</v>
      </c>
      <c r="T2876" s="739">
        <f t="shared" si="364"/>
        <v>21687339</v>
      </c>
      <c r="U2876" s="846"/>
      <c r="V2876" s="847"/>
      <c r="W2876" s="846"/>
      <c r="X2876" s="846"/>
      <c r="Y2876" s="740">
        <f t="shared" si="360"/>
        <v>0</v>
      </c>
      <c r="Z2876" s="1156"/>
      <c r="AA2876" s="847"/>
      <c r="AB2876" s="741">
        <f t="shared" si="361"/>
        <v>0</v>
      </c>
      <c r="AC2876" s="846"/>
      <c r="AD2876" s="847"/>
      <c r="AE2876" s="846"/>
      <c r="AF2876" s="846"/>
      <c r="AG2876" s="1156"/>
      <c r="AH2876" s="1157"/>
      <c r="AI2876" s="742">
        <f t="shared" si="365"/>
        <v>24498799</v>
      </c>
      <c r="AJ2876" s="743">
        <f t="shared" si="366"/>
        <v>21687339</v>
      </c>
    </row>
    <row r="2877" spans="1:36">
      <c r="A2877" s="1062" t="s">
        <v>147</v>
      </c>
      <c r="B2877" s="901" t="s">
        <v>264</v>
      </c>
      <c r="C2877" s="1069" t="s">
        <v>1122</v>
      </c>
      <c r="D2877" s="1151"/>
      <c r="E2877" s="1152">
        <v>228529</v>
      </c>
      <c r="F2877" s="911">
        <v>3</v>
      </c>
      <c r="G2877" s="846">
        <v>38366046</v>
      </c>
      <c r="H2877" s="1153">
        <v>38931535</v>
      </c>
      <c r="I2877" s="1154"/>
      <c r="J2877" s="1155"/>
      <c r="K2877" s="846"/>
      <c r="L2877" s="847"/>
      <c r="M2877" s="846">
        <v>44883493</v>
      </c>
      <c r="N2877" s="846"/>
      <c r="O2877" s="737">
        <f t="shared" si="359"/>
        <v>44883493</v>
      </c>
      <c r="P2877" s="1155">
        <v>49669471</v>
      </c>
      <c r="Q2877" s="1153"/>
      <c r="R2877" s="738">
        <f t="shared" si="362"/>
        <v>49669471</v>
      </c>
      <c r="S2877" s="737">
        <f t="shared" si="363"/>
        <v>83249539</v>
      </c>
      <c r="T2877" s="739">
        <f t="shared" si="364"/>
        <v>88601006</v>
      </c>
      <c r="U2877" s="846"/>
      <c r="V2877" s="847"/>
      <c r="W2877" s="846"/>
      <c r="X2877" s="846"/>
      <c r="Y2877" s="740">
        <f t="shared" si="360"/>
        <v>0</v>
      </c>
      <c r="Z2877" s="1156"/>
      <c r="AA2877" s="847"/>
      <c r="AB2877" s="741">
        <f t="shared" si="361"/>
        <v>0</v>
      </c>
      <c r="AC2877" s="846"/>
      <c r="AD2877" s="847"/>
      <c r="AE2877" s="846"/>
      <c r="AF2877" s="846"/>
      <c r="AG2877" s="1156"/>
      <c r="AH2877" s="1157"/>
      <c r="AI2877" s="742">
        <f t="shared" si="365"/>
        <v>83249539</v>
      </c>
      <c r="AJ2877" s="743">
        <f t="shared" si="366"/>
        <v>88601006</v>
      </c>
    </row>
    <row r="2878" spans="1:36">
      <c r="A2878" s="1062" t="s">
        <v>147</v>
      </c>
      <c r="B2878" s="901" t="s">
        <v>264</v>
      </c>
      <c r="C2878" s="896" t="s">
        <v>1123</v>
      </c>
      <c r="D2878" s="894"/>
      <c r="E2878" s="897">
        <v>226152</v>
      </c>
      <c r="F2878" s="898">
        <v>3</v>
      </c>
      <c r="G2878" s="846">
        <v>26759604</v>
      </c>
      <c r="H2878" s="1153">
        <v>27051935</v>
      </c>
      <c r="I2878" s="1154"/>
      <c r="J2878" s="1155"/>
      <c r="K2878" s="846"/>
      <c r="L2878" s="847"/>
      <c r="M2878" s="846">
        <v>16855507</v>
      </c>
      <c r="N2878" s="846"/>
      <c r="O2878" s="737">
        <f t="shared" si="359"/>
        <v>16855507</v>
      </c>
      <c r="P2878" s="1155">
        <v>17850797</v>
      </c>
      <c r="Q2878" s="1153"/>
      <c r="R2878" s="738">
        <f t="shared" si="362"/>
        <v>17850797</v>
      </c>
      <c r="S2878" s="737">
        <f t="shared" si="363"/>
        <v>43615111</v>
      </c>
      <c r="T2878" s="739">
        <f t="shared" si="364"/>
        <v>44902732</v>
      </c>
      <c r="U2878" s="846"/>
      <c r="V2878" s="847"/>
      <c r="W2878" s="846"/>
      <c r="X2878" s="846"/>
      <c r="Y2878" s="740">
        <f t="shared" si="360"/>
        <v>0</v>
      </c>
      <c r="Z2878" s="1156"/>
      <c r="AA2878" s="847"/>
      <c r="AB2878" s="741">
        <f t="shared" si="361"/>
        <v>0</v>
      </c>
      <c r="AC2878" s="846"/>
      <c r="AD2878" s="847"/>
      <c r="AE2878" s="846"/>
      <c r="AF2878" s="846"/>
      <c r="AG2878" s="1156"/>
      <c r="AH2878" s="1157"/>
      <c r="AI2878" s="742">
        <f t="shared" si="365"/>
        <v>43615111</v>
      </c>
      <c r="AJ2878" s="743">
        <f t="shared" si="366"/>
        <v>44902732</v>
      </c>
    </row>
    <row r="2879" spans="1:36">
      <c r="A2879" s="1062" t="s">
        <v>147</v>
      </c>
      <c r="B2879" s="901" t="s">
        <v>264</v>
      </c>
      <c r="C2879" s="1069" t="s">
        <v>1124</v>
      </c>
      <c r="D2879" s="1151"/>
      <c r="E2879" s="1152">
        <v>224554</v>
      </c>
      <c r="F2879" s="911">
        <v>3</v>
      </c>
      <c r="G2879" s="846">
        <v>44305359</v>
      </c>
      <c r="H2879" s="1153">
        <v>45037136</v>
      </c>
      <c r="I2879" s="1154"/>
      <c r="J2879" s="1155"/>
      <c r="K2879" s="846"/>
      <c r="L2879" s="847"/>
      <c r="M2879" s="846">
        <v>59458198</v>
      </c>
      <c r="N2879" s="846"/>
      <c r="O2879" s="737">
        <f t="shared" si="359"/>
        <v>59458198</v>
      </c>
      <c r="P2879" s="1155">
        <v>51751806</v>
      </c>
      <c r="Q2879" s="1153"/>
      <c r="R2879" s="738">
        <f t="shared" si="362"/>
        <v>51751806</v>
      </c>
      <c r="S2879" s="737">
        <f t="shared" si="363"/>
        <v>103763557</v>
      </c>
      <c r="T2879" s="739">
        <f t="shared" si="364"/>
        <v>96788942</v>
      </c>
      <c r="U2879" s="846"/>
      <c r="V2879" s="847"/>
      <c r="W2879" s="846"/>
      <c r="X2879" s="846"/>
      <c r="Y2879" s="740">
        <f t="shared" si="360"/>
        <v>0</v>
      </c>
      <c r="Z2879" s="1156"/>
      <c r="AA2879" s="847"/>
      <c r="AB2879" s="741">
        <f t="shared" si="361"/>
        <v>0</v>
      </c>
      <c r="AC2879" s="846"/>
      <c r="AD2879" s="847"/>
      <c r="AE2879" s="846"/>
      <c r="AF2879" s="846"/>
      <c r="AG2879" s="1156"/>
      <c r="AH2879" s="1157"/>
      <c r="AI2879" s="742">
        <f t="shared" si="365"/>
        <v>103763557</v>
      </c>
      <c r="AJ2879" s="743">
        <f t="shared" si="366"/>
        <v>96788942</v>
      </c>
    </row>
    <row r="2880" spans="1:36">
      <c r="A2880" s="1062" t="s">
        <v>147</v>
      </c>
      <c r="B2880" s="901" t="s">
        <v>264</v>
      </c>
      <c r="C2880" s="1069" t="s">
        <v>1125</v>
      </c>
      <c r="D2880" s="1151"/>
      <c r="E2880" s="1152">
        <v>224147</v>
      </c>
      <c r="F2880" s="911">
        <v>3</v>
      </c>
      <c r="G2880" s="846">
        <v>46736906</v>
      </c>
      <c r="H2880" s="1153">
        <v>46708047</v>
      </c>
      <c r="I2880" s="1154"/>
      <c r="J2880" s="1155"/>
      <c r="K2880" s="846"/>
      <c r="L2880" s="847"/>
      <c r="M2880" s="846">
        <v>48308637</v>
      </c>
      <c r="N2880" s="846"/>
      <c r="O2880" s="737">
        <f t="shared" si="359"/>
        <v>48308637</v>
      </c>
      <c r="P2880" s="1155">
        <v>51187347</v>
      </c>
      <c r="Q2880" s="1153"/>
      <c r="R2880" s="738">
        <f t="shared" si="362"/>
        <v>51187347</v>
      </c>
      <c r="S2880" s="737">
        <f t="shared" si="363"/>
        <v>95045543</v>
      </c>
      <c r="T2880" s="739">
        <f t="shared" si="364"/>
        <v>97895394</v>
      </c>
      <c r="U2880" s="846"/>
      <c r="V2880" s="847"/>
      <c r="W2880" s="846"/>
      <c r="X2880" s="846"/>
      <c r="Y2880" s="740">
        <f t="shared" si="360"/>
        <v>0</v>
      </c>
      <c r="Z2880" s="1156"/>
      <c r="AA2880" s="847"/>
      <c r="AB2880" s="741">
        <f t="shared" si="361"/>
        <v>0</v>
      </c>
      <c r="AC2880" s="846"/>
      <c r="AD2880" s="847"/>
      <c r="AE2880" s="846"/>
      <c r="AF2880" s="846"/>
      <c r="AG2880" s="1156"/>
      <c r="AH2880" s="1157"/>
      <c r="AI2880" s="742">
        <f t="shared" si="365"/>
        <v>95045543</v>
      </c>
      <c r="AJ2880" s="743">
        <f t="shared" si="366"/>
        <v>97895394</v>
      </c>
    </row>
    <row r="2881" spans="1:36">
      <c r="A2881" s="1062" t="s">
        <v>147</v>
      </c>
      <c r="B2881" s="901" t="s">
        <v>264</v>
      </c>
      <c r="C2881" s="1069" t="s">
        <v>1126</v>
      </c>
      <c r="D2881" s="1151"/>
      <c r="E2881" s="1152">
        <v>228705</v>
      </c>
      <c r="F2881" s="911">
        <v>3</v>
      </c>
      <c r="G2881" s="846">
        <v>38119107</v>
      </c>
      <c r="H2881" s="1153">
        <v>38594815</v>
      </c>
      <c r="I2881" s="1154"/>
      <c r="J2881" s="1155"/>
      <c r="K2881" s="846"/>
      <c r="L2881" s="847"/>
      <c r="M2881" s="846">
        <v>28897075</v>
      </c>
      <c r="N2881" s="846"/>
      <c r="O2881" s="737">
        <f t="shared" si="359"/>
        <v>28897075</v>
      </c>
      <c r="P2881" s="1155">
        <v>35423712</v>
      </c>
      <c r="Q2881" s="1153"/>
      <c r="R2881" s="738">
        <f t="shared" si="362"/>
        <v>35423712</v>
      </c>
      <c r="S2881" s="737">
        <f t="shared" si="363"/>
        <v>67016182</v>
      </c>
      <c r="T2881" s="739">
        <f t="shared" si="364"/>
        <v>74018527</v>
      </c>
      <c r="U2881" s="846"/>
      <c r="V2881" s="847"/>
      <c r="W2881" s="846"/>
      <c r="X2881" s="846"/>
      <c r="Y2881" s="740">
        <f t="shared" si="360"/>
        <v>0</v>
      </c>
      <c r="Z2881" s="1156"/>
      <c r="AA2881" s="847"/>
      <c r="AB2881" s="741">
        <f t="shared" si="361"/>
        <v>0</v>
      </c>
      <c r="AC2881" s="846"/>
      <c r="AD2881" s="847"/>
      <c r="AE2881" s="846"/>
      <c r="AF2881" s="846"/>
      <c r="AG2881" s="1156"/>
      <c r="AH2881" s="1157"/>
      <c r="AI2881" s="742">
        <f t="shared" si="365"/>
        <v>67016182</v>
      </c>
      <c r="AJ2881" s="743">
        <f t="shared" si="366"/>
        <v>74018527</v>
      </c>
    </row>
    <row r="2882" spans="1:36">
      <c r="A2882" s="1062" t="s">
        <v>147</v>
      </c>
      <c r="B2882" s="901" t="s">
        <v>264</v>
      </c>
      <c r="C2882" s="1069" t="s">
        <v>1127</v>
      </c>
      <c r="D2882" s="1151"/>
      <c r="E2882" s="1152">
        <v>229063</v>
      </c>
      <c r="F2882" s="911">
        <v>3</v>
      </c>
      <c r="G2882" s="846">
        <v>53064103</v>
      </c>
      <c r="H2882" s="1153">
        <v>53643503</v>
      </c>
      <c r="I2882" s="1154"/>
      <c r="J2882" s="1155"/>
      <c r="K2882" s="846"/>
      <c r="L2882" s="847"/>
      <c r="M2882" s="846">
        <v>60443378</v>
      </c>
      <c r="N2882" s="846"/>
      <c r="O2882" s="737">
        <f t="shared" si="359"/>
        <v>60443378</v>
      </c>
      <c r="P2882" s="1155">
        <v>49774869</v>
      </c>
      <c r="Q2882" s="1153"/>
      <c r="R2882" s="738">
        <f t="shared" si="362"/>
        <v>49774869</v>
      </c>
      <c r="S2882" s="737">
        <f t="shared" si="363"/>
        <v>113507481</v>
      </c>
      <c r="T2882" s="739">
        <f t="shared" si="364"/>
        <v>103418372</v>
      </c>
      <c r="U2882" s="846"/>
      <c r="V2882" s="847"/>
      <c r="W2882" s="846"/>
      <c r="X2882" s="846"/>
      <c r="Y2882" s="740">
        <f t="shared" si="360"/>
        <v>0</v>
      </c>
      <c r="Z2882" s="1156"/>
      <c r="AA2882" s="847"/>
      <c r="AB2882" s="741">
        <f t="shared" si="361"/>
        <v>0</v>
      </c>
      <c r="AC2882" s="846"/>
      <c r="AD2882" s="847"/>
      <c r="AE2882" s="846"/>
      <c r="AF2882" s="846"/>
      <c r="AG2882" s="1156"/>
      <c r="AH2882" s="1157"/>
      <c r="AI2882" s="742">
        <f t="shared" si="365"/>
        <v>113507481</v>
      </c>
      <c r="AJ2882" s="743">
        <f t="shared" si="366"/>
        <v>103418372</v>
      </c>
    </row>
    <row r="2883" spans="1:36">
      <c r="A2883" s="1062" t="s">
        <v>147</v>
      </c>
      <c r="B2883" s="901" t="s">
        <v>264</v>
      </c>
      <c r="C2883" s="1069" t="s">
        <v>1128</v>
      </c>
      <c r="D2883" s="894" t="s">
        <v>763</v>
      </c>
      <c r="E2883" s="1152">
        <v>228459</v>
      </c>
      <c r="F2883" s="911">
        <v>3</v>
      </c>
      <c r="G2883" s="846">
        <v>109738634</v>
      </c>
      <c r="H2883" s="1153">
        <v>111819669</v>
      </c>
      <c r="I2883" s="1154">
        <v>1015475</v>
      </c>
      <c r="J2883" s="1155">
        <v>225848</v>
      </c>
      <c r="K2883" s="846"/>
      <c r="L2883" s="847"/>
      <c r="M2883" s="846">
        <v>169094909</v>
      </c>
      <c r="N2883" s="846"/>
      <c r="O2883" s="737">
        <f t="shared" si="359"/>
        <v>169094909</v>
      </c>
      <c r="P2883" s="1155">
        <v>187726876</v>
      </c>
      <c r="Q2883" s="1153"/>
      <c r="R2883" s="738">
        <f t="shared" si="362"/>
        <v>187726876</v>
      </c>
      <c r="S2883" s="737">
        <f t="shared" si="363"/>
        <v>279849018</v>
      </c>
      <c r="T2883" s="739">
        <f t="shared" si="364"/>
        <v>299772393</v>
      </c>
      <c r="U2883" s="846"/>
      <c r="V2883" s="847"/>
      <c r="W2883" s="846"/>
      <c r="X2883" s="846"/>
      <c r="Y2883" s="740">
        <f t="shared" si="360"/>
        <v>0</v>
      </c>
      <c r="Z2883" s="1156"/>
      <c r="AA2883" s="847"/>
      <c r="AB2883" s="741">
        <f t="shared" si="361"/>
        <v>0</v>
      </c>
      <c r="AC2883" s="846"/>
      <c r="AD2883" s="847"/>
      <c r="AE2883" s="846"/>
      <c r="AF2883" s="846"/>
      <c r="AG2883" s="1156"/>
      <c r="AH2883" s="1157"/>
      <c r="AI2883" s="742">
        <f t="shared" si="365"/>
        <v>279849018</v>
      </c>
      <c r="AJ2883" s="743">
        <f t="shared" si="366"/>
        <v>299772393</v>
      </c>
    </row>
    <row r="2884" spans="1:36">
      <c r="A2884" s="1062" t="s">
        <v>147</v>
      </c>
      <c r="B2884" s="901" t="s">
        <v>264</v>
      </c>
      <c r="C2884" s="1069" t="s">
        <v>1129</v>
      </c>
      <c r="D2884" s="1151"/>
      <c r="E2884" s="1152">
        <v>225414</v>
      </c>
      <c r="F2884" s="911">
        <v>3</v>
      </c>
      <c r="G2884" s="846">
        <v>32343569</v>
      </c>
      <c r="H2884" s="1153">
        <v>32708198</v>
      </c>
      <c r="I2884" s="1154"/>
      <c r="J2884" s="1155"/>
      <c r="K2884" s="846"/>
      <c r="L2884" s="847"/>
      <c r="M2884" s="846">
        <v>40241610</v>
      </c>
      <c r="N2884" s="846"/>
      <c r="O2884" s="737">
        <f t="shared" si="359"/>
        <v>40241610</v>
      </c>
      <c r="P2884" s="1155">
        <v>49027228</v>
      </c>
      <c r="Q2884" s="1153"/>
      <c r="R2884" s="738">
        <f t="shared" si="362"/>
        <v>49027228</v>
      </c>
      <c r="S2884" s="737">
        <f t="shared" si="363"/>
        <v>72585179</v>
      </c>
      <c r="T2884" s="739">
        <f t="shared" si="364"/>
        <v>81735426</v>
      </c>
      <c r="U2884" s="846"/>
      <c r="V2884" s="847"/>
      <c r="W2884" s="846"/>
      <c r="X2884" s="846"/>
      <c r="Y2884" s="740">
        <f t="shared" si="360"/>
        <v>0</v>
      </c>
      <c r="Z2884" s="1156"/>
      <c r="AA2884" s="847"/>
      <c r="AB2884" s="741">
        <f t="shared" si="361"/>
        <v>0</v>
      </c>
      <c r="AC2884" s="846"/>
      <c r="AD2884" s="847"/>
      <c r="AE2884" s="846"/>
      <c r="AF2884" s="846"/>
      <c r="AG2884" s="1156"/>
      <c r="AH2884" s="1157"/>
      <c r="AI2884" s="742">
        <f t="shared" si="365"/>
        <v>72585179</v>
      </c>
      <c r="AJ2884" s="743">
        <f t="shared" si="366"/>
        <v>81735426</v>
      </c>
    </row>
    <row r="2885" spans="1:36">
      <c r="A2885" s="1062" t="s">
        <v>147</v>
      </c>
      <c r="B2885" s="901" t="s">
        <v>264</v>
      </c>
      <c r="C2885" s="896" t="s">
        <v>1130</v>
      </c>
      <c r="D2885" s="894"/>
      <c r="E2885" s="1152">
        <v>227377</v>
      </c>
      <c r="F2885" s="898">
        <v>3</v>
      </c>
      <c r="G2885" s="846">
        <v>24929612</v>
      </c>
      <c r="H2885" s="1153">
        <v>25488314</v>
      </c>
      <c r="I2885" s="1154"/>
      <c r="J2885" s="1155"/>
      <c r="K2885" s="846"/>
      <c r="L2885" s="847"/>
      <c r="M2885" s="846">
        <v>27619038</v>
      </c>
      <c r="N2885" s="846"/>
      <c r="O2885" s="737">
        <f t="shared" si="359"/>
        <v>27619038</v>
      </c>
      <c r="P2885" s="1155">
        <v>26467657</v>
      </c>
      <c r="Q2885" s="1153"/>
      <c r="R2885" s="738">
        <f t="shared" si="362"/>
        <v>26467657</v>
      </c>
      <c r="S2885" s="737">
        <f t="shared" si="363"/>
        <v>52548650</v>
      </c>
      <c r="T2885" s="739">
        <f t="shared" si="364"/>
        <v>51955971</v>
      </c>
      <c r="U2885" s="846"/>
      <c r="V2885" s="847"/>
      <c r="W2885" s="846"/>
      <c r="X2885" s="846"/>
      <c r="Y2885" s="740">
        <f t="shared" si="360"/>
        <v>0</v>
      </c>
      <c r="Z2885" s="1156"/>
      <c r="AA2885" s="847"/>
      <c r="AB2885" s="741">
        <f t="shared" si="361"/>
        <v>0</v>
      </c>
      <c r="AC2885" s="846"/>
      <c r="AD2885" s="847"/>
      <c r="AE2885" s="846"/>
      <c r="AF2885" s="846"/>
      <c r="AG2885" s="1156"/>
      <c r="AH2885" s="1157"/>
      <c r="AI2885" s="742">
        <f t="shared" si="365"/>
        <v>52548650</v>
      </c>
      <c r="AJ2885" s="743">
        <f t="shared" si="366"/>
        <v>51955971</v>
      </c>
    </row>
    <row r="2886" spans="1:36">
      <c r="A2886" s="1062" t="s">
        <v>147</v>
      </c>
      <c r="B2886" s="901" t="s">
        <v>264</v>
      </c>
      <c r="C2886" s="1069" t="s">
        <v>1133</v>
      </c>
      <c r="D2886" s="1151"/>
      <c r="E2886" s="1152">
        <v>227368</v>
      </c>
      <c r="F2886" s="911">
        <v>3</v>
      </c>
      <c r="G2886" s="846">
        <v>68689383</v>
      </c>
      <c r="H2886" s="1153">
        <v>69749122</v>
      </c>
      <c r="I2886" s="1154"/>
      <c r="J2886" s="1155"/>
      <c r="K2886" s="846"/>
      <c r="L2886" s="847"/>
      <c r="M2886" s="846">
        <v>37114601</v>
      </c>
      <c r="N2886" s="846"/>
      <c r="O2886" s="737">
        <f t="shared" si="359"/>
        <v>37114601</v>
      </c>
      <c r="P2886" s="1155">
        <v>61971865</v>
      </c>
      <c r="Q2886" s="1153"/>
      <c r="R2886" s="738">
        <f t="shared" si="362"/>
        <v>61971865</v>
      </c>
      <c r="S2886" s="737">
        <f t="shared" si="363"/>
        <v>105803984</v>
      </c>
      <c r="T2886" s="739">
        <f t="shared" si="364"/>
        <v>131720987</v>
      </c>
      <c r="U2886" s="846"/>
      <c r="V2886" s="847"/>
      <c r="W2886" s="846"/>
      <c r="X2886" s="846"/>
      <c r="Y2886" s="740">
        <f t="shared" si="360"/>
        <v>0</v>
      </c>
      <c r="Z2886" s="1156"/>
      <c r="AA2886" s="847"/>
      <c r="AB2886" s="741">
        <f t="shared" si="361"/>
        <v>0</v>
      </c>
      <c r="AC2886" s="846"/>
      <c r="AD2886" s="847"/>
      <c r="AE2886" s="846"/>
      <c r="AF2886" s="846"/>
      <c r="AG2886" s="1156"/>
      <c r="AH2886" s="1157"/>
      <c r="AI2886" s="742">
        <f t="shared" si="365"/>
        <v>105803984</v>
      </c>
      <c r="AJ2886" s="743">
        <f t="shared" si="366"/>
        <v>131720987</v>
      </c>
    </row>
    <row r="2887" spans="1:36">
      <c r="A2887" s="1062" t="s">
        <v>147</v>
      </c>
      <c r="B2887" s="901" t="s">
        <v>264</v>
      </c>
      <c r="C2887" s="1069" t="s">
        <v>1131</v>
      </c>
      <c r="D2887" s="1151"/>
      <c r="E2887" s="1152">
        <v>228802</v>
      </c>
      <c r="F2887" s="911">
        <v>3</v>
      </c>
      <c r="G2887" s="846">
        <v>31534322</v>
      </c>
      <c r="H2887" s="1153">
        <v>32005010</v>
      </c>
      <c r="I2887" s="1154"/>
      <c r="J2887" s="1155"/>
      <c r="K2887" s="846"/>
      <c r="L2887" s="847"/>
      <c r="M2887" s="846">
        <v>27363871</v>
      </c>
      <c r="N2887" s="846"/>
      <c r="O2887" s="737">
        <f t="shared" si="359"/>
        <v>27363871</v>
      </c>
      <c r="P2887" s="1155">
        <v>32899701</v>
      </c>
      <c r="Q2887" s="1153"/>
      <c r="R2887" s="738">
        <f t="shared" si="362"/>
        <v>32899701</v>
      </c>
      <c r="S2887" s="737">
        <f t="shared" si="363"/>
        <v>58898193</v>
      </c>
      <c r="T2887" s="739">
        <f t="shared" si="364"/>
        <v>64904711</v>
      </c>
      <c r="U2887" s="846"/>
      <c r="V2887" s="847"/>
      <c r="W2887" s="846"/>
      <c r="X2887" s="846"/>
      <c r="Y2887" s="740">
        <f t="shared" si="360"/>
        <v>0</v>
      </c>
      <c r="Z2887" s="1156"/>
      <c r="AA2887" s="847"/>
      <c r="AB2887" s="741">
        <f t="shared" si="361"/>
        <v>0</v>
      </c>
      <c r="AC2887" s="846"/>
      <c r="AD2887" s="847"/>
      <c r="AE2887" s="846"/>
      <c r="AF2887" s="846"/>
      <c r="AG2887" s="1156"/>
      <c r="AH2887" s="1157"/>
      <c r="AI2887" s="742">
        <f t="shared" si="365"/>
        <v>58898193</v>
      </c>
      <c r="AJ2887" s="743">
        <f t="shared" si="366"/>
        <v>64904711</v>
      </c>
    </row>
    <row r="2888" spans="1:36">
      <c r="A2888" s="1062" t="s">
        <v>147</v>
      </c>
      <c r="B2888" s="901" t="s">
        <v>264</v>
      </c>
      <c r="C2888" s="896" t="s">
        <v>1132</v>
      </c>
      <c r="D2888" s="1163"/>
      <c r="E2888" s="1152">
        <v>229018</v>
      </c>
      <c r="F2888" s="898">
        <v>3</v>
      </c>
      <c r="G2888" s="846">
        <v>21355849</v>
      </c>
      <c r="H2888" s="1153">
        <v>21605981</v>
      </c>
      <c r="I2888" s="1154"/>
      <c r="J2888" s="1155"/>
      <c r="K2888" s="846"/>
      <c r="L2888" s="847"/>
      <c r="M2888" s="846">
        <v>13643671</v>
      </c>
      <c r="N2888" s="846"/>
      <c r="O2888" s="737">
        <f t="shared" si="359"/>
        <v>13643671</v>
      </c>
      <c r="P2888" s="1155">
        <v>21563949</v>
      </c>
      <c r="Q2888" s="1153"/>
      <c r="R2888" s="738">
        <f t="shared" si="362"/>
        <v>21563949</v>
      </c>
      <c r="S2888" s="737">
        <f t="shared" si="363"/>
        <v>34999520</v>
      </c>
      <c r="T2888" s="739">
        <f t="shared" si="364"/>
        <v>43169930</v>
      </c>
      <c r="U2888" s="846"/>
      <c r="V2888" s="847"/>
      <c r="W2888" s="846"/>
      <c r="X2888" s="846"/>
      <c r="Y2888" s="740">
        <f t="shared" si="360"/>
        <v>0</v>
      </c>
      <c r="Z2888" s="1156"/>
      <c r="AA2888" s="847"/>
      <c r="AB2888" s="741">
        <f t="shared" si="361"/>
        <v>0</v>
      </c>
      <c r="AC2888" s="846"/>
      <c r="AD2888" s="847"/>
      <c r="AE2888" s="846"/>
      <c r="AF2888" s="846"/>
      <c r="AG2888" s="1156"/>
      <c r="AH2888" s="1157"/>
      <c r="AI2888" s="742">
        <f t="shared" si="365"/>
        <v>34999520</v>
      </c>
      <c r="AJ2888" s="743">
        <f t="shared" si="366"/>
        <v>43169930</v>
      </c>
    </row>
    <row r="2889" spans="1:36">
      <c r="A2889" s="1062" t="s">
        <v>147</v>
      </c>
      <c r="B2889" s="901" t="s">
        <v>264</v>
      </c>
      <c r="C2889" s="1069" t="s">
        <v>1134</v>
      </c>
      <c r="D2889" s="1151"/>
      <c r="E2889" s="1152">
        <v>229814</v>
      </c>
      <c r="F2889" s="911">
        <v>3</v>
      </c>
      <c r="G2889" s="846">
        <v>31104533</v>
      </c>
      <c r="H2889" s="1153">
        <v>31437462</v>
      </c>
      <c r="I2889" s="1154"/>
      <c r="J2889" s="1155"/>
      <c r="K2889" s="846"/>
      <c r="L2889" s="847"/>
      <c r="M2889" s="846">
        <v>32655974</v>
      </c>
      <c r="N2889" s="846"/>
      <c r="O2889" s="737">
        <f t="shared" si="359"/>
        <v>32655974</v>
      </c>
      <c r="P2889" s="1155">
        <v>36080197</v>
      </c>
      <c r="Q2889" s="1153"/>
      <c r="R2889" s="738">
        <f t="shared" si="362"/>
        <v>36080197</v>
      </c>
      <c r="S2889" s="737">
        <f t="shared" si="363"/>
        <v>63760507</v>
      </c>
      <c r="T2889" s="739">
        <f t="shared" si="364"/>
        <v>67517659</v>
      </c>
      <c r="U2889" s="846"/>
      <c r="V2889" s="847"/>
      <c r="W2889" s="846"/>
      <c r="X2889" s="846"/>
      <c r="Y2889" s="740">
        <f t="shared" si="360"/>
        <v>0</v>
      </c>
      <c r="Z2889" s="1156"/>
      <c r="AA2889" s="847"/>
      <c r="AB2889" s="741">
        <f t="shared" si="361"/>
        <v>0</v>
      </c>
      <c r="AC2889" s="846"/>
      <c r="AD2889" s="847"/>
      <c r="AE2889" s="846"/>
      <c r="AF2889" s="846"/>
      <c r="AG2889" s="1156"/>
      <c r="AH2889" s="1157"/>
      <c r="AI2889" s="742">
        <f t="shared" si="365"/>
        <v>63760507</v>
      </c>
      <c r="AJ2889" s="743">
        <f t="shared" si="366"/>
        <v>67517659</v>
      </c>
    </row>
    <row r="2890" spans="1:36">
      <c r="A2890" s="1062" t="s">
        <v>147</v>
      </c>
      <c r="B2890" s="901" t="s">
        <v>264</v>
      </c>
      <c r="C2890" s="896" t="s">
        <v>1135</v>
      </c>
      <c r="D2890" s="894" t="s">
        <v>709</v>
      </c>
      <c r="E2890" s="1164">
        <v>483036</v>
      </c>
      <c r="F2890" s="1174">
        <v>4</v>
      </c>
      <c r="G2890" s="846">
        <v>14002722</v>
      </c>
      <c r="H2890" s="1153">
        <v>14080436</v>
      </c>
      <c r="I2890" s="1154"/>
      <c r="J2890" s="1155"/>
      <c r="K2890" s="846"/>
      <c r="L2890" s="847"/>
      <c r="M2890" s="846">
        <v>10114054</v>
      </c>
      <c r="N2890" s="846"/>
      <c r="O2890" s="737">
        <f t="shared" ref="O2890:O2953" si="367">SUM(M2890:N2890)</f>
        <v>10114054</v>
      </c>
      <c r="P2890" s="1155">
        <v>11694832</v>
      </c>
      <c r="Q2890" s="1153"/>
      <c r="R2890" s="738">
        <f t="shared" si="362"/>
        <v>11694832</v>
      </c>
      <c r="S2890" s="737">
        <f t="shared" si="363"/>
        <v>24116776</v>
      </c>
      <c r="T2890" s="739">
        <f t="shared" si="364"/>
        <v>25775268</v>
      </c>
      <c r="U2890" s="846"/>
      <c r="V2890" s="847"/>
      <c r="W2890" s="846"/>
      <c r="X2890" s="846"/>
      <c r="Y2890" s="740">
        <f t="shared" ref="Y2890:Y2953" si="368">SUM(W2890:X2890)</f>
        <v>0</v>
      </c>
      <c r="Z2890" s="1156"/>
      <c r="AA2890" s="847"/>
      <c r="AB2890" s="741">
        <f t="shared" ref="AB2890:AB2953" si="369">SUM(Z2890:AA2890)</f>
        <v>0</v>
      </c>
      <c r="AC2890" s="846"/>
      <c r="AD2890" s="847"/>
      <c r="AE2890" s="846"/>
      <c r="AF2890" s="846"/>
      <c r="AG2890" s="1156"/>
      <c r="AH2890" s="1157"/>
      <c r="AI2890" s="742">
        <f t="shared" si="365"/>
        <v>24116776</v>
      </c>
      <c r="AJ2890" s="743">
        <f t="shared" si="366"/>
        <v>25775268</v>
      </c>
    </row>
    <row r="2891" spans="1:36">
      <c r="A2891" s="1062" t="s">
        <v>147</v>
      </c>
      <c r="B2891" s="901" t="s">
        <v>264</v>
      </c>
      <c r="C2891" s="1069" t="s">
        <v>1136</v>
      </c>
      <c r="D2891" s="894" t="s">
        <v>709</v>
      </c>
      <c r="E2891" s="1362">
        <v>224545</v>
      </c>
      <c r="F2891" s="898">
        <v>4</v>
      </c>
      <c r="G2891" s="846">
        <v>12960473</v>
      </c>
      <c r="H2891" s="1153">
        <v>13092983</v>
      </c>
      <c r="I2891" s="1154"/>
      <c r="J2891" s="1155"/>
      <c r="K2891" s="846"/>
      <c r="L2891" s="847"/>
      <c r="M2891" s="846">
        <v>6381690</v>
      </c>
      <c r="N2891" s="846"/>
      <c r="O2891" s="737">
        <f t="shared" si="367"/>
        <v>6381690</v>
      </c>
      <c r="P2891" s="1155">
        <v>5659395</v>
      </c>
      <c r="Q2891" s="1153"/>
      <c r="R2891" s="738">
        <f t="shared" ref="R2891:R2954" si="370">SUM(P2891:Q2891)</f>
        <v>5659395</v>
      </c>
      <c r="S2891" s="737">
        <f t="shared" ref="S2891:S2954" si="371">SUM(G2891,I2891,K2891,M2891)</f>
        <v>19342163</v>
      </c>
      <c r="T2891" s="739">
        <f t="shared" ref="T2891:T2954" si="372">SUM(H2891,J2891,L2891,P2891)</f>
        <v>18752378</v>
      </c>
      <c r="U2891" s="846"/>
      <c r="V2891" s="847"/>
      <c r="W2891" s="846"/>
      <c r="X2891" s="846"/>
      <c r="Y2891" s="740">
        <f t="shared" si="368"/>
        <v>0</v>
      </c>
      <c r="Z2891" s="1156"/>
      <c r="AA2891" s="847"/>
      <c r="AB2891" s="741">
        <f t="shared" si="369"/>
        <v>0</v>
      </c>
      <c r="AC2891" s="846"/>
      <c r="AD2891" s="847"/>
      <c r="AE2891" s="846"/>
      <c r="AF2891" s="846"/>
      <c r="AG2891" s="1156"/>
      <c r="AH2891" s="1157"/>
      <c r="AI2891" s="742">
        <f t="shared" ref="AI2891:AI2954" si="373">SUM(S2891,U2891,W2891,AC2891,AE2891)</f>
        <v>19342163</v>
      </c>
      <c r="AJ2891" s="743">
        <f t="shared" ref="AJ2891:AJ2954" si="374">SUM(T2891,V2891,Z2891,AD2891,AG2891)</f>
        <v>18752378</v>
      </c>
    </row>
    <row r="2892" spans="1:36">
      <c r="A2892" s="1062" t="s">
        <v>147</v>
      </c>
      <c r="B2892" s="901" t="s">
        <v>264</v>
      </c>
      <c r="C2892" s="896" t="s">
        <v>1137</v>
      </c>
      <c r="D2892" s="894" t="s">
        <v>709</v>
      </c>
      <c r="E2892" s="1362">
        <v>225502</v>
      </c>
      <c r="F2892" s="898">
        <v>4</v>
      </c>
      <c r="G2892" s="846">
        <v>19046676</v>
      </c>
      <c r="H2892" s="1153">
        <v>19278438</v>
      </c>
      <c r="I2892" s="1154"/>
      <c r="J2892" s="1155"/>
      <c r="K2892" s="846"/>
      <c r="L2892" s="847"/>
      <c r="M2892" s="846">
        <v>14902527</v>
      </c>
      <c r="N2892" s="846"/>
      <c r="O2892" s="737">
        <f t="shared" si="367"/>
        <v>14902527</v>
      </c>
      <c r="P2892" s="1155">
        <v>16664907</v>
      </c>
      <c r="Q2892" s="1153"/>
      <c r="R2892" s="738">
        <f t="shared" si="370"/>
        <v>16664907</v>
      </c>
      <c r="S2892" s="737">
        <f t="shared" si="371"/>
        <v>33949203</v>
      </c>
      <c r="T2892" s="739">
        <f t="shared" si="372"/>
        <v>35943345</v>
      </c>
      <c r="U2892" s="846"/>
      <c r="V2892" s="847"/>
      <c r="W2892" s="846"/>
      <c r="X2892" s="846"/>
      <c r="Y2892" s="740">
        <f t="shared" si="368"/>
        <v>0</v>
      </c>
      <c r="Z2892" s="1156"/>
      <c r="AA2892" s="847"/>
      <c r="AB2892" s="741">
        <f t="shared" si="369"/>
        <v>0</v>
      </c>
      <c r="AC2892" s="846"/>
      <c r="AD2892" s="847"/>
      <c r="AE2892" s="846"/>
      <c r="AF2892" s="846"/>
      <c r="AG2892" s="1156"/>
      <c r="AH2892" s="1157"/>
      <c r="AI2892" s="742">
        <f t="shared" si="373"/>
        <v>33949203</v>
      </c>
      <c r="AJ2892" s="743">
        <f t="shared" si="374"/>
        <v>35943345</v>
      </c>
    </row>
    <row r="2893" spans="1:36">
      <c r="A2893" s="1062" t="s">
        <v>147</v>
      </c>
      <c r="B2893" s="901" t="s">
        <v>264</v>
      </c>
      <c r="C2893" s="1069" t="s">
        <v>1138</v>
      </c>
      <c r="D2893" s="1151"/>
      <c r="E2893" s="1152">
        <v>227924</v>
      </c>
      <c r="F2893" s="911">
        <v>5</v>
      </c>
      <c r="G2893" s="846">
        <v>5737509</v>
      </c>
      <c r="H2893" s="1153">
        <v>5777053</v>
      </c>
      <c r="I2893" s="1154"/>
      <c r="J2893" s="1155"/>
      <c r="K2893" s="846"/>
      <c r="L2893" s="847"/>
      <c r="M2893" s="846"/>
      <c r="N2893" s="846"/>
      <c r="O2893" s="737">
        <f t="shared" si="367"/>
        <v>0</v>
      </c>
      <c r="P2893" s="1155"/>
      <c r="Q2893" s="1153"/>
      <c r="R2893" s="738">
        <f t="shared" si="370"/>
        <v>0</v>
      </c>
      <c r="S2893" s="737">
        <f t="shared" si="371"/>
        <v>5737509</v>
      </c>
      <c r="T2893" s="739">
        <f t="shared" si="372"/>
        <v>5777053</v>
      </c>
      <c r="U2893" s="846"/>
      <c r="V2893" s="847"/>
      <c r="W2893" s="846"/>
      <c r="X2893" s="846"/>
      <c r="Y2893" s="740">
        <f t="shared" si="368"/>
        <v>0</v>
      </c>
      <c r="Z2893" s="1156"/>
      <c r="AA2893" s="847"/>
      <c r="AB2893" s="741">
        <f t="shared" si="369"/>
        <v>0</v>
      </c>
      <c r="AC2893" s="846"/>
      <c r="AD2893" s="847"/>
      <c r="AE2893" s="846"/>
      <c r="AF2893" s="846"/>
      <c r="AG2893" s="1156"/>
      <c r="AH2893" s="1157"/>
      <c r="AI2893" s="742">
        <f t="shared" si="373"/>
        <v>5737509</v>
      </c>
      <c r="AJ2893" s="743">
        <f t="shared" si="374"/>
        <v>5777053</v>
      </c>
    </row>
    <row r="2894" spans="1:36">
      <c r="A2894" s="1062" t="s">
        <v>147</v>
      </c>
      <c r="B2894" s="901" t="s">
        <v>264</v>
      </c>
      <c r="C2894" s="896" t="s">
        <v>1139</v>
      </c>
      <c r="D2894" s="1163"/>
      <c r="E2894" s="1165">
        <v>870501</v>
      </c>
      <c r="F2894" s="1174">
        <v>5</v>
      </c>
      <c r="G2894" s="846">
        <v>17909543</v>
      </c>
      <c r="H2894" s="1153">
        <v>18079453</v>
      </c>
      <c r="I2894" s="1154"/>
      <c r="J2894" s="1155"/>
      <c r="K2894" s="846"/>
      <c r="L2894" s="847"/>
      <c r="M2894" s="846">
        <v>18054212</v>
      </c>
      <c r="N2894" s="846"/>
      <c r="O2894" s="737">
        <f t="shared" si="367"/>
        <v>18054212</v>
      </c>
      <c r="P2894" s="1155">
        <v>19136282</v>
      </c>
      <c r="Q2894" s="1153"/>
      <c r="R2894" s="738">
        <f t="shared" si="370"/>
        <v>19136282</v>
      </c>
      <c r="S2894" s="737">
        <f t="shared" si="371"/>
        <v>35963755</v>
      </c>
      <c r="T2894" s="739">
        <f t="shared" si="372"/>
        <v>37215735</v>
      </c>
      <c r="U2894" s="846"/>
      <c r="V2894" s="847"/>
      <c r="W2894" s="846"/>
      <c r="X2894" s="846"/>
      <c r="Y2894" s="740">
        <f t="shared" si="368"/>
        <v>0</v>
      </c>
      <c r="Z2894" s="1156"/>
      <c r="AA2894" s="847"/>
      <c r="AB2894" s="741">
        <f t="shared" si="369"/>
        <v>0</v>
      </c>
      <c r="AC2894" s="846"/>
      <c r="AD2894" s="847"/>
      <c r="AE2894" s="846"/>
      <c r="AF2894" s="846"/>
      <c r="AG2894" s="1156"/>
      <c r="AH2894" s="1157"/>
      <c r="AI2894" s="742">
        <f t="shared" si="373"/>
        <v>35963755</v>
      </c>
      <c r="AJ2894" s="743">
        <f t="shared" si="374"/>
        <v>37215735</v>
      </c>
    </row>
    <row r="2895" spans="1:36">
      <c r="A2895" s="1062" t="s">
        <v>147</v>
      </c>
      <c r="B2895" s="901" t="s">
        <v>264</v>
      </c>
      <c r="C2895" s="1069" t="s">
        <v>1140</v>
      </c>
      <c r="D2895" s="1151"/>
      <c r="E2895" s="1152">
        <v>225432</v>
      </c>
      <c r="F2895" s="911">
        <v>5</v>
      </c>
      <c r="G2895" s="846">
        <v>28556567</v>
      </c>
      <c r="H2895" s="1153">
        <v>28916744</v>
      </c>
      <c r="I2895" s="1154"/>
      <c r="J2895" s="1155"/>
      <c r="K2895" s="846"/>
      <c r="L2895" s="847"/>
      <c r="M2895" s="846">
        <v>56733631</v>
      </c>
      <c r="N2895" s="846"/>
      <c r="O2895" s="737">
        <f t="shared" si="367"/>
        <v>56733631</v>
      </c>
      <c r="P2895" s="1155">
        <v>55933873</v>
      </c>
      <c r="Q2895" s="1153"/>
      <c r="R2895" s="738">
        <f t="shared" si="370"/>
        <v>55933873</v>
      </c>
      <c r="S2895" s="737">
        <f t="shared" si="371"/>
        <v>85290198</v>
      </c>
      <c r="T2895" s="739">
        <f t="shared" si="372"/>
        <v>84850617</v>
      </c>
      <c r="U2895" s="846"/>
      <c r="V2895" s="847"/>
      <c r="W2895" s="846"/>
      <c r="X2895" s="846"/>
      <c r="Y2895" s="740">
        <f t="shared" si="368"/>
        <v>0</v>
      </c>
      <c r="Z2895" s="1156"/>
      <c r="AA2895" s="847"/>
      <c r="AB2895" s="741">
        <f t="shared" si="369"/>
        <v>0</v>
      </c>
      <c r="AC2895" s="846"/>
      <c r="AD2895" s="847"/>
      <c r="AE2895" s="846"/>
      <c r="AF2895" s="846"/>
      <c r="AG2895" s="1156"/>
      <c r="AH2895" s="1157"/>
      <c r="AI2895" s="742">
        <f t="shared" si="373"/>
        <v>85290198</v>
      </c>
      <c r="AJ2895" s="743">
        <f t="shared" si="374"/>
        <v>84850617</v>
      </c>
    </row>
    <row r="2896" spans="1:36">
      <c r="A2896" s="1062" t="s">
        <v>147</v>
      </c>
      <c r="B2896" s="901" t="s">
        <v>264</v>
      </c>
      <c r="C2896" s="1069" t="s">
        <v>1141</v>
      </c>
      <c r="D2896" s="894" t="s">
        <v>898</v>
      </c>
      <c r="E2896" s="1152">
        <v>228714</v>
      </c>
      <c r="F2896" s="911">
        <v>6</v>
      </c>
      <c r="G2896" s="846">
        <v>15702931</v>
      </c>
      <c r="H2896" s="1153">
        <v>16144858</v>
      </c>
      <c r="I2896" s="1154"/>
      <c r="J2896" s="1155"/>
      <c r="K2896" s="846"/>
      <c r="L2896" s="847"/>
      <c r="M2896" s="846">
        <v>16003426</v>
      </c>
      <c r="N2896" s="846"/>
      <c r="O2896" s="737">
        <f t="shared" si="367"/>
        <v>16003426</v>
      </c>
      <c r="P2896" s="1155">
        <v>17891709</v>
      </c>
      <c r="Q2896" s="1153"/>
      <c r="R2896" s="738">
        <f t="shared" si="370"/>
        <v>17891709</v>
      </c>
      <c r="S2896" s="737">
        <f t="shared" si="371"/>
        <v>31706357</v>
      </c>
      <c r="T2896" s="739">
        <f t="shared" si="372"/>
        <v>34036567</v>
      </c>
      <c r="U2896" s="846"/>
      <c r="V2896" s="847"/>
      <c r="W2896" s="846"/>
      <c r="X2896" s="846"/>
      <c r="Y2896" s="740">
        <f t="shared" si="368"/>
        <v>0</v>
      </c>
      <c r="Z2896" s="1156"/>
      <c r="AA2896" s="847"/>
      <c r="AB2896" s="741">
        <f t="shared" si="369"/>
        <v>0</v>
      </c>
      <c r="AC2896" s="846"/>
      <c r="AD2896" s="847"/>
      <c r="AE2896" s="846"/>
      <c r="AF2896" s="846"/>
      <c r="AG2896" s="1156"/>
      <c r="AH2896" s="1157"/>
      <c r="AI2896" s="742">
        <f t="shared" si="373"/>
        <v>31706357</v>
      </c>
      <c r="AJ2896" s="743">
        <f t="shared" si="374"/>
        <v>34036567</v>
      </c>
    </row>
    <row r="2897" spans="1:36">
      <c r="A2897" s="1062" t="s">
        <v>147</v>
      </c>
      <c r="B2897" s="901" t="s">
        <v>264</v>
      </c>
      <c r="C2897" s="1166" t="s">
        <v>1142</v>
      </c>
      <c r="D2897" s="1167"/>
      <c r="E2897" s="897">
        <v>223506</v>
      </c>
      <c r="F2897" s="898">
        <v>7</v>
      </c>
      <c r="G2897" s="890">
        <v>7572184</v>
      </c>
      <c r="H2897" s="1153">
        <v>7655464</v>
      </c>
      <c r="I2897" s="1154"/>
      <c r="J2897" s="1155"/>
      <c r="K2897" s="846">
        <v>16908797</v>
      </c>
      <c r="L2897" s="847">
        <v>13443042</v>
      </c>
      <c r="M2897" s="846">
        <v>8763635</v>
      </c>
      <c r="N2897" s="846"/>
      <c r="O2897" s="737">
        <f t="shared" si="367"/>
        <v>8763635</v>
      </c>
      <c r="P2897" s="1155">
        <v>9678512</v>
      </c>
      <c r="Q2897" s="1153"/>
      <c r="R2897" s="738">
        <f t="shared" si="370"/>
        <v>9678512</v>
      </c>
      <c r="S2897" s="737">
        <f t="shared" si="371"/>
        <v>33244616</v>
      </c>
      <c r="T2897" s="739">
        <f t="shared" si="372"/>
        <v>30777018</v>
      </c>
      <c r="U2897" s="846"/>
      <c r="V2897" s="847"/>
      <c r="W2897" s="846"/>
      <c r="X2897" s="846"/>
      <c r="Y2897" s="740">
        <f t="shared" si="368"/>
        <v>0</v>
      </c>
      <c r="Z2897" s="1156"/>
      <c r="AA2897" s="847"/>
      <c r="AB2897" s="741">
        <f t="shared" si="369"/>
        <v>0</v>
      </c>
      <c r="AC2897" s="846"/>
      <c r="AD2897" s="847"/>
      <c r="AE2897" s="846"/>
      <c r="AF2897" s="846"/>
      <c r="AG2897" s="1156"/>
      <c r="AH2897" s="1157"/>
      <c r="AI2897" s="742">
        <f t="shared" si="373"/>
        <v>33244616</v>
      </c>
      <c r="AJ2897" s="743">
        <f t="shared" si="374"/>
        <v>30777018</v>
      </c>
    </row>
    <row r="2898" spans="1:36">
      <c r="A2898" s="1062" t="s">
        <v>147</v>
      </c>
      <c r="B2898" s="901" t="s">
        <v>264</v>
      </c>
      <c r="C2898" s="1166" t="s">
        <v>1143</v>
      </c>
      <c r="D2898" s="1167"/>
      <c r="E2898" s="897">
        <v>226806</v>
      </c>
      <c r="F2898" s="898">
        <v>7</v>
      </c>
      <c r="G2898" s="890">
        <v>11385943</v>
      </c>
      <c r="H2898" s="1153">
        <v>11503958</v>
      </c>
      <c r="I2898" s="1154"/>
      <c r="J2898" s="1155"/>
      <c r="K2898" s="846">
        <v>20113716</v>
      </c>
      <c r="L2898" s="847">
        <v>20910228</v>
      </c>
      <c r="M2898" s="846">
        <v>10272180</v>
      </c>
      <c r="N2898" s="846"/>
      <c r="O2898" s="737">
        <f t="shared" si="367"/>
        <v>10272180</v>
      </c>
      <c r="P2898" s="1155">
        <v>9778001</v>
      </c>
      <c r="Q2898" s="1153"/>
      <c r="R2898" s="738">
        <f t="shared" si="370"/>
        <v>9778001</v>
      </c>
      <c r="S2898" s="737">
        <f t="shared" si="371"/>
        <v>41771839</v>
      </c>
      <c r="T2898" s="739">
        <f t="shared" si="372"/>
        <v>42192187</v>
      </c>
      <c r="U2898" s="846"/>
      <c r="V2898" s="847"/>
      <c r="W2898" s="846"/>
      <c r="X2898" s="846"/>
      <c r="Y2898" s="740">
        <f t="shared" si="368"/>
        <v>0</v>
      </c>
      <c r="Z2898" s="1156"/>
      <c r="AA2898" s="847"/>
      <c r="AB2898" s="741">
        <f t="shared" si="369"/>
        <v>0</v>
      </c>
      <c r="AC2898" s="846"/>
      <c r="AD2898" s="847"/>
      <c r="AE2898" s="846"/>
      <c r="AF2898" s="846"/>
      <c r="AG2898" s="1156"/>
      <c r="AH2898" s="1157"/>
      <c r="AI2898" s="742">
        <f t="shared" si="373"/>
        <v>41771839</v>
      </c>
      <c r="AJ2898" s="743">
        <f t="shared" si="374"/>
        <v>42192187</v>
      </c>
    </row>
    <row r="2899" spans="1:36">
      <c r="A2899" s="1062" t="s">
        <v>147</v>
      </c>
      <c r="B2899" s="901" t="s">
        <v>264</v>
      </c>
      <c r="C2899" s="1166" t="s">
        <v>1144</v>
      </c>
      <c r="D2899" s="1167"/>
      <c r="E2899" s="1168">
        <v>409315</v>
      </c>
      <c r="F2899" s="1169">
        <v>7</v>
      </c>
      <c r="G2899" s="890">
        <v>42547249</v>
      </c>
      <c r="H2899" s="1153">
        <v>42883811</v>
      </c>
      <c r="I2899" s="1154"/>
      <c r="J2899" s="1155"/>
      <c r="K2899" s="846">
        <v>45852447</v>
      </c>
      <c r="L2899" s="847">
        <v>33983319</v>
      </c>
      <c r="M2899" s="846">
        <v>21051377</v>
      </c>
      <c r="N2899" s="846"/>
      <c r="O2899" s="737">
        <f t="shared" si="367"/>
        <v>21051377</v>
      </c>
      <c r="P2899" s="1155">
        <v>20488244</v>
      </c>
      <c r="Q2899" s="1153"/>
      <c r="R2899" s="738">
        <f t="shared" si="370"/>
        <v>20488244</v>
      </c>
      <c r="S2899" s="737">
        <f t="shared" si="371"/>
        <v>109451073</v>
      </c>
      <c r="T2899" s="739">
        <f t="shared" si="372"/>
        <v>97355374</v>
      </c>
      <c r="U2899" s="846"/>
      <c r="V2899" s="847"/>
      <c r="W2899" s="846"/>
      <c r="X2899" s="846"/>
      <c r="Y2899" s="740">
        <f t="shared" si="368"/>
        <v>0</v>
      </c>
      <c r="Z2899" s="1156"/>
      <c r="AA2899" s="847"/>
      <c r="AB2899" s="741">
        <f t="shared" si="369"/>
        <v>0</v>
      </c>
      <c r="AC2899" s="846"/>
      <c r="AD2899" s="847"/>
      <c r="AE2899" s="846"/>
      <c r="AF2899" s="846"/>
      <c r="AG2899" s="1156"/>
      <c r="AH2899" s="1157"/>
      <c r="AI2899" s="742">
        <f t="shared" si="373"/>
        <v>109451073</v>
      </c>
      <c r="AJ2899" s="743">
        <f t="shared" si="374"/>
        <v>97355374</v>
      </c>
    </row>
    <row r="2900" spans="1:36">
      <c r="A2900" s="1062" t="s">
        <v>147</v>
      </c>
      <c r="B2900" s="901" t="s">
        <v>264</v>
      </c>
      <c r="C2900" s="1069" t="s">
        <v>1145</v>
      </c>
      <c r="D2900" s="1151"/>
      <c r="E2900" s="1152">
        <v>222576</v>
      </c>
      <c r="F2900" s="911">
        <v>8</v>
      </c>
      <c r="G2900" s="890">
        <v>19586285</v>
      </c>
      <c r="H2900" s="1153">
        <v>19806278</v>
      </c>
      <c r="I2900" s="1154"/>
      <c r="J2900" s="1155"/>
      <c r="K2900" s="846">
        <v>20730558</v>
      </c>
      <c r="L2900" s="847">
        <v>16380168</v>
      </c>
      <c r="M2900" s="846">
        <v>15381607</v>
      </c>
      <c r="N2900" s="846"/>
      <c r="O2900" s="737">
        <f t="shared" si="367"/>
        <v>15381607</v>
      </c>
      <c r="P2900" s="1155">
        <v>14943828</v>
      </c>
      <c r="Q2900" s="1153"/>
      <c r="R2900" s="738">
        <f t="shared" si="370"/>
        <v>14943828</v>
      </c>
      <c r="S2900" s="737">
        <f t="shared" si="371"/>
        <v>55698450</v>
      </c>
      <c r="T2900" s="739">
        <f t="shared" si="372"/>
        <v>51130274</v>
      </c>
      <c r="U2900" s="846"/>
      <c r="V2900" s="847"/>
      <c r="W2900" s="846"/>
      <c r="X2900" s="846"/>
      <c r="Y2900" s="740">
        <f t="shared" si="368"/>
        <v>0</v>
      </c>
      <c r="Z2900" s="1156"/>
      <c r="AA2900" s="847"/>
      <c r="AB2900" s="741">
        <f t="shared" si="369"/>
        <v>0</v>
      </c>
      <c r="AC2900" s="846"/>
      <c r="AD2900" s="847"/>
      <c r="AE2900" s="846"/>
      <c r="AF2900" s="846"/>
      <c r="AG2900" s="1156"/>
      <c r="AH2900" s="1157"/>
      <c r="AI2900" s="742">
        <f t="shared" si="373"/>
        <v>55698450</v>
      </c>
      <c r="AJ2900" s="743">
        <f t="shared" si="374"/>
        <v>51130274</v>
      </c>
    </row>
    <row r="2901" spans="1:36">
      <c r="A2901" s="1062" t="s">
        <v>147</v>
      </c>
      <c r="B2901" s="901" t="s">
        <v>264</v>
      </c>
      <c r="C2901" s="1069" t="s">
        <v>1146</v>
      </c>
      <c r="D2901" s="1151"/>
      <c r="E2901" s="1152">
        <v>222992</v>
      </c>
      <c r="F2901" s="911">
        <v>8</v>
      </c>
      <c r="G2901" s="890">
        <v>64666473</v>
      </c>
      <c r="H2901" s="1153">
        <v>60244892</v>
      </c>
      <c r="I2901" s="1154"/>
      <c r="J2901" s="1155"/>
      <c r="K2901" s="846">
        <v>111385047</v>
      </c>
      <c r="L2901" s="847">
        <v>112623323</v>
      </c>
      <c r="M2901" s="846">
        <v>59622584</v>
      </c>
      <c r="N2901" s="846"/>
      <c r="O2901" s="737">
        <f t="shared" si="367"/>
        <v>59622584</v>
      </c>
      <c r="P2901" s="1155">
        <v>58817581</v>
      </c>
      <c r="Q2901" s="1153"/>
      <c r="R2901" s="738">
        <f t="shared" si="370"/>
        <v>58817581</v>
      </c>
      <c r="S2901" s="737">
        <f t="shared" si="371"/>
        <v>235674104</v>
      </c>
      <c r="T2901" s="739">
        <f t="shared" si="372"/>
        <v>231685796</v>
      </c>
      <c r="U2901" s="846"/>
      <c r="V2901" s="847"/>
      <c r="W2901" s="846"/>
      <c r="X2901" s="846"/>
      <c r="Y2901" s="740">
        <f t="shared" si="368"/>
        <v>0</v>
      </c>
      <c r="Z2901" s="1156"/>
      <c r="AA2901" s="847"/>
      <c r="AB2901" s="741">
        <f t="shared" si="369"/>
        <v>0</v>
      </c>
      <c r="AC2901" s="846"/>
      <c r="AD2901" s="847"/>
      <c r="AE2901" s="846"/>
      <c r="AF2901" s="846"/>
      <c r="AG2901" s="1156"/>
      <c r="AH2901" s="1157"/>
      <c r="AI2901" s="742">
        <f t="shared" si="373"/>
        <v>235674104</v>
      </c>
      <c r="AJ2901" s="743">
        <f t="shared" si="374"/>
        <v>231685796</v>
      </c>
    </row>
    <row r="2902" spans="1:36">
      <c r="A2902" s="1062" t="s">
        <v>147</v>
      </c>
      <c r="B2902" s="901" t="s">
        <v>264</v>
      </c>
      <c r="C2902" s="1069" t="s">
        <v>1147</v>
      </c>
      <c r="D2902" s="1151"/>
      <c r="E2902" s="1152">
        <v>223427</v>
      </c>
      <c r="F2902" s="911">
        <v>8</v>
      </c>
      <c r="G2902" s="890">
        <v>27137844</v>
      </c>
      <c r="H2902" s="1153">
        <v>27351014</v>
      </c>
      <c r="I2902" s="1154"/>
      <c r="J2902" s="1155"/>
      <c r="K2902" s="846">
        <v>1504461</v>
      </c>
      <c r="L2902" s="847">
        <v>1637679</v>
      </c>
      <c r="M2902" s="846">
        <v>42247252</v>
      </c>
      <c r="N2902" s="846"/>
      <c r="O2902" s="737">
        <f t="shared" si="367"/>
        <v>42247252</v>
      </c>
      <c r="P2902" s="1155">
        <v>45156170</v>
      </c>
      <c r="Q2902" s="1153"/>
      <c r="R2902" s="738">
        <f t="shared" si="370"/>
        <v>45156170</v>
      </c>
      <c r="S2902" s="737">
        <f t="shared" si="371"/>
        <v>70889557</v>
      </c>
      <c r="T2902" s="739">
        <f t="shared" si="372"/>
        <v>74144863</v>
      </c>
      <c r="U2902" s="846"/>
      <c r="V2902" s="847"/>
      <c r="W2902" s="846"/>
      <c r="X2902" s="846"/>
      <c r="Y2902" s="740">
        <f t="shared" si="368"/>
        <v>0</v>
      </c>
      <c r="Z2902" s="1156"/>
      <c r="AA2902" s="847"/>
      <c r="AB2902" s="741">
        <f t="shared" si="369"/>
        <v>0</v>
      </c>
      <c r="AC2902" s="846"/>
      <c r="AD2902" s="847"/>
      <c r="AE2902" s="846"/>
      <c r="AF2902" s="846"/>
      <c r="AG2902" s="1156"/>
      <c r="AH2902" s="1157"/>
      <c r="AI2902" s="742">
        <f t="shared" si="373"/>
        <v>70889557</v>
      </c>
      <c r="AJ2902" s="743">
        <f t="shared" si="374"/>
        <v>74144863</v>
      </c>
    </row>
    <row r="2903" spans="1:36">
      <c r="A2903" s="1062" t="s">
        <v>147</v>
      </c>
      <c r="B2903" s="901" t="s">
        <v>264</v>
      </c>
      <c r="C2903" s="1170" t="s">
        <v>1148</v>
      </c>
      <c r="D2903" s="1171"/>
      <c r="E2903" s="1152">
        <v>223524</v>
      </c>
      <c r="F2903" s="911">
        <v>8</v>
      </c>
      <c r="G2903" s="846">
        <v>0</v>
      </c>
      <c r="H2903" s="1153">
        <v>0</v>
      </c>
      <c r="I2903" s="1154"/>
      <c r="J2903" s="1155"/>
      <c r="K2903" s="846"/>
      <c r="L2903" s="847"/>
      <c r="M2903" s="846"/>
      <c r="N2903" s="846"/>
      <c r="O2903" s="737">
        <f t="shared" si="367"/>
        <v>0</v>
      </c>
      <c r="P2903" s="1155"/>
      <c r="Q2903" s="1153"/>
      <c r="R2903" s="738">
        <f t="shared" si="370"/>
        <v>0</v>
      </c>
      <c r="S2903" s="737">
        <f t="shared" si="371"/>
        <v>0</v>
      </c>
      <c r="T2903" s="739">
        <f t="shared" si="372"/>
        <v>0</v>
      </c>
      <c r="U2903" s="846"/>
      <c r="V2903" s="847"/>
      <c r="W2903" s="846"/>
      <c r="X2903" s="846"/>
      <c r="Y2903" s="740">
        <f t="shared" si="368"/>
        <v>0</v>
      </c>
      <c r="Z2903" s="1156"/>
      <c r="AA2903" s="847"/>
      <c r="AB2903" s="741">
        <f t="shared" si="369"/>
        <v>0</v>
      </c>
      <c r="AC2903" s="846"/>
      <c r="AD2903" s="847"/>
      <c r="AE2903" s="846"/>
      <c r="AF2903" s="846"/>
      <c r="AG2903" s="1156"/>
      <c r="AH2903" s="1157"/>
      <c r="AI2903" s="742">
        <f t="shared" si="373"/>
        <v>0</v>
      </c>
      <c r="AJ2903" s="743">
        <f t="shared" si="374"/>
        <v>0</v>
      </c>
    </row>
    <row r="2904" spans="1:36">
      <c r="A2904" s="1062" t="s">
        <v>147</v>
      </c>
      <c r="B2904" s="901" t="s">
        <v>264</v>
      </c>
      <c r="C2904" s="1069" t="s">
        <v>1149</v>
      </c>
      <c r="D2904" s="1151"/>
      <c r="E2904" s="1152">
        <v>223816</v>
      </c>
      <c r="F2904" s="911">
        <v>8</v>
      </c>
      <c r="G2904" s="890">
        <v>24081910</v>
      </c>
      <c r="H2904" s="1153">
        <v>24243309</v>
      </c>
      <c r="I2904" s="1154"/>
      <c r="J2904" s="1155"/>
      <c r="K2904" s="846">
        <v>11370375</v>
      </c>
      <c r="L2904" s="847">
        <v>11447915</v>
      </c>
      <c r="M2904" s="846">
        <v>55626692</v>
      </c>
      <c r="N2904" s="846"/>
      <c r="O2904" s="737">
        <f t="shared" si="367"/>
        <v>55626692</v>
      </c>
      <c r="P2904" s="1155">
        <v>44626464</v>
      </c>
      <c r="Q2904" s="1153"/>
      <c r="R2904" s="738">
        <f t="shared" si="370"/>
        <v>44626464</v>
      </c>
      <c r="S2904" s="737">
        <f t="shared" si="371"/>
        <v>91078977</v>
      </c>
      <c r="T2904" s="739">
        <f t="shared" si="372"/>
        <v>80317688</v>
      </c>
      <c r="U2904" s="846"/>
      <c r="V2904" s="847"/>
      <c r="W2904" s="846"/>
      <c r="X2904" s="846"/>
      <c r="Y2904" s="740">
        <f t="shared" si="368"/>
        <v>0</v>
      </c>
      <c r="Z2904" s="1156"/>
      <c r="AA2904" s="847"/>
      <c r="AB2904" s="741">
        <f t="shared" si="369"/>
        <v>0</v>
      </c>
      <c r="AC2904" s="846"/>
      <c r="AD2904" s="847"/>
      <c r="AE2904" s="846"/>
      <c r="AF2904" s="846"/>
      <c r="AG2904" s="1156"/>
      <c r="AH2904" s="1157"/>
      <c r="AI2904" s="742">
        <f t="shared" si="373"/>
        <v>91078977</v>
      </c>
      <c r="AJ2904" s="743">
        <f t="shared" si="374"/>
        <v>80317688</v>
      </c>
    </row>
    <row r="2905" spans="1:36">
      <c r="A2905" s="1062" t="s">
        <v>147</v>
      </c>
      <c r="B2905" s="901" t="s">
        <v>264</v>
      </c>
      <c r="C2905" s="1069" t="s">
        <v>1150</v>
      </c>
      <c r="D2905" s="1151"/>
      <c r="E2905" s="1152">
        <v>247834</v>
      </c>
      <c r="F2905" s="911">
        <v>8</v>
      </c>
      <c r="G2905" s="890">
        <v>39264795</v>
      </c>
      <c r="H2905" s="1153">
        <v>39527359</v>
      </c>
      <c r="I2905" s="1154"/>
      <c r="J2905" s="1155"/>
      <c r="K2905" s="846">
        <v>66783530</v>
      </c>
      <c r="L2905" s="847">
        <v>63956055</v>
      </c>
      <c r="M2905" s="846">
        <v>26569192</v>
      </c>
      <c r="N2905" s="846"/>
      <c r="O2905" s="737">
        <f t="shared" si="367"/>
        <v>26569192</v>
      </c>
      <c r="P2905" s="1155">
        <v>27967481</v>
      </c>
      <c r="Q2905" s="1153"/>
      <c r="R2905" s="738">
        <f t="shared" si="370"/>
        <v>27967481</v>
      </c>
      <c r="S2905" s="737">
        <f t="shared" si="371"/>
        <v>132617517</v>
      </c>
      <c r="T2905" s="739">
        <f t="shared" si="372"/>
        <v>131450895</v>
      </c>
      <c r="U2905" s="846"/>
      <c r="V2905" s="847"/>
      <c r="W2905" s="846"/>
      <c r="X2905" s="846"/>
      <c r="Y2905" s="740">
        <f t="shared" si="368"/>
        <v>0</v>
      </c>
      <c r="Z2905" s="1156"/>
      <c r="AA2905" s="847"/>
      <c r="AB2905" s="741">
        <f t="shared" si="369"/>
        <v>0</v>
      </c>
      <c r="AC2905" s="846"/>
      <c r="AD2905" s="847"/>
      <c r="AE2905" s="846"/>
      <c r="AF2905" s="846"/>
      <c r="AG2905" s="1156"/>
      <c r="AH2905" s="1157"/>
      <c r="AI2905" s="742">
        <f t="shared" si="373"/>
        <v>132617517</v>
      </c>
      <c r="AJ2905" s="743">
        <f t="shared" si="374"/>
        <v>131450895</v>
      </c>
    </row>
    <row r="2906" spans="1:36">
      <c r="A2906" s="1062" t="s">
        <v>147</v>
      </c>
      <c r="B2906" s="901" t="s">
        <v>264</v>
      </c>
      <c r="C2906" s="1069" t="s">
        <v>1151</v>
      </c>
      <c r="D2906" s="1151"/>
      <c r="E2906" s="1152">
        <v>224350</v>
      </c>
      <c r="F2906" s="911">
        <v>8</v>
      </c>
      <c r="G2906" s="890">
        <v>20118056</v>
      </c>
      <c r="H2906" s="1153">
        <v>20324955</v>
      </c>
      <c r="I2906" s="1154"/>
      <c r="J2906" s="1155"/>
      <c r="K2906" s="846">
        <v>45972603</v>
      </c>
      <c r="L2906" s="847">
        <v>40524142</v>
      </c>
      <c r="M2906" s="846">
        <v>9681161</v>
      </c>
      <c r="N2906" s="846"/>
      <c r="O2906" s="737">
        <f t="shared" si="367"/>
        <v>9681161</v>
      </c>
      <c r="P2906" s="1155">
        <v>10683123</v>
      </c>
      <c r="Q2906" s="1153"/>
      <c r="R2906" s="738">
        <f t="shared" si="370"/>
        <v>10683123</v>
      </c>
      <c r="S2906" s="737">
        <f t="shared" si="371"/>
        <v>75771820</v>
      </c>
      <c r="T2906" s="739">
        <f t="shared" si="372"/>
        <v>71532220</v>
      </c>
      <c r="U2906" s="846"/>
      <c r="V2906" s="847"/>
      <c r="W2906" s="846"/>
      <c r="X2906" s="846"/>
      <c r="Y2906" s="740">
        <f t="shared" si="368"/>
        <v>0</v>
      </c>
      <c r="Z2906" s="1156"/>
      <c r="AA2906" s="847"/>
      <c r="AB2906" s="741">
        <f t="shared" si="369"/>
        <v>0</v>
      </c>
      <c r="AC2906" s="846"/>
      <c r="AD2906" s="847"/>
      <c r="AE2906" s="846"/>
      <c r="AF2906" s="846"/>
      <c r="AG2906" s="1156"/>
      <c r="AH2906" s="1157"/>
      <c r="AI2906" s="742">
        <f t="shared" si="373"/>
        <v>75771820</v>
      </c>
      <c r="AJ2906" s="743">
        <f t="shared" si="374"/>
        <v>71532220</v>
      </c>
    </row>
    <row r="2907" spans="1:36">
      <c r="A2907" s="1062" t="s">
        <v>147</v>
      </c>
      <c r="B2907" s="901" t="s">
        <v>264</v>
      </c>
      <c r="C2907" s="1170" t="s">
        <v>1152</v>
      </c>
      <c r="D2907" s="1171"/>
      <c r="E2907" s="1152">
        <v>224572</v>
      </c>
      <c r="F2907" s="911">
        <v>8</v>
      </c>
      <c r="G2907" s="846">
        <v>0</v>
      </c>
      <c r="H2907" s="1153">
        <v>0</v>
      </c>
      <c r="I2907" s="1154"/>
      <c r="J2907" s="1155"/>
      <c r="K2907" s="846"/>
      <c r="L2907" s="847"/>
      <c r="M2907" s="846"/>
      <c r="N2907" s="846"/>
      <c r="O2907" s="737">
        <f t="shared" si="367"/>
        <v>0</v>
      </c>
      <c r="P2907" s="1155"/>
      <c r="Q2907" s="1153"/>
      <c r="R2907" s="738">
        <f t="shared" si="370"/>
        <v>0</v>
      </c>
      <c r="S2907" s="737">
        <f t="shared" si="371"/>
        <v>0</v>
      </c>
      <c r="T2907" s="739">
        <f t="shared" si="372"/>
        <v>0</v>
      </c>
      <c r="U2907" s="846"/>
      <c r="V2907" s="847"/>
      <c r="W2907" s="846"/>
      <c r="X2907" s="846"/>
      <c r="Y2907" s="740">
        <f t="shared" si="368"/>
        <v>0</v>
      </c>
      <c r="Z2907" s="1156"/>
      <c r="AA2907" s="847"/>
      <c r="AB2907" s="741">
        <f t="shared" si="369"/>
        <v>0</v>
      </c>
      <c r="AC2907" s="846"/>
      <c r="AD2907" s="847"/>
      <c r="AE2907" s="846"/>
      <c r="AF2907" s="846"/>
      <c r="AG2907" s="1156"/>
      <c r="AH2907" s="1157"/>
      <c r="AI2907" s="742">
        <f t="shared" si="373"/>
        <v>0</v>
      </c>
      <c r="AJ2907" s="743">
        <f t="shared" si="374"/>
        <v>0</v>
      </c>
    </row>
    <row r="2908" spans="1:36">
      <c r="A2908" s="1062" t="s">
        <v>147</v>
      </c>
      <c r="B2908" s="901" t="s">
        <v>264</v>
      </c>
      <c r="C2908" s="1170" t="s">
        <v>1153</v>
      </c>
      <c r="D2908" s="1171"/>
      <c r="E2908" s="1152">
        <v>224615</v>
      </c>
      <c r="F2908" s="898">
        <v>8</v>
      </c>
      <c r="G2908" s="846">
        <v>0</v>
      </c>
      <c r="H2908" s="1153">
        <v>0</v>
      </c>
      <c r="I2908" s="1154"/>
      <c r="J2908" s="1155"/>
      <c r="K2908" s="846"/>
      <c r="L2908" s="847"/>
      <c r="M2908" s="846"/>
      <c r="N2908" s="846"/>
      <c r="O2908" s="737">
        <f t="shared" si="367"/>
        <v>0</v>
      </c>
      <c r="P2908" s="1155"/>
      <c r="Q2908" s="1153"/>
      <c r="R2908" s="738">
        <f t="shared" si="370"/>
        <v>0</v>
      </c>
      <c r="S2908" s="737">
        <f t="shared" si="371"/>
        <v>0</v>
      </c>
      <c r="T2908" s="739">
        <f t="shared" si="372"/>
        <v>0</v>
      </c>
      <c r="U2908" s="846"/>
      <c r="V2908" s="847"/>
      <c r="W2908" s="846"/>
      <c r="X2908" s="846"/>
      <c r="Y2908" s="740">
        <f t="shared" si="368"/>
        <v>0</v>
      </c>
      <c r="Z2908" s="1156"/>
      <c r="AA2908" s="847"/>
      <c r="AB2908" s="741">
        <f t="shared" si="369"/>
        <v>0</v>
      </c>
      <c r="AC2908" s="846"/>
      <c r="AD2908" s="847"/>
      <c r="AE2908" s="846"/>
      <c r="AF2908" s="846"/>
      <c r="AG2908" s="1156"/>
      <c r="AH2908" s="1157"/>
      <c r="AI2908" s="742">
        <f t="shared" si="373"/>
        <v>0</v>
      </c>
      <c r="AJ2908" s="743">
        <f t="shared" si="374"/>
        <v>0</v>
      </c>
    </row>
    <row r="2909" spans="1:36">
      <c r="A2909" s="1062" t="s">
        <v>147</v>
      </c>
      <c r="B2909" s="901" t="s">
        <v>264</v>
      </c>
      <c r="C2909" s="1069" t="s">
        <v>1154</v>
      </c>
      <c r="D2909" s="1151"/>
      <c r="E2909" s="1152">
        <v>224642</v>
      </c>
      <c r="F2909" s="911">
        <v>8</v>
      </c>
      <c r="G2909" s="890">
        <v>41990597</v>
      </c>
      <c r="H2909" s="1153">
        <v>42378301</v>
      </c>
      <c r="I2909" s="1154"/>
      <c r="J2909" s="1155"/>
      <c r="K2909" s="846">
        <v>42729975</v>
      </c>
      <c r="L2909" s="847">
        <v>47104419</v>
      </c>
      <c r="M2909" s="846">
        <v>22181240</v>
      </c>
      <c r="N2909" s="846"/>
      <c r="O2909" s="737">
        <f t="shared" si="367"/>
        <v>22181240</v>
      </c>
      <c r="P2909" s="1155">
        <v>20354706</v>
      </c>
      <c r="Q2909" s="1153"/>
      <c r="R2909" s="738">
        <f t="shared" si="370"/>
        <v>20354706</v>
      </c>
      <c r="S2909" s="737">
        <f t="shared" si="371"/>
        <v>106901812</v>
      </c>
      <c r="T2909" s="739">
        <f t="shared" si="372"/>
        <v>109837426</v>
      </c>
      <c r="U2909" s="846"/>
      <c r="V2909" s="847"/>
      <c r="W2909" s="846"/>
      <c r="X2909" s="846"/>
      <c r="Y2909" s="740">
        <f t="shared" si="368"/>
        <v>0</v>
      </c>
      <c r="Z2909" s="1156"/>
      <c r="AA2909" s="847"/>
      <c r="AB2909" s="741">
        <f t="shared" si="369"/>
        <v>0</v>
      </c>
      <c r="AC2909" s="846"/>
      <c r="AD2909" s="847"/>
      <c r="AE2909" s="846"/>
      <c r="AF2909" s="846"/>
      <c r="AG2909" s="1156"/>
      <c r="AH2909" s="1157"/>
      <c r="AI2909" s="742">
        <f t="shared" si="373"/>
        <v>106901812</v>
      </c>
      <c r="AJ2909" s="743">
        <f t="shared" si="374"/>
        <v>109837426</v>
      </c>
    </row>
    <row r="2910" spans="1:36">
      <c r="A2910" s="1062" t="s">
        <v>147</v>
      </c>
      <c r="B2910" s="901" t="s">
        <v>264</v>
      </c>
      <c r="C2910" s="1069" t="s">
        <v>1155</v>
      </c>
      <c r="D2910" s="1151"/>
      <c r="E2910" s="1152">
        <v>225423</v>
      </c>
      <c r="F2910" s="911">
        <v>8</v>
      </c>
      <c r="G2910" s="890">
        <v>82093421</v>
      </c>
      <c r="H2910" s="1153">
        <v>82775295</v>
      </c>
      <c r="I2910" s="1154"/>
      <c r="J2910" s="1155"/>
      <c r="K2910" s="846">
        <v>130035929</v>
      </c>
      <c r="L2910" s="847">
        <v>113987287</v>
      </c>
      <c r="M2910" s="890">
        <v>71433953</v>
      </c>
      <c r="N2910" s="846"/>
      <c r="O2910" s="737">
        <f t="shared" si="367"/>
        <v>71433953</v>
      </c>
      <c r="P2910" s="1155">
        <v>70689034</v>
      </c>
      <c r="Q2910" s="1153"/>
      <c r="R2910" s="738">
        <f t="shared" si="370"/>
        <v>70689034</v>
      </c>
      <c r="S2910" s="737">
        <f t="shared" si="371"/>
        <v>283563303</v>
      </c>
      <c r="T2910" s="739">
        <f t="shared" si="372"/>
        <v>267451616</v>
      </c>
      <c r="U2910" s="846"/>
      <c r="V2910" s="847"/>
      <c r="W2910" s="846"/>
      <c r="X2910" s="846"/>
      <c r="Y2910" s="740">
        <f t="shared" si="368"/>
        <v>0</v>
      </c>
      <c r="Z2910" s="1156"/>
      <c r="AA2910" s="847"/>
      <c r="AB2910" s="741">
        <f t="shared" si="369"/>
        <v>0</v>
      </c>
      <c r="AC2910" s="846"/>
      <c r="AD2910" s="847"/>
      <c r="AE2910" s="846"/>
      <c r="AF2910" s="846"/>
      <c r="AG2910" s="1156"/>
      <c r="AH2910" s="1157"/>
      <c r="AI2910" s="742">
        <f t="shared" si="373"/>
        <v>283563303</v>
      </c>
      <c r="AJ2910" s="743">
        <f t="shared" si="374"/>
        <v>267451616</v>
      </c>
    </row>
    <row r="2911" spans="1:36">
      <c r="A2911" s="1062" t="s">
        <v>147</v>
      </c>
      <c r="B2911" s="901" t="s">
        <v>264</v>
      </c>
      <c r="C2911" s="896" t="s">
        <v>1156</v>
      </c>
      <c r="D2911" s="894" t="s">
        <v>710</v>
      </c>
      <c r="E2911" s="1152">
        <v>226019</v>
      </c>
      <c r="F2911" s="898">
        <v>8</v>
      </c>
      <c r="G2911" s="890">
        <v>13286476</v>
      </c>
      <c r="H2911" s="1153">
        <v>13422078</v>
      </c>
      <c r="I2911" s="1154"/>
      <c r="J2911" s="1155"/>
      <c r="K2911" s="846">
        <v>6207262</v>
      </c>
      <c r="L2911" s="847">
        <v>6346275</v>
      </c>
      <c r="M2911" s="846">
        <v>8533498</v>
      </c>
      <c r="N2911" s="846"/>
      <c r="O2911" s="737">
        <f t="shared" si="367"/>
        <v>8533498</v>
      </c>
      <c r="P2911" s="1155">
        <v>7916233</v>
      </c>
      <c r="Q2911" s="1153"/>
      <c r="R2911" s="738">
        <f t="shared" si="370"/>
        <v>7916233</v>
      </c>
      <c r="S2911" s="737">
        <f t="shared" si="371"/>
        <v>28027236</v>
      </c>
      <c r="T2911" s="739">
        <f t="shared" si="372"/>
        <v>27684586</v>
      </c>
      <c r="U2911" s="846"/>
      <c r="V2911" s="847"/>
      <c r="W2911" s="846"/>
      <c r="X2911" s="846"/>
      <c r="Y2911" s="740">
        <f t="shared" si="368"/>
        <v>0</v>
      </c>
      <c r="Z2911" s="1156"/>
      <c r="AA2911" s="847"/>
      <c r="AB2911" s="741">
        <f t="shared" si="369"/>
        <v>0</v>
      </c>
      <c r="AC2911" s="846"/>
      <c r="AD2911" s="847"/>
      <c r="AE2911" s="846"/>
      <c r="AF2911" s="846"/>
      <c r="AG2911" s="1156"/>
      <c r="AH2911" s="1157"/>
      <c r="AI2911" s="742">
        <f t="shared" si="373"/>
        <v>28027236</v>
      </c>
      <c r="AJ2911" s="743">
        <f t="shared" si="374"/>
        <v>27684586</v>
      </c>
    </row>
    <row r="2912" spans="1:36">
      <c r="A2912" s="1062" t="s">
        <v>147</v>
      </c>
      <c r="B2912" s="901" t="s">
        <v>264</v>
      </c>
      <c r="C2912" s="1069" t="s">
        <v>1157</v>
      </c>
      <c r="D2912" s="1151"/>
      <c r="E2912" s="1152">
        <v>226134</v>
      </c>
      <c r="F2912" s="911">
        <v>8</v>
      </c>
      <c r="G2912" s="890">
        <v>15169102</v>
      </c>
      <c r="H2912" s="1153">
        <v>15368607</v>
      </c>
      <c r="I2912" s="1154"/>
      <c r="J2912" s="1155"/>
      <c r="K2912" s="846">
        <v>28155631</v>
      </c>
      <c r="L2912" s="847">
        <v>24808574</v>
      </c>
      <c r="M2912" s="846">
        <v>8780001</v>
      </c>
      <c r="N2912" s="846"/>
      <c r="O2912" s="737">
        <f t="shared" si="367"/>
        <v>8780001</v>
      </c>
      <c r="P2912" s="1155">
        <v>8580215</v>
      </c>
      <c r="Q2912" s="1153"/>
      <c r="R2912" s="738">
        <f t="shared" si="370"/>
        <v>8580215</v>
      </c>
      <c r="S2912" s="737">
        <f t="shared" si="371"/>
        <v>52104734</v>
      </c>
      <c r="T2912" s="739">
        <f t="shared" si="372"/>
        <v>48757396</v>
      </c>
      <c r="U2912" s="846"/>
      <c r="V2912" s="847"/>
      <c r="W2912" s="846"/>
      <c r="X2912" s="846"/>
      <c r="Y2912" s="740">
        <f t="shared" si="368"/>
        <v>0</v>
      </c>
      <c r="Z2912" s="1156"/>
      <c r="AA2912" s="847"/>
      <c r="AB2912" s="741">
        <f t="shared" si="369"/>
        <v>0</v>
      </c>
      <c r="AC2912" s="846"/>
      <c r="AD2912" s="847"/>
      <c r="AE2912" s="846"/>
      <c r="AF2912" s="846"/>
      <c r="AG2912" s="1156"/>
      <c r="AH2912" s="1157"/>
      <c r="AI2912" s="742">
        <f t="shared" si="373"/>
        <v>52104734</v>
      </c>
      <c r="AJ2912" s="743">
        <f t="shared" si="374"/>
        <v>48757396</v>
      </c>
    </row>
    <row r="2913" spans="1:36">
      <c r="A2913" s="1062" t="s">
        <v>147</v>
      </c>
      <c r="B2913" s="901" t="s">
        <v>264</v>
      </c>
      <c r="C2913" s="896" t="s">
        <v>1158</v>
      </c>
      <c r="D2913" s="894"/>
      <c r="E2913" s="897">
        <v>227182</v>
      </c>
      <c r="F2913" s="898">
        <v>8</v>
      </c>
      <c r="G2913" s="890">
        <v>87201886</v>
      </c>
      <c r="H2913" s="1153">
        <v>87834721</v>
      </c>
      <c r="I2913" s="1154"/>
      <c r="J2913" s="1155"/>
      <c r="K2913" s="846">
        <v>146569549</v>
      </c>
      <c r="L2913" s="847">
        <v>109040590</v>
      </c>
      <c r="M2913" s="846">
        <v>59682149</v>
      </c>
      <c r="N2913" s="846"/>
      <c r="O2913" s="737">
        <f t="shared" si="367"/>
        <v>59682149</v>
      </c>
      <c r="P2913" s="1155">
        <v>61961356</v>
      </c>
      <c r="Q2913" s="1153"/>
      <c r="R2913" s="738">
        <f t="shared" si="370"/>
        <v>61961356</v>
      </c>
      <c r="S2913" s="737">
        <f t="shared" si="371"/>
        <v>293453584</v>
      </c>
      <c r="T2913" s="739">
        <f t="shared" si="372"/>
        <v>258836667</v>
      </c>
      <c r="U2913" s="846"/>
      <c r="V2913" s="847"/>
      <c r="W2913" s="846"/>
      <c r="X2913" s="846"/>
      <c r="Y2913" s="740">
        <f t="shared" si="368"/>
        <v>0</v>
      </c>
      <c r="Z2913" s="1156"/>
      <c r="AA2913" s="847"/>
      <c r="AB2913" s="741">
        <f t="shared" si="369"/>
        <v>0</v>
      </c>
      <c r="AC2913" s="846"/>
      <c r="AD2913" s="847"/>
      <c r="AE2913" s="846"/>
      <c r="AF2913" s="846"/>
      <c r="AG2913" s="1156"/>
      <c r="AH2913" s="1157"/>
      <c r="AI2913" s="742">
        <f t="shared" si="373"/>
        <v>293453584</v>
      </c>
      <c r="AJ2913" s="743">
        <f t="shared" si="374"/>
        <v>258836667</v>
      </c>
    </row>
    <row r="2914" spans="1:36">
      <c r="A2914" s="1062" t="s">
        <v>147</v>
      </c>
      <c r="B2914" s="901" t="s">
        <v>264</v>
      </c>
      <c r="C2914" s="1069" t="s">
        <v>1159</v>
      </c>
      <c r="D2914" s="1151"/>
      <c r="E2914" s="1152">
        <v>226578</v>
      </c>
      <c r="F2914" s="911">
        <v>8</v>
      </c>
      <c r="G2914" s="890">
        <v>17172381</v>
      </c>
      <c r="H2914" s="1153">
        <v>17342195</v>
      </c>
      <c r="I2914" s="1154"/>
      <c r="J2914" s="1155"/>
      <c r="K2914" s="846">
        <v>12733190</v>
      </c>
      <c r="L2914" s="847">
        <v>13148553</v>
      </c>
      <c r="M2914" s="846">
        <v>19436996</v>
      </c>
      <c r="N2914" s="846"/>
      <c r="O2914" s="737">
        <f t="shared" si="367"/>
        <v>19436996</v>
      </c>
      <c r="P2914" s="1155">
        <v>17003014</v>
      </c>
      <c r="Q2914" s="1153"/>
      <c r="R2914" s="738">
        <f t="shared" si="370"/>
        <v>17003014</v>
      </c>
      <c r="S2914" s="737">
        <f t="shared" si="371"/>
        <v>49342567</v>
      </c>
      <c r="T2914" s="739">
        <f t="shared" si="372"/>
        <v>47493762</v>
      </c>
      <c r="U2914" s="846"/>
      <c r="V2914" s="847"/>
      <c r="W2914" s="846"/>
      <c r="X2914" s="846"/>
      <c r="Y2914" s="740">
        <f t="shared" si="368"/>
        <v>0</v>
      </c>
      <c r="Z2914" s="1156"/>
      <c r="AA2914" s="847"/>
      <c r="AB2914" s="741">
        <f t="shared" si="369"/>
        <v>0</v>
      </c>
      <c r="AC2914" s="846"/>
      <c r="AD2914" s="847"/>
      <c r="AE2914" s="846"/>
      <c r="AF2914" s="846"/>
      <c r="AG2914" s="1156"/>
      <c r="AH2914" s="1157"/>
      <c r="AI2914" s="742">
        <f t="shared" si="373"/>
        <v>49342567</v>
      </c>
      <c r="AJ2914" s="743">
        <f t="shared" si="374"/>
        <v>47493762</v>
      </c>
    </row>
    <row r="2915" spans="1:36">
      <c r="A2915" s="1062" t="s">
        <v>147</v>
      </c>
      <c r="B2915" s="901" t="s">
        <v>264</v>
      </c>
      <c r="C2915" s="1069" t="s">
        <v>1160</v>
      </c>
      <c r="D2915" s="1151"/>
      <c r="E2915" s="1152">
        <v>227146</v>
      </c>
      <c r="F2915" s="911">
        <v>8</v>
      </c>
      <c r="G2915" s="890">
        <v>18425710</v>
      </c>
      <c r="H2915" s="1153">
        <v>18527448</v>
      </c>
      <c r="I2915" s="1154"/>
      <c r="J2915" s="1155"/>
      <c r="K2915" s="846">
        <v>3342472</v>
      </c>
      <c r="L2915" s="847">
        <v>3359627</v>
      </c>
      <c r="M2915" s="846">
        <v>14202493</v>
      </c>
      <c r="N2915" s="846"/>
      <c r="O2915" s="737">
        <f t="shared" si="367"/>
        <v>14202493</v>
      </c>
      <c r="P2915" s="1155">
        <v>14029788</v>
      </c>
      <c r="Q2915" s="1153"/>
      <c r="R2915" s="738">
        <f t="shared" si="370"/>
        <v>14029788</v>
      </c>
      <c r="S2915" s="737">
        <f t="shared" si="371"/>
        <v>35970675</v>
      </c>
      <c r="T2915" s="739">
        <f t="shared" si="372"/>
        <v>35916863</v>
      </c>
      <c r="U2915" s="846"/>
      <c r="V2915" s="847"/>
      <c r="W2915" s="846"/>
      <c r="X2915" s="846"/>
      <c r="Y2915" s="740">
        <f t="shared" si="368"/>
        <v>0</v>
      </c>
      <c r="Z2915" s="1156"/>
      <c r="AA2915" s="847"/>
      <c r="AB2915" s="741">
        <f t="shared" si="369"/>
        <v>0</v>
      </c>
      <c r="AC2915" s="846"/>
      <c r="AD2915" s="847"/>
      <c r="AE2915" s="846"/>
      <c r="AF2915" s="846"/>
      <c r="AG2915" s="1156"/>
      <c r="AH2915" s="1157"/>
      <c r="AI2915" s="742">
        <f t="shared" si="373"/>
        <v>35970675</v>
      </c>
      <c r="AJ2915" s="743">
        <f t="shared" si="374"/>
        <v>35916863</v>
      </c>
    </row>
    <row r="2916" spans="1:36">
      <c r="A2916" s="1062" t="s">
        <v>147</v>
      </c>
      <c r="B2916" s="901" t="s">
        <v>264</v>
      </c>
      <c r="C2916" s="1166" t="s">
        <v>1161</v>
      </c>
      <c r="D2916" s="1167"/>
      <c r="E2916" s="1152">
        <v>224110</v>
      </c>
      <c r="F2916" s="898">
        <v>8</v>
      </c>
      <c r="G2916" s="890">
        <v>13292571</v>
      </c>
      <c r="H2916" s="1153">
        <v>13386970</v>
      </c>
      <c r="I2916" s="1154"/>
      <c r="J2916" s="1155"/>
      <c r="K2916" s="846">
        <v>2220581</v>
      </c>
      <c r="L2916" s="847">
        <v>2267607</v>
      </c>
      <c r="M2916" s="846">
        <v>13280934</v>
      </c>
      <c r="N2916" s="846"/>
      <c r="O2916" s="737">
        <f t="shared" si="367"/>
        <v>13280934</v>
      </c>
      <c r="P2916" s="1155">
        <v>13763954</v>
      </c>
      <c r="Q2916" s="1153"/>
      <c r="R2916" s="738">
        <f t="shared" si="370"/>
        <v>13763954</v>
      </c>
      <c r="S2916" s="737">
        <f t="shared" si="371"/>
        <v>28794086</v>
      </c>
      <c r="T2916" s="739">
        <f t="shared" si="372"/>
        <v>29418531</v>
      </c>
      <c r="U2916" s="846"/>
      <c r="V2916" s="847"/>
      <c r="W2916" s="846"/>
      <c r="X2916" s="846"/>
      <c r="Y2916" s="740">
        <f t="shared" si="368"/>
        <v>0</v>
      </c>
      <c r="Z2916" s="1156"/>
      <c r="AA2916" s="847"/>
      <c r="AB2916" s="741">
        <f t="shared" si="369"/>
        <v>0</v>
      </c>
      <c r="AC2916" s="846"/>
      <c r="AD2916" s="847"/>
      <c r="AE2916" s="846"/>
      <c r="AF2916" s="846"/>
      <c r="AG2916" s="1156"/>
      <c r="AH2916" s="1157"/>
      <c r="AI2916" s="742">
        <f t="shared" si="373"/>
        <v>28794086</v>
      </c>
      <c r="AJ2916" s="743">
        <f t="shared" si="374"/>
        <v>29418531</v>
      </c>
    </row>
    <row r="2917" spans="1:36">
      <c r="A2917" s="1062" t="s">
        <v>147</v>
      </c>
      <c r="B2917" s="901" t="s">
        <v>264</v>
      </c>
      <c r="C2917" s="1170" t="s">
        <v>1162</v>
      </c>
      <c r="D2917" s="1171"/>
      <c r="E2917" s="1152">
        <v>227191</v>
      </c>
      <c r="F2917" s="911">
        <v>8</v>
      </c>
      <c r="G2917" s="846">
        <v>0</v>
      </c>
      <c r="H2917" s="1153">
        <v>0</v>
      </c>
      <c r="I2917" s="1154"/>
      <c r="J2917" s="1155"/>
      <c r="K2917" s="846"/>
      <c r="L2917" s="847"/>
      <c r="M2917" s="846"/>
      <c r="N2917" s="846"/>
      <c r="O2917" s="737">
        <f t="shared" si="367"/>
        <v>0</v>
      </c>
      <c r="P2917" s="1155"/>
      <c r="Q2917" s="1153"/>
      <c r="R2917" s="738">
        <f t="shared" si="370"/>
        <v>0</v>
      </c>
      <c r="S2917" s="737">
        <f t="shared" si="371"/>
        <v>0</v>
      </c>
      <c r="T2917" s="739">
        <f t="shared" si="372"/>
        <v>0</v>
      </c>
      <c r="U2917" s="846"/>
      <c r="V2917" s="847"/>
      <c r="W2917" s="846"/>
      <c r="X2917" s="846"/>
      <c r="Y2917" s="740">
        <f t="shared" si="368"/>
        <v>0</v>
      </c>
      <c r="Z2917" s="1156"/>
      <c r="AA2917" s="847"/>
      <c r="AB2917" s="741">
        <f t="shared" si="369"/>
        <v>0</v>
      </c>
      <c r="AC2917" s="846"/>
      <c r="AD2917" s="847"/>
      <c r="AE2917" s="846"/>
      <c r="AF2917" s="846"/>
      <c r="AG2917" s="1156"/>
      <c r="AH2917" s="1157"/>
      <c r="AI2917" s="742">
        <f t="shared" si="373"/>
        <v>0</v>
      </c>
      <c r="AJ2917" s="743">
        <f t="shared" si="374"/>
        <v>0</v>
      </c>
    </row>
    <row r="2918" spans="1:36">
      <c r="A2918" s="1062" t="s">
        <v>147</v>
      </c>
      <c r="B2918" s="901" t="s">
        <v>264</v>
      </c>
      <c r="C2918" s="1172" t="s">
        <v>1163</v>
      </c>
      <c r="D2918" s="1173"/>
      <c r="E2918" s="1152">
        <v>420398</v>
      </c>
      <c r="F2918" s="911">
        <v>8</v>
      </c>
      <c r="G2918" s="846">
        <v>0</v>
      </c>
      <c r="H2918" s="1153">
        <v>0</v>
      </c>
      <c r="I2918" s="1154"/>
      <c r="J2918" s="1155"/>
      <c r="K2918" s="846"/>
      <c r="L2918" s="847"/>
      <c r="M2918" s="846"/>
      <c r="N2918" s="846"/>
      <c r="O2918" s="737">
        <f t="shared" si="367"/>
        <v>0</v>
      </c>
      <c r="P2918" s="1155"/>
      <c r="Q2918" s="1153"/>
      <c r="R2918" s="738">
        <f t="shared" si="370"/>
        <v>0</v>
      </c>
      <c r="S2918" s="737">
        <f t="shared" si="371"/>
        <v>0</v>
      </c>
      <c r="T2918" s="739">
        <f t="shared" si="372"/>
        <v>0</v>
      </c>
      <c r="U2918" s="846"/>
      <c r="V2918" s="847"/>
      <c r="W2918" s="846"/>
      <c r="X2918" s="846"/>
      <c r="Y2918" s="740">
        <f t="shared" si="368"/>
        <v>0</v>
      </c>
      <c r="Z2918" s="1156"/>
      <c r="AA2918" s="847"/>
      <c r="AB2918" s="741">
        <f t="shared" si="369"/>
        <v>0</v>
      </c>
      <c r="AC2918" s="846"/>
      <c r="AD2918" s="847"/>
      <c r="AE2918" s="846"/>
      <c r="AF2918" s="846"/>
      <c r="AG2918" s="1156"/>
      <c r="AH2918" s="1157"/>
      <c r="AI2918" s="742">
        <f t="shared" si="373"/>
        <v>0</v>
      </c>
      <c r="AJ2918" s="743">
        <f t="shared" si="374"/>
        <v>0</v>
      </c>
    </row>
    <row r="2919" spans="1:36">
      <c r="A2919" s="1062" t="s">
        <v>147</v>
      </c>
      <c r="B2919" s="901" t="s">
        <v>264</v>
      </c>
      <c r="C2919" s="1172" t="s">
        <v>1164</v>
      </c>
      <c r="D2919" s="1173" t="s">
        <v>900</v>
      </c>
      <c r="E2919" s="1152">
        <v>246354</v>
      </c>
      <c r="F2919" s="911">
        <v>8</v>
      </c>
      <c r="G2919" s="846">
        <v>0</v>
      </c>
      <c r="H2919" s="1153">
        <v>0</v>
      </c>
      <c r="I2919" s="1154"/>
      <c r="J2919" s="1155"/>
      <c r="K2919" s="846"/>
      <c r="L2919" s="847"/>
      <c r="M2919" s="846"/>
      <c r="N2919" s="846"/>
      <c r="O2919" s="737">
        <f t="shared" si="367"/>
        <v>0</v>
      </c>
      <c r="P2919" s="1155"/>
      <c r="Q2919" s="1153"/>
      <c r="R2919" s="738">
        <f t="shared" si="370"/>
        <v>0</v>
      </c>
      <c r="S2919" s="737">
        <f t="shared" si="371"/>
        <v>0</v>
      </c>
      <c r="T2919" s="739">
        <f t="shared" si="372"/>
        <v>0</v>
      </c>
      <c r="U2919" s="846"/>
      <c r="V2919" s="847"/>
      <c r="W2919" s="846"/>
      <c r="X2919" s="846"/>
      <c r="Y2919" s="740">
        <f t="shared" si="368"/>
        <v>0</v>
      </c>
      <c r="Z2919" s="1156"/>
      <c r="AA2919" s="847"/>
      <c r="AB2919" s="741">
        <f t="shared" si="369"/>
        <v>0</v>
      </c>
      <c r="AC2919" s="846"/>
      <c r="AD2919" s="847"/>
      <c r="AE2919" s="846"/>
      <c r="AF2919" s="846"/>
      <c r="AG2919" s="1156"/>
      <c r="AH2919" s="1157"/>
      <c r="AI2919" s="742">
        <f t="shared" si="373"/>
        <v>0</v>
      </c>
      <c r="AJ2919" s="743">
        <f t="shared" si="374"/>
        <v>0</v>
      </c>
    </row>
    <row r="2920" spans="1:36">
      <c r="A2920" s="1062" t="s">
        <v>147</v>
      </c>
      <c r="B2920" s="901" t="s">
        <v>264</v>
      </c>
      <c r="C2920" s="1170" t="s">
        <v>1165</v>
      </c>
      <c r="D2920" s="1171"/>
      <c r="E2920" s="1152">
        <v>227766</v>
      </c>
      <c r="F2920" s="911">
        <v>8</v>
      </c>
      <c r="G2920" s="846">
        <v>0</v>
      </c>
      <c r="H2920" s="1153">
        <v>0</v>
      </c>
      <c r="I2920" s="1154"/>
      <c r="J2920" s="1155"/>
      <c r="K2920" s="846"/>
      <c r="L2920" s="847"/>
      <c r="M2920" s="846"/>
      <c r="N2920" s="846"/>
      <c r="O2920" s="737">
        <f t="shared" si="367"/>
        <v>0</v>
      </c>
      <c r="P2920" s="1155"/>
      <c r="Q2920" s="1153"/>
      <c r="R2920" s="738">
        <f t="shared" si="370"/>
        <v>0</v>
      </c>
      <c r="S2920" s="737">
        <f t="shared" si="371"/>
        <v>0</v>
      </c>
      <c r="T2920" s="739">
        <f t="shared" si="372"/>
        <v>0</v>
      </c>
      <c r="U2920" s="846"/>
      <c r="V2920" s="847"/>
      <c r="W2920" s="846"/>
      <c r="X2920" s="846"/>
      <c r="Y2920" s="740">
        <f t="shared" si="368"/>
        <v>0</v>
      </c>
      <c r="Z2920" s="1156"/>
      <c r="AA2920" s="847"/>
      <c r="AB2920" s="741">
        <f t="shared" si="369"/>
        <v>0</v>
      </c>
      <c r="AC2920" s="846"/>
      <c r="AD2920" s="847"/>
      <c r="AE2920" s="846"/>
      <c r="AF2920" s="846"/>
      <c r="AG2920" s="1156"/>
      <c r="AH2920" s="1157"/>
      <c r="AI2920" s="742">
        <f t="shared" si="373"/>
        <v>0</v>
      </c>
      <c r="AJ2920" s="743">
        <f t="shared" si="374"/>
        <v>0</v>
      </c>
    </row>
    <row r="2921" spans="1:36">
      <c r="A2921" s="1062" t="s">
        <v>147</v>
      </c>
      <c r="B2921" s="901" t="s">
        <v>264</v>
      </c>
      <c r="C2921" s="1172" t="s">
        <v>1166</v>
      </c>
      <c r="D2921" s="1173"/>
      <c r="E2921" s="1152">
        <v>227924</v>
      </c>
      <c r="F2921" s="911">
        <v>8</v>
      </c>
      <c r="G2921" s="846">
        <v>0</v>
      </c>
      <c r="H2921" s="1153">
        <v>0</v>
      </c>
      <c r="I2921" s="1154"/>
      <c r="J2921" s="1155"/>
      <c r="K2921" s="846"/>
      <c r="L2921" s="847"/>
      <c r="M2921" s="846"/>
      <c r="N2921" s="846"/>
      <c r="O2921" s="737">
        <f t="shared" si="367"/>
        <v>0</v>
      </c>
      <c r="P2921" s="1155"/>
      <c r="Q2921" s="1153"/>
      <c r="R2921" s="738">
        <f t="shared" si="370"/>
        <v>0</v>
      </c>
      <c r="S2921" s="737">
        <f t="shared" si="371"/>
        <v>0</v>
      </c>
      <c r="T2921" s="739">
        <f t="shared" si="372"/>
        <v>0</v>
      </c>
      <c r="U2921" s="846"/>
      <c r="V2921" s="847"/>
      <c r="W2921" s="846"/>
      <c r="X2921" s="846"/>
      <c r="Y2921" s="740">
        <f t="shared" si="368"/>
        <v>0</v>
      </c>
      <c r="Z2921" s="1156"/>
      <c r="AA2921" s="847"/>
      <c r="AB2921" s="741">
        <f t="shared" si="369"/>
        <v>0</v>
      </c>
      <c r="AC2921" s="846"/>
      <c r="AD2921" s="847"/>
      <c r="AE2921" s="846"/>
      <c r="AF2921" s="846"/>
      <c r="AG2921" s="1156"/>
      <c r="AH2921" s="1157"/>
      <c r="AI2921" s="742">
        <f t="shared" si="373"/>
        <v>0</v>
      </c>
      <c r="AJ2921" s="743">
        <f t="shared" si="374"/>
        <v>0</v>
      </c>
    </row>
    <row r="2922" spans="1:36">
      <c r="A2922" s="1062" t="s">
        <v>147</v>
      </c>
      <c r="B2922" s="901" t="s">
        <v>264</v>
      </c>
      <c r="C2922" s="1069" t="s">
        <v>1167</v>
      </c>
      <c r="D2922" s="1151"/>
      <c r="E2922" s="1152">
        <v>227979</v>
      </c>
      <c r="F2922" s="911">
        <v>8</v>
      </c>
      <c r="G2922" s="890">
        <v>46738132</v>
      </c>
      <c r="H2922" s="1153">
        <v>47194953</v>
      </c>
      <c r="I2922" s="1154"/>
      <c r="J2922" s="1155"/>
      <c r="K2922" s="846">
        <v>73136908</v>
      </c>
      <c r="L2922" s="847">
        <v>52961418</v>
      </c>
      <c r="M2922" s="846">
        <v>37524566</v>
      </c>
      <c r="N2922" s="846"/>
      <c r="O2922" s="737">
        <f t="shared" si="367"/>
        <v>37524566</v>
      </c>
      <c r="P2922" s="1155">
        <v>35402191</v>
      </c>
      <c r="Q2922" s="1153"/>
      <c r="R2922" s="738">
        <f t="shared" si="370"/>
        <v>35402191</v>
      </c>
      <c r="S2922" s="737">
        <f t="shared" si="371"/>
        <v>157399606</v>
      </c>
      <c r="T2922" s="739">
        <f t="shared" si="372"/>
        <v>135558562</v>
      </c>
      <c r="U2922" s="846"/>
      <c r="V2922" s="847"/>
      <c r="W2922" s="846"/>
      <c r="X2922" s="846"/>
      <c r="Y2922" s="740">
        <f t="shared" si="368"/>
        <v>0</v>
      </c>
      <c r="Z2922" s="1156"/>
      <c r="AA2922" s="847"/>
      <c r="AB2922" s="741">
        <f t="shared" si="369"/>
        <v>0</v>
      </c>
      <c r="AC2922" s="846"/>
      <c r="AD2922" s="847"/>
      <c r="AE2922" s="846"/>
      <c r="AF2922" s="846"/>
      <c r="AG2922" s="1156"/>
      <c r="AH2922" s="1157"/>
      <c r="AI2922" s="742">
        <f t="shared" si="373"/>
        <v>157399606</v>
      </c>
      <c r="AJ2922" s="743">
        <f t="shared" si="374"/>
        <v>135558562</v>
      </c>
    </row>
    <row r="2923" spans="1:36">
      <c r="A2923" s="1062" t="s">
        <v>147</v>
      </c>
      <c r="B2923" s="901" t="s">
        <v>264</v>
      </c>
      <c r="C2923" s="1069" t="s">
        <v>1168</v>
      </c>
      <c r="D2923" s="1151"/>
      <c r="E2923" s="1152">
        <v>228158</v>
      </c>
      <c r="F2923" s="911">
        <v>8</v>
      </c>
      <c r="G2923" s="890">
        <v>17423459</v>
      </c>
      <c r="H2923" s="1153">
        <v>17627662</v>
      </c>
      <c r="I2923" s="1154"/>
      <c r="J2923" s="1155"/>
      <c r="K2923" s="846">
        <v>12628617</v>
      </c>
      <c r="L2923" s="847">
        <v>12638839</v>
      </c>
      <c r="M2923" s="846">
        <v>15807862</v>
      </c>
      <c r="N2923" s="846"/>
      <c r="O2923" s="737">
        <f t="shared" si="367"/>
        <v>15807862</v>
      </c>
      <c r="P2923" s="1155">
        <v>17060485</v>
      </c>
      <c r="Q2923" s="1153"/>
      <c r="R2923" s="738">
        <f t="shared" si="370"/>
        <v>17060485</v>
      </c>
      <c r="S2923" s="737">
        <f t="shared" si="371"/>
        <v>45859938</v>
      </c>
      <c r="T2923" s="739">
        <f t="shared" si="372"/>
        <v>47326986</v>
      </c>
      <c r="U2923" s="846"/>
      <c r="V2923" s="847"/>
      <c r="W2923" s="846"/>
      <c r="X2923" s="846"/>
      <c r="Y2923" s="740">
        <f t="shared" si="368"/>
        <v>0</v>
      </c>
      <c r="Z2923" s="1156"/>
      <c r="AA2923" s="847"/>
      <c r="AB2923" s="741">
        <f t="shared" si="369"/>
        <v>0</v>
      </c>
      <c r="AC2923" s="846"/>
      <c r="AD2923" s="847"/>
      <c r="AE2923" s="846"/>
      <c r="AF2923" s="846"/>
      <c r="AG2923" s="1156"/>
      <c r="AH2923" s="1157"/>
      <c r="AI2923" s="742">
        <f t="shared" si="373"/>
        <v>45859938</v>
      </c>
      <c r="AJ2923" s="743">
        <f t="shared" si="374"/>
        <v>47326986</v>
      </c>
    </row>
    <row r="2924" spans="1:36">
      <c r="A2924" s="1062" t="s">
        <v>147</v>
      </c>
      <c r="B2924" s="901" t="s">
        <v>264</v>
      </c>
      <c r="C2924" s="1172" t="s">
        <v>1169</v>
      </c>
      <c r="D2924" s="1173"/>
      <c r="E2924" s="1152">
        <v>227854</v>
      </c>
      <c r="F2924" s="911">
        <v>8</v>
      </c>
      <c r="G2924" s="846">
        <v>0</v>
      </c>
      <c r="H2924" s="1153">
        <v>0</v>
      </c>
      <c r="I2924" s="1154"/>
      <c r="J2924" s="1155"/>
      <c r="K2924" s="846"/>
      <c r="L2924" s="847"/>
      <c r="M2924" s="846"/>
      <c r="N2924" s="846"/>
      <c r="O2924" s="737">
        <f t="shared" si="367"/>
        <v>0</v>
      </c>
      <c r="P2924" s="1155"/>
      <c r="Q2924" s="1153"/>
      <c r="R2924" s="738">
        <f t="shared" si="370"/>
        <v>0</v>
      </c>
      <c r="S2924" s="737">
        <f t="shared" si="371"/>
        <v>0</v>
      </c>
      <c r="T2924" s="739">
        <f t="shared" si="372"/>
        <v>0</v>
      </c>
      <c r="U2924" s="846"/>
      <c r="V2924" s="847"/>
      <c r="W2924" s="846"/>
      <c r="X2924" s="846"/>
      <c r="Y2924" s="740">
        <f t="shared" si="368"/>
        <v>0</v>
      </c>
      <c r="Z2924" s="1156"/>
      <c r="AA2924" s="847"/>
      <c r="AB2924" s="741">
        <f t="shared" si="369"/>
        <v>0</v>
      </c>
      <c r="AC2924" s="846"/>
      <c r="AD2924" s="847"/>
      <c r="AE2924" s="846"/>
      <c r="AF2924" s="846"/>
      <c r="AG2924" s="1156"/>
      <c r="AH2924" s="1157"/>
      <c r="AI2924" s="742">
        <f t="shared" si="373"/>
        <v>0</v>
      </c>
      <c r="AJ2924" s="743">
        <f t="shared" si="374"/>
        <v>0</v>
      </c>
    </row>
    <row r="2925" spans="1:36">
      <c r="A2925" s="1062" t="s">
        <v>147</v>
      </c>
      <c r="B2925" s="901" t="s">
        <v>264</v>
      </c>
      <c r="C2925" s="1069" t="s">
        <v>1170</v>
      </c>
      <c r="D2925" s="1151"/>
      <c r="E2925" s="1152">
        <v>228547</v>
      </c>
      <c r="F2925" s="911">
        <v>8</v>
      </c>
      <c r="G2925" s="890">
        <v>70354985</v>
      </c>
      <c r="H2925" s="1153">
        <v>71132299</v>
      </c>
      <c r="I2925" s="1154"/>
      <c r="J2925" s="1155"/>
      <c r="K2925" s="846">
        <v>186261467</v>
      </c>
      <c r="L2925" s="847">
        <v>179789467</v>
      </c>
      <c r="M2925" s="846">
        <v>50245813</v>
      </c>
      <c r="N2925" s="846"/>
      <c r="O2925" s="737">
        <f t="shared" si="367"/>
        <v>50245813</v>
      </c>
      <c r="P2925" s="1155">
        <v>49371002</v>
      </c>
      <c r="Q2925" s="1153"/>
      <c r="R2925" s="738">
        <f t="shared" si="370"/>
        <v>49371002</v>
      </c>
      <c r="S2925" s="737">
        <f t="shared" si="371"/>
        <v>306862265</v>
      </c>
      <c r="T2925" s="739">
        <f t="shared" si="372"/>
        <v>300292768</v>
      </c>
      <c r="U2925" s="846"/>
      <c r="V2925" s="847"/>
      <c r="W2925" s="846"/>
      <c r="X2925" s="846"/>
      <c r="Y2925" s="740">
        <f t="shared" si="368"/>
        <v>0</v>
      </c>
      <c r="Z2925" s="1156"/>
      <c r="AA2925" s="847"/>
      <c r="AB2925" s="741">
        <f t="shared" si="369"/>
        <v>0</v>
      </c>
      <c r="AC2925" s="846"/>
      <c r="AD2925" s="847"/>
      <c r="AE2925" s="846"/>
      <c r="AF2925" s="846"/>
      <c r="AG2925" s="1156"/>
      <c r="AH2925" s="1157"/>
      <c r="AI2925" s="742">
        <f t="shared" si="373"/>
        <v>306862265</v>
      </c>
      <c r="AJ2925" s="743">
        <f t="shared" si="374"/>
        <v>300292768</v>
      </c>
    </row>
    <row r="2926" spans="1:36">
      <c r="A2926" s="1062" t="s">
        <v>147</v>
      </c>
      <c r="B2926" s="901" t="s">
        <v>264</v>
      </c>
      <c r="C2926" s="1069" t="s">
        <v>1171</v>
      </c>
      <c r="D2926" s="1363" t="s">
        <v>711</v>
      </c>
      <c r="E2926" s="1165">
        <v>229072</v>
      </c>
      <c r="F2926" s="1364">
        <v>9</v>
      </c>
      <c r="G2926" s="890">
        <v>6920817</v>
      </c>
      <c r="H2926" s="1153">
        <v>7042789</v>
      </c>
      <c r="I2926" s="1154"/>
      <c r="J2926" s="1155"/>
      <c r="K2926" s="846">
        <v>18257955</v>
      </c>
      <c r="L2926" s="847">
        <v>11284079</v>
      </c>
      <c r="M2926" s="846">
        <v>17786278</v>
      </c>
      <c r="N2926" s="846"/>
      <c r="O2926" s="737">
        <f t="shared" si="367"/>
        <v>17786278</v>
      </c>
      <c r="P2926" s="1155">
        <v>11611878</v>
      </c>
      <c r="Q2926" s="1153"/>
      <c r="R2926" s="738">
        <f t="shared" si="370"/>
        <v>11611878</v>
      </c>
      <c r="S2926" s="737">
        <f t="shared" si="371"/>
        <v>42965050</v>
      </c>
      <c r="T2926" s="739">
        <f t="shared" si="372"/>
        <v>29938746</v>
      </c>
      <c r="U2926" s="846"/>
      <c r="V2926" s="847"/>
      <c r="W2926" s="846"/>
      <c r="X2926" s="846"/>
      <c r="Y2926" s="740">
        <f t="shared" si="368"/>
        <v>0</v>
      </c>
      <c r="Z2926" s="1156"/>
      <c r="AA2926" s="847"/>
      <c r="AB2926" s="741">
        <f t="shared" si="369"/>
        <v>0</v>
      </c>
      <c r="AC2926" s="846"/>
      <c r="AD2926" s="847"/>
      <c r="AE2926" s="846"/>
      <c r="AF2926" s="846"/>
      <c r="AG2926" s="1156"/>
      <c r="AH2926" s="1157"/>
      <c r="AI2926" s="742">
        <f t="shared" si="373"/>
        <v>42965050</v>
      </c>
      <c r="AJ2926" s="743">
        <f t="shared" si="374"/>
        <v>29938746</v>
      </c>
    </row>
    <row r="2927" spans="1:36">
      <c r="A2927" s="1062" t="s">
        <v>147</v>
      </c>
      <c r="B2927" s="901" t="s">
        <v>264</v>
      </c>
      <c r="C2927" s="1175" t="s">
        <v>1172</v>
      </c>
      <c r="D2927" s="1363" t="s">
        <v>711</v>
      </c>
      <c r="E2927" s="1165">
        <v>228680</v>
      </c>
      <c r="F2927" s="1082">
        <v>9</v>
      </c>
      <c r="G2927" s="890">
        <v>30853124</v>
      </c>
      <c r="H2927" s="1153">
        <v>31208864</v>
      </c>
      <c r="I2927" s="1154"/>
      <c r="J2927" s="1155"/>
      <c r="K2927" s="846"/>
      <c r="L2927" s="847"/>
      <c r="M2927" s="846">
        <v>12299657</v>
      </c>
      <c r="N2927" s="846"/>
      <c r="O2927" s="737">
        <f t="shared" si="367"/>
        <v>12299657</v>
      </c>
      <c r="P2927" s="1155">
        <v>12589597</v>
      </c>
      <c r="Q2927" s="1153"/>
      <c r="R2927" s="738">
        <f t="shared" si="370"/>
        <v>12589597</v>
      </c>
      <c r="S2927" s="737">
        <f t="shared" si="371"/>
        <v>43152781</v>
      </c>
      <c r="T2927" s="739">
        <f t="shared" si="372"/>
        <v>43798461</v>
      </c>
      <c r="U2927" s="846"/>
      <c r="V2927" s="847"/>
      <c r="W2927" s="846"/>
      <c r="X2927" s="846"/>
      <c r="Y2927" s="740">
        <f t="shared" si="368"/>
        <v>0</v>
      </c>
      <c r="Z2927" s="1156"/>
      <c r="AA2927" s="847"/>
      <c r="AB2927" s="741">
        <f t="shared" si="369"/>
        <v>0</v>
      </c>
      <c r="AC2927" s="846"/>
      <c r="AD2927" s="847"/>
      <c r="AE2927" s="846"/>
      <c r="AF2927" s="846"/>
      <c r="AG2927" s="1156"/>
      <c r="AH2927" s="1157"/>
      <c r="AI2927" s="742">
        <f t="shared" si="373"/>
        <v>43152781</v>
      </c>
      <c r="AJ2927" s="743">
        <f t="shared" si="374"/>
        <v>43798461</v>
      </c>
    </row>
    <row r="2928" spans="1:36">
      <c r="A2928" s="1062" t="s">
        <v>147</v>
      </c>
      <c r="B2928" s="901" t="s">
        <v>264</v>
      </c>
      <c r="C2928" s="896" t="s">
        <v>1173</v>
      </c>
      <c r="D2928" s="1163"/>
      <c r="E2928" s="1152">
        <v>225308</v>
      </c>
      <c r="F2928" s="898">
        <v>8</v>
      </c>
      <c r="G2928" s="890">
        <v>13651877</v>
      </c>
      <c r="H2928" s="1153">
        <v>13764084</v>
      </c>
      <c r="I2928" s="1154"/>
      <c r="J2928" s="1155"/>
      <c r="K2928" s="846">
        <v>8543457</v>
      </c>
      <c r="L2928" s="847">
        <v>9205394</v>
      </c>
      <c r="M2928" s="846">
        <v>6681563</v>
      </c>
      <c r="N2928" s="846"/>
      <c r="O2928" s="737">
        <f t="shared" si="367"/>
        <v>6681563</v>
      </c>
      <c r="P2928" s="1155">
        <v>6678354</v>
      </c>
      <c r="Q2928" s="1153"/>
      <c r="R2928" s="738">
        <f t="shared" si="370"/>
        <v>6678354</v>
      </c>
      <c r="S2928" s="737">
        <f t="shared" si="371"/>
        <v>28876897</v>
      </c>
      <c r="T2928" s="739">
        <f t="shared" si="372"/>
        <v>29647832</v>
      </c>
      <c r="U2928" s="846"/>
      <c r="V2928" s="847"/>
      <c r="W2928" s="846"/>
      <c r="X2928" s="846"/>
      <c r="Y2928" s="740">
        <f t="shared" si="368"/>
        <v>0</v>
      </c>
      <c r="Z2928" s="1156"/>
      <c r="AA2928" s="847"/>
      <c r="AB2928" s="741">
        <f t="shared" si="369"/>
        <v>0</v>
      </c>
      <c r="AC2928" s="846"/>
      <c r="AD2928" s="847"/>
      <c r="AE2928" s="846"/>
      <c r="AF2928" s="846"/>
      <c r="AG2928" s="1156"/>
      <c r="AH2928" s="1157"/>
      <c r="AI2928" s="742">
        <f t="shared" si="373"/>
        <v>28876897</v>
      </c>
      <c r="AJ2928" s="743">
        <f t="shared" si="374"/>
        <v>29647832</v>
      </c>
    </row>
    <row r="2929" spans="1:36">
      <c r="A2929" s="1062" t="s">
        <v>147</v>
      </c>
      <c r="B2929" s="901" t="s">
        <v>264</v>
      </c>
      <c r="C2929" s="1069" t="s">
        <v>1174</v>
      </c>
      <c r="D2929" s="1151"/>
      <c r="E2929" s="1152">
        <v>229355</v>
      </c>
      <c r="F2929" s="911">
        <v>8</v>
      </c>
      <c r="G2929" s="890">
        <v>21040249</v>
      </c>
      <c r="H2929" s="1153">
        <v>21253314</v>
      </c>
      <c r="I2929" s="1154"/>
      <c r="J2929" s="1155"/>
      <c r="K2929" s="846">
        <v>21022138</v>
      </c>
      <c r="L2929" s="847">
        <v>21554921</v>
      </c>
      <c r="M2929" s="846">
        <v>13880102</v>
      </c>
      <c r="N2929" s="846"/>
      <c r="O2929" s="737">
        <f t="shared" si="367"/>
        <v>13880102</v>
      </c>
      <c r="P2929" s="1155">
        <v>12241079</v>
      </c>
      <c r="Q2929" s="1153"/>
      <c r="R2929" s="738">
        <f t="shared" si="370"/>
        <v>12241079</v>
      </c>
      <c r="S2929" s="737">
        <f t="shared" si="371"/>
        <v>55942489</v>
      </c>
      <c r="T2929" s="739">
        <f t="shared" si="372"/>
        <v>55049314</v>
      </c>
      <c r="U2929" s="846"/>
      <c r="V2929" s="847"/>
      <c r="W2929" s="846"/>
      <c r="X2929" s="846"/>
      <c r="Y2929" s="740">
        <f t="shared" si="368"/>
        <v>0</v>
      </c>
      <c r="Z2929" s="1156"/>
      <c r="AA2929" s="847"/>
      <c r="AB2929" s="741">
        <f t="shared" si="369"/>
        <v>0</v>
      </c>
      <c r="AC2929" s="846"/>
      <c r="AD2929" s="847"/>
      <c r="AE2929" s="846"/>
      <c r="AF2929" s="846"/>
      <c r="AG2929" s="1156"/>
      <c r="AH2929" s="1157"/>
      <c r="AI2929" s="742">
        <f t="shared" si="373"/>
        <v>55942489</v>
      </c>
      <c r="AJ2929" s="743">
        <f t="shared" si="374"/>
        <v>55049314</v>
      </c>
    </row>
    <row r="2930" spans="1:36">
      <c r="A2930" s="1062" t="s">
        <v>147</v>
      </c>
      <c r="B2930" s="901" t="s">
        <v>264</v>
      </c>
      <c r="C2930" s="1069" t="s">
        <v>1175</v>
      </c>
      <c r="D2930" s="1151"/>
      <c r="E2930" s="1152">
        <v>222567</v>
      </c>
      <c r="F2930" s="911">
        <v>9</v>
      </c>
      <c r="G2930" s="890">
        <v>9485797</v>
      </c>
      <c r="H2930" s="1153">
        <v>9580771</v>
      </c>
      <c r="I2930" s="1154"/>
      <c r="J2930" s="1155"/>
      <c r="K2930" s="846">
        <v>12261637</v>
      </c>
      <c r="L2930" s="847">
        <v>11586195</v>
      </c>
      <c r="M2930" s="846">
        <v>9095957</v>
      </c>
      <c r="N2930" s="846"/>
      <c r="O2930" s="737">
        <f t="shared" si="367"/>
        <v>9095957</v>
      </c>
      <c r="P2930" s="1155">
        <v>10252689</v>
      </c>
      <c r="Q2930" s="1153"/>
      <c r="R2930" s="738">
        <f t="shared" si="370"/>
        <v>10252689</v>
      </c>
      <c r="S2930" s="737">
        <f t="shared" si="371"/>
        <v>30843391</v>
      </c>
      <c r="T2930" s="739">
        <f t="shared" si="372"/>
        <v>31419655</v>
      </c>
      <c r="U2930" s="846"/>
      <c r="V2930" s="847"/>
      <c r="W2930" s="846"/>
      <c r="X2930" s="846"/>
      <c r="Y2930" s="740">
        <f t="shared" si="368"/>
        <v>0</v>
      </c>
      <c r="Z2930" s="1156"/>
      <c r="AA2930" s="847"/>
      <c r="AB2930" s="741">
        <f t="shared" si="369"/>
        <v>0</v>
      </c>
      <c r="AC2930" s="846"/>
      <c r="AD2930" s="847"/>
      <c r="AE2930" s="846"/>
      <c r="AF2930" s="846"/>
      <c r="AG2930" s="1156"/>
      <c r="AH2930" s="1157"/>
      <c r="AI2930" s="742">
        <f t="shared" si="373"/>
        <v>30843391</v>
      </c>
      <c r="AJ2930" s="743">
        <f t="shared" si="374"/>
        <v>31419655</v>
      </c>
    </row>
    <row r="2931" spans="1:36">
      <c r="A2931" s="1062" t="s">
        <v>147</v>
      </c>
      <c r="B2931" s="901" t="s">
        <v>264</v>
      </c>
      <c r="C2931" s="1069" t="s">
        <v>1176</v>
      </c>
      <c r="D2931" s="1151"/>
      <c r="E2931" s="1152">
        <v>222822</v>
      </c>
      <c r="F2931" s="911">
        <v>9</v>
      </c>
      <c r="G2931" s="890">
        <v>9286870</v>
      </c>
      <c r="H2931" s="1153">
        <v>9374730</v>
      </c>
      <c r="I2931" s="1154"/>
      <c r="J2931" s="1155"/>
      <c r="K2931" s="846">
        <v>6412418</v>
      </c>
      <c r="L2931" s="847">
        <v>4994911</v>
      </c>
      <c r="M2931" s="846">
        <v>4590713</v>
      </c>
      <c r="N2931" s="846"/>
      <c r="O2931" s="737">
        <f t="shared" si="367"/>
        <v>4590713</v>
      </c>
      <c r="P2931" s="1155">
        <v>5156839</v>
      </c>
      <c r="Q2931" s="1153"/>
      <c r="R2931" s="738">
        <f t="shared" si="370"/>
        <v>5156839</v>
      </c>
      <c r="S2931" s="737">
        <f t="shared" si="371"/>
        <v>20290001</v>
      </c>
      <c r="T2931" s="739">
        <f t="shared" si="372"/>
        <v>19526480</v>
      </c>
      <c r="U2931" s="846"/>
      <c r="V2931" s="847"/>
      <c r="W2931" s="846"/>
      <c r="X2931" s="846"/>
      <c r="Y2931" s="740">
        <f t="shared" si="368"/>
        <v>0</v>
      </c>
      <c r="Z2931" s="1156"/>
      <c r="AA2931" s="847"/>
      <c r="AB2931" s="741">
        <f t="shared" si="369"/>
        <v>0</v>
      </c>
      <c r="AC2931" s="846"/>
      <c r="AD2931" s="847"/>
      <c r="AE2931" s="846"/>
      <c r="AF2931" s="846"/>
      <c r="AG2931" s="1156"/>
      <c r="AH2931" s="1157"/>
      <c r="AI2931" s="742">
        <f t="shared" si="373"/>
        <v>20290001</v>
      </c>
      <c r="AJ2931" s="743">
        <f t="shared" si="374"/>
        <v>19526480</v>
      </c>
    </row>
    <row r="2932" spans="1:36">
      <c r="A2932" s="1062" t="s">
        <v>147</v>
      </c>
      <c r="B2932" s="901" t="s">
        <v>264</v>
      </c>
      <c r="C2932" s="1170" t="s">
        <v>1177</v>
      </c>
      <c r="D2932" s="1171"/>
      <c r="E2932" s="1152">
        <v>223773</v>
      </c>
      <c r="F2932" s="911">
        <v>9</v>
      </c>
      <c r="G2932" s="846">
        <v>0</v>
      </c>
      <c r="H2932" s="1153">
        <v>0</v>
      </c>
      <c r="I2932" s="1154"/>
      <c r="J2932" s="1155"/>
      <c r="K2932" s="846"/>
      <c r="L2932" s="847"/>
      <c r="M2932" s="846"/>
      <c r="N2932" s="846"/>
      <c r="O2932" s="737">
        <f t="shared" si="367"/>
        <v>0</v>
      </c>
      <c r="P2932" s="1155"/>
      <c r="Q2932" s="1153"/>
      <c r="R2932" s="738">
        <f t="shared" si="370"/>
        <v>0</v>
      </c>
      <c r="S2932" s="737">
        <f t="shared" si="371"/>
        <v>0</v>
      </c>
      <c r="T2932" s="739">
        <f t="shared" si="372"/>
        <v>0</v>
      </c>
      <c r="U2932" s="846"/>
      <c r="V2932" s="847"/>
      <c r="W2932" s="846"/>
      <c r="X2932" s="846"/>
      <c r="Y2932" s="740">
        <f t="shared" si="368"/>
        <v>0</v>
      </c>
      <c r="Z2932" s="1156"/>
      <c r="AA2932" s="847"/>
      <c r="AB2932" s="741">
        <f t="shared" si="369"/>
        <v>0</v>
      </c>
      <c r="AC2932" s="846"/>
      <c r="AD2932" s="847"/>
      <c r="AE2932" s="846"/>
      <c r="AF2932" s="846"/>
      <c r="AG2932" s="1156"/>
      <c r="AH2932" s="1157"/>
      <c r="AI2932" s="742">
        <f t="shared" si="373"/>
        <v>0</v>
      </c>
      <c r="AJ2932" s="743">
        <f t="shared" si="374"/>
        <v>0</v>
      </c>
    </row>
    <row r="2933" spans="1:36">
      <c r="A2933" s="1062" t="s">
        <v>147</v>
      </c>
      <c r="B2933" s="901" t="s">
        <v>264</v>
      </c>
      <c r="C2933" s="1069" t="s">
        <v>1178</v>
      </c>
      <c r="D2933" s="1151"/>
      <c r="E2933" s="1152">
        <v>223898</v>
      </c>
      <c r="F2933" s="911">
        <v>9</v>
      </c>
      <c r="G2933" s="890">
        <v>6343778</v>
      </c>
      <c r="H2933" s="1153">
        <v>6400297</v>
      </c>
      <c r="I2933" s="1154"/>
      <c r="J2933" s="1155"/>
      <c r="K2933" s="846">
        <v>597990</v>
      </c>
      <c r="L2933" s="847">
        <v>661898</v>
      </c>
      <c r="M2933" s="846">
        <v>1674009</v>
      </c>
      <c r="N2933" s="846"/>
      <c r="O2933" s="737">
        <f t="shared" si="367"/>
        <v>1674009</v>
      </c>
      <c r="P2933" s="1155">
        <v>1797793</v>
      </c>
      <c r="Q2933" s="1153"/>
      <c r="R2933" s="738">
        <f t="shared" si="370"/>
        <v>1797793</v>
      </c>
      <c r="S2933" s="737">
        <f t="shared" si="371"/>
        <v>8615777</v>
      </c>
      <c r="T2933" s="739">
        <f t="shared" si="372"/>
        <v>8859988</v>
      </c>
      <c r="U2933" s="846"/>
      <c r="V2933" s="847"/>
      <c r="W2933" s="846"/>
      <c r="X2933" s="846"/>
      <c r="Y2933" s="740">
        <f t="shared" si="368"/>
        <v>0</v>
      </c>
      <c r="Z2933" s="1156"/>
      <c r="AA2933" s="847"/>
      <c r="AB2933" s="741">
        <f t="shared" si="369"/>
        <v>0</v>
      </c>
      <c r="AC2933" s="846"/>
      <c r="AD2933" s="847"/>
      <c r="AE2933" s="846"/>
      <c r="AF2933" s="846"/>
      <c r="AG2933" s="1156"/>
      <c r="AH2933" s="1157"/>
      <c r="AI2933" s="742">
        <f t="shared" si="373"/>
        <v>8615777</v>
      </c>
      <c r="AJ2933" s="743">
        <f t="shared" si="374"/>
        <v>8859988</v>
      </c>
    </row>
    <row r="2934" spans="1:36">
      <c r="A2934" s="1062" t="s">
        <v>147</v>
      </c>
      <c r="B2934" s="901" t="s">
        <v>264</v>
      </c>
      <c r="C2934" s="1069" t="s">
        <v>1179</v>
      </c>
      <c r="D2934" s="1151"/>
      <c r="E2934" s="1152">
        <v>223320</v>
      </c>
      <c r="F2934" s="911">
        <v>9</v>
      </c>
      <c r="G2934" s="890">
        <v>7631691</v>
      </c>
      <c r="H2934" s="1153">
        <v>7703600</v>
      </c>
      <c r="I2934" s="1154"/>
      <c r="J2934" s="1155"/>
      <c r="K2934" s="846">
        <v>1904067</v>
      </c>
      <c r="L2934" s="847">
        <v>2322315</v>
      </c>
      <c r="M2934" s="846">
        <v>3067124</v>
      </c>
      <c r="N2934" s="846"/>
      <c r="O2934" s="737">
        <f t="shared" si="367"/>
        <v>3067124</v>
      </c>
      <c r="P2934" s="1155">
        <v>4076778</v>
      </c>
      <c r="Q2934" s="1153"/>
      <c r="R2934" s="738">
        <f t="shared" si="370"/>
        <v>4076778</v>
      </c>
      <c r="S2934" s="737">
        <f t="shared" si="371"/>
        <v>12602882</v>
      </c>
      <c r="T2934" s="739">
        <f t="shared" si="372"/>
        <v>14102693</v>
      </c>
      <c r="U2934" s="846"/>
      <c r="V2934" s="847"/>
      <c r="W2934" s="846"/>
      <c r="X2934" s="846"/>
      <c r="Y2934" s="740">
        <f t="shared" si="368"/>
        <v>0</v>
      </c>
      <c r="Z2934" s="1156"/>
      <c r="AA2934" s="847"/>
      <c r="AB2934" s="741">
        <f t="shared" si="369"/>
        <v>0</v>
      </c>
      <c r="AC2934" s="846"/>
      <c r="AD2934" s="847"/>
      <c r="AE2934" s="846"/>
      <c r="AF2934" s="846"/>
      <c r="AG2934" s="1156"/>
      <c r="AH2934" s="1157"/>
      <c r="AI2934" s="742">
        <f t="shared" si="373"/>
        <v>12602882</v>
      </c>
      <c r="AJ2934" s="743">
        <f t="shared" si="374"/>
        <v>14102693</v>
      </c>
    </row>
    <row r="2935" spans="1:36">
      <c r="A2935" s="1062" t="s">
        <v>147</v>
      </c>
      <c r="B2935" s="901" t="s">
        <v>264</v>
      </c>
      <c r="C2935" s="1069" t="s">
        <v>1180</v>
      </c>
      <c r="D2935" s="1151"/>
      <c r="E2935" s="1152">
        <v>226408</v>
      </c>
      <c r="F2935" s="911">
        <v>9</v>
      </c>
      <c r="G2935" s="890">
        <v>8677096</v>
      </c>
      <c r="H2935" s="1153">
        <v>8810313</v>
      </c>
      <c r="I2935" s="1154"/>
      <c r="J2935" s="1155"/>
      <c r="K2935" s="846">
        <v>21137942</v>
      </c>
      <c r="L2935" s="847">
        <v>20303526</v>
      </c>
      <c r="M2935" s="846">
        <v>3306016</v>
      </c>
      <c r="N2935" s="846"/>
      <c r="O2935" s="737">
        <f t="shared" si="367"/>
        <v>3306016</v>
      </c>
      <c r="P2935" s="1155">
        <v>4013377</v>
      </c>
      <c r="Q2935" s="1153"/>
      <c r="R2935" s="738">
        <f t="shared" si="370"/>
        <v>4013377</v>
      </c>
      <c r="S2935" s="737">
        <f t="shared" si="371"/>
        <v>33121054</v>
      </c>
      <c r="T2935" s="739">
        <f t="shared" si="372"/>
        <v>33127216</v>
      </c>
      <c r="U2935" s="846"/>
      <c r="V2935" s="847"/>
      <c r="W2935" s="846"/>
      <c r="X2935" s="846"/>
      <c r="Y2935" s="740">
        <f t="shared" si="368"/>
        <v>0</v>
      </c>
      <c r="Z2935" s="1156"/>
      <c r="AA2935" s="847"/>
      <c r="AB2935" s="741">
        <f t="shared" si="369"/>
        <v>0</v>
      </c>
      <c r="AC2935" s="846"/>
      <c r="AD2935" s="847"/>
      <c r="AE2935" s="846"/>
      <c r="AF2935" s="846"/>
      <c r="AG2935" s="1156"/>
      <c r="AH2935" s="1157"/>
      <c r="AI2935" s="742">
        <f t="shared" si="373"/>
        <v>33121054</v>
      </c>
      <c r="AJ2935" s="743">
        <f t="shared" si="374"/>
        <v>33127216</v>
      </c>
    </row>
    <row r="2936" spans="1:36">
      <c r="A2936" s="1062" t="s">
        <v>147</v>
      </c>
      <c r="B2936" s="901" t="s">
        <v>264</v>
      </c>
      <c r="C2936" s="1069" t="s">
        <v>1181</v>
      </c>
      <c r="D2936" s="1151"/>
      <c r="E2936" s="1152">
        <v>225070</v>
      </c>
      <c r="F2936" s="911">
        <v>9</v>
      </c>
      <c r="G2936" s="890">
        <v>9276759</v>
      </c>
      <c r="H2936" s="1153">
        <v>9366002</v>
      </c>
      <c r="I2936" s="1154"/>
      <c r="J2936" s="1155"/>
      <c r="K2936" s="846">
        <v>12822686</v>
      </c>
      <c r="L2936" s="847">
        <v>9296000</v>
      </c>
      <c r="M2936" s="846">
        <v>4877086</v>
      </c>
      <c r="N2936" s="846"/>
      <c r="O2936" s="737">
        <f t="shared" si="367"/>
        <v>4877086</v>
      </c>
      <c r="P2936" s="1155">
        <v>4813795</v>
      </c>
      <c r="Q2936" s="1153"/>
      <c r="R2936" s="738">
        <f t="shared" si="370"/>
        <v>4813795</v>
      </c>
      <c r="S2936" s="737">
        <f t="shared" si="371"/>
        <v>26976531</v>
      </c>
      <c r="T2936" s="739">
        <f t="shared" si="372"/>
        <v>23475797</v>
      </c>
      <c r="U2936" s="846"/>
      <c r="V2936" s="847"/>
      <c r="W2936" s="846"/>
      <c r="X2936" s="846"/>
      <c r="Y2936" s="740">
        <f t="shared" si="368"/>
        <v>0</v>
      </c>
      <c r="Z2936" s="1156"/>
      <c r="AA2936" s="847"/>
      <c r="AB2936" s="741">
        <f t="shared" si="369"/>
        <v>0</v>
      </c>
      <c r="AC2936" s="846"/>
      <c r="AD2936" s="847"/>
      <c r="AE2936" s="846"/>
      <c r="AF2936" s="846"/>
      <c r="AG2936" s="1156"/>
      <c r="AH2936" s="1157"/>
      <c r="AI2936" s="742">
        <f t="shared" si="373"/>
        <v>26976531</v>
      </c>
      <c r="AJ2936" s="743">
        <f t="shared" si="374"/>
        <v>23475797</v>
      </c>
    </row>
    <row r="2937" spans="1:36">
      <c r="A2937" s="1062" t="s">
        <v>147</v>
      </c>
      <c r="B2937" s="901" t="s">
        <v>264</v>
      </c>
      <c r="C2937" s="1069" t="s">
        <v>1182</v>
      </c>
      <c r="D2937" s="1151"/>
      <c r="E2937" s="1152">
        <v>225371</v>
      </c>
      <c r="F2937" s="911">
        <v>9</v>
      </c>
      <c r="G2937" s="890">
        <v>8938429</v>
      </c>
      <c r="H2937" s="1153">
        <v>9002936</v>
      </c>
      <c r="I2937" s="1154"/>
      <c r="J2937" s="1155"/>
      <c r="K2937" s="846">
        <v>1427422</v>
      </c>
      <c r="L2937" s="847">
        <v>1464810</v>
      </c>
      <c r="M2937" s="846">
        <v>3558023</v>
      </c>
      <c r="N2937" s="846"/>
      <c r="O2937" s="737">
        <f t="shared" si="367"/>
        <v>3558023</v>
      </c>
      <c r="P2937" s="1155">
        <v>3506436</v>
      </c>
      <c r="Q2937" s="1153"/>
      <c r="R2937" s="738">
        <f t="shared" si="370"/>
        <v>3506436</v>
      </c>
      <c r="S2937" s="737">
        <f t="shared" si="371"/>
        <v>13923874</v>
      </c>
      <c r="T2937" s="739">
        <f t="shared" si="372"/>
        <v>13974182</v>
      </c>
      <c r="U2937" s="846"/>
      <c r="V2937" s="847"/>
      <c r="W2937" s="846"/>
      <c r="X2937" s="846"/>
      <c r="Y2937" s="740">
        <f t="shared" si="368"/>
        <v>0</v>
      </c>
      <c r="Z2937" s="1156"/>
      <c r="AA2937" s="847"/>
      <c r="AB2937" s="741">
        <f t="shared" si="369"/>
        <v>0</v>
      </c>
      <c r="AC2937" s="846"/>
      <c r="AD2937" s="847"/>
      <c r="AE2937" s="846"/>
      <c r="AF2937" s="846"/>
      <c r="AG2937" s="1156"/>
      <c r="AH2937" s="1157"/>
      <c r="AI2937" s="742">
        <f t="shared" si="373"/>
        <v>13923874</v>
      </c>
      <c r="AJ2937" s="743">
        <f t="shared" si="374"/>
        <v>13974182</v>
      </c>
    </row>
    <row r="2938" spans="1:36">
      <c r="A2938" s="1062" t="s">
        <v>147</v>
      </c>
      <c r="B2938" s="901" t="s">
        <v>264</v>
      </c>
      <c r="C2938" s="1176" t="s">
        <v>1183</v>
      </c>
      <c r="D2938" s="1177"/>
      <c r="E2938" s="1152">
        <v>225520</v>
      </c>
      <c r="F2938" s="911">
        <v>9</v>
      </c>
      <c r="G2938" s="890">
        <v>11569698</v>
      </c>
      <c r="H2938" s="1153">
        <v>11662304</v>
      </c>
      <c r="I2938" s="1154"/>
      <c r="J2938" s="1155"/>
      <c r="K2938" s="846">
        <v>6299672</v>
      </c>
      <c r="L2938" s="847">
        <v>5118233</v>
      </c>
      <c r="M2938" s="846">
        <v>4183889</v>
      </c>
      <c r="N2938" s="846"/>
      <c r="O2938" s="737">
        <f t="shared" si="367"/>
        <v>4183889</v>
      </c>
      <c r="P2938" s="1155">
        <v>4180218</v>
      </c>
      <c r="Q2938" s="1153"/>
      <c r="R2938" s="738">
        <f t="shared" si="370"/>
        <v>4180218</v>
      </c>
      <c r="S2938" s="737">
        <f t="shared" si="371"/>
        <v>22053259</v>
      </c>
      <c r="T2938" s="739">
        <f t="shared" si="372"/>
        <v>20960755</v>
      </c>
      <c r="U2938" s="846"/>
      <c r="V2938" s="847"/>
      <c r="W2938" s="846"/>
      <c r="X2938" s="846"/>
      <c r="Y2938" s="740">
        <f t="shared" si="368"/>
        <v>0</v>
      </c>
      <c r="Z2938" s="1156"/>
      <c r="AA2938" s="847"/>
      <c r="AB2938" s="741">
        <f t="shared" si="369"/>
        <v>0</v>
      </c>
      <c r="AC2938" s="846"/>
      <c r="AD2938" s="847"/>
      <c r="AE2938" s="846"/>
      <c r="AF2938" s="846"/>
      <c r="AG2938" s="1156"/>
      <c r="AH2938" s="1157"/>
      <c r="AI2938" s="742">
        <f t="shared" si="373"/>
        <v>22053259</v>
      </c>
      <c r="AJ2938" s="743">
        <f t="shared" si="374"/>
        <v>20960755</v>
      </c>
    </row>
    <row r="2939" spans="1:36">
      <c r="A2939" s="1062" t="s">
        <v>147</v>
      </c>
      <c r="B2939" s="901" t="s">
        <v>264</v>
      </c>
      <c r="C2939" s="1178" t="s">
        <v>1184</v>
      </c>
      <c r="D2939" s="1151"/>
      <c r="E2939" s="1152">
        <v>441760</v>
      </c>
      <c r="F2939" s="911">
        <v>9</v>
      </c>
      <c r="G2939" s="846">
        <v>10445237</v>
      </c>
      <c r="H2939" s="1153">
        <v>10573399</v>
      </c>
      <c r="I2939" s="1154"/>
      <c r="J2939" s="1155"/>
      <c r="K2939" s="846"/>
      <c r="L2939" s="847"/>
      <c r="M2939" s="846">
        <v>7664409</v>
      </c>
      <c r="N2939" s="846"/>
      <c r="O2939" s="737">
        <f t="shared" si="367"/>
        <v>7664409</v>
      </c>
      <c r="P2939" s="1155">
        <v>6402790</v>
      </c>
      <c r="Q2939" s="1153"/>
      <c r="R2939" s="738">
        <f t="shared" si="370"/>
        <v>6402790</v>
      </c>
      <c r="S2939" s="737">
        <f t="shared" si="371"/>
        <v>18109646</v>
      </c>
      <c r="T2939" s="739">
        <f t="shared" si="372"/>
        <v>16976189</v>
      </c>
      <c r="U2939" s="846"/>
      <c r="V2939" s="847"/>
      <c r="W2939" s="846"/>
      <c r="X2939" s="846"/>
      <c r="Y2939" s="740">
        <f t="shared" si="368"/>
        <v>0</v>
      </c>
      <c r="Z2939" s="1156"/>
      <c r="AA2939" s="847"/>
      <c r="AB2939" s="741">
        <f t="shared" si="369"/>
        <v>0</v>
      </c>
      <c r="AC2939" s="846"/>
      <c r="AD2939" s="847"/>
      <c r="AE2939" s="846"/>
      <c r="AF2939" s="846"/>
      <c r="AG2939" s="1156"/>
      <c r="AH2939" s="1157"/>
      <c r="AI2939" s="742">
        <f t="shared" si="373"/>
        <v>18109646</v>
      </c>
      <c r="AJ2939" s="743">
        <f t="shared" si="374"/>
        <v>16976189</v>
      </c>
    </row>
    <row r="2940" spans="1:36">
      <c r="A2940" s="1062" t="s">
        <v>147</v>
      </c>
      <c r="B2940" s="901" t="s">
        <v>264</v>
      </c>
      <c r="C2940" s="1179" t="s">
        <v>1185</v>
      </c>
      <c r="D2940" s="1365" t="s">
        <v>532</v>
      </c>
      <c r="E2940" s="1180">
        <v>226116</v>
      </c>
      <c r="F2940" s="1366">
        <v>9</v>
      </c>
      <c r="G2940" s="846">
        <v>12065142</v>
      </c>
      <c r="H2940" s="1153">
        <v>12214137</v>
      </c>
      <c r="I2940" s="1154"/>
      <c r="J2940" s="1155"/>
      <c r="K2940" s="846"/>
      <c r="L2940" s="1181"/>
      <c r="M2940" s="846">
        <v>5086397</v>
      </c>
      <c r="N2940" s="846"/>
      <c r="O2940" s="737">
        <f t="shared" si="367"/>
        <v>5086397</v>
      </c>
      <c r="P2940" s="1155">
        <v>4286938</v>
      </c>
      <c r="Q2940" s="1153"/>
      <c r="R2940" s="738">
        <f t="shared" si="370"/>
        <v>4286938</v>
      </c>
      <c r="S2940" s="737">
        <f t="shared" si="371"/>
        <v>17151539</v>
      </c>
      <c r="T2940" s="739">
        <f t="shared" si="372"/>
        <v>16501075</v>
      </c>
      <c r="U2940" s="846"/>
      <c r="V2940" s="847"/>
      <c r="W2940" s="846"/>
      <c r="X2940" s="846"/>
      <c r="Y2940" s="740">
        <f t="shared" si="368"/>
        <v>0</v>
      </c>
      <c r="Z2940" s="1156"/>
      <c r="AA2940" s="847"/>
      <c r="AB2940" s="741">
        <f t="shared" si="369"/>
        <v>0</v>
      </c>
      <c r="AC2940" s="846"/>
      <c r="AD2940" s="847"/>
      <c r="AE2940" s="846"/>
      <c r="AF2940" s="846"/>
      <c r="AG2940" s="1156"/>
      <c r="AH2940" s="1157"/>
      <c r="AI2940" s="742">
        <f t="shared" si="373"/>
        <v>17151539</v>
      </c>
      <c r="AJ2940" s="743">
        <f t="shared" si="374"/>
        <v>16501075</v>
      </c>
    </row>
    <row r="2941" spans="1:36">
      <c r="A2941" s="1062" t="s">
        <v>147</v>
      </c>
      <c r="B2941" s="901" t="s">
        <v>264</v>
      </c>
      <c r="C2941" s="1069" t="s">
        <v>1186</v>
      </c>
      <c r="D2941" s="1151"/>
      <c r="E2941" s="1152">
        <v>226204</v>
      </c>
      <c r="F2941" s="911">
        <v>9</v>
      </c>
      <c r="G2941" s="890">
        <v>11416171</v>
      </c>
      <c r="H2941" s="1153">
        <v>11538994</v>
      </c>
      <c r="I2941" s="1154"/>
      <c r="J2941" s="1155"/>
      <c r="K2941" s="846">
        <v>21293088</v>
      </c>
      <c r="L2941" s="847">
        <v>19719673</v>
      </c>
      <c r="M2941" s="846">
        <v>6283578</v>
      </c>
      <c r="N2941" s="846"/>
      <c r="O2941" s="737">
        <f t="shared" si="367"/>
        <v>6283578</v>
      </c>
      <c r="P2941" s="1155">
        <v>6355384</v>
      </c>
      <c r="Q2941" s="1153"/>
      <c r="R2941" s="738">
        <f t="shared" si="370"/>
        <v>6355384</v>
      </c>
      <c r="S2941" s="737">
        <f t="shared" si="371"/>
        <v>38992837</v>
      </c>
      <c r="T2941" s="739">
        <f t="shared" si="372"/>
        <v>37614051</v>
      </c>
      <c r="U2941" s="846"/>
      <c r="V2941" s="847"/>
      <c r="W2941" s="846"/>
      <c r="X2941" s="846"/>
      <c r="Y2941" s="740">
        <f t="shared" si="368"/>
        <v>0</v>
      </c>
      <c r="Z2941" s="1156"/>
      <c r="AA2941" s="847"/>
      <c r="AB2941" s="741">
        <f t="shared" si="369"/>
        <v>0</v>
      </c>
      <c r="AC2941" s="846"/>
      <c r="AD2941" s="847"/>
      <c r="AE2941" s="846"/>
      <c r="AF2941" s="846"/>
      <c r="AG2941" s="1156"/>
      <c r="AH2941" s="1157"/>
      <c r="AI2941" s="742">
        <f t="shared" si="373"/>
        <v>38992837</v>
      </c>
      <c r="AJ2941" s="743">
        <f t="shared" si="374"/>
        <v>37614051</v>
      </c>
    </row>
    <row r="2942" spans="1:36">
      <c r="A2942" s="1062" t="s">
        <v>147</v>
      </c>
      <c r="B2942" s="901" t="s">
        <v>264</v>
      </c>
      <c r="C2942" s="1170" t="s">
        <v>1187</v>
      </c>
      <c r="D2942" s="1167"/>
      <c r="E2942" s="1152">
        <v>226930</v>
      </c>
      <c r="F2942" s="911">
        <v>9</v>
      </c>
      <c r="G2942" s="846">
        <v>0</v>
      </c>
      <c r="H2942" s="1153">
        <v>0</v>
      </c>
      <c r="I2942" s="1154"/>
      <c r="J2942" s="1155"/>
      <c r="K2942" s="846"/>
      <c r="L2942" s="847"/>
      <c r="M2942" s="846"/>
      <c r="N2942" s="846"/>
      <c r="O2942" s="737">
        <f t="shared" si="367"/>
        <v>0</v>
      </c>
      <c r="P2942" s="1155"/>
      <c r="Q2942" s="1153"/>
      <c r="R2942" s="738">
        <f t="shared" si="370"/>
        <v>0</v>
      </c>
      <c r="S2942" s="737">
        <f t="shared" si="371"/>
        <v>0</v>
      </c>
      <c r="T2942" s="739">
        <f t="shared" si="372"/>
        <v>0</v>
      </c>
      <c r="U2942" s="846"/>
      <c r="V2942" s="847"/>
      <c r="W2942" s="846"/>
      <c r="X2942" s="846"/>
      <c r="Y2942" s="740">
        <f t="shared" si="368"/>
        <v>0</v>
      </c>
      <c r="Z2942" s="1156"/>
      <c r="AA2942" s="847"/>
      <c r="AB2942" s="741">
        <f t="shared" si="369"/>
        <v>0</v>
      </c>
      <c r="AC2942" s="846"/>
      <c r="AD2942" s="847"/>
      <c r="AE2942" s="846"/>
      <c r="AF2942" s="846"/>
      <c r="AG2942" s="1156"/>
      <c r="AH2942" s="1157"/>
      <c r="AI2942" s="742">
        <f t="shared" si="373"/>
        <v>0</v>
      </c>
      <c r="AJ2942" s="743">
        <f t="shared" si="374"/>
        <v>0</v>
      </c>
    </row>
    <row r="2943" spans="1:36">
      <c r="A2943" s="1062" t="s">
        <v>147</v>
      </c>
      <c r="B2943" s="901" t="s">
        <v>264</v>
      </c>
      <c r="C2943" s="896" t="s">
        <v>1188</v>
      </c>
      <c r="D2943" s="1163"/>
      <c r="E2943" s="1152">
        <v>227225</v>
      </c>
      <c r="F2943" s="898">
        <v>9</v>
      </c>
      <c r="G2943" s="890">
        <v>6062247</v>
      </c>
      <c r="H2943" s="1153">
        <v>6119068</v>
      </c>
      <c r="I2943" s="1154"/>
      <c r="J2943" s="1155"/>
      <c r="K2943" s="846">
        <v>4374652</v>
      </c>
      <c r="L2943" s="847">
        <v>3011059</v>
      </c>
      <c r="M2943" s="846">
        <v>3107885</v>
      </c>
      <c r="N2943" s="846"/>
      <c r="O2943" s="737">
        <f t="shared" si="367"/>
        <v>3107885</v>
      </c>
      <c r="P2943" s="1155">
        <v>3349945</v>
      </c>
      <c r="Q2943" s="1153"/>
      <c r="R2943" s="738">
        <f t="shared" si="370"/>
        <v>3349945</v>
      </c>
      <c r="S2943" s="737">
        <f t="shared" si="371"/>
        <v>13544784</v>
      </c>
      <c r="T2943" s="739">
        <f t="shared" si="372"/>
        <v>12480072</v>
      </c>
      <c r="U2943" s="846"/>
      <c r="V2943" s="847"/>
      <c r="W2943" s="846"/>
      <c r="X2943" s="846"/>
      <c r="Y2943" s="740">
        <f t="shared" si="368"/>
        <v>0</v>
      </c>
      <c r="Z2943" s="1156"/>
      <c r="AA2943" s="847"/>
      <c r="AB2943" s="741">
        <f t="shared" si="369"/>
        <v>0</v>
      </c>
      <c r="AC2943" s="846"/>
      <c r="AD2943" s="847"/>
      <c r="AE2943" s="846"/>
      <c r="AF2943" s="846"/>
      <c r="AG2943" s="1156"/>
      <c r="AH2943" s="1157"/>
      <c r="AI2943" s="742">
        <f t="shared" si="373"/>
        <v>13544784</v>
      </c>
      <c r="AJ2943" s="743">
        <f t="shared" si="374"/>
        <v>12480072</v>
      </c>
    </row>
    <row r="2944" spans="1:36">
      <c r="A2944" s="1062" t="s">
        <v>147</v>
      </c>
      <c r="B2944" s="901" t="s">
        <v>264</v>
      </c>
      <c r="C2944" s="1069" t="s">
        <v>1189</v>
      </c>
      <c r="D2944" s="1151"/>
      <c r="E2944" s="1152">
        <v>227304</v>
      </c>
      <c r="F2944" s="911">
        <v>9</v>
      </c>
      <c r="G2944" s="890">
        <v>9661125</v>
      </c>
      <c r="H2944" s="1153">
        <v>9784039</v>
      </c>
      <c r="I2944" s="1154"/>
      <c r="J2944" s="1155"/>
      <c r="K2944" s="846">
        <v>22655419</v>
      </c>
      <c r="L2944" s="847">
        <v>24150400</v>
      </c>
      <c r="M2944" s="846">
        <v>7578923</v>
      </c>
      <c r="N2944" s="846"/>
      <c r="O2944" s="737">
        <f t="shared" si="367"/>
        <v>7578923</v>
      </c>
      <c r="P2944" s="1155">
        <v>6947080</v>
      </c>
      <c r="Q2944" s="1153"/>
      <c r="R2944" s="738">
        <f t="shared" si="370"/>
        <v>6947080</v>
      </c>
      <c r="S2944" s="737">
        <f t="shared" si="371"/>
        <v>39895467</v>
      </c>
      <c r="T2944" s="739">
        <f t="shared" si="372"/>
        <v>40881519</v>
      </c>
      <c r="U2944" s="846"/>
      <c r="V2944" s="847"/>
      <c r="W2944" s="846"/>
      <c r="X2944" s="846"/>
      <c r="Y2944" s="740">
        <f t="shared" si="368"/>
        <v>0</v>
      </c>
      <c r="Z2944" s="1156"/>
      <c r="AA2944" s="847"/>
      <c r="AB2944" s="741">
        <f t="shared" si="369"/>
        <v>0</v>
      </c>
      <c r="AC2944" s="846"/>
      <c r="AD2944" s="847"/>
      <c r="AE2944" s="846"/>
      <c r="AF2944" s="846"/>
      <c r="AG2944" s="1156"/>
      <c r="AH2944" s="1157"/>
      <c r="AI2944" s="742">
        <f t="shared" si="373"/>
        <v>39895467</v>
      </c>
      <c r="AJ2944" s="743">
        <f t="shared" si="374"/>
        <v>40881519</v>
      </c>
    </row>
    <row r="2945" spans="1:36">
      <c r="A2945" s="1062" t="s">
        <v>147</v>
      </c>
      <c r="B2945" s="901" t="s">
        <v>264</v>
      </c>
      <c r="C2945" s="1069" t="s">
        <v>1190</v>
      </c>
      <c r="D2945" s="1151"/>
      <c r="E2945" s="1152">
        <v>227401</v>
      </c>
      <c r="F2945" s="911">
        <v>9</v>
      </c>
      <c r="G2945" s="890">
        <v>10072131</v>
      </c>
      <c r="H2945" s="1153">
        <v>10146965</v>
      </c>
      <c r="I2945" s="1154"/>
      <c r="J2945" s="1155"/>
      <c r="K2945" s="846">
        <v>2891428</v>
      </c>
      <c r="L2945" s="847">
        <v>2920185</v>
      </c>
      <c r="M2945" s="846">
        <v>5375845</v>
      </c>
      <c r="N2945" s="846"/>
      <c r="O2945" s="737">
        <f t="shared" si="367"/>
        <v>5375845</v>
      </c>
      <c r="P2945" s="1155">
        <v>5899150</v>
      </c>
      <c r="Q2945" s="1153"/>
      <c r="R2945" s="738">
        <f t="shared" si="370"/>
        <v>5899150</v>
      </c>
      <c r="S2945" s="737">
        <f t="shared" si="371"/>
        <v>18339404</v>
      </c>
      <c r="T2945" s="739">
        <f t="shared" si="372"/>
        <v>18966300</v>
      </c>
      <c r="U2945" s="846"/>
      <c r="V2945" s="847"/>
      <c r="W2945" s="846"/>
      <c r="X2945" s="846"/>
      <c r="Y2945" s="740">
        <f t="shared" si="368"/>
        <v>0</v>
      </c>
      <c r="Z2945" s="1156"/>
      <c r="AA2945" s="847"/>
      <c r="AB2945" s="741">
        <f t="shared" si="369"/>
        <v>0</v>
      </c>
      <c r="AC2945" s="846"/>
      <c r="AD2945" s="847"/>
      <c r="AE2945" s="846"/>
      <c r="AF2945" s="846"/>
      <c r="AG2945" s="1156"/>
      <c r="AH2945" s="1157"/>
      <c r="AI2945" s="742">
        <f t="shared" si="373"/>
        <v>18339404</v>
      </c>
      <c r="AJ2945" s="743">
        <f t="shared" si="374"/>
        <v>18966300</v>
      </c>
    </row>
    <row r="2946" spans="1:36">
      <c r="A2946" s="1062" t="s">
        <v>147</v>
      </c>
      <c r="B2946" s="901" t="s">
        <v>264</v>
      </c>
      <c r="C2946" s="1069" t="s">
        <v>1191</v>
      </c>
      <c r="D2946" s="1151"/>
      <c r="E2946" s="1152">
        <v>228316</v>
      </c>
      <c r="F2946" s="911">
        <v>9</v>
      </c>
      <c r="G2946" s="890">
        <v>8988542</v>
      </c>
      <c r="H2946" s="1153">
        <v>9073178</v>
      </c>
      <c r="I2946" s="1154"/>
      <c r="J2946" s="1155"/>
      <c r="K2946" s="846">
        <v>2703529</v>
      </c>
      <c r="L2946" s="847">
        <v>3121746</v>
      </c>
      <c r="M2946" s="846">
        <v>5130032</v>
      </c>
      <c r="N2946" s="846"/>
      <c r="O2946" s="737">
        <f t="shared" si="367"/>
        <v>5130032</v>
      </c>
      <c r="P2946" s="1155">
        <v>5567283</v>
      </c>
      <c r="Q2946" s="1153"/>
      <c r="R2946" s="738">
        <f t="shared" si="370"/>
        <v>5567283</v>
      </c>
      <c r="S2946" s="737">
        <f t="shared" si="371"/>
        <v>16822103</v>
      </c>
      <c r="T2946" s="739">
        <f t="shared" si="372"/>
        <v>17762207</v>
      </c>
      <c r="U2946" s="846"/>
      <c r="V2946" s="847"/>
      <c r="W2946" s="846"/>
      <c r="X2946" s="846"/>
      <c r="Y2946" s="740">
        <f t="shared" si="368"/>
        <v>0</v>
      </c>
      <c r="Z2946" s="1156"/>
      <c r="AA2946" s="847"/>
      <c r="AB2946" s="741">
        <f t="shared" si="369"/>
        <v>0</v>
      </c>
      <c r="AC2946" s="846"/>
      <c r="AD2946" s="847"/>
      <c r="AE2946" s="846"/>
      <c r="AF2946" s="846"/>
      <c r="AG2946" s="1156"/>
      <c r="AH2946" s="1157"/>
      <c r="AI2946" s="742">
        <f t="shared" si="373"/>
        <v>16822103</v>
      </c>
      <c r="AJ2946" s="743">
        <f t="shared" si="374"/>
        <v>17762207</v>
      </c>
    </row>
    <row r="2947" spans="1:36">
      <c r="A2947" s="1062" t="s">
        <v>147</v>
      </c>
      <c r="B2947" s="901" t="s">
        <v>264</v>
      </c>
      <c r="C2947" s="1069" t="s">
        <v>1192</v>
      </c>
      <c r="D2947" s="1151"/>
      <c r="E2947" s="1152">
        <v>228608</v>
      </c>
      <c r="F2947" s="911">
        <v>9</v>
      </c>
      <c r="G2947" s="890">
        <v>9718571</v>
      </c>
      <c r="H2947" s="1153">
        <v>9806731</v>
      </c>
      <c r="I2947" s="1154"/>
      <c r="J2947" s="1155"/>
      <c r="K2947" s="846">
        <v>7275176</v>
      </c>
      <c r="L2947" s="847">
        <v>5524656</v>
      </c>
      <c r="M2947" s="846">
        <v>12237686</v>
      </c>
      <c r="N2947" s="846"/>
      <c r="O2947" s="737">
        <f t="shared" si="367"/>
        <v>12237686</v>
      </c>
      <c r="P2947" s="1155">
        <v>11467980</v>
      </c>
      <c r="Q2947" s="1153"/>
      <c r="R2947" s="738">
        <f t="shared" si="370"/>
        <v>11467980</v>
      </c>
      <c r="S2947" s="737">
        <f t="shared" si="371"/>
        <v>29231433</v>
      </c>
      <c r="T2947" s="739">
        <f t="shared" si="372"/>
        <v>26799367</v>
      </c>
      <c r="U2947" s="846"/>
      <c r="V2947" s="847"/>
      <c r="W2947" s="846"/>
      <c r="X2947" s="846"/>
      <c r="Y2947" s="740">
        <f t="shared" si="368"/>
        <v>0</v>
      </c>
      <c r="Z2947" s="1156"/>
      <c r="AA2947" s="847"/>
      <c r="AB2947" s="741">
        <f t="shared" si="369"/>
        <v>0</v>
      </c>
      <c r="AC2947" s="846"/>
      <c r="AD2947" s="847"/>
      <c r="AE2947" s="846"/>
      <c r="AF2947" s="846"/>
      <c r="AG2947" s="1156"/>
      <c r="AH2947" s="1157"/>
      <c r="AI2947" s="742">
        <f t="shared" si="373"/>
        <v>29231433</v>
      </c>
      <c r="AJ2947" s="743">
        <f t="shared" si="374"/>
        <v>26799367</v>
      </c>
    </row>
    <row r="2948" spans="1:36">
      <c r="A2948" s="1062" t="s">
        <v>147</v>
      </c>
      <c r="B2948" s="901" t="s">
        <v>264</v>
      </c>
      <c r="C2948" s="1069" t="s">
        <v>1193</v>
      </c>
      <c r="D2948" s="1151"/>
      <c r="E2948" s="1152">
        <v>228699</v>
      </c>
      <c r="F2948" s="911">
        <v>9</v>
      </c>
      <c r="G2948" s="890">
        <v>8379911</v>
      </c>
      <c r="H2948" s="1153">
        <v>8468609</v>
      </c>
      <c r="I2948" s="1154"/>
      <c r="J2948" s="1155"/>
      <c r="K2948" s="846">
        <v>1367528</v>
      </c>
      <c r="L2948" s="847">
        <v>5325560</v>
      </c>
      <c r="M2948" s="846">
        <v>3726660</v>
      </c>
      <c r="N2948" s="846"/>
      <c r="O2948" s="737">
        <f t="shared" si="367"/>
        <v>3726660</v>
      </c>
      <c r="P2948" s="1155">
        <v>4446599</v>
      </c>
      <c r="Q2948" s="1153"/>
      <c r="R2948" s="738">
        <f t="shared" si="370"/>
        <v>4446599</v>
      </c>
      <c r="S2948" s="737">
        <f t="shared" si="371"/>
        <v>13474099</v>
      </c>
      <c r="T2948" s="739">
        <f t="shared" si="372"/>
        <v>18240768</v>
      </c>
      <c r="U2948" s="846"/>
      <c r="V2948" s="847"/>
      <c r="W2948" s="846"/>
      <c r="X2948" s="846"/>
      <c r="Y2948" s="740">
        <f t="shared" si="368"/>
        <v>0</v>
      </c>
      <c r="Z2948" s="1156"/>
      <c r="AA2948" s="847"/>
      <c r="AB2948" s="741">
        <f t="shared" si="369"/>
        <v>0</v>
      </c>
      <c r="AC2948" s="846"/>
      <c r="AD2948" s="847"/>
      <c r="AE2948" s="846"/>
      <c r="AF2948" s="846"/>
      <c r="AG2948" s="1156"/>
      <c r="AH2948" s="1157"/>
      <c r="AI2948" s="742">
        <f t="shared" si="373"/>
        <v>13474099</v>
      </c>
      <c r="AJ2948" s="743">
        <f t="shared" si="374"/>
        <v>18240768</v>
      </c>
    </row>
    <row r="2949" spans="1:36">
      <c r="A2949" s="1062" t="s">
        <v>147</v>
      </c>
      <c r="B2949" s="901" t="s">
        <v>264</v>
      </c>
      <c r="C2949" s="1178" t="s">
        <v>1194</v>
      </c>
      <c r="D2949" s="1151"/>
      <c r="E2949" s="1152">
        <v>229319</v>
      </c>
      <c r="F2949" s="911">
        <v>9</v>
      </c>
      <c r="G2949" s="846">
        <v>21032079</v>
      </c>
      <c r="H2949" s="1153">
        <v>21290926</v>
      </c>
      <c r="I2949" s="1154"/>
      <c r="J2949" s="1155"/>
      <c r="K2949" s="846"/>
      <c r="L2949" s="847"/>
      <c r="M2949" s="846">
        <v>3906225</v>
      </c>
      <c r="N2949" s="846"/>
      <c r="O2949" s="737">
        <f t="shared" si="367"/>
        <v>3906225</v>
      </c>
      <c r="P2949" s="1155">
        <v>3905886</v>
      </c>
      <c r="Q2949" s="1153"/>
      <c r="R2949" s="738">
        <f t="shared" si="370"/>
        <v>3905886</v>
      </c>
      <c r="S2949" s="737">
        <f t="shared" si="371"/>
        <v>24938304</v>
      </c>
      <c r="T2949" s="739">
        <f t="shared" si="372"/>
        <v>25196812</v>
      </c>
      <c r="U2949" s="846"/>
      <c r="V2949" s="847"/>
      <c r="W2949" s="846"/>
      <c r="X2949" s="846"/>
      <c r="Y2949" s="740">
        <f t="shared" si="368"/>
        <v>0</v>
      </c>
      <c r="Z2949" s="1156"/>
      <c r="AA2949" s="847"/>
      <c r="AB2949" s="741">
        <f t="shared" si="369"/>
        <v>0</v>
      </c>
      <c r="AC2949" s="846"/>
      <c r="AD2949" s="847"/>
      <c r="AE2949" s="846"/>
      <c r="AF2949" s="846"/>
      <c r="AG2949" s="1156"/>
      <c r="AH2949" s="1157"/>
      <c r="AI2949" s="742">
        <f t="shared" si="373"/>
        <v>24938304</v>
      </c>
      <c r="AJ2949" s="743">
        <f t="shared" si="374"/>
        <v>25196812</v>
      </c>
    </row>
    <row r="2950" spans="1:36">
      <c r="A2950" s="1062" t="s">
        <v>147</v>
      </c>
      <c r="B2950" s="901" t="s">
        <v>264</v>
      </c>
      <c r="C2950" s="1069" t="s">
        <v>1195</v>
      </c>
      <c r="D2950" s="1151"/>
      <c r="E2950" s="1152">
        <v>229504</v>
      </c>
      <c r="F2950" s="911">
        <v>9</v>
      </c>
      <c r="G2950" s="890">
        <v>6833509</v>
      </c>
      <c r="H2950" s="1153">
        <v>6899189</v>
      </c>
      <c r="I2950" s="1154"/>
      <c r="J2950" s="1155"/>
      <c r="K2950" s="846">
        <v>2167336</v>
      </c>
      <c r="L2950" s="847">
        <v>2661134</v>
      </c>
      <c r="M2950" s="846">
        <v>4662544</v>
      </c>
      <c r="N2950" s="846"/>
      <c r="O2950" s="737">
        <f t="shared" si="367"/>
        <v>4662544</v>
      </c>
      <c r="P2950" s="1155">
        <v>4880953</v>
      </c>
      <c r="Q2950" s="1153"/>
      <c r="R2950" s="738">
        <f t="shared" si="370"/>
        <v>4880953</v>
      </c>
      <c r="S2950" s="737">
        <f t="shared" si="371"/>
        <v>13663389</v>
      </c>
      <c r="T2950" s="739">
        <f t="shared" si="372"/>
        <v>14441276</v>
      </c>
      <c r="U2950" s="846"/>
      <c r="V2950" s="847"/>
      <c r="W2950" s="846"/>
      <c r="X2950" s="846"/>
      <c r="Y2950" s="740">
        <f t="shared" si="368"/>
        <v>0</v>
      </c>
      <c r="Z2950" s="1156"/>
      <c r="AA2950" s="847"/>
      <c r="AB2950" s="741">
        <f t="shared" si="369"/>
        <v>0</v>
      </c>
      <c r="AC2950" s="846"/>
      <c r="AD2950" s="847"/>
      <c r="AE2950" s="846"/>
      <c r="AF2950" s="846"/>
      <c r="AG2950" s="1156"/>
      <c r="AH2950" s="1157"/>
      <c r="AI2950" s="742">
        <f t="shared" si="373"/>
        <v>13663389</v>
      </c>
      <c r="AJ2950" s="743">
        <f t="shared" si="374"/>
        <v>14441276</v>
      </c>
    </row>
    <row r="2951" spans="1:36">
      <c r="A2951" s="1062" t="s">
        <v>147</v>
      </c>
      <c r="B2951" s="901" t="s">
        <v>264</v>
      </c>
      <c r="C2951" s="1069" t="s">
        <v>1196</v>
      </c>
      <c r="D2951" s="1151"/>
      <c r="E2951" s="1152">
        <v>229540</v>
      </c>
      <c r="F2951" s="911">
        <v>9</v>
      </c>
      <c r="G2951" s="890">
        <v>7921058</v>
      </c>
      <c r="H2951" s="1153">
        <v>8005842</v>
      </c>
      <c r="I2951" s="1154"/>
      <c r="J2951" s="1155"/>
      <c r="K2951" s="846">
        <v>9115455</v>
      </c>
      <c r="L2951" s="847">
        <v>8131921</v>
      </c>
      <c r="M2951" s="846">
        <v>8934439</v>
      </c>
      <c r="N2951" s="846"/>
      <c r="O2951" s="737">
        <f t="shared" si="367"/>
        <v>8934439</v>
      </c>
      <c r="P2951" s="1155">
        <v>9344057</v>
      </c>
      <c r="Q2951" s="1153"/>
      <c r="R2951" s="738">
        <f t="shared" si="370"/>
        <v>9344057</v>
      </c>
      <c r="S2951" s="737">
        <f t="shared" si="371"/>
        <v>25970952</v>
      </c>
      <c r="T2951" s="739">
        <f t="shared" si="372"/>
        <v>25481820</v>
      </c>
      <c r="U2951" s="846"/>
      <c r="V2951" s="847"/>
      <c r="W2951" s="846"/>
      <c r="X2951" s="846"/>
      <c r="Y2951" s="740">
        <f t="shared" si="368"/>
        <v>0</v>
      </c>
      <c r="Z2951" s="1156"/>
      <c r="AA2951" s="847"/>
      <c r="AB2951" s="741">
        <f t="shared" si="369"/>
        <v>0</v>
      </c>
      <c r="AC2951" s="846"/>
      <c r="AD2951" s="847"/>
      <c r="AE2951" s="846"/>
      <c r="AF2951" s="846"/>
      <c r="AG2951" s="1156"/>
      <c r="AH2951" s="1157"/>
      <c r="AI2951" s="742">
        <f t="shared" si="373"/>
        <v>25970952</v>
      </c>
      <c r="AJ2951" s="743">
        <f t="shared" si="374"/>
        <v>25481820</v>
      </c>
    </row>
    <row r="2952" spans="1:36">
      <c r="A2952" s="1062" t="s">
        <v>147</v>
      </c>
      <c r="B2952" s="901" t="s">
        <v>264</v>
      </c>
      <c r="C2952" s="1069" t="s">
        <v>1197</v>
      </c>
      <c r="D2952" s="1151"/>
      <c r="E2952" s="1152">
        <v>229799</v>
      </c>
      <c r="F2952" s="911">
        <v>9</v>
      </c>
      <c r="G2952" s="890">
        <v>10274284</v>
      </c>
      <c r="H2952" s="1153">
        <v>10369876</v>
      </c>
      <c r="I2952" s="1154"/>
      <c r="J2952" s="1155"/>
      <c r="K2952" s="846">
        <v>9875105</v>
      </c>
      <c r="L2952" s="847">
        <v>10083289</v>
      </c>
      <c r="M2952" s="846">
        <v>6973854</v>
      </c>
      <c r="N2952" s="846"/>
      <c r="O2952" s="737">
        <f t="shared" si="367"/>
        <v>6973854</v>
      </c>
      <c r="P2952" s="1155">
        <v>7603769</v>
      </c>
      <c r="Q2952" s="1153"/>
      <c r="R2952" s="738">
        <f t="shared" si="370"/>
        <v>7603769</v>
      </c>
      <c r="S2952" s="737">
        <f t="shared" si="371"/>
        <v>27123243</v>
      </c>
      <c r="T2952" s="739">
        <f t="shared" si="372"/>
        <v>28056934</v>
      </c>
      <c r="U2952" s="846"/>
      <c r="V2952" s="847"/>
      <c r="W2952" s="846"/>
      <c r="X2952" s="846"/>
      <c r="Y2952" s="740">
        <f t="shared" si="368"/>
        <v>0</v>
      </c>
      <c r="Z2952" s="1156"/>
      <c r="AA2952" s="847"/>
      <c r="AB2952" s="741">
        <f t="shared" si="369"/>
        <v>0</v>
      </c>
      <c r="AC2952" s="846"/>
      <c r="AD2952" s="847"/>
      <c r="AE2952" s="846"/>
      <c r="AF2952" s="846"/>
      <c r="AG2952" s="1156"/>
      <c r="AH2952" s="1157"/>
      <c r="AI2952" s="742">
        <f t="shared" si="373"/>
        <v>27123243</v>
      </c>
      <c r="AJ2952" s="743">
        <f t="shared" si="374"/>
        <v>28056934</v>
      </c>
    </row>
    <row r="2953" spans="1:36">
      <c r="A2953" s="1062" t="s">
        <v>147</v>
      </c>
      <c r="B2953" s="901" t="s">
        <v>264</v>
      </c>
      <c r="C2953" s="1069" t="s">
        <v>1198</v>
      </c>
      <c r="D2953" s="1151"/>
      <c r="E2953" s="1152">
        <v>229841</v>
      </c>
      <c r="F2953" s="911">
        <v>9</v>
      </c>
      <c r="G2953" s="890">
        <v>11624557</v>
      </c>
      <c r="H2953" s="1153">
        <v>11736244</v>
      </c>
      <c r="I2953" s="1154"/>
      <c r="J2953" s="1155"/>
      <c r="K2953" s="846">
        <v>5227590</v>
      </c>
      <c r="L2953" s="847">
        <v>5364132</v>
      </c>
      <c r="M2953" s="846">
        <v>18007715</v>
      </c>
      <c r="N2953" s="846"/>
      <c r="O2953" s="737">
        <f t="shared" si="367"/>
        <v>18007715</v>
      </c>
      <c r="P2953" s="1155">
        <v>18656456</v>
      </c>
      <c r="Q2953" s="1153"/>
      <c r="R2953" s="738">
        <f t="shared" si="370"/>
        <v>18656456</v>
      </c>
      <c r="S2953" s="737">
        <f t="shared" si="371"/>
        <v>34859862</v>
      </c>
      <c r="T2953" s="739">
        <f t="shared" si="372"/>
        <v>35756832</v>
      </c>
      <c r="U2953" s="846"/>
      <c r="V2953" s="847"/>
      <c r="W2953" s="846"/>
      <c r="X2953" s="846"/>
      <c r="Y2953" s="740">
        <f t="shared" si="368"/>
        <v>0</v>
      </c>
      <c r="Z2953" s="1156"/>
      <c r="AA2953" s="847"/>
      <c r="AB2953" s="741">
        <f t="shared" si="369"/>
        <v>0</v>
      </c>
      <c r="AC2953" s="846"/>
      <c r="AD2953" s="847"/>
      <c r="AE2953" s="846"/>
      <c r="AF2953" s="846"/>
      <c r="AG2953" s="1156"/>
      <c r="AH2953" s="1157"/>
      <c r="AI2953" s="742">
        <f t="shared" si="373"/>
        <v>34859862</v>
      </c>
      <c r="AJ2953" s="743">
        <f t="shared" si="374"/>
        <v>35756832</v>
      </c>
    </row>
    <row r="2954" spans="1:36">
      <c r="A2954" s="1062" t="s">
        <v>147</v>
      </c>
      <c r="B2954" s="901" t="s">
        <v>264</v>
      </c>
      <c r="C2954" s="1069" t="s">
        <v>1199</v>
      </c>
      <c r="D2954" s="1151"/>
      <c r="E2954" s="1152">
        <v>223922</v>
      </c>
      <c r="F2954" s="911">
        <v>10</v>
      </c>
      <c r="G2954" s="890">
        <v>2984967</v>
      </c>
      <c r="H2954" s="1153">
        <v>3013458</v>
      </c>
      <c r="I2954" s="1154"/>
      <c r="J2954" s="1155"/>
      <c r="K2954" s="846">
        <v>415199</v>
      </c>
      <c r="L2954" s="847">
        <v>431903</v>
      </c>
      <c r="M2954" s="846">
        <v>1238401</v>
      </c>
      <c r="N2954" s="846"/>
      <c r="O2954" s="737">
        <f t="shared" ref="O2954:O3017" si="375">SUM(M2954:N2954)</f>
        <v>1238401</v>
      </c>
      <c r="P2954" s="1155">
        <v>1358712</v>
      </c>
      <c r="Q2954" s="1153"/>
      <c r="R2954" s="738">
        <f t="shared" si="370"/>
        <v>1358712</v>
      </c>
      <c r="S2954" s="737">
        <f t="shared" si="371"/>
        <v>4638567</v>
      </c>
      <c r="T2954" s="739">
        <f t="shared" si="372"/>
        <v>4804073</v>
      </c>
      <c r="U2954" s="846"/>
      <c r="V2954" s="847"/>
      <c r="W2954" s="846"/>
      <c r="X2954" s="846"/>
      <c r="Y2954" s="740">
        <f t="shared" ref="Y2954:Y3017" si="376">SUM(W2954:X2954)</f>
        <v>0</v>
      </c>
      <c r="Z2954" s="1156"/>
      <c r="AA2954" s="847"/>
      <c r="AB2954" s="741">
        <f t="shared" ref="AB2954:AB3017" si="377">SUM(Z2954:AA2954)</f>
        <v>0</v>
      </c>
      <c r="AC2954" s="846"/>
      <c r="AD2954" s="847"/>
      <c r="AE2954" s="846"/>
      <c r="AF2954" s="846"/>
      <c r="AG2954" s="1156"/>
      <c r="AH2954" s="1157"/>
      <c r="AI2954" s="742">
        <f t="shared" si="373"/>
        <v>4638567</v>
      </c>
      <c r="AJ2954" s="743">
        <f t="shared" si="374"/>
        <v>4804073</v>
      </c>
    </row>
    <row r="2955" spans="1:36">
      <c r="A2955" s="1062" t="s">
        <v>147</v>
      </c>
      <c r="B2955" s="901" t="s">
        <v>264</v>
      </c>
      <c r="C2955" s="1069" t="s">
        <v>1200</v>
      </c>
      <c r="D2955" s="1151"/>
      <c r="E2955" s="1152">
        <v>224891</v>
      </c>
      <c r="F2955" s="911">
        <v>10</v>
      </c>
      <c r="G2955" s="890">
        <v>2733631</v>
      </c>
      <c r="H2955" s="1153">
        <v>2760285</v>
      </c>
      <c r="I2955" s="1154"/>
      <c r="J2955" s="1155"/>
      <c r="K2955" s="846">
        <v>1415029</v>
      </c>
      <c r="L2955" s="847">
        <v>1503577</v>
      </c>
      <c r="M2955" s="846">
        <v>809488</v>
      </c>
      <c r="N2955" s="846"/>
      <c r="O2955" s="737">
        <f t="shared" si="375"/>
        <v>809488</v>
      </c>
      <c r="P2955" s="1155">
        <v>1009840</v>
      </c>
      <c r="Q2955" s="1153"/>
      <c r="R2955" s="738">
        <f t="shared" ref="R2955:R3018" si="378">SUM(P2955:Q2955)</f>
        <v>1009840</v>
      </c>
      <c r="S2955" s="737">
        <f t="shared" ref="S2955:S3018" si="379">SUM(G2955,I2955,K2955,M2955)</f>
        <v>4958148</v>
      </c>
      <c r="T2955" s="739">
        <f t="shared" ref="T2955:T3018" si="380">SUM(H2955,J2955,L2955,P2955)</f>
        <v>5273702</v>
      </c>
      <c r="U2955" s="846"/>
      <c r="V2955" s="847"/>
      <c r="W2955" s="846"/>
      <c r="X2955" s="846"/>
      <c r="Y2955" s="740">
        <f t="shared" si="376"/>
        <v>0</v>
      </c>
      <c r="Z2955" s="1156"/>
      <c r="AA2955" s="847"/>
      <c r="AB2955" s="741">
        <f t="shared" si="377"/>
        <v>0</v>
      </c>
      <c r="AC2955" s="846"/>
      <c r="AD2955" s="847"/>
      <c r="AE2955" s="846"/>
      <c r="AF2955" s="846"/>
      <c r="AG2955" s="1156"/>
      <c r="AH2955" s="1157"/>
      <c r="AI2955" s="742">
        <f t="shared" ref="AI2955:AI3018" si="381">SUM(S2955,U2955,W2955,AC2955,AE2955)</f>
        <v>4958148</v>
      </c>
      <c r="AJ2955" s="743">
        <f t="shared" ref="AJ2955:AJ3018" si="382">SUM(T2955,V2955,Z2955,AD2955,AG2955)</f>
        <v>5273702</v>
      </c>
    </row>
    <row r="2956" spans="1:36">
      <c r="A2956" s="1062" t="s">
        <v>147</v>
      </c>
      <c r="B2956" s="901" t="s">
        <v>264</v>
      </c>
      <c r="C2956" s="1069" t="s">
        <v>1201</v>
      </c>
      <c r="D2956" s="1151"/>
      <c r="E2956" s="1152">
        <v>224961</v>
      </c>
      <c r="F2956" s="911">
        <v>10</v>
      </c>
      <c r="G2956" s="890">
        <v>4743553</v>
      </c>
      <c r="H2956" s="1153">
        <v>4791004</v>
      </c>
      <c r="I2956" s="1154"/>
      <c r="J2956" s="1155"/>
      <c r="K2956" s="846">
        <v>10084057</v>
      </c>
      <c r="L2956" s="847">
        <v>10511511</v>
      </c>
      <c r="M2956" s="846">
        <v>2520989</v>
      </c>
      <c r="N2956" s="846"/>
      <c r="O2956" s="737">
        <f t="shared" si="375"/>
        <v>2520989</v>
      </c>
      <c r="P2956" s="1155">
        <v>2519438</v>
      </c>
      <c r="Q2956" s="1153"/>
      <c r="R2956" s="738">
        <f t="shared" si="378"/>
        <v>2519438</v>
      </c>
      <c r="S2956" s="737">
        <f t="shared" si="379"/>
        <v>17348599</v>
      </c>
      <c r="T2956" s="739">
        <f t="shared" si="380"/>
        <v>17821953</v>
      </c>
      <c r="U2956" s="846"/>
      <c r="V2956" s="847"/>
      <c r="W2956" s="846"/>
      <c r="X2956" s="846"/>
      <c r="Y2956" s="740">
        <f t="shared" si="376"/>
        <v>0</v>
      </c>
      <c r="Z2956" s="1156"/>
      <c r="AA2956" s="847"/>
      <c r="AB2956" s="741">
        <f t="shared" si="377"/>
        <v>0</v>
      </c>
      <c r="AC2956" s="846"/>
      <c r="AD2956" s="847"/>
      <c r="AE2956" s="846"/>
      <c r="AF2956" s="846"/>
      <c r="AG2956" s="1156"/>
      <c r="AH2956" s="1157"/>
      <c r="AI2956" s="742">
        <f t="shared" si="381"/>
        <v>17348599</v>
      </c>
      <c r="AJ2956" s="743">
        <f t="shared" si="382"/>
        <v>17821953</v>
      </c>
    </row>
    <row r="2957" spans="1:36">
      <c r="A2957" s="1062" t="s">
        <v>147</v>
      </c>
      <c r="B2957" s="901" t="s">
        <v>264</v>
      </c>
      <c r="C2957" s="1178" t="s">
        <v>1202</v>
      </c>
      <c r="D2957" s="1151"/>
      <c r="E2957" s="1152">
        <v>226107</v>
      </c>
      <c r="F2957" s="911">
        <v>10</v>
      </c>
      <c r="G2957" s="846">
        <v>8326995</v>
      </c>
      <c r="H2957" s="1153">
        <v>8430069</v>
      </c>
      <c r="I2957" s="1154"/>
      <c r="J2957" s="1155"/>
      <c r="K2957" s="846"/>
      <c r="L2957" s="847"/>
      <c r="M2957" s="846">
        <v>4298956</v>
      </c>
      <c r="N2957" s="846"/>
      <c r="O2957" s="737">
        <f t="shared" si="375"/>
        <v>4298956</v>
      </c>
      <c r="P2957" s="1155">
        <v>4143798</v>
      </c>
      <c r="Q2957" s="1153"/>
      <c r="R2957" s="738">
        <f t="shared" si="378"/>
        <v>4143798</v>
      </c>
      <c r="S2957" s="737">
        <f t="shared" si="379"/>
        <v>12625951</v>
      </c>
      <c r="T2957" s="739">
        <f t="shared" si="380"/>
        <v>12573867</v>
      </c>
      <c r="U2957" s="846"/>
      <c r="V2957" s="847"/>
      <c r="W2957" s="846"/>
      <c r="X2957" s="846"/>
      <c r="Y2957" s="740">
        <f t="shared" si="376"/>
        <v>0</v>
      </c>
      <c r="Z2957" s="1156"/>
      <c r="AA2957" s="847"/>
      <c r="AB2957" s="741">
        <f t="shared" si="377"/>
        <v>0</v>
      </c>
      <c r="AC2957" s="846"/>
      <c r="AD2957" s="847"/>
      <c r="AE2957" s="846"/>
      <c r="AF2957" s="846"/>
      <c r="AG2957" s="1156"/>
      <c r="AH2957" s="1157"/>
      <c r="AI2957" s="742">
        <f t="shared" si="381"/>
        <v>12625951</v>
      </c>
      <c r="AJ2957" s="743">
        <f t="shared" si="382"/>
        <v>12573867</v>
      </c>
    </row>
    <row r="2958" spans="1:36">
      <c r="A2958" s="1062" t="s">
        <v>147</v>
      </c>
      <c r="B2958" s="901" t="s">
        <v>264</v>
      </c>
      <c r="C2958" s="1172" t="s">
        <v>1203</v>
      </c>
      <c r="D2958" s="1173"/>
      <c r="E2958" s="1367" t="s">
        <v>948</v>
      </c>
      <c r="F2958" s="911">
        <v>10</v>
      </c>
      <c r="G2958" s="846">
        <v>0</v>
      </c>
      <c r="H2958" s="1153">
        <v>0</v>
      </c>
      <c r="I2958" s="1154"/>
      <c r="J2958" s="1155"/>
      <c r="K2958" s="846"/>
      <c r="L2958" s="847"/>
      <c r="M2958" s="846"/>
      <c r="N2958" s="846"/>
      <c r="O2958" s="737">
        <f t="shared" si="375"/>
        <v>0</v>
      </c>
      <c r="P2958" s="1155"/>
      <c r="Q2958" s="1153"/>
      <c r="R2958" s="738">
        <f t="shared" si="378"/>
        <v>0</v>
      </c>
      <c r="S2958" s="737">
        <f t="shared" si="379"/>
        <v>0</v>
      </c>
      <c r="T2958" s="739">
        <f t="shared" si="380"/>
        <v>0</v>
      </c>
      <c r="U2958" s="846"/>
      <c r="V2958" s="847"/>
      <c r="W2958" s="846"/>
      <c r="X2958" s="846"/>
      <c r="Y2958" s="740">
        <f t="shared" si="376"/>
        <v>0</v>
      </c>
      <c r="Z2958" s="1156"/>
      <c r="AA2958" s="847"/>
      <c r="AB2958" s="741">
        <f t="shared" si="377"/>
        <v>0</v>
      </c>
      <c r="AC2958" s="846"/>
      <c r="AD2958" s="847"/>
      <c r="AE2958" s="846"/>
      <c r="AF2958" s="846"/>
      <c r="AG2958" s="1156"/>
      <c r="AH2958" s="1157"/>
      <c r="AI2958" s="742">
        <f t="shared" si="381"/>
        <v>0</v>
      </c>
      <c r="AJ2958" s="743">
        <f t="shared" si="382"/>
        <v>0</v>
      </c>
    </row>
    <row r="2959" spans="1:36">
      <c r="A2959" s="1062" t="s">
        <v>147</v>
      </c>
      <c r="B2959" s="901" t="s">
        <v>264</v>
      </c>
      <c r="C2959" s="1069" t="s">
        <v>1204</v>
      </c>
      <c r="D2959" s="1151"/>
      <c r="E2959" s="1152">
        <v>227386</v>
      </c>
      <c r="F2959" s="911">
        <v>10</v>
      </c>
      <c r="G2959" s="890">
        <v>5388173</v>
      </c>
      <c r="H2959" s="1153">
        <v>5442992</v>
      </c>
      <c r="I2959" s="1154"/>
      <c r="J2959" s="1155"/>
      <c r="K2959" s="846">
        <v>5962541</v>
      </c>
      <c r="L2959" s="847">
        <v>6468902</v>
      </c>
      <c r="M2959" s="846">
        <v>2764154</v>
      </c>
      <c r="N2959" s="846"/>
      <c r="O2959" s="737">
        <f t="shared" si="375"/>
        <v>2764154</v>
      </c>
      <c r="P2959" s="1155">
        <v>3409716</v>
      </c>
      <c r="Q2959" s="1153"/>
      <c r="R2959" s="738">
        <f t="shared" si="378"/>
        <v>3409716</v>
      </c>
      <c r="S2959" s="737">
        <f t="shared" si="379"/>
        <v>14114868</v>
      </c>
      <c r="T2959" s="739">
        <f t="shared" si="380"/>
        <v>15321610</v>
      </c>
      <c r="U2959" s="846"/>
      <c r="V2959" s="847"/>
      <c r="W2959" s="846"/>
      <c r="X2959" s="846"/>
      <c r="Y2959" s="740">
        <f t="shared" si="376"/>
        <v>0</v>
      </c>
      <c r="Z2959" s="1156"/>
      <c r="AA2959" s="847"/>
      <c r="AB2959" s="741">
        <f t="shared" si="377"/>
        <v>0</v>
      </c>
      <c r="AC2959" s="846"/>
      <c r="AD2959" s="847"/>
      <c r="AE2959" s="846"/>
      <c r="AF2959" s="846"/>
      <c r="AG2959" s="1156"/>
      <c r="AH2959" s="1157"/>
      <c r="AI2959" s="742">
        <f t="shared" si="381"/>
        <v>14114868</v>
      </c>
      <c r="AJ2959" s="743">
        <f t="shared" si="382"/>
        <v>15321610</v>
      </c>
    </row>
    <row r="2960" spans="1:36">
      <c r="A2960" s="1062" t="s">
        <v>147</v>
      </c>
      <c r="B2960" s="901" t="s">
        <v>264</v>
      </c>
      <c r="C2960" s="1069" t="s">
        <v>1205</v>
      </c>
      <c r="D2960" s="1151"/>
      <c r="E2960" s="1152">
        <v>227687</v>
      </c>
      <c r="F2960" s="911">
        <v>10</v>
      </c>
      <c r="G2960" s="890">
        <v>3858322</v>
      </c>
      <c r="H2960" s="1153">
        <v>3886192</v>
      </c>
      <c r="I2960" s="1154"/>
      <c r="J2960" s="1155"/>
      <c r="K2960" s="846">
        <v>260751</v>
      </c>
      <c r="L2960" s="847">
        <v>257462</v>
      </c>
      <c r="M2960" s="846">
        <v>1584341</v>
      </c>
      <c r="N2960" s="846"/>
      <c r="O2960" s="737">
        <f t="shared" si="375"/>
        <v>1584341</v>
      </c>
      <c r="P2960" s="1155">
        <v>2736891</v>
      </c>
      <c r="Q2960" s="1153"/>
      <c r="R2960" s="738">
        <f t="shared" si="378"/>
        <v>2736891</v>
      </c>
      <c r="S2960" s="737">
        <f t="shared" si="379"/>
        <v>5703414</v>
      </c>
      <c r="T2960" s="739">
        <f t="shared" si="380"/>
        <v>6880545</v>
      </c>
      <c r="U2960" s="846"/>
      <c r="V2960" s="847"/>
      <c r="W2960" s="846"/>
      <c r="X2960" s="846"/>
      <c r="Y2960" s="740">
        <f t="shared" si="376"/>
        <v>0</v>
      </c>
      <c r="Z2960" s="1156"/>
      <c r="AA2960" s="847"/>
      <c r="AB2960" s="741">
        <f t="shared" si="377"/>
        <v>0</v>
      </c>
      <c r="AC2960" s="846"/>
      <c r="AD2960" s="847"/>
      <c r="AE2960" s="846"/>
      <c r="AF2960" s="846"/>
      <c r="AG2960" s="1156"/>
      <c r="AH2960" s="1157"/>
      <c r="AI2960" s="742">
        <f t="shared" si="381"/>
        <v>5703414</v>
      </c>
      <c r="AJ2960" s="743">
        <f t="shared" si="382"/>
        <v>6880545</v>
      </c>
    </row>
    <row r="2961" spans="1:36">
      <c r="A2961" s="1062" t="s">
        <v>147</v>
      </c>
      <c r="B2961" s="901" t="s">
        <v>264</v>
      </c>
      <c r="C2961" s="1176" t="s">
        <v>1206</v>
      </c>
      <c r="D2961" s="1177"/>
      <c r="E2961" s="1152">
        <v>382911</v>
      </c>
      <c r="F2961" s="911">
        <v>10</v>
      </c>
      <c r="G2961" s="846">
        <v>0</v>
      </c>
      <c r="H2961" s="1153">
        <v>0</v>
      </c>
      <c r="I2961" s="1154"/>
      <c r="J2961" s="1155"/>
      <c r="K2961" s="846"/>
      <c r="L2961" s="847"/>
      <c r="M2961" s="846"/>
      <c r="N2961" s="846"/>
      <c r="O2961" s="737">
        <f t="shared" si="375"/>
        <v>0</v>
      </c>
      <c r="P2961" s="1155"/>
      <c r="Q2961" s="1153"/>
      <c r="R2961" s="738">
        <f t="shared" si="378"/>
        <v>0</v>
      </c>
      <c r="S2961" s="737">
        <f t="shared" si="379"/>
        <v>0</v>
      </c>
      <c r="T2961" s="739">
        <f t="shared" si="380"/>
        <v>0</v>
      </c>
      <c r="U2961" s="846"/>
      <c r="V2961" s="847"/>
      <c r="W2961" s="846"/>
      <c r="X2961" s="846"/>
      <c r="Y2961" s="740">
        <f t="shared" si="376"/>
        <v>0</v>
      </c>
      <c r="Z2961" s="1156"/>
      <c r="AA2961" s="847"/>
      <c r="AB2961" s="741">
        <f t="shared" si="377"/>
        <v>0</v>
      </c>
      <c r="AC2961" s="846"/>
      <c r="AD2961" s="847"/>
      <c r="AE2961" s="846"/>
      <c r="AF2961" s="846"/>
      <c r="AG2961" s="1156"/>
      <c r="AH2961" s="1157"/>
      <c r="AI2961" s="742">
        <f t="shared" si="381"/>
        <v>0</v>
      </c>
      <c r="AJ2961" s="743">
        <f t="shared" si="382"/>
        <v>0</v>
      </c>
    </row>
    <row r="2962" spans="1:36">
      <c r="A2962" s="1062" t="s">
        <v>147</v>
      </c>
      <c r="B2962" s="901" t="s">
        <v>264</v>
      </c>
      <c r="C2962" s="1178" t="s">
        <v>1207</v>
      </c>
      <c r="D2962" s="1151"/>
      <c r="E2962" s="1152">
        <v>408394</v>
      </c>
      <c r="F2962" s="911">
        <v>10</v>
      </c>
      <c r="G2962" s="846">
        <v>5712334</v>
      </c>
      <c r="H2962" s="1153">
        <v>5773440</v>
      </c>
      <c r="I2962" s="1154"/>
      <c r="J2962" s="1155"/>
      <c r="K2962" s="846"/>
      <c r="L2962" s="847"/>
      <c r="M2962" s="846">
        <v>2084206</v>
      </c>
      <c r="N2962" s="846"/>
      <c r="O2962" s="737">
        <f t="shared" si="375"/>
        <v>2084206</v>
      </c>
      <c r="P2962" s="1155">
        <v>1871523</v>
      </c>
      <c r="Q2962" s="1153"/>
      <c r="R2962" s="738">
        <f t="shared" si="378"/>
        <v>1871523</v>
      </c>
      <c r="S2962" s="737">
        <f t="shared" si="379"/>
        <v>7796540</v>
      </c>
      <c r="T2962" s="739">
        <f t="shared" si="380"/>
        <v>7644963</v>
      </c>
      <c r="U2962" s="846"/>
      <c r="V2962" s="847"/>
      <c r="W2962" s="846"/>
      <c r="X2962" s="846"/>
      <c r="Y2962" s="740">
        <f t="shared" si="376"/>
        <v>0</v>
      </c>
      <c r="Z2962" s="1156"/>
      <c r="AA2962" s="847"/>
      <c r="AB2962" s="741">
        <f t="shared" si="377"/>
        <v>0</v>
      </c>
      <c r="AC2962" s="846"/>
      <c r="AD2962" s="847"/>
      <c r="AE2962" s="846"/>
      <c r="AF2962" s="846"/>
      <c r="AG2962" s="1156"/>
      <c r="AH2962" s="1157"/>
      <c r="AI2962" s="742">
        <f t="shared" si="381"/>
        <v>7796540</v>
      </c>
      <c r="AJ2962" s="743">
        <f t="shared" si="382"/>
        <v>7644963</v>
      </c>
    </row>
    <row r="2963" spans="1:36">
      <c r="A2963" s="1062" t="s">
        <v>147</v>
      </c>
      <c r="B2963" s="901" t="s">
        <v>264</v>
      </c>
      <c r="C2963" s="1178" t="s">
        <v>1208</v>
      </c>
      <c r="D2963" s="1151"/>
      <c r="E2963" s="1152">
        <v>229328</v>
      </c>
      <c r="F2963" s="911">
        <v>10</v>
      </c>
      <c r="G2963" s="846">
        <v>11901968</v>
      </c>
      <c r="H2963" s="1153">
        <v>12050928</v>
      </c>
      <c r="I2963" s="1154"/>
      <c r="J2963" s="1155"/>
      <c r="K2963" s="846"/>
      <c r="L2963" s="847"/>
      <c r="M2963" s="846">
        <v>2437760</v>
      </c>
      <c r="N2963" s="846"/>
      <c r="O2963" s="737">
        <f t="shared" si="375"/>
        <v>2437760</v>
      </c>
      <c r="P2963" s="1155">
        <v>3670810</v>
      </c>
      <c r="Q2963" s="1153"/>
      <c r="R2963" s="738">
        <f t="shared" si="378"/>
        <v>3670810</v>
      </c>
      <c r="S2963" s="737">
        <f t="shared" si="379"/>
        <v>14339728</v>
      </c>
      <c r="T2963" s="739">
        <f t="shared" si="380"/>
        <v>15721738</v>
      </c>
      <c r="U2963" s="846"/>
      <c r="V2963" s="847"/>
      <c r="W2963" s="846"/>
      <c r="X2963" s="846"/>
      <c r="Y2963" s="740">
        <f t="shared" si="376"/>
        <v>0</v>
      </c>
      <c r="Z2963" s="1156"/>
      <c r="AA2963" s="847"/>
      <c r="AB2963" s="741">
        <f t="shared" si="377"/>
        <v>0</v>
      </c>
      <c r="AC2963" s="846"/>
      <c r="AD2963" s="847"/>
      <c r="AE2963" s="846"/>
      <c r="AF2963" s="846"/>
      <c r="AG2963" s="1156"/>
      <c r="AH2963" s="1157"/>
      <c r="AI2963" s="742">
        <f t="shared" si="381"/>
        <v>14339728</v>
      </c>
      <c r="AJ2963" s="743">
        <f t="shared" si="382"/>
        <v>15721738</v>
      </c>
    </row>
    <row r="2964" spans="1:36">
      <c r="A2964" s="1062" t="s">
        <v>147</v>
      </c>
      <c r="B2964" s="901" t="s">
        <v>264</v>
      </c>
      <c r="C2964" s="1069" t="s">
        <v>1209</v>
      </c>
      <c r="D2964" s="1151"/>
      <c r="E2964" s="1152">
        <v>229832</v>
      </c>
      <c r="F2964" s="911">
        <v>10</v>
      </c>
      <c r="G2964" s="890">
        <v>4787899</v>
      </c>
      <c r="H2964" s="1153">
        <v>4831955</v>
      </c>
      <c r="I2964" s="1154"/>
      <c r="J2964" s="1155"/>
      <c r="K2964" s="846">
        <v>6194971</v>
      </c>
      <c r="L2964" s="847">
        <v>8452066</v>
      </c>
      <c r="M2964" s="846">
        <v>3268729</v>
      </c>
      <c r="N2964" s="846"/>
      <c r="O2964" s="737">
        <f t="shared" si="375"/>
        <v>3268729</v>
      </c>
      <c r="P2964" s="1155">
        <v>2858004</v>
      </c>
      <c r="Q2964" s="1153"/>
      <c r="R2964" s="738">
        <f t="shared" si="378"/>
        <v>2858004</v>
      </c>
      <c r="S2964" s="737">
        <f t="shared" si="379"/>
        <v>14251599</v>
      </c>
      <c r="T2964" s="739">
        <f t="shared" si="380"/>
        <v>16142025</v>
      </c>
      <c r="U2964" s="846"/>
      <c r="V2964" s="847"/>
      <c r="W2964" s="846"/>
      <c r="X2964" s="846"/>
      <c r="Y2964" s="740">
        <f t="shared" si="376"/>
        <v>0</v>
      </c>
      <c r="Z2964" s="1156"/>
      <c r="AA2964" s="847"/>
      <c r="AB2964" s="741">
        <f t="shared" si="377"/>
        <v>0</v>
      </c>
      <c r="AC2964" s="846"/>
      <c r="AD2964" s="847"/>
      <c r="AE2964" s="846"/>
      <c r="AF2964" s="846"/>
      <c r="AG2964" s="1156"/>
      <c r="AH2964" s="1157"/>
      <c r="AI2964" s="742">
        <f t="shared" si="381"/>
        <v>14251599</v>
      </c>
      <c r="AJ2964" s="743">
        <f t="shared" si="382"/>
        <v>16142025</v>
      </c>
    </row>
    <row r="2965" spans="1:36">
      <c r="A2965" s="1062" t="s">
        <v>147</v>
      </c>
      <c r="B2965" s="901" t="s">
        <v>264</v>
      </c>
      <c r="C2965" s="1182" t="s">
        <v>1210</v>
      </c>
      <c r="D2965" s="1183"/>
      <c r="E2965" s="1184"/>
      <c r="F2965" s="911">
        <v>11</v>
      </c>
      <c r="G2965" s="890">
        <v>78297585</v>
      </c>
      <c r="H2965" s="1153">
        <v>79025917</v>
      </c>
      <c r="I2965" s="1154"/>
      <c r="J2965" s="1155"/>
      <c r="K2965" s="846">
        <v>149063093</v>
      </c>
      <c r="L2965" s="847">
        <v>126790387</v>
      </c>
      <c r="M2965" s="846">
        <v>64091209</v>
      </c>
      <c r="N2965" s="846"/>
      <c r="O2965" s="737">
        <f t="shared" si="375"/>
        <v>64091209</v>
      </c>
      <c r="P2965" s="1155">
        <v>58801056</v>
      </c>
      <c r="Q2965" s="1153"/>
      <c r="R2965" s="738">
        <f t="shared" si="378"/>
        <v>58801056</v>
      </c>
      <c r="S2965" s="737">
        <f t="shared" si="379"/>
        <v>291451887</v>
      </c>
      <c r="T2965" s="739">
        <f t="shared" si="380"/>
        <v>264617360</v>
      </c>
      <c r="U2965" s="846"/>
      <c r="V2965" s="847"/>
      <c r="W2965" s="846"/>
      <c r="X2965" s="846"/>
      <c r="Y2965" s="740">
        <f t="shared" si="376"/>
        <v>0</v>
      </c>
      <c r="Z2965" s="1156"/>
      <c r="AA2965" s="847"/>
      <c r="AB2965" s="741">
        <f t="shared" si="377"/>
        <v>0</v>
      </c>
      <c r="AC2965" s="846"/>
      <c r="AD2965" s="847"/>
      <c r="AE2965" s="846"/>
      <c r="AF2965" s="846"/>
      <c r="AG2965" s="1156"/>
      <c r="AH2965" s="1157"/>
      <c r="AI2965" s="742">
        <f t="shared" si="381"/>
        <v>291451887</v>
      </c>
      <c r="AJ2965" s="743">
        <f t="shared" si="382"/>
        <v>264617360</v>
      </c>
    </row>
    <row r="2966" spans="1:36">
      <c r="A2966" s="1062" t="s">
        <v>147</v>
      </c>
      <c r="B2966" s="901" t="s">
        <v>264</v>
      </c>
      <c r="C2966" s="1185" t="s">
        <v>1211</v>
      </c>
      <c r="D2966" s="1183"/>
      <c r="E2966" s="1184"/>
      <c r="F2966" s="911">
        <v>11</v>
      </c>
      <c r="G2966" s="890">
        <v>111002460</v>
      </c>
      <c r="H2966" s="1153">
        <v>112002394</v>
      </c>
      <c r="I2966" s="1154"/>
      <c r="J2966" s="1155"/>
      <c r="K2966" s="846">
        <v>196000124</v>
      </c>
      <c r="L2966" s="847">
        <v>209828369</v>
      </c>
      <c r="M2966" s="846">
        <v>58335519</v>
      </c>
      <c r="N2966" s="846"/>
      <c r="O2966" s="737">
        <f t="shared" si="375"/>
        <v>58335519</v>
      </c>
      <c r="P2966" s="1155">
        <v>59950395</v>
      </c>
      <c r="Q2966" s="1153"/>
      <c r="R2966" s="738">
        <f t="shared" si="378"/>
        <v>59950395</v>
      </c>
      <c r="S2966" s="737">
        <f t="shared" si="379"/>
        <v>365338103</v>
      </c>
      <c r="T2966" s="739">
        <f t="shared" si="380"/>
        <v>381781158</v>
      </c>
      <c r="U2966" s="846"/>
      <c r="V2966" s="847"/>
      <c r="W2966" s="846"/>
      <c r="X2966" s="846"/>
      <c r="Y2966" s="740">
        <f t="shared" si="376"/>
        <v>0</v>
      </c>
      <c r="Z2966" s="1156"/>
      <c r="AA2966" s="847"/>
      <c r="AB2966" s="741">
        <f t="shared" si="377"/>
        <v>0</v>
      </c>
      <c r="AC2966" s="846"/>
      <c r="AD2966" s="847"/>
      <c r="AE2966" s="846"/>
      <c r="AF2966" s="846"/>
      <c r="AG2966" s="1156"/>
      <c r="AH2966" s="1157"/>
      <c r="AI2966" s="742">
        <f t="shared" si="381"/>
        <v>365338103</v>
      </c>
      <c r="AJ2966" s="743">
        <f t="shared" si="382"/>
        <v>381781158</v>
      </c>
    </row>
    <row r="2967" spans="1:36">
      <c r="A2967" s="1062" t="s">
        <v>147</v>
      </c>
      <c r="B2967" s="901" t="s">
        <v>264</v>
      </c>
      <c r="C2967" s="1186" t="s">
        <v>1183</v>
      </c>
      <c r="D2967" s="1183"/>
      <c r="E2967" s="1184"/>
      <c r="F2967" s="911">
        <v>11</v>
      </c>
      <c r="G2967" s="846">
        <v>0</v>
      </c>
      <c r="H2967" s="1153">
        <v>0</v>
      </c>
      <c r="I2967" s="1154"/>
      <c r="J2967" s="1155"/>
      <c r="K2967" s="846"/>
      <c r="L2967" s="847"/>
      <c r="M2967" s="846"/>
      <c r="N2967" s="846"/>
      <c r="O2967" s="737">
        <f t="shared" si="375"/>
        <v>0</v>
      </c>
      <c r="P2967" s="1155"/>
      <c r="Q2967" s="1153"/>
      <c r="R2967" s="738">
        <f t="shared" si="378"/>
        <v>0</v>
      </c>
      <c r="S2967" s="737">
        <f t="shared" si="379"/>
        <v>0</v>
      </c>
      <c r="T2967" s="739">
        <f t="shared" si="380"/>
        <v>0</v>
      </c>
      <c r="U2967" s="846"/>
      <c r="V2967" s="847"/>
      <c r="W2967" s="846"/>
      <c r="X2967" s="846"/>
      <c r="Y2967" s="740">
        <f t="shared" si="376"/>
        <v>0</v>
      </c>
      <c r="Z2967" s="1156"/>
      <c r="AA2967" s="847"/>
      <c r="AB2967" s="741">
        <f t="shared" si="377"/>
        <v>0</v>
      </c>
      <c r="AC2967" s="846"/>
      <c r="AD2967" s="847"/>
      <c r="AE2967" s="846"/>
      <c r="AF2967" s="846"/>
      <c r="AG2967" s="1156"/>
      <c r="AH2967" s="1157"/>
      <c r="AI2967" s="742">
        <f t="shared" si="381"/>
        <v>0</v>
      </c>
      <c r="AJ2967" s="743">
        <f t="shared" si="382"/>
        <v>0</v>
      </c>
    </row>
    <row r="2968" spans="1:36">
      <c r="A2968" s="1062" t="s">
        <v>147</v>
      </c>
      <c r="B2968" s="901" t="s">
        <v>280</v>
      </c>
      <c r="C2968" s="1187" t="s">
        <v>1212</v>
      </c>
      <c r="D2968" s="1183"/>
      <c r="E2968" s="1152">
        <v>223214</v>
      </c>
      <c r="F2968" s="911">
        <v>15</v>
      </c>
      <c r="G2968" s="846"/>
      <c r="H2968" s="1153"/>
      <c r="I2968" s="1154"/>
      <c r="J2968" s="1155"/>
      <c r="K2968" s="846"/>
      <c r="L2968" s="847"/>
      <c r="M2968" s="846"/>
      <c r="N2968" s="846"/>
      <c r="O2968" s="737">
        <f t="shared" si="375"/>
        <v>0</v>
      </c>
      <c r="P2968" s="1155"/>
      <c r="Q2968" s="1153"/>
      <c r="R2968" s="738">
        <f t="shared" si="378"/>
        <v>0</v>
      </c>
      <c r="S2968" s="737">
        <f t="shared" si="379"/>
        <v>0</v>
      </c>
      <c r="T2968" s="739">
        <f t="shared" si="380"/>
        <v>0</v>
      </c>
      <c r="U2968" s="846"/>
      <c r="V2968" s="847"/>
      <c r="W2968" s="846"/>
      <c r="X2968" s="846"/>
      <c r="Y2968" s="740">
        <f t="shared" si="376"/>
        <v>0</v>
      </c>
      <c r="Z2968" s="1156"/>
      <c r="AA2968" s="847"/>
      <c r="AB2968" s="741">
        <f t="shared" si="377"/>
        <v>0</v>
      </c>
      <c r="AC2968" s="846">
        <v>129613851</v>
      </c>
      <c r="AD2968" s="847">
        <v>130567296</v>
      </c>
      <c r="AE2968" s="846">
        <v>29879928</v>
      </c>
      <c r="AF2968" s="846"/>
      <c r="AG2968" s="1156">
        <v>29825154</v>
      </c>
      <c r="AH2968" s="1157"/>
      <c r="AI2968" s="742">
        <f t="shared" si="381"/>
        <v>159493779</v>
      </c>
      <c r="AJ2968" s="743">
        <f t="shared" si="382"/>
        <v>160392450</v>
      </c>
    </row>
    <row r="2969" spans="1:36">
      <c r="A2969" s="1062" t="s">
        <v>147</v>
      </c>
      <c r="B2969" s="901" t="s">
        <v>280</v>
      </c>
      <c r="C2969" s="1187" t="s">
        <v>1213</v>
      </c>
      <c r="D2969" s="1188"/>
      <c r="E2969" s="1152">
        <v>229337</v>
      </c>
      <c r="F2969" s="911">
        <v>15</v>
      </c>
      <c r="G2969" s="846"/>
      <c r="H2969" s="1153"/>
      <c r="I2969" s="1154"/>
      <c r="J2969" s="1155"/>
      <c r="K2969" s="846"/>
      <c r="L2969" s="847"/>
      <c r="M2969" s="846"/>
      <c r="N2969" s="846"/>
      <c r="O2969" s="737">
        <f t="shared" si="375"/>
        <v>0</v>
      </c>
      <c r="P2969" s="1155"/>
      <c r="Q2969" s="1153"/>
      <c r="R2969" s="738">
        <f t="shared" si="378"/>
        <v>0</v>
      </c>
      <c r="S2969" s="737">
        <f t="shared" si="379"/>
        <v>0</v>
      </c>
      <c r="T2969" s="739">
        <f t="shared" si="380"/>
        <v>0</v>
      </c>
      <c r="U2969" s="846"/>
      <c r="V2969" s="847"/>
      <c r="W2969" s="846"/>
      <c r="X2969" s="846"/>
      <c r="Y2969" s="740">
        <f t="shared" si="376"/>
        <v>0</v>
      </c>
      <c r="Z2969" s="1156"/>
      <c r="AA2969" s="847"/>
      <c r="AB2969" s="741">
        <f t="shared" si="377"/>
        <v>0</v>
      </c>
      <c r="AC2969" s="846">
        <v>195429838</v>
      </c>
      <c r="AD2969" s="847">
        <v>197490944</v>
      </c>
      <c r="AE2969" s="846">
        <v>42551274</v>
      </c>
      <c r="AF2969" s="846"/>
      <c r="AG2969" s="1156">
        <v>45295909</v>
      </c>
      <c r="AH2969" s="1157"/>
      <c r="AI2969" s="742">
        <f t="shared" si="381"/>
        <v>237981112</v>
      </c>
      <c r="AJ2969" s="743">
        <f t="shared" si="382"/>
        <v>242786853</v>
      </c>
    </row>
    <row r="2970" spans="1:36">
      <c r="A2970" s="1062" t="s">
        <v>147</v>
      </c>
      <c r="B2970" s="901" t="s">
        <v>280</v>
      </c>
      <c r="C2970" s="1187" t="s">
        <v>1214</v>
      </c>
      <c r="D2970" s="1188"/>
      <c r="E2970" s="1152" t="s">
        <v>1215</v>
      </c>
      <c r="F2970" s="911">
        <v>15</v>
      </c>
      <c r="G2970" s="846"/>
      <c r="H2970" s="1153"/>
      <c r="I2970" s="1154"/>
      <c r="J2970" s="1155"/>
      <c r="K2970" s="846"/>
      <c r="L2970" s="847"/>
      <c r="M2970" s="846"/>
      <c r="N2970" s="846"/>
      <c r="O2970" s="737">
        <f t="shared" si="375"/>
        <v>0</v>
      </c>
      <c r="P2970" s="1155"/>
      <c r="Q2970" s="1153"/>
      <c r="R2970" s="738">
        <f t="shared" si="378"/>
        <v>0</v>
      </c>
      <c r="S2970" s="737">
        <f t="shared" si="379"/>
        <v>0</v>
      </c>
      <c r="T2970" s="739">
        <f t="shared" si="380"/>
        <v>0</v>
      </c>
      <c r="U2970" s="846"/>
      <c r="V2970" s="847"/>
      <c r="W2970" s="846"/>
      <c r="X2970" s="846"/>
      <c r="Y2970" s="740">
        <f t="shared" si="376"/>
        <v>0</v>
      </c>
      <c r="Z2970" s="1156"/>
      <c r="AA2970" s="847"/>
      <c r="AB2970" s="741">
        <f t="shared" si="377"/>
        <v>0</v>
      </c>
      <c r="AC2970" s="846">
        <v>1400000</v>
      </c>
      <c r="AD2970" s="847">
        <v>1400000</v>
      </c>
      <c r="AE2970" s="846">
        <v>0</v>
      </c>
      <c r="AF2970" s="846"/>
      <c r="AG2970" s="1156">
        <v>0</v>
      </c>
      <c r="AH2970" s="1157"/>
      <c r="AI2970" s="742">
        <f t="shared" si="381"/>
        <v>1400000</v>
      </c>
      <c r="AJ2970" s="743">
        <f t="shared" si="382"/>
        <v>1400000</v>
      </c>
    </row>
    <row r="2971" spans="1:36">
      <c r="A2971" s="1062" t="s">
        <v>147</v>
      </c>
      <c r="B2971" s="901" t="s">
        <v>280</v>
      </c>
      <c r="C2971" s="1187" t="s">
        <v>1216</v>
      </c>
      <c r="D2971" s="1188"/>
      <c r="E2971" s="1152">
        <v>228909</v>
      </c>
      <c r="F2971" s="911">
        <v>15</v>
      </c>
      <c r="G2971" s="846"/>
      <c r="H2971" s="1153"/>
      <c r="I2971" s="1154"/>
      <c r="J2971" s="1155"/>
      <c r="K2971" s="846"/>
      <c r="L2971" s="847"/>
      <c r="M2971" s="846"/>
      <c r="N2971" s="846"/>
      <c r="O2971" s="737">
        <f t="shared" si="375"/>
        <v>0</v>
      </c>
      <c r="P2971" s="1155"/>
      <c r="Q2971" s="1153"/>
      <c r="R2971" s="738">
        <f t="shared" si="378"/>
        <v>0</v>
      </c>
      <c r="S2971" s="737">
        <f t="shared" si="379"/>
        <v>0</v>
      </c>
      <c r="T2971" s="739">
        <f t="shared" si="380"/>
        <v>0</v>
      </c>
      <c r="U2971" s="846"/>
      <c r="V2971" s="847"/>
      <c r="W2971" s="846"/>
      <c r="X2971" s="846"/>
      <c r="Y2971" s="740">
        <f t="shared" si="376"/>
        <v>0</v>
      </c>
      <c r="Z2971" s="1156"/>
      <c r="AA2971" s="847"/>
      <c r="AB2971" s="741">
        <f t="shared" si="377"/>
        <v>0</v>
      </c>
      <c r="AC2971" s="846">
        <v>76364770</v>
      </c>
      <c r="AD2971" s="847">
        <v>75928991</v>
      </c>
      <c r="AE2971" s="846">
        <v>23047717</v>
      </c>
      <c r="AF2971" s="846"/>
      <c r="AG2971" s="1156">
        <v>24542106</v>
      </c>
      <c r="AH2971" s="1157"/>
      <c r="AI2971" s="742">
        <f t="shared" si="381"/>
        <v>99412487</v>
      </c>
      <c r="AJ2971" s="743">
        <f t="shared" si="382"/>
        <v>100471097</v>
      </c>
    </row>
    <row r="2972" spans="1:36">
      <c r="A2972" s="1062" t="s">
        <v>147</v>
      </c>
      <c r="B2972" s="901" t="s">
        <v>280</v>
      </c>
      <c r="C2972" s="1187" t="s">
        <v>1217</v>
      </c>
      <c r="D2972" s="1188"/>
      <c r="E2972" s="1152">
        <v>229300</v>
      </c>
      <c r="F2972" s="911">
        <v>15</v>
      </c>
      <c r="G2972" s="846"/>
      <c r="H2972" s="1153"/>
      <c r="I2972" s="1154"/>
      <c r="J2972" s="1155"/>
      <c r="K2972" s="846"/>
      <c r="L2972" s="847"/>
      <c r="M2972" s="846"/>
      <c r="N2972" s="846"/>
      <c r="O2972" s="737">
        <f t="shared" si="375"/>
        <v>0</v>
      </c>
      <c r="P2972" s="1155"/>
      <c r="Q2972" s="1153"/>
      <c r="R2972" s="738">
        <f t="shared" si="378"/>
        <v>0</v>
      </c>
      <c r="S2972" s="737">
        <f t="shared" si="379"/>
        <v>0</v>
      </c>
      <c r="T2972" s="739">
        <f t="shared" si="380"/>
        <v>0</v>
      </c>
      <c r="U2972" s="846"/>
      <c r="V2972" s="847"/>
      <c r="W2972" s="846"/>
      <c r="X2972" s="846"/>
      <c r="Y2972" s="740">
        <f t="shared" si="376"/>
        <v>0</v>
      </c>
      <c r="Z2972" s="1156"/>
      <c r="AA2972" s="847"/>
      <c r="AB2972" s="741">
        <f t="shared" si="377"/>
        <v>0</v>
      </c>
      <c r="AC2972" s="846">
        <v>190116007</v>
      </c>
      <c r="AD2972" s="847">
        <v>192534030</v>
      </c>
      <c r="AE2972" s="846">
        <v>37857366</v>
      </c>
      <c r="AF2972" s="846"/>
      <c r="AG2972" s="1156">
        <v>39813717</v>
      </c>
      <c r="AH2972" s="1157"/>
      <c r="AI2972" s="742">
        <f t="shared" si="381"/>
        <v>227973373</v>
      </c>
      <c r="AJ2972" s="743">
        <f t="shared" si="382"/>
        <v>232347747</v>
      </c>
    </row>
    <row r="2973" spans="1:36">
      <c r="A2973" s="1062" t="s">
        <v>147</v>
      </c>
      <c r="B2973" s="901" t="s">
        <v>280</v>
      </c>
      <c r="C2973" s="1187" t="s">
        <v>1218</v>
      </c>
      <c r="D2973" s="1188"/>
      <c r="E2973" s="1152">
        <v>228644</v>
      </c>
      <c r="F2973" s="911">
        <v>15</v>
      </c>
      <c r="G2973" s="846"/>
      <c r="H2973" s="1153"/>
      <c r="I2973" s="1154"/>
      <c r="J2973" s="1155"/>
      <c r="K2973" s="846"/>
      <c r="L2973" s="847"/>
      <c r="M2973" s="846"/>
      <c r="N2973" s="846"/>
      <c r="O2973" s="737">
        <f t="shared" si="375"/>
        <v>0</v>
      </c>
      <c r="P2973" s="1155"/>
      <c r="Q2973" s="1153"/>
      <c r="R2973" s="738">
        <f t="shared" si="378"/>
        <v>0</v>
      </c>
      <c r="S2973" s="737">
        <f t="shared" si="379"/>
        <v>0</v>
      </c>
      <c r="T2973" s="739">
        <f t="shared" si="380"/>
        <v>0</v>
      </c>
      <c r="U2973" s="846"/>
      <c r="V2973" s="847"/>
      <c r="W2973" s="846"/>
      <c r="X2973" s="846"/>
      <c r="Y2973" s="740">
        <f t="shared" si="376"/>
        <v>0</v>
      </c>
      <c r="Z2973" s="1156"/>
      <c r="AA2973" s="847"/>
      <c r="AB2973" s="741">
        <f t="shared" si="377"/>
        <v>0</v>
      </c>
      <c r="AC2973" s="846">
        <v>177838900</v>
      </c>
      <c r="AD2973" s="847">
        <v>179856992</v>
      </c>
      <c r="AE2973" s="846">
        <v>32579892</v>
      </c>
      <c r="AF2973" s="846"/>
      <c r="AG2973" s="1156">
        <v>33144653</v>
      </c>
      <c r="AH2973" s="1157"/>
      <c r="AI2973" s="742">
        <f t="shared" si="381"/>
        <v>210418792</v>
      </c>
      <c r="AJ2973" s="743">
        <f t="shared" si="382"/>
        <v>213001645</v>
      </c>
    </row>
    <row r="2974" spans="1:36">
      <c r="A2974" s="1062" t="s">
        <v>147</v>
      </c>
      <c r="B2974" s="901" t="s">
        <v>280</v>
      </c>
      <c r="C2974" s="1189" t="s">
        <v>1219</v>
      </c>
      <c r="D2974" s="1190"/>
      <c r="E2974" s="1152">
        <v>416801</v>
      </c>
      <c r="F2974" s="911">
        <v>15</v>
      </c>
      <c r="G2974" s="846"/>
      <c r="H2974" s="1153"/>
      <c r="I2974" s="1154"/>
      <c r="J2974" s="1155"/>
      <c r="K2974" s="846"/>
      <c r="L2974" s="847"/>
      <c r="M2974" s="846"/>
      <c r="N2974" s="846"/>
      <c r="O2974" s="737">
        <f t="shared" si="375"/>
        <v>0</v>
      </c>
      <c r="P2974" s="1155"/>
      <c r="Q2974" s="1153"/>
      <c r="R2974" s="738">
        <f t="shared" si="378"/>
        <v>0</v>
      </c>
      <c r="S2974" s="737">
        <f t="shared" si="379"/>
        <v>0</v>
      </c>
      <c r="T2974" s="739">
        <f t="shared" si="380"/>
        <v>0</v>
      </c>
      <c r="U2974" s="846"/>
      <c r="V2974" s="847"/>
      <c r="W2974" s="846"/>
      <c r="X2974" s="846"/>
      <c r="Y2974" s="740">
        <f t="shared" si="376"/>
        <v>0</v>
      </c>
      <c r="Z2974" s="1156"/>
      <c r="AA2974" s="847"/>
      <c r="AB2974" s="741">
        <f t="shared" si="377"/>
        <v>0</v>
      </c>
      <c r="AC2974" s="846">
        <v>237990852</v>
      </c>
      <c r="AD2974" s="847">
        <v>244569886</v>
      </c>
      <c r="AE2974" s="846">
        <v>1241361</v>
      </c>
      <c r="AF2974" s="846"/>
      <c r="AG2974" s="1156">
        <v>1447921</v>
      </c>
      <c r="AH2974" s="1157"/>
      <c r="AI2974" s="742">
        <f t="shared" si="381"/>
        <v>239232213</v>
      </c>
      <c r="AJ2974" s="743">
        <f t="shared" si="382"/>
        <v>246017807</v>
      </c>
    </row>
    <row r="2975" spans="1:36">
      <c r="A2975" s="1062" t="s">
        <v>147</v>
      </c>
      <c r="B2975" s="901" t="s">
        <v>280</v>
      </c>
      <c r="C2975" s="1187" t="s">
        <v>1220</v>
      </c>
      <c r="D2975" s="1188"/>
      <c r="E2975" s="1152">
        <v>228653</v>
      </c>
      <c r="F2975" s="911">
        <v>15</v>
      </c>
      <c r="G2975" s="846"/>
      <c r="H2975" s="1153"/>
      <c r="I2975" s="1154"/>
      <c r="J2975" s="1155"/>
      <c r="K2975" s="846"/>
      <c r="L2975" s="847"/>
      <c r="M2975" s="846"/>
      <c r="N2975" s="846"/>
      <c r="O2975" s="737">
        <f t="shared" si="375"/>
        <v>0</v>
      </c>
      <c r="P2975" s="1155"/>
      <c r="Q2975" s="1153"/>
      <c r="R2975" s="738">
        <f t="shared" si="378"/>
        <v>0</v>
      </c>
      <c r="S2975" s="737">
        <f t="shared" si="379"/>
        <v>0</v>
      </c>
      <c r="T2975" s="739">
        <f t="shared" si="380"/>
        <v>0</v>
      </c>
      <c r="U2975" s="846"/>
      <c r="V2975" s="847"/>
      <c r="W2975" s="846"/>
      <c r="X2975" s="846"/>
      <c r="Y2975" s="740">
        <f t="shared" si="376"/>
        <v>0</v>
      </c>
      <c r="Z2975" s="1156"/>
      <c r="AA2975" s="847"/>
      <c r="AB2975" s="741">
        <f t="shared" si="377"/>
        <v>0</v>
      </c>
      <c r="AC2975" s="846">
        <v>340259418</v>
      </c>
      <c r="AD2975" s="847">
        <v>344053902</v>
      </c>
      <c r="AE2975" s="846">
        <v>29568236</v>
      </c>
      <c r="AF2975" s="846"/>
      <c r="AG2975" s="1156">
        <v>32785714</v>
      </c>
      <c r="AH2975" s="1157"/>
      <c r="AI2975" s="742">
        <f t="shared" si="381"/>
        <v>369827654</v>
      </c>
      <c r="AJ2975" s="743">
        <f t="shared" si="382"/>
        <v>376839616</v>
      </c>
    </row>
    <row r="2976" spans="1:36">
      <c r="A2976" s="1062" t="s">
        <v>147</v>
      </c>
      <c r="B2976" s="901" t="s">
        <v>280</v>
      </c>
      <c r="C2976" s="1187" t="s">
        <v>1221</v>
      </c>
      <c r="D2976" s="1188"/>
      <c r="E2976" s="1152">
        <v>228635</v>
      </c>
      <c r="F2976" s="911">
        <v>15</v>
      </c>
      <c r="G2976" s="846"/>
      <c r="H2976" s="1153"/>
      <c r="I2976" s="1154"/>
      <c r="J2976" s="1155"/>
      <c r="K2976" s="846"/>
      <c r="L2976" s="847"/>
      <c r="M2976" s="846"/>
      <c r="N2976" s="846"/>
      <c r="O2976" s="737">
        <f t="shared" si="375"/>
        <v>0</v>
      </c>
      <c r="P2976" s="1155"/>
      <c r="Q2976" s="1153"/>
      <c r="R2976" s="738">
        <f t="shared" si="378"/>
        <v>0</v>
      </c>
      <c r="S2976" s="737">
        <f t="shared" si="379"/>
        <v>0</v>
      </c>
      <c r="T2976" s="739">
        <f t="shared" si="380"/>
        <v>0</v>
      </c>
      <c r="U2976" s="846"/>
      <c r="V2976" s="847"/>
      <c r="W2976" s="846"/>
      <c r="X2976" s="846"/>
      <c r="Y2976" s="740">
        <f t="shared" si="376"/>
        <v>0</v>
      </c>
      <c r="Z2976" s="1156"/>
      <c r="AA2976" s="847"/>
      <c r="AB2976" s="741">
        <f t="shared" si="377"/>
        <v>0</v>
      </c>
      <c r="AC2976" s="846">
        <v>160170890</v>
      </c>
      <c r="AD2976" s="847">
        <v>161851323</v>
      </c>
      <c r="AE2976" s="846">
        <v>17871405</v>
      </c>
      <c r="AF2976" s="846"/>
      <c r="AG2976" s="1156">
        <v>20818275</v>
      </c>
      <c r="AH2976" s="1157"/>
      <c r="AI2976" s="742">
        <f t="shared" si="381"/>
        <v>178042295</v>
      </c>
      <c r="AJ2976" s="743">
        <f t="shared" si="382"/>
        <v>182669598</v>
      </c>
    </row>
    <row r="2977" spans="1:36">
      <c r="A2977" s="1062" t="s">
        <v>147</v>
      </c>
      <c r="B2977" s="901" t="s">
        <v>274</v>
      </c>
      <c r="C2977" s="1187" t="s">
        <v>1222</v>
      </c>
      <c r="D2977" s="1160"/>
      <c r="E2977" s="1077" t="s">
        <v>948</v>
      </c>
      <c r="F2977" s="1078">
        <v>15</v>
      </c>
      <c r="G2977" s="846"/>
      <c r="H2977" s="1153"/>
      <c r="I2977" s="1154"/>
      <c r="J2977" s="1155"/>
      <c r="K2977" s="846"/>
      <c r="L2977" s="847"/>
      <c r="M2977" s="846"/>
      <c r="N2977" s="846"/>
      <c r="O2977" s="737">
        <f t="shared" si="375"/>
        <v>0</v>
      </c>
      <c r="P2977" s="1155"/>
      <c r="Q2977" s="1153"/>
      <c r="R2977" s="738">
        <f t="shared" si="378"/>
        <v>0</v>
      </c>
      <c r="S2977" s="737">
        <f t="shared" si="379"/>
        <v>0</v>
      </c>
      <c r="T2977" s="739">
        <f t="shared" si="380"/>
        <v>0</v>
      </c>
      <c r="U2977" s="846"/>
      <c r="V2977" s="847"/>
      <c r="W2977" s="846"/>
      <c r="X2977" s="846"/>
      <c r="Y2977" s="740">
        <f t="shared" si="376"/>
        <v>0</v>
      </c>
      <c r="Z2977" s="1156"/>
      <c r="AA2977" s="847"/>
      <c r="AB2977" s="741">
        <f t="shared" si="377"/>
        <v>0</v>
      </c>
      <c r="AC2977" s="846">
        <v>46119542</v>
      </c>
      <c r="AD2977" s="847">
        <v>46688762</v>
      </c>
      <c r="AE2977" s="846">
        <v>39200</v>
      </c>
      <c r="AF2977" s="846"/>
      <c r="AG2977" s="1156">
        <v>114700</v>
      </c>
      <c r="AH2977" s="1157"/>
      <c r="AI2977" s="742">
        <f t="shared" si="381"/>
        <v>46158742</v>
      </c>
      <c r="AJ2977" s="743">
        <f t="shared" si="382"/>
        <v>46803462</v>
      </c>
    </row>
    <row r="2978" spans="1:36">
      <c r="A2978" s="1062" t="s">
        <v>147</v>
      </c>
      <c r="B2978" s="901" t="s">
        <v>264</v>
      </c>
      <c r="C2978" s="896" t="s">
        <v>1223</v>
      </c>
      <c r="D2978" s="894"/>
      <c r="E2978" s="1164">
        <v>443711</v>
      </c>
      <c r="F2978" s="1174">
        <v>99</v>
      </c>
      <c r="G2978" s="846">
        <v>12262083</v>
      </c>
      <c r="H2978" s="1153">
        <v>12382089</v>
      </c>
      <c r="I2978" s="1154"/>
      <c r="J2978" s="1155"/>
      <c r="K2978" s="846"/>
      <c r="L2978" s="847"/>
      <c r="M2978" s="846">
        <v>8823113</v>
      </c>
      <c r="N2978" s="846"/>
      <c r="O2978" s="737">
        <f t="shared" si="375"/>
        <v>8823113</v>
      </c>
      <c r="P2978" s="1155">
        <v>9491522</v>
      </c>
      <c r="Q2978" s="1153"/>
      <c r="R2978" s="738">
        <f t="shared" si="378"/>
        <v>9491522</v>
      </c>
      <c r="S2978" s="737">
        <f t="shared" si="379"/>
        <v>21085196</v>
      </c>
      <c r="T2978" s="739">
        <f t="shared" si="380"/>
        <v>21873611</v>
      </c>
      <c r="U2978" s="846"/>
      <c r="V2978" s="847"/>
      <c r="W2978" s="846"/>
      <c r="X2978" s="846"/>
      <c r="Y2978" s="740">
        <f t="shared" si="376"/>
        <v>0</v>
      </c>
      <c r="Z2978" s="1156"/>
      <c r="AA2978" s="847"/>
      <c r="AB2978" s="741">
        <f t="shared" si="377"/>
        <v>0</v>
      </c>
      <c r="AC2978" s="846"/>
      <c r="AD2978" s="847"/>
      <c r="AE2978" s="846"/>
      <c r="AF2978" s="846"/>
      <c r="AG2978" s="1156"/>
      <c r="AH2978" s="1157"/>
      <c r="AI2978" s="742">
        <f t="shared" si="381"/>
        <v>21085196</v>
      </c>
      <c r="AJ2978" s="743">
        <f t="shared" si="382"/>
        <v>21873611</v>
      </c>
    </row>
    <row r="2979" spans="1:36">
      <c r="A2979" s="1062" t="s">
        <v>147</v>
      </c>
      <c r="B2979" s="901" t="s">
        <v>273</v>
      </c>
      <c r="C2979" s="1070" t="s">
        <v>493</v>
      </c>
      <c r="D2979" s="1151"/>
      <c r="E2979" s="910"/>
      <c r="F2979" s="911"/>
      <c r="G2979" s="846"/>
      <c r="H2979" s="1181"/>
      <c r="I2979" s="1154"/>
      <c r="J2979" s="1155"/>
      <c r="K2979" s="846"/>
      <c r="L2979" s="847"/>
      <c r="M2979" s="846"/>
      <c r="N2979" s="846"/>
      <c r="O2979" s="737">
        <f t="shared" si="375"/>
        <v>0</v>
      </c>
      <c r="P2979" s="1155"/>
      <c r="Q2979" s="1153"/>
      <c r="R2979" s="738">
        <f t="shared" si="378"/>
        <v>0</v>
      </c>
      <c r="S2979" s="737">
        <f t="shared" si="379"/>
        <v>0</v>
      </c>
      <c r="T2979" s="739">
        <f t="shared" si="380"/>
        <v>0</v>
      </c>
      <c r="U2979" s="846"/>
      <c r="V2979" s="847"/>
      <c r="W2979" s="846"/>
      <c r="X2979" s="846"/>
      <c r="Y2979" s="740">
        <f t="shared" si="376"/>
        <v>0</v>
      </c>
      <c r="Z2979" s="1156"/>
      <c r="AA2979" s="847"/>
      <c r="AB2979" s="741">
        <f t="shared" si="377"/>
        <v>0</v>
      </c>
      <c r="AC2979" s="846"/>
      <c r="AD2979" s="847"/>
      <c r="AE2979" s="846"/>
      <c r="AF2979" s="846"/>
      <c r="AG2979" s="1156"/>
      <c r="AH2979" s="1157"/>
      <c r="AI2979" s="742">
        <f t="shared" si="381"/>
        <v>0</v>
      </c>
      <c r="AJ2979" s="743">
        <f t="shared" si="382"/>
        <v>0</v>
      </c>
    </row>
    <row r="2980" spans="1:36">
      <c r="A2980" s="1062" t="s">
        <v>147</v>
      </c>
      <c r="B2980" s="901" t="s">
        <v>279</v>
      </c>
      <c r="C2980" s="1191" t="s">
        <v>1224</v>
      </c>
      <c r="D2980" s="1160"/>
      <c r="E2980" s="1077"/>
      <c r="F2980" s="911"/>
      <c r="G2980" s="846"/>
      <c r="H2980" s="1153"/>
      <c r="I2980" s="1154"/>
      <c r="J2980" s="1155"/>
      <c r="K2980" s="846"/>
      <c r="L2980" s="847"/>
      <c r="M2980" s="846"/>
      <c r="N2980" s="846"/>
      <c r="O2980" s="737">
        <f t="shared" si="375"/>
        <v>0</v>
      </c>
      <c r="P2980" s="1155"/>
      <c r="Q2980" s="1153"/>
      <c r="R2980" s="738">
        <f t="shared" si="378"/>
        <v>0</v>
      </c>
      <c r="S2980" s="737">
        <f t="shared" si="379"/>
        <v>0</v>
      </c>
      <c r="T2980" s="739">
        <f t="shared" si="380"/>
        <v>0</v>
      </c>
      <c r="U2980" s="846"/>
      <c r="V2980" s="847"/>
      <c r="W2980" s="846"/>
      <c r="X2980" s="846"/>
      <c r="Y2980" s="740">
        <f t="shared" si="376"/>
        <v>0</v>
      </c>
      <c r="Z2980" s="1156"/>
      <c r="AA2980" s="847"/>
      <c r="AB2980" s="741">
        <f t="shared" si="377"/>
        <v>0</v>
      </c>
      <c r="AC2980" s="846">
        <v>2515000</v>
      </c>
      <c r="AD2980" s="847">
        <v>2515000</v>
      </c>
      <c r="AE2980" s="846"/>
      <c r="AF2980" s="846"/>
      <c r="AG2980" s="1156"/>
      <c r="AH2980" s="1157"/>
      <c r="AI2980" s="742">
        <f t="shared" si="381"/>
        <v>2515000</v>
      </c>
      <c r="AJ2980" s="743">
        <f t="shared" si="382"/>
        <v>2515000</v>
      </c>
    </row>
    <row r="2981" spans="1:36">
      <c r="A2981" s="1062" t="s">
        <v>147</v>
      </c>
      <c r="B2981" s="901" t="s">
        <v>279</v>
      </c>
      <c r="C2981" s="1191" t="s">
        <v>1225</v>
      </c>
      <c r="D2981" s="1160"/>
      <c r="E2981" s="1077"/>
      <c r="F2981" s="911"/>
      <c r="G2981" s="846"/>
      <c r="H2981" s="1153"/>
      <c r="I2981" s="1154"/>
      <c r="J2981" s="1155"/>
      <c r="K2981" s="846"/>
      <c r="L2981" s="847"/>
      <c r="M2981" s="846"/>
      <c r="N2981" s="846"/>
      <c r="O2981" s="737">
        <f t="shared" si="375"/>
        <v>0</v>
      </c>
      <c r="P2981" s="1155"/>
      <c r="Q2981" s="1153"/>
      <c r="R2981" s="738">
        <f t="shared" si="378"/>
        <v>0</v>
      </c>
      <c r="S2981" s="737">
        <f t="shared" si="379"/>
        <v>0</v>
      </c>
      <c r="T2981" s="739">
        <f t="shared" si="380"/>
        <v>0</v>
      </c>
      <c r="U2981" s="846"/>
      <c r="V2981" s="847"/>
      <c r="W2981" s="846"/>
      <c r="X2981" s="846"/>
      <c r="Y2981" s="740">
        <f t="shared" si="376"/>
        <v>0</v>
      </c>
      <c r="Z2981" s="1156"/>
      <c r="AA2981" s="847"/>
      <c r="AB2981" s="741">
        <f t="shared" si="377"/>
        <v>0</v>
      </c>
      <c r="AC2981" s="846">
        <v>1725000</v>
      </c>
      <c r="AD2981" s="847">
        <v>1225000</v>
      </c>
      <c r="AE2981" s="846"/>
      <c r="AF2981" s="846"/>
      <c r="AG2981" s="1156"/>
      <c r="AH2981" s="1157"/>
      <c r="AI2981" s="742">
        <f t="shared" si="381"/>
        <v>1725000</v>
      </c>
      <c r="AJ2981" s="743">
        <f t="shared" si="382"/>
        <v>1225000</v>
      </c>
    </row>
    <row r="2982" spans="1:36">
      <c r="A2982" s="1062" t="s">
        <v>147</v>
      </c>
      <c r="B2982" s="901" t="s">
        <v>279</v>
      </c>
      <c r="C2982" s="1191" t="s">
        <v>1226</v>
      </c>
      <c r="D2982" s="1160"/>
      <c r="E2982" s="1077"/>
      <c r="F2982" s="911"/>
      <c r="G2982" s="846"/>
      <c r="H2982" s="1153"/>
      <c r="I2982" s="1154"/>
      <c r="J2982" s="1155"/>
      <c r="K2982" s="846"/>
      <c r="L2982" s="847"/>
      <c r="M2982" s="846"/>
      <c r="N2982" s="846"/>
      <c r="O2982" s="737">
        <f t="shared" si="375"/>
        <v>0</v>
      </c>
      <c r="P2982" s="1155"/>
      <c r="Q2982" s="1153"/>
      <c r="R2982" s="738">
        <f t="shared" si="378"/>
        <v>0</v>
      </c>
      <c r="S2982" s="737">
        <f t="shared" si="379"/>
        <v>0</v>
      </c>
      <c r="T2982" s="739">
        <f t="shared" si="380"/>
        <v>0</v>
      </c>
      <c r="U2982" s="846"/>
      <c r="V2982" s="847"/>
      <c r="W2982" s="846"/>
      <c r="X2982" s="846"/>
      <c r="Y2982" s="740">
        <f t="shared" si="376"/>
        <v>0</v>
      </c>
      <c r="Z2982" s="1156"/>
      <c r="AA2982" s="847"/>
      <c r="AB2982" s="741">
        <f t="shared" si="377"/>
        <v>0</v>
      </c>
      <c r="AC2982" s="846">
        <v>3200000</v>
      </c>
      <c r="AD2982" s="847">
        <v>2200000</v>
      </c>
      <c r="AE2982" s="846"/>
      <c r="AF2982" s="846"/>
      <c r="AG2982" s="1156"/>
      <c r="AH2982" s="1157"/>
      <c r="AI2982" s="742">
        <f t="shared" si="381"/>
        <v>3200000</v>
      </c>
      <c r="AJ2982" s="743">
        <f t="shared" si="382"/>
        <v>2200000</v>
      </c>
    </row>
    <row r="2983" spans="1:36">
      <c r="A2983" s="1062" t="s">
        <v>147</v>
      </c>
      <c r="B2983" s="901" t="s">
        <v>279</v>
      </c>
      <c r="C2983" s="1191" t="s">
        <v>1227</v>
      </c>
      <c r="D2983" s="1160"/>
      <c r="E2983" s="1077"/>
      <c r="F2983" s="1078"/>
      <c r="G2983" s="846"/>
      <c r="H2983" s="1153"/>
      <c r="I2983" s="1154"/>
      <c r="J2983" s="1155"/>
      <c r="K2983" s="846"/>
      <c r="L2983" s="847"/>
      <c r="M2983" s="846"/>
      <c r="N2983" s="846"/>
      <c r="O2983" s="737">
        <f t="shared" si="375"/>
        <v>0</v>
      </c>
      <c r="P2983" s="1155"/>
      <c r="Q2983" s="1153"/>
      <c r="R2983" s="738">
        <f t="shared" si="378"/>
        <v>0</v>
      </c>
      <c r="S2983" s="737">
        <f t="shared" si="379"/>
        <v>0</v>
      </c>
      <c r="T2983" s="739">
        <f t="shared" si="380"/>
        <v>0</v>
      </c>
      <c r="U2983" s="846"/>
      <c r="V2983" s="847"/>
      <c r="W2983" s="846"/>
      <c r="X2983" s="846"/>
      <c r="Y2983" s="740">
        <f t="shared" si="376"/>
        <v>0</v>
      </c>
      <c r="Z2983" s="1156"/>
      <c r="AA2983" s="847"/>
      <c r="AB2983" s="741">
        <f t="shared" si="377"/>
        <v>0</v>
      </c>
      <c r="AC2983" s="846">
        <v>16875000</v>
      </c>
      <c r="AD2983" s="847">
        <v>16875000</v>
      </c>
      <c r="AE2983" s="846"/>
      <c r="AF2983" s="846"/>
      <c r="AG2983" s="1156"/>
      <c r="AH2983" s="1157"/>
      <c r="AI2983" s="742">
        <f t="shared" si="381"/>
        <v>16875000</v>
      </c>
      <c r="AJ2983" s="743">
        <f t="shared" si="382"/>
        <v>16875000</v>
      </c>
    </row>
    <row r="2984" spans="1:36">
      <c r="A2984" s="1062" t="s">
        <v>147</v>
      </c>
      <c r="B2984" s="901" t="s">
        <v>303</v>
      </c>
      <c r="C2984" s="1070" t="s">
        <v>826</v>
      </c>
      <c r="D2984" s="1151"/>
      <c r="E2984" s="1077"/>
      <c r="F2984" s="1078"/>
      <c r="G2984" s="846"/>
      <c r="H2984" s="1153"/>
      <c r="I2984" s="1154"/>
      <c r="J2984" s="1155"/>
      <c r="K2984" s="846"/>
      <c r="L2984" s="847"/>
      <c r="M2984" s="846"/>
      <c r="N2984" s="846"/>
      <c r="O2984" s="737">
        <f t="shared" si="375"/>
        <v>0</v>
      </c>
      <c r="P2984" s="1155"/>
      <c r="Q2984" s="1153"/>
      <c r="R2984" s="738">
        <f t="shared" si="378"/>
        <v>0</v>
      </c>
      <c r="S2984" s="737">
        <f t="shared" si="379"/>
        <v>0</v>
      </c>
      <c r="T2984" s="739">
        <f t="shared" si="380"/>
        <v>0</v>
      </c>
      <c r="U2984" s="846"/>
      <c r="V2984" s="847"/>
      <c r="W2984" s="846"/>
      <c r="X2984" s="846"/>
      <c r="Y2984" s="740">
        <f t="shared" si="376"/>
        <v>0</v>
      </c>
      <c r="Z2984" s="1156"/>
      <c r="AA2984" s="847"/>
      <c r="AB2984" s="741">
        <f t="shared" si="377"/>
        <v>0</v>
      </c>
      <c r="AC2984" s="846"/>
      <c r="AD2984" s="847"/>
      <c r="AE2984" s="846"/>
      <c r="AF2984" s="846"/>
      <c r="AG2984" s="1156"/>
      <c r="AH2984" s="1157"/>
      <c r="AI2984" s="742">
        <f t="shared" si="381"/>
        <v>0</v>
      </c>
      <c r="AJ2984" s="743">
        <f t="shared" si="382"/>
        <v>0</v>
      </c>
    </row>
    <row r="2985" spans="1:36">
      <c r="A2985" s="1062" t="s">
        <v>147</v>
      </c>
      <c r="B2985" s="901" t="s">
        <v>303</v>
      </c>
      <c r="C2985" s="1192" t="s">
        <v>1228</v>
      </c>
      <c r="D2985" s="1183"/>
      <c r="E2985" s="1077"/>
      <c r="F2985" s="1078"/>
      <c r="G2985" s="846"/>
      <c r="H2985" s="1153"/>
      <c r="I2985" s="1193">
        <v>0</v>
      </c>
      <c r="J2985" s="1155">
        <v>0</v>
      </c>
      <c r="K2985" s="846"/>
      <c r="L2985" s="847"/>
      <c r="M2985" s="846"/>
      <c r="N2985" s="846"/>
      <c r="O2985" s="737">
        <f t="shared" si="375"/>
        <v>0</v>
      </c>
      <c r="P2985" s="1155"/>
      <c r="Q2985" s="1153"/>
      <c r="R2985" s="738">
        <f t="shared" si="378"/>
        <v>0</v>
      </c>
      <c r="S2985" s="737">
        <f t="shared" si="379"/>
        <v>0</v>
      </c>
      <c r="T2985" s="739">
        <f t="shared" si="380"/>
        <v>0</v>
      </c>
      <c r="U2985" s="846"/>
      <c r="V2985" s="847"/>
      <c r="W2985" s="846"/>
      <c r="X2985" s="846"/>
      <c r="Y2985" s="740">
        <f t="shared" si="376"/>
        <v>0</v>
      </c>
      <c r="Z2985" s="1156"/>
      <c r="AA2985" s="847"/>
      <c r="AB2985" s="741">
        <f t="shared" si="377"/>
        <v>0</v>
      </c>
      <c r="AC2985" s="846"/>
      <c r="AD2985" s="847"/>
      <c r="AE2985" s="846"/>
      <c r="AF2985" s="846"/>
      <c r="AG2985" s="1156"/>
      <c r="AH2985" s="1157"/>
      <c r="AI2985" s="742">
        <f t="shared" si="381"/>
        <v>0</v>
      </c>
      <c r="AJ2985" s="743">
        <f t="shared" si="382"/>
        <v>0</v>
      </c>
    </row>
    <row r="2986" spans="1:36">
      <c r="A2986" s="1062" t="s">
        <v>147</v>
      </c>
      <c r="B2986" s="901" t="s">
        <v>281</v>
      </c>
      <c r="C2986" s="1070" t="s">
        <v>109</v>
      </c>
      <c r="D2986" s="1151"/>
      <c r="E2986" s="1077"/>
      <c r="F2986" s="1078"/>
      <c r="G2986" s="846"/>
      <c r="H2986" s="1153"/>
      <c r="I2986" s="1154"/>
      <c r="J2986" s="1155"/>
      <c r="K2986" s="846"/>
      <c r="L2986" s="847"/>
      <c r="M2986" s="846"/>
      <c r="N2986" s="846"/>
      <c r="O2986" s="737">
        <f t="shared" si="375"/>
        <v>0</v>
      </c>
      <c r="P2986" s="1155"/>
      <c r="Q2986" s="1153"/>
      <c r="R2986" s="738">
        <f t="shared" si="378"/>
        <v>0</v>
      </c>
      <c r="S2986" s="737">
        <f t="shared" si="379"/>
        <v>0</v>
      </c>
      <c r="T2986" s="739">
        <f t="shared" si="380"/>
        <v>0</v>
      </c>
      <c r="U2986" s="846"/>
      <c r="V2986" s="847"/>
      <c r="W2986" s="846"/>
      <c r="X2986" s="846"/>
      <c r="Y2986" s="740">
        <f t="shared" si="376"/>
        <v>0</v>
      </c>
      <c r="Z2986" s="1156"/>
      <c r="AA2986" s="847"/>
      <c r="AB2986" s="741">
        <f t="shared" si="377"/>
        <v>0</v>
      </c>
      <c r="AC2986" s="846"/>
      <c r="AD2986" s="847"/>
      <c r="AE2986" s="846"/>
      <c r="AF2986" s="846"/>
      <c r="AG2986" s="1156"/>
      <c r="AH2986" s="1157"/>
      <c r="AI2986" s="742">
        <f t="shared" si="381"/>
        <v>0</v>
      </c>
      <c r="AJ2986" s="743">
        <f t="shared" si="382"/>
        <v>0</v>
      </c>
    </row>
    <row r="2987" spans="1:36">
      <c r="A2987" s="1062" t="s">
        <v>147</v>
      </c>
      <c r="B2987" s="901" t="s">
        <v>282</v>
      </c>
      <c r="C2987" s="1194" t="s">
        <v>1229</v>
      </c>
      <c r="D2987" s="1160"/>
      <c r="E2987" s="1077"/>
      <c r="F2987" s="1078"/>
      <c r="G2987" s="846"/>
      <c r="H2987" s="1153"/>
      <c r="I2987" s="1154"/>
      <c r="J2987" s="1155"/>
      <c r="K2987" s="846"/>
      <c r="L2987" s="847"/>
      <c r="M2987" s="846"/>
      <c r="N2987" s="846"/>
      <c r="O2987" s="737">
        <f t="shared" si="375"/>
        <v>0</v>
      </c>
      <c r="P2987" s="1155"/>
      <c r="Q2987" s="1153"/>
      <c r="R2987" s="738">
        <f t="shared" si="378"/>
        <v>0</v>
      </c>
      <c r="S2987" s="737">
        <f t="shared" si="379"/>
        <v>0</v>
      </c>
      <c r="T2987" s="739">
        <f t="shared" si="380"/>
        <v>0</v>
      </c>
      <c r="U2987" s="846">
        <v>38258771</v>
      </c>
      <c r="V2987" s="847">
        <v>29520803</v>
      </c>
      <c r="W2987" s="846"/>
      <c r="X2987" s="846"/>
      <c r="Y2987" s="740">
        <f t="shared" si="376"/>
        <v>0</v>
      </c>
      <c r="Z2987" s="1156"/>
      <c r="AA2987" s="847"/>
      <c r="AB2987" s="741">
        <f t="shared" si="377"/>
        <v>0</v>
      </c>
      <c r="AC2987" s="846"/>
      <c r="AD2987" s="847"/>
      <c r="AE2987" s="846"/>
      <c r="AF2987" s="846"/>
      <c r="AG2987" s="1156"/>
      <c r="AH2987" s="1157"/>
      <c r="AI2987" s="742">
        <f t="shared" si="381"/>
        <v>38258771</v>
      </c>
      <c r="AJ2987" s="743">
        <f t="shared" si="382"/>
        <v>29520803</v>
      </c>
    </row>
    <row r="2988" spans="1:36">
      <c r="A2988" s="1062" t="s">
        <v>147</v>
      </c>
      <c r="B2988" s="901" t="s">
        <v>282</v>
      </c>
      <c r="C2988" s="1192" t="s">
        <v>1230</v>
      </c>
      <c r="D2988" s="1183"/>
      <c r="E2988" s="1077"/>
      <c r="F2988" s="1078"/>
      <c r="G2988" s="846"/>
      <c r="H2988" s="1153"/>
      <c r="I2988" s="1154"/>
      <c r="J2988" s="1155"/>
      <c r="K2988" s="846"/>
      <c r="L2988" s="847"/>
      <c r="M2988" s="846"/>
      <c r="N2988" s="846"/>
      <c r="O2988" s="737">
        <f t="shared" si="375"/>
        <v>0</v>
      </c>
      <c r="P2988" s="1155"/>
      <c r="Q2988" s="1153"/>
      <c r="R2988" s="738">
        <f t="shared" si="378"/>
        <v>0</v>
      </c>
      <c r="S2988" s="737">
        <f t="shared" si="379"/>
        <v>0</v>
      </c>
      <c r="T2988" s="739">
        <f t="shared" si="380"/>
        <v>0</v>
      </c>
      <c r="U2988" s="846">
        <v>67767579</v>
      </c>
      <c r="V2988" s="847">
        <v>55292982</v>
      </c>
      <c r="W2988" s="846"/>
      <c r="X2988" s="846"/>
      <c r="Y2988" s="740">
        <f t="shared" si="376"/>
        <v>0</v>
      </c>
      <c r="Z2988" s="1156"/>
      <c r="AA2988" s="847"/>
      <c r="AB2988" s="741">
        <f t="shared" si="377"/>
        <v>0</v>
      </c>
      <c r="AC2988" s="846"/>
      <c r="AD2988" s="847"/>
      <c r="AE2988" s="846"/>
      <c r="AF2988" s="846"/>
      <c r="AG2988" s="1156"/>
      <c r="AH2988" s="1157"/>
      <c r="AI2988" s="742">
        <f t="shared" si="381"/>
        <v>67767579</v>
      </c>
      <c r="AJ2988" s="743">
        <f t="shared" si="382"/>
        <v>55292982</v>
      </c>
    </row>
    <row r="2989" spans="1:36">
      <c r="A2989" s="1062" t="s">
        <v>147</v>
      </c>
      <c r="B2989" s="901" t="s">
        <v>283</v>
      </c>
      <c r="C2989" s="1068" t="s">
        <v>139</v>
      </c>
      <c r="D2989" s="1160"/>
      <c r="E2989" s="1077"/>
      <c r="F2989" s="1078"/>
      <c r="G2989" s="846"/>
      <c r="H2989" s="1153"/>
      <c r="I2989" s="1154"/>
      <c r="J2989" s="1155"/>
      <c r="K2989" s="846"/>
      <c r="L2989" s="847"/>
      <c r="M2989" s="846"/>
      <c r="N2989" s="846"/>
      <c r="O2989" s="737">
        <f t="shared" si="375"/>
        <v>0</v>
      </c>
      <c r="P2989" s="1155"/>
      <c r="Q2989" s="1153"/>
      <c r="R2989" s="738">
        <f t="shared" si="378"/>
        <v>0</v>
      </c>
      <c r="S2989" s="737">
        <f t="shared" si="379"/>
        <v>0</v>
      </c>
      <c r="T2989" s="739">
        <f t="shared" si="380"/>
        <v>0</v>
      </c>
      <c r="U2989" s="846"/>
      <c r="V2989" s="847"/>
      <c r="W2989" s="846"/>
      <c r="X2989" s="846"/>
      <c r="Y2989" s="740">
        <f t="shared" si="376"/>
        <v>0</v>
      </c>
      <c r="Z2989" s="1156"/>
      <c r="AA2989" s="847"/>
      <c r="AB2989" s="741">
        <f t="shared" si="377"/>
        <v>0</v>
      </c>
      <c r="AC2989" s="846"/>
      <c r="AD2989" s="847"/>
      <c r="AE2989" s="846"/>
      <c r="AF2989" s="846"/>
      <c r="AG2989" s="1156"/>
      <c r="AH2989" s="1157"/>
      <c r="AI2989" s="742">
        <f t="shared" si="381"/>
        <v>0</v>
      </c>
      <c r="AJ2989" s="743">
        <f t="shared" si="382"/>
        <v>0</v>
      </c>
    </row>
    <row r="2990" spans="1:36">
      <c r="A2990" s="1062" t="s">
        <v>147</v>
      </c>
      <c r="B2990" s="901" t="s">
        <v>283</v>
      </c>
      <c r="C2990" s="1194" t="s">
        <v>1231</v>
      </c>
      <c r="D2990" s="1160"/>
      <c r="E2990" s="1077"/>
      <c r="F2990" s="1078"/>
      <c r="G2990" s="846"/>
      <c r="H2990" s="1153"/>
      <c r="I2990" s="1154"/>
      <c r="J2990" s="1155"/>
      <c r="K2990" s="846"/>
      <c r="L2990" s="847"/>
      <c r="M2990" s="846"/>
      <c r="N2990" s="846"/>
      <c r="O2990" s="737">
        <f t="shared" si="375"/>
        <v>0</v>
      </c>
      <c r="P2990" s="1155"/>
      <c r="Q2990" s="1153"/>
      <c r="R2990" s="738">
        <f t="shared" si="378"/>
        <v>0</v>
      </c>
      <c r="S2990" s="737">
        <f t="shared" si="379"/>
        <v>0</v>
      </c>
      <c r="T2990" s="739">
        <f t="shared" si="380"/>
        <v>0</v>
      </c>
      <c r="U2990" s="846">
        <v>13114523</v>
      </c>
      <c r="V2990" s="847">
        <v>6494352</v>
      </c>
      <c r="W2990" s="846"/>
      <c r="X2990" s="846"/>
      <c r="Y2990" s="740">
        <f t="shared" si="376"/>
        <v>0</v>
      </c>
      <c r="Z2990" s="1156"/>
      <c r="AA2990" s="847"/>
      <c r="AB2990" s="741">
        <f t="shared" si="377"/>
        <v>0</v>
      </c>
      <c r="AC2990" s="846"/>
      <c r="AD2990" s="847"/>
      <c r="AE2990" s="846"/>
      <c r="AF2990" s="846"/>
      <c r="AG2990" s="1156"/>
      <c r="AH2990" s="1157"/>
      <c r="AI2990" s="742">
        <f t="shared" si="381"/>
        <v>13114523</v>
      </c>
      <c r="AJ2990" s="743">
        <f t="shared" si="382"/>
        <v>6494352</v>
      </c>
    </row>
    <row r="2991" spans="1:36">
      <c r="A2991" s="1062" t="s">
        <v>147</v>
      </c>
      <c r="B2991" s="901" t="s">
        <v>285</v>
      </c>
      <c r="C2991" s="1068" t="s">
        <v>689</v>
      </c>
      <c r="D2991" s="1160"/>
      <c r="E2991" s="1077"/>
      <c r="F2991" s="1078"/>
      <c r="G2991" s="846"/>
      <c r="H2991" s="1153"/>
      <c r="I2991" s="1154"/>
      <c r="J2991" s="1155"/>
      <c r="K2991" s="846"/>
      <c r="L2991" s="847"/>
      <c r="M2991" s="846"/>
      <c r="N2991" s="846"/>
      <c r="O2991" s="737">
        <f t="shared" si="375"/>
        <v>0</v>
      </c>
      <c r="P2991" s="1155"/>
      <c r="Q2991" s="1153"/>
      <c r="R2991" s="738">
        <f t="shared" si="378"/>
        <v>0</v>
      </c>
      <c r="S2991" s="737">
        <f t="shared" si="379"/>
        <v>0</v>
      </c>
      <c r="T2991" s="739">
        <f t="shared" si="380"/>
        <v>0</v>
      </c>
      <c r="U2991" s="846"/>
      <c r="V2991" s="847"/>
      <c r="W2991" s="846"/>
      <c r="X2991" s="846"/>
      <c r="Y2991" s="740">
        <f t="shared" si="376"/>
        <v>0</v>
      </c>
      <c r="Z2991" s="1156"/>
      <c r="AA2991" s="847"/>
      <c r="AB2991" s="741">
        <f t="shared" si="377"/>
        <v>0</v>
      </c>
      <c r="AC2991" s="846"/>
      <c r="AD2991" s="847"/>
      <c r="AE2991" s="846"/>
      <c r="AF2991" s="846"/>
      <c r="AG2991" s="1156"/>
      <c r="AH2991" s="1157"/>
      <c r="AI2991" s="742">
        <f t="shared" si="381"/>
        <v>0</v>
      </c>
      <c r="AJ2991" s="743">
        <f t="shared" si="382"/>
        <v>0</v>
      </c>
    </row>
    <row r="2992" spans="1:36">
      <c r="A2992" s="1062" t="s">
        <v>147</v>
      </c>
      <c r="B2992" s="901" t="s">
        <v>286</v>
      </c>
      <c r="C2992" s="1070" t="s">
        <v>506</v>
      </c>
      <c r="D2992" s="1151"/>
      <c r="E2992" s="1077"/>
      <c r="F2992" s="1078"/>
      <c r="G2992" s="846"/>
      <c r="H2992" s="1153"/>
      <c r="I2992" s="1154"/>
      <c r="J2992" s="1155"/>
      <c r="K2992" s="846"/>
      <c r="L2992" s="847"/>
      <c r="M2992" s="846"/>
      <c r="N2992" s="846"/>
      <c r="O2992" s="737">
        <f t="shared" si="375"/>
        <v>0</v>
      </c>
      <c r="P2992" s="1155"/>
      <c r="Q2992" s="1153"/>
      <c r="R2992" s="738">
        <f t="shared" si="378"/>
        <v>0</v>
      </c>
      <c r="S2992" s="737">
        <f t="shared" si="379"/>
        <v>0</v>
      </c>
      <c r="T2992" s="739">
        <f t="shared" si="380"/>
        <v>0</v>
      </c>
      <c r="U2992" s="846"/>
      <c r="V2992" s="847"/>
      <c r="W2992" s="846"/>
      <c r="X2992" s="846"/>
      <c r="Y2992" s="740">
        <f t="shared" si="376"/>
        <v>0</v>
      </c>
      <c r="Z2992" s="1156"/>
      <c r="AA2992" s="847"/>
      <c r="AB2992" s="741">
        <f t="shared" si="377"/>
        <v>0</v>
      </c>
      <c r="AC2992" s="846"/>
      <c r="AD2992" s="847"/>
      <c r="AE2992" s="846"/>
      <c r="AF2992" s="846"/>
      <c r="AG2992" s="1156"/>
      <c r="AH2992" s="1157"/>
      <c r="AI2992" s="742">
        <f t="shared" si="381"/>
        <v>0</v>
      </c>
      <c r="AJ2992" s="743">
        <f t="shared" si="382"/>
        <v>0</v>
      </c>
    </row>
    <row r="2993" spans="1:36">
      <c r="A2993" s="1062" t="s">
        <v>147</v>
      </c>
      <c r="B2993" s="901" t="s">
        <v>286</v>
      </c>
      <c r="C2993" s="1192" t="s">
        <v>1232</v>
      </c>
      <c r="D2993" s="1151"/>
      <c r="E2993" s="1077"/>
      <c r="F2993" s="1078"/>
      <c r="G2993" s="846"/>
      <c r="H2993" s="1153"/>
      <c r="I2993" s="1154"/>
      <c r="J2993" s="1155"/>
      <c r="K2993" s="846"/>
      <c r="L2993" s="847"/>
      <c r="M2993" s="846"/>
      <c r="N2993" s="846"/>
      <c r="O2993" s="737">
        <f t="shared" si="375"/>
        <v>0</v>
      </c>
      <c r="P2993" s="1155"/>
      <c r="Q2993" s="1153"/>
      <c r="R2993" s="738">
        <f t="shared" si="378"/>
        <v>0</v>
      </c>
      <c r="S2993" s="737">
        <f t="shared" si="379"/>
        <v>0</v>
      </c>
      <c r="T2993" s="739">
        <f t="shared" si="380"/>
        <v>0</v>
      </c>
      <c r="U2993" s="846"/>
      <c r="V2993" s="847"/>
      <c r="W2993" s="846"/>
      <c r="X2993" s="846"/>
      <c r="Y2993" s="740">
        <f t="shared" si="376"/>
        <v>0</v>
      </c>
      <c r="Z2993" s="1156"/>
      <c r="AA2993" s="847"/>
      <c r="AB2993" s="741">
        <f t="shared" si="377"/>
        <v>0</v>
      </c>
      <c r="AC2993" s="846">
        <v>45077583</v>
      </c>
      <c r="AD2993" s="847">
        <v>47450543</v>
      </c>
      <c r="AE2993" s="846"/>
      <c r="AF2993" s="846"/>
      <c r="AG2993" s="1156"/>
      <c r="AH2993" s="1157"/>
      <c r="AI2993" s="742">
        <f t="shared" si="381"/>
        <v>45077583</v>
      </c>
      <c r="AJ2993" s="743">
        <f t="shared" si="382"/>
        <v>47450543</v>
      </c>
    </row>
    <row r="2994" spans="1:36">
      <c r="A2994" s="1062" t="s">
        <v>147</v>
      </c>
      <c r="B2994" s="901" t="s">
        <v>286</v>
      </c>
      <c r="C2994" s="1192" t="s">
        <v>1233</v>
      </c>
      <c r="D2994" s="1183"/>
      <c r="E2994" s="1077"/>
      <c r="F2994" s="1078"/>
      <c r="G2994" s="846"/>
      <c r="H2994" s="1153"/>
      <c r="I2994" s="1154"/>
      <c r="J2994" s="1155"/>
      <c r="K2994" s="846"/>
      <c r="L2994" s="847"/>
      <c r="M2994" s="846"/>
      <c r="N2994" s="846"/>
      <c r="O2994" s="737">
        <f t="shared" si="375"/>
        <v>0</v>
      </c>
      <c r="P2994" s="1155"/>
      <c r="Q2994" s="1153"/>
      <c r="R2994" s="738">
        <f t="shared" si="378"/>
        <v>0</v>
      </c>
      <c r="S2994" s="737">
        <f t="shared" si="379"/>
        <v>0</v>
      </c>
      <c r="T2994" s="739">
        <f t="shared" si="380"/>
        <v>0</v>
      </c>
      <c r="U2994" s="846">
        <v>1520353</v>
      </c>
      <c r="V2994" s="847">
        <v>1520353</v>
      </c>
      <c r="W2994" s="846"/>
      <c r="X2994" s="846"/>
      <c r="Y2994" s="740">
        <f t="shared" si="376"/>
        <v>0</v>
      </c>
      <c r="Z2994" s="1156"/>
      <c r="AA2994" s="847"/>
      <c r="AB2994" s="741">
        <f t="shared" si="377"/>
        <v>0</v>
      </c>
      <c r="AC2994" s="846"/>
      <c r="AD2994" s="847"/>
      <c r="AE2994" s="846"/>
      <c r="AF2994" s="846"/>
      <c r="AG2994" s="1156"/>
      <c r="AH2994" s="1157"/>
      <c r="AI2994" s="742">
        <f t="shared" si="381"/>
        <v>1520353</v>
      </c>
      <c r="AJ2994" s="743">
        <f t="shared" si="382"/>
        <v>1520353</v>
      </c>
    </row>
    <row r="2995" spans="1:36">
      <c r="A2995" s="1062" t="s">
        <v>147</v>
      </c>
      <c r="B2995" s="901" t="s">
        <v>291</v>
      </c>
      <c r="C2995" s="1070" t="s">
        <v>520</v>
      </c>
      <c r="D2995" s="1151"/>
      <c r="E2995" s="1077"/>
      <c r="F2995" s="1078"/>
      <c r="G2995" s="846"/>
      <c r="H2995" s="1153"/>
      <c r="I2995" s="1154"/>
      <c r="J2995" s="1155"/>
      <c r="K2995" s="846"/>
      <c r="L2995" s="847"/>
      <c r="M2995" s="846"/>
      <c r="N2995" s="846"/>
      <c r="O2995" s="737">
        <f t="shared" si="375"/>
        <v>0</v>
      </c>
      <c r="P2995" s="1155"/>
      <c r="Q2995" s="1153"/>
      <c r="R2995" s="738">
        <f t="shared" si="378"/>
        <v>0</v>
      </c>
      <c r="S2995" s="737">
        <f t="shared" si="379"/>
        <v>0</v>
      </c>
      <c r="T2995" s="739">
        <f t="shared" si="380"/>
        <v>0</v>
      </c>
      <c r="U2995" s="846"/>
      <c r="V2995" s="847"/>
      <c r="W2995" s="846"/>
      <c r="X2995" s="846"/>
      <c r="Y2995" s="740">
        <f t="shared" si="376"/>
        <v>0</v>
      </c>
      <c r="Z2995" s="1156"/>
      <c r="AA2995" s="847"/>
      <c r="AB2995" s="741">
        <f t="shared" si="377"/>
        <v>0</v>
      </c>
      <c r="AC2995" s="846"/>
      <c r="AD2995" s="847"/>
      <c r="AE2995" s="846"/>
      <c r="AF2995" s="846"/>
      <c r="AG2995" s="1156"/>
      <c r="AH2995" s="1157"/>
      <c r="AI2995" s="742">
        <f t="shared" si="381"/>
        <v>0</v>
      </c>
      <c r="AJ2995" s="743">
        <f t="shared" si="382"/>
        <v>0</v>
      </c>
    </row>
    <row r="2996" spans="1:36">
      <c r="A2996" s="1062" t="s">
        <v>147</v>
      </c>
      <c r="B2996" s="901" t="s">
        <v>292</v>
      </c>
      <c r="C2996" s="902" t="s">
        <v>34</v>
      </c>
      <c r="D2996" s="903"/>
      <c r="E2996" s="1077"/>
      <c r="F2996" s="1078"/>
      <c r="G2996" s="846"/>
      <c r="H2996" s="1153"/>
      <c r="I2996" s="1154"/>
      <c r="J2996" s="1155"/>
      <c r="K2996" s="846"/>
      <c r="L2996" s="847"/>
      <c r="M2996" s="846"/>
      <c r="N2996" s="846"/>
      <c r="O2996" s="737">
        <f t="shared" si="375"/>
        <v>0</v>
      </c>
      <c r="P2996" s="1155"/>
      <c r="Q2996" s="1153"/>
      <c r="R2996" s="738">
        <f t="shared" si="378"/>
        <v>0</v>
      </c>
      <c r="S2996" s="737">
        <f t="shared" si="379"/>
        <v>0</v>
      </c>
      <c r="T2996" s="739">
        <f t="shared" si="380"/>
        <v>0</v>
      </c>
      <c r="U2996" s="846"/>
      <c r="V2996" s="847"/>
      <c r="W2996" s="846"/>
      <c r="X2996" s="846"/>
      <c r="Y2996" s="740">
        <f t="shared" si="376"/>
        <v>0</v>
      </c>
      <c r="Z2996" s="1156"/>
      <c r="AA2996" s="847"/>
      <c r="AB2996" s="741">
        <f t="shared" si="377"/>
        <v>0</v>
      </c>
      <c r="AC2996" s="846"/>
      <c r="AD2996" s="847"/>
      <c r="AE2996" s="846"/>
      <c r="AF2996" s="846"/>
      <c r="AG2996" s="1156"/>
      <c r="AH2996" s="1157"/>
      <c r="AI2996" s="742">
        <f t="shared" si="381"/>
        <v>0</v>
      </c>
      <c r="AJ2996" s="743">
        <f t="shared" si="382"/>
        <v>0</v>
      </c>
    </row>
    <row r="2997" spans="1:36">
      <c r="A2997" s="1062" t="s">
        <v>147</v>
      </c>
      <c r="B2997" s="901" t="s">
        <v>292</v>
      </c>
      <c r="C2997" s="1195" t="s">
        <v>1234</v>
      </c>
      <c r="D2997" s="1160"/>
      <c r="E2997" s="1077"/>
      <c r="F2997" s="1078"/>
      <c r="G2997" s="846"/>
      <c r="H2997" s="1153"/>
      <c r="I2997" s="1154"/>
      <c r="J2997" s="1155"/>
      <c r="K2997" s="846"/>
      <c r="L2997" s="847"/>
      <c r="M2997" s="846"/>
      <c r="N2997" s="846"/>
      <c r="O2997" s="737">
        <f t="shared" si="375"/>
        <v>0</v>
      </c>
      <c r="P2997" s="1155"/>
      <c r="Q2997" s="1153"/>
      <c r="R2997" s="738">
        <f t="shared" si="378"/>
        <v>0</v>
      </c>
      <c r="S2997" s="737">
        <f t="shared" si="379"/>
        <v>0</v>
      </c>
      <c r="T2997" s="739">
        <f t="shared" si="380"/>
        <v>0</v>
      </c>
      <c r="U2997" s="846">
        <v>525861525</v>
      </c>
      <c r="V2997" s="847">
        <v>426835831</v>
      </c>
      <c r="W2997" s="846"/>
      <c r="X2997" s="846"/>
      <c r="Y2997" s="740">
        <f t="shared" si="376"/>
        <v>0</v>
      </c>
      <c r="Z2997" s="1156"/>
      <c r="AA2997" s="847"/>
      <c r="AB2997" s="741">
        <f t="shared" si="377"/>
        <v>0</v>
      </c>
      <c r="AC2997" s="846"/>
      <c r="AD2997" s="847"/>
      <c r="AE2997" s="846"/>
      <c r="AF2997" s="846"/>
      <c r="AG2997" s="1156"/>
      <c r="AH2997" s="1157"/>
      <c r="AI2997" s="742">
        <f t="shared" si="381"/>
        <v>525861525</v>
      </c>
      <c r="AJ2997" s="743">
        <f t="shared" si="382"/>
        <v>426835831</v>
      </c>
    </row>
    <row r="2998" spans="1:36">
      <c r="A2998" s="1062" t="s">
        <v>147</v>
      </c>
      <c r="B2998" s="907" t="s">
        <v>251</v>
      </c>
      <c r="C2998" s="1196" t="s">
        <v>249</v>
      </c>
      <c r="D2998" s="909"/>
      <c r="E2998" s="1077"/>
      <c r="F2998" s="1078"/>
      <c r="G2998" s="846"/>
      <c r="H2998" s="1153"/>
      <c r="I2998" s="1154"/>
      <c r="J2998" s="1155"/>
      <c r="K2998" s="846"/>
      <c r="L2998" s="847"/>
      <c r="M2998" s="846"/>
      <c r="N2998" s="846"/>
      <c r="O2998" s="737">
        <f t="shared" si="375"/>
        <v>0</v>
      </c>
      <c r="P2998" s="1155"/>
      <c r="Q2998" s="1153"/>
      <c r="R2998" s="738">
        <f t="shared" si="378"/>
        <v>0</v>
      </c>
      <c r="S2998" s="737">
        <f t="shared" si="379"/>
        <v>0</v>
      </c>
      <c r="T2998" s="739">
        <f t="shared" si="380"/>
        <v>0</v>
      </c>
      <c r="U2998" s="846">
        <v>20864000</v>
      </c>
      <c r="V2998" s="847">
        <v>17664000</v>
      </c>
      <c r="W2998" s="846"/>
      <c r="X2998" s="846"/>
      <c r="Y2998" s="740">
        <f t="shared" si="376"/>
        <v>0</v>
      </c>
      <c r="Z2998" s="1156"/>
      <c r="AA2998" s="847"/>
      <c r="AB2998" s="741">
        <f t="shared" si="377"/>
        <v>0</v>
      </c>
      <c r="AC2998" s="846"/>
      <c r="AD2998" s="847"/>
      <c r="AE2998" s="846"/>
      <c r="AF2998" s="846"/>
      <c r="AG2998" s="1156"/>
      <c r="AH2998" s="1157"/>
      <c r="AI2998" s="742">
        <f t="shared" si="381"/>
        <v>20864000</v>
      </c>
      <c r="AJ2998" s="743">
        <f t="shared" si="382"/>
        <v>17664000</v>
      </c>
    </row>
    <row r="2999" spans="1:36">
      <c r="A2999" s="1062" t="s">
        <v>147</v>
      </c>
      <c r="B2999" s="901" t="s">
        <v>292</v>
      </c>
      <c r="C2999" s="1195" t="s">
        <v>1235</v>
      </c>
      <c r="D2999" s="1160"/>
      <c r="E2999" s="1077"/>
      <c r="F2999" s="1078"/>
      <c r="G2999" s="846"/>
      <c r="H2999" s="1153"/>
      <c r="I2999" s="1154"/>
      <c r="J2999" s="1155"/>
      <c r="K2999" s="846"/>
      <c r="L2999" s="847"/>
      <c r="M2999" s="846"/>
      <c r="N2999" s="846"/>
      <c r="O2999" s="737">
        <f t="shared" si="375"/>
        <v>0</v>
      </c>
      <c r="P2999" s="1155"/>
      <c r="Q2999" s="1153"/>
      <c r="R2999" s="738">
        <f t="shared" si="378"/>
        <v>0</v>
      </c>
      <c r="S2999" s="737">
        <f t="shared" si="379"/>
        <v>0</v>
      </c>
      <c r="T2999" s="739">
        <f t="shared" si="380"/>
        <v>0</v>
      </c>
      <c r="U2999" s="846">
        <v>2212500</v>
      </c>
      <c r="V2999" s="847">
        <v>2212500</v>
      </c>
      <c r="W2999" s="846"/>
      <c r="X2999" s="846"/>
      <c r="Y2999" s="740">
        <f t="shared" si="376"/>
        <v>0</v>
      </c>
      <c r="Z2999" s="1156"/>
      <c r="AA2999" s="847"/>
      <c r="AB2999" s="741">
        <f t="shared" si="377"/>
        <v>0</v>
      </c>
      <c r="AC2999" s="846"/>
      <c r="AD2999" s="847"/>
      <c r="AE2999" s="846"/>
      <c r="AF2999" s="846"/>
      <c r="AG2999" s="1156"/>
      <c r="AH2999" s="1157"/>
      <c r="AI2999" s="742">
        <f t="shared" si="381"/>
        <v>2212500</v>
      </c>
      <c r="AJ2999" s="743">
        <f t="shared" si="382"/>
        <v>2212500</v>
      </c>
    </row>
    <row r="3000" spans="1:36">
      <c r="A3000" s="1062" t="s">
        <v>147</v>
      </c>
      <c r="B3000" s="901" t="s">
        <v>292</v>
      </c>
      <c r="C3000" s="1195" t="s">
        <v>1236</v>
      </c>
      <c r="D3000" s="1160"/>
      <c r="E3000" s="1077"/>
      <c r="F3000" s="1078"/>
      <c r="G3000" s="846"/>
      <c r="H3000" s="1153"/>
      <c r="I3000" s="1154"/>
      <c r="J3000" s="1155"/>
      <c r="K3000" s="846"/>
      <c r="L3000" s="847"/>
      <c r="M3000" s="846"/>
      <c r="N3000" s="846"/>
      <c r="O3000" s="737">
        <f t="shared" si="375"/>
        <v>0</v>
      </c>
      <c r="P3000" s="1155"/>
      <c r="Q3000" s="1153"/>
      <c r="R3000" s="738">
        <f t="shared" si="378"/>
        <v>0</v>
      </c>
      <c r="S3000" s="737">
        <f t="shared" si="379"/>
        <v>0</v>
      </c>
      <c r="T3000" s="739">
        <f t="shared" si="380"/>
        <v>0</v>
      </c>
      <c r="U3000" s="846">
        <v>10206794</v>
      </c>
      <c r="V3000" s="847">
        <v>0</v>
      </c>
      <c r="W3000" s="846"/>
      <c r="X3000" s="846"/>
      <c r="Y3000" s="740">
        <f t="shared" si="376"/>
        <v>0</v>
      </c>
      <c r="Z3000" s="1156"/>
      <c r="AA3000" s="847"/>
      <c r="AB3000" s="741">
        <f t="shared" si="377"/>
        <v>0</v>
      </c>
      <c r="AC3000" s="846"/>
      <c r="AD3000" s="847"/>
      <c r="AE3000" s="846"/>
      <c r="AF3000" s="846"/>
      <c r="AG3000" s="1156"/>
      <c r="AH3000" s="1157"/>
      <c r="AI3000" s="742">
        <f t="shared" si="381"/>
        <v>10206794</v>
      </c>
      <c r="AJ3000" s="743">
        <f t="shared" si="382"/>
        <v>0</v>
      </c>
    </row>
    <row r="3001" spans="1:36">
      <c r="A3001" s="1062" t="s">
        <v>147</v>
      </c>
      <c r="B3001" s="901" t="s">
        <v>292</v>
      </c>
      <c r="C3001" s="1195" t="s">
        <v>1237</v>
      </c>
      <c r="D3001" s="1160"/>
      <c r="E3001" s="1077"/>
      <c r="F3001" s="1078"/>
      <c r="G3001" s="846"/>
      <c r="H3001" s="1153"/>
      <c r="I3001" s="1154"/>
      <c r="J3001" s="1155"/>
      <c r="K3001" s="846"/>
      <c r="L3001" s="847"/>
      <c r="M3001" s="846"/>
      <c r="N3001" s="846"/>
      <c r="O3001" s="737">
        <f t="shared" si="375"/>
        <v>0</v>
      </c>
      <c r="P3001" s="1155"/>
      <c r="Q3001" s="1153"/>
      <c r="R3001" s="738">
        <f t="shared" si="378"/>
        <v>0</v>
      </c>
      <c r="S3001" s="737">
        <f t="shared" si="379"/>
        <v>0</v>
      </c>
      <c r="T3001" s="739">
        <f t="shared" si="380"/>
        <v>0</v>
      </c>
      <c r="U3001" s="846">
        <v>187813</v>
      </c>
      <c r="V3001" s="847">
        <v>187813</v>
      </c>
      <c r="W3001" s="846"/>
      <c r="X3001" s="846"/>
      <c r="Y3001" s="740">
        <f t="shared" si="376"/>
        <v>0</v>
      </c>
      <c r="Z3001" s="1156"/>
      <c r="AA3001" s="847"/>
      <c r="AB3001" s="741">
        <f t="shared" si="377"/>
        <v>0</v>
      </c>
      <c r="AC3001" s="846"/>
      <c r="AD3001" s="847"/>
      <c r="AE3001" s="846"/>
      <c r="AF3001" s="846"/>
      <c r="AG3001" s="1156"/>
      <c r="AH3001" s="1157"/>
      <c r="AI3001" s="742">
        <f t="shared" si="381"/>
        <v>187813</v>
      </c>
      <c r="AJ3001" s="743">
        <f t="shared" si="382"/>
        <v>187813</v>
      </c>
    </row>
    <row r="3002" spans="1:36">
      <c r="A3002" s="1083" t="s">
        <v>156</v>
      </c>
      <c r="B3002" s="1084" t="s">
        <v>264</v>
      </c>
      <c r="C3002" s="1344" t="s">
        <v>1616</v>
      </c>
      <c r="D3002" s="1102"/>
      <c r="E3002" s="1335">
        <v>232186</v>
      </c>
      <c r="F3002" s="1336">
        <v>1</v>
      </c>
      <c r="G3002" s="846">
        <v>116066517</v>
      </c>
      <c r="H3002" s="847">
        <v>117511437</v>
      </c>
      <c r="I3002" s="846">
        <v>1206250</v>
      </c>
      <c r="J3002" s="847">
        <v>1206250</v>
      </c>
      <c r="K3002" s="846"/>
      <c r="L3002" s="847"/>
      <c r="M3002" s="846">
        <v>283162188</v>
      </c>
      <c r="N3002" s="846">
        <v>2535489</v>
      </c>
      <c r="O3002" s="737">
        <f t="shared" si="375"/>
        <v>285697677</v>
      </c>
      <c r="P3002" s="847">
        <v>337679077</v>
      </c>
      <c r="Q3002" s="847">
        <v>2535489</v>
      </c>
      <c r="R3002" s="738">
        <f t="shared" si="378"/>
        <v>340214566</v>
      </c>
      <c r="S3002" s="737">
        <f t="shared" si="379"/>
        <v>400434955</v>
      </c>
      <c r="T3002" s="739">
        <f t="shared" si="380"/>
        <v>456396764</v>
      </c>
      <c r="U3002" s="846"/>
      <c r="V3002" s="847"/>
      <c r="W3002" s="846"/>
      <c r="X3002" s="846"/>
      <c r="Y3002" s="740">
        <f t="shared" si="376"/>
        <v>0</v>
      </c>
      <c r="Z3002" s="847"/>
      <c r="AA3002" s="847"/>
      <c r="AB3002" s="741">
        <f t="shared" si="377"/>
        <v>0</v>
      </c>
      <c r="AC3002" s="846"/>
      <c r="AD3002" s="847"/>
      <c r="AE3002" s="846"/>
      <c r="AF3002" s="846"/>
      <c r="AG3002" s="847"/>
      <c r="AH3002" s="847"/>
      <c r="AI3002" s="742">
        <f t="shared" si="381"/>
        <v>400434955</v>
      </c>
      <c r="AJ3002" s="743">
        <f t="shared" si="382"/>
        <v>456396764</v>
      </c>
    </row>
    <row r="3003" spans="1:36">
      <c r="A3003" s="1083" t="s">
        <v>156</v>
      </c>
      <c r="B3003" s="1084" t="s">
        <v>264</v>
      </c>
      <c r="C3003" s="1333" t="s">
        <v>1617</v>
      </c>
      <c r="D3003" s="1334"/>
      <c r="E3003" s="1345">
        <v>232982</v>
      </c>
      <c r="F3003" s="1094">
        <v>1</v>
      </c>
      <c r="G3003" s="846">
        <v>103809827</v>
      </c>
      <c r="H3003" s="847">
        <v>106198829</v>
      </c>
      <c r="I3003" s="846">
        <v>3099838</v>
      </c>
      <c r="J3003" s="847">
        <v>3136658</v>
      </c>
      <c r="K3003" s="846"/>
      <c r="L3003" s="847"/>
      <c r="M3003" s="846">
        <v>137269455</v>
      </c>
      <c r="N3003" s="846">
        <v>458766</v>
      </c>
      <c r="O3003" s="737">
        <f t="shared" si="375"/>
        <v>137728221</v>
      </c>
      <c r="P3003" s="847">
        <v>146105463</v>
      </c>
      <c r="Q3003" s="847">
        <v>1059300</v>
      </c>
      <c r="R3003" s="738">
        <f t="shared" si="378"/>
        <v>147164763</v>
      </c>
      <c r="S3003" s="737">
        <f t="shared" si="379"/>
        <v>244179120</v>
      </c>
      <c r="T3003" s="739">
        <f t="shared" si="380"/>
        <v>255440950</v>
      </c>
      <c r="U3003" s="846"/>
      <c r="V3003" s="847"/>
      <c r="W3003" s="846"/>
      <c r="X3003" s="846"/>
      <c r="Y3003" s="740">
        <f t="shared" si="376"/>
        <v>0</v>
      </c>
      <c r="Z3003" s="847"/>
      <c r="AA3003" s="847"/>
      <c r="AB3003" s="741">
        <f t="shared" si="377"/>
        <v>0</v>
      </c>
      <c r="AC3003" s="846"/>
      <c r="AD3003" s="847"/>
      <c r="AE3003" s="846"/>
      <c r="AF3003" s="846"/>
      <c r="AG3003" s="847"/>
      <c r="AH3003" s="847"/>
      <c r="AI3003" s="742">
        <f t="shared" si="381"/>
        <v>244179120</v>
      </c>
      <c r="AJ3003" s="743">
        <f t="shared" si="382"/>
        <v>255440950</v>
      </c>
    </row>
    <row r="3004" spans="1:36">
      <c r="A3004" s="1083" t="s">
        <v>156</v>
      </c>
      <c r="B3004" s="1084" t="s">
        <v>264</v>
      </c>
      <c r="C3004" s="1344" t="s">
        <v>1618</v>
      </c>
      <c r="D3004" s="1102"/>
      <c r="E3004" s="1335">
        <v>234076</v>
      </c>
      <c r="F3004" s="1336">
        <v>1</v>
      </c>
      <c r="G3004" s="846">
        <v>103100232</v>
      </c>
      <c r="H3004" s="847">
        <v>99880456</v>
      </c>
      <c r="I3004" s="846">
        <v>6732332</v>
      </c>
      <c r="J3004" s="847">
        <v>6732332</v>
      </c>
      <c r="K3004" s="846"/>
      <c r="L3004" s="847"/>
      <c r="M3004" s="846">
        <v>440639941</v>
      </c>
      <c r="N3004" s="846">
        <v>4670622</v>
      </c>
      <c r="O3004" s="737">
        <f t="shared" si="375"/>
        <v>445310563</v>
      </c>
      <c r="P3004" s="847">
        <v>408074283</v>
      </c>
      <c r="Q3004" s="847">
        <v>4670622</v>
      </c>
      <c r="R3004" s="738">
        <f t="shared" si="378"/>
        <v>412744905</v>
      </c>
      <c r="S3004" s="737">
        <f t="shared" si="379"/>
        <v>550472505</v>
      </c>
      <c r="T3004" s="739">
        <f t="shared" si="380"/>
        <v>514687071</v>
      </c>
      <c r="U3004" s="846"/>
      <c r="V3004" s="847"/>
      <c r="W3004" s="846"/>
      <c r="X3004" s="846"/>
      <c r="Y3004" s="740">
        <f t="shared" si="376"/>
        <v>0</v>
      </c>
      <c r="Z3004" s="847"/>
      <c r="AA3004" s="847"/>
      <c r="AB3004" s="741">
        <f t="shared" si="377"/>
        <v>0</v>
      </c>
      <c r="AC3004" s="846"/>
      <c r="AD3004" s="847"/>
      <c r="AE3004" s="846"/>
      <c r="AF3004" s="846"/>
      <c r="AG3004" s="847"/>
      <c r="AH3004" s="847"/>
      <c r="AI3004" s="742">
        <f t="shared" si="381"/>
        <v>550472505</v>
      </c>
      <c r="AJ3004" s="743">
        <f t="shared" si="382"/>
        <v>514687071</v>
      </c>
    </row>
    <row r="3005" spans="1:36">
      <c r="A3005" s="1083" t="s">
        <v>156</v>
      </c>
      <c r="B3005" s="1084" t="s">
        <v>280</v>
      </c>
      <c r="C3005" s="1097" t="s">
        <v>717</v>
      </c>
      <c r="D3005" s="1346"/>
      <c r="E3005" s="1335">
        <v>234076</v>
      </c>
      <c r="F3005" s="1336">
        <v>1</v>
      </c>
      <c r="G3005" s="846"/>
      <c r="H3005" s="847"/>
      <c r="I3005" s="846"/>
      <c r="J3005" s="847"/>
      <c r="K3005" s="846"/>
      <c r="L3005" s="847"/>
      <c r="M3005" s="846"/>
      <c r="N3005" s="846"/>
      <c r="O3005" s="737">
        <f t="shared" si="375"/>
        <v>0</v>
      </c>
      <c r="P3005" s="847"/>
      <c r="Q3005" s="847"/>
      <c r="R3005" s="738">
        <f t="shared" si="378"/>
        <v>0</v>
      </c>
      <c r="S3005" s="737">
        <f t="shared" si="379"/>
        <v>0</v>
      </c>
      <c r="T3005" s="739">
        <f t="shared" si="380"/>
        <v>0</v>
      </c>
      <c r="U3005" s="846"/>
      <c r="V3005" s="847"/>
      <c r="W3005" s="846"/>
      <c r="X3005" s="846"/>
      <c r="Y3005" s="740">
        <f t="shared" si="376"/>
        <v>0</v>
      </c>
      <c r="Z3005" s="847"/>
      <c r="AA3005" s="847"/>
      <c r="AB3005" s="741">
        <f t="shared" si="377"/>
        <v>0</v>
      </c>
      <c r="AC3005" s="846">
        <v>16414805</v>
      </c>
      <c r="AD3005" s="847">
        <v>15884957</v>
      </c>
      <c r="AE3005" s="846">
        <v>45087505</v>
      </c>
      <c r="AF3005" s="846"/>
      <c r="AG3005" s="847">
        <v>45914496</v>
      </c>
      <c r="AH3005" s="847"/>
      <c r="AI3005" s="742">
        <f t="shared" si="381"/>
        <v>61502310</v>
      </c>
      <c r="AJ3005" s="743">
        <f t="shared" si="382"/>
        <v>61799453</v>
      </c>
    </row>
    <row r="3006" spans="1:36">
      <c r="A3006" s="1083" t="s">
        <v>156</v>
      </c>
      <c r="B3006" s="1084" t="s">
        <v>264</v>
      </c>
      <c r="C3006" s="1344" t="s">
        <v>1619</v>
      </c>
      <c r="D3006" s="1102"/>
      <c r="E3006" s="1335">
        <v>233921</v>
      </c>
      <c r="F3006" s="1336">
        <v>1</v>
      </c>
      <c r="G3006" s="846">
        <v>130754013</v>
      </c>
      <c r="H3006" s="847">
        <v>134049568</v>
      </c>
      <c r="I3006" s="846">
        <v>4138544</v>
      </c>
      <c r="J3006" s="847">
        <v>2488544</v>
      </c>
      <c r="K3006" s="846"/>
      <c r="L3006" s="847"/>
      <c r="M3006" s="846">
        <v>372362992</v>
      </c>
      <c r="N3006" s="846">
        <v>4656663</v>
      </c>
      <c r="O3006" s="737">
        <f t="shared" si="375"/>
        <v>377019655</v>
      </c>
      <c r="P3006" s="847">
        <v>464074265</v>
      </c>
      <c r="Q3006" s="847">
        <v>4656663</v>
      </c>
      <c r="R3006" s="738">
        <f t="shared" si="378"/>
        <v>468730928</v>
      </c>
      <c r="S3006" s="737">
        <f t="shared" si="379"/>
        <v>507255549</v>
      </c>
      <c r="T3006" s="739">
        <f t="shared" si="380"/>
        <v>600612377</v>
      </c>
      <c r="U3006" s="846"/>
      <c r="V3006" s="847"/>
      <c r="W3006" s="846"/>
      <c r="X3006" s="846"/>
      <c r="Y3006" s="740">
        <f t="shared" si="376"/>
        <v>0</v>
      </c>
      <c r="Z3006" s="847"/>
      <c r="AA3006" s="847"/>
      <c r="AB3006" s="741">
        <f t="shared" si="377"/>
        <v>0</v>
      </c>
      <c r="AC3006" s="846"/>
      <c r="AD3006" s="847"/>
      <c r="AE3006" s="846"/>
      <c r="AF3006" s="846"/>
      <c r="AG3006" s="847"/>
      <c r="AH3006" s="847"/>
      <c r="AI3006" s="742">
        <f t="shared" si="381"/>
        <v>507255549</v>
      </c>
      <c r="AJ3006" s="743">
        <f t="shared" si="382"/>
        <v>600612377</v>
      </c>
    </row>
    <row r="3007" spans="1:36">
      <c r="A3007" s="1083" t="s">
        <v>156</v>
      </c>
      <c r="B3007" s="1084" t="s">
        <v>280</v>
      </c>
      <c r="C3007" s="1097" t="s">
        <v>587</v>
      </c>
      <c r="D3007" s="1346"/>
      <c r="E3007" s="1335">
        <v>233921</v>
      </c>
      <c r="F3007" s="1336">
        <v>1</v>
      </c>
      <c r="G3007" s="846"/>
      <c r="H3007" s="847"/>
      <c r="I3007" s="846"/>
      <c r="J3007" s="847"/>
      <c r="K3007" s="846"/>
      <c r="L3007" s="847"/>
      <c r="M3007" s="846"/>
      <c r="N3007" s="846"/>
      <c r="O3007" s="737">
        <f t="shared" si="375"/>
        <v>0</v>
      </c>
      <c r="P3007" s="847"/>
      <c r="Q3007" s="847"/>
      <c r="R3007" s="738">
        <f t="shared" si="378"/>
        <v>0</v>
      </c>
      <c r="S3007" s="737">
        <f t="shared" si="379"/>
        <v>0</v>
      </c>
      <c r="T3007" s="739">
        <f t="shared" si="380"/>
        <v>0</v>
      </c>
      <c r="U3007" s="846"/>
      <c r="V3007" s="847"/>
      <c r="W3007" s="846"/>
      <c r="X3007" s="846"/>
      <c r="Y3007" s="740">
        <f t="shared" si="376"/>
        <v>0</v>
      </c>
      <c r="Z3007" s="847"/>
      <c r="AA3007" s="847"/>
      <c r="AB3007" s="741">
        <f t="shared" si="377"/>
        <v>0</v>
      </c>
      <c r="AC3007" s="846">
        <v>11862960</v>
      </c>
      <c r="AD3007" s="847">
        <v>13318507</v>
      </c>
      <c r="AE3007" s="846">
        <v>15192231</v>
      </c>
      <c r="AF3007" s="846"/>
      <c r="AG3007" s="847">
        <v>16834923</v>
      </c>
      <c r="AH3007" s="847"/>
      <c r="AI3007" s="742">
        <f t="shared" si="381"/>
        <v>27055191</v>
      </c>
      <c r="AJ3007" s="743">
        <f t="shared" si="382"/>
        <v>30153430</v>
      </c>
    </row>
    <row r="3008" spans="1:36">
      <c r="A3008" s="1083" t="s">
        <v>156</v>
      </c>
      <c r="B3008" s="1084" t="s">
        <v>268</v>
      </c>
      <c r="C3008" s="1347" t="s">
        <v>1620</v>
      </c>
      <c r="D3008" s="1346"/>
      <c r="E3008" s="1335">
        <v>233921</v>
      </c>
      <c r="F3008" s="1336">
        <v>1</v>
      </c>
      <c r="G3008" s="846"/>
      <c r="H3008" s="847"/>
      <c r="I3008" s="846">
        <v>30877496</v>
      </c>
      <c r="J3008" s="847">
        <v>32883452</v>
      </c>
      <c r="K3008" s="846"/>
      <c r="L3008" s="847"/>
      <c r="M3008" s="846"/>
      <c r="N3008" s="846"/>
      <c r="O3008" s="737">
        <f t="shared" si="375"/>
        <v>0</v>
      </c>
      <c r="P3008" s="847"/>
      <c r="Q3008" s="847"/>
      <c r="R3008" s="738">
        <f t="shared" si="378"/>
        <v>0</v>
      </c>
      <c r="S3008" s="737">
        <f t="shared" si="379"/>
        <v>30877496</v>
      </c>
      <c r="T3008" s="739">
        <f t="shared" si="380"/>
        <v>32883452</v>
      </c>
      <c r="U3008" s="846"/>
      <c r="V3008" s="847"/>
      <c r="W3008" s="846"/>
      <c r="X3008" s="846"/>
      <c r="Y3008" s="740">
        <f t="shared" si="376"/>
        <v>0</v>
      </c>
      <c r="Z3008" s="847"/>
      <c r="AA3008" s="847"/>
      <c r="AB3008" s="741">
        <f t="shared" si="377"/>
        <v>0</v>
      </c>
      <c r="AC3008" s="846"/>
      <c r="AD3008" s="847"/>
      <c r="AE3008" s="846"/>
      <c r="AF3008" s="846"/>
      <c r="AG3008" s="847"/>
      <c r="AH3008" s="847"/>
      <c r="AI3008" s="742">
        <f t="shared" si="381"/>
        <v>30877496</v>
      </c>
      <c r="AJ3008" s="743">
        <f t="shared" si="382"/>
        <v>32883452</v>
      </c>
    </row>
    <row r="3009" spans="1:36">
      <c r="A3009" s="1083" t="s">
        <v>156</v>
      </c>
      <c r="B3009" s="1084" t="s">
        <v>269</v>
      </c>
      <c r="C3009" s="1347" t="s">
        <v>1621</v>
      </c>
      <c r="D3009" s="1346"/>
      <c r="E3009" s="1335">
        <v>233921</v>
      </c>
      <c r="F3009" s="1336">
        <v>1</v>
      </c>
      <c r="G3009" s="846"/>
      <c r="H3009" s="847"/>
      <c r="I3009" s="846">
        <v>31027270</v>
      </c>
      <c r="J3009" s="847">
        <v>32361493</v>
      </c>
      <c r="K3009" s="846"/>
      <c r="L3009" s="847"/>
      <c r="M3009" s="846"/>
      <c r="N3009" s="846"/>
      <c r="O3009" s="737">
        <f t="shared" si="375"/>
        <v>0</v>
      </c>
      <c r="P3009" s="847"/>
      <c r="Q3009" s="847"/>
      <c r="R3009" s="738">
        <f t="shared" si="378"/>
        <v>0</v>
      </c>
      <c r="S3009" s="737">
        <f t="shared" si="379"/>
        <v>31027270</v>
      </c>
      <c r="T3009" s="739">
        <f t="shared" si="380"/>
        <v>32361493</v>
      </c>
      <c r="U3009" s="846"/>
      <c r="V3009" s="847"/>
      <c r="W3009" s="846"/>
      <c r="X3009" s="846"/>
      <c r="Y3009" s="740">
        <f t="shared" si="376"/>
        <v>0</v>
      </c>
      <c r="Z3009" s="847"/>
      <c r="AA3009" s="847"/>
      <c r="AB3009" s="741">
        <f t="shared" si="377"/>
        <v>0</v>
      </c>
      <c r="AC3009" s="846"/>
      <c r="AD3009" s="847"/>
      <c r="AE3009" s="846"/>
      <c r="AF3009" s="846"/>
      <c r="AG3009" s="847"/>
      <c r="AH3009" s="847"/>
      <c r="AI3009" s="742">
        <f t="shared" si="381"/>
        <v>31027270</v>
      </c>
      <c r="AJ3009" s="743">
        <f t="shared" si="382"/>
        <v>32361493</v>
      </c>
    </row>
    <row r="3010" spans="1:36">
      <c r="A3010" s="1083" t="s">
        <v>156</v>
      </c>
      <c r="B3010" s="1084" t="s">
        <v>264</v>
      </c>
      <c r="C3010" s="1344" t="s">
        <v>1622</v>
      </c>
      <c r="D3010" s="1102"/>
      <c r="E3010" s="1335">
        <v>231624</v>
      </c>
      <c r="F3010" s="1336">
        <v>2</v>
      </c>
      <c r="G3010" s="846">
        <v>38343452</v>
      </c>
      <c r="H3010" s="847">
        <v>38450245</v>
      </c>
      <c r="I3010" s="846">
        <v>75000</v>
      </c>
      <c r="J3010" s="847">
        <v>75000</v>
      </c>
      <c r="K3010" s="846"/>
      <c r="L3010" s="847"/>
      <c r="M3010" s="846">
        <v>138145648</v>
      </c>
      <c r="N3010" s="846">
        <v>1493811</v>
      </c>
      <c r="O3010" s="737">
        <f t="shared" si="375"/>
        <v>139639459</v>
      </c>
      <c r="P3010" s="847">
        <v>130926620</v>
      </c>
      <c r="Q3010" s="847">
        <v>1493811</v>
      </c>
      <c r="R3010" s="738">
        <f t="shared" si="378"/>
        <v>132420431</v>
      </c>
      <c r="S3010" s="737">
        <f t="shared" si="379"/>
        <v>176564100</v>
      </c>
      <c r="T3010" s="739">
        <f t="shared" si="380"/>
        <v>169451865</v>
      </c>
      <c r="U3010" s="846"/>
      <c r="V3010" s="847"/>
      <c r="W3010" s="846"/>
      <c r="X3010" s="846"/>
      <c r="Y3010" s="740">
        <f t="shared" si="376"/>
        <v>0</v>
      </c>
      <c r="Z3010" s="847"/>
      <c r="AA3010" s="847"/>
      <c r="AB3010" s="741">
        <f t="shared" si="377"/>
        <v>0</v>
      </c>
      <c r="AC3010" s="846"/>
      <c r="AD3010" s="847"/>
      <c r="AE3010" s="846"/>
      <c r="AF3010" s="846"/>
      <c r="AG3010" s="847"/>
      <c r="AH3010" s="847"/>
      <c r="AI3010" s="742">
        <f t="shared" si="381"/>
        <v>176564100</v>
      </c>
      <c r="AJ3010" s="743">
        <f t="shared" si="382"/>
        <v>169451865</v>
      </c>
    </row>
    <row r="3011" spans="1:36">
      <c r="A3011" s="1083" t="s">
        <v>156</v>
      </c>
      <c r="B3011" s="1084" t="s">
        <v>271</v>
      </c>
      <c r="C3011" s="1347" t="s">
        <v>309</v>
      </c>
      <c r="D3011" s="1346"/>
      <c r="E3011" s="1335">
        <v>231624</v>
      </c>
      <c r="F3011" s="1336">
        <v>2</v>
      </c>
      <c r="G3011" s="846"/>
      <c r="H3011" s="847"/>
      <c r="I3011" s="846"/>
      <c r="J3011" s="847"/>
      <c r="K3011" s="846"/>
      <c r="L3011" s="847"/>
      <c r="M3011" s="846"/>
      <c r="N3011" s="846"/>
      <c r="O3011" s="737">
        <f t="shared" si="375"/>
        <v>0</v>
      </c>
      <c r="P3011" s="847"/>
      <c r="Q3011" s="847"/>
      <c r="R3011" s="738">
        <f t="shared" si="378"/>
        <v>0</v>
      </c>
      <c r="S3011" s="737">
        <f t="shared" si="379"/>
        <v>0</v>
      </c>
      <c r="T3011" s="739">
        <f t="shared" si="380"/>
        <v>0</v>
      </c>
      <c r="U3011" s="846"/>
      <c r="V3011" s="847"/>
      <c r="W3011" s="846"/>
      <c r="X3011" s="846"/>
      <c r="Y3011" s="740">
        <f t="shared" si="376"/>
        <v>0</v>
      </c>
      <c r="Z3011" s="847"/>
      <c r="AA3011" s="847"/>
      <c r="AB3011" s="741">
        <f t="shared" si="377"/>
        <v>0</v>
      </c>
      <c r="AC3011" s="846"/>
      <c r="AD3011" s="847"/>
      <c r="AE3011" s="846"/>
      <c r="AF3011" s="846"/>
      <c r="AG3011" s="847"/>
      <c r="AH3011" s="847"/>
      <c r="AI3011" s="742">
        <f t="shared" si="381"/>
        <v>0</v>
      </c>
      <c r="AJ3011" s="743">
        <f t="shared" si="382"/>
        <v>0</v>
      </c>
    </row>
    <row r="3012" spans="1:36">
      <c r="A3012" s="1083" t="s">
        <v>156</v>
      </c>
      <c r="B3012" s="1084" t="s">
        <v>271</v>
      </c>
      <c r="C3012" s="1097" t="s">
        <v>1623</v>
      </c>
      <c r="D3012" s="1346"/>
      <c r="E3012" s="1335">
        <v>231624</v>
      </c>
      <c r="F3012" s="1336">
        <v>2</v>
      </c>
      <c r="G3012" s="846"/>
      <c r="H3012" s="847"/>
      <c r="I3012" s="846">
        <v>17491970</v>
      </c>
      <c r="J3012" s="847">
        <v>18203761</v>
      </c>
      <c r="K3012" s="846"/>
      <c r="L3012" s="847"/>
      <c r="M3012" s="846"/>
      <c r="N3012" s="846"/>
      <c r="O3012" s="737">
        <f t="shared" si="375"/>
        <v>0</v>
      </c>
      <c r="P3012" s="847"/>
      <c r="Q3012" s="847"/>
      <c r="R3012" s="738">
        <f t="shared" si="378"/>
        <v>0</v>
      </c>
      <c r="S3012" s="737">
        <f t="shared" si="379"/>
        <v>17491970</v>
      </c>
      <c r="T3012" s="739">
        <f t="shared" si="380"/>
        <v>18203761</v>
      </c>
      <c r="U3012" s="846"/>
      <c r="V3012" s="847"/>
      <c r="W3012" s="846"/>
      <c r="X3012" s="846"/>
      <c r="Y3012" s="740">
        <f t="shared" si="376"/>
        <v>0</v>
      </c>
      <c r="Z3012" s="847"/>
      <c r="AA3012" s="847"/>
      <c r="AB3012" s="741">
        <f t="shared" si="377"/>
        <v>0</v>
      </c>
      <c r="AC3012" s="846"/>
      <c r="AD3012" s="847"/>
      <c r="AE3012" s="846"/>
      <c r="AF3012" s="846"/>
      <c r="AG3012" s="847"/>
      <c r="AH3012" s="847"/>
      <c r="AI3012" s="742">
        <f t="shared" si="381"/>
        <v>17491970</v>
      </c>
      <c r="AJ3012" s="743">
        <f t="shared" si="382"/>
        <v>18203761</v>
      </c>
    </row>
    <row r="3013" spans="1:36">
      <c r="A3013" s="1083" t="s">
        <v>156</v>
      </c>
      <c r="B3013" s="1084" t="s">
        <v>264</v>
      </c>
      <c r="C3013" s="1333" t="s">
        <v>1624</v>
      </c>
      <c r="D3013" s="1334" t="s">
        <v>1742</v>
      </c>
      <c r="E3013" s="1335">
        <v>234030</v>
      </c>
      <c r="F3013" s="1336">
        <v>2</v>
      </c>
      <c r="G3013" s="846">
        <v>116820767</v>
      </c>
      <c r="H3013" s="847">
        <v>127282062</v>
      </c>
      <c r="I3013" s="846">
        <v>10162500</v>
      </c>
      <c r="J3013" s="847">
        <v>9912500</v>
      </c>
      <c r="K3013" s="846"/>
      <c r="L3013" s="847"/>
      <c r="M3013" s="846">
        <v>288009767</v>
      </c>
      <c r="N3013" s="846">
        <v>2132460</v>
      </c>
      <c r="O3013" s="737">
        <f t="shared" si="375"/>
        <v>290142227</v>
      </c>
      <c r="P3013" s="847">
        <v>336127427</v>
      </c>
      <c r="Q3013" s="847">
        <v>2132460</v>
      </c>
      <c r="R3013" s="738">
        <f t="shared" si="378"/>
        <v>338259887</v>
      </c>
      <c r="S3013" s="737">
        <f t="shared" si="379"/>
        <v>414993034</v>
      </c>
      <c r="T3013" s="739">
        <f t="shared" si="380"/>
        <v>473321989</v>
      </c>
      <c r="U3013" s="846"/>
      <c r="V3013" s="847"/>
      <c r="W3013" s="846"/>
      <c r="X3013" s="846"/>
      <c r="Y3013" s="740">
        <f t="shared" si="376"/>
        <v>0</v>
      </c>
      <c r="Z3013" s="847"/>
      <c r="AA3013" s="847"/>
      <c r="AB3013" s="741">
        <f t="shared" si="377"/>
        <v>0</v>
      </c>
      <c r="AC3013" s="846"/>
      <c r="AD3013" s="847"/>
      <c r="AE3013" s="846"/>
      <c r="AF3013" s="846"/>
      <c r="AG3013" s="847"/>
      <c r="AH3013" s="847"/>
      <c r="AI3013" s="742">
        <f t="shared" si="381"/>
        <v>414993034</v>
      </c>
      <c r="AJ3013" s="743">
        <f t="shared" si="382"/>
        <v>473321989</v>
      </c>
    </row>
    <row r="3014" spans="1:36">
      <c r="A3014" s="1083" t="s">
        <v>156</v>
      </c>
      <c r="B3014" s="1084" t="s">
        <v>280</v>
      </c>
      <c r="C3014" s="1097" t="s">
        <v>717</v>
      </c>
      <c r="D3014" s="1346"/>
      <c r="E3014" s="1335">
        <v>234030</v>
      </c>
      <c r="F3014" s="1336">
        <v>2</v>
      </c>
      <c r="G3014" s="846"/>
      <c r="H3014" s="847"/>
      <c r="I3014" s="846"/>
      <c r="J3014" s="847"/>
      <c r="K3014" s="846"/>
      <c r="L3014" s="847"/>
      <c r="M3014" s="846"/>
      <c r="N3014" s="846"/>
      <c r="O3014" s="737">
        <f t="shared" si="375"/>
        <v>0</v>
      </c>
      <c r="P3014" s="847"/>
      <c r="Q3014" s="847"/>
      <c r="R3014" s="738">
        <f t="shared" si="378"/>
        <v>0</v>
      </c>
      <c r="S3014" s="737">
        <f t="shared" si="379"/>
        <v>0</v>
      </c>
      <c r="T3014" s="739">
        <f t="shared" si="380"/>
        <v>0</v>
      </c>
      <c r="U3014" s="846"/>
      <c r="V3014" s="847"/>
      <c r="W3014" s="846"/>
      <c r="X3014" s="846"/>
      <c r="Y3014" s="740">
        <f t="shared" si="376"/>
        <v>0</v>
      </c>
      <c r="Z3014" s="847"/>
      <c r="AA3014" s="847"/>
      <c r="AB3014" s="741">
        <f t="shared" si="377"/>
        <v>0</v>
      </c>
      <c r="AC3014" s="846">
        <v>38068870</v>
      </c>
      <c r="AD3014" s="847">
        <v>32442308</v>
      </c>
      <c r="AE3014" s="846">
        <v>43801240</v>
      </c>
      <c r="AF3014" s="846"/>
      <c r="AG3014" s="847">
        <v>46127046</v>
      </c>
      <c r="AH3014" s="847"/>
      <c r="AI3014" s="742">
        <f t="shared" si="381"/>
        <v>81870110</v>
      </c>
      <c r="AJ3014" s="743">
        <f t="shared" si="382"/>
        <v>78569354</v>
      </c>
    </row>
    <row r="3015" spans="1:36">
      <c r="A3015" s="1083" t="s">
        <v>156</v>
      </c>
      <c r="B3015" s="1084" t="s">
        <v>264</v>
      </c>
      <c r="C3015" s="1344" t="s">
        <v>1625</v>
      </c>
      <c r="D3015" s="1102"/>
      <c r="E3015" s="1335">
        <v>232423</v>
      </c>
      <c r="F3015" s="1336">
        <v>3</v>
      </c>
      <c r="G3015" s="846">
        <v>69808843</v>
      </c>
      <c r="H3015" s="847">
        <v>71320281</v>
      </c>
      <c r="I3015" s="846"/>
      <c r="J3015" s="847"/>
      <c r="K3015" s="846"/>
      <c r="L3015" s="847"/>
      <c r="M3015" s="846">
        <v>185815798</v>
      </c>
      <c r="N3015" s="846">
        <v>2635578</v>
      </c>
      <c r="O3015" s="737">
        <f t="shared" si="375"/>
        <v>188451376</v>
      </c>
      <c r="P3015" s="847">
        <v>201228440</v>
      </c>
      <c r="Q3015" s="847">
        <v>2635578</v>
      </c>
      <c r="R3015" s="738">
        <f t="shared" si="378"/>
        <v>203864018</v>
      </c>
      <c r="S3015" s="737">
        <f t="shared" si="379"/>
        <v>255624641</v>
      </c>
      <c r="T3015" s="739">
        <f t="shared" si="380"/>
        <v>272548721</v>
      </c>
      <c r="U3015" s="846"/>
      <c r="V3015" s="847"/>
      <c r="W3015" s="846"/>
      <c r="X3015" s="846"/>
      <c r="Y3015" s="740">
        <f t="shared" si="376"/>
        <v>0</v>
      </c>
      <c r="Z3015" s="847"/>
      <c r="AA3015" s="847"/>
      <c r="AB3015" s="741">
        <f t="shared" si="377"/>
        <v>0</v>
      </c>
      <c r="AC3015" s="846"/>
      <c r="AD3015" s="847"/>
      <c r="AE3015" s="846"/>
      <c r="AF3015" s="846"/>
      <c r="AG3015" s="847"/>
      <c r="AH3015" s="847"/>
      <c r="AI3015" s="742">
        <f t="shared" si="381"/>
        <v>255624641</v>
      </c>
      <c r="AJ3015" s="743">
        <f t="shared" si="382"/>
        <v>272548721</v>
      </c>
    </row>
    <row r="3016" spans="1:36">
      <c r="A3016" s="1083" t="s">
        <v>156</v>
      </c>
      <c r="B3016" s="1084" t="s">
        <v>264</v>
      </c>
      <c r="C3016" s="1333" t="s">
        <v>1626</v>
      </c>
      <c r="D3016" s="1348"/>
      <c r="E3016" s="1335">
        <v>232566</v>
      </c>
      <c r="F3016" s="1409">
        <v>3</v>
      </c>
      <c r="G3016" s="846">
        <v>23618254</v>
      </c>
      <c r="H3016" s="847">
        <v>24542954</v>
      </c>
      <c r="I3016" s="846"/>
      <c r="J3016" s="847"/>
      <c r="K3016" s="846"/>
      <c r="L3016" s="847"/>
      <c r="M3016" s="846">
        <v>32310828</v>
      </c>
      <c r="N3016" s="846">
        <v>111276</v>
      </c>
      <c r="O3016" s="737">
        <f t="shared" si="375"/>
        <v>32422104</v>
      </c>
      <c r="P3016" s="847">
        <v>35969776</v>
      </c>
      <c r="Q3016" s="847">
        <v>111276</v>
      </c>
      <c r="R3016" s="738">
        <f t="shared" si="378"/>
        <v>36081052</v>
      </c>
      <c r="S3016" s="737">
        <f t="shared" si="379"/>
        <v>55929082</v>
      </c>
      <c r="T3016" s="739">
        <f t="shared" si="380"/>
        <v>60512730</v>
      </c>
      <c r="U3016" s="846"/>
      <c r="V3016" s="847"/>
      <c r="W3016" s="846"/>
      <c r="X3016" s="846"/>
      <c r="Y3016" s="740">
        <f t="shared" si="376"/>
        <v>0</v>
      </c>
      <c r="Z3016" s="847"/>
      <c r="AA3016" s="847"/>
      <c r="AB3016" s="741">
        <f t="shared" si="377"/>
        <v>0</v>
      </c>
      <c r="AC3016" s="846"/>
      <c r="AD3016" s="847"/>
      <c r="AE3016" s="846"/>
      <c r="AF3016" s="846"/>
      <c r="AG3016" s="847"/>
      <c r="AH3016" s="847"/>
      <c r="AI3016" s="742">
        <f t="shared" si="381"/>
        <v>55929082</v>
      </c>
      <c r="AJ3016" s="743">
        <f t="shared" si="382"/>
        <v>60512730</v>
      </c>
    </row>
    <row r="3017" spans="1:36">
      <c r="A3017" s="1083" t="s">
        <v>156</v>
      </c>
      <c r="B3017" s="1084" t="s">
        <v>264</v>
      </c>
      <c r="C3017" s="1333" t="s">
        <v>1627</v>
      </c>
      <c r="D3017" s="1334"/>
      <c r="E3017" s="1345">
        <v>232937</v>
      </c>
      <c r="F3017" s="1094">
        <v>3</v>
      </c>
      <c r="G3017" s="846">
        <v>40473227</v>
      </c>
      <c r="H3017" s="847">
        <v>41800286</v>
      </c>
      <c r="I3017" s="846"/>
      <c r="J3017" s="847"/>
      <c r="K3017" s="846"/>
      <c r="L3017" s="847"/>
      <c r="M3017" s="846">
        <v>40333666</v>
      </c>
      <c r="N3017" s="846">
        <v>293535</v>
      </c>
      <c r="O3017" s="737">
        <f t="shared" si="375"/>
        <v>40627201</v>
      </c>
      <c r="P3017" s="847">
        <v>36574430</v>
      </c>
      <c r="Q3017" s="847">
        <v>458766</v>
      </c>
      <c r="R3017" s="738">
        <f t="shared" si="378"/>
        <v>37033196</v>
      </c>
      <c r="S3017" s="737">
        <f t="shared" si="379"/>
        <v>80806893</v>
      </c>
      <c r="T3017" s="739">
        <f t="shared" si="380"/>
        <v>78374716</v>
      </c>
      <c r="U3017" s="846"/>
      <c r="V3017" s="847"/>
      <c r="W3017" s="846"/>
      <c r="X3017" s="846"/>
      <c r="Y3017" s="740">
        <f t="shared" si="376"/>
        <v>0</v>
      </c>
      <c r="Z3017" s="847"/>
      <c r="AA3017" s="847"/>
      <c r="AB3017" s="741">
        <f t="shared" si="377"/>
        <v>0</v>
      </c>
      <c r="AC3017" s="846"/>
      <c r="AD3017" s="847"/>
      <c r="AE3017" s="846"/>
      <c r="AF3017" s="846"/>
      <c r="AG3017" s="847"/>
      <c r="AH3017" s="847"/>
      <c r="AI3017" s="742">
        <f t="shared" si="381"/>
        <v>80806893</v>
      </c>
      <c r="AJ3017" s="743">
        <f t="shared" si="382"/>
        <v>78374716</v>
      </c>
    </row>
    <row r="3018" spans="1:36">
      <c r="A3018" s="1083" t="s">
        <v>156</v>
      </c>
      <c r="B3018" s="1084" t="s">
        <v>264</v>
      </c>
      <c r="C3018" s="1333" t="s">
        <v>1628</v>
      </c>
      <c r="D3018" s="1334" t="s">
        <v>763</v>
      </c>
      <c r="E3018" s="1349">
        <v>233277</v>
      </c>
      <c r="F3018" s="1409">
        <v>3</v>
      </c>
      <c r="G3018" s="846">
        <v>43456527</v>
      </c>
      <c r="H3018" s="847">
        <v>44908068</v>
      </c>
      <c r="I3018" s="846"/>
      <c r="J3018" s="847"/>
      <c r="K3018" s="846"/>
      <c r="L3018" s="847"/>
      <c r="M3018" s="846">
        <v>65849503</v>
      </c>
      <c r="N3018" s="846">
        <v>1059300</v>
      </c>
      <c r="O3018" s="737">
        <f t="shared" ref="O3018:O3081" si="383">SUM(M3018:N3018)</f>
        <v>66908803</v>
      </c>
      <c r="P3018" s="847">
        <v>70970112</v>
      </c>
      <c r="Q3018" s="847">
        <v>275022</v>
      </c>
      <c r="R3018" s="738">
        <f t="shared" si="378"/>
        <v>71245134</v>
      </c>
      <c r="S3018" s="737">
        <f t="shared" si="379"/>
        <v>109306030</v>
      </c>
      <c r="T3018" s="739">
        <f t="shared" si="380"/>
        <v>115878180</v>
      </c>
      <c r="U3018" s="846"/>
      <c r="V3018" s="847"/>
      <c r="W3018" s="846"/>
      <c r="X3018" s="846"/>
      <c r="Y3018" s="740">
        <f t="shared" ref="Y3018:Y3081" si="384">SUM(W3018:X3018)</f>
        <v>0</v>
      </c>
      <c r="Z3018" s="847"/>
      <c r="AA3018" s="847"/>
      <c r="AB3018" s="741">
        <f t="shared" ref="AB3018:AB3081" si="385">SUM(Z3018:AA3018)</f>
        <v>0</v>
      </c>
      <c r="AC3018" s="846"/>
      <c r="AD3018" s="847"/>
      <c r="AE3018" s="846"/>
      <c r="AF3018" s="846"/>
      <c r="AG3018" s="847"/>
      <c r="AH3018" s="847"/>
      <c r="AI3018" s="742">
        <f t="shared" si="381"/>
        <v>109306030</v>
      </c>
      <c r="AJ3018" s="743">
        <f t="shared" si="382"/>
        <v>115878180</v>
      </c>
    </row>
    <row r="3019" spans="1:36">
      <c r="A3019" s="1083" t="s">
        <v>156</v>
      </c>
      <c r="B3019" s="1084" t="s">
        <v>264</v>
      </c>
      <c r="C3019" s="1350" t="s">
        <v>1629</v>
      </c>
      <c r="D3019" s="1348"/>
      <c r="E3019" s="1349">
        <v>232681</v>
      </c>
      <c r="F3019" s="1409">
        <v>3</v>
      </c>
      <c r="G3019" s="846">
        <v>19800128</v>
      </c>
      <c r="H3019" s="847">
        <v>21066024</v>
      </c>
      <c r="I3019" s="846">
        <v>1750000</v>
      </c>
      <c r="J3019" s="847">
        <v>1250000</v>
      </c>
      <c r="K3019" s="846"/>
      <c r="L3019" s="847"/>
      <c r="M3019" s="846">
        <v>41207833</v>
      </c>
      <c r="N3019" s="846">
        <v>275022</v>
      </c>
      <c r="O3019" s="737">
        <f t="shared" si="383"/>
        <v>41482855</v>
      </c>
      <c r="P3019" s="847">
        <v>38389855</v>
      </c>
      <c r="Q3019" s="847">
        <v>293535</v>
      </c>
      <c r="R3019" s="738">
        <f t="shared" ref="R3019:R3082" si="386">SUM(P3019:Q3019)</f>
        <v>38683390</v>
      </c>
      <c r="S3019" s="737">
        <f t="shared" ref="S3019:S3082" si="387">SUM(G3019,I3019,K3019,M3019)</f>
        <v>62757961</v>
      </c>
      <c r="T3019" s="739">
        <f t="shared" ref="T3019:T3082" si="388">SUM(H3019,J3019,L3019,P3019)</f>
        <v>60705879</v>
      </c>
      <c r="U3019" s="846"/>
      <c r="V3019" s="847"/>
      <c r="W3019" s="846"/>
      <c r="X3019" s="846"/>
      <c r="Y3019" s="740">
        <f t="shared" si="384"/>
        <v>0</v>
      </c>
      <c r="Z3019" s="847"/>
      <c r="AA3019" s="847"/>
      <c r="AB3019" s="741">
        <f t="shared" si="385"/>
        <v>0</v>
      </c>
      <c r="AC3019" s="846"/>
      <c r="AD3019" s="847"/>
      <c r="AE3019" s="846"/>
      <c r="AF3019" s="846"/>
      <c r="AG3019" s="847"/>
      <c r="AH3019" s="847"/>
      <c r="AI3019" s="742">
        <f t="shared" ref="AI3019:AI3082" si="389">SUM(S3019,U3019,W3019,AC3019,AE3019)</f>
        <v>62757961</v>
      </c>
      <c r="AJ3019" s="743">
        <f t="shared" ref="AJ3019:AJ3082" si="390">SUM(T3019,V3019,Z3019,AD3019,AG3019)</f>
        <v>60705879</v>
      </c>
    </row>
    <row r="3020" spans="1:36">
      <c r="A3020" s="1083" t="s">
        <v>156</v>
      </c>
      <c r="B3020" s="1084" t="s">
        <v>264</v>
      </c>
      <c r="C3020" s="1344" t="s">
        <v>1630</v>
      </c>
      <c r="D3020" s="1348"/>
      <c r="E3020" s="1349">
        <v>234155</v>
      </c>
      <c r="F3020" s="1409">
        <v>3</v>
      </c>
      <c r="G3020" s="846">
        <v>30167239</v>
      </c>
      <c r="H3020" s="847">
        <v>30700481</v>
      </c>
      <c r="I3020" s="846"/>
      <c r="J3020" s="847"/>
      <c r="K3020" s="846"/>
      <c r="L3020" s="847"/>
      <c r="M3020" s="846">
        <v>42174742</v>
      </c>
      <c r="N3020" s="846">
        <v>845856</v>
      </c>
      <c r="O3020" s="737">
        <f t="shared" si="383"/>
        <v>43020598</v>
      </c>
      <c r="P3020" s="847">
        <v>32796762</v>
      </c>
      <c r="Q3020" s="847">
        <v>845856</v>
      </c>
      <c r="R3020" s="738">
        <f t="shared" si="386"/>
        <v>33642618</v>
      </c>
      <c r="S3020" s="737">
        <f t="shared" si="387"/>
        <v>72341981</v>
      </c>
      <c r="T3020" s="739">
        <f t="shared" si="388"/>
        <v>63497243</v>
      </c>
      <c r="U3020" s="846"/>
      <c r="V3020" s="847"/>
      <c r="W3020" s="846"/>
      <c r="X3020" s="846"/>
      <c r="Y3020" s="740">
        <f t="shared" si="384"/>
        <v>0</v>
      </c>
      <c r="Z3020" s="847"/>
      <c r="AA3020" s="847"/>
      <c r="AB3020" s="741">
        <f t="shared" si="385"/>
        <v>0</v>
      </c>
      <c r="AC3020" s="846"/>
      <c r="AD3020" s="847"/>
      <c r="AE3020" s="846"/>
      <c r="AF3020" s="846"/>
      <c r="AG3020" s="847"/>
      <c r="AH3020" s="847"/>
      <c r="AI3020" s="742">
        <f t="shared" si="389"/>
        <v>72341981</v>
      </c>
      <c r="AJ3020" s="743">
        <f t="shared" si="390"/>
        <v>63497243</v>
      </c>
    </row>
    <row r="3021" spans="1:36">
      <c r="A3021" s="1083" t="s">
        <v>156</v>
      </c>
      <c r="B3021" s="1084" t="s">
        <v>268</v>
      </c>
      <c r="C3021" s="1347" t="s">
        <v>257</v>
      </c>
      <c r="D3021" s="1334"/>
      <c r="E3021" s="1335">
        <v>234155</v>
      </c>
      <c r="F3021" s="1409">
        <v>3</v>
      </c>
      <c r="G3021" s="846"/>
      <c r="H3021" s="847"/>
      <c r="I3021" s="846">
        <v>5313900</v>
      </c>
      <c r="J3021" s="847">
        <v>5430442</v>
      </c>
      <c r="K3021" s="846"/>
      <c r="L3021" s="847"/>
      <c r="M3021" s="846"/>
      <c r="N3021" s="846"/>
      <c r="O3021" s="737">
        <f t="shared" si="383"/>
        <v>0</v>
      </c>
      <c r="P3021" s="847"/>
      <c r="Q3021" s="847"/>
      <c r="R3021" s="738">
        <f t="shared" si="386"/>
        <v>0</v>
      </c>
      <c r="S3021" s="737">
        <f t="shared" si="387"/>
        <v>5313900</v>
      </c>
      <c r="T3021" s="739">
        <f t="shared" si="388"/>
        <v>5430442</v>
      </c>
      <c r="U3021" s="846"/>
      <c r="V3021" s="847"/>
      <c r="W3021" s="846"/>
      <c r="X3021" s="846"/>
      <c r="Y3021" s="740">
        <f t="shared" si="384"/>
        <v>0</v>
      </c>
      <c r="Z3021" s="847"/>
      <c r="AA3021" s="847"/>
      <c r="AB3021" s="741">
        <f t="shared" si="385"/>
        <v>0</v>
      </c>
      <c r="AC3021" s="846"/>
      <c r="AD3021" s="847"/>
      <c r="AE3021" s="846"/>
      <c r="AF3021" s="846"/>
      <c r="AG3021" s="847"/>
      <c r="AH3021" s="847"/>
      <c r="AI3021" s="742">
        <f t="shared" si="389"/>
        <v>5313900</v>
      </c>
      <c r="AJ3021" s="743">
        <f t="shared" si="390"/>
        <v>5430442</v>
      </c>
    </row>
    <row r="3022" spans="1:36">
      <c r="A3022" s="1083" t="s">
        <v>156</v>
      </c>
      <c r="B3022" s="1084" t="s">
        <v>264</v>
      </c>
      <c r="C3022" s="1333" t="s">
        <v>1631</v>
      </c>
      <c r="D3022" s="1334" t="s">
        <v>1743</v>
      </c>
      <c r="E3022" s="1345">
        <v>231712</v>
      </c>
      <c r="F3022" s="1094">
        <v>5</v>
      </c>
      <c r="G3022" s="846">
        <v>24479716</v>
      </c>
      <c r="H3022" s="847">
        <v>25392536</v>
      </c>
      <c r="I3022" s="846"/>
      <c r="J3022" s="847"/>
      <c r="K3022" s="846"/>
      <c r="L3022" s="847"/>
      <c r="M3022" s="846">
        <v>34794369</v>
      </c>
      <c r="N3022" s="846">
        <v>112167</v>
      </c>
      <c r="O3022" s="737">
        <f t="shared" si="383"/>
        <v>34906536</v>
      </c>
      <c r="P3022" s="847">
        <v>38246613</v>
      </c>
      <c r="Q3022" s="847">
        <v>112167</v>
      </c>
      <c r="R3022" s="738">
        <f t="shared" si="386"/>
        <v>38358780</v>
      </c>
      <c r="S3022" s="737">
        <f t="shared" si="387"/>
        <v>59274085</v>
      </c>
      <c r="T3022" s="739">
        <f t="shared" si="388"/>
        <v>63639149</v>
      </c>
      <c r="U3022" s="846"/>
      <c r="V3022" s="847"/>
      <c r="W3022" s="846"/>
      <c r="X3022" s="846"/>
      <c r="Y3022" s="740">
        <f t="shared" si="384"/>
        <v>0</v>
      </c>
      <c r="Z3022" s="847"/>
      <c r="AA3022" s="847"/>
      <c r="AB3022" s="741">
        <f t="shared" si="385"/>
        <v>0</v>
      </c>
      <c r="AC3022" s="846"/>
      <c r="AD3022" s="847"/>
      <c r="AE3022" s="846"/>
      <c r="AF3022" s="846"/>
      <c r="AG3022" s="847"/>
      <c r="AH3022" s="847"/>
      <c r="AI3022" s="742">
        <f t="shared" si="389"/>
        <v>59274085</v>
      </c>
      <c r="AJ3022" s="743">
        <f t="shared" si="390"/>
        <v>63639149</v>
      </c>
    </row>
    <row r="3023" spans="1:36">
      <c r="A3023" s="1083" t="s">
        <v>156</v>
      </c>
      <c r="B3023" s="1084" t="s">
        <v>264</v>
      </c>
      <c r="C3023" s="1344" t="s">
        <v>1632</v>
      </c>
      <c r="D3023" s="1334"/>
      <c r="E3023" s="1335">
        <v>233897</v>
      </c>
      <c r="F3023" s="1336">
        <v>6</v>
      </c>
      <c r="G3023" s="846">
        <v>12937643</v>
      </c>
      <c r="H3023" s="847">
        <v>13491806</v>
      </c>
      <c r="I3023" s="846"/>
      <c r="J3023" s="847"/>
      <c r="K3023" s="846"/>
      <c r="L3023" s="847"/>
      <c r="M3023" s="846">
        <v>7991302</v>
      </c>
      <c r="N3023" s="846">
        <v>48510</v>
      </c>
      <c r="O3023" s="737">
        <f t="shared" si="383"/>
        <v>8039812</v>
      </c>
      <c r="P3023" s="847">
        <v>8695341</v>
      </c>
      <c r="Q3023" s="847">
        <v>48510</v>
      </c>
      <c r="R3023" s="738">
        <f t="shared" si="386"/>
        <v>8743851</v>
      </c>
      <c r="S3023" s="737">
        <f t="shared" si="387"/>
        <v>20928945</v>
      </c>
      <c r="T3023" s="739">
        <f t="shared" si="388"/>
        <v>22187147</v>
      </c>
      <c r="U3023" s="846"/>
      <c r="V3023" s="847"/>
      <c r="W3023" s="846"/>
      <c r="X3023" s="846"/>
      <c r="Y3023" s="740">
        <f t="shared" si="384"/>
        <v>0</v>
      </c>
      <c r="Z3023" s="847"/>
      <c r="AA3023" s="847"/>
      <c r="AB3023" s="741">
        <f t="shared" si="385"/>
        <v>0</v>
      </c>
      <c r="AC3023" s="846"/>
      <c r="AD3023" s="847"/>
      <c r="AE3023" s="846"/>
      <c r="AF3023" s="846"/>
      <c r="AG3023" s="847"/>
      <c r="AH3023" s="847"/>
      <c r="AI3023" s="742">
        <f t="shared" si="389"/>
        <v>20928945</v>
      </c>
      <c r="AJ3023" s="743">
        <f t="shared" si="390"/>
        <v>22187147</v>
      </c>
    </row>
    <row r="3024" spans="1:36">
      <c r="A3024" s="1083" t="s">
        <v>156</v>
      </c>
      <c r="B3024" s="1084" t="s">
        <v>264</v>
      </c>
      <c r="C3024" s="1344" t="s">
        <v>1633</v>
      </c>
      <c r="D3024" s="1334"/>
      <c r="E3024" s="1335">
        <v>232414</v>
      </c>
      <c r="F3024" s="1336">
        <v>8</v>
      </c>
      <c r="G3024" s="846"/>
      <c r="H3024" s="847"/>
      <c r="I3024" s="846"/>
      <c r="J3024" s="847"/>
      <c r="K3024" s="846"/>
      <c r="L3024" s="847"/>
      <c r="M3024" s="846"/>
      <c r="N3024" s="846"/>
      <c r="O3024" s="737">
        <f t="shared" si="383"/>
        <v>0</v>
      </c>
      <c r="P3024" s="847"/>
      <c r="Q3024" s="847"/>
      <c r="R3024" s="738">
        <f t="shared" si="386"/>
        <v>0</v>
      </c>
      <c r="S3024" s="737">
        <f t="shared" si="387"/>
        <v>0</v>
      </c>
      <c r="T3024" s="739">
        <f t="shared" si="388"/>
        <v>0</v>
      </c>
      <c r="U3024" s="846"/>
      <c r="V3024" s="847"/>
      <c r="W3024" s="846"/>
      <c r="X3024" s="846"/>
      <c r="Y3024" s="740">
        <f t="shared" si="384"/>
        <v>0</v>
      </c>
      <c r="Z3024" s="847"/>
      <c r="AA3024" s="847"/>
      <c r="AB3024" s="741">
        <f t="shared" si="385"/>
        <v>0</v>
      </c>
      <c r="AC3024" s="846"/>
      <c r="AD3024" s="847"/>
      <c r="AE3024" s="846"/>
      <c r="AF3024" s="846"/>
      <c r="AG3024" s="847"/>
      <c r="AH3024" s="847"/>
      <c r="AI3024" s="742">
        <f t="shared" si="389"/>
        <v>0</v>
      </c>
      <c r="AJ3024" s="743">
        <f t="shared" si="390"/>
        <v>0</v>
      </c>
    </row>
    <row r="3025" spans="1:36">
      <c r="A3025" s="1083" t="s">
        <v>156</v>
      </c>
      <c r="B3025" s="1084" t="s">
        <v>264</v>
      </c>
      <c r="C3025" s="1344" t="s">
        <v>1634</v>
      </c>
      <c r="D3025" s="1351"/>
      <c r="E3025" s="1349">
        <v>232450</v>
      </c>
      <c r="F3025" s="1104">
        <v>8</v>
      </c>
      <c r="G3025" s="846"/>
      <c r="H3025" s="847"/>
      <c r="I3025" s="846"/>
      <c r="J3025" s="847"/>
      <c r="K3025" s="846"/>
      <c r="L3025" s="847"/>
      <c r="M3025" s="846"/>
      <c r="N3025" s="846"/>
      <c r="O3025" s="737">
        <f t="shared" si="383"/>
        <v>0</v>
      </c>
      <c r="P3025" s="847"/>
      <c r="Q3025" s="847"/>
      <c r="R3025" s="738">
        <f t="shared" si="386"/>
        <v>0</v>
      </c>
      <c r="S3025" s="737">
        <f t="shared" si="387"/>
        <v>0</v>
      </c>
      <c r="T3025" s="739">
        <f t="shared" si="388"/>
        <v>0</v>
      </c>
      <c r="U3025" s="846"/>
      <c r="V3025" s="847"/>
      <c r="W3025" s="846"/>
      <c r="X3025" s="846"/>
      <c r="Y3025" s="740">
        <f t="shared" si="384"/>
        <v>0</v>
      </c>
      <c r="Z3025" s="847"/>
      <c r="AA3025" s="847"/>
      <c r="AB3025" s="741">
        <f t="shared" si="385"/>
        <v>0</v>
      </c>
      <c r="AC3025" s="846"/>
      <c r="AD3025" s="847"/>
      <c r="AE3025" s="846"/>
      <c r="AF3025" s="846"/>
      <c r="AG3025" s="847"/>
      <c r="AH3025" s="847"/>
      <c r="AI3025" s="742">
        <f t="shared" si="389"/>
        <v>0</v>
      </c>
      <c r="AJ3025" s="743">
        <f t="shared" si="390"/>
        <v>0</v>
      </c>
    </row>
    <row r="3026" spans="1:36">
      <c r="A3026" s="1083" t="s">
        <v>156</v>
      </c>
      <c r="B3026" s="1084" t="s">
        <v>264</v>
      </c>
      <c r="C3026" s="1344" t="s">
        <v>1635</v>
      </c>
      <c r="D3026" s="1334"/>
      <c r="E3026" s="1335">
        <v>232946</v>
      </c>
      <c r="F3026" s="1336">
        <v>8</v>
      </c>
      <c r="G3026" s="846"/>
      <c r="H3026" s="847"/>
      <c r="I3026" s="846"/>
      <c r="J3026" s="847"/>
      <c r="K3026" s="846"/>
      <c r="L3026" s="847"/>
      <c r="M3026" s="846"/>
      <c r="N3026" s="846"/>
      <c r="O3026" s="737">
        <f t="shared" si="383"/>
        <v>0</v>
      </c>
      <c r="P3026" s="847"/>
      <c r="Q3026" s="847"/>
      <c r="R3026" s="738">
        <f t="shared" si="386"/>
        <v>0</v>
      </c>
      <c r="S3026" s="737">
        <f t="shared" si="387"/>
        <v>0</v>
      </c>
      <c r="T3026" s="739">
        <f t="shared" si="388"/>
        <v>0</v>
      </c>
      <c r="U3026" s="846"/>
      <c r="V3026" s="847"/>
      <c r="W3026" s="846"/>
      <c r="X3026" s="846"/>
      <c r="Y3026" s="740">
        <f t="shared" si="384"/>
        <v>0</v>
      </c>
      <c r="Z3026" s="847"/>
      <c r="AA3026" s="847"/>
      <c r="AB3026" s="741">
        <f t="shared" si="385"/>
        <v>0</v>
      </c>
      <c r="AC3026" s="846"/>
      <c r="AD3026" s="847"/>
      <c r="AE3026" s="846"/>
      <c r="AF3026" s="846"/>
      <c r="AG3026" s="847"/>
      <c r="AH3026" s="847"/>
      <c r="AI3026" s="742">
        <f t="shared" si="389"/>
        <v>0</v>
      </c>
      <c r="AJ3026" s="743">
        <f t="shared" si="390"/>
        <v>0</v>
      </c>
    </row>
    <row r="3027" spans="1:36">
      <c r="A3027" s="1083" t="s">
        <v>156</v>
      </c>
      <c r="B3027" s="1084" t="s">
        <v>264</v>
      </c>
      <c r="C3027" s="1344" t="s">
        <v>1636</v>
      </c>
      <c r="D3027" s="1334"/>
      <c r="E3027" s="1335">
        <v>233754</v>
      </c>
      <c r="F3027" s="1336">
        <v>8</v>
      </c>
      <c r="G3027" s="846"/>
      <c r="H3027" s="847"/>
      <c r="I3027" s="846"/>
      <c r="J3027" s="847"/>
      <c r="K3027" s="846"/>
      <c r="L3027" s="847"/>
      <c r="M3027" s="846"/>
      <c r="N3027" s="846"/>
      <c r="O3027" s="737">
        <f t="shared" si="383"/>
        <v>0</v>
      </c>
      <c r="P3027" s="847"/>
      <c r="Q3027" s="847"/>
      <c r="R3027" s="738">
        <f t="shared" si="386"/>
        <v>0</v>
      </c>
      <c r="S3027" s="737">
        <f t="shared" si="387"/>
        <v>0</v>
      </c>
      <c r="T3027" s="739">
        <f t="shared" si="388"/>
        <v>0</v>
      </c>
      <c r="U3027" s="846"/>
      <c r="V3027" s="847"/>
      <c r="W3027" s="846"/>
      <c r="X3027" s="846"/>
      <c r="Y3027" s="740">
        <f t="shared" si="384"/>
        <v>0</v>
      </c>
      <c r="Z3027" s="847"/>
      <c r="AA3027" s="847"/>
      <c r="AB3027" s="741">
        <f t="shared" si="385"/>
        <v>0</v>
      </c>
      <c r="AC3027" s="846"/>
      <c r="AD3027" s="847"/>
      <c r="AE3027" s="846"/>
      <c r="AF3027" s="846"/>
      <c r="AG3027" s="847"/>
      <c r="AH3027" s="847"/>
      <c r="AI3027" s="742">
        <f t="shared" si="389"/>
        <v>0</v>
      </c>
      <c r="AJ3027" s="743">
        <f t="shared" si="390"/>
        <v>0</v>
      </c>
    </row>
    <row r="3028" spans="1:36">
      <c r="A3028" s="1083" t="s">
        <v>156</v>
      </c>
      <c r="B3028" s="1084" t="s">
        <v>264</v>
      </c>
      <c r="C3028" s="1344" t="s">
        <v>1637</v>
      </c>
      <c r="D3028" s="1334"/>
      <c r="E3028" s="1335">
        <v>233772</v>
      </c>
      <c r="F3028" s="1336">
        <v>8</v>
      </c>
      <c r="G3028" s="846"/>
      <c r="H3028" s="847"/>
      <c r="I3028" s="846"/>
      <c r="J3028" s="847"/>
      <c r="K3028" s="846"/>
      <c r="L3028" s="847"/>
      <c r="M3028" s="846"/>
      <c r="N3028" s="846"/>
      <c r="O3028" s="737">
        <f t="shared" si="383"/>
        <v>0</v>
      </c>
      <c r="P3028" s="847"/>
      <c r="Q3028" s="847"/>
      <c r="R3028" s="738">
        <f t="shared" si="386"/>
        <v>0</v>
      </c>
      <c r="S3028" s="737">
        <f t="shared" si="387"/>
        <v>0</v>
      </c>
      <c r="T3028" s="739">
        <f t="shared" si="388"/>
        <v>0</v>
      </c>
      <c r="U3028" s="846"/>
      <c r="V3028" s="847"/>
      <c r="W3028" s="846"/>
      <c r="X3028" s="846"/>
      <c r="Y3028" s="740">
        <f t="shared" si="384"/>
        <v>0</v>
      </c>
      <c r="Z3028" s="847"/>
      <c r="AA3028" s="847"/>
      <c r="AB3028" s="741">
        <f t="shared" si="385"/>
        <v>0</v>
      </c>
      <c r="AC3028" s="846"/>
      <c r="AD3028" s="847"/>
      <c r="AE3028" s="846"/>
      <c r="AF3028" s="846"/>
      <c r="AG3028" s="847"/>
      <c r="AH3028" s="847"/>
      <c r="AI3028" s="742">
        <f t="shared" si="389"/>
        <v>0</v>
      </c>
      <c r="AJ3028" s="743">
        <f t="shared" si="390"/>
        <v>0</v>
      </c>
    </row>
    <row r="3029" spans="1:36">
      <c r="A3029" s="1083" t="s">
        <v>156</v>
      </c>
      <c r="B3029" s="1084" t="s">
        <v>264</v>
      </c>
      <c r="C3029" s="1344" t="s">
        <v>1638</v>
      </c>
      <c r="D3029" s="1334"/>
      <c r="E3029" s="1335">
        <v>231536</v>
      </c>
      <c r="F3029" s="1336">
        <v>9</v>
      </c>
      <c r="G3029" s="846"/>
      <c r="H3029" s="847"/>
      <c r="I3029" s="846"/>
      <c r="J3029" s="847"/>
      <c r="K3029" s="846"/>
      <c r="L3029" s="847"/>
      <c r="M3029" s="846"/>
      <c r="N3029" s="846"/>
      <c r="O3029" s="737">
        <f t="shared" si="383"/>
        <v>0</v>
      </c>
      <c r="P3029" s="847"/>
      <c r="Q3029" s="847"/>
      <c r="R3029" s="738">
        <f t="shared" si="386"/>
        <v>0</v>
      </c>
      <c r="S3029" s="737">
        <f t="shared" si="387"/>
        <v>0</v>
      </c>
      <c r="T3029" s="739">
        <f t="shared" si="388"/>
        <v>0</v>
      </c>
      <c r="U3029" s="846"/>
      <c r="V3029" s="847"/>
      <c r="W3029" s="846"/>
      <c r="X3029" s="846"/>
      <c r="Y3029" s="740">
        <f t="shared" si="384"/>
        <v>0</v>
      </c>
      <c r="Z3029" s="847"/>
      <c r="AA3029" s="847"/>
      <c r="AB3029" s="741">
        <f t="shared" si="385"/>
        <v>0</v>
      </c>
      <c r="AC3029" s="846"/>
      <c r="AD3029" s="847"/>
      <c r="AE3029" s="846"/>
      <c r="AF3029" s="846"/>
      <c r="AG3029" s="847"/>
      <c r="AH3029" s="847"/>
      <c r="AI3029" s="742">
        <f t="shared" si="389"/>
        <v>0</v>
      </c>
      <c r="AJ3029" s="743">
        <f t="shared" si="390"/>
        <v>0</v>
      </c>
    </row>
    <row r="3030" spans="1:36">
      <c r="A3030" s="1083" t="s">
        <v>156</v>
      </c>
      <c r="B3030" s="1084" t="s">
        <v>264</v>
      </c>
      <c r="C3030" s="1344" t="s">
        <v>1639</v>
      </c>
      <c r="D3030" s="1334"/>
      <c r="E3030" s="1335">
        <v>231697</v>
      </c>
      <c r="F3030" s="1336">
        <v>9</v>
      </c>
      <c r="G3030" s="846"/>
      <c r="H3030" s="847"/>
      <c r="I3030" s="846"/>
      <c r="J3030" s="847"/>
      <c r="K3030" s="846"/>
      <c r="L3030" s="847"/>
      <c r="M3030" s="846"/>
      <c r="N3030" s="846"/>
      <c r="O3030" s="737">
        <f t="shared" si="383"/>
        <v>0</v>
      </c>
      <c r="P3030" s="847"/>
      <c r="Q3030" s="847"/>
      <c r="R3030" s="738">
        <f t="shared" si="386"/>
        <v>0</v>
      </c>
      <c r="S3030" s="737">
        <f t="shared" si="387"/>
        <v>0</v>
      </c>
      <c r="T3030" s="739">
        <f t="shared" si="388"/>
        <v>0</v>
      </c>
      <c r="U3030" s="846"/>
      <c r="V3030" s="847"/>
      <c r="W3030" s="846"/>
      <c r="X3030" s="846"/>
      <c r="Y3030" s="740">
        <f t="shared" si="384"/>
        <v>0</v>
      </c>
      <c r="Z3030" s="847"/>
      <c r="AA3030" s="847"/>
      <c r="AB3030" s="741">
        <f t="shared" si="385"/>
        <v>0</v>
      </c>
      <c r="AC3030" s="846"/>
      <c r="AD3030" s="847"/>
      <c r="AE3030" s="846"/>
      <c r="AF3030" s="846"/>
      <c r="AG3030" s="847"/>
      <c r="AH3030" s="847"/>
      <c r="AI3030" s="742">
        <f t="shared" si="389"/>
        <v>0</v>
      </c>
      <c r="AJ3030" s="743">
        <f t="shared" si="390"/>
        <v>0</v>
      </c>
    </row>
    <row r="3031" spans="1:36">
      <c r="A3031" s="1083" t="s">
        <v>156</v>
      </c>
      <c r="B3031" s="1084" t="s">
        <v>264</v>
      </c>
      <c r="C3031" s="1344" t="s">
        <v>1640</v>
      </c>
      <c r="D3031" s="1334"/>
      <c r="E3031" s="1335">
        <v>231882</v>
      </c>
      <c r="F3031" s="1336">
        <v>9</v>
      </c>
      <c r="G3031" s="846"/>
      <c r="H3031" s="847"/>
      <c r="I3031" s="846"/>
      <c r="J3031" s="847"/>
      <c r="K3031" s="846"/>
      <c r="L3031" s="847"/>
      <c r="M3031" s="846"/>
      <c r="N3031" s="846"/>
      <c r="O3031" s="737">
        <f t="shared" si="383"/>
        <v>0</v>
      </c>
      <c r="P3031" s="847"/>
      <c r="Q3031" s="847"/>
      <c r="R3031" s="738">
        <f t="shared" si="386"/>
        <v>0</v>
      </c>
      <c r="S3031" s="737">
        <f t="shared" si="387"/>
        <v>0</v>
      </c>
      <c r="T3031" s="739">
        <f t="shared" si="388"/>
        <v>0</v>
      </c>
      <c r="U3031" s="846"/>
      <c r="V3031" s="847"/>
      <c r="W3031" s="846"/>
      <c r="X3031" s="846"/>
      <c r="Y3031" s="740">
        <f t="shared" si="384"/>
        <v>0</v>
      </c>
      <c r="Z3031" s="847"/>
      <c r="AA3031" s="847"/>
      <c r="AB3031" s="741">
        <f t="shared" si="385"/>
        <v>0</v>
      </c>
      <c r="AC3031" s="846"/>
      <c r="AD3031" s="847"/>
      <c r="AE3031" s="846"/>
      <c r="AF3031" s="846"/>
      <c r="AG3031" s="847"/>
      <c r="AH3031" s="847"/>
      <c r="AI3031" s="742">
        <f t="shared" si="389"/>
        <v>0</v>
      </c>
      <c r="AJ3031" s="743">
        <f t="shared" si="390"/>
        <v>0</v>
      </c>
    </row>
    <row r="3032" spans="1:36">
      <c r="A3032" s="1083" t="s">
        <v>156</v>
      </c>
      <c r="B3032" s="1084" t="s">
        <v>264</v>
      </c>
      <c r="C3032" s="1344" t="s">
        <v>1641</v>
      </c>
      <c r="D3032" s="1334"/>
      <c r="E3032" s="1335">
        <v>232195</v>
      </c>
      <c r="F3032" s="1336">
        <v>9</v>
      </c>
      <c r="G3032" s="846"/>
      <c r="H3032" s="847"/>
      <c r="I3032" s="846"/>
      <c r="J3032" s="847"/>
      <c r="K3032" s="846"/>
      <c r="L3032" s="847"/>
      <c r="M3032" s="846"/>
      <c r="N3032" s="846"/>
      <c r="O3032" s="737">
        <f t="shared" si="383"/>
        <v>0</v>
      </c>
      <c r="P3032" s="847"/>
      <c r="Q3032" s="847"/>
      <c r="R3032" s="738">
        <f t="shared" si="386"/>
        <v>0</v>
      </c>
      <c r="S3032" s="737">
        <f t="shared" si="387"/>
        <v>0</v>
      </c>
      <c r="T3032" s="739">
        <f t="shared" si="388"/>
        <v>0</v>
      </c>
      <c r="U3032" s="846"/>
      <c r="V3032" s="847"/>
      <c r="W3032" s="846"/>
      <c r="X3032" s="846"/>
      <c r="Y3032" s="740">
        <f t="shared" si="384"/>
        <v>0</v>
      </c>
      <c r="Z3032" s="847"/>
      <c r="AA3032" s="847"/>
      <c r="AB3032" s="741">
        <f t="shared" si="385"/>
        <v>0</v>
      </c>
      <c r="AC3032" s="846"/>
      <c r="AD3032" s="847"/>
      <c r="AE3032" s="846"/>
      <c r="AF3032" s="846"/>
      <c r="AG3032" s="847"/>
      <c r="AH3032" s="847"/>
      <c r="AI3032" s="742">
        <f t="shared" si="389"/>
        <v>0</v>
      </c>
      <c r="AJ3032" s="743">
        <f t="shared" si="390"/>
        <v>0</v>
      </c>
    </row>
    <row r="3033" spans="1:36">
      <c r="A3033" s="1083" t="s">
        <v>156</v>
      </c>
      <c r="B3033" s="1084" t="s">
        <v>264</v>
      </c>
      <c r="C3033" s="1344" t="s">
        <v>1642</v>
      </c>
      <c r="D3033" s="1334"/>
      <c r="E3033" s="1335">
        <v>232575</v>
      </c>
      <c r="F3033" s="1336">
        <v>9</v>
      </c>
      <c r="G3033" s="846"/>
      <c r="H3033" s="847"/>
      <c r="I3033" s="846"/>
      <c r="J3033" s="847"/>
      <c r="K3033" s="846"/>
      <c r="L3033" s="847"/>
      <c r="M3033" s="846"/>
      <c r="N3033" s="846"/>
      <c r="O3033" s="737">
        <f t="shared" si="383"/>
        <v>0</v>
      </c>
      <c r="P3033" s="847"/>
      <c r="Q3033" s="847"/>
      <c r="R3033" s="738">
        <f t="shared" si="386"/>
        <v>0</v>
      </c>
      <c r="S3033" s="737">
        <f t="shared" si="387"/>
        <v>0</v>
      </c>
      <c r="T3033" s="739">
        <f t="shared" si="388"/>
        <v>0</v>
      </c>
      <c r="U3033" s="846"/>
      <c r="V3033" s="847"/>
      <c r="W3033" s="846"/>
      <c r="X3033" s="846"/>
      <c r="Y3033" s="740">
        <f t="shared" si="384"/>
        <v>0</v>
      </c>
      <c r="Z3033" s="847"/>
      <c r="AA3033" s="847"/>
      <c r="AB3033" s="741">
        <f t="shared" si="385"/>
        <v>0</v>
      </c>
      <c r="AC3033" s="846"/>
      <c r="AD3033" s="847"/>
      <c r="AE3033" s="846"/>
      <c r="AF3033" s="846"/>
      <c r="AG3033" s="847"/>
      <c r="AH3033" s="847"/>
      <c r="AI3033" s="742">
        <f t="shared" si="389"/>
        <v>0</v>
      </c>
      <c r="AJ3033" s="743">
        <f t="shared" si="390"/>
        <v>0</v>
      </c>
    </row>
    <row r="3034" spans="1:36">
      <c r="A3034" s="1083" t="s">
        <v>156</v>
      </c>
      <c r="B3034" s="1084" t="s">
        <v>264</v>
      </c>
      <c r="C3034" s="1333" t="s">
        <v>1643</v>
      </c>
      <c r="D3034" s="1334" t="s">
        <v>1318</v>
      </c>
      <c r="E3034" s="1349">
        <v>232788</v>
      </c>
      <c r="F3034" s="1087">
        <v>9</v>
      </c>
      <c r="G3034" s="846"/>
      <c r="H3034" s="847"/>
      <c r="I3034" s="846"/>
      <c r="J3034" s="847"/>
      <c r="K3034" s="846"/>
      <c r="L3034" s="847"/>
      <c r="M3034" s="846"/>
      <c r="N3034" s="846"/>
      <c r="O3034" s="737">
        <f t="shared" si="383"/>
        <v>0</v>
      </c>
      <c r="P3034" s="847"/>
      <c r="Q3034" s="847"/>
      <c r="R3034" s="738">
        <f t="shared" si="386"/>
        <v>0</v>
      </c>
      <c r="S3034" s="737">
        <f t="shared" si="387"/>
        <v>0</v>
      </c>
      <c r="T3034" s="739">
        <f t="shared" si="388"/>
        <v>0</v>
      </c>
      <c r="U3034" s="846"/>
      <c r="V3034" s="847"/>
      <c r="W3034" s="846"/>
      <c r="X3034" s="846"/>
      <c r="Y3034" s="740">
        <f t="shared" si="384"/>
        <v>0</v>
      </c>
      <c r="Z3034" s="847"/>
      <c r="AA3034" s="847"/>
      <c r="AB3034" s="741">
        <f t="shared" si="385"/>
        <v>0</v>
      </c>
      <c r="AC3034" s="846"/>
      <c r="AD3034" s="847"/>
      <c r="AE3034" s="846"/>
      <c r="AF3034" s="846"/>
      <c r="AG3034" s="847"/>
      <c r="AH3034" s="847"/>
      <c r="AI3034" s="742">
        <f t="shared" si="389"/>
        <v>0</v>
      </c>
      <c r="AJ3034" s="743">
        <f t="shared" si="390"/>
        <v>0</v>
      </c>
    </row>
    <row r="3035" spans="1:36">
      <c r="A3035" s="1083" t="s">
        <v>156</v>
      </c>
      <c r="B3035" s="1084" t="s">
        <v>264</v>
      </c>
      <c r="C3035" s="1344" t="s">
        <v>1644</v>
      </c>
      <c r="D3035" s="1334"/>
      <c r="E3035" s="1335">
        <v>232867</v>
      </c>
      <c r="F3035" s="1336">
        <v>9</v>
      </c>
      <c r="G3035" s="846"/>
      <c r="H3035" s="847"/>
      <c r="I3035" s="846"/>
      <c r="J3035" s="847"/>
      <c r="K3035" s="846"/>
      <c r="L3035" s="847"/>
      <c r="M3035" s="846"/>
      <c r="N3035" s="846"/>
      <c r="O3035" s="737">
        <f t="shared" si="383"/>
        <v>0</v>
      </c>
      <c r="P3035" s="847"/>
      <c r="Q3035" s="847"/>
      <c r="R3035" s="738">
        <f t="shared" si="386"/>
        <v>0</v>
      </c>
      <c r="S3035" s="737">
        <f t="shared" si="387"/>
        <v>0</v>
      </c>
      <c r="T3035" s="739">
        <f t="shared" si="388"/>
        <v>0</v>
      </c>
      <c r="U3035" s="846"/>
      <c r="V3035" s="847"/>
      <c r="W3035" s="846"/>
      <c r="X3035" s="846"/>
      <c r="Y3035" s="740">
        <f t="shared" si="384"/>
        <v>0</v>
      </c>
      <c r="Z3035" s="847"/>
      <c r="AA3035" s="847"/>
      <c r="AB3035" s="741">
        <f t="shared" si="385"/>
        <v>0</v>
      </c>
      <c r="AC3035" s="846"/>
      <c r="AD3035" s="847"/>
      <c r="AE3035" s="846"/>
      <c r="AF3035" s="846"/>
      <c r="AG3035" s="847"/>
      <c r="AH3035" s="847"/>
      <c r="AI3035" s="742">
        <f t="shared" si="389"/>
        <v>0</v>
      </c>
      <c r="AJ3035" s="743">
        <f t="shared" si="390"/>
        <v>0</v>
      </c>
    </row>
    <row r="3036" spans="1:36">
      <c r="A3036" s="1083" t="s">
        <v>156</v>
      </c>
      <c r="B3036" s="1084" t="s">
        <v>264</v>
      </c>
      <c r="C3036" s="1352" t="s">
        <v>1645</v>
      </c>
      <c r="D3036" s="1353"/>
      <c r="E3036" s="1349">
        <v>233019</v>
      </c>
      <c r="F3036" s="1087">
        <v>9</v>
      </c>
      <c r="G3036" s="846"/>
      <c r="H3036" s="847"/>
      <c r="I3036" s="846"/>
      <c r="J3036" s="847"/>
      <c r="K3036" s="846"/>
      <c r="L3036" s="847"/>
      <c r="M3036" s="846"/>
      <c r="N3036" s="846"/>
      <c r="O3036" s="737">
        <f t="shared" si="383"/>
        <v>0</v>
      </c>
      <c r="P3036" s="847"/>
      <c r="Q3036" s="847"/>
      <c r="R3036" s="738">
        <f t="shared" si="386"/>
        <v>0</v>
      </c>
      <c r="S3036" s="737">
        <f t="shared" si="387"/>
        <v>0</v>
      </c>
      <c r="T3036" s="739">
        <f t="shared" si="388"/>
        <v>0</v>
      </c>
      <c r="U3036" s="846"/>
      <c r="V3036" s="847"/>
      <c r="W3036" s="846"/>
      <c r="X3036" s="846"/>
      <c r="Y3036" s="740">
        <f t="shared" si="384"/>
        <v>0</v>
      </c>
      <c r="Z3036" s="847"/>
      <c r="AA3036" s="847"/>
      <c r="AB3036" s="741">
        <f t="shared" si="385"/>
        <v>0</v>
      </c>
      <c r="AC3036" s="846"/>
      <c r="AD3036" s="847"/>
      <c r="AE3036" s="846"/>
      <c r="AF3036" s="846"/>
      <c r="AG3036" s="847"/>
      <c r="AH3036" s="847"/>
      <c r="AI3036" s="742">
        <f t="shared" si="389"/>
        <v>0</v>
      </c>
      <c r="AJ3036" s="743">
        <f t="shared" si="390"/>
        <v>0</v>
      </c>
    </row>
    <row r="3037" spans="1:36">
      <c r="A3037" s="1083" t="s">
        <v>156</v>
      </c>
      <c r="B3037" s="1084" t="s">
        <v>264</v>
      </c>
      <c r="C3037" s="1344" t="s">
        <v>1646</v>
      </c>
      <c r="D3037" s="1334"/>
      <c r="E3037" s="1335">
        <v>233116</v>
      </c>
      <c r="F3037" s="1336">
        <v>9</v>
      </c>
      <c r="G3037" s="846"/>
      <c r="H3037" s="847"/>
      <c r="I3037" s="846"/>
      <c r="J3037" s="847"/>
      <c r="K3037" s="846"/>
      <c r="L3037" s="847"/>
      <c r="M3037" s="846"/>
      <c r="N3037" s="846"/>
      <c r="O3037" s="737">
        <f t="shared" si="383"/>
        <v>0</v>
      </c>
      <c r="P3037" s="847"/>
      <c r="Q3037" s="847"/>
      <c r="R3037" s="738">
        <f t="shared" si="386"/>
        <v>0</v>
      </c>
      <c r="S3037" s="737">
        <f t="shared" si="387"/>
        <v>0</v>
      </c>
      <c r="T3037" s="739">
        <f t="shared" si="388"/>
        <v>0</v>
      </c>
      <c r="U3037" s="846"/>
      <c r="V3037" s="847"/>
      <c r="W3037" s="846"/>
      <c r="X3037" s="846"/>
      <c r="Y3037" s="740">
        <f t="shared" si="384"/>
        <v>0</v>
      </c>
      <c r="Z3037" s="847"/>
      <c r="AA3037" s="847"/>
      <c r="AB3037" s="741">
        <f t="shared" si="385"/>
        <v>0</v>
      </c>
      <c r="AC3037" s="846"/>
      <c r="AD3037" s="847"/>
      <c r="AE3037" s="846"/>
      <c r="AF3037" s="846"/>
      <c r="AG3037" s="847"/>
      <c r="AH3037" s="847"/>
      <c r="AI3037" s="742">
        <f t="shared" si="389"/>
        <v>0</v>
      </c>
      <c r="AJ3037" s="743">
        <f t="shared" si="390"/>
        <v>0</v>
      </c>
    </row>
    <row r="3038" spans="1:36">
      <c r="A3038" s="1083" t="s">
        <v>156</v>
      </c>
      <c r="B3038" s="1084" t="s">
        <v>264</v>
      </c>
      <c r="C3038" s="1344" t="s">
        <v>1647</v>
      </c>
      <c r="D3038" s="1334"/>
      <c r="E3038" s="1335">
        <v>233639</v>
      </c>
      <c r="F3038" s="1336">
        <v>9</v>
      </c>
      <c r="G3038" s="846"/>
      <c r="H3038" s="847"/>
      <c r="I3038" s="846"/>
      <c r="J3038" s="847"/>
      <c r="K3038" s="846"/>
      <c r="L3038" s="847"/>
      <c r="M3038" s="846"/>
      <c r="N3038" s="846"/>
      <c r="O3038" s="737">
        <f t="shared" si="383"/>
        <v>0</v>
      </c>
      <c r="P3038" s="847"/>
      <c r="Q3038" s="847"/>
      <c r="R3038" s="738">
        <f t="shared" si="386"/>
        <v>0</v>
      </c>
      <c r="S3038" s="737">
        <f t="shared" si="387"/>
        <v>0</v>
      </c>
      <c r="T3038" s="739">
        <f t="shared" si="388"/>
        <v>0</v>
      </c>
      <c r="U3038" s="846"/>
      <c r="V3038" s="847"/>
      <c r="W3038" s="846"/>
      <c r="X3038" s="846"/>
      <c r="Y3038" s="740">
        <f t="shared" si="384"/>
        <v>0</v>
      </c>
      <c r="Z3038" s="847"/>
      <c r="AA3038" s="847"/>
      <c r="AB3038" s="741">
        <f t="shared" si="385"/>
        <v>0</v>
      </c>
      <c r="AC3038" s="846"/>
      <c r="AD3038" s="847"/>
      <c r="AE3038" s="846"/>
      <c r="AF3038" s="846"/>
      <c r="AG3038" s="847"/>
      <c r="AH3038" s="847"/>
      <c r="AI3038" s="742">
        <f t="shared" si="389"/>
        <v>0</v>
      </c>
      <c r="AJ3038" s="743">
        <f t="shared" si="390"/>
        <v>0</v>
      </c>
    </row>
    <row r="3039" spans="1:36">
      <c r="A3039" s="1083" t="s">
        <v>156</v>
      </c>
      <c r="B3039" s="1084" t="s">
        <v>264</v>
      </c>
      <c r="C3039" s="1344" t="s">
        <v>1648</v>
      </c>
      <c r="D3039" s="1351" t="s">
        <v>712</v>
      </c>
      <c r="E3039" s="1349">
        <v>233648</v>
      </c>
      <c r="F3039" s="1088">
        <v>10</v>
      </c>
      <c r="G3039" s="846"/>
      <c r="H3039" s="847"/>
      <c r="I3039" s="846"/>
      <c r="J3039" s="847"/>
      <c r="K3039" s="846"/>
      <c r="L3039" s="847"/>
      <c r="M3039" s="846"/>
      <c r="N3039" s="846"/>
      <c r="O3039" s="737">
        <f t="shared" si="383"/>
        <v>0</v>
      </c>
      <c r="P3039" s="847"/>
      <c r="Q3039" s="847"/>
      <c r="R3039" s="738">
        <f t="shared" si="386"/>
        <v>0</v>
      </c>
      <c r="S3039" s="737">
        <f t="shared" si="387"/>
        <v>0</v>
      </c>
      <c r="T3039" s="739">
        <f t="shared" si="388"/>
        <v>0</v>
      </c>
      <c r="U3039" s="846"/>
      <c r="V3039" s="847"/>
      <c r="W3039" s="846"/>
      <c r="X3039" s="846"/>
      <c r="Y3039" s="740">
        <f t="shared" si="384"/>
        <v>0</v>
      </c>
      <c r="Z3039" s="847"/>
      <c r="AA3039" s="847"/>
      <c r="AB3039" s="741">
        <f t="shared" si="385"/>
        <v>0</v>
      </c>
      <c r="AC3039" s="846"/>
      <c r="AD3039" s="847"/>
      <c r="AE3039" s="846"/>
      <c r="AF3039" s="846"/>
      <c r="AG3039" s="847"/>
      <c r="AH3039" s="847"/>
      <c r="AI3039" s="742">
        <f t="shared" si="389"/>
        <v>0</v>
      </c>
      <c r="AJ3039" s="743">
        <f t="shared" si="390"/>
        <v>0</v>
      </c>
    </row>
    <row r="3040" spans="1:36">
      <c r="A3040" s="1083" t="s">
        <v>156</v>
      </c>
      <c r="B3040" s="1084" t="s">
        <v>264</v>
      </c>
      <c r="C3040" s="1333" t="s">
        <v>1649</v>
      </c>
      <c r="D3040" s="1334" t="s">
        <v>1744</v>
      </c>
      <c r="E3040" s="1335">
        <v>233949</v>
      </c>
      <c r="F3040" s="1336">
        <v>9</v>
      </c>
      <c r="G3040" s="846"/>
      <c r="H3040" s="847"/>
      <c r="I3040" s="846"/>
      <c r="J3040" s="847"/>
      <c r="K3040" s="846"/>
      <c r="L3040" s="847"/>
      <c r="M3040" s="846"/>
      <c r="N3040" s="846"/>
      <c r="O3040" s="737">
        <f t="shared" si="383"/>
        <v>0</v>
      </c>
      <c r="P3040" s="847"/>
      <c r="Q3040" s="847"/>
      <c r="R3040" s="738">
        <f t="shared" si="386"/>
        <v>0</v>
      </c>
      <c r="S3040" s="737">
        <f t="shared" si="387"/>
        <v>0</v>
      </c>
      <c r="T3040" s="739">
        <f t="shared" si="388"/>
        <v>0</v>
      </c>
      <c r="U3040" s="846"/>
      <c r="V3040" s="847"/>
      <c r="W3040" s="846"/>
      <c r="X3040" s="846"/>
      <c r="Y3040" s="740">
        <f t="shared" si="384"/>
        <v>0</v>
      </c>
      <c r="Z3040" s="847"/>
      <c r="AA3040" s="847"/>
      <c r="AB3040" s="741">
        <f t="shared" si="385"/>
        <v>0</v>
      </c>
      <c r="AC3040" s="846"/>
      <c r="AD3040" s="847"/>
      <c r="AE3040" s="846"/>
      <c r="AF3040" s="846"/>
      <c r="AG3040" s="847"/>
      <c r="AH3040" s="847"/>
      <c r="AI3040" s="742">
        <f t="shared" si="389"/>
        <v>0</v>
      </c>
      <c r="AJ3040" s="743">
        <f t="shared" si="390"/>
        <v>0</v>
      </c>
    </row>
    <row r="3041" spans="1:36">
      <c r="A3041" s="1083" t="s">
        <v>156</v>
      </c>
      <c r="B3041" s="1084" t="s">
        <v>264</v>
      </c>
      <c r="C3041" s="1333" t="s">
        <v>1650</v>
      </c>
      <c r="D3041" s="1353"/>
      <c r="E3041" s="1349">
        <v>234377</v>
      </c>
      <c r="F3041" s="1087">
        <v>9</v>
      </c>
      <c r="G3041" s="846"/>
      <c r="H3041" s="847"/>
      <c r="I3041" s="846"/>
      <c r="J3041" s="847"/>
      <c r="K3041" s="846"/>
      <c r="L3041" s="847"/>
      <c r="M3041" s="846"/>
      <c r="N3041" s="846"/>
      <c r="O3041" s="737">
        <f t="shared" si="383"/>
        <v>0</v>
      </c>
      <c r="P3041" s="847"/>
      <c r="Q3041" s="847"/>
      <c r="R3041" s="738">
        <f t="shared" si="386"/>
        <v>0</v>
      </c>
      <c r="S3041" s="737">
        <f t="shared" si="387"/>
        <v>0</v>
      </c>
      <c r="T3041" s="739">
        <f t="shared" si="388"/>
        <v>0</v>
      </c>
      <c r="U3041" s="846"/>
      <c r="V3041" s="847"/>
      <c r="W3041" s="846"/>
      <c r="X3041" s="846"/>
      <c r="Y3041" s="740">
        <f t="shared" si="384"/>
        <v>0</v>
      </c>
      <c r="Z3041" s="847"/>
      <c r="AA3041" s="847"/>
      <c r="AB3041" s="741">
        <f t="shared" si="385"/>
        <v>0</v>
      </c>
      <c r="AC3041" s="846"/>
      <c r="AD3041" s="847"/>
      <c r="AE3041" s="846"/>
      <c r="AF3041" s="846"/>
      <c r="AG3041" s="847"/>
      <c r="AH3041" s="847"/>
      <c r="AI3041" s="742">
        <f t="shared" si="389"/>
        <v>0</v>
      </c>
      <c r="AJ3041" s="743">
        <f t="shared" si="390"/>
        <v>0</v>
      </c>
    </row>
    <row r="3042" spans="1:36">
      <c r="A3042" s="1083" t="s">
        <v>156</v>
      </c>
      <c r="B3042" s="1084" t="s">
        <v>264</v>
      </c>
      <c r="C3042" s="1344" t="s">
        <v>1651</v>
      </c>
      <c r="D3042" s="1334"/>
      <c r="E3042" s="1335">
        <v>231873</v>
      </c>
      <c r="F3042" s="1336">
        <v>10</v>
      </c>
      <c r="G3042" s="846"/>
      <c r="H3042" s="847"/>
      <c r="I3042" s="846"/>
      <c r="J3042" s="847"/>
      <c r="K3042" s="846"/>
      <c r="L3042" s="847"/>
      <c r="M3042" s="846"/>
      <c r="N3042" s="846"/>
      <c r="O3042" s="737">
        <f t="shared" si="383"/>
        <v>0</v>
      </c>
      <c r="P3042" s="847"/>
      <c r="Q3042" s="847"/>
      <c r="R3042" s="738">
        <f t="shared" si="386"/>
        <v>0</v>
      </c>
      <c r="S3042" s="737">
        <f t="shared" si="387"/>
        <v>0</v>
      </c>
      <c r="T3042" s="739">
        <f t="shared" si="388"/>
        <v>0</v>
      </c>
      <c r="U3042" s="846"/>
      <c r="V3042" s="847"/>
      <c r="W3042" s="846"/>
      <c r="X3042" s="846"/>
      <c r="Y3042" s="740">
        <f t="shared" si="384"/>
        <v>0</v>
      </c>
      <c r="Z3042" s="847"/>
      <c r="AA3042" s="847"/>
      <c r="AB3042" s="741">
        <f t="shared" si="385"/>
        <v>0</v>
      </c>
      <c r="AC3042" s="846"/>
      <c r="AD3042" s="847"/>
      <c r="AE3042" s="846"/>
      <c r="AF3042" s="846"/>
      <c r="AG3042" s="847"/>
      <c r="AH3042" s="847"/>
      <c r="AI3042" s="742">
        <f t="shared" si="389"/>
        <v>0</v>
      </c>
      <c r="AJ3042" s="743">
        <f t="shared" si="390"/>
        <v>0</v>
      </c>
    </row>
    <row r="3043" spans="1:36">
      <c r="A3043" s="1083" t="s">
        <v>156</v>
      </c>
      <c r="B3043" s="1084" t="s">
        <v>264</v>
      </c>
      <c r="C3043" s="1344" t="s">
        <v>1652</v>
      </c>
      <c r="D3043" s="1334"/>
      <c r="E3043" s="1335">
        <v>232052</v>
      </c>
      <c r="F3043" s="1336">
        <v>10</v>
      </c>
      <c r="G3043" s="846"/>
      <c r="H3043" s="847"/>
      <c r="I3043" s="846"/>
      <c r="J3043" s="847"/>
      <c r="K3043" s="846"/>
      <c r="L3043" s="847"/>
      <c r="M3043" s="846"/>
      <c r="N3043" s="846"/>
      <c r="O3043" s="737">
        <f t="shared" si="383"/>
        <v>0</v>
      </c>
      <c r="P3043" s="847"/>
      <c r="Q3043" s="847"/>
      <c r="R3043" s="738">
        <f t="shared" si="386"/>
        <v>0</v>
      </c>
      <c r="S3043" s="737">
        <f t="shared" si="387"/>
        <v>0</v>
      </c>
      <c r="T3043" s="739">
        <f t="shared" si="388"/>
        <v>0</v>
      </c>
      <c r="U3043" s="846"/>
      <c r="V3043" s="847"/>
      <c r="W3043" s="846"/>
      <c r="X3043" s="846"/>
      <c r="Y3043" s="740">
        <f t="shared" si="384"/>
        <v>0</v>
      </c>
      <c r="Z3043" s="847"/>
      <c r="AA3043" s="847"/>
      <c r="AB3043" s="741">
        <f t="shared" si="385"/>
        <v>0</v>
      </c>
      <c r="AC3043" s="846"/>
      <c r="AD3043" s="847"/>
      <c r="AE3043" s="846"/>
      <c r="AF3043" s="846"/>
      <c r="AG3043" s="847"/>
      <c r="AH3043" s="847"/>
      <c r="AI3043" s="742">
        <f t="shared" si="389"/>
        <v>0</v>
      </c>
      <c r="AJ3043" s="743">
        <f t="shared" si="390"/>
        <v>0</v>
      </c>
    </row>
    <row r="3044" spans="1:36">
      <c r="A3044" s="1083" t="s">
        <v>156</v>
      </c>
      <c r="B3044" s="1084" t="s">
        <v>264</v>
      </c>
      <c r="C3044" s="1344" t="s">
        <v>1653</v>
      </c>
      <c r="D3044" s="1334"/>
      <c r="E3044" s="1335">
        <v>233037</v>
      </c>
      <c r="F3044" s="1336">
        <v>10</v>
      </c>
      <c r="G3044" s="846"/>
      <c r="H3044" s="847"/>
      <c r="I3044" s="846"/>
      <c r="J3044" s="847"/>
      <c r="K3044" s="846"/>
      <c r="L3044" s="847"/>
      <c r="M3044" s="846"/>
      <c r="N3044" s="846"/>
      <c r="O3044" s="737">
        <f t="shared" si="383"/>
        <v>0</v>
      </c>
      <c r="P3044" s="847"/>
      <c r="Q3044" s="847"/>
      <c r="R3044" s="738">
        <f t="shared" si="386"/>
        <v>0</v>
      </c>
      <c r="S3044" s="737">
        <f t="shared" si="387"/>
        <v>0</v>
      </c>
      <c r="T3044" s="739">
        <f t="shared" si="388"/>
        <v>0</v>
      </c>
      <c r="U3044" s="846"/>
      <c r="V3044" s="847"/>
      <c r="W3044" s="846"/>
      <c r="X3044" s="846"/>
      <c r="Y3044" s="740">
        <f t="shared" si="384"/>
        <v>0</v>
      </c>
      <c r="Z3044" s="847"/>
      <c r="AA3044" s="847"/>
      <c r="AB3044" s="741">
        <f t="shared" si="385"/>
        <v>0</v>
      </c>
      <c r="AC3044" s="846"/>
      <c r="AD3044" s="847"/>
      <c r="AE3044" s="846"/>
      <c r="AF3044" s="846"/>
      <c r="AG3044" s="847"/>
      <c r="AH3044" s="847"/>
      <c r="AI3044" s="742">
        <f t="shared" si="389"/>
        <v>0</v>
      </c>
      <c r="AJ3044" s="743">
        <f t="shared" si="390"/>
        <v>0</v>
      </c>
    </row>
    <row r="3045" spans="1:36">
      <c r="A3045" s="1083" t="s">
        <v>156</v>
      </c>
      <c r="B3045" s="1084" t="s">
        <v>264</v>
      </c>
      <c r="C3045" s="1344" t="s">
        <v>1654</v>
      </c>
      <c r="D3045" s="1334"/>
      <c r="E3045" s="1335">
        <v>233310</v>
      </c>
      <c r="F3045" s="1336">
        <v>10</v>
      </c>
      <c r="G3045" s="846"/>
      <c r="H3045" s="847"/>
      <c r="I3045" s="846"/>
      <c r="J3045" s="847"/>
      <c r="K3045" s="846"/>
      <c r="L3045" s="847"/>
      <c r="M3045" s="846"/>
      <c r="N3045" s="846"/>
      <c r="O3045" s="737">
        <f t="shared" si="383"/>
        <v>0</v>
      </c>
      <c r="P3045" s="847"/>
      <c r="Q3045" s="847"/>
      <c r="R3045" s="738">
        <f t="shared" si="386"/>
        <v>0</v>
      </c>
      <c r="S3045" s="737">
        <f t="shared" si="387"/>
        <v>0</v>
      </c>
      <c r="T3045" s="739">
        <f t="shared" si="388"/>
        <v>0</v>
      </c>
      <c r="U3045" s="846"/>
      <c r="V3045" s="847"/>
      <c r="W3045" s="846"/>
      <c r="X3045" s="846"/>
      <c r="Y3045" s="740">
        <f t="shared" si="384"/>
        <v>0</v>
      </c>
      <c r="Z3045" s="847"/>
      <c r="AA3045" s="847"/>
      <c r="AB3045" s="741">
        <f t="shared" si="385"/>
        <v>0</v>
      </c>
      <c r="AC3045" s="846"/>
      <c r="AD3045" s="847"/>
      <c r="AE3045" s="846"/>
      <c r="AF3045" s="846"/>
      <c r="AG3045" s="847"/>
      <c r="AH3045" s="847"/>
      <c r="AI3045" s="742">
        <f t="shared" si="389"/>
        <v>0</v>
      </c>
      <c r="AJ3045" s="743">
        <f t="shared" si="390"/>
        <v>0</v>
      </c>
    </row>
    <row r="3046" spans="1:36">
      <c r="A3046" s="1083" t="s">
        <v>156</v>
      </c>
      <c r="B3046" s="1084" t="s">
        <v>264</v>
      </c>
      <c r="C3046" s="1344" t="s">
        <v>1655</v>
      </c>
      <c r="D3046" s="1334"/>
      <c r="E3046" s="1335">
        <v>233338</v>
      </c>
      <c r="F3046" s="1336">
        <v>10</v>
      </c>
      <c r="G3046" s="846">
        <v>5473340</v>
      </c>
      <c r="H3046" s="847">
        <v>5628738</v>
      </c>
      <c r="I3046" s="846"/>
      <c r="J3046" s="847"/>
      <c r="K3046" s="846"/>
      <c r="L3046" s="847"/>
      <c r="M3046" s="846">
        <v>4443506</v>
      </c>
      <c r="N3046" s="846">
        <v>9900</v>
      </c>
      <c r="O3046" s="737">
        <f t="shared" si="383"/>
        <v>4453406</v>
      </c>
      <c r="P3046" s="847">
        <v>4181900</v>
      </c>
      <c r="Q3046" s="847">
        <v>9900</v>
      </c>
      <c r="R3046" s="738">
        <f t="shared" si="386"/>
        <v>4191800</v>
      </c>
      <c r="S3046" s="737">
        <f t="shared" si="387"/>
        <v>9916846</v>
      </c>
      <c r="T3046" s="739">
        <f t="shared" si="388"/>
        <v>9810638</v>
      </c>
      <c r="U3046" s="846"/>
      <c r="V3046" s="847"/>
      <c r="W3046" s="846"/>
      <c r="X3046" s="846"/>
      <c r="Y3046" s="740">
        <f t="shared" si="384"/>
        <v>0</v>
      </c>
      <c r="Z3046" s="847"/>
      <c r="AA3046" s="847"/>
      <c r="AB3046" s="741">
        <f t="shared" si="385"/>
        <v>0</v>
      </c>
      <c r="AC3046" s="846"/>
      <c r="AD3046" s="847"/>
      <c r="AE3046" s="846"/>
      <c r="AF3046" s="846"/>
      <c r="AG3046" s="847"/>
      <c r="AH3046" s="847"/>
      <c r="AI3046" s="742">
        <f t="shared" si="389"/>
        <v>9916846</v>
      </c>
      <c r="AJ3046" s="743">
        <f t="shared" si="390"/>
        <v>9810638</v>
      </c>
    </row>
    <row r="3047" spans="1:36">
      <c r="A3047" s="1083" t="s">
        <v>156</v>
      </c>
      <c r="B3047" s="1084" t="s">
        <v>264</v>
      </c>
      <c r="C3047" s="1344" t="s">
        <v>1656</v>
      </c>
      <c r="D3047" s="1334"/>
      <c r="E3047" s="1335">
        <v>233903</v>
      </c>
      <c r="F3047" s="1336">
        <v>10</v>
      </c>
      <c r="G3047" s="846"/>
      <c r="H3047" s="847"/>
      <c r="I3047" s="846"/>
      <c r="J3047" s="847"/>
      <c r="K3047" s="846"/>
      <c r="L3047" s="847"/>
      <c r="M3047" s="846"/>
      <c r="N3047" s="846"/>
      <c r="O3047" s="737">
        <f t="shared" si="383"/>
        <v>0</v>
      </c>
      <c r="P3047" s="847"/>
      <c r="Q3047" s="847"/>
      <c r="R3047" s="738">
        <f t="shared" si="386"/>
        <v>0</v>
      </c>
      <c r="S3047" s="737">
        <f t="shared" si="387"/>
        <v>0</v>
      </c>
      <c r="T3047" s="739">
        <f t="shared" si="388"/>
        <v>0</v>
      </c>
      <c r="U3047" s="846"/>
      <c r="V3047" s="847"/>
      <c r="W3047" s="846"/>
      <c r="X3047" s="846"/>
      <c r="Y3047" s="740">
        <f t="shared" si="384"/>
        <v>0</v>
      </c>
      <c r="Z3047" s="847"/>
      <c r="AA3047" s="847"/>
      <c r="AB3047" s="741">
        <f t="shared" si="385"/>
        <v>0</v>
      </c>
      <c r="AC3047" s="846"/>
      <c r="AD3047" s="847"/>
      <c r="AE3047" s="846"/>
      <c r="AF3047" s="846"/>
      <c r="AG3047" s="847"/>
      <c r="AH3047" s="847"/>
      <c r="AI3047" s="742">
        <f t="shared" si="389"/>
        <v>0</v>
      </c>
      <c r="AJ3047" s="743">
        <f t="shared" si="390"/>
        <v>0</v>
      </c>
    </row>
    <row r="3048" spans="1:36">
      <c r="A3048" s="1083" t="s">
        <v>156</v>
      </c>
      <c r="B3048" s="1084" t="s">
        <v>264</v>
      </c>
      <c r="C3048" s="1344" t="s">
        <v>1657</v>
      </c>
      <c r="D3048" s="1334"/>
      <c r="E3048" s="1335"/>
      <c r="F3048" s="1336">
        <v>11</v>
      </c>
      <c r="G3048" s="846">
        <v>324915521</v>
      </c>
      <c r="H3048" s="847">
        <v>333468663</v>
      </c>
      <c r="I3048" s="846"/>
      <c r="J3048" s="847"/>
      <c r="K3048" s="846">
        <v>10921170</v>
      </c>
      <c r="L3048" s="847">
        <v>11268643</v>
      </c>
      <c r="M3048" s="846">
        <v>524305443</v>
      </c>
      <c r="N3048" s="846">
        <v>3222450</v>
      </c>
      <c r="O3048" s="737">
        <f t="shared" si="383"/>
        <v>527527893</v>
      </c>
      <c r="P3048" s="847">
        <v>547131020</v>
      </c>
      <c r="Q3048" s="847">
        <v>3222450</v>
      </c>
      <c r="R3048" s="738">
        <f t="shared" si="386"/>
        <v>550353470</v>
      </c>
      <c r="S3048" s="737">
        <f t="shared" si="387"/>
        <v>860142134</v>
      </c>
      <c r="T3048" s="739">
        <f t="shared" si="388"/>
        <v>891868326</v>
      </c>
      <c r="U3048" s="846"/>
      <c r="V3048" s="847"/>
      <c r="W3048" s="846"/>
      <c r="X3048" s="846"/>
      <c r="Y3048" s="740">
        <f t="shared" si="384"/>
        <v>0</v>
      </c>
      <c r="Z3048" s="847"/>
      <c r="AA3048" s="847"/>
      <c r="AB3048" s="741">
        <f t="shared" si="385"/>
        <v>0</v>
      </c>
      <c r="AC3048" s="846"/>
      <c r="AD3048" s="847"/>
      <c r="AE3048" s="846"/>
      <c r="AF3048" s="846"/>
      <c r="AG3048" s="847"/>
      <c r="AH3048" s="847"/>
      <c r="AI3048" s="742">
        <f t="shared" si="389"/>
        <v>860142134</v>
      </c>
      <c r="AJ3048" s="743">
        <f t="shared" si="390"/>
        <v>891868326</v>
      </c>
    </row>
    <row r="3049" spans="1:36">
      <c r="A3049" s="1083" t="s">
        <v>156</v>
      </c>
      <c r="B3049" s="1084" t="s">
        <v>302</v>
      </c>
      <c r="C3049" s="1344" t="s">
        <v>1658</v>
      </c>
      <c r="D3049" s="1334"/>
      <c r="E3049" s="1335">
        <v>234085</v>
      </c>
      <c r="F3049" s="1336">
        <v>15</v>
      </c>
      <c r="G3049" s="846"/>
      <c r="H3049" s="847"/>
      <c r="I3049" s="846"/>
      <c r="J3049" s="847"/>
      <c r="K3049" s="846"/>
      <c r="L3049" s="847"/>
      <c r="M3049" s="846"/>
      <c r="N3049" s="846"/>
      <c r="O3049" s="737">
        <f t="shared" si="383"/>
        <v>0</v>
      </c>
      <c r="P3049" s="847"/>
      <c r="Q3049" s="847"/>
      <c r="R3049" s="738">
        <f t="shared" si="386"/>
        <v>0</v>
      </c>
      <c r="S3049" s="737">
        <f t="shared" si="387"/>
        <v>0</v>
      </c>
      <c r="T3049" s="739">
        <f t="shared" si="388"/>
        <v>0</v>
      </c>
      <c r="U3049" s="846">
        <v>11901908</v>
      </c>
      <c r="V3049" s="847">
        <v>12203131</v>
      </c>
      <c r="W3049" s="846">
        <v>26991029</v>
      </c>
      <c r="X3049" s="846">
        <v>296208</v>
      </c>
      <c r="Y3049" s="740">
        <f t="shared" si="384"/>
        <v>27287237</v>
      </c>
      <c r="Z3049" s="847">
        <v>26200986</v>
      </c>
      <c r="AA3049" s="847">
        <v>370260</v>
      </c>
      <c r="AB3049" s="741">
        <f t="shared" si="385"/>
        <v>26571246</v>
      </c>
      <c r="AC3049" s="846"/>
      <c r="AD3049" s="847"/>
      <c r="AE3049" s="846"/>
      <c r="AF3049" s="846"/>
      <c r="AG3049" s="847"/>
      <c r="AH3049" s="847"/>
      <c r="AI3049" s="742">
        <f t="shared" si="389"/>
        <v>38892937</v>
      </c>
      <c r="AJ3049" s="743">
        <f t="shared" si="390"/>
        <v>38404117</v>
      </c>
    </row>
    <row r="3050" spans="1:36">
      <c r="A3050" s="1083" t="s">
        <v>156</v>
      </c>
      <c r="B3050" s="1084" t="s">
        <v>273</v>
      </c>
      <c r="C3050" s="1101" t="s">
        <v>493</v>
      </c>
      <c r="D3050" s="1334"/>
      <c r="E3050" s="1335"/>
      <c r="F3050" s="1336"/>
      <c r="G3050" s="846"/>
      <c r="H3050" s="847"/>
      <c r="I3050" s="846"/>
      <c r="J3050" s="847"/>
      <c r="K3050" s="846"/>
      <c r="L3050" s="847"/>
      <c r="M3050" s="846"/>
      <c r="N3050" s="846"/>
      <c r="O3050" s="737">
        <f t="shared" si="383"/>
        <v>0</v>
      </c>
      <c r="P3050" s="847"/>
      <c r="Q3050" s="847"/>
      <c r="R3050" s="738">
        <f t="shared" si="386"/>
        <v>0</v>
      </c>
      <c r="S3050" s="737">
        <f t="shared" si="387"/>
        <v>0</v>
      </c>
      <c r="T3050" s="739">
        <f t="shared" si="388"/>
        <v>0</v>
      </c>
      <c r="U3050" s="846"/>
      <c r="V3050" s="847"/>
      <c r="W3050" s="846"/>
      <c r="X3050" s="846"/>
      <c r="Y3050" s="740">
        <f t="shared" si="384"/>
        <v>0</v>
      </c>
      <c r="Z3050" s="847"/>
      <c r="AA3050" s="847"/>
      <c r="AB3050" s="741">
        <f t="shared" si="385"/>
        <v>0</v>
      </c>
      <c r="AC3050" s="846"/>
      <c r="AD3050" s="847"/>
      <c r="AE3050" s="846"/>
      <c r="AF3050" s="846"/>
      <c r="AG3050" s="847"/>
      <c r="AH3050" s="847"/>
      <c r="AI3050" s="742">
        <f t="shared" si="389"/>
        <v>0</v>
      </c>
      <c r="AJ3050" s="743">
        <f t="shared" si="390"/>
        <v>0</v>
      </c>
    </row>
    <row r="3051" spans="1:36">
      <c r="A3051" s="1083" t="s">
        <v>156</v>
      </c>
      <c r="B3051" s="1084" t="s">
        <v>278</v>
      </c>
      <c r="C3051" s="1347" t="s">
        <v>309</v>
      </c>
      <c r="D3051" s="1334"/>
      <c r="E3051" s="1335"/>
      <c r="F3051" s="1336"/>
      <c r="G3051" s="846"/>
      <c r="H3051" s="847"/>
      <c r="I3051" s="846"/>
      <c r="J3051" s="847"/>
      <c r="K3051" s="846"/>
      <c r="L3051" s="847"/>
      <c r="M3051" s="846"/>
      <c r="N3051" s="846"/>
      <c r="O3051" s="737">
        <f t="shared" si="383"/>
        <v>0</v>
      </c>
      <c r="P3051" s="847"/>
      <c r="Q3051" s="847"/>
      <c r="R3051" s="738">
        <f t="shared" si="386"/>
        <v>0</v>
      </c>
      <c r="S3051" s="737">
        <f t="shared" si="387"/>
        <v>0</v>
      </c>
      <c r="T3051" s="739">
        <f t="shared" si="388"/>
        <v>0</v>
      </c>
      <c r="U3051" s="846"/>
      <c r="V3051" s="847"/>
      <c r="W3051" s="846"/>
      <c r="X3051" s="846"/>
      <c r="Y3051" s="740">
        <f t="shared" si="384"/>
        <v>0</v>
      </c>
      <c r="Z3051" s="847"/>
      <c r="AA3051" s="847"/>
      <c r="AB3051" s="741">
        <f t="shared" si="385"/>
        <v>0</v>
      </c>
      <c r="AC3051" s="846"/>
      <c r="AD3051" s="847"/>
      <c r="AE3051" s="846"/>
      <c r="AF3051" s="846"/>
      <c r="AG3051" s="847"/>
      <c r="AH3051" s="847"/>
      <c r="AI3051" s="742">
        <f t="shared" si="389"/>
        <v>0</v>
      </c>
      <c r="AJ3051" s="743">
        <f t="shared" si="390"/>
        <v>0</v>
      </c>
    </row>
    <row r="3052" spans="1:36">
      <c r="A3052" s="1083" t="s">
        <v>156</v>
      </c>
      <c r="B3052" s="1084" t="s">
        <v>278</v>
      </c>
      <c r="C3052" s="1097" t="s">
        <v>1659</v>
      </c>
      <c r="D3052" s="1334"/>
      <c r="E3052" s="1335"/>
      <c r="F3052" s="1336"/>
      <c r="G3052" s="846"/>
      <c r="H3052" s="847"/>
      <c r="I3052" s="846">
        <v>2500000</v>
      </c>
      <c r="J3052" s="847">
        <v>2500000</v>
      </c>
      <c r="K3052" s="846"/>
      <c r="L3052" s="847"/>
      <c r="M3052" s="846"/>
      <c r="N3052" s="846"/>
      <c r="O3052" s="737">
        <f t="shared" si="383"/>
        <v>0</v>
      </c>
      <c r="P3052" s="847"/>
      <c r="Q3052" s="847"/>
      <c r="R3052" s="738">
        <f t="shared" si="386"/>
        <v>0</v>
      </c>
      <c r="S3052" s="737">
        <f t="shared" si="387"/>
        <v>2500000</v>
      </c>
      <c r="T3052" s="739">
        <f t="shared" si="388"/>
        <v>2500000</v>
      </c>
      <c r="U3052" s="846"/>
      <c r="V3052" s="847"/>
      <c r="W3052" s="846"/>
      <c r="X3052" s="846"/>
      <c r="Y3052" s="740">
        <f t="shared" si="384"/>
        <v>0</v>
      </c>
      <c r="Z3052" s="847"/>
      <c r="AA3052" s="847"/>
      <c r="AB3052" s="741">
        <f t="shared" si="385"/>
        <v>0</v>
      </c>
      <c r="AC3052" s="846"/>
      <c r="AD3052" s="847"/>
      <c r="AE3052" s="846"/>
      <c r="AF3052" s="846"/>
      <c r="AG3052" s="847"/>
      <c r="AH3052" s="847"/>
      <c r="AI3052" s="742">
        <f t="shared" si="389"/>
        <v>2500000</v>
      </c>
      <c r="AJ3052" s="743">
        <f t="shared" si="390"/>
        <v>2500000</v>
      </c>
    </row>
    <row r="3053" spans="1:36">
      <c r="A3053" s="1083" t="s">
        <v>156</v>
      </c>
      <c r="B3053" s="1084" t="s">
        <v>278</v>
      </c>
      <c r="C3053" s="1097" t="s">
        <v>1660</v>
      </c>
      <c r="D3053" s="1334"/>
      <c r="E3053" s="1335"/>
      <c r="F3053" s="1336"/>
      <c r="G3053" s="846"/>
      <c r="H3053" s="847"/>
      <c r="I3053" s="846">
        <v>1149891</v>
      </c>
      <c r="J3053" s="847">
        <v>1150005</v>
      </c>
      <c r="K3053" s="846"/>
      <c r="L3053" s="847"/>
      <c r="M3053" s="846"/>
      <c r="N3053" s="846"/>
      <c r="O3053" s="737">
        <f t="shared" si="383"/>
        <v>0</v>
      </c>
      <c r="P3053" s="847"/>
      <c r="Q3053" s="847"/>
      <c r="R3053" s="738">
        <f t="shared" si="386"/>
        <v>0</v>
      </c>
      <c r="S3053" s="737">
        <f t="shared" si="387"/>
        <v>1149891</v>
      </c>
      <c r="T3053" s="739">
        <f t="shared" si="388"/>
        <v>1150005</v>
      </c>
      <c r="U3053" s="846"/>
      <c r="V3053" s="847"/>
      <c r="W3053" s="846"/>
      <c r="X3053" s="846"/>
      <c r="Y3053" s="740">
        <f t="shared" si="384"/>
        <v>0</v>
      </c>
      <c r="Z3053" s="847"/>
      <c r="AA3053" s="847"/>
      <c r="AB3053" s="741">
        <f t="shared" si="385"/>
        <v>0</v>
      </c>
      <c r="AC3053" s="846"/>
      <c r="AD3053" s="847"/>
      <c r="AE3053" s="846"/>
      <c r="AF3053" s="846"/>
      <c r="AG3053" s="847"/>
      <c r="AH3053" s="847"/>
      <c r="AI3053" s="742">
        <f t="shared" si="389"/>
        <v>1149891</v>
      </c>
      <c r="AJ3053" s="743">
        <f t="shared" si="390"/>
        <v>1150005</v>
      </c>
    </row>
    <row r="3054" spans="1:36">
      <c r="A3054" s="1083" t="s">
        <v>156</v>
      </c>
      <c r="B3054" s="1084" t="s">
        <v>278</v>
      </c>
      <c r="C3054" s="1097" t="s">
        <v>1661</v>
      </c>
      <c r="D3054" s="1334"/>
      <c r="E3054" s="1335"/>
      <c r="F3054" s="1336"/>
      <c r="G3054" s="846"/>
      <c r="H3054" s="847"/>
      <c r="I3054" s="846">
        <v>3020000</v>
      </c>
      <c r="J3054" s="847">
        <v>0</v>
      </c>
      <c r="K3054" s="846"/>
      <c r="L3054" s="847"/>
      <c r="M3054" s="846"/>
      <c r="N3054" s="846"/>
      <c r="O3054" s="737">
        <f t="shared" si="383"/>
        <v>0</v>
      </c>
      <c r="P3054" s="847"/>
      <c r="Q3054" s="847"/>
      <c r="R3054" s="738">
        <f t="shared" si="386"/>
        <v>0</v>
      </c>
      <c r="S3054" s="737">
        <f t="shared" si="387"/>
        <v>3020000</v>
      </c>
      <c r="T3054" s="739">
        <f t="shared" si="388"/>
        <v>0</v>
      </c>
      <c r="U3054" s="846"/>
      <c r="V3054" s="847"/>
      <c r="W3054" s="846"/>
      <c r="X3054" s="846"/>
      <c r="Y3054" s="740">
        <f t="shared" si="384"/>
        <v>0</v>
      </c>
      <c r="Z3054" s="847"/>
      <c r="AA3054" s="847"/>
      <c r="AB3054" s="741">
        <f t="shared" si="385"/>
        <v>0</v>
      </c>
      <c r="AC3054" s="846"/>
      <c r="AD3054" s="847"/>
      <c r="AE3054" s="846"/>
      <c r="AF3054" s="846"/>
      <c r="AG3054" s="847"/>
      <c r="AH3054" s="847"/>
      <c r="AI3054" s="742">
        <f t="shared" si="389"/>
        <v>3020000</v>
      </c>
      <c r="AJ3054" s="743">
        <f t="shared" si="390"/>
        <v>0</v>
      </c>
    </row>
    <row r="3055" spans="1:36">
      <c r="A3055" s="1083" t="s">
        <v>156</v>
      </c>
      <c r="B3055" s="1084" t="s">
        <v>279</v>
      </c>
      <c r="C3055" s="1347" t="s">
        <v>842</v>
      </c>
      <c r="D3055" s="1334"/>
      <c r="E3055" s="1335"/>
      <c r="F3055" s="1336"/>
      <c r="G3055" s="846"/>
      <c r="H3055" s="847"/>
      <c r="I3055" s="846"/>
      <c r="J3055" s="847"/>
      <c r="K3055" s="846"/>
      <c r="L3055" s="847"/>
      <c r="M3055" s="846"/>
      <c r="N3055" s="846"/>
      <c r="O3055" s="737">
        <f t="shared" si="383"/>
        <v>0</v>
      </c>
      <c r="P3055" s="847"/>
      <c r="Q3055" s="847"/>
      <c r="R3055" s="738">
        <f t="shared" si="386"/>
        <v>0</v>
      </c>
      <c r="S3055" s="737">
        <f t="shared" si="387"/>
        <v>0</v>
      </c>
      <c r="T3055" s="739">
        <f t="shared" si="388"/>
        <v>0</v>
      </c>
      <c r="U3055" s="846"/>
      <c r="V3055" s="847"/>
      <c r="W3055" s="846"/>
      <c r="X3055" s="846"/>
      <c r="Y3055" s="740">
        <f t="shared" si="384"/>
        <v>0</v>
      </c>
      <c r="Z3055" s="847"/>
      <c r="AA3055" s="847"/>
      <c r="AB3055" s="741">
        <f t="shared" si="385"/>
        <v>0</v>
      </c>
      <c r="AC3055" s="846"/>
      <c r="AD3055" s="847"/>
      <c r="AE3055" s="846"/>
      <c r="AF3055" s="846"/>
      <c r="AG3055" s="847"/>
      <c r="AH3055" s="847"/>
      <c r="AI3055" s="742">
        <f t="shared" si="389"/>
        <v>0</v>
      </c>
      <c r="AJ3055" s="743">
        <f t="shared" si="390"/>
        <v>0</v>
      </c>
    </row>
    <row r="3056" spans="1:36">
      <c r="A3056" s="1083" t="s">
        <v>156</v>
      </c>
      <c r="B3056" s="1084" t="s">
        <v>279</v>
      </c>
      <c r="C3056" s="1097" t="s">
        <v>1662</v>
      </c>
      <c r="D3056" s="1334"/>
      <c r="E3056" s="1335"/>
      <c r="F3056" s="1336"/>
      <c r="G3056" s="846"/>
      <c r="H3056" s="847"/>
      <c r="I3056" s="846">
        <v>1471055</v>
      </c>
      <c r="J3056" s="847">
        <v>1519044</v>
      </c>
      <c r="K3056" s="846"/>
      <c r="L3056" s="847"/>
      <c r="M3056" s="846"/>
      <c r="N3056" s="846"/>
      <c r="O3056" s="737">
        <f t="shared" si="383"/>
        <v>0</v>
      </c>
      <c r="P3056" s="847"/>
      <c r="Q3056" s="847"/>
      <c r="R3056" s="738">
        <f t="shared" si="386"/>
        <v>0</v>
      </c>
      <c r="S3056" s="737">
        <f t="shared" si="387"/>
        <v>1471055</v>
      </c>
      <c r="T3056" s="739">
        <f t="shared" si="388"/>
        <v>1519044</v>
      </c>
      <c r="U3056" s="846"/>
      <c r="V3056" s="847"/>
      <c r="W3056" s="846"/>
      <c r="X3056" s="846"/>
      <c r="Y3056" s="740">
        <f t="shared" si="384"/>
        <v>0</v>
      </c>
      <c r="Z3056" s="847"/>
      <c r="AA3056" s="847"/>
      <c r="AB3056" s="741">
        <f t="shared" si="385"/>
        <v>0</v>
      </c>
      <c r="AC3056" s="846"/>
      <c r="AD3056" s="847"/>
      <c r="AE3056" s="846"/>
      <c r="AF3056" s="846"/>
      <c r="AG3056" s="847"/>
      <c r="AH3056" s="847"/>
      <c r="AI3056" s="742">
        <f t="shared" si="389"/>
        <v>1471055</v>
      </c>
      <c r="AJ3056" s="743">
        <f t="shared" si="390"/>
        <v>1519044</v>
      </c>
    </row>
    <row r="3057" spans="1:36">
      <c r="A3057" s="1083" t="s">
        <v>156</v>
      </c>
      <c r="B3057" s="1084" t="s">
        <v>303</v>
      </c>
      <c r="C3057" s="1101" t="s">
        <v>826</v>
      </c>
      <c r="D3057" s="1334"/>
      <c r="E3057" s="1335"/>
      <c r="F3057" s="1336"/>
      <c r="G3057" s="846"/>
      <c r="H3057" s="847"/>
      <c r="I3057" s="846"/>
      <c r="J3057" s="847"/>
      <c r="K3057" s="846"/>
      <c r="L3057" s="847"/>
      <c r="M3057" s="846"/>
      <c r="N3057" s="846"/>
      <c r="O3057" s="737">
        <f t="shared" si="383"/>
        <v>0</v>
      </c>
      <c r="P3057" s="847"/>
      <c r="Q3057" s="847"/>
      <c r="R3057" s="738">
        <f t="shared" si="386"/>
        <v>0</v>
      </c>
      <c r="S3057" s="737">
        <f t="shared" si="387"/>
        <v>0</v>
      </c>
      <c r="T3057" s="739">
        <f t="shared" si="388"/>
        <v>0</v>
      </c>
      <c r="U3057" s="846"/>
      <c r="V3057" s="847"/>
      <c r="W3057" s="846"/>
      <c r="X3057" s="846"/>
      <c r="Y3057" s="740">
        <f t="shared" si="384"/>
        <v>0</v>
      </c>
      <c r="Z3057" s="847"/>
      <c r="AA3057" s="847"/>
      <c r="AB3057" s="741">
        <f t="shared" si="385"/>
        <v>0</v>
      </c>
      <c r="AC3057" s="846"/>
      <c r="AD3057" s="847"/>
      <c r="AE3057" s="846"/>
      <c r="AF3057" s="846"/>
      <c r="AG3057" s="847"/>
      <c r="AH3057" s="847"/>
      <c r="AI3057" s="742">
        <f t="shared" si="389"/>
        <v>0</v>
      </c>
      <c r="AJ3057" s="743">
        <f t="shared" si="390"/>
        <v>0</v>
      </c>
    </row>
    <row r="3058" spans="1:36">
      <c r="A3058" s="1083" t="s">
        <v>156</v>
      </c>
      <c r="B3058" s="1084" t="s">
        <v>303</v>
      </c>
      <c r="C3058" s="1097" t="s">
        <v>1663</v>
      </c>
      <c r="D3058" s="1334"/>
      <c r="E3058" s="1335"/>
      <c r="F3058" s="1336"/>
      <c r="G3058" s="846"/>
      <c r="H3058" s="847"/>
      <c r="I3058" s="846"/>
      <c r="J3058" s="847"/>
      <c r="K3058" s="846"/>
      <c r="L3058" s="847"/>
      <c r="M3058" s="846"/>
      <c r="N3058" s="846"/>
      <c r="O3058" s="737">
        <f t="shared" si="383"/>
        <v>0</v>
      </c>
      <c r="P3058" s="847"/>
      <c r="Q3058" s="847"/>
      <c r="R3058" s="738">
        <f t="shared" si="386"/>
        <v>0</v>
      </c>
      <c r="S3058" s="737">
        <f t="shared" si="387"/>
        <v>0</v>
      </c>
      <c r="T3058" s="739">
        <f t="shared" si="388"/>
        <v>0</v>
      </c>
      <c r="U3058" s="846"/>
      <c r="V3058" s="847"/>
      <c r="W3058" s="846"/>
      <c r="X3058" s="846"/>
      <c r="Y3058" s="740">
        <f t="shared" si="384"/>
        <v>0</v>
      </c>
      <c r="Z3058" s="847"/>
      <c r="AA3058" s="847"/>
      <c r="AB3058" s="741">
        <f t="shared" si="385"/>
        <v>0</v>
      </c>
      <c r="AC3058" s="846"/>
      <c r="AD3058" s="847"/>
      <c r="AE3058" s="846"/>
      <c r="AF3058" s="846"/>
      <c r="AG3058" s="847"/>
      <c r="AH3058" s="847"/>
      <c r="AI3058" s="742">
        <f t="shared" si="389"/>
        <v>0</v>
      </c>
      <c r="AJ3058" s="743">
        <f t="shared" si="390"/>
        <v>0</v>
      </c>
    </row>
    <row r="3059" spans="1:36">
      <c r="A3059" s="1083" t="s">
        <v>156</v>
      </c>
      <c r="B3059" s="1084" t="s">
        <v>303</v>
      </c>
      <c r="C3059" s="1097" t="s">
        <v>1664</v>
      </c>
      <c r="D3059" s="1334"/>
      <c r="E3059" s="1335"/>
      <c r="F3059" s="1336"/>
      <c r="G3059" s="846"/>
      <c r="H3059" s="847"/>
      <c r="I3059" s="846">
        <v>7403177</v>
      </c>
      <c r="J3059" s="847">
        <v>7033019</v>
      </c>
      <c r="K3059" s="846"/>
      <c r="L3059" s="847"/>
      <c r="M3059" s="846"/>
      <c r="N3059" s="846"/>
      <c r="O3059" s="737">
        <f t="shared" si="383"/>
        <v>0</v>
      </c>
      <c r="P3059" s="847"/>
      <c r="Q3059" s="847"/>
      <c r="R3059" s="738">
        <f t="shared" si="386"/>
        <v>0</v>
      </c>
      <c r="S3059" s="737">
        <f t="shared" si="387"/>
        <v>7403177</v>
      </c>
      <c r="T3059" s="739">
        <f t="shared" si="388"/>
        <v>7033019</v>
      </c>
      <c r="U3059" s="846"/>
      <c r="V3059" s="847"/>
      <c r="W3059" s="846"/>
      <c r="X3059" s="846"/>
      <c r="Y3059" s="740">
        <f t="shared" si="384"/>
        <v>0</v>
      </c>
      <c r="Z3059" s="847"/>
      <c r="AA3059" s="847"/>
      <c r="AB3059" s="741">
        <f t="shared" si="385"/>
        <v>0</v>
      </c>
      <c r="AC3059" s="846"/>
      <c r="AD3059" s="847"/>
      <c r="AE3059" s="846"/>
      <c r="AF3059" s="846"/>
      <c r="AG3059" s="847"/>
      <c r="AH3059" s="847"/>
      <c r="AI3059" s="742">
        <f t="shared" si="389"/>
        <v>7403177</v>
      </c>
      <c r="AJ3059" s="743">
        <f t="shared" si="390"/>
        <v>7033019</v>
      </c>
    </row>
    <row r="3060" spans="1:36">
      <c r="A3060" s="1083" t="s">
        <v>156</v>
      </c>
      <c r="B3060" s="1084" t="s">
        <v>303</v>
      </c>
      <c r="C3060" s="1097" t="s">
        <v>1665</v>
      </c>
      <c r="D3060" s="1334"/>
      <c r="E3060" s="1335"/>
      <c r="F3060" s="1336"/>
      <c r="G3060" s="846"/>
      <c r="H3060" s="847"/>
      <c r="I3060" s="846">
        <v>307899</v>
      </c>
      <c r="J3060" s="847">
        <v>292504</v>
      </c>
      <c r="K3060" s="846"/>
      <c r="L3060" s="847"/>
      <c r="M3060" s="846"/>
      <c r="N3060" s="846"/>
      <c r="O3060" s="737">
        <f t="shared" si="383"/>
        <v>0</v>
      </c>
      <c r="P3060" s="847"/>
      <c r="Q3060" s="847"/>
      <c r="R3060" s="738">
        <f t="shared" si="386"/>
        <v>0</v>
      </c>
      <c r="S3060" s="737">
        <f t="shared" si="387"/>
        <v>307899</v>
      </c>
      <c r="T3060" s="739">
        <f t="shared" si="388"/>
        <v>292504</v>
      </c>
      <c r="U3060" s="846"/>
      <c r="V3060" s="847"/>
      <c r="W3060" s="846"/>
      <c r="X3060" s="846"/>
      <c r="Y3060" s="740">
        <f t="shared" si="384"/>
        <v>0</v>
      </c>
      <c r="Z3060" s="847"/>
      <c r="AA3060" s="847"/>
      <c r="AB3060" s="741">
        <f t="shared" si="385"/>
        <v>0</v>
      </c>
      <c r="AC3060" s="846"/>
      <c r="AD3060" s="847"/>
      <c r="AE3060" s="846"/>
      <c r="AF3060" s="846"/>
      <c r="AG3060" s="847"/>
      <c r="AH3060" s="847"/>
      <c r="AI3060" s="742">
        <f t="shared" si="389"/>
        <v>307899</v>
      </c>
      <c r="AJ3060" s="743">
        <f t="shared" si="390"/>
        <v>292504</v>
      </c>
    </row>
    <row r="3061" spans="1:36">
      <c r="A3061" s="1083" t="s">
        <v>156</v>
      </c>
      <c r="B3061" s="1084" t="s">
        <v>303</v>
      </c>
      <c r="C3061" s="1097" t="s">
        <v>1666</v>
      </c>
      <c r="D3061" s="1334"/>
      <c r="E3061" s="1335"/>
      <c r="F3061" s="1336"/>
      <c r="G3061" s="846"/>
      <c r="H3061" s="847"/>
      <c r="I3061" s="846">
        <v>695000</v>
      </c>
      <c r="J3061" s="847">
        <v>695000</v>
      </c>
      <c r="K3061" s="846"/>
      <c r="L3061" s="847"/>
      <c r="M3061" s="846"/>
      <c r="N3061" s="846"/>
      <c r="O3061" s="737">
        <f t="shared" si="383"/>
        <v>0</v>
      </c>
      <c r="P3061" s="847"/>
      <c r="Q3061" s="847"/>
      <c r="R3061" s="738">
        <f t="shared" si="386"/>
        <v>0</v>
      </c>
      <c r="S3061" s="737">
        <f t="shared" si="387"/>
        <v>695000</v>
      </c>
      <c r="T3061" s="739">
        <f t="shared" si="388"/>
        <v>695000</v>
      </c>
      <c r="U3061" s="846"/>
      <c r="V3061" s="847"/>
      <c r="W3061" s="846"/>
      <c r="X3061" s="846"/>
      <c r="Y3061" s="740">
        <f t="shared" si="384"/>
        <v>0</v>
      </c>
      <c r="Z3061" s="847"/>
      <c r="AA3061" s="847"/>
      <c r="AB3061" s="741">
        <f t="shared" si="385"/>
        <v>0</v>
      </c>
      <c r="AC3061" s="846"/>
      <c r="AD3061" s="847"/>
      <c r="AE3061" s="846"/>
      <c r="AF3061" s="846"/>
      <c r="AG3061" s="847"/>
      <c r="AH3061" s="847"/>
      <c r="AI3061" s="742">
        <f t="shared" si="389"/>
        <v>695000</v>
      </c>
      <c r="AJ3061" s="743">
        <f t="shared" si="390"/>
        <v>695000</v>
      </c>
    </row>
    <row r="3062" spans="1:36">
      <c r="A3062" s="1083" t="s">
        <v>156</v>
      </c>
      <c r="B3062" s="1084" t="s">
        <v>303</v>
      </c>
      <c r="C3062" s="1097" t="s">
        <v>1667</v>
      </c>
      <c r="D3062" s="1334"/>
      <c r="E3062" s="1335"/>
      <c r="F3062" s="1336"/>
      <c r="G3062" s="846"/>
      <c r="H3062" s="847"/>
      <c r="I3062" s="846">
        <v>674969</v>
      </c>
      <c r="J3062" s="847">
        <v>683665</v>
      </c>
      <c r="K3062" s="846"/>
      <c r="L3062" s="847"/>
      <c r="M3062" s="846"/>
      <c r="N3062" s="846"/>
      <c r="O3062" s="737">
        <f t="shared" si="383"/>
        <v>0</v>
      </c>
      <c r="P3062" s="847"/>
      <c r="Q3062" s="847"/>
      <c r="R3062" s="738">
        <f t="shared" si="386"/>
        <v>0</v>
      </c>
      <c r="S3062" s="737">
        <f t="shared" si="387"/>
        <v>674969</v>
      </c>
      <c r="T3062" s="739">
        <f t="shared" si="388"/>
        <v>683665</v>
      </c>
      <c r="U3062" s="846"/>
      <c r="V3062" s="847"/>
      <c r="W3062" s="846"/>
      <c r="X3062" s="846"/>
      <c r="Y3062" s="740">
        <f t="shared" si="384"/>
        <v>0</v>
      </c>
      <c r="Z3062" s="847"/>
      <c r="AA3062" s="847"/>
      <c r="AB3062" s="741">
        <f t="shared" si="385"/>
        <v>0</v>
      </c>
      <c r="AC3062" s="846"/>
      <c r="AD3062" s="847"/>
      <c r="AE3062" s="846"/>
      <c r="AF3062" s="846"/>
      <c r="AG3062" s="847"/>
      <c r="AH3062" s="847"/>
      <c r="AI3062" s="742">
        <f t="shared" si="389"/>
        <v>674969</v>
      </c>
      <c r="AJ3062" s="743">
        <f t="shared" si="390"/>
        <v>683665</v>
      </c>
    </row>
    <row r="3063" spans="1:36">
      <c r="A3063" s="1083" t="s">
        <v>156</v>
      </c>
      <c r="B3063" s="1084" t="s">
        <v>303</v>
      </c>
      <c r="C3063" s="1097" t="s">
        <v>1668</v>
      </c>
      <c r="D3063" s="1334"/>
      <c r="E3063" s="1335"/>
      <c r="F3063" s="1336"/>
      <c r="G3063" s="846"/>
      <c r="H3063" s="847"/>
      <c r="I3063" s="846"/>
      <c r="J3063" s="847"/>
      <c r="K3063" s="846"/>
      <c r="L3063" s="847"/>
      <c r="M3063" s="846"/>
      <c r="N3063" s="846"/>
      <c r="O3063" s="737">
        <f t="shared" si="383"/>
        <v>0</v>
      </c>
      <c r="P3063" s="847"/>
      <c r="Q3063" s="847"/>
      <c r="R3063" s="738">
        <f t="shared" si="386"/>
        <v>0</v>
      </c>
      <c r="S3063" s="737">
        <f t="shared" si="387"/>
        <v>0</v>
      </c>
      <c r="T3063" s="739">
        <f t="shared" si="388"/>
        <v>0</v>
      </c>
      <c r="U3063" s="846"/>
      <c r="V3063" s="847"/>
      <c r="W3063" s="846"/>
      <c r="X3063" s="846"/>
      <c r="Y3063" s="740">
        <f t="shared" si="384"/>
        <v>0</v>
      </c>
      <c r="Z3063" s="847"/>
      <c r="AA3063" s="847"/>
      <c r="AB3063" s="741">
        <f t="shared" si="385"/>
        <v>0</v>
      </c>
      <c r="AC3063" s="846">
        <v>24145660</v>
      </c>
      <c r="AD3063" s="847">
        <v>24398073</v>
      </c>
      <c r="AE3063" s="846"/>
      <c r="AF3063" s="846"/>
      <c r="AG3063" s="847"/>
      <c r="AH3063" s="847"/>
      <c r="AI3063" s="742">
        <f t="shared" si="389"/>
        <v>24145660</v>
      </c>
      <c r="AJ3063" s="743">
        <f t="shared" si="390"/>
        <v>24398073</v>
      </c>
    </row>
    <row r="3064" spans="1:36">
      <c r="A3064" s="1083" t="s">
        <v>156</v>
      </c>
      <c r="B3064" s="1084" t="s">
        <v>303</v>
      </c>
      <c r="C3064" s="1097" t="s">
        <v>1669</v>
      </c>
      <c r="D3064" s="1334"/>
      <c r="E3064" s="1335"/>
      <c r="F3064" s="1336"/>
      <c r="G3064" s="846"/>
      <c r="H3064" s="847"/>
      <c r="I3064" s="846">
        <v>47995653</v>
      </c>
      <c r="J3064" s="847">
        <v>57172080</v>
      </c>
      <c r="K3064" s="846"/>
      <c r="L3064" s="847"/>
      <c r="M3064" s="846"/>
      <c r="N3064" s="846"/>
      <c r="O3064" s="737">
        <f t="shared" si="383"/>
        <v>0</v>
      </c>
      <c r="P3064" s="847"/>
      <c r="Q3064" s="847"/>
      <c r="R3064" s="738">
        <f t="shared" si="386"/>
        <v>0</v>
      </c>
      <c r="S3064" s="737">
        <f t="shared" si="387"/>
        <v>47995653</v>
      </c>
      <c r="T3064" s="739">
        <f t="shared" si="388"/>
        <v>57172080</v>
      </c>
      <c r="U3064" s="846"/>
      <c r="V3064" s="847"/>
      <c r="W3064" s="846"/>
      <c r="X3064" s="846"/>
      <c r="Y3064" s="740">
        <f t="shared" si="384"/>
        <v>0</v>
      </c>
      <c r="Z3064" s="847"/>
      <c r="AA3064" s="847"/>
      <c r="AB3064" s="741">
        <f t="shared" si="385"/>
        <v>0</v>
      </c>
      <c r="AC3064" s="846"/>
      <c r="AD3064" s="847"/>
      <c r="AE3064" s="846"/>
      <c r="AF3064" s="846"/>
      <c r="AG3064" s="847"/>
      <c r="AH3064" s="847"/>
      <c r="AI3064" s="742">
        <f t="shared" si="389"/>
        <v>47995653</v>
      </c>
      <c r="AJ3064" s="743">
        <f t="shared" si="390"/>
        <v>57172080</v>
      </c>
    </row>
    <row r="3065" spans="1:36">
      <c r="A3065" s="1083" t="s">
        <v>156</v>
      </c>
      <c r="B3065" s="1084" t="s">
        <v>303</v>
      </c>
      <c r="C3065" s="1097" t="s">
        <v>1670</v>
      </c>
      <c r="D3065" s="1334"/>
      <c r="E3065" s="1335"/>
      <c r="F3065" s="1336"/>
      <c r="G3065" s="846"/>
      <c r="H3065" s="847"/>
      <c r="I3065" s="846">
        <v>2159010</v>
      </c>
      <c r="J3065" s="847">
        <v>2347894</v>
      </c>
      <c r="K3065" s="846"/>
      <c r="L3065" s="847"/>
      <c r="M3065" s="846"/>
      <c r="N3065" s="846"/>
      <c r="O3065" s="737">
        <f t="shared" si="383"/>
        <v>0</v>
      </c>
      <c r="P3065" s="847"/>
      <c r="Q3065" s="847"/>
      <c r="R3065" s="738">
        <f t="shared" si="386"/>
        <v>0</v>
      </c>
      <c r="S3065" s="737">
        <f t="shared" si="387"/>
        <v>2159010</v>
      </c>
      <c r="T3065" s="739">
        <f t="shared" si="388"/>
        <v>2347894</v>
      </c>
      <c r="U3065" s="846"/>
      <c r="V3065" s="847"/>
      <c r="W3065" s="846"/>
      <c r="X3065" s="846"/>
      <c r="Y3065" s="740">
        <f t="shared" si="384"/>
        <v>0</v>
      </c>
      <c r="Z3065" s="847"/>
      <c r="AA3065" s="847"/>
      <c r="AB3065" s="741">
        <f t="shared" si="385"/>
        <v>0</v>
      </c>
      <c r="AC3065" s="846"/>
      <c r="AD3065" s="847"/>
      <c r="AE3065" s="846"/>
      <c r="AF3065" s="846"/>
      <c r="AG3065" s="847"/>
      <c r="AH3065" s="847"/>
      <c r="AI3065" s="742">
        <f t="shared" si="389"/>
        <v>2159010</v>
      </c>
      <c r="AJ3065" s="743">
        <f t="shared" si="390"/>
        <v>2347894</v>
      </c>
    </row>
    <row r="3066" spans="1:36">
      <c r="A3066" s="1083" t="s">
        <v>156</v>
      </c>
      <c r="B3066" s="1084" t="s">
        <v>303</v>
      </c>
      <c r="C3066" s="1097" t="s">
        <v>1671</v>
      </c>
      <c r="D3066" s="1334"/>
      <c r="E3066" s="1335"/>
      <c r="F3066" s="1336"/>
      <c r="G3066" s="846"/>
      <c r="H3066" s="847"/>
      <c r="I3066" s="846">
        <v>1815421</v>
      </c>
      <c r="J3066" s="847">
        <v>2012323</v>
      </c>
      <c r="K3066" s="846"/>
      <c r="L3066" s="847"/>
      <c r="M3066" s="846"/>
      <c r="N3066" s="846"/>
      <c r="O3066" s="737">
        <f t="shared" si="383"/>
        <v>0</v>
      </c>
      <c r="P3066" s="847"/>
      <c r="Q3066" s="847"/>
      <c r="R3066" s="738">
        <f t="shared" si="386"/>
        <v>0</v>
      </c>
      <c r="S3066" s="737">
        <f t="shared" si="387"/>
        <v>1815421</v>
      </c>
      <c r="T3066" s="739">
        <f t="shared" si="388"/>
        <v>2012323</v>
      </c>
      <c r="U3066" s="846"/>
      <c r="V3066" s="847"/>
      <c r="W3066" s="846"/>
      <c r="X3066" s="846"/>
      <c r="Y3066" s="740">
        <f t="shared" si="384"/>
        <v>0</v>
      </c>
      <c r="Z3066" s="847"/>
      <c r="AA3066" s="847"/>
      <c r="AB3066" s="741">
        <f t="shared" si="385"/>
        <v>0</v>
      </c>
      <c r="AC3066" s="846"/>
      <c r="AD3066" s="847"/>
      <c r="AE3066" s="846"/>
      <c r="AF3066" s="846"/>
      <c r="AG3066" s="847"/>
      <c r="AH3066" s="847"/>
      <c r="AI3066" s="742">
        <f t="shared" si="389"/>
        <v>1815421</v>
      </c>
      <c r="AJ3066" s="743">
        <f t="shared" si="390"/>
        <v>2012323</v>
      </c>
    </row>
    <row r="3067" spans="1:36">
      <c r="A3067" s="1083" t="s">
        <v>156</v>
      </c>
      <c r="B3067" s="1084" t="s">
        <v>303</v>
      </c>
      <c r="C3067" s="1097" t="s">
        <v>1672</v>
      </c>
      <c r="D3067" s="1334"/>
      <c r="E3067" s="1335"/>
      <c r="F3067" s="1336"/>
      <c r="G3067" s="846"/>
      <c r="H3067" s="847"/>
      <c r="I3067" s="846">
        <v>1121896</v>
      </c>
      <c r="J3067" s="847">
        <v>1122013</v>
      </c>
      <c r="K3067" s="846"/>
      <c r="L3067" s="847"/>
      <c r="M3067" s="846"/>
      <c r="N3067" s="846"/>
      <c r="O3067" s="737">
        <f t="shared" si="383"/>
        <v>0</v>
      </c>
      <c r="P3067" s="847"/>
      <c r="Q3067" s="847"/>
      <c r="R3067" s="738">
        <f t="shared" si="386"/>
        <v>0</v>
      </c>
      <c r="S3067" s="737">
        <f t="shared" si="387"/>
        <v>1121896</v>
      </c>
      <c r="T3067" s="739">
        <f t="shared" si="388"/>
        <v>1122013</v>
      </c>
      <c r="U3067" s="846"/>
      <c r="V3067" s="847"/>
      <c r="W3067" s="846"/>
      <c r="X3067" s="846"/>
      <c r="Y3067" s="740">
        <f t="shared" si="384"/>
        <v>0</v>
      </c>
      <c r="Z3067" s="847"/>
      <c r="AA3067" s="847"/>
      <c r="AB3067" s="741">
        <f t="shared" si="385"/>
        <v>0</v>
      </c>
      <c r="AC3067" s="846"/>
      <c r="AD3067" s="847"/>
      <c r="AE3067" s="846"/>
      <c r="AF3067" s="846"/>
      <c r="AG3067" s="847"/>
      <c r="AH3067" s="847"/>
      <c r="AI3067" s="742">
        <f t="shared" si="389"/>
        <v>1121896</v>
      </c>
      <c r="AJ3067" s="743">
        <f t="shared" si="390"/>
        <v>1122013</v>
      </c>
    </row>
    <row r="3068" spans="1:36">
      <c r="A3068" s="1083" t="s">
        <v>156</v>
      </c>
      <c r="B3068" s="1084" t="s">
        <v>303</v>
      </c>
      <c r="C3068" s="1097" t="s">
        <v>1673</v>
      </c>
      <c r="D3068" s="1334"/>
      <c r="E3068" s="1335"/>
      <c r="F3068" s="1336"/>
      <c r="G3068" s="846"/>
      <c r="H3068" s="847"/>
      <c r="I3068" s="846">
        <v>6122968</v>
      </c>
      <c r="J3068" s="847">
        <v>6123574</v>
      </c>
      <c r="K3068" s="846"/>
      <c r="L3068" s="847"/>
      <c r="M3068" s="846"/>
      <c r="N3068" s="846"/>
      <c r="O3068" s="737">
        <f t="shared" si="383"/>
        <v>0</v>
      </c>
      <c r="P3068" s="847"/>
      <c r="Q3068" s="847"/>
      <c r="R3068" s="738">
        <f t="shared" si="386"/>
        <v>0</v>
      </c>
      <c r="S3068" s="737">
        <f t="shared" si="387"/>
        <v>6122968</v>
      </c>
      <c r="T3068" s="739">
        <f t="shared" si="388"/>
        <v>6123574</v>
      </c>
      <c r="U3068" s="846"/>
      <c r="V3068" s="847"/>
      <c r="W3068" s="846"/>
      <c r="X3068" s="846"/>
      <c r="Y3068" s="740">
        <f t="shared" si="384"/>
        <v>0</v>
      </c>
      <c r="Z3068" s="847"/>
      <c r="AA3068" s="847"/>
      <c r="AB3068" s="741">
        <f t="shared" si="385"/>
        <v>0</v>
      </c>
      <c r="AC3068" s="846"/>
      <c r="AD3068" s="847"/>
      <c r="AE3068" s="846"/>
      <c r="AF3068" s="846"/>
      <c r="AG3068" s="847"/>
      <c r="AH3068" s="847"/>
      <c r="AI3068" s="742">
        <f t="shared" si="389"/>
        <v>6122968</v>
      </c>
      <c r="AJ3068" s="743">
        <f t="shared" si="390"/>
        <v>6123574</v>
      </c>
    </row>
    <row r="3069" spans="1:36">
      <c r="A3069" s="1083" t="s">
        <v>156</v>
      </c>
      <c r="B3069" s="1084" t="s">
        <v>281</v>
      </c>
      <c r="C3069" s="1101" t="s">
        <v>109</v>
      </c>
      <c r="D3069" s="1334"/>
      <c r="E3069" s="1335"/>
      <c r="F3069" s="1336"/>
      <c r="G3069" s="846"/>
      <c r="H3069" s="847"/>
      <c r="I3069" s="846"/>
      <c r="J3069" s="847"/>
      <c r="K3069" s="846"/>
      <c r="L3069" s="847"/>
      <c r="M3069" s="846"/>
      <c r="N3069" s="846"/>
      <c r="O3069" s="737">
        <f t="shared" si="383"/>
        <v>0</v>
      </c>
      <c r="P3069" s="847"/>
      <c r="Q3069" s="847"/>
      <c r="R3069" s="738">
        <f t="shared" si="386"/>
        <v>0</v>
      </c>
      <c r="S3069" s="737">
        <f t="shared" si="387"/>
        <v>0</v>
      </c>
      <c r="T3069" s="739">
        <f t="shared" si="388"/>
        <v>0</v>
      </c>
      <c r="U3069" s="846"/>
      <c r="V3069" s="847"/>
      <c r="W3069" s="846"/>
      <c r="X3069" s="846"/>
      <c r="Y3069" s="740">
        <f t="shared" si="384"/>
        <v>0</v>
      </c>
      <c r="Z3069" s="847"/>
      <c r="AA3069" s="847"/>
      <c r="AB3069" s="741">
        <f t="shared" si="385"/>
        <v>0</v>
      </c>
      <c r="AC3069" s="846"/>
      <c r="AD3069" s="847"/>
      <c r="AE3069" s="846"/>
      <c r="AF3069" s="846"/>
      <c r="AG3069" s="847"/>
      <c r="AH3069" s="847"/>
      <c r="AI3069" s="742">
        <f t="shared" si="389"/>
        <v>0</v>
      </c>
      <c r="AJ3069" s="743">
        <f t="shared" si="390"/>
        <v>0</v>
      </c>
    </row>
    <row r="3070" spans="1:36">
      <c r="A3070" s="1083" t="s">
        <v>156</v>
      </c>
      <c r="B3070" s="1084" t="s">
        <v>282</v>
      </c>
      <c r="C3070" s="1347" t="s">
        <v>140</v>
      </c>
      <c r="D3070" s="1334"/>
      <c r="E3070" s="1335"/>
      <c r="F3070" s="1336"/>
      <c r="G3070" s="846"/>
      <c r="H3070" s="847"/>
      <c r="I3070" s="846"/>
      <c r="J3070" s="847"/>
      <c r="K3070" s="846"/>
      <c r="L3070" s="847"/>
      <c r="M3070" s="846"/>
      <c r="N3070" s="846"/>
      <c r="O3070" s="737">
        <f t="shared" si="383"/>
        <v>0</v>
      </c>
      <c r="P3070" s="847"/>
      <c r="Q3070" s="847"/>
      <c r="R3070" s="738">
        <f t="shared" si="386"/>
        <v>0</v>
      </c>
      <c r="S3070" s="737">
        <f t="shared" si="387"/>
        <v>0</v>
      </c>
      <c r="T3070" s="739">
        <f t="shared" si="388"/>
        <v>0</v>
      </c>
      <c r="U3070" s="846">
        <v>3869255</v>
      </c>
      <c r="V3070" s="847">
        <v>4634072</v>
      </c>
      <c r="W3070" s="846"/>
      <c r="X3070" s="846"/>
      <c r="Y3070" s="740">
        <f t="shared" si="384"/>
        <v>0</v>
      </c>
      <c r="Z3070" s="847"/>
      <c r="AA3070" s="847"/>
      <c r="AB3070" s="741">
        <f t="shared" si="385"/>
        <v>0</v>
      </c>
      <c r="AC3070" s="846"/>
      <c r="AD3070" s="847"/>
      <c r="AE3070" s="846"/>
      <c r="AF3070" s="846"/>
      <c r="AG3070" s="847"/>
      <c r="AH3070" s="847"/>
      <c r="AI3070" s="742">
        <f t="shared" si="389"/>
        <v>3869255</v>
      </c>
      <c r="AJ3070" s="743">
        <f t="shared" si="390"/>
        <v>4634072</v>
      </c>
    </row>
    <row r="3071" spans="1:36">
      <c r="A3071" s="1083" t="s">
        <v>156</v>
      </c>
      <c r="B3071" s="1084" t="s">
        <v>283</v>
      </c>
      <c r="C3071" s="1347" t="s">
        <v>139</v>
      </c>
      <c r="D3071" s="1334"/>
      <c r="E3071" s="1335"/>
      <c r="F3071" s="1336"/>
      <c r="G3071" s="846"/>
      <c r="H3071" s="847"/>
      <c r="I3071" s="846"/>
      <c r="J3071" s="847"/>
      <c r="K3071" s="846"/>
      <c r="L3071" s="847"/>
      <c r="M3071" s="846"/>
      <c r="N3071" s="846"/>
      <c r="O3071" s="737">
        <f t="shared" si="383"/>
        <v>0</v>
      </c>
      <c r="P3071" s="847"/>
      <c r="Q3071" s="847"/>
      <c r="R3071" s="738">
        <f t="shared" si="386"/>
        <v>0</v>
      </c>
      <c r="S3071" s="737">
        <f t="shared" si="387"/>
        <v>0</v>
      </c>
      <c r="T3071" s="739">
        <f t="shared" si="388"/>
        <v>0</v>
      </c>
      <c r="U3071" s="846">
        <v>16339851</v>
      </c>
      <c r="V3071" s="847">
        <v>16353270</v>
      </c>
      <c r="W3071" s="846"/>
      <c r="X3071" s="846"/>
      <c r="Y3071" s="740">
        <f t="shared" si="384"/>
        <v>0</v>
      </c>
      <c r="Z3071" s="847"/>
      <c r="AA3071" s="847"/>
      <c r="AB3071" s="741">
        <f t="shared" si="385"/>
        <v>0</v>
      </c>
      <c r="AC3071" s="846"/>
      <c r="AD3071" s="847"/>
      <c r="AE3071" s="846"/>
      <c r="AF3071" s="846"/>
      <c r="AG3071" s="847"/>
      <c r="AH3071" s="847"/>
      <c r="AI3071" s="742">
        <f t="shared" si="389"/>
        <v>16339851</v>
      </c>
      <c r="AJ3071" s="743">
        <f t="shared" si="390"/>
        <v>16353270</v>
      </c>
    </row>
    <row r="3072" spans="1:36">
      <c r="A3072" s="1083" t="s">
        <v>156</v>
      </c>
      <c r="B3072" s="1084" t="s">
        <v>283</v>
      </c>
      <c r="C3072" s="1347" t="s">
        <v>1674</v>
      </c>
      <c r="D3072" s="1334"/>
      <c r="E3072" s="1335"/>
      <c r="F3072" s="1336"/>
      <c r="G3072" s="846"/>
      <c r="H3072" s="847"/>
      <c r="I3072" s="846">
        <v>3886870</v>
      </c>
      <c r="J3072" s="847">
        <v>0</v>
      </c>
      <c r="K3072" s="846"/>
      <c r="L3072" s="847"/>
      <c r="M3072" s="846"/>
      <c r="N3072" s="846"/>
      <c r="O3072" s="737">
        <f t="shared" si="383"/>
        <v>0</v>
      </c>
      <c r="P3072" s="847"/>
      <c r="Q3072" s="847"/>
      <c r="R3072" s="738">
        <f t="shared" si="386"/>
        <v>0</v>
      </c>
      <c r="S3072" s="737">
        <f t="shared" si="387"/>
        <v>3886870</v>
      </c>
      <c r="T3072" s="739">
        <f t="shared" si="388"/>
        <v>0</v>
      </c>
      <c r="U3072" s="846"/>
      <c r="V3072" s="847"/>
      <c r="W3072" s="846"/>
      <c r="X3072" s="846"/>
      <c r="Y3072" s="740">
        <f t="shared" si="384"/>
        <v>0</v>
      </c>
      <c r="Z3072" s="847"/>
      <c r="AA3072" s="847"/>
      <c r="AB3072" s="741">
        <f t="shared" si="385"/>
        <v>0</v>
      </c>
      <c r="AC3072" s="846"/>
      <c r="AD3072" s="847"/>
      <c r="AE3072" s="846"/>
      <c r="AF3072" s="846"/>
      <c r="AG3072" s="847"/>
      <c r="AH3072" s="847"/>
      <c r="AI3072" s="742">
        <f t="shared" si="389"/>
        <v>3886870</v>
      </c>
      <c r="AJ3072" s="743">
        <f t="shared" si="390"/>
        <v>0</v>
      </c>
    </row>
    <row r="3073" spans="1:36">
      <c r="A3073" s="1083" t="s">
        <v>156</v>
      </c>
      <c r="B3073" s="1084" t="s">
        <v>283</v>
      </c>
      <c r="C3073" s="1347" t="s">
        <v>1675</v>
      </c>
      <c r="D3073" s="1334"/>
      <c r="E3073" s="1335"/>
      <c r="F3073" s="1336"/>
      <c r="G3073" s="846"/>
      <c r="H3073" s="847"/>
      <c r="I3073" s="846">
        <v>9217017</v>
      </c>
      <c r="J3073" s="847">
        <v>9274297</v>
      </c>
      <c r="K3073" s="846"/>
      <c r="L3073" s="847"/>
      <c r="M3073" s="846"/>
      <c r="N3073" s="846"/>
      <c r="O3073" s="737">
        <f t="shared" si="383"/>
        <v>0</v>
      </c>
      <c r="P3073" s="847"/>
      <c r="Q3073" s="847"/>
      <c r="R3073" s="738">
        <f t="shared" si="386"/>
        <v>0</v>
      </c>
      <c r="S3073" s="737">
        <f t="shared" si="387"/>
        <v>9217017</v>
      </c>
      <c r="T3073" s="739">
        <f t="shared" si="388"/>
        <v>9274297</v>
      </c>
      <c r="U3073" s="846"/>
      <c r="V3073" s="847"/>
      <c r="W3073" s="846"/>
      <c r="X3073" s="846"/>
      <c r="Y3073" s="740">
        <f t="shared" si="384"/>
        <v>0</v>
      </c>
      <c r="Z3073" s="847"/>
      <c r="AA3073" s="847"/>
      <c r="AB3073" s="741">
        <f t="shared" si="385"/>
        <v>0</v>
      </c>
      <c r="AC3073" s="846"/>
      <c r="AD3073" s="847"/>
      <c r="AE3073" s="846"/>
      <c r="AF3073" s="846"/>
      <c r="AG3073" s="847"/>
      <c r="AH3073" s="847"/>
      <c r="AI3073" s="742">
        <f t="shared" si="389"/>
        <v>9217017</v>
      </c>
      <c r="AJ3073" s="743">
        <f t="shared" si="390"/>
        <v>9274297</v>
      </c>
    </row>
    <row r="3074" spans="1:36">
      <c r="A3074" s="1083" t="s">
        <v>156</v>
      </c>
      <c r="B3074" s="1084" t="s">
        <v>283</v>
      </c>
      <c r="C3074" s="1347" t="s">
        <v>1676</v>
      </c>
      <c r="D3074" s="1334"/>
      <c r="E3074" s="1335"/>
      <c r="F3074" s="1336"/>
      <c r="G3074" s="846"/>
      <c r="H3074" s="847"/>
      <c r="I3074" s="846"/>
      <c r="J3074" s="847"/>
      <c r="K3074" s="846"/>
      <c r="L3074" s="847"/>
      <c r="M3074" s="846"/>
      <c r="N3074" s="846"/>
      <c r="O3074" s="737">
        <f t="shared" si="383"/>
        <v>0</v>
      </c>
      <c r="P3074" s="847"/>
      <c r="Q3074" s="847"/>
      <c r="R3074" s="738">
        <f t="shared" si="386"/>
        <v>0</v>
      </c>
      <c r="S3074" s="737">
        <f t="shared" si="387"/>
        <v>0</v>
      </c>
      <c r="T3074" s="739">
        <f t="shared" si="388"/>
        <v>0</v>
      </c>
      <c r="U3074" s="846"/>
      <c r="V3074" s="847"/>
      <c r="W3074" s="846"/>
      <c r="X3074" s="846"/>
      <c r="Y3074" s="740">
        <f t="shared" si="384"/>
        <v>0</v>
      </c>
      <c r="Z3074" s="847"/>
      <c r="AA3074" s="847"/>
      <c r="AB3074" s="741">
        <f t="shared" si="385"/>
        <v>0</v>
      </c>
      <c r="AC3074" s="846"/>
      <c r="AD3074" s="847"/>
      <c r="AE3074" s="846"/>
      <c r="AF3074" s="846"/>
      <c r="AG3074" s="847"/>
      <c r="AH3074" s="847"/>
      <c r="AI3074" s="742">
        <f t="shared" si="389"/>
        <v>0</v>
      </c>
      <c r="AJ3074" s="743">
        <f t="shared" si="390"/>
        <v>0</v>
      </c>
    </row>
    <row r="3075" spans="1:36">
      <c r="A3075" s="1083" t="s">
        <v>156</v>
      </c>
      <c r="B3075" s="1084" t="s">
        <v>284</v>
      </c>
      <c r="C3075" s="1097" t="s">
        <v>566</v>
      </c>
      <c r="D3075" s="1334"/>
      <c r="E3075" s="1335"/>
      <c r="F3075" s="1336"/>
      <c r="G3075" s="846"/>
      <c r="H3075" s="847"/>
      <c r="I3075" s="846"/>
      <c r="J3075" s="847"/>
      <c r="K3075" s="846"/>
      <c r="L3075" s="847"/>
      <c r="M3075" s="846"/>
      <c r="N3075" s="846"/>
      <c r="O3075" s="737">
        <f t="shared" si="383"/>
        <v>0</v>
      </c>
      <c r="P3075" s="847"/>
      <c r="Q3075" s="847"/>
      <c r="R3075" s="738">
        <f t="shared" si="386"/>
        <v>0</v>
      </c>
      <c r="S3075" s="737">
        <f t="shared" si="387"/>
        <v>0</v>
      </c>
      <c r="T3075" s="739">
        <f t="shared" si="388"/>
        <v>0</v>
      </c>
      <c r="U3075" s="846"/>
      <c r="V3075" s="847"/>
      <c r="W3075" s="846"/>
      <c r="X3075" s="846"/>
      <c r="Y3075" s="740">
        <f t="shared" si="384"/>
        <v>0</v>
      </c>
      <c r="Z3075" s="847"/>
      <c r="AA3075" s="847"/>
      <c r="AB3075" s="741">
        <f t="shared" si="385"/>
        <v>0</v>
      </c>
      <c r="AC3075" s="846"/>
      <c r="AD3075" s="847"/>
      <c r="AE3075" s="846"/>
      <c r="AF3075" s="846"/>
      <c r="AG3075" s="847"/>
      <c r="AH3075" s="847"/>
      <c r="AI3075" s="742">
        <f t="shared" si="389"/>
        <v>0</v>
      </c>
      <c r="AJ3075" s="743">
        <f t="shared" si="390"/>
        <v>0</v>
      </c>
    </row>
    <row r="3076" spans="1:36">
      <c r="A3076" s="1083" t="s">
        <v>156</v>
      </c>
      <c r="B3076" s="1084" t="s">
        <v>285</v>
      </c>
      <c r="C3076" s="1347" t="s">
        <v>504</v>
      </c>
      <c r="D3076" s="1334"/>
      <c r="E3076" s="1335"/>
      <c r="F3076" s="1336"/>
      <c r="G3076" s="846"/>
      <c r="H3076" s="847"/>
      <c r="I3076" s="846"/>
      <c r="J3076" s="847"/>
      <c r="K3076" s="846"/>
      <c r="L3076" s="847"/>
      <c r="M3076" s="846"/>
      <c r="N3076" s="846"/>
      <c r="O3076" s="737">
        <f t="shared" si="383"/>
        <v>0</v>
      </c>
      <c r="P3076" s="847"/>
      <c r="Q3076" s="847"/>
      <c r="R3076" s="738">
        <f t="shared" si="386"/>
        <v>0</v>
      </c>
      <c r="S3076" s="737">
        <f t="shared" si="387"/>
        <v>0</v>
      </c>
      <c r="T3076" s="739">
        <f t="shared" si="388"/>
        <v>0</v>
      </c>
      <c r="U3076" s="846"/>
      <c r="V3076" s="847"/>
      <c r="W3076" s="846"/>
      <c r="X3076" s="846"/>
      <c r="Y3076" s="740">
        <f t="shared" si="384"/>
        <v>0</v>
      </c>
      <c r="Z3076" s="847"/>
      <c r="AA3076" s="847"/>
      <c r="AB3076" s="741">
        <f t="shared" si="385"/>
        <v>0</v>
      </c>
      <c r="AC3076" s="846"/>
      <c r="AD3076" s="847"/>
      <c r="AE3076" s="846"/>
      <c r="AF3076" s="846"/>
      <c r="AG3076" s="847"/>
      <c r="AH3076" s="847"/>
      <c r="AI3076" s="742">
        <f t="shared" si="389"/>
        <v>0</v>
      </c>
      <c r="AJ3076" s="743">
        <f t="shared" si="390"/>
        <v>0</v>
      </c>
    </row>
    <row r="3077" spans="1:36">
      <c r="A3077" s="1083" t="s">
        <v>156</v>
      </c>
      <c r="B3077" s="1084" t="s">
        <v>286</v>
      </c>
      <c r="C3077" s="1101" t="s">
        <v>506</v>
      </c>
      <c r="D3077" s="1334"/>
      <c r="E3077" s="1335"/>
      <c r="F3077" s="1336"/>
      <c r="G3077" s="846"/>
      <c r="H3077" s="847"/>
      <c r="I3077" s="846"/>
      <c r="J3077" s="847"/>
      <c r="K3077" s="846"/>
      <c r="L3077" s="847"/>
      <c r="M3077" s="846"/>
      <c r="N3077" s="846"/>
      <c r="O3077" s="737">
        <f t="shared" si="383"/>
        <v>0</v>
      </c>
      <c r="P3077" s="847"/>
      <c r="Q3077" s="847"/>
      <c r="R3077" s="738">
        <f t="shared" si="386"/>
        <v>0</v>
      </c>
      <c r="S3077" s="737">
        <f t="shared" si="387"/>
        <v>0</v>
      </c>
      <c r="T3077" s="739">
        <f t="shared" si="388"/>
        <v>0</v>
      </c>
      <c r="U3077" s="846"/>
      <c r="V3077" s="847"/>
      <c r="W3077" s="846"/>
      <c r="X3077" s="846"/>
      <c r="Y3077" s="740">
        <f t="shared" si="384"/>
        <v>0</v>
      </c>
      <c r="Z3077" s="847"/>
      <c r="AA3077" s="847"/>
      <c r="AB3077" s="741">
        <f t="shared" si="385"/>
        <v>0</v>
      </c>
      <c r="AC3077" s="846"/>
      <c r="AD3077" s="847"/>
      <c r="AE3077" s="846"/>
      <c r="AF3077" s="846"/>
      <c r="AG3077" s="847"/>
      <c r="AH3077" s="847"/>
      <c r="AI3077" s="742">
        <f t="shared" si="389"/>
        <v>0</v>
      </c>
      <c r="AJ3077" s="743">
        <f t="shared" si="390"/>
        <v>0</v>
      </c>
    </row>
    <row r="3078" spans="1:36">
      <c r="A3078" s="1083" t="s">
        <v>156</v>
      </c>
      <c r="B3078" s="1084" t="s">
        <v>287</v>
      </c>
      <c r="C3078" s="1101" t="s">
        <v>510</v>
      </c>
      <c r="D3078" s="1334"/>
      <c r="E3078" s="1335"/>
      <c r="F3078" s="1336"/>
      <c r="G3078" s="846"/>
      <c r="H3078" s="847"/>
      <c r="I3078" s="846"/>
      <c r="J3078" s="847"/>
      <c r="K3078" s="846"/>
      <c r="L3078" s="847"/>
      <c r="M3078" s="846"/>
      <c r="N3078" s="846"/>
      <c r="O3078" s="737">
        <f t="shared" si="383"/>
        <v>0</v>
      </c>
      <c r="P3078" s="847"/>
      <c r="Q3078" s="847"/>
      <c r="R3078" s="738">
        <f t="shared" si="386"/>
        <v>0</v>
      </c>
      <c r="S3078" s="737">
        <f t="shared" si="387"/>
        <v>0</v>
      </c>
      <c r="T3078" s="739">
        <f t="shared" si="388"/>
        <v>0</v>
      </c>
      <c r="U3078" s="846"/>
      <c r="V3078" s="847"/>
      <c r="W3078" s="846"/>
      <c r="X3078" s="846"/>
      <c r="Y3078" s="740">
        <f t="shared" si="384"/>
        <v>0</v>
      </c>
      <c r="Z3078" s="847"/>
      <c r="AA3078" s="847"/>
      <c r="AB3078" s="741">
        <f t="shared" si="385"/>
        <v>0</v>
      </c>
      <c r="AC3078" s="846"/>
      <c r="AD3078" s="847"/>
      <c r="AE3078" s="846"/>
      <c r="AF3078" s="846"/>
      <c r="AG3078" s="847"/>
      <c r="AH3078" s="847"/>
      <c r="AI3078" s="742">
        <f t="shared" si="389"/>
        <v>0</v>
      </c>
      <c r="AJ3078" s="743">
        <f t="shared" si="390"/>
        <v>0</v>
      </c>
    </row>
    <row r="3079" spans="1:36">
      <c r="A3079" s="1083" t="s">
        <v>156</v>
      </c>
      <c r="B3079" s="1084" t="s">
        <v>288</v>
      </c>
      <c r="C3079" s="1347" t="s">
        <v>511</v>
      </c>
      <c r="D3079" s="1334"/>
      <c r="E3079" s="1335"/>
      <c r="F3079" s="1336"/>
      <c r="G3079" s="846"/>
      <c r="H3079" s="847"/>
      <c r="I3079" s="846"/>
      <c r="J3079" s="847"/>
      <c r="K3079" s="846"/>
      <c r="L3079" s="847"/>
      <c r="M3079" s="846"/>
      <c r="N3079" s="846"/>
      <c r="O3079" s="737">
        <f t="shared" si="383"/>
        <v>0</v>
      </c>
      <c r="P3079" s="847"/>
      <c r="Q3079" s="847"/>
      <c r="R3079" s="738">
        <f t="shared" si="386"/>
        <v>0</v>
      </c>
      <c r="S3079" s="737">
        <f t="shared" si="387"/>
        <v>0</v>
      </c>
      <c r="T3079" s="739">
        <f t="shared" si="388"/>
        <v>0</v>
      </c>
      <c r="U3079" s="846"/>
      <c r="V3079" s="847"/>
      <c r="W3079" s="846"/>
      <c r="X3079" s="846"/>
      <c r="Y3079" s="740">
        <f t="shared" si="384"/>
        <v>0</v>
      </c>
      <c r="Z3079" s="847"/>
      <c r="AA3079" s="847"/>
      <c r="AB3079" s="741">
        <f t="shared" si="385"/>
        <v>0</v>
      </c>
      <c r="AC3079" s="846"/>
      <c r="AD3079" s="847"/>
      <c r="AE3079" s="846"/>
      <c r="AF3079" s="846"/>
      <c r="AG3079" s="847"/>
      <c r="AH3079" s="847"/>
      <c r="AI3079" s="742">
        <f t="shared" si="389"/>
        <v>0</v>
      </c>
      <c r="AJ3079" s="743">
        <f t="shared" si="390"/>
        <v>0</v>
      </c>
    </row>
    <row r="3080" spans="1:36">
      <c r="A3080" s="1083" t="s">
        <v>156</v>
      </c>
      <c r="B3080" s="1084" t="s">
        <v>288</v>
      </c>
      <c r="C3080" s="1097" t="s">
        <v>568</v>
      </c>
      <c r="D3080" s="1334"/>
      <c r="E3080" s="1335"/>
      <c r="F3080" s="1336"/>
      <c r="G3080" s="846"/>
      <c r="H3080" s="847"/>
      <c r="I3080" s="846"/>
      <c r="J3080" s="847"/>
      <c r="K3080" s="846"/>
      <c r="L3080" s="847"/>
      <c r="M3080" s="846"/>
      <c r="N3080" s="846"/>
      <c r="O3080" s="737">
        <f t="shared" si="383"/>
        <v>0</v>
      </c>
      <c r="P3080" s="847"/>
      <c r="Q3080" s="847"/>
      <c r="R3080" s="738">
        <f t="shared" si="386"/>
        <v>0</v>
      </c>
      <c r="S3080" s="737">
        <f t="shared" si="387"/>
        <v>0</v>
      </c>
      <c r="T3080" s="739">
        <f t="shared" si="388"/>
        <v>0</v>
      </c>
      <c r="U3080" s="846">
        <v>20000</v>
      </c>
      <c r="V3080" s="847">
        <v>20000</v>
      </c>
      <c r="W3080" s="846"/>
      <c r="X3080" s="846"/>
      <c r="Y3080" s="740">
        <f t="shared" si="384"/>
        <v>0</v>
      </c>
      <c r="Z3080" s="847"/>
      <c r="AA3080" s="847"/>
      <c r="AB3080" s="741">
        <f t="shared" si="385"/>
        <v>0</v>
      </c>
      <c r="AC3080" s="846"/>
      <c r="AD3080" s="847"/>
      <c r="AE3080" s="846"/>
      <c r="AF3080" s="846"/>
      <c r="AG3080" s="847"/>
      <c r="AH3080" s="847"/>
      <c r="AI3080" s="742">
        <f t="shared" si="389"/>
        <v>20000</v>
      </c>
      <c r="AJ3080" s="743">
        <f t="shared" si="390"/>
        <v>20000</v>
      </c>
    </row>
    <row r="3081" spans="1:36">
      <c r="A3081" s="1083" t="s">
        <v>156</v>
      </c>
      <c r="B3081" s="1084" t="s">
        <v>289</v>
      </c>
      <c r="C3081" s="1347" t="s">
        <v>515</v>
      </c>
      <c r="D3081" s="1334"/>
      <c r="E3081" s="1335"/>
      <c r="F3081" s="1336"/>
      <c r="G3081" s="846"/>
      <c r="H3081" s="847"/>
      <c r="I3081" s="846"/>
      <c r="J3081" s="847"/>
      <c r="K3081" s="846"/>
      <c r="L3081" s="847"/>
      <c r="M3081" s="846"/>
      <c r="N3081" s="846"/>
      <c r="O3081" s="737">
        <f t="shared" si="383"/>
        <v>0</v>
      </c>
      <c r="P3081" s="847"/>
      <c r="Q3081" s="847"/>
      <c r="R3081" s="738">
        <f t="shared" si="386"/>
        <v>0</v>
      </c>
      <c r="S3081" s="737">
        <f t="shared" si="387"/>
        <v>0</v>
      </c>
      <c r="T3081" s="739">
        <f t="shared" si="388"/>
        <v>0</v>
      </c>
      <c r="U3081" s="846"/>
      <c r="V3081" s="847"/>
      <c r="W3081" s="846"/>
      <c r="X3081" s="846"/>
      <c r="Y3081" s="740">
        <f t="shared" si="384"/>
        <v>0</v>
      </c>
      <c r="Z3081" s="847"/>
      <c r="AA3081" s="847"/>
      <c r="AB3081" s="741">
        <f t="shared" si="385"/>
        <v>0</v>
      </c>
      <c r="AC3081" s="846"/>
      <c r="AD3081" s="847"/>
      <c r="AE3081" s="846"/>
      <c r="AF3081" s="846"/>
      <c r="AG3081" s="847"/>
      <c r="AH3081" s="847"/>
      <c r="AI3081" s="742">
        <f t="shared" si="389"/>
        <v>0</v>
      </c>
      <c r="AJ3081" s="743">
        <f t="shared" si="390"/>
        <v>0</v>
      </c>
    </row>
    <row r="3082" spans="1:36">
      <c r="A3082" s="1083" t="s">
        <v>156</v>
      </c>
      <c r="B3082" s="1084" t="s">
        <v>289</v>
      </c>
      <c r="C3082" s="1097" t="s">
        <v>1677</v>
      </c>
      <c r="D3082" s="1334"/>
      <c r="E3082" s="1335"/>
      <c r="F3082" s="1336"/>
      <c r="G3082" s="846"/>
      <c r="H3082" s="847"/>
      <c r="I3082" s="846"/>
      <c r="J3082" s="847"/>
      <c r="K3082" s="846"/>
      <c r="L3082" s="847"/>
      <c r="M3082" s="846"/>
      <c r="N3082" s="846"/>
      <c r="O3082" s="737">
        <f t="shared" ref="O3082:O3145" si="391">SUM(M3082:N3082)</f>
        <v>0</v>
      </c>
      <c r="P3082" s="847"/>
      <c r="Q3082" s="847"/>
      <c r="R3082" s="738">
        <f t="shared" si="386"/>
        <v>0</v>
      </c>
      <c r="S3082" s="737">
        <f t="shared" si="387"/>
        <v>0</v>
      </c>
      <c r="T3082" s="739">
        <f t="shared" si="388"/>
        <v>0</v>
      </c>
      <c r="U3082" s="846"/>
      <c r="V3082" s="847"/>
      <c r="W3082" s="846"/>
      <c r="X3082" s="846"/>
      <c r="Y3082" s="740">
        <f t="shared" ref="Y3082:Y3145" si="392">SUM(W3082:X3082)</f>
        <v>0</v>
      </c>
      <c r="Z3082" s="847"/>
      <c r="AA3082" s="847"/>
      <c r="AB3082" s="741">
        <f t="shared" ref="AB3082:AB3145" si="393">SUM(Z3082:AA3082)</f>
        <v>0</v>
      </c>
      <c r="AC3082" s="846"/>
      <c r="AD3082" s="847"/>
      <c r="AE3082" s="846"/>
      <c r="AF3082" s="846"/>
      <c r="AG3082" s="847"/>
      <c r="AH3082" s="847"/>
      <c r="AI3082" s="742">
        <f t="shared" si="389"/>
        <v>0</v>
      </c>
      <c r="AJ3082" s="743">
        <f t="shared" si="390"/>
        <v>0</v>
      </c>
    </row>
    <row r="3083" spans="1:36">
      <c r="A3083" s="1083" t="s">
        <v>156</v>
      </c>
      <c r="B3083" s="1084" t="s">
        <v>289</v>
      </c>
      <c r="C3083" s="1097" t="s">
        <v>1678</v>
      </c>
      <c r="D3083" s="1334"/>
      <c r="E3083" s="1335"/>
      <c r="F3083" s="1336"/>
      <c r="G3083" s="846"/>
      <c r="H3083" s="847"/>
      <c r="I3083" s="846"/>
      <c r="J3083" s="847"/>
      <c r="K3083" s="846"/>
      <c r="L3083" s="847"/>
      <c r="M3083" s="846"/>
      <c r="N3083" s="846"/>
      <c r="O3083" s="737">
        <f t="shared" si="391"/>
        <v>0</v>
      </c>
      <c r="P3083" s="847"/>
      <c r="Q3083" s="847"/>
      <c r="R3083" s="738">
        <f t="shared" ref="R3083:R3146" si="394">SUM(P3083:Q3083)</f>
        <v>0</v>
      </c>
      <c r="S3083" s="737">
        <f t="shared" ref="S3083:S3146" si="395">SUM(G3083,I3083,K3083,M3083)</f>
        <v>0</v>
      </c>
      <c r="T3083" s="739">
        <f t="shared" ref="T3083:T3146" si="396">SUM(H3083,J3083,L3083,P3083)</f>
        <v>0</v>
      </c>
      <c r="U3083" s="846"/>
      <c r="V3083" s="847"/>
      <c r="W3083" s="846"/>
      <c r="X3083" s="846"/>
      <c r="Y3083" s="740">
        <f t="shared" si="392"/>
        <v>0</v>
      </c>
      <c r="Z3083" s="847"/>
      <c r="AA3083" s="847"/>
      <c r="AB3083" s="741">
        <f t="shared" si="393"/>
        <v>0</v>
      </c>
      <c r="AC3083" s="846"/>
      <c r="AD3083" s="847"/>
      <c r="AE3083" s="846"/>
      <c r="AF3083" s="846"/>
      <c r="AG3083" s="847"/>
      <c r="AH3083" s="847"/>
      <c r="AI3083" s="742">
        <f t="shared" ref="AI3083:AI3146" si="397">SUM(S3083,U3083,W3083,AC3083,AE3083)</f>
        <v>0</v>
      </c>
      <c r="AJ3083" s="743">
        <f t="shared" ref="AJ3083:AJ3146" si="398">SUM(T3083,V3083,Z3083,AD3083,AG3083)</f>
        <v>0</v>
      </c>
    </row>
    <row r="3084" spans="1:36">
      <c r="A3084" s="1083" t="s">
        <v>156</v>
      </c>
      <c r="B3084" s="1084" t="s">
        <v>289</v>
      </c>
      <c r="C3084" s="1097" t="s">
        <v>571</v>
      </c>
      <c r="D3084" s="1334"/>
      <c r="E3084" s="1335"/>
      <c r="F3084" s="1336"/>
      <c r="G3084" s="846"/>
      <c r="H3084" s="847"/>
      <c r="I3084" s="846"/>
      <c r="J3084" s="847"/>
      <c r="K3084" s="846"/>
      <c r="L3084" s="847"/>
      <c r="M3084" s="846"/>
      <c r="N3084" s="846"/>
      <c r="O3084" s="737">
        <f t="shared" si="391"/>
        <v>0</v>
      </c>
      <c r="P3084" s="847"/>
      <c r="Q3084" s="847"/>
      <c r="R3084" s="738">
        <f t="shared" si="394"/>
        <v>0</v>
      </c>
      <c r="S3084" s="737">
        <f t="shared" si="395"/>
        <v>0</v>
      </c>
      <c r="T3084" s="739">
        <f t="shared" si="396"/>
        <v>0</v>
      </c>
      <c r="U3084" s="846"/>
      <c r="V3084" s="847"/>
      <c r="W3084" s="846"/>
      <c r="X3084" s="846"/>
      <c r="Y3084" s="740">
        <f t="shared" si="392"/>
        <v>0</v>
      </c>
      <c r="Z3084" s="847"/>
      <c r="AA3084" s="847"/>
      <c r="AB3084" s="741">
        <f t="shared" si="393"/>
        <v>0</v>
      </c>
      <c r="AC3084" s="846"/>
      <c r="AD3084" s="847"/>
      <c r="AE3084" s="846"/>
      <c r="AF3084" s="846"/>
      <c r="AG3084" s="847"/>
      <c r="AH3084" s="847"/>
      <c r="AI3084" s="742">
        <f t="shared" si="397"/>
        <v>0</v>
      </c>
      <c r="AJ3084" s="743">
        <f t="shared" si="398"/>
        <v>0</v>
      </c>
    </row>
    <row r="3085" spans="1:36">
      <c r="A3085" s="1083" t="s">
        <v>156</v>
      </c>
      <c r="B3085" s="1084" t="s">
        <v>289</v>
      </c>
      <c r="C3085" s="1097" t="s">
        <v>1679</v>
      </c>
      <c r="D3085" s="1334"/>
      <c r="E3085" s="1335"/>
      <c r="F3085" s="1336"/>
      <c r="G3085" s="846"/>
      <c r="H3085" s="847"/>
      <c r="I3085" s="846"/>
      <c r="J3085" s="847"/>
      <c r="K3085" s="846"/>
      <c r="L3085" s="847"/>
      <c r="M3085" s="846"/>
      <c r="N3085" s="846"/>
      <c r="O3085" s="737">
        <f t="shared" si="391"/>
        <v>0</v>
      </c>
      <c r="P3085" s="847"/>
      <c r="Q3085" s="847"/>
      <c r="R3085" s="738">
        <f t="shared" si="394"/>
        <v>0</v>
      </c>
      <c r="S3085" s="737">
        <f t="shared" si="395"/>
        <v>0</v>
      </c>
      <c r="T3085" s="739">
        <f t="shared" si="396"/>
        <v>0</v>
      </c>
      <c r="U3085" s="846"/>
      <c r="V3085" s="847"/>
      <c r="W3085" s="846"/>
      <c r="X3085" s="846"/>
      <c r="Y3085" s="740">
        <f t="shared" si="392"/>
        <v>0</v>
      </c>
      <c r="Z3085" s="847"/>
      <c r="AA3085" s="847"/>
      <c r="AB3085" s="741">
        <f t="shared" si="393"/>
        <v>0</v>
      </c>
      <c r="AC3085" s="846"/>
      <c r="AD3085" s="847"/>
      <c r="AE3085" s="846"/>
      <c r="AF3085" s="846"/>
      <c r="AG3085" s="847"/>
      <c r="AH3085" s="847"/>
      <c r="AI3085" s="742">
        <f t="shared" si="397"/>
        <v>0</v>
      </c>
      <c r="AJ3085" s="743">
        <f t="shared" si="398"/>
        <v>0</v>
      </c>
    </row>
    <row r="3086" spans="1:36">
      <c r="A3086" s="1083" t="s">
        <v>156</v>
      </c>
      <c r="B3086" s="1084" t="s">
        <v>290</v>
      </c>
      <c r="C3086" s="1347" t="s">
        <v>137</v>
      </c>
      <c r="D3086" s="1334"/>
      <c r="E3086" s="1335"/>
      <c r="F3086" s="1336"/>
      <c r="G3086" s="846"/>
      <c r="H3086" s="847"/>
      <c r="I3086" s="846"/>
      <c r="J3086" s="847"/>
      <c r="K3086" s="846"/>
      <c r="L3086" s="847"/>
      <c r="M3086" s="846"/>
      <c r="N3086" s="846"/>
      <c r="O3086" s="737">
        <f t="shared" si="391"/>
        <v>0</v>
      </c>
      <c r="P3086" s="847"/>
      <c r="Q3086" s="847"/>
      <c r="R3086" s="738">
        <f t="shared" si="394"/>
        <v>0</v>
      </c>
      <c r="S3086" s="737">
        <f t="shared" si="395"/>
        <v>0</v>
      </c>
      <c r="T3086" s="739">
        <f t="shared" si="396"/>
        <v>0</v>
      </c>
      <c r="U3086" s="846">
        <v>170000</v>
      </c>
      <c r="V3086" s="847">
        <v>170000</v>
      </c>
      <c r="W3086" s="846"/>
      <c r="X3086" s="846"/>
      <c r="Y3086" s="740">
        <f t="shared" si="392"/>
        <v>0</v>
      </c>
      <c r="Z3086" s="847"/>
      <c r="AA3086" s="847"/>
      <c r="AB3086" s="741">
        <f t="shared" si="393"/>
        <v>0</v>
      </c>
      <c r="AC3086" s="846"/>
      <c r="AD3086" s="847"/>
      <c r="AE3086" s="846"/>
      <c r="AF3086" s="846"/>
      <c r="AG3086" s="847"/>
      <c r="AH3086" s="847"/>
      <c r="AI3086" s="742">
        <f t="shared" si="397"/>
        <v>170000</v>
      </c>
      <c r="AJ3086" s="743">
        <f t="shared" si="398"/>
        <v>170000</v>
      </c>
    </row>
    <row r="3087" spans="1:36">
      <c r="A3087" s="1083" t="s">
        <v>156</v>
      </c>
      <c r="B3087" s="1084" t="s">
        <v>291</v>
      </c>
      <c r="C3087" s="1354" t="s">
        <v>520</v>
      </c>
      <c r="D3087" s="1334"/>
      <c r="E3087" s="1335"/>
      <c r="F3087" s="1336"/>
      <c r="G3087" s="846"/>
      <c r="H3087" s="847"/>
      <c r="I3087" s="846"/>
      <c r="J3087" s="847"/>
      <c r="K3087" s="846"/>
      <c r="L3087" s="847"/>
      <c r="M3087" s="846"/>
      <c r="N3087" s="846"/>
      <c r="O3087" s="737">
        <f t="shared" si="391"/>
        <v>0</v>
      </c>
      <c r="P3087" s="847"/>
      <c r="Q3087" s="847"/>
      <c r="R3087" s="738">
        <f t="shared" si="394"/>
        <v>0</v>
      </c>
      <c r="S3087" s="737">
        <f t="shared" si="395"/>
        <v>0</v>
      </c>
      <c r="T3087" s="739">
        <f t="shared" si="396"/>
        <v>0</v>
      </c>
      <c r="U3087" s="846"/>
      <c r="V3087" s="847"/>
      <c r="W3087" s="846"/>
      <c r="X3087" s="846"/>
      <c r="Y3087" s="740">
        <f t="shared" si="392"/>
        <v>0</v>
      </c>
      <c r="Z3087" s="847"/>
      <c r="AA3087" s="847"/>
      <c r="AB3087" s="741">
        <f t="shared" si="393"/>
        <v>0</v>
      </c>
      <c r="AC3087" s="846"/>
      <c r="AD3087" s="847"/>
      <c r="AE3087" s="846"/>
      <c r="AF3087" s="846"/>
      <c r="AG3087" s="847"/>
      <c r="AH3087" s="847"/>
      <c r="AI3087" s="742">
        <f t="shared" si="397"/>
        <v>0</v>
      </c>
      <c r="AJ3087" s="743">
        <f t="shared" si="398"/>
        <v>0</v>
      </c>
    </row>
    <row r="3088" spans="1:36">
      <c r="A3088" s="1083" t="s">
        <v>156</v>
      </c>
      <c r="B3088" s="1084" t="s">
        <v>292</v>
      </c>
      <c r="C3088" s="1355" t="s">
        <v>34</v>
      </c>
      <c r="D3088" s="1334"/>
      <c r="E3088" s="1335"/>
      <c r="F3088" s="1336"/>
      <c r="G3088" s="846"/>
      <c r="H3088" s="847"/>
      <c r="I3088" s="846"/>
      <c r="J3088" s="847"/>
      <c r="K3088" s="846"/>
      <c r="L3088" s="847"/>
      <c r="M3088" s="846"/>
      <c r="N3088" s="846"/>
      <c r="O3088" s="737">
        <f t="shared" si="391"/>
        <v>0</v>
      </c>
      <c r="P3088" s="847"/>
      <c r="Q3088" s="847"/>
      <c r="R3088" s="738">
        <f t="shared" si="394"/>
        <v>0</v>
      </c>
      <c r="S3088" s="737">
        <f t="shared" si="395"/>
        <v>0</v>
      </c>
      <c r="T3088" s="739">
        <f t="shared" si="396"/>
        <v>0</v>
      </c>
      <c r="U3088" s="846"/>
      <c r="V3088" s="847"/>
      <c r="W3088" s="846"/>
      <c r="X3088" s="846"/>
      <c r="Y3088" s="740">
        <f t="shared" si="392"/>
        <v>0</v>
      </c>
      <c r="Z3088" s="847"/>
      <c r="AA3088" s="847"/>
      <c r="AB3088" s="741">
        <f t="shared" si="393"/>
        <v>0</v>
      </c>
      <c r="AC3088" s="846"/>
      <c r="AD3088" s="847"/>
      <c r="AE3088" s="846"/>
      <c r="AF3088" s="846"/>
      <c r="AG3088" s="847"/>
      <c r="AH3088" s="847"/>
      <c r="AI3088" s="742">
        <f t="shared" si="397"/>
        <v>0</v>
      </c>
      <c r="AJ3088" s="743">
        <f t="shared" si="398"/>
        <v>0</v>
      </c>
    </row>
    <row r="3089" spans="1:36">
      <c r="A3089" s="1083" t="s">
        <v>156</v>
      </c>
      <c r="B3089" s="1084" t="s">
        <v>292</v>
      </c>
      <c r="C3089" s="1356" t="s">
        <v>1680</v>
      </c>
      <c r="D3089" s="1334"/>
      <c r="E3089" s="1335"/>
      <c r="F3089" s="1336"/>
      <c r="G3089" s="846"/>
      <c r="H3089" s="847"/>
      <c r="I3089" s="846"/>
      <c r="J3089" s="847"/>
      <c r="K3089" s="846"/>
      <c r="L3089" s="847"/>
      <c r="M3089" s="846"/>
      <c r="N3089" s="846"/>
      <c r="O3089" s="737">
        <f t="shared" si="391"/>
        <v>0</v>
      </c>
      <c r="P3089" s="847"/>
      <c r="Q3089" s="847"/>
      <c r="R3089" s="738">
        <f t="shared" si="394"/>
        <v>0</v>
      </c>
      <c r="S3089" s="737">
        <f t="shared" si="395"/>
        <v>0</v>
      </c>
      <c r="T3089" s="739">
        <f t="shared" si="396"/>
        <v>0</v>
      </c>
      <c r="U3089" s="846"/>
      <c r="V3089" s="847"/>
      <c r="W3089" s="846"/>
      <c r="X3089" s="846"/>
      <c r="Y3089" s="740">
        <f t="shared" si="392"/>
        <v>0</v>
      </c>
      <c r="Z3089" s="847"/>
      <c r="AA3089" s="847"/>
      <c r="AB3089" s="741">
        <f t="shared" si="393"/>
        <v>0</v>
      </c>
      <c r="AC3089" s="846"/>
      <c r="AD3089" s="847"/>
      <c r="AE3089" s="846"/>
      <c r="AF3089" s="846"/>
      <c r="AG3089" s="847"/>
      <c r="AH3089" s="847"/>
      <c r="AI3089" s="742">
        <f t="shared" si="397"/>
        <v>0</v>
      </c>
      <c r="AJ3089" s="743">
        <f t="shared" si="398"/>
        <v>0</v>
      </c>
    </row>
    <row r="3090" spans="1:36">
      <c r="A3090" s="1083" t="s">
        <v>156</v>
      </c>
      <c r="B3090" s="1357" t="s">
        <v>209</v>
      </c>
      <c r="C3090" s="1358" t="s">
        <v>522</v>
      </c>
      <c r="D3090" s="1334"/>
      <c r="E3090" s="1359"/>
      <c r="F3090" s="1100"/>
      <c r="G3090" s="846"/>
      <c r="H3090" s="847"/>
      <c r="I3090" s="846"/>
      <c r="J3090" s="847"/>
      <c r="K3090" s="846"/>
      <c r="L3090" s="847"/>
      <c r="M3090" s="846"/>
      <c r="N3090" s="846"/>
      <c r="O3090" s="737">
        <f t="shared" si="391"/>
        <v>0</v>
      </c>
      <c r="P3090" s="847"/>
      <c r="Q3090" s="847"/>
      <c r="R3090" s="738">
        <f t="shared" si="394"/>
        <v>0</v>
      </c>
      <c r="S3090" s="737">
        <f t="shared" si="395"/>
        <v>0</v>
      </c>
      <c r="T3090" s="739">
        <f t="shared" si="396"/>
        <v>0</v>
      </c>
      <c r="U3090" s="846"/>
      <c r="V3090" s="847"/>
      <c r="W3090" s="846"/>
      <c r="X3090" s="846"/>
      <c r="Y3090" s="740">
        <f t="shared" si="392"/>
        <v>0</v>
      </c>
      <c r="Z3090" s="847"/>
      <c r="AA3090" s="847"/>
      <c r="AB3090" s="741">
        <f t="shared" si="393"/>
        <v>0</v>
      </c>
      <c r="AC3090" s="846"/>
      <c r="AD3090" s="847"/>
      <c r="AE3090" s="846"/>
      <c r="AF3090" s="846"/>
      <c r="AG3090" s="847"/>
      <c r="AH3090" s="847"/>
      <c r="AI3090" s="742">
        <f t="shared" si="397"/>
        <v>0</v>
      </c>
      <c r="AJ3090" s="743">
        <f t="shared" si="398"/>
        <v>0</v>
      </c>
    </row>
    <row r="3091" spans="1:36">
      <c r="A3091" s="1083" t="s">
        <v>156</v>
      </c>
      <c r="B3091" s="1357" t="s">
        <v>210</v>
      </c>
      <c r="C3091" s="1358" t="s">
        <v>311</v>
      </c>
      <c r="D3091" s="1334"/>
      <c r="E3091" s="1359"/>
      <c r="F3091" s="1100"/>
      <c r="G3091" s="846"/>
      <c r="H3091" s="847"/>
      <c r="I3091" s="846"/>
      <c r="J3091" s="847"/>
      <c r="K3091" s="846"/>
      <c r="L3091" s="847"/>
      <c r="M3091" s="846"/>
      <c r="N3091" s="846"/>
      <c r="O3091" s="737">
        <f t="shared" si="391"/>
        <v>0</v>
      </c>
      <c r="P3091" s="847"/>
      <c r="Q3091" s="847"/>
      <c r="R3091" s="738">
        <f t="shared" si="394"/>
        <v>0</v>
      </c>
      <c r="S3091" s="737">
        <f t="shared" si="395"/>
        <v>0</v>
      </c>
      <c r="T3091" s="739">
        <f t="shared" si="396"/>
        <v>0</v>
      </c>
      <c r="U3091" s="846">
        <v>3372105</v>
      </c>
      <c r="V3091" s="847">
        <v>0</v>
      </c>
      <c r="W3091" s="846"/>
      <c r="X3091" s="846"/>
      <c r="Y3091" s="740">
        <f t="shared" si="392"/>
        <v>0</v>
      </c>
      <c r="Z3091" s="847"/>
      <c r="AA3091" s="847"/>
      <c r="AB3091" s="741">
        <f t="shared" si="393"/>
        <v>0</v>
      </c>
      <c r="AC3091" s="846"/>
      <c r="AD3091" s="847"/>
      <c r="AE3091" s="846"/>
      <c r="AF3091" s="846"/>
      <c r="AG3091" s="847"/>
      <c r="AH3091" s="847"/>
      <c r="AI3091" s="742">
        <f t="shared" si="397"/>
        <v>3372105</v>
      </c>
      <c r="AJ3091" s="743">
        <f t="shared" si="398"/>
        <v>0</v>
      </c>
    </row>
    <row r="3092" spans="1:36">
      <c r="A3092" s="1083" t="s">
        <v>156</v>
      </c>
      <c r="B3092" s="1357" t="s">
        <v>204</v>
      </c>
      <c r="C3092" s="1358" t="s">
        <v>1681</v>
      </c>
      <c r="D3092" s="1334"/>
      <c r="E3092" s="1359"/>
      <c r="F3092" s="1100"/>
      <c r="G3092" s="846"/>
      <c r="H3092" s="847"/>
      <c r="I3092" s="846"/>
      <c r="J3092" s="847"/>
      <c r="K3092" s="846"/>
      <c r="L3092" s="847"/>
      <c r="M3092" s="846"/>
      <c r="N3092" s="846"/>
      <c r="O3092" s="737">
        <f t="shared" si="391"/>
        <v>0</v>
      </c>
      <c r="P3092" s="847"/>
      <c r="Q3092" s="847"/>
      <c r="R3092" s="738">
        <f t="shared" si="394"/>
        <v>0</v>
      </c>
      <c r="S3092" s="737">
        <f t="shared" si="395"/>
        <v>0</v>
      </c>
      <c r="T3092" s="739">
        <f t="shared" si="396"/>
        <v>0</v>
      </c>
      <c r="U3092" s="846">
        <v>1250000</v>
      </c>
      <c r="V3092" s="847">
        <v>1915000</v>
      </c>
      <c r="W3092" s="846"/>
      <c r="X3092" s="846"/>
      <c r="Y3092" s="740">
        <f t="shared" si="392"/>
        <v>0</v>
      </c>
      <c r="Z3092" s="847"/>
      <c r="AA3092" s="847"/>
      <c r="AB3092" s="741">
        <f t="shared" si="393"/>
        <v>0</v>
      </c>
      <c r="AC3092" s="846"/>
      <c r="AD3092" s="847"/>
      <c r="AE3092" s="846"/>
      <c r="AF3092" s="846"/>
      <c r="AG3092" s="847"/>
      <c r="AH3092" s="847"/>
      <c r="AI3092" s="742">
        <f t="shared" si="397"/>
        <v>1250000</v>
      </c>
      <c r="AJ3092" s="743">
        <f t="shared" si="398"/>
        <v>1915000</v>
      </c>
    </row>
    <row r="3093" spans="1:36">
      <c r="A3093" s="1083" t="s">
        <v>156</v>
      </c>
      <c r="B3093" s="1084" t="s">
        <v>205</v>
      </c>
      <c r="C3093" s="1358" t="s">
        <v>523</v>
      </c>
      <c r="D3093" s="1334"/>
      <c r="E3093" s="1359"/>
      <c r="F3093" s="1100"/>
      <c r="G3093" s="846"/>
      <c r="H3093" s="847"/>
      <c r="I3093" s="846"/>
      <c r="J3093" s="847"/>
      <c r="K3093" s="846"/>
      <c r="L3093" s="847"/>
      <c r="M3093" s="846"/>
      <c r="N3093" s="846"/>
      <c r="O3093" s="737">
        <f t="shared" si="391"/>
        <v>0</v>
      </c>
      <c r="P3093" s="847"/>
      <c r="Q3093" s="847"/>
      <c r="R3093" s="738">
        <f t="shared" si="394"/>
        <v>0</v>
      </c>
      <c r="S3093" s="737">
        <f t="shared" si="395"/>
        <v>0</v>
      </c>
      <c r="T3093" s="739">
        <f t="shared" si="396"/>
        <v>0</v>
      </c>
      <c r="U3093" s="846"/>
      <c r="V3093" s="847"/>
      <c r="W3093" s="846"/>
      <c r="X3093" s="846"/>
      <c r="Y3093" s="740">
        <f t="shared" si="392"/>
        <v>0</v>
      </c>
      <c r="Z3093" s="847"/>
      <c r="AA3093" s="847"/>
      <c r="AB3093" s="741">
        <f t="shared" si="393"/>
        <v>0</v>
      </c>
      <c r="AC3093" s="846"/>
      <c r="AD3093" s="847"/>
      <c r="AE3093" s="846"/>
      <c r="AF3093" s="846"/>
      <c r="AG3093" s="847"/>
      <c r="AH3093" s="847"/>
      <c r="AI3093" s="742">
        <f t="shared" si="397"/>
        <v>0</v>
      </c>
      <c r="AJ3093" s="743">
        <f t="shared" si="398"/>
        <v>0</v>
      </c>
    </row>
    <row r="3094" spans="1:36">
      <c r="A3094" s="1083" t="s">
        <v>156</v>
      </c>
      <c r="B3094" s="1357" t="s">
        <v>218</v>
      </c>
      <c r="C3094" s="1358" t="s">
        <v>311</v>
      </c>
      <c r="D3094" s="1334"/>
      <c r="E3094" s="1359"/>
      <c r="F3094" s="1100"/>
      <c r="G3094" s="846"/>
      <c r="H3094" s="847"/>
      <c r="I3094" s="846"/>
      <c r="J3094" s="847"/>
      <c r="K3094" s="846"/>
      <c r="L3094" s="847"/>
      <c r="M3094" s="846"/>
      <c r="N3094" s="846"/>
      <c r="O3094" s="737">
        <f t="shared" si="391"/>
        <v>0</v>
      </c>
      <c r="P3094" s="847"/>
      <c r="Q3094" s="847"/>
      <c r="R3094" s="738">
        <f t="shared" si="394"/>
        <v>0</v>
      </c>
      <c r="S3094" s="737">
        <f t="shared" si="395"/>
        <v>0</v>
      </c>
      <c r="T3094" s="739">
        <f t="shared" si="396"/>
        <v>0</v>
      </c>
      <c r="U3094" s="846">
        <v>1041645</v>
      </c>
      <c r="V3094" s="847">
        <v>0</v>
      </c>
      <c r="W3094" s="846"/>
      <c r="X3094" s="846"/>
      <c r="Y3094" s="740">
        <f t="shared" si="392"/>
        <v>0</v>
      </c>
      <c r="Z3094" s="847"/>
      <c r="AA3094" s="847"/>
      <c r="AB3094" s="741">
        <f t="shared" si="393"/>
        <v>0</v>
      </c>
      <c r="AC3094" s="846"/>
      <c r="AD3094" s="847"/>
      <c r="AE3094" s="846"/>
      <c r="AF3094" s="846"/>
      <c r="AG3094" s="847"/>
      <c r="AH3094" s="847"/>
      <c r="AI3094" s="742">
        <f t="shared" si="397"/>
        <v>1041645</v>
      </c>
      <c r="AJ3094" s="743">
        <f t="shared" si="398"/>
        <v>0</v>
      </c>
    </row>
    <row r="3095" spans="1:36">
      <c r="A3095" s="1083" t="s">
        <v>156</v>
      </c>
      <c r="B3095" s="1357" t="s">
        <v>219</v>
      </c>
      <c r="C3095" s="1358" t="s">
        <v>249</v>
      </c>
      <c r="D3095" s="1334"/>
      <c r="E3095" s="1359"/>
      <c r="F3095" s="1100"/>
      <c r="G3095" s="846"/>
      <c r="H3095" s="847"/>
      <c r="I3095" s="846"/>
      <c r="J3095" s="847"/>
      <c r="K3095" s="846"/>
      <c r="L3095" s="847"/>
      <c r="M3095" s="846"/>
      <c r="N3095" s="846"/>
      <c r="O3095" s="737">
        <f t="shared" si="391"/>
        <v>0</v>
      </c>
      <c r="P3095" s="847"/>
      <c r="Q3095" s="847"/>
      <c r="R3095" s="738">
        <f t="shared" si="394"/>
        <v>0</v>
      </c>
      <c r="S3095" s="737">
        <f t="shared" si="395"/>
        <v>0</v>
      </c>
      <c r="T3095" s="739">
        <f t="shared" si="396"/>
        <v>0</v>
      </c>
      <c r="U3095" s="846"/>
      <c r="V3095" s="847"/>
      <c r="W3095" s="846"/>
      <c r="X3095" s="846"/>
      <c r="Y3095" s="740">
        <f t="shared" si="392"/>
        <v>0</v>
      </c>
      <c r="Z3095" s="847"/>
      <c r="AA3095" s="847"/>
      <c r="AB3095" s="741">
        <f t="shared" si="393"/>
        <v>0</v>
      </c>
      <c r="AC3095" s="846"/>
      <c r="AD3095" s="847"/>
      <c r="AE3095" s="846"/>
      <c r="AF3095" s="846"/>
      <c r="AG3095" s="847"/>
      <c r="AH3095" s="847"/>
      <c r="AI3095" s="742">
        <f t="shared" si="397"/>
        <v>0</v>
      </c>
      <c r="AJ3095" s="743">
        <f t="shared" si="398"/>
        <v>0</v>
      </c>
    </row>
    <row r="3096" spans="1:36">
      <c r="A3096" s="1083" t="s">
        <v>156</v>
      </c>
      <c r="B3096" s="1357" t="s">
        <v>293</v>
      </c>
      <c r="C3096" s="1360" t="s">
        <v>525</v>
      </c>
      <c r="D3096" s="1334"/>
      <c r="E3096" s="1359"/>
      <c r="F3096" s="1100"/>
      <c r="G3096" s="846"/>
      <c r="H3096" s="847"/>
      <c r="I3096" s="846"/>
      <c r="J3096" s="847"/>
      <c r="K3096" s="846"/>
      <c r="L3096" s="847"/>
      <c r="M3096" s="846"/>
      <c r="N3096" s="846"/>
      <c r="O3096" s="737">
        <f t="shared" si="391"/>
        <v>0</v>
      </c>
      <c r="P3096" s="847"/>
      <c r="Q3096" s="847"/>
      <c r="R3096" s="738">
        <f t="shared" si="394"/>
        <v>0</v>
      </c>
      <c r="S3096" s="737">
        <f t="shared" si="395"/>
        <v>0</v>
      </c>
      <c r="T3096" s="739">
        <f t="shared" si="396"/>
        <v>0</v>
      </c>
      <c r="U3096" s="846"/>
      <c r="V3096" s="847"/>
      <c r="W3096" s="846"/>
      <c r="X3096" s="846"/>
      <c r="Y3096" s="740">
        <f t="shared" si="392"/>
        <v>0</v>
      </c>
      <c r="Z3096" s="847"/>
      <c r="AA3096" s="847"/>
      <c r="AB3096" s="741">
        <f t="shared" si="393"/>
        <v>0</v>
      </c>
      <c r="AC3096" s="846"/>
      <c r="AD3096" s="847"/>
      <c r="AE3096" s="846"/>
      <c r="AF3096" s="846"/>
      <c r="AG3096" s="847"/>
      <c r="AH3096" s="847"/>
      <c r="AI3096" s="742">
        <f t="shared" si="397"/>
        <v>0</v>
      </c>
      <c r="AJ3096" s="743">
        <f t="shared" si="398"/>
        <v>0</v>
      </c>
    </row>
    <row r="3097" spans="1:36">
      <c r="A3097" s="1083" t="s">
        <v>156</v>
      </c>
      <c r="B3097" s="1357" t="s">
        <v>293</v>
      </c>
      <c r="C3097" s="1356" t="s">
        <v>1680</v>
      </c>
      <c r="D3097" s="1334"/>
      <c r="E3097" s="1359"/>
      <c r="F3097" s="1100"/>
      <c r="G3097" s="846"/>
      <c r="H3097" s="847"/>
      <c r="I3097" s="846"/>
      <c r="J3097" s="847"/>
      <c r="K3097" s="846"/>
      <c r="L3097" s="847"/>
      <c r="M3097" s="846"/>
      <c r="N3097" s="846"/>
      <c r="O3097" s="737">
        <f t="shared" si="391"/>
        <v>0</v>
      </c>
      <c r="P3097" s="847"/>
      <c r="Q3097" s="847"/>
      <c r="R3097" s="738">
        <f t="shared" si="394"/>
        <v>0</v>
      </c>
      <c r="S3097" s="737">
        <f t="shared" si="395"/>
        <v>0</v>
      </c>
      <c r="T3097" s="739">
        <f t="shared" si="396"/>
        <v>0</v>
      </c>
      <c r="U3097" s="846"/>
      <c r="V3097" s="847"/>
      <c r="W3097" s="846"/>
      <c r="X3097" s="846"/>
      <c r="Y3097" s="740">
        <f t="shared" si="392"/>
        <v>0</v>
      </c>
      <c r="Z3097" s="847"/>
      <c r="AA3097" s="847"/>
      <c r="AB3097" s="741">
        <f t="shared" si="393"/>
        <v>0</v>
      </c>
      <c r="AC3097" s="846"/>
      <c r="AD3097" s="847"/>
      <c r="AE3097" s="846"/>
      <c r="AF3097" s="846"/>
      <c r="AG3097" s="847"/>
      <c r="AH3097" s="847"/>
      <c r="AI3097" s="742">
        <f t="shared" si="397"/>
        <v>0</v>
      </c>
      <c r="AJ3097" s="743">
        <f t="shared" si="398"/>
        <v>0</v>
      </c>
    </row>
    <row r="3098" spans="1:36">
      <c r="A3098" s="1083" t="s">
        <v>156</v>
      </c>
      <c r="B3098" s="1357" t="s">
        <v>252</v>
      </c>
      <c r="C3098" s="1358" t="s">
        <v>311</v>
      </c>
      <c r="D3098" s="1334"/>
      <c r="E3098" s="1359"/>
      <c r="F3098" s="1100"/>
      <c r="G3098" s="846"/>
      <c r="H3098" s="847"/>
      <c r="I3098" s="846"/>
      <c r="J3098" s="847"/>
      <c r="K3098" s="846"/>
      <c r="L3098" s="847"/>
      <c r="M3098" s="846"/>
      <c r="N3098" s="846"/>
      <c r="O3098" s="737">
        <f t="shared" si="391"/>
        <v>0</v>
      </c>
      <c r="P3098" s="847"/>
      <c r="Q3098" s="847"/>
      <c r="R3098" s="738">
        <f t="shared" si="394"/>
        <v>0</v>
      </c>
      <c r="S3098" s="737">
        <f t="shared" si="395"/>
        <v>0</v>
      </c>
      <c r="T3098" s="739">
        <f t="shared" si="396"/>
        <v>0</v>
      </c>
      <c r="U3098" s="846">
        <v>165133966</v>
      </c>
      <c r="V3098" s="847">
        <v>169337459</v>
      </c>
      <c r="W3098" s="846"/>
      <c r="X3098" s="846"/>
      <c r="Y3098" s="740">
        <f t="shared" si="392"/>
        <v>0</v>
      </c>
      <c r="Z3098" s="847"/>
      <c r="AA3098" s="847"/>
      <c r="AB3098" s="741">
        <f t="shared" si="393"/>
        <v>0</v>
      </c>
      <c r="AC3098" s="846"/>
      <c r="AD3098" s="847"/>
      <c r="AE3098" s="846"/>
      <c r="AF3098" s="846"/>
      <c r="AG3098" s="847"/>
      <c r="AH3098" s="847"/>
      <c r="AI3098" s="742">
        <f t="shared" si="397"/>
        <v>165133966</v>
      </c>
      <c r="AJ3098" s="743">
        <f t="shared" si="398"/>
        <v>169337459</v>
      </c>
    </row>
    <row r="3099" spans="1:36">
      <c r="A3099" s="1083" t="s">
        <v>156</v>
      </c>
      <c r="B3099" s="1357" t="s">
        <v>253</v>
      </c>
      <c r="C3099" s="1358" t="s">
        <v>249</v>
      </c>
      <c r="D3099" s="1334"/>
      <c r="E3099" s="1359"/>
      <c r="F3099" s="1100"/>
      <c r="G3099" s="846"/>
      <c r="H3099" s="847"/>
      <c r="I3099" s="846"/>
      <c r="J3099" s="847"/>
      <c r="K3099" s="846"/>
      <c r="L3099" s="847"/>
      <c r="M3099" s="846"/>
      <c r="N3099" s="846"/>
      <c r="O3099" s="737">
        <f t="shared" si="391"/>
        <v>0</v>
      </c>
      <c r="P3099" s="847"/>
      <c r="Q3099" s="847"/>
      <c r="R3099" s="738">
        <f t="shared" si="394"/>
        <v>0</v>
      </c>
      <c r="S3099" s="737">
        <f t="shared" si="395"/>
        <v>0</v>
      </c>
      <c r="T3099" s="739">
        <f t="shared" si="396"/>
        <v>0</v>
      </c>
      <c r="U3099" s="846">
        <v>12359822</v>
      </c>
      <c r="V3099" s="847">
        <v>8156329</v>
      </c>
      <c r="W3099" s="846"/>
      <c r="X3099" s="846"/>
      <c r="Y3099" s="740">
        <f t="shared" si="392"/>
        <v>0</v>
      </c>
      <c r="Z3099" s="847"/>
      <c r="AA3099" s="847"/>
      <c r="AB3099" s="741">
        <f t="shared" si="393"/>
        <v>0</v>
      </c>
      <c r="AC3099" s="846"/>
      <c r="AD3099" s="847"/>
      <c r="AE3099" s="846"/>
      <c r="AF3099" s="846"/>
      <c r="AG3099" s="847"/>
      <c r="AH3099" s="847"/>
      <c r="AI3099" s="742">
        <f t="shared" si="397"/>
        <v>12359822</v>
      </c>
      <c r="AJ3099" s="743">
        <f t="shared" si="398"/>
        <v>8156329</v>
      </c>
    </row>
    <row r="3100" spans="1:36">
      <c r="A3100" s="1083" t="s">
        <v>156</v>
      </c>
      <c r="B3100" s="1357" t="s">
        <v>293</v>
      </c>
      <c r="C3100" s="1358" t="s">
        <v>1682</v>
      </c>
      <c r="D3100" s="1334"/>
      <c r="E3100" s="1359"/>
      <c r="F3100" s="1100"/>
      <c r="G3100" s="846"/>
      <c r="H3100" s="847"/>
      <c r="I3100" s="846"/>
      <c r="J3100" s="847"/>
      <c r="K3100" s="846"/>
      <c r="L3100" s="847"/>
      <c r="M3100" s="846"/>
      <c r="N3100" s="846"/>
      <c r="O3100" s="737">
        <f t="shared" si="391"/>
        <v>0</v>
      </c>
      <c r="P3100" s="847"/>
      <c r="Q3100" s="847"/>
      <c r="R3100" s="738">
        <f t="shared" si="394"/>
        <v>0</v>
      </c>
      <c r="S3100" s="737">
        <f t="shared" si="395"/>
        <v>0</v>
      </c>
      <c r="T3100" s="739">
        <f t="shared" si="396"/>
        <v>0</v>
      </c>
      <c r="U3100" s="846">
        <v>1650000</v>
      </c>
      <c r="V3100" s="847">
        <v>1700000</v>
      </c>
      <c r="W3100" s="846"/>
      <c r="X3100" s="846"/>
      <c r="Y3100" s="740">
        <f t="shared" si="392"/>
        <v>0</v>
      </c>
      <c r="Z3100" s="847"/>
      <c r="AA3100" s="847"/>
      <c r="AB3100" s="741">
        <f t="shared" si="393"/>
        <v>0</v>
      </c>
      <c r="AC3100" s="846"/>
      <c r="AD3100" s="847"/>
      <c r="AE3100" s="846"/>
      <c r="AF3100" s="846"/>
      <c r="AG3100" s="847"/>
      <c r="AH3100" s="847"/>
      <c r="AI3100" s="742">
        <f t="shared" si="397"/>
        <v>1650000</v>
      </c>
      <c r="AJ3100" s="743">
        <f t="shared" si="398"/>
        <v>1700000</v>
      </c>
    </row>
    <row r="3101" spans="1:36">
      <c r="A3101" s="1083" t="s">
        <v>156</v>
      </c>
      <c r="B3101" s="1084" t="s">
        <v>294</v>
      </c>
      <c r="C3101" s="1355" t="s">
        <v>307</v>
      </c>
      <c r="D3101" s="1334"/>
      <c r="E3101" s="1335"/>
      <c r="F3101" s="1336"/>
      <c r="G3101" s="846"/>
      <c r="H3101" s="847"/>
      <c r="I3101" s="846"/>
      <c r="J3101" s="847"/>
      <c r="K3101" s="846"/>
      <c r="L3101" s="847"/>
      <c r="M3101" s="846"/>
      <c r="N3101" s="846"/>
      <c r="O3101" s="737">
        <f t="shared" si="391"/>
        <v>0</v>
      </c>
      <c r="P3101" s="847"/>
      <c r="Q3101" s="847"/>
      <c r="R3101" s="738">
        <f t="shared" si="394"/>
        <v>0</v>
      </c>
      <c r="S3101" s="737">
        <f t="shared" si="395"/>
        <v>0</v>
      </c>
      <c r="T3101" s="739">
        <f t="shared" si="396"/>
        <v>0</v>
      </c>
      <c r="U3101" s="846"/>
      <c r="V3101" s="847"/>
      <c r="W3101" s="846"/>
      <c r="X3101" s="846"/>
      <c r="Y3101" s="740">
        <f t="shared" si="392"/>
        <v>0</v>
      </c>
      <c r="Z3101" s="847"/>
      <c r="AA3101" s="847"/>
      <c r="AB3101" s="741">
        <f t="shared" si="393"/>
        <v>0</v>
      </c>
      <c r="AC3101" s="846"/>
      <c r="AD3101" s="847"/>
      <c r="AE3101" s="846"/>
      <c r="AF3101" s="846"/>
      <c r="AG3101" s="847"/>
      <c r="AH3101" s="847"/>
      <c r="AI3101" s="742">
        <f t="shared" si="397"/>
        <v>0</v>
      </c>
      <c r="AJ3101" s="743">
        <f t="shared" si="398"/>
        <v>0</v>
      </c>
    </row>
    <row r="3102" spans="1:36">
      <c r="A3102" s="1083" t="s">
        <v>156</v>
      </c>
      <c r="B3102" s="1084" t="s">
        <v>294</v>
      </c>
      <c r="C3102" s="1361" t="s">
        <v>1683</v>
      </c>
      <c r="D3102" s="1334"/>
      <c r="E3102" s="1335"/>
      <c r="F3102" s="1336"/>
      <c r="G3102" s="846"/>
      <c r="H3102" s="847"/>
      <c r="I3102" s="846"/>
      <c r="J3102" s="847"/>
      <c r="K3102" s="846"/>
      <c r="L3102" s="847"/>
      <c r="M3102" s="846"/>
      <c r="N3102" s="846"/>
      <c r="O3102" s="737">
        <f t="shared" si="391"/>
        <v>0</v>
      </c>
      <c r="P3102" s="847"/>
      <c r="Q3102" s="847"/>
      <c r="R3102" s="738">
        <f t="shared" si="394"/>
        <v>0</v>
      </c>
      <c r="S3102" s="737">
        <f t="shared" si="395"/>
        <v>0</v>
      </c>
      <c r="T3102" s="739">
        <f t="shared" si="396"/>
        <v>0</v>
      </c>
      <c r="U3102" s="846"/>
      <c r="V3102" s="847"/>
      <c r="W3102" s="846"/>
      <c r="X3102" s="846"/>
      <c r="Y3102" s="740">
        <f t="shared" si="392"/>
        <v>0</v>
      </c>
      <c r="Z3102" s="847"/>
      <c r="AA3102" s="847"/>
      <c r="AB3102" s="741">
        <f t="shared" si="393"/>
        <v>0</v>
      </c>
      <c r="AC3102" s="846"/>
      <c r="AD3102" s="847"/>
      <c r="AE3102" s="846"/>
      <c r="AF3102" s="846"/>
      <c r="AG3102" s="847"/>
      <c r="AH3102" s="847"/>
      <c r="AI3102" s="742">
        <f t="shared" si="397"/>
        <v>0</v>
      </c>
      <c r="AJ3102" s="743">
        <f t="shared" si="398"/>
        <v>0</v>
      </c>
    </row>
    <row r="3103" spans="1:36">
      <c r="A3103" s="1083" t="s">
        <v>156</v>
      </c>
      <c r="B3103" s="1357" t="s">
        <v>254</v>
      </c>
      <c r="C3103" s="1358" t="s">
        <v>311</v>
      </c>
      <c r="D3103" s="1334"/>
      <c r="E3103" s="1359"/>
      <c r="F3103" s="1100"/>
      <c r="G3103" s="846"/>
      <c r="H3103" s="847"/>
      <c r="I3103" s="846"/>
      <c r="J3103" s="847"/>
      <c r="K3103" s="846"/>
      <c r="L3103" s="847"/>
      <c r="M3103" s="846"/>
      <c r="N3103" s="846"/>
      <c r="O3103" s="737">
        <f t="shared" si="391"/>
        <v>0</v>
      </c>
      <c r="P3103" s="847"/>
      <c r="Q3103" s="847"/>
      <c r="R3103" s="738">
        <f t="shared" si="394"/>
        <v>0</v>
      </c>
      <c r="S3103" s="737">
        <f t="shared" si="395"/>
        <v>0</v>
      </c>
      <c r="T3103" s="739">
        <f t="shared" si="396"/>
        <v>0</v>
      </c>
      <c r="U3103" s="846"/>
      <c r="V3103" s="847"/>
      <c r="W3103" s="846"/>
      <c r="X3103" s="846"/>
      <c r="Y3103" s="740">
        <f t="shared" si="392"/>
        <v>0</v>
      </c>
      <c r="Z3103" s="847"/>
      <c r="AA3103" s="847"/>
      <c r="AB3103" s="741">
        <f t="shared" si="393"/>
        <v>0</v>
      </c>
      <c r="AC3103" s="846"/>
      <c r="AD3103" s="847"/>
      <c r="AE3103" s="846"/>
      <c r="AF3103" s="846"/>
      <c r="AG3103" s="847"/>
      <c r="AH3103" s="847"/>
      <c r="AI3103" s="742">
        <f t="shared" si="397"/>
        <v>0</v>
      </c>
      <c r="AJ3103" s="743">
        <f t="shared" si="398"/>
        <v>0</v>
      </c>
    </row>
    <row r="3104" spans="1:36">
      <c r="A3104" s="1083" t="s">
        <v>156</v>
      </c>
      <c r="B3104" s="1357" t="s">
        <v>255</v>
      </c>
      <c r="C3104" s="1358" t="s">
        <v>249</v>
      </c>
      <c r="D3104" s="1334"/>
      <c r="E3104" s="1359"/>
      <c r="F3104" s="1100"/>
      <c r="G3104" s="846"/>
      <c r="H3104" s="847"/>
      <c r="I3104" s="846"/>
      <c r="J3104" s="847"/>
      <c r="K3104" s="846"/>
      <c r="L3104" s="847"/>
      <c r="M3104" s="846"/>
      <c r="N3104" s="846"/>
      <c r="O3104" s="737">
        <f t="shared" si="391"/>
        <v>0</v>
      </c>
      <c r="P3104" s="847"/>
      <c r="Q3104" s="847"/>
      <c r="R3104" s="738">
        <f t="shared" si="394"/>
        <v>0</v>
      </c>
      <c r="S3104" s="737">
        <f t="shared" si="395"/>
        <v>0</v>
      </c>
      <c r="T3104" s="739">
        <f t="shared" si="396"/>
        <v>0</v>
      </c>
      <c r="U3104" s="846">
        <v>61812665</v>
      </c>
      <c r="V3104" s="847">
        <v>64812665</v>
      </c>
      <c r="W3104" s="846"/>
      <c r="X3104" s="846"/>
      <c r="Y3104" s="740">
        <f t="shared" si="392"/>
        <v>0</v>
      </c>
      <c r="Z3104" s="847"/>
      <c r="AA3104" s="847"/>
      <c r="AB3104" s="741">
        <f t="shared" si="393"/>
        <v>0</v>
      </c>
      <c r="AC3104" s="846"/>
      <c r="AD3104" s="847"/>
      <c r="AE3104" s="846"/>
      <c r="AF3104" s="846"/>
      <c r="AG3104" s="847"/>
      <c r="AH3104" s="847"/>
      <c r="AI3104" s="742">
        <f t="shared" si="397"/>
        <v>61812665</v>
      </c>
      <c r="AJ3104" s="743">
        <f t="shared" si="398"/>
        <v>64812665</v>
      </c>
    </row>
    <row r="3105" spans="1:36">
      <c r="A3105" s="1083" t="s">
        <v>156</v>
      </c>
      <c r="B3105" s="1084" t="s">
        <v>294</v>
      </c>
      <c r="C3105" s="1361" t="s">
        <v>1684</v>
      </c>
      <c r="D3105" s="1334"/>
      <c r="E3105" s="1335"/>
      <c r="F3105" s="1336"/>
      <c r="G3105" s="846"/>
      <c r="H3105" s="847"/>
      <c r="I3105" s="846"/>
      <c r="J3105" s="847"/>
      <c r="K3105" s="846"/>
      <c r="L3105" s="847"/>
      <c r="M3105" s="846"/>
      <c r="N3105" s="846"/>
      <c r="O3105" s="737">
        <f t="shared" si="391"/>
        <v>0</v>
      </c>
      <c r="P3105" s="847"/>
      <c r="Q3105" s="847"/>
      <c r="R3105" s="738">
        <f t="shared" si="394"/>
        <v>0</v>
      </c>
      <c r="S3105" s="737">
        <f t="shared" si="395"/>
        <v>0</v>
      </c>
      <c r="T3105" s="739">
        <f t="shared" si="396"/>
        <v>0</v>
      </c>
      <c r="U3105" s="846"/>
      <c r="V3105" s="847"/>
      <c r="W3105" s="846"/>
      <c r="X3105" s="846"/>
      <c r="Y3105" s="740">
        <f t="shared" si="392"/>
        <v>0</v>
      </c>
      <c r="Z3105" s="847"/>
      <c r="AA3105" s="847"/>
      <c r="AB3105" s="741">
        <f t="shared" si="393"/>
        <v>0</v>
      </c>
      <c r="AC3105" s="846"/>
      <c r="AD3105" s="847"/>
      <c r="AE3105" s="846"/>
      <c r="AF3105" s="846"/>
      <c r="AG3105" s="847"/>
      <c r="AH3105" s="847"/>
      <c r="AI3105" s="742">
        <f t="shared" si="397"/>
        <v>0</v>
      </c>
      <c r="AJ3105" s="743">
        <f t="shared" si="398"/>
        <v>0</v>
      </c>
    </row>
    <row r="3106" spans="1:36">
      <c r="A3106" s="1083" t="s">
        <v>156</v>
      </c>
      <c r="B3106" s="1357" t="s">
        <v>254</v>
      </c>
      <c r="C3106" s="1358" t="s">
        <v>311</v>
      </c>
      <c r="D3106" s="1334"/>
      <c r="E3106" s="1359"/>
      <c r="F3106" s="1100"/>
      <c r="G3106" s="846"/>
      <c r="H3106" s="847"/>
      <c r="I3106" s="846"/>
      <c r="J3106" s="847"/>
      <c r="K3106" s="846"/>
      <c r="L3106" s="847"/>
      <c r="M3106" s="846"/>
      <c r="N3106" s="846"/>
      <c r="O3106" s="737">
        <f t="shared" si="391"/>
        <v>0</v>
      </c>
      <c r="P3106" s="847"/>
      <c r="Q3106" s="847"/>
      <c r="R3106" s="738">
        <f t="shared" si="394"/>
        <v>0</v>
      </c>
      <c r="S3106" s="737">
        <f t="shared" si="395"/>
        <v>0</v>
      </c>
      <c r="T3106" s="739">
        <f t="shared" si="396"/>
        <v>0</v>
      </c>
      <c r="U3106" s="846"/>
      <c r="V3106" s="847"/>
      <c r="W3106" s="846"/>
      <c r="X3106" s="846"/>
      <c r="Y3106" s="740">
        <f t="shared" si="392"/>
        <v>0</v>
      </c>
      <c r="Z3106" s="847"/>
      <c r="AA3106" s="847"/>
      <c r="AB3106" s="741">
        <f t="shared" si="393"/>
        <v>0</v>
      </c>
      <c r="AC3106" s="846"/>
      <c r="AD3106" s="847"/>
      <c r="AE3106" s="846"/>
      <c r="AF3106" s="846"/>
      <c r="AG3106" s="847"/>
      <c r="AH3106" s="847"/>
      <c r="AI3106" s="742">
        <f t="shared" si="397"/>
        <v>0</v>
      </c>
      <c r="AJ3106" s="743">
        <f t="shared" si="398"/>
        <v>0</v>
      </c>
    </row>
    <row r="3107" spans="1:36">
      <c r="A3107" s="1083" t="s">
        <v>156</v>
      </c>
      <c r="B3107" s="1357" t="s">
        <v>255</v>
      </c>
      <c r="C3107" s="1358" t="s">
        <v>249</v>
      </c>
      <c r="D3107" s="1334"/>
      <c r="E3107" s="1359"/>
      <c r="F3107" s="1100"/>
      <c r="G3107" s="846"/>
      <c r="H3107" s="847"/>
      <c r="I3107" s="846"/>
      <c r="J3107" s="847"/>
      <c r="K3107" s="846"/>
      <c r="L3107" s="847"/>
      <c r="M3107" s="846"/>
      <c r="N3107" s="846"/>
      <c r="O3107" s="737">
        <f t="shared" si="391"/>
        <v>0</v>
      </c>
      <c r="P3107" s="847"/>
      <c r="Q3107" s="847"/>
      <c r="R3107" s="738">
        <f t="shared" si="394"/>
        <v>0</v>
      </c>
      <c r="S3107" s="737">
        <f t="shared" si="395"/>
        <v>0</v>
      </c>
      <c r="T3107" s="739">
        <f t="shared" si="396"/>
        <v>0</v>
      </c>
      <c r="U3107" s="846">
        <v>3139944</v>
      </c>
      <c r="V3107" s="847">
        <v>3146951</v>
      </c>
      <c r="W3107" s="846"/>
      <c r="X3107" s="846"/>
      <c r="Y3107" s="740">
        <f t="shared" si="392"/>
        <v>0</v>
      </c>
      <c r="Z3107" s="847"/>
      <c r="AA3107" s="847"/>
      <c r="AB3107" s="741">
        <f t="shared" si="393"/>
        <v>0</v>
      </c>
      <c r="AC3107" s="846"/>
      <c r="AD3107" s="847"/>
      <c r="AE3107" s="846"/>
      <c r="AF3107" s="846"/>
      <c r="AG3107" s="847"/>
      <c r="AH3107" s="847"/>
      <c r="AI3107" s="742">
        <f t="shared" si="397"/>
        <v>3139944</v>
      </c>
      <c r="AJ3107" s="743">
        <f t="shared" si="398"/>
        <v>3146951</v>
      </c>
    </row>
    <row r="3108" spans="1:36">
      <c r="A3108" s="950" t="s">
        <v>157</v>
      </c>
      <c r="B3108" s="951" t="s">
        <v>264</v>
      </c>
      <c r="C3108" s="952" t="s">
        <v>832</v>
      </c>
      <c r="D3108" s="953"/>
      <c r="E3108" s="1026">
        <v>238032</v>
      </c>
      <c r="F3108" s="955">
        <v>1</v>
      </c>
      <c r="G3108" s="846">
        <v>66460225</v>
      </c>
      <c r="H3108" s="1027">
        <v>62596113</v>
      </c>
      <c r="I3108" s="846"/>
      <c r="J3108" s="1027"/>
      <c r="K3108" s="846"/>
      <c r="L3108" s="1027"/>
      <c r="M3108" s="846">
        <v>288649003</v>
      </c>
      <c r="N3108" s="846">
        <v>10614313</v>
      </c>
      <c r="O3108" s="737">
        <f t="shared" si="391"/>
        <v>299263316</v>
      </c>
      <c r="P3108" s="847">
        <v>315738344</v>
      </c>
      <c r="Q3108" s="847">
        <v>10618613</v>
      </c>
      <c r="R3108" s="738">
        <f t="shared" si="394"/>
        <v>326356957</v>
      </c>
      <c r="S3108" s="737">
        <f t="shared" si="395"/>
        <v>355109228</v>
      </c>
      <c r="T3108" s="739">
        <f t="shared" si="396"/>
        <v>378334457</v>
      </c>
      <c r="U3108" s="846"/>
      <c r="V3108" s="1027"/>
      <c r="W3108" s="846"/>
      <c r="X3108" s="846"/>
      <c r="Y3108" s="740">
        <f t="shared" si="392"/>
        <v>0</v>
      </c>
      <c r="Z3108" s="847"/>
      <c r="AA3108" s="847"/>
      <c r="AB3108" s="741">
        <f t="shared" si="393"/>
        <v>0</v>
      </c>
      <c r="AC3108" s="846"/>
      <c r="AD3108" s="1027"/>
      <c r="AE3108" s="846"/>
      <c r="AF3108" s="846"/>
      <c r="AG3108" s="847"/>
      <c r="AH3108" s="847"/>
      <c r="AI3108" s="742">
        <f t="shared" si="397"/>
        <v>355109228</v>
      </c>
      <c r="AJ3108" s="743">
        <f t="shared" si="398"/>
        <v>378334457</v>
      </c>
    </row>
    <row r="3109" spans="1:36">
      <c r="A3109" s="950" t="s">
        <v>157</v>
      </c>
      <c r="B3109" s="951" t="s">
        <v>280</v>
      </c>
      <c r="C3109" s="1028" t="s">
        <v>716</v>
      </c>
      <c r="D3109" s="1029"/>
      <c r="E3109" s="1026">
        <v>238032</v>
      </c>
      <c r="F3109" s="955">
        <v>1</v>
      </c>
      <c r="G3109" s="846"/>
      <c r="H3109" s="864"/>
      <c r="I3109" s="846"/>
      <c r="J3109" s="864"/>
      <c r="K3109" s="846"/>
      <c r="L3109" s="864"/>
      <c r="M3109" s="846"/>
      <c r="N3109" s="846"/>
      <c r="O3109" s="737">
        <f t="shared" si="391"/>
        <v>0</v>
      </c>
      <c r="P3109" s="847"/>
      <c r="Q3109" s="847" t="s">
        <v>91</v>
      </c>
      <c r="R3109" s="738">
        <f t="shared" si="394"/>
        <v>0</v>
      </c>
      <c r="S3109" s="737">
        <f t="shared" si="395"/>
        <v>0</v>
      </c>
      <c r="T3109" s="739">
        <f t="shared" si="396"/>
        <v>0</v>
      </c>
      <c r="U3109" s="846"/>
      <c r="V3109" s="864"/>
      <c r="W3109" s="846"/>
      <c r="X3109" s="846"/>
      <c r="Y3109" s="740">
        <f t="shared" si="392"/>
        <v>0</v>
      </c>
      <c r="Z3109" s="847"/>
      <c r="AA3109" s="847"/>
      <c r="AB3109" s="741">
        <f t="shared" si="393"/>
        <v>0</v>
      </c>
      <c r="AC3109" s="846"/>
      <c r="AD3109" s="864"/>
      <c r="AE3109" s="846"/>
      <c r="AF3109" s="846"/>
      <c r="AG3109" s="847"/>
      <c r="AH3109" s="847"/>
      <c r="AI3109" s="742">
        <f t="shared" si="397"/>
        <v>0</v>
      </c>
      <c r="AJ3109" s="743">
        <f t="shared" si="398"/>
        <v>0</v>
      </c>
    </row>
    <row r="3110" spans="1:36">
      <c r="A3110" s="950" t="s">
        <v>157</v>
      </c>
      <c r="B3110" s="951" t="s">
        <v>280</v>
      </c>
      <c r="C3110" s="956" t="s">
        <v>833</v>
      </c>
      <c r="D3110" s="957"/>
      <c r="E3110" s="1026">
        <v>238032</v>
      </c>
      <c r="F3110" s="955">
        <v>1</v>
      </c>
      <c r="G3110" s="846"/>
      <c r="H3110" s="864"/>
      <c r="I3110" s="846"/>
      <c r="J3110" s="864"/>
      <c r="K3110" s="846"/>
      <c r="L3110" s="864"/>
      <c r="M3110" s="846"/>
      <c r="N3110" s="846"/>
      <c r="O3110" s="737">
        <f t="shared" si="391"/>
        <v>0</v>
      </c>
      <c r="P3110" s="847"/>
      <c r="Q3110" s="847"/>
      <c r="R3110" s="738">
        <f t="shared" si="394"/>
        <v>0</v>
      </c>
      <c r="S3110" s="737">
        <f t="shared" si="395"/>
        <v>0</v>
      </c>
      <c r="T3110" s="739">
        <f t="shared" si="396"/>
        <v>0</v>
      </c>
      <c r="U3110" s="846"/>
      <c r="V3110" s="864"/>
      <c r="W3110" s="846"/>
      <c r="X3110" s="846"/>
      <c r="Y3110" s="740">
        <f t="shared" si="392"/>
        <v>0</v>
      </c>
      <c r="Z3110" s="847"/>
      <c r="AA3110" s="847"/>
      <c r="AB3110" s="741">
        <f t="shared" si="393"/>
        <v>0</v>
      </c>
      <c r="AC3110" s="846">
        <v>67078611</v>
      </c>
      <c r="AD3110" s="864">
        <v>67078950</v>
      </c>
      <c r="AE3110" s="846">
        <v>48091056</v>
      </c>
      <c r="AF3110" s="846"/>
      <c r="AG3110" s="847">
        <v>48091056</v>
      </c>
      <c r="AH3110" s="847"/>
      <c r="AI3110" s="742">
        <f t="shared" si="397"/>
        <v>115169667</v>
      </c>
      <c r="AJ3110" s="743">
        <f t="shared" si="398"/>
        <v>115170006</v>
      </c>
    </row>
    <row r="3111" spans="1:36">
      <c r="A3111" s="950" t="s">
        <v>157</v>
      </c>
      <c r="B3111" s="951" t="s">
        <v>280</v>
      </c>
      <c r="C3111" s="956" t="s">
        <v>834</v>
      </c>
      <c r="D3111" s="957"/>
      <c r="E3111" s="1026">
        <v>238032</v>
      </c>
      <c r="F3111" s="955">
        <v>1</v>
      </c>
      <c r="G3111" s="846"/>
      <c r="H3111" s="864"/>
      <c r="I3111" s="846"/>
      <c r="J3111" s="864"/>
      <c r="K3111" s="846"/>
      <c r="L3111" s="864"/>
      <c r="M3111" s="846"/>
      <c r="N3111" s="846"/>
      <c r="O3111" s="737">
        <f t="shared" si="391"/>
        <v>0</v>
      </c>
      <c r="P3111" s="847"/>
      <c r="Q3111" s="847"/>
      <c r="R3111" s="738">
        <f t="shared" si="394"/>
        <v>0</v>
      </c>
      <c r="S3111" s="737">
        <f t="shared" si="395"/>
        <v>0</v>
      </c>
      <c r="T3111" s="739">
        <f t="shared" si="396"/>
        <v>0</v>
      </c>
      <c r="U3111" s="846"/>
      <c r="V3111" s="864"/>
      <c r="W3111" s="846"/>
      <c r="X3111" s="846"/>
      <c r="Y3111" s="740">
        <f t="shared" si="392"/>
        <v>0</v>
      </c>
      <c r="Z3111" s="847"/>
      <c r="AA3111" s="847"/>
      <c r="AB3111" s="741">
        <f t="shared" si="393"/>
        <v>0</v>
      </c>
      <c r="AC3111" s="846">
        <v>1274838</v>
      </c>
      <c r="AD3111" s="864">
        <v>1227032</v>
      </c>
      <c r="AE3111" s="846"/>
      <c r="AF3111" s="846"/>
      <c r="AG3111" s="847"/>
      <c r="AH3111" s="847"/>
      <c r="AI3111" s="742">
        <f t="shared" si="397"/>
        <v>1274838</v>
      </c>
      <c r="AJ3111" s="743">
        <f t="shared" si="398"/>
        <v>1227032</v>
      </c>
    </row>
    <row r="3112" spans="1:36">
      <c r="A3112" s="950" t="s">
        <v>157</v>
      </c>
      <c r="B3112" s="951" t="s">
        <v>303</v>
      </c>
      <c r="C3112" s="956" t="s">
        <v>835</v>
      </c>
      <c r="D3112" s="957"/>
      <c r="E3112" s="1026">
        <v>238032</v>
      </c>
      <c r="F3112" s="955">
        <v>1</v>
      </c>
      <c r="G3112" s="846"/>
      <c r="H3112" s="864"/>
      <c r="I3112" s="846">
        <v>1750000</v>
      </c>
      <c r="J3112" s="864">
        <v>1698273</v>
      </c>
      <c r="K3112" s="846"/>
      <c r="L3112" s="864"/>
      <c r="M3112" s="846"/>
      <c r="N3112" s="846"/>
      <c r="O3112" s="737">
        <f t="shared" si="391"/>
        <v>0</v>
      </c>
      <c r="P3112" s="847"/>
      <c r="Q3112" s="847"/>
      <c r="R3112" s="738">
        <f t="shared" si="394"/>
        <v>0</v>
      </c>
      <c r="S3112" s="737">
        <f t="shared" si="395"/>
        <v>1750000</v>
      </c>
      <c r="T3112" s="739">
        <f t="shared" si="396"/>
        <v>1698273</v>
      </c>
      <c r="U3112" s="846"/>
      <c r="V3112" s="864"/>
      <c r="W3112" s="846"/>
      <c r="X3112" s="846"/>
      <c r="Y3112" s="740">
        <f t="shared" si="392"/>
        <v>0</v>
      </c>
      <c r="Z3112" s="847"/>
      <c r="AA3112" s="847"/>
      <c r="AB3112" s="741">
        <f t="shared" si="393"/>
        <v>0</v>
      </c>
      <c r="AC3112" s="846"/>
      <c r="AD3112" s="864"/>
      <c r="AE3112" s="846"/>
      <c r="AF3112" s="846"/>
      <c r="AG3112" s="847"/>
      <c r="AH3112" s="847"/>
      <c r="AI3112" s="742">
        <f t="shared" si="397"/>
        <v>1750000</v>
      </c>
      <c r="AJ3112" s="743">
        <f t="shared" si="398"/>
        <v>1698273</v>
      </c>
    </row>
    <row r="3113" spans="1:36">
      <c r="A3113" s="950" t="s">
        <v>157</v>
      </c>
      <c r="B3113" s="951" t="s">
        <v>303</v>
      </c>
      <c r="C3113" s="956" t="s">
        <v>836</v>
      </c>
      <c r="D3113" s="957"/>
      <c r="E3113" s="1026">
        <v>238032</v>
      </c>
      <c r="F3113" s="955">
        <v>1</v>
      </c>
      <c r="G3113" s="846"/>
      <c r="H3113" s="864"/>
      <c r="I3113" s="846">
        <v>344372</v>
      </c>
      <c r="J3113" s="864">
        <v>333177</v>
      </c>
      <c r="K3113" s="846"/>
      <c r="L3113" s="864"/>
      <c r="M3113" s="846"/>
      <c r="N3113" s="846"/>
      <c r="O3113" s="737">
        <f t="shared" si="391"/>
        <v>0</v>
      </c>
      <c r="P3113" s="847"/>
      <c r="Q3113" s="847"/>
      <c r="R3113" s="738">
        <f t="shared" si="394"/>
        <v>0</v>
      </c>
      <c r="S3113" s="737">
        <f t="shared" si="395"/>
        <v>344372</v>
      </c>
      <c r="T3113" s="739">
        <f t="shared" si="396"/>
        <v>333177</v>
      </c>
      <c r="U3113" s="846"/>
      <c r="V3113" s="864"/>
      <c r="W3113" s="846"/>
      <c r="X3113" s="846"/>
      <c r="Y3113" s="740">
        <f t="shared" si="392"/>
        <v>0</v>
      </c>
      <c r="Z3113" s="847"/>
      <c r="AA3113" s="847"/>
      <c r="AB3113" s="741">
        <f t="shared" si="393"/>
        <v>0</v>
      </c>
      <c r="AC3113" s="846"/>
      <c r="AD3113" s="864"/>
      <c r="AE3113" s="846"/>
      <c r="AF3113" s="846"/>
      <c r="AG3113" s="847"/>
      <c r="AH3113" s="847"/>
      <c r="AI3113" s="742">
        <f t="shared" si="397"/>
        <v>344372</v>
      </c>
      <c r="AJ3113" s="743">
        <f t="shared" si="398"/>
        <v>333177</v>
      </c>
    </row>
    <row r="3114" spans="1:36">
      <c r="A3114" s="950" t="s">
        <v>157</v>
      </c>
      <c r="B3114" s="951" t="s">
        <v>280</v>
      </c>
      <c r="C3114" s="958" t="s">
        <v>319</v>
      </c>
      <c r="D3114" s="957"/>
      <c r="E3114" s="1030">
        <v>238032</v>
      </c>
      <c r="F3114" s="955">
        <v>1</v>
      </c>
      <c r="G3114" s="846"/>
      <c r="H3114" s="864"/>
      <c r="I3114" s="846">
        <v>2264539</v>
      </c>
      <c r="J3114" s="864">
        <v>2179234</v>
      </c>
      <c r="K3114" s="846"/>
      <c r="L3114" s="864"/>
      <c r="M3114" s="846"/>
      <c r="N3114" s="846"/>
      <c r="O3114" s="737">
        <f t="shared" si="391"/>
        <v>0</v>
      </c>
      <c r="P3114" s="847"/>
      <c r="Q3114" s="847"/>
      <c r="R3114" s="738">
        <f t="shared" si="394"/>
        <v>0</v>
      </c>
      <c r="S3114" s="737">
        <f t="shared" si="395"/>
        <v>2264539</v>
      </c>
      <c r="T3114" s="739">
        <f t="shared" si="396"/>
        <v>2179234</v>
      </c>
      <c r="U3114" s="846"/>
      <c r="V3114" s="864"/>
      <c r="W3114" s="846"/>
      <c r="X3114" s="846"/>
      <c r="Y3114" s="740">
        <f t="shared" si="392"/>
        <v>0</v>
      </c>
      <c r="Z3114" s="847"/>
      <c r="AA3114" s="847"/>
      <c r="AB3114" s="741">
        <f t="shared" si="393"/>
        <v>0</v>
      </c>
      <c r="AC3114" s="846"/>
      <c r="AD3114" s="864"/>
      <c r="AE3114" s="846"/>
      <c r="AF3114" s="846"/>
      <c r="AG3114" s="847"/>
      <c r="AH3114" s="847"/>
      <c r="AI3114" s="742">
        <f t="shared" si="397"/>
        <v>2264539</v>
      </c>
      <c r="AJ3114" s="743">
        <f t="shared" si="398"/>
        <v>2179234</v>
      </c>
    </row>
    <row r="3115" spans="1:36">
      <c r="A3115" s="950" t="s">
        <v>157</v>
      </c>
      <c r="B3115" s="951" t="s">
        <v>280</v>
      </c>
      <c r="C3115" s="956" t="s">
        <v>837</v>
      </c>
      <c r="D3115" s="957"/>
      <c r="E3115" s="1030">
        <v>238032</v>
      </c>
      <c r="F3115" s="955">
        <v>1</v>
      </c>
      <c r="G3115" s="846"/>
      <c r="H3115" s="864"/>
      <c r="I3115" s="846" t="s">
        <v>91</v>
      </c>
      <c r="J3115" s="864"/>
      <c r="K3115" s="846"/>
      <c r="L3115" s="864"/>
      <c r="M3115" s="846"/>
      <c r="N3115" s="846"/>
      <c r="O3115" s="737">
        <f t="shared" si="391"/>
        <v>0</v>
      </c>
      <c r="P3115" s="847"/>
      <c r="Q3115" s="847"/>
      <c r="R3115" s="738">
        <f t="shared" si="394"/>
        <v>0</v>
      </c>
      <c r="S3115" s="737">
        <f t="shared" si="395"/>
        <v>0</v>
      </c>
      <c r="T3115" s="739">
        <f t="shared" si="396"/>
        <v>0</v>
      </c>
      <c r="U3115" s="846"/>
      <c r="V3115" s="864"/>
      <c r="W3115" s="846"/>
      <c r="X3115" s="846"/>
      <c r="Y3115" s="740">
        <f t="shared" si="392"/>
        <v>0</v>
      </c>
      <c r="Z3115" s="847"/>
      <c r="AA3115" s="847"/>
      <c r="AB3115" s="741">
        <f t="shared" si="393"/>
        <v>0</v>
      </c>
      <c r="AC3115" s="846">
        <v>1000000</v>
      </c>
      <c r="AD3115" s="864">
        <v>1000000</v>
      </c>
      <c r="AE3115" s="846"/>
      <c r="AF3115" s="846"/>
      <c r="AG3115" s="847"/>
      <c r="AH3115" s="847"/>
      <c r="AI3115" s="742">
        <f t="shared" si="397"/>
        <v>1000000</v>
      </c>
      <c r="AJ3115" s="743">
        <f t="shared" si="398"/>
        <v>1000000</v>
      </c>
    </row>
    <row r="3116" spans="1:36">
      <c r="A3116" s="950" t="s">
        <v>157</v>
      </c>
      <c r="B3116" s="951" t="s">
        <v>303</v>
      </c>
      <c r="C3116" s="956" t="s">
        <v>838</v>
      </c>
      <c r="D3116" s="957"/>
      <c r="E3116" s="1026">
        <v>238032</v>
      </c>
      <c r="F3116" s="955">
        <v>1</v>
      </c>
      <c r="G3116" s="846"/>
      <c r="H3116" s="864"/>
      <c r="I3116" s="846">
        <v>56895</v>
      </c>
      <c r="J3116" s="864">
        <v>55213</v>
      </c>
      <c r="K3116" s="846"/>
      <c r="L3116" s="864"/>
      <c r="M3116" s="846"/>
      <c r="N3116" s="846"/>
      <c r="O3116" s="737">
        <f t="shared" si="391"/>
        <v>0</v>
      </c>
      <c r="P3116" s="847"/>
      <c r="Q3116" s="847"/>
      <c r="R3116" s="738">
        <f t="shared" si="394"/>
        <v>0</v>
      </c>
      <c r="S3116" s="737">
        <f t="shared" si="395"/>
        <v>56895</v>
      </c>
      <c r="T3116" s="739">
        <f t="shared" si="396"/>
        <v>55213</v>
      </c>
      <c r="U3116" s="846"/>
      <c r="V3116" s="864"/>
      <c r="W3116" s="846"/>
      <c r="X3116" s="846"/>
      <c r="Y3116" s="740">
        <f t="shared" si="392"/>
        <v>0</v>
      </c>
      <c r="Z3116" s="847"/>
      <c r="AA3116" s="847"/>
      <c r="AB3116" s="741">
        <f t="shared" si="393"/>
        <v>0</v>
      </c>
      <c r="AC3116" s="846"/>
      <c r="AD3116" s="864"/>
      <c r="AE3116" s="846"/>
      <c r="AF3116" s="846"/>
      <c r="AG3116" s="847"/>
      <c r="AH3116" s="847"/>
      <c r="AI3116" s="742">
        <f t="shared" si="397"/>
        <v>56895</v>
      </c>
      <c r="AJ3116" s="743">
        <f t="shared" si="398"/>
        <v>55213</v>
      </c>
    </row>
    <row r="3117" spans="1:36">
      <c r="A3117" s="950" t="s">
        <v>157</v>
      </c>
      <c r="B3117" s="951" t="s">
        <v>280</v>
      </c>
      <c r="C3117" s="956" t="s">
        <v>839</v>
      </c>
      <c r="D3117" s="957"/>
      <c r="E3117" s="1030">
        <v>238032</v>
      </c>
      <c r="F3117" s="955">
        <v>1</v>
      </c>
      <c r="G3117" s="846"/>
      <c r="H3117" s="864"/>
      <c r="I3117" s="846" t="s">
        <v>91</v>
      </c>
      <c r="J3117" s="864"/>
      <c r="K3117" s="846"/>
      <c r="L3117" s="864"/>
      <c r="M3117" s="846"/>
      <c r="N3117" s="846"/>
      <c r="O3117" s="737">
        <f t="shared" si="391"/>
        <v>0</v>
      </c>
      <c r="P3117" s="847"/>
      <c r="Q3117" s="847"/>
      <c r="R3117" s="738">
        <f t="shared" si="394"/>
        <v>0</v>
      </c>
      <c r="S3117" s="737">
        <f t="shared" si="395"/>
        <v>0</v>
      </c>
      <c r="T3117" s="739">
        <f t="shared" si="396"/>
        <v>0</v>
      </c>
      <c r="U3117" s="846"/>
      <c r="V3117" s="864"/>
      <c r="W3117" s="846"/>
      <c r="X3117" s="846"/>
      <c r="Y3117" s="740">
        <f t="shared" si="392"/>
        <v>0</v>
      </c>
      <c r="Z3117" s="847"/>
      <c r="AA3117" s="847"/>
      <c r="AB3117" s="741">
        <f t="shared" si="393"/>
        <v>0</v>
      </c>
      <c r="AC3117" s="846">
        <v>943080</v>
      </c>
      <c r="AD3117" s="864">
        <v>943080</v>
      </c>
      <c r="AE3117" s="846"/>
      <c r="AF3117" s="846"/>
      <c r="AG3117" s="847"/>
      <c r="AH3117" s="847"/>
      <c r="AI3117" s="742">
        <f t="shared" si="397"/>
        <v>943080</v>
      </c>
      <c r="AJ3117" s="743">
        <f t="shared" si="398"/>
        <v>943080</v>
      </c>
    </row>
    <row r="3118" spans="1:36">
      <c r="A3118" s="950" t="s">
        <v>157</v>
      </c>
      <c r="B3118" s="951" t="s">
        <v>280</v>
      </c>
      <c r="C3118" s="956" t="s">
        <v>840</v>
      </c>
      <c r="D3118" s="957"/>
      <c r="E3118" s="1030">
        <v>238032</v>
      </c>
      <c r="F3118" s="955">
        <v>1</v>
      </c>
      <c r="G3118" s="846"/>
      <c r="H3118" s="864"/>
      <c r="I3118" s="846" t="s">
        <v>91</v>
      </c>
      <c r="J3118" s="864"/>
      <c r="K3118" s="846"/>
      <c r="L3118" s="864"/>
      <c r="M3118" s="846"/>
      <c r="N3118" s="846"/>
      <c r="O3118" s="737">
        <f t="shared" si="391"/>
        <v>0</v>
      </c>
      <c r="P3118" s="847"/>
      <c r="Q3118" s="847"/>
      <c r="R3118" s="738">
        <f t="shared" si="394"/>
        <v>0</v>
      </c>
      <c r="S3118" s="737">
        <f t="shared" si="395"/>
        <v>0</v>
      </c>
      <c r="T3118" s="739">
        <f t="shared" si="396"/>
        <v>0</v>
      </c>
      <c r="U3118" s="846"/>
      <c r="V3118" s="864"/>
      <c r="W3118" s="846"/>
      <c r="X3118" s="846"/>
      <c r="Y3118" s="740">
        <f t="shared" si="392"/>
        <v>0</v>
      </c>
      <c r="Z3118" s="847"/>
      <c r="AA3118" s="847"/>
      <c r="AB3118" s="741">
        <f t="shared" si="393"/>
        <v>0</v>
      </c>
      <c r="AC3118" s="846">
        <v>5000</v>
      </c>
      <c r="AD3118" s="864">
        <v>0</v>
      </c>
      <c r="AE3118" s="846"/>
      <c r="AF3118" s="846"/>
      <c r="AG3118" s="847"/>
      <c r="AH3118" s="847"/>
      <c r="AI3118" s="742">
        <f t="shared" si="397"/>
        <v>5000</v>
      </c>
      <c r="AJ3118" s="743">
        <f t="shared" si="398"/>
        <v>0</v>
      </c>
    </row>
    <row r="3119" spans="1:36">
      <c r="A3119" s="950" t="s">
        <v>157</v>
      </c>
      <c r="B3119" s="951" t="s">
        <v>268</v>
      </c>
      <c r="C3119" s="958" t="s">
        <v>257</v>
      </c>
      <c r="D3119" s="957"/>
      <c r="E3119" s="1030">
        <v>238032</v>
      </c>
      <c r="F3119" s="955">
        <v>1</v>
      </c>
      <c r="G3119" s="846"/>
      <c r="H3119" s="864"/>
      <c r="I3119" s="846">
        <v>17844171</v>
      </c>
      <c r="J3119" s="864">
        <v>18533795</v>
      </c>
      <c r="K3119" s="846"/>
      <c r="L3119" s="864"/>
      <c r="M3119" s="846"/>
      <c r="N3119" s="846"/>
      <c r="O3119" s="737">
        <f t="shared" si="391"/>
        <v>0</v>
      </c>
      <c r="P3119" s="847"/>
      <c r="Q3119" s="847"/>
      <c r="R3119" s="738">
        <f t="shared" si="394"/>
        <v>0</v>
      </c>
      <c r="S3119" s="737">
        <f t="shared" si="395"/>
        <v>17844171</v>
      </c>
      <c r="T3119" s="739">
        <f t="shared" si="396"/>
        <v>18533795</v>
      </c>
      <c r="U3119" s="846"/>
      <c r="V3119" s="864"/>
      <c r="W3119" s="846"/>
      <c r="X3119" s="846"/>
      <c r="Y3119" s="740">
        <f t="shared" si="392"/>
        <v>0</v>
      </c>
      <c r="Z3119" s="847"/>
      <c r="AA3119" s="847"/>
      <c r="AB3119" s="741">
        <f t="shared" si="393"/>
        <v>0</v>
      </c>
      <c r="AC3119" s="846"/>
      <c r="AD3119" s="864"/>
      <c r="AE3119" s="846"/>
      <c r="AF3119" s="846"/>
      <c r="AG3119" s="847"/>
      <c r="AH3119" s="847"/>
      <c r="AI3119" s="742">
        <f t="shared" si="397"/>
        <v>17844171</v>
      </c>
      <c r="AJ3119" s="743">
        <f t="shared" si="398"/>
        <v>18533795</v>
      </c>
    </row>
    <row r="3120" spans="1:36">
      <c r="A3120" s="950" t="s">
        <v>157</v>
      </c>
      <c r="B3120" s="951" t="s">
        <v>269</v>
      </c>
      <c r="C3120" s="958" t="s">
        <v>256</v>
      </c>
      <c r="D3120" s="957"/>
      <c r="E3120" s="1030">
        <v>238032</v>
      </c>
      <c r="F3120" s="955">
        <v>1</v>
      </c>
      <c r="G3120" s="846"/>
      <c r="H3120" s="864"/>
      <c r="I3120" s="846">
        <v>9073860</v>
      </c>
      <c r="J3120" s="864">
        <v>9237501</v>
      </c>
      <c r="K3120" s="846"/>
      <c r="L3120" s="864"/>
      <c r="M3120" s="846"/>
      <c r="N3120" s="846"/>
      <c r="O3120" s="737">
        <f t="shared" si="391"/>
        <v>0</v>
      </c>
      <c r="P3120" s="847"/>
      <c r="Q3120" s="847"/>
      <c r="R3120" s="738">
        <f t="shared" si="394"/>
        <v>0</v>
      </c>
      <c r="S3120" s="737">
        <f t="shared" si="395"/>
        <v>9073860</v>
      </c>
      <c r="T3120" s="739">
        <f t="shared" si="396"/>
        <v>9237501</v>
      </c>
      <c r="U3120" s="846"/>
      <c r="V3120" s="864"/>
      <c r="W3120" s="846"/>
      <c r="X3120" s="846"/>
      <c r="Y3120" s="740">
        <f t="shared" si="392"/>
        <v>0</v>
      </c>
      <c r="Z3120" s="847"/>
      <c r="AA3120" s="847"/>
      <c r="AB3120" s="741">
        <f t="shared" si="393"/>
        <v>0</v>
      </c>
      <c r="AC3120" s="846"/>
      <c r="AD3120" s="864"/>
      <c r="AE3120" s="846"/>
      <c r="AF3120" s="846"/>
      <c r="AG3120" s="847"/>
      <c r="AH3120" s="847"/>
      <c r="AI3120" s="742">
        <f t="shared" si="397"/>
        <v>9073860</v>
      </c>
      <c r="AJ3120" s="743">
        <f t="shared" si="398"/>
        <v>9237501</v>
      </c>
    </row>
    <row r="3121" spans="1:36">
      <c r="A3121" s="950" t="s">
        <v>157</v>
      </c>
      <c r="B3121" s="951" t="s">
        <v>270</v>
      </c>
      <c r="C3121" s="958" t="s">
        <v>308</v>
      </c>
      <c r="D3121" s="957"/>
      <c r="E3121" s="1030">
        <v>238032</v>
      </c>
      <c r="F3121" s="955">
        <v>1</v>
      </c>
      <c r="G3121" s="846"/>
      <c r="H3121" s="864"/>
      <c r="I3121" s="846">
        <v>3696549</v>
      </c>
      <c r="J3121" s="864">
        <v>4235165</v>
      </c>
      <c r="K3121" s="846"/>
      <c r="L3121" s="864"/>
      <c r="M3121" s="846"/>
      <c r="N3121" s="846"/>
      <c r="O3121" s="737">
        <f t="shared" si="391"/>
        <v>0</v>
      </c>
      <c r="P3121" s="847"/>
      <c r="Q3121" s="847"/>
      <c r="R3121" s="738">
        <f t="shared" si="394"/>
        <v>0</v>
      </c>
      <c r="S3121" s="737">
        <f t="shared" si="395"/>
        <v>3696549</v>
      </c>
      <c r="T3121" s="739">
        <f t="shared" si="396"/>
        <v>4235165</v>
      </c>
      <c r="U3121" s="846"/>
      <c r="V3121" s="864"/>
      <c r="W3121" s="846"/>
      <c r="X3121" s="846"/>
      <c r="Y3121" s="740">
        <f t="shared" si="392"/>
        <v>0</v>
      </c>
      <c r="Z3121" s="847"/>
      <c r="AA3121" s="847"/>
      <c r="AB3121" s="741">
        <f t="shared" si="393"/>
        <v>0</v>
      </c>
      <c r="AC3121" s="846"/>
      <c r="AD3121" s="864"/>
      <c r="AE3121" s="846"/>
      <c r="AF3121" s="846"/>
      <c r="AG3121" s="847"/>
      <c r="AH3121" s="847"/>
      <c r="AI3121" s="742">
        <f t="shared" si="397"/>
        <v>3696549</v>
      </c>
      <c r="AJ3121" s="743">
        <f t="shared" si="398"/>
        <v>4235165</v>
      </c>
    </row>
    <row r="3122" spans="1:36">
      <c r="A3122" s="950" t="s">
        <v>157</v>
      </c>
      <c r="B3122" s="951" t="s">
        <v>271</v>
      </c>
      <c r="C3122" s="958" t="s">
        <v>309</v>
      </c>
      <c r="D3122" s="957"/>
      <c r="E3122" s="1030">
        <v>238032</v>
      </c>
      <c r="F3122" s="955">
        <v>1</v>
      </c>
      <c r="G3122" s="846"/>
      <c r="H3122" s="864"/>
      <c r="I3122" s="846">
        <v>2754959</v>
      </c>
      <c r="J3122" s="864">
        <v>2807980</v>
      </c>
      <c r="K3122" s="846"/>
      <c r="L3122" s="864"/>
      <c r="M3122" s="846"/>
      <c r="N3122" s="846"/>
      <c r="O3122" s="737">
        <f t="shared" si="391"/>
        <v>0</v>
      </c>
      <c r="P3122" s="847"/>
      <c r="Q3122" s="847"/>
      <c r="R3122" s="738">
        <f t="shared" si="394"/>
        <v>0</v>
      </c>
      <c r="S3122" s="737">
        <f t="shared" si="395"/>
        <v>2754959</v>
      </c>
      <c r="T3122" s="739">
        <f t="shared" si="396"/>
        <v>2807980</v>
      </c>
      <c r="U3122" s="846"/>
      <c r="V3122" s="864"/>
      <c r="W3122" s="846"/>
      <c r="X3122" s="846"/>
      <c r="Y3122" s="740">
        <f t="shared" si="392"/>
        <v>0</v>
      </c>
      <c r="Z3122" s="847"/>
      <c r="AA3122" s="847"/>
      <c r="AB3122" s="741">
        <f t="shared" si="393"/>
        <v>0</v>
      </c>
      <c r="AC3122" s="846"/>
      <c r="AD3122" s="864"/>
      <c r="AE3122" s="846"/>
      <c r="AF3122" s="846"/>
      <c r="AG3122" s="847"/>
      <c r="AH3122" s="847"/>
      <c r="AI3122" s="742">
        <f t="shared" si="397"/>
        <v>2754959</v>
      </c>
      <c r="AJ3122" s="743">
        <f t="shared" si="398"/>
        <v>2807980</v>
      </c>
    </row>
    <row r="3123" spans="1:36">
      <c r="A3123" s="950" t="s">
        <v>157</v>
      </c>
      <c r="B3123" s="951" t="s">
        <v>271</v>
      </c>
      <c r="C3123" s="956" t="s">
        <v>841</v>
      </c>
      <c r="D3123" s="957"/>
      <c r="E3123" s="1030">
        <v>238032</v>
      </c>
      <c r="F3123" s="955">
        <v>1</v>
      </c>
      <c r="G3123" s="846"/>
      <c r="H3123" s="864"/>
      <c r="I3123" s="846">
        <v>2117392</v>
      </c>
      <c r="J3123" s="864">
        <v>2079152</v>
      </c>
      <c r="K3123" s="846"/>
      <c r="L3123" s="864"/>
      <c r="M3123" s="846"/>
      <c r="N3123" s="846"/>
      <c r="O3123" s="737">
        <f t="shared" si="391"/>
        <v>0</v>
      </c>
      <c r="P3123" s="847"/>
      <c r="Q3123" s="847"/>
      <c r="R3123" s="738">
        <f t="shared" si="394"/>
        <v>0</v>
      </c>
      <c r="S3123" s="737">
        <f t="shared" si="395"/>
        <v>2117392</v>
      </c>
      <c r="T3123" s="739">
        <f t="shared" si="396"/>
        <v>2079152</v>
      </c>
      <c r="U3123" s="846"/>
      <c r="V3123" s="864"/>
      <c r="W3123" s="846"/>
      <c r="X3123" s="846"/>
      <c r="Y3123" s="740">
        <f t="shared" si="392"/>
        <v>0</v>
      </c>
      <c r="Z3123" s="847"/>
      <c r="AA3123" s="847"/>
      <c r="AB3123" s="741">
        <f t="shared" si="393"/>
        <v>0</v>
      </c>
      <c r="AC3123" s="846"/>
      <c r="AD3123" s="864"/>
      <c r="AE3123" s="846"/>
      <c r="AF3123" s="846"/>
      <c r="AG3123" s="847"/>
      <c r="AH3123" s="847"/>
      <c r="AI3123" s="742">
        <f t="shared" si="397"/>
        <v>2117392</v>
      </c>
      <c r="AJ3123" s="743">
        <f t="shared" si="398"/>
        <v>2079152</v>
      </c>
    </row>
    <row r="3124" spans="1:36">
      <c r="A3124" s="950" t="s">
        <v>157</v>
      </c>
      <c r="B3124" s="951" t="s">
        <v>272</v>
      </c>
      <c r="C3124" s="958" t="s">
        <v>842</v>
      </c>
      <c r="D3124" s="957"/>
      <c r="E3124" s="1030">
        <v>238032</v>
      </c>
      <c r="F3124" s="955">
        <v>1</v>
      </c>
      <c r="G3124" s="846"/>
      <c r="H3124" s="864"/>
      <c r="I3124" s="846">
        <v>1420977</v>
      </c>
      <c r="J3124" s="864">
        <v>1993102</v>
      </c>
      <c r="K3124" s="846"/>
      <c r="L3124" s="864"/>
      <c r="M3124" s="846"/>
      <c r="N3124" s="846"/>
      <c r="O3124" s="737">
        <f t="shared" si="391"/>
        <v>0</v>
      </c>
      <c r="P3124" s="847"/>
      <c r="Q3124" s="847"/>
      <c r="R3124" s="738">
        <f t="shared" si="394"/>
        <v>0</v>
      </c>
      <c r="S3124" s="737">
        <f t="shared" si="395"/>
        <v>1420977</v>
      </c>
      <c r="T3124" s="739">
        <f t="shared" si="396"/>
        <v>1993102</v>
      </c>
      <c r="U3124" s="846"/>
      <c r="V3124" s="864"/>
      <c r="W3124" s="846"/>
      <c r="X3124" s="846"/>
      <c r="Y3124" s="740">
        <f t="shared" si="392"/>
        <v>0</v>
      </c>
      <c r="Z3124" s="847"/>
      <c r="AA3124" s="847"/>
      <c r="AB3124" s="741">
        <f t="shared" si="393"/>
        <v>0</v>
      </c>
      <c r="AC3124" s="846"/>
      <c r="AD3124" s="864"/>
      <c r="AE3124" s="846"/>
      <c r="AF3124" s="846"/>
      <c r="AG3124" s="847"/>
      <c r="AH3124" s="847"/>
      <c r="AI3124" s="742">
        <f t="shared" si="397"/>
        <v>1420977</v>
      </c>
      <c r="AJ3124" s="743">
        <f t="shared" si="398"/>
        <v>1993102</v>
      </c>
    </row>
    <row r="3125" spans="1:36">
      <c r="A3125" s="950" t="s">
        <v>157</v>
      </c>
      <c r="B3125" s="951" t="s">
        <v>272</v>
      </c>
      <c r="C3125" s="956" t="s">
        <v>843</v>
      </c>
      <c r="D3125" s="957"/>
      <c r="E3125" s="1030">
        <v>238032</v>
      </c>
      <c r="F3125" s="955">
        <v>1</v>
      </c>
      <c r="G3125" s="846"/>
      <c r="H3125" s="864"/>
      <c r="I3125" s="846">
        <v>318701</v>
      </c>
      <c r="J3125" s="864">
        <v>310196</v>
      </c>
      <c r="K3125" s="846"/>
      <c r="L3125" s="864"/>
      <c r="M3125" s="846"/>
      <c r="N3125" s="846"/>
      <c r="O3125" s="737">
        <f t="shared" si="391"/>
        <v>0</v>
      </c>
      <c r="P3125" s="847"/>
      <c r="Q3125" s="847"/>
      <c r="R3125" s="738">
        <f t="shared" si="394"/>
        <v>0</v>
      </c>
      <c r="S3125" s="737">
        <f t="shared" si="395"/>
        <v>318701</v>
      </c>
      <c r="T3125" s="739">
        <f t="shared" si="396"/>
        <v>310196</v>
      </c>
      <c r="U3125" s="846"/>
      <c r="V3125" s="864"/>
      <c r="W3125" s="846"/>
      <c r="X3125" s="846"/>
      <c r="Y3125" s="740">
        <f t="shared" si="392"/>
        <v>0</v>
      </c>
      <c r="Z3125" s="847"/>
      <c r="AA3125" s="847"/>
      <c r="AB3125" s="741">
        <f t="shared" si="393"/>
        <v>0</v>
      </c>
      <c r="AC3125" s="846"/>
      <c r="AD3125" s="864"/>
      <c r="AE3125" s="846"/>
      <c r="AF3125" s="846"/>
      <c r="AG3125" s="847"/>
      <c r="AH3125" s="847"/>
      <c r="AI3125" s="742">
        <f t="shared" si="397"/>
        <v>318701</v>
      </c>
      <c r="AJ3125" s="743">
        <f t="shared" si="398"/>
        <v>310196</v>
      </c>
    </row>
    <row r="3126" spans="1:36">
      <c r="A3126" s="950" t="s">
        <v>157</v>
      </c>
      <c r="B3126" s="951" t="s">
        <v>264</v>
      </c>
      <c r="C3126" s="952" t="s">
        <v>844</v>
      </c>
      <c r="D3126" s="953"/>
      <c r="E3126" s="1030">
        <v>237525</v>
      </c>
      <c r="F3126" s="955">
        <v>3</v>
      </c>
      <c r="G3126" s="846">
        <v>45819526</v>
      </c>
      <c r="H3126" s="864">
        <v>45331013</v>
      </c>
      <c r="I3126" s="846" t="s">
        <v>91</v>
      </c>
      <c r="J3126" s="864"/>
      <c r="K3126" s="846"/>
      <c r="L3126" s="864"/>
      <c r="M3126" s="846">
        <v>89336470</v>
      </c>
      <c r="N3126" s="846">
        <v>2454065</v>
      </c>
      <c r="O3126" s="737">
        <f t="shared" si="391"/>
        <v>91790535</v>
      </c>
      <c r="P3126" s="847">
        <v>94371467</v>
      </c>
      <c r="Q3126" s="847">
        <v>2448645</v>
      </c>
      <c r="R3126" s="738">
        <f t="shared" si="394"/>
        <v>96820112</v>
      </c>
      <c r="S3126" s="737">
        <f t="shared" si="395"/>
        <v>135155996</v>
      </c>
      <c r="T3126" s="739">
        <f t="shared" si="396"/>
        <v>139702480</v>
      </c>
      <c r="U3126" s="846"/>
      <c r="V3126" s="864"/>
      <c r="W3126" s="846"/>
      <c r="X3126" s="846"/>
      <c r="Y3126" s="740">
        <f t="shared" si="392"/>
        <v>0</v>
      </c>
      <c r="Z3126" s="847"/>
      <c r="AA3126" s="847"/>
      <c r="AB3126" s="741">
        <f t="shared" si="393"/>
        <v>0</v>
      </c>
      <c r="AC3126" s="846"/>
      <c r="AD3126" s="864"/>
      <c r="AE3126" s="846"/>
      <c r="AF3126" s="846"/>
      <c r="AG3126" s="847"/>
      <c r="AH3126" s="847"/>
      <c r="AI3126" s="742">
        <f t="shared" si="397"/>
        <v>135155996</v>
      </c>
      <c r="AJ3126" s="743">
        <f t="shared" si="398"/>
        <v>139702480</v>
      </c>
    </row>
    <row r="3127" spans="1:36">
      <c r="A3127" s="950" t="s">
        <v>157</v>
      </c>
      <c r="B3127" s="951" t="s">
        <v>271</v>
      </c>
      <c r="C3127" s="958" t="s">
        <v>309</v>
      </c>
      <c r="D3127" s="957"/>
      <c r="E3127" s="1030">
        <v>237525</v>
      </c>
      <c r="F3127" s="955">
        <v>3</v>
      </c>
      <c r="G3127" s="846"/>
      <c r="H3127" s="847"/>
      <c r="I3127" s="846" t="s">
        <v>91</v>
      </c>
      <c r="J3127" s="847"/>
      <c r="K3127" s="846"/>
      <c r="L3127" s="847"/>
      <c r="M3127" s="846"/>
      <c r="N3127" s="846"/>
      <c r="O3127" s="737">
        <f t="shared" si="391"/>
        <v>0</v>
      </c>
      <c r="P3127" s="847"/>
      <c r="Q3127" s="847"/>
      <c r="R3127" s="738">
        <f t="shared" si="394"/>
        <v>0</v>
      </c>
      <c r="S3127" s="737">
        <f t="shared" si="395"/>
        <v>0</v>
      </c>
      <c r="T3127" s="739">
        <f t="shared" si="396"/>
        <v>0</v>
      </c>
      <c r="U3127" s="846"/>
      <c r="V3127" s="847"/>
      <c r="W3127" s="846"/>
      <c r="X3127" s="846"/>
      <c r="Y3127" s="740">
        <f t="shared" si="392"/>
        <v>0</v>
      </c>
      <c r="Z3127" s="847"/>
      <c r="AA3127" s="847"/>
      <c r="AB3127" s="741">
        <f t="shared" si="393"/>
        <v>0</v>
      </c>
      <c r="AC3127" s="846"/>
      <c r="AD3127" s="847"/>
      <c r="AE3127" s="846"/>
      <c r="AF3127" s="846"/>
      <c r="AG3127" s="847"/>
      <c r="AH3127" s="847"/>
      <c r="AI3127" s="742">
        <f t="shared" si="397"/>
        <v>0</v>
      </c>
      <c r="AJ3127" s="743">
        <f t="shared" si="398"/>
        <v>0</v>
      </c>
    </row>
    <row r="3128" spans="1:36">
      <c r="A3128" s="950" t="s">
        <v>157</v>
      </c>
      <c r="B3128" s="951" t="s">
        <v>272</v>
      </c>
      <c r="C3128" s="956" t="s">
        <v>845</v>
      </c>
      <c r="D3128" s="957"/>
      <c r="E3128" s="1030">
        <v>237525</v>
      </c>
      <c r="F3128" s="955">
        <v>3</v>
      </c>
      <c r="G3128" s="846"/>
      <c r="H3128" s="847"/>
      <c r="I3128" s="846">
        <v>181280</v>
      </c>
      <c r="J3128" s="847">
        <v>0</v>
      </c>
      <c r="K3128" s="846"/>
      <c r="L3128" s="847"/>
      <c r="M3128" s="846"/>
      <c r="N3128" s="846"/>
      <c r="O3128" s="737">
        <f t="shared" si="391"/>
        <v>0</v>
      </c>
      <c r="P3128" s="847"/>
      <c r="Q3128" s="847"/>
      <c r="R3128" s="738">
        <f t="shared" si="394"/>
        <v>0</v>
      </c>
      <c r="S3128" s="737">
        <f t="shared" si="395"/>
        <v>181280</v>
      </c>
      <c r="T3128" s="739">
        <f t="shared" si="396"/>
        <v>0</v>
      </c>
      <c r="U3128" s="846"/>
      <c r="V3128" s="847"/>
      <c r="W3128" s="846"/>
      <c r="X3128" s="846"/>
      <c r="Y3128" s="740">
        <f t="shared" si="392"/>
        <v>0</v>
      </c>
      <c r="Z3128" s="847"/>
      <c r="AA3128" s="847"/>
      <c r="AB3128" s="741">
        <f t="shared" si="393"/>
        <v>0</v>
      </c>
      <c r="AC3128" s="846"/>
      <c r="AD3128" s="847"/>
      <c r="AE3128" s="846"/>
      <c r="AF3128" s="846"/>
      <c r="AG3128" s="847"/>
      <c r="AH3128" s="847"/>
      <c r="AI3128" s="742">
        <f t="shared" si="397"/>
        <v>181280</v>
      </c>
      <c r="AJ3128" s="743">
        <f t="shared" si="398"/>
        <v>0</v>
      </c>
    </row>
    <row r="3129" spans="1:36">
      <c r="A3129" s="950" t="s">
        <v>157</v>
      </c>
      <c r="B3129" s="951" t="s">
        <v>271</v>
      </c>
      <c r="C3129" s="956" t="s">
        <v>846</v>
      </c>
      <c r="D3129" s="957"/>
      <c r="E3129" s="1030">
        <v>237525</v>
      </c>
      <c r="F3129" s="955">
        <v>3</v>
      </c>
      <c r="G3129" s="846"/>
      <c r="H3129" s="847"/>
      <c r="I3129" s="846">
        <v>1901774</v>
      </c>
      <c r="J3129" s="847">
        <v>1873340</v>
      </c>
      <c r="K3129" s="846"/>
      <c r="L3129" s="847"/>
      <c r="M3129" s="846"/>
      <c r="N3129" s="846"/>
      <c r="O3129" s="737">
        <f t="shared" si="391"/>
        <v>0</v>
      </c>
      <c r="P3129" s="847"/>
      <c r="Q3129" s="847"/>
      <c r="R3129" s="738">
        <f t="shared" si="394"/>
        <v>0</v>
      </c>
      <c r="S3129" s="737">
        <f t="shared" si="395"/>
        <v>1901774</v>
      </c>
      <c r="T3129" s="739">
        <f t="shared" si="396"/>
        <v>1873340</v>
      </c>
      <c r="U3129" s="846"/>
      <c r="V3129" s="847"/>
      <c r="W3129" s="846"/>
      <c r="X3129" s="846"/>
      <c r="Y3129" s="740">
        <f t="shared" si="392"/>
        <v>0</v>
      </c>
      <c r="Z3129" s="847"/>
      <c r="AA3129" s="847"/>
      <c r="AB3129" s="741">
        <f t="shared" si="393"/>
        <v>0</v>
      </c>
      <c r="AC3129" s="846"/>
      <c r="AD3129" s="847"/>
      <c r="AE3129" s="846"/>
      <c r="AF3129" s="846"/>
      <c r="AG3129" s="847"/>
      <c r="AH3129" s="847"/>
      <c r="AI3129" s="742">
        <f t="shared" si="397"/>
        <v>1901774</v>
      </c>
      <c r="AJ3129" s="743">
        <f t="shared" si="398"/>
        <v>1873340</v>
      </c>
    </row>
    <row r="3130" spans="1:36">
      <c r="A3130" s="950" t="s">
        <v>157</v>
      </c>
      <c r="B3130" s="951" t="s">
        <v>272</v>
      </c>
      <c r="C3130" s="958" t="s">
        <v>842</v>
      </c>
      <c r="D3130" s="957"/>
      <c r="E3130" s="1030">
        <v>237525</v>
      </c>
      <c r="F3130" s="955">
        <v>3</v>
      </c>
      <c r="G3130" s="846"/>
      <c r="H3130" s="847"/>
      <c r="I3130" s="846">
        <v>662987</v>
      </c>
      <c r="J3130" s="847">
        <v>638126</v>
      </c>
      <c r="K3130" s="846"/>
      <c r="L3130" s="847"/>
      <c r="M3130" s="846"/>
      <c r="N3130" s="846"/>
      <c r="O3130" s="737">
        <f t="shared" si="391"/>
        <v>0</v>
      </c>
      <c r="P3130" s="847"/>
      <c r="Q3130" s="847"/>
      <c r="R3130" s="738">
        <f t="shared" si="394"/>
        <v>0</v>
      </c>
      <c r="S3130" s="737">
        <f t="shared" si="395"/>
        <v>662987</v>
      </c>
      <c r="T3130" s="739">
        <f t="shared" si="396"/>
        <v>638126</v>
      </c>
      <c r="U3130" s="846"/>
      <c r="V3130" s="847"/>
      <c r="W3130" s="846"/>
      <c r="X3130" s="846"/>
      <c r="Y3130" s="740">
        <f t="shared" si="392"/>
        <v>0</v>
      </c>
      <c r="Z3130" s="847"/>
      <c r="AA3130" s="847"/>
      <c r="AB3130" s="741">
        <f t="shared" si="393"/>
        <v>0</v>
      </c>
      <c r="AC3130" s="846"/>
      <c r="AD3130" s="847"/>
      <c r="AE3130" s="846"/>
      <c r="AF3130" s="846"/>
      <c r="AG3130" s="847"/>
      <c r="AH3130" s="847"/>
      <c r="AI3130" s="742">
        <f t="shared" si="397"/>
        <v>662987</v>
      </c>
      <c r="AJ3130" s="743">
        <f t="shared" si="398"/>
        <v>638126</v>
      </c>
    </row>
    <row r="3131" spans="1:36">
      <c r="A3131" s="950" t="s">
        <v>157</v>
      </c>
      <c r="B3131" s="951" t="s">
        <v>280</v>
      </c>
      <c r="C3131" s="958" t="s">
        <v>717</v>
      </c>
      <c r="D3131" s="957"/>
      <c r="E3131" s="1030">
        <v>237525</v>
      </c>
      <c r="F3131" s="955">
        <v>3</v>
      </c>
      <c r="G3131" s="846"/>
      <c r="H3131" s="847"/>
      <c r="I3131" s="846"/>
      <c r="J3131" s="847"/>
      <c r="K3131" s="846"/>
      <c r="L3131" s="847"/>
      <c r="M3131" s="846"/>
      <c r="N3131" s="846"/>
      <c r="O3131" s="737">
        <f t="shared" si="391"/>
        <v>0</v>
      </c>
      <c r="P3131" s="847"/>
      <c r="Q3131" s="847"/>
      <c r="R3131" s="738">
        <f t="shared" si="394"/>
        <v>0</v>
      </c>
      <c r="S3131" s="737">
        <f t="shared" si="395"/>
        <v>0</v>
      </c>
      <c r="T3131" s="739">
        <f t="shared" si="396"/>
        <v>0</v>
      </c>
      <c r="U3131" s="846"/>
      <c r="V3131" s="847"/>
      <c r="W3131" s="846"/>
      <c r="X3131" s="846"/>
      <c r="Y3131" s="740">
        <f t="shared" si="392"/>
        <v>0</v>
      </c>
      <c r="Z3131" s="847"/>
      <c r="AA3131" s="847"/>
      <c r="AB3131" s="741">
        <f t="shared" si="393"/>
        <v>0</v>
      </c>
      <c r="AC3131" s="846">
        <v>19428921</v>
      </c>
      <c r="AD3131" s="847">
        <v>19264491</v>
      </c>
      <c r="AE3131" s="846">
        <v>8801006</v>
      </c>
      <c r="AF3131" s="846"/>
      <c r="AG3131" s="847">
        <v>8801006</v>
      </c>
      <c r="AH3131" s="847"/>
      <c r="AI3131" s="742">
        <f t="shared" si="397"/>
        <v>28229927</v>
      </c>
      <c r="AJ3131" s="743">
        <f t="shared" si="398"/>
        <v>28065497</v>
      </c>
    </row>
    <row r="3132" spans="1:36">
      <c r="A3132" s="950" t="s">
        <v>157</v>
      </c>
      <c r="B3132" s="951" t="s">
        <v>280</v>
      </c>
      <c r="C3132" s="956" t="s">
        <v>847</v>
      </c>
      <c r="D3132" s="957"/>
      <c r="E3132" s="1030">
        <v>237525</v>
      </c>
      <c r="F3132" s="955">
        <v>3</v>
      </c>
      <c r="G3132" s="846"/>
      <c r="H3132" s="847"/>
      <c r="I3132" s="846"/>
      <c r="J3132" s="847"/>
      <c r="K3132" s="846"/>
      <c r="L3132" s="847"/>
      <c r="M3132" s="846"/>
      <c r="N3132" s="846"/>
      <c r="O3132" s="737">
        <f t="shared" si="391"/>
        <v>0</v>
      </c>
      <c r="P3132" s="847"/>
      <c r="Q3132" s="847"/>
      <c r="R3132" s="738">
        <f t="shared" si="394"/>
        <v>0</v>
      </c>
      <c r="S3132" s="737">
        <f t="shared" si="395"/>
        <v>0</v>
      </c>
      <c r="T3132" s="739">
        <f t="shared" si="396"/>
        <v>0</v>
      </c>
      <c r="U3132" s="846"/>
      <c r="V3132" s="847"/>
      <c r="W3132" s="846"/>
      <c r="X3132" s="846"/>
      <c r="Y3132" s="740">
        <f t="shared" si="392"/>
        <v>0</v>
      </c>
      <c r="Z3132" s="847"/>
      <c r="AA3132" s="847"/>
      <c r="AB3132" s="741">
        <f t="shared" si="393"/>
        <v>0</v>
      </c>
      <c r="AC3132" s="846">
        <v>295477</v>
      </c>
      <c r="AD3132" s="847">
        <v>295477</v>
      </c>
      <c r="AE3132" s="846"/>
      <c r="AF3132" s="846"/>
      <c r="AG3132" s="847"/>
      <c r="AH3132" s="847"/>
      <c r="AI3132" s="742">
        <f t="shared" si="397"/>
        <v>295477</v>
      </c>
      <c r="AJ3132" s="743">
        <f t="shared" si="398"/>
        <v>295477</v>
      </c>
    </row>
    <row r="3133" spans="1:36">
      <c r="A3133" s="950" t="s">
        <v>157</v>
      </c>
      <c r="B3133" s="951" t="s">
        <v>280</v>
      </c>
      <c r="C3133" s="956" t="s">
        <v>848</v>
      </c>
      <c r="D3133" s="957"/>
      <c r="E3133" s="1030">
        <v>237525</v>
      </c>
      <c r="F3133" s="955">
        <v>3</v>
      </c>
      <c r="G3133" s="846"/>
      <c r="H3133" s="847"/>
      <c r="I3133" s="846"/>
      <c r="J3133" s="847"/>
      <c r="K3133" s="846"/>
      <c r="L3133" s="847"/>
      <c r="M3133" s="846"/>
      <c r="N3133" s="846" t="s">
        <v>91</v>
      </c>
      <c r="O3133" s="737">
        <f t="shared" si="391"/>
        <v>0</v>
      </c>
      <c r="P3133" s="847"/>
      <c r="Q3133" s="847"/>
      <c r="R3133" s="738">
        <f t="shared" si="394"/>
        <v>0</v>
      </c>
      <c r="S3133" s="737">
        <f t="shared" si="395"/>
        <v>0</v>
      </c>
      <c r="T3133" s="739">
        <f t="shared" si="396"/>
        <v>0</v>
      </c>
      <c r="U3133" s="846"/>
      <c r="V3133" s="847"/>
      <c r="W3133" s="846"/>
      <c r="X3133" s="846"/>
      <c r="Y3133" s="740">
        <f t="shared" si="392"/>
        <v>0</v>
      </c>
      <c r="Z3133" s="847"/>
      <c r="AA3133" s="847"/>
      <c r="AB3133" s="741">
        <f t="shared" si="393"/>
        <v>0</v>
      </c>
      <c r="AC3133" s="846">
        <v>5000</v>
      </c>
      <c r="AD3133" s="847">
        <v>0</v>
      </c>
      <c r="AE3133" s="846"/>
      <c r="AF3133" s="846"/>
      <c r="AG3133" s="847"/>
      <c r="AH3133" s="847"/>
      <c r="AI3133" s="742">
        <f t="shared" si="397"/>
        <v>5000</v>
      </c>
      <c r="AJ3133" s="743">
        <f t="shared" si="398"/>
        <v>0</v>
      </c>
    </row>
    <row r="3134" spans="1:36">
      <c r="A3134" s="950" t="s">
        <v>157</v>
      </c>
      <c r="B3134" s="951" t="s">
        <v>280</v>
      </c>
      <c r="C3134" s="956" t="s">
        <v>849</v>
      </c>
      <c r="D3134" s="957"/>
      <c r="E3134" s="1030">
        <v>237525</v>
      </c>
      <c r="F3134" s="955">
        <v>3</v>
      </c>
      <c r="G3134" s="846"/>
      <c r="H3134" s="847"/>
      <c r="I3134" s="846"/>
      <c r="J3134" s="847"/>
      <c r="K3134" s="846"/>
      <c r="L3134" s="847"/>
      <c r="M3134" s="846"/>
      <c r="N3134" s="846"/>
      <c r="O3134" s="737">
        <f t="shared" si="391"/>
        <v>0</v>
      </c>
      <c r="P3134" s="847"/>
      <c r="Q3134" s="847"/>
      <c r="R3134" s="738">
        <f t="shared" si="394"/>
        <v>0</v>
      </c>
      <c r="S3134" s="737">
        <f t="shared" si="395"/>
        <v>0</v>
      </c>
      <c r="T3134" s="739">
        <f t="shared" si="396"/>
        <v>0</v>
      </c>
      <c r="U3134" s="846"/>
      <c r="V3134" s="847"/>
      <c r="W3134" s="846"/>
      <c r="X3134" s="846"/>
      <c r="Y3134" s="740">
        <f t="shared" si="392"/>
        <v>0</v>
      </c>
      <c r="Z3134" s="847"/>
      <c r="AA3134" s="847"/>
      <c r="AB3134" s="741">
        <f t="shared" si="393"/>
        <v>0</v>
      </c>
      <c r="AC3134" s="846">
        <v>275061</v>
      </c>
      <c r="AD3134" s="847">
        <v>275061</v>
      </c>
      <c r="AE3134" s="846"/>
      <c r="AF3134" s="846"/>
      <c r="AG3134" s="847"/>
      <c r="AH3134" s="847"/>
      <c r="AI3134" s="742">
        <f t="shared" si="397"/>
        <v>275061</v>
      </c>
      <c r="AJ3134" s="743">
        <f t="shared" si="398"/>
        <v>275061</v>
      </c>
    </row>
    <row r="3135" spans="1:36">
      <c r="A3135" s="950" t="s">
        <v>157</v>
      </c>
      <c r="B3135" s="951" t="s">
        <v>271</v>
      </c>
      <c r="C3135" s="956" t="s">
        <v>850</v>
      </c>
      <c r="D3135" s="957"/>
      <c r="E3135" s="1030">
        <v>237525</v>
      </c>
      <c r="F3135" s="955">
        <v>3</v>
      </c>
      <c r="G3135" s="846"/>
      <c r="H3135" s="847"/>
      <c r="I3135" s="846"/>
      <c r="J3135" s="847"/>
      <c r="K3135" s="846"/>
      <c r="L3135" s="847"/>
      <c r="M3135" s="846"/>
      <c r="N3135" s="846"/>
      <c r="O3135" s="737">
        <f t="shared" si="391"/>
        <v>0</v>
      </c>
      <c r="P3135" s="847"/>
      <c r="Q3135" s="847"/>
      <c r="R3135" s="738">
        <f t="shared" si="394"/>
        <v>0</v>
      </c>
      <c r="S3135" s="737">
        <f t="shared" si="395"/>
        <v>0</v>
      </c>
      <c r="T3135" s="739">
        <f t="shared" si="396"/>
        <v>0</v>
      </c>
      <c r="U3135" s="846"/>
      <c r="V3135" s="847"/>
      <c r="W3135" s="846"/>
      <c r="X3135" s="846"/>
      <c r="Y3135" s="740">
        <f t="shared" si="392"/>
        <v>0</v>
      </c>
      <c r="Z3135" s="847"/>
      <c r="AA3135" s="847"/>
      <c r="AB3135" s="741">
        <f t="shared" si="393"/>
        <v>0</v>
      </c>
      <c r="AC3135" s="846">
        <v>417351</v>
      </c>
      <c r="AD3135" s="847">
        <v>417351</v>
      </c>
      <c r="AE3135" s="846"/>
      <c r="AF3135" s="846"/>
      <c r="AG3135" s="847"/>
      <c r="AH3135" s="847"/>
      <c r="AI3135" s="742">
        <f t="shared" si="397"/>
        <v>417351</v>
      </c>
      <c r="AJ3135" s="743">
        <f t="shared" si="398"/>
        <v>417351</v>
      </c>
    </row>
    <row r="3136" spans="1:36">
      <c r="A3136" s="950" t="s">
        <v>157</v>
      </c>
      <c r="B3136" s="951" t="s">
        <v>272</v>
      </c>
      <c r="C3136" s="956" t="s">
        <v>834</v>
      </c>
      <c r="D3136" s="957"/>
      <c r="E3136" s="1030">
        <v>237525</v>
      </c>
      <c r="F3136" s="955">
        <v>3</v>
      </c>
      <c r="G3136" s="846"/>
      <c r="H3136" s="847"/>
      <c r="I3136" s="846"/>
      <c r="J3136" s="847"/>
      <c r="K3136" s="846"/>
      <c r="L3136" s="847"/>
      <c r="M3136" s="846"/>
      <c r="N3136" s="846"/>
      <c r="O3136" s="737">
        <f t="shared" si="391"/>
        <v>0</v>
      </c>
      <c r="P3136" s="847"/>
      <c r="Q3136" s="847"/>
      <c r="R3136" s="738">
        <f t="shared" si="394"/>
        <v>0</v>
      </c>
      <c r="S3136" s="737">
        <f t="shared" si="395"/>
        <v>0</v>
      </c>
      <c r="T3136" s="739">
        <f t="shared" si="396"/>
        <v>0</v>
      </c>
      <c r="U3136" s="846"/>
      <c r="V3136" s="847"/>
      <c r="W3136" s="846"/>
      <c r="X3136" s="846"/>
      <c r="Y3136" s="740">
        <f t="shared" si="392"/>
        <v>0</v>
      </c>
      <c r="Z3136" s="847"/>
      <c r="AA3136" s="847"/>
      <c r="AB3136" s="741">
        <f t="shared" si="393"/>
        <v>0</v>
      </c>
      <c r="AC3136" s="846">
        <v>924653</v>
      </c>
      <c r="AD3136" s="847">
        <v>889979</v>
      </c>
      <c r="AE3136" s="846"/>
      <c r="AF3136" s="846"/>
      <c r="AG3136" s="847"/>
      <c r="AH3136" s="847"/>
      <c r="AI3136" s="742">
        <f t="shared" si="397"/>
        <v>924653</v>
      </c>
      <c r="AJ3136" s="743">
        <f t="shared" si="398"/>
        <v>889979</v>
      </c>
    </row>
    <row r="3137" spans="1:36">
      <c r="A3137" s="950" t="s">
        <v>157</v>
      </c>
      <c r="B3137" s="951" t="s">
        <v>264</v>
      </c>
      <c r="C3137" s="959" t="s">
        <v>851</v>
      </c>
      <c r="D3137" s="963"/>
      <c r="E3137" s="1030">
        <v>237367</v>
      </c>
      <c r="F3137" s="961">
        <v>5</v>
      </c>
      <c r="G3137" s="846">
        <v>16104114</v>
      </c>
      <c r="H3137" s="847">
        <v>15842394</v>
      </c>
      <c r="I3137" s="846"/>
      <c r="J3137" s="847"/>
      <c r="K3137" s="846"/>
      <c r="L3137" s="847"/>
      <c r="M3137" s="846">
        <v>20980269</v>
      </c>
      <c r="N3137" s="846">
        <v>1522545</v>
      </c>
      <c r="O3137" s="737">
        <f t="shared" si="391"/>
        <v>22502814</v>
      </c>
      <c r="P3137" s="847">
        <v>22464578</v>
      </c>
      <c r="Q3137" s="847">
        <v>1523422</v>
      </c>
      <c r="R3137" s="738">
        <f t="shared" si="394"/>
        <v>23988000</v>
      </c>
      <c r="S3137" s="737">
        <f t="shared" si="395"/>
        <v>37084383</v>
      </c>
      <c r="T3137" s="739">
        <f t="shared" si="396"/>
        <v>38306972</v>
      </c>
      <c r="U3137" s="846"/>
      <c r="V3137" s="847"/>
      <c r="W3137" s="846"/>
      <c r="X3137" s="846"/>
      <c r="Y3137" s="740">
        <f t="shared" si="392"/>
        <v>0</v>
      </c>
      <c r="Z3137" s="847"/>
      <c r="AA3137" s="847"/>
      <c r="AB3137" s="741">
        <f t="shared" si="393"/>
        <v>0</v>
      </c>
      <c r="AC3137" s="846"/>
      <c r="AD3137" s="847"/>
      <c r="AE3137" s="846"/>
      <c r="AF3137" s="846"/>
      <c r="AG3137" s="847"/>
      <c r="AH3137" s="847"/>
      <c r="AI3137" s="742">
        <f t="shared" si="397"/>
        <v>37084383</v>
      </c>
      <c r="AJ3137" s="743">
        <f t="shared" si="398"/>
        <v>38306972</v>
      </c>
    </row>
    <row r="3138" spans="1:36">
      <c r="A3138" s="950" t="s">
        <v>157</v>
      </c>
      <c r="B3138" s="951" t="s">
        <v>264</v>
      </c>
      <c r="C3138" s="959" t="s">
        <v>852</v>
      </c>
      <c r="D3138" s="963"/>
      <c r="E3138" s="1030">
        <v>237792</v>
      </c>
      <c r="F3138" s="961">
        <v>5</v>
      </c>
      <c r="G3138" s="846">
        <v>10012854</v>
      </c>
      <c r="H3138" s="1027">
        <v>9841101</v>
      </c>
      <c r="I3138" s="846"/>
      <c r="J3138" s="1027"/>
      <c r="K3138" s="846"/>
      <c r="L3138" s="1027"/>
      <c r="M3138" s="846">
        <v>28920229</v>
      </c>
      <c r="N3138" s="846">
        <v>635813</v>
      </c>
      <c r="O3138" s="737">
        <f t="shared" si="391"/>
        <v>29556042</v>
      </c>
      <c r="P3138" s="847">
        <v>30399220</v>
      </c>
      <c r="Q3138" s="847">
        <v>635813</v>
      </c>
      <c r="R3138" s="738">
        <f t="shared" si="394"/>
        <v>31035033</v>
      </c>
      <c r="S3138" s="737">
        <f t="shared" si="395"/>
        <v>38933083</v>
      </c>
      <c r="T3138" s="739">
        <f t="shared" si="396"/>
        <v>40240321</v>
      </c>
      <c r="U3138" s="846"/>
      <c r="V3138" s="1027"/>
      <c r="W3138" s="846"/>
      <c r="X3138" s="846"/>
      <c r="Y3138" s="740">
        <f t="shared" si="392"/>
        <v>0</v>
      </c>
      <c r="Z3138" s="847"/>
      <c r="AA3138" s="847"/>
      <c r="AB3138" s="741">
        <f t="shared" si="393"/>
        <v>0</v>
      </c>
      <c r="AC3138" s="846"/>
      <c r="AD3138" s="1027"/>
      <c r="AE3138" s="846"/>
      <c r="AF3138" s="846"/>
      <c r="AG3138" s="847"/>
      <c r="AH3138" s="847"/>
      <c r="AI3138" s="742">
        <f t="shared" si="397"/>
        <v>38933083</v>
      </c>
      <c r="AJ3138" s="743">
        <f t="shared" si="398"/>
        <v>40240321</v>
      </c>
    </row>
    <row r="3139" spans="1:36">
      <c r="A3139" s="950" t="s">
        <v>157</v>
      </c>
      <c r="B3139" s="951" t="s">
        <v>272</v>
      </c>
      <c r="C3139" s="958" t="s">
        <v>842</v>
      </c>
      <c r="D3139" s="957"/>
      <c r="E3139" s="1030">
        <v>237792</v>
      </c>
      <c r="F3139" s="961">
        <v>5</v>
      </c>
      <c r="G3139" s="846"/>
      <c r="H3139" s="1027"/>
      <c r="I3139" s="846">
        <v>100000</v>
      </c>
      <c r="J3139" s="1027">
        <v>100000</v>
      </c>
      <c r="K3139" s="846"/>
      <c r="L3139" s="1027"/>
      <c r="M3139" s="846"/>
      <c r="N3139" s="846"/>
      <c r="O3139" s="737">
        <f t="shared" si="391"/>
        <v>0</v>
      </c>
      <c r="P3139" s="847"/>
      <c r="Q3139" s="847"/>
      <c r="R3139" s="738">
        <f t="shared" si="394"/>
        <v>0</v>
      </c>
      <c r="S3139" s="737">
        <f t="shared" si="395"/>
        <v>100000</v>
      </c>
      <c r="T3139" s="739">
        <f t="shared" si="396"/>
        <v>100000</v>
      </c>
      <c r="U3139" s="846"/>
      <c r="V3139" s="1027"/>
      <c r="W3139" s="846"/>
      <c r="X3139" s="846"/>
      <c r="Y3139" s="740">
        <f t="shared" si="392"/>
        <v>0</v>
      </c>
      <c r="Z3139" s="847"/>
      <c r="AA3139" s="847"/>
      <c r="AB3139" s="741">
        <f t="shared" si="393"/>
        <v>0</v>
      </c>
      <c r="AC3139" s="846"/>
      <c r="AD3139" s="1027"/>
      <c r="AE3139" s="846"/>
      <c r="AF3139" s="846"/>
      <c r="AG3139" s="847"/>
      <c r="AH3139" s="847"/>
      <c r="AI3139" s="742">
        <f t="shared" si="397"/>
        <v>100000</v>
      </c>
      <c r="AJ3139" s="743">
        <f t="shared" si="398"/>
        <v>100000</v>
      </c>
    </row>
    <row r="3140" spans="1:36">
      <c r="A3140" s="950" t="s">
        <v>157</v>
      </c>
      <c r="B3140" s="951" t="s">
        <v>264</v>
      </c>
      <c r="C3140" s="951" t="s">
        <v>853</v>
      </c>
      <c r="D3140" s="972"/>
      <c r="E3140" s="1030">
        <v>237215</v>
      </c>
      <c r="F3140" s="955">
        <v>6</v>
      </c>
      <c r="G3140" s="846">
        <v>5938342</v>
      </c>
      <c r="H3140" s="847">
        <v>5856558</v>
      </c>
      <c r="I3140" s="846"/>
      <c r="J3140" s="847"/>
      <c r="K3140" s="846"/>
      <c r="L3140" s="847"/>
      <c r="M3140" s="846">
        <v>10369182</v>
      </c>
      <c r="N3140" s="846"/>
      <c r="O3140" s="737">
        <f t="shared" si="391"/>
        <v>10369182</v>
      </c>
      <c r="P3140" s="847">
        <v>10866903</v>
      </c>
      <c r="Q3140" s="847"/>
      <c r="R3140" s="738">
        <f t="shared" si="394"/>
        <v>10866903</v>
      </c>
      <c r="S3140" s="737">
        <f t="shared" si="395"/>
        <v>16307524</v>
      </c>
      <c r="T3140" s="739">
        <f t="shared" si="396"/>
        <v>16723461</v>
      </c>
      <c r="U3140" s="846"/>
      <c r="V3140" s="847"/>
      <c r="W3140" s="846"/>
      <c r="X3140" s="846"/>
      <c r="Y3140" s="740">
        <f t="shared" si="392"/>
        <v>0</v>
      </c>
      <c r="Z3140" s="847"/>
      <c r="AA3140" s="847"/>
      <c r="AB3140" s="741">
        <f t="shared" si="393"/>
        <v>0</v>
      </c>
      <c r="AC3140" s="846"/>
      <c r="AD3140" s="847"/>
      <c r="AE3140" s="846"/>
      <c r="AF3140" s="846"/>
      <c r="AG3140" s="847"/>
      <c r="AH3140" s="847"/>
      <c r="AI3140" s="742">
        <f t="shared" si="397"/>
        <v>16307524</v>
      </c>
      <c r="AJ3140" s="743">
        <f t="shared" si="398"/>
        <v>16723461</v>
      </c>
    </row>
    <row r="3141" spans="1:36">
      <c r="A3141" s="950" t="s">
        <v>157</v>
      </c>
      <c r="B3141" s="951" t="s">
        <v>264</v>
      </c>
      <c r="C3141" s="952" t="s">
        <v>854</v>
      </c>
      <c r="D3141" s="1037" t="s">
        <v>898</v>
      </c>
      <c r="E3141" s="1030">
        <v>237330</v>
      </c>
      <c r="F3141" s="955">
        <v>6</v>
      </c>
      <c r="G3141" s="846">
        <v>9092694</v>
      </c>
      <c r="H3141" s="847">
        <v>8940548</v>
      </c>
      <c r="I3141" s="846"/>
      <c r="J3141" s="847"/>
      <c r="K3141" s="846"/>
      <c r="L3141" s="847"/>
      <c r="M3141" s="846">
        <v>16716550</v>
      </c>
      <c r="N3141" s="846"/>
      <c r="O3141" s="737">
        <f t="shared" si="391"/>
        <v>16716550</v>
      </c>
      <c r="P3141" s="847">
        <v>17552378</v>
      </c>
      <c r="Q3141" s="847"/>
      <c r="R3141" s="738">
        <f t="shared" si="394"/>
        <v>17552378</v>
      </c>
      <c r="S3141" s="737">
        <f t="shared" si="395"/>
        <v>25809244</v>
      </c>
      <c r="T3141" s="739">
        <f t="shared" si="396"/>
        <v>26492926</v>
      </c>
      <c r="U3141" s="846"/>
      <c r="V3141" s="847"/>
      <c r="W3141" s="846"/>
      <c r="X3141" s="846"/>
      <c r="Y3141" s="740">
        <f t="shared" si="392"/>
        <v>0</v>
      </c>
      <c r="Z3141" s="847"/>
      <c r="AA3141" s="847"/>
      <c r="AB3141" s="741">
        <f t="shared" si="393"/>
        <v>0</v>
      </c>
      <c r="AC3141" s="846"/>
      <c r="AD3141" s="847"/>
      <c r="AE3141" s="846"/>
      <c r="AF3141" s="846"/>
      <c r="AG3141" s="847"/>
      <c r="AH3141" s="847"/>
      <c r="AI3141" s="742">
        <f t="shared" si="397"/>
        <v>25809244</v>
      </c>
      <c r="AJ3141" s="743">
        <f t="shared" si="398"/>
        <v>26492926</v>
      </c>
    </row>
    <row r="3142" spans="1:36">
      <c r="A3142" s="950" t="s">
        <v>157</v>
      </c>
      <c r="B3142" s="951" t="s">
        <v>272</v>
      </c>
      <c r="C3142" s="958" t="s">
        <v>842</v>
      </c>
      <c r="D3142" s="957"/>
      <c r="E3142" s="1030">
        <v>237330</v>
      </c>
      <c r="F3142" s="955">
        <v>6</v>
      </c>
      <c r="G3142" s="846"/>
      <c r="H3142" s="847"/>
      <c r="I3142" s="846">
        <v>100000</v>
      </c>
      <c r="J3142" s="847">
        <v>100000</v>
      </c>
      <c r="K3142" s="846"/>
      <c r="L3142" s="847"/>
      <c r="M3142" s="846"/>
      <c r="N3142" s="846" t="s">
        <v>91</v>
      </c>
      <c r="O3142" s="737">
        <f t="shared" si="391"/>
        <v>0</v>
      </c>
      <c r="P3142" s="847"/>
      <c r="Q3142" s="847"/>
      <c r="R3142" s="738">
        <f t="shared" si="394"/>
        <v>0</v>
      </c>
      <c r="S3142" s="737">
        <f t="shared" si="395"/>
        <v>100000</v>
      </c>
      <c r="T3142" s="739">
        <f t="shared" si="396"/>
        <v>100000</v>
      </c>
      <c r="U3142" s="846"/>
      <c r="V3142" s="847"/>
      <c r="W3142" s="846"/>
      <c r="X3142" s="846"/>
      <c r="Y3142" s="740">
        <f t="shared" si="392"/>
        <v>0</v>
      </c>
      <c r="Z3142" s="847"/>
      <c r="AA3142" s="847"/>
      <c r="AB3142" s="741">
        <f t="shared" si="393"/>
        <v>0</v>
      </c>
      <c r="AC3142" s="846"/>
      <c r="AD3142" s="847"/>
      <c r="AE3142" s="846"/>
      <c r="AF3142" s="846"/>
      <c r="AG3142" s="847"/>
      <c r="AH3142" s="847"/>
      <c r="AI3142" s="742">
        <f t="shared" si="397"/>
        <v>100000</v>
      </c>
      <c r="AJ3142" s="743">
        <f t="shared" si="398"/>
        <v>100000</v>
      </c>
    </row>
    <row r="3143" spans="1:36">
      <c r="A3143" s="950" t="s">
        <v>157</v>
      </c>
      <c r="B3143" s="951" t="s">
        <v>264</v>
      </c>
      <c r="C3143" s="952" t="s">
        <v>855</v>
      </c>
      <c r="D3143" s="953"/>
      <c r="E3143" s="1030">
        <v>237385</v>
      </c>
      <c r="F3143" s="955">
        <v>6</v>
      </c>
      <c r="G3143" s="846">
        <v>5818711</v>
      </c>
      <c r="H3143" s="1027">
        <v>5718177</v>
      </c>
      <c r="I3143" s="846"/>
      <c r="J3143" s="1027"/>
      <c r="K3143" s="846"/>
      <c r="L3143" s="1027"/>
      <c r="M3143" s="846">
        <v>7294563</v>
      </c>
      <c r="N3143" s="846">
        <v>350887</v>
      </c>
      <c r="O3143" s="737">
        <f t="shared" si="391"/>
        <v>7645450</v>
      </c>
      <c r="P3143" s="847">
        <v>7669038</v>
      </c>
      <c r="Q3143" s="847">
        <v>351039</v>
      </c>
      <c r="R3143" s="738">
        <f t="shared" si="394"/>
        <v>8020077</v>
      </c>
      <c r="S3143" s="737">
        <f t="shared" si="395"/>
        <v>13113274</v>
      </c>
      <c r="T3143" s="739">
        <f t="shared" si="396"/>
        <v>13387215</v>
      </c>
      <c r="U3143" s="846"/>
      <c r="V3143" s="1027"/>
      <c r="W3143" s="846"/>
      <c r="X3143" s="846"/>
      <c r="Y3143" s="740">
        <f t="shared" si="392"/>
        <v>0</v>
      </c>
      <c r="Z3143" s="847"/>
      <c r="AA3143" s="847"/>
      <c r="AB3143" s="741">
        <f t="shared" si="393"/>
        <v>0</v>
      </c>
      <c r="AC3143" s="846"/>
      <c r="AD3143" s="1027"/>
      <c r="AE3143" s="846"/>
      <c r="AF3143" s="846"/>
      <c r="AG3143" s="847"/>
      <c r="AH3143" s="847"/>
      <c r="AI3143" s="742">
        <f t="shared" si="397"/>
        <v>13113274</v>
      </c>
      <c r="AJ3143" s="743">
        <f t="shared" si="398"/>
        <v>13387215</v>
      </c>
    </row>
    <row r="3144" spans="1:36">
      <c r="A3144" s="950" t="s">
        <v>157</v>
      </c>
      <c r="B3144" s="951" t="s">
        <v>272</v>
      </c>
      <c r="C3144" s="958" t="s">
        <v>842</v>
      </c>
      <c r="D3144" s="957"/>
      <c r="E3144" s="1030">
        <v>237385</v>
      </c>
      <c r="F3144" s="955">
        <v>6</v>
      </c>
      <c r="G3144" s="846"/>
      <c r="H3144" s="1027"/>
      <c r="I3144" s="846">
        <v>600000</v>
      </c>
      <c r="J3144" s="1027">
        <v>600000</v>
      </c>
      <c r="K3144" s="846"/>
      <c r="L3144" s="1027"/>
      <c r="M3144" s="846"/>
      <c r="N3144" s="846" t="s">
        <v>91</v>
      </c>
      <c r="O3144" s="737">
        <f t="shared" si="391"/>
        <v>0</v>
      </c>
      <c r="P3144" s="847"/>
      <c r="Q3144" s="847"/>
      <c r="R3144" s="738">
        <f t="shared" si="394"/>
        <v>0</v>
      </c>
      <c r="S3144" s="737">
        <f t="shared" si="395"/>
        <v>600000</v>
      </c>
      <c r="T3144" s="739">
        <f t="shared" si="396"/>
        <v>600000</v>
      </c>
      <c r="U3144" s="846"/>
      <c r="V3144" s="1027"/>
      <c r="W3144" s="846"/>
      <c r="X3144" s="846"/>
      <c r="Y3144" s="740">
        <f t="shared" si="392"/>
        <v>0</v>
      </c>
      <c r="Z3144" s="847"/>
      <c r="AA3144" s="847"/>
      <c r="AB3144" s="741">
        <f t="shared" si="393"/>
        <v>0</v>
      </c>
      <c r="AC3144" s="846"/>
      <c r="AD3144" s="1027"/>
      <c r="AE3144" s="846"/>
      <c r="AF3144" s="846"/>
      <c r="AG3144" s="847"/>
      <c r="AH3144" s="847"/>
      <c r="AI3144" s="742">
        <f t="shared" si="397"/>
        <v>600000</v>
      </c>
      <c r="AJ3144" s="743">
        <f t="shared" si="398"/>
        <v>600000</v>
      </c>
    </row>
    <row r="3145" spans="1:36">
      <c r="A3145" s="950" t="s">
        <v>157</v>
      </c>
      <c r="B3145" s="951" t="s">
        <v>264</v>
      </c>
      <c r="C3145" s="952" t="s">
        <v>856</v>
      </c>
      <c r="D3145" s="1037" t="s">
        <v>898</v>
      </c>
      <c r="E3145" s="1030">
        <v>237932</v>
      </c>
      <c r="F3145" s="955">
        <v>6</v>
      </c>
      <c r="G3145" s="846">
        <v>8396273</v>
      </c>
      <c r="H3145" s="1027">
        <v>8255151</v>
      </c>
      <c r="I3145" s="846"/>
      <c r="J3145" s="1027"/>
      <c r="K3145" s="846"/>
      <c r="L3145" s="1027"/>
      <c r="M3145" s="846">
        <v>19941858</v>
      </c>
      <c r="N3145" s="846">
        <v>527783</v>
      </c>
      <c r="O3145" s="737">
        <f t="shared" si="391"/>
        <v>20469641</v>
      </c>
      <c r="P3145" s="847">
        <v>20551982</v>
      </c>
      <c r="Q3145" s="847">
        <v>531748</v>
      </c>
      <c r="R3145" s="738">
        <f t="shared" si="394"/>
        <v>21083730</v>
      </c>
      <c r="S3145" s="737">
        <f t="shared" si="395"/>
        <v>28338131</v>
      </c>
      <c r="T3145" s="739">
        <f t="shared" si="396"/>
        <v>28807133</v>
      </c>
      <c r="U3145" s="846"/>
      <c r="V3145" s="1027"/>
      <c r="W3145" s="846"/>
      <c r="X3145" s="846"/>
      <c r="Y3145" s="740">
        <f t="shared" si="392"/>
        <v>0</v>
      </c>
      <c r="Z3145" s="847"/>
      <c r="AA3145" s="847"/>
      <c r="AB3145" s="741">
        <f t="shared" si="393"/>
        <v>0</v>
      </c>
      <c r="AC3145" s="846"/>
      <c r="AD3145" s="1027"/>
      <c r="AE3145" s="846"/>
      <c r="AF3145" s="846"/>
      <c r="AG3145" s="847"/>
      <c r="AH3145" s="847"/>
      <c r="AI3145" s="742">
        <f t="shared" si="397"/>
        <v>28338131</v>
      </c>
      <c r="AJ3145" s="743">
        <f t="shared" si="398"/>
        <v>28807133</v>
      </c>
    </row>
    <row r="3146" spans="1:36">
      <c r="A3146" s="950" t="s">
        <v>157</v>
      </c>
      <c r="B3146" s="951" t="s">
        <v>264</v>
      </c>
      <c r="C3146" s="952" t="s">
        <v>857</v>
      </c>
      <c r="D3146" s="953"/>
      <c r="E3146" s="1030">
        <v>237899</v>
      </c>
      <c r="F3146" s="955">
        <v>6</v>
      </c>
      <c r="G3146" s="846">
        <v>12449485</v>
      </c>
      <c r="H3146" s="1027">
        <v>12053981</v>
      </c>
      <c r="I3146" s="846"/>
      <c r="J3146" s="1027"/>
      <c r="K3146" s="846"/>
      <c r="L3146" s="1027"/>
      <c r="M3146" s="846">
        <v>15387812</v>
      </c>
      <c r="N3146" s="846" t="s">
        <v>91</v>
      </c>
      <c r="O3146" s="737">
        <f t="shared" ref="O3146:O3209" si="399">SUM(M3146:N3146)</f>
        <v>15387812</v>
      </c>
      <c r="P3146" s="847">
        <v>16157203</v>
      </c>
      <c r="Q3146" s="847"/>
      <c r="R3146" s="738">
        <f t="shared" si="394"/>
        <v>16157203</v>
      </c>
      <c r="S3146" s="737">
        <f t="shared" si="395"/>
        <v>27837297</v>
      </c>
      <c r="T3146" s="739">
        <f t="shared" si="396"/>
        <v>28211184</v>
      </c>
      <c r="U3146" s="846"/>
      <c r="V3146" s="1027"/>
      <c r="W3146" s="846"/>
      <c r="X3146" s="846"/>
      <c r="Y3146" s="740">
        <f t="shared" ref="Y3146:Y3209" si="400">SUM(W3146:X3146)</f>
        <v>0</v>
      </c>
      <c r="Z3146" s="847"/>
      <c r="AA3146" s="847"/>
      <c r="AB3146" s="741">
        <f t="shared" ref="AB3146:AB3209" si="401">SUM(Z3146:AA3146)</f>
        <v>0</v>
      </c>
      <c r="AC3146" s="846"/>
      <c r="AD3146" s="1027"/>
      <c r="AE3146" s="846"/>
      <c r="AF3146" s="846"/>
      <c r="AG3146" s="847"/>
      <c r="AH3146" s="847"/>
      <c r="AI3146" s="742">
        <f t="shared" si="397"/>
        <v>27837297</v>
      </c>
      <c r="AJ3146" s="743">
        <f t="shared" si="398"/>
        <v>28211184</v>
      </c>
    </row>
    <row r="3147" spans="1:36">
      <c r="A3147" s="950" t="s">
        <v>157</v>
      </c>
      <c r="B3147" s="951" t="s">
        <v>264</v>
      </c>
      <c r="C3147" s="1031" t="s">
        <v>858</v>
      </c>
      <c r="D3147" s="1032"/>
      <c r="E3147" s="1030">
        <v>237950</v>
      </c>
      <c r="F3147" s="955">
        <v>6</v>
      </c>
      <c r="G3147" s="846">
        <v>8526970</v>
      </c>
      <c r="H3147" s="1027">
        <v>8400448</v>
      </c>
      <c r="I3147" s="846"/>
      <c r="J3147" s="1027"/>
      <c r="K3147" s="846"/>
      <c r="L3147" s="1027"/>
      <c r="M3147" s="846">
        <v>8763808</v>
      </c>
      <c r="N3147" s="846"/>
      <c r="O3147" s="737">
        <f t="shared" si="399"/>
        <v>8763808</v>
      </c>
      <c r="P3147" s="847">
        <v>9123124</v>
      </c>
      <c r="Q3147" s="847"/>
      <c r="R3147" s="738">
        <f t="shared" ref="R3147:R3210" si="402">SUM(P3147:Q3147)</f>
        <v>9123124</v>
      </c>
      <c r="S3147" s="737">
        <f t="shared" ref="S3147:S3210" si="403">SUM(G3147,I3147,K3147,M3147)</f>
        <v>17290778</v>
      </c>
      <c r="T3147" s="739">
        <f t="shared" ref="T3147:T3210" si="404">SUM(H3147,J3147,L3147,P3147)</f>
        <v>17523572</v>
      </c>
      <c r="U3147" s="846"/>
      <c r="V3147" s="1027"/>
      <c r="W3147" s="846"/>
      <c r="X3147" s="846"/>
      <c r="Y3147" s="740">
        <f t="shared" si="400"/>
        <v>0</v>
      </c>
      <c r="Z3147" s="847"/>
      <c r="AA3147" s="847"/>
      <c r="AB3147" s="741">
        <f t="shared" si="401"/>
        <v>0</v>
      </c>
      <c r="AC3147" s="846"/>
      <c r="AD3147" s="1027"/>
      <c r="AE3147" s="846"/>
      <c r="AF3147" s="846"/>
      <c r="AG3147" s="847"/>
      <c r="AH3147" s="847"/>
      <c r="AI3147" s="742">
        <f t="shared" ref="AI3147:AI3210" si="405">SUM(S3147,U3147,W3147,AC3147,AE3147)</f>
        <v>17290778</v>
      </c>
      <c r="AJ3147" s="743">
        <f t="shared" ref="AJ3147:AJ3210" si="406">SUM(T3147,V3147,Z3147,AD3147,AG3147)</f>
        <v>17523572</v>
      </c>
    </row>
    <row r="3148" spans="1:36">
      <c r="A3148" s="950" t="s">
        <v>157</v>
      </c>
      <c r="B3148" s="951" t="s">
        <v>272</v>
      </c>
      <c r="C3148" s="1033" t="s">
        <v>859</v>
      </c>
      <c r="D3148" s="1034"/>
      <c r="E3148" s="1030">
        <v>237950</v>
      </c>
      <c r="F3148" s="955">
        <v>6</v>
      </c>
      <c r="G3148" s="846"/>
      <c r="H3148" s="864"/>
      <c r="I3148" s="846"/>
      <c r="J3148" s="864"/>
      <c r="K3148" s="846"/>
      <c r="L3148" s="864"/>
      <c r="M3148" s="846"/>
      <c r="N3148" s="846"/>
      <c r="O3148" s="737">
        <f t="shared" si="399"/>
        <v>0</v>
      </c>
      <c r="P3148" s="847"/>
      <c r="Q3148" s="847"/>
      <c r="R3148" s="738">
        <f t="shared" si="402"/>
        <v>0</v>
      </c>
      <c r="S3148" s="737">
        <f t="shared" si="403"/>
        <v>0</v>
      </c>
      <c r="T3148" s="739">
        <f t="shared" si="404"/>
        <v>0</v>
      </c>
      <c r="U3148" s="846"/>
      <c r="V3148" s="864"/>
      <c r="W3148" s="846"/>
      <c r="X3148" s="846"/>
      <c r="Y3148" s="740">
        <f t="shared" si="400"/>
        <v>0</v>
      </c>
      <c r="Z3148" s="847"/>
      <c r="AA3148" s="847"/>
      <c r="AB3148" s="741">
        <f t="shared" si="401"/>
        <v>0</v>
      </c>
      <c r="AC3148" s="846"/>
      <c r="AD3148" s="864"/>
      <c r="AE3148" s="846"/>
      <c r="AF3148" s="846"/>
      <c r="AG3148" s="847"/>
      <c r="AH3148" s="847"/>
      <c r="AI3148" s="742">
        <f t="shared" si="405"/>
        <v>0</v>
      </c>
      <c r="AJ3148" s="743">
        <f t="shared" si="406"/>
        <v>0</v>
      </c>
    </row>
    <row r="3149" spans="1:36">
      <c r="A3149" s="950" t="s">
        <v>157</v>
      </c>
      <c r="B3149" s="951" t="s">
        <v>264</v>
      </c>
      <c r="C3149" s="1035" t="s">
        <v>860</v>
      </c>
      <c r="D3149" s="1036"/>
      <c r="E3149" s="1030">
        <v>237701</v>
      </c>
      <c r="F3149" s="961">
        <v>7</v>
      </c>
      <c r="G3149" s="846">
        <v>4016689</v>
      </c>
      <c r="H3149" s="1027">
        <v>3970493</v>
      </c>
      <c r="I3149" s="846"/>
      <c r="J3149" s="1027"/>
      <c r="K3149" s="846"/>
      <c r="L3149" s="1027"/>
      <c r="M3149" s="846">
        <v>6387004</v>
      </c>
      <c r="N3149" s="846" t="s">
        <v>91</v>
      </c>
      <c r="O3149" s="737">
        <f t="shared" si="399"/>
        <v>6387004</v>
      </c>
      <c r="P3149" s="847">
        <v>6661645</v>
      </c>
      <c r="Q3149" s="847"/>
      <c r="R3149" s="738">
        <f t="shared" si="402"/>
        <v>6661645</v>
      </c>
      <c r="S3149" s="737">
        <f t="shared" si="403"/>
        <v>10403693</v>
      </c>
      <c r="T3149" s="739">
        <f t="shared" si="404"/>
        <v>10632138</v>
      </c>
      <c r="U3149" s="846"/>
      <c r="V3149" s="1027"/>
      <c r="W3149" s="846"/>
      <c r="X3149" s="846"/>
      <c r="Y3149" s="740">
        <f t="shared" si="400"/>
        <v>0</v>
      </c>
      <c r="Z3149" s="847"/>
      <c r="AA3149" s="847"/>
      <c r="AB3149" s="741">
        <f t="shared" si="401"/>
        <v>0</v>
      </c>
      <c r="AC3149" s="846"/>
      <c r="AD3149" s="1027"/>
      <c r="AE3149" s="846"/>
      <c r="AF3149" s="846"/>
      <c r="AG3149" s="847"/>
      <c r="AH3149" s="847"/>
      <c r="AI3149" s="742">
        <f t="shared" si="405"/>
        <v>10403693</v>
      </c>
      <c r="AJ3149" s="743">
        <f t="shared" si="406"/>
        <v>10632138</v>
      </c>
    </row>
    <row r="3150" spans="1:36">
      <c r="A3150" s="950" t="s">
        <v>157</v>
      </c>
      <c r="B3150" s="951" t="s">
        <v>272</v>
      </c>
      <c r="C3150" s="958" t="s">
        <v>842</v>
      </c>
      <c r="D3150" s="957"/>
      <c r="E3150" s="1030">
        <v>237701</v>
      </c>
      <c r="F3150" s="961">
        <v>7</v>
      </c>
      <c r="G3150" s="846"/>
      <c r="H3150" s="1027"/>
      <c r="I3150" s="846">
        <v>207500</v>
      </c>
      <c r="J3150" s="1027">
        <v>207500</v>
      </c>
      <c r="K3150" s="846"/>
      <c r="L3150" s="1027"/>
      <c r="M3150" s="846"/>
      <c r="N3150" s="846"/>
      <c r="O3150" s="737">
        <f t="shared" si="399"/>
        <v>0</v>
      </c>
      <c r="P3150" s="847"/>
      <c r="Q3150" s="847"/>
      <c r="R3150" s="738">
        <f t="shared" si="402"/>
        <v>0</v>
      </c>
      <c r="S3150" s="737">
        <f t="shared" si="403"/>
        <v>207500</v>
      </c>
      <c r="T3150" s="739">
        <f t="shared" si="404"/>
        <v>207500</v>
      </c>
      <c r="U3150" s="846"/>
      <c r="V3150" s="1027"/>
      <c r="W3150" s="846"/>
      <c r="X3150" s="846"/>
      <c r="Y3150" s="740">
        <f t="shared" si="400"/>
        <v>0</v>
      </c>
      <c r="Z3150" s="847"/>
      <c r="AA3150" s="847"/>
      <c r="AB3150" s="741">
        <f t="shared" si="401"/>
        <v>0</v>
      </c>
      <c r="AC3150" s="846"/>
      <c r="AD3150" s="1027"/>
      <c r="AE3150" s="846"/>
      <c r="AF3150" s="846"/>
      <c r="AG3150" s="847"/>
      <c r="AH3150" s="847"/>
      <c r="AI3150" s="742">
        <f t="shared" si="405"/>
        <v>207500</v>
      </c>
      <c r="AJ3150" s="743">
        <f t="shared" si="406"/>
        <v>207500</v>
      </c>
    </row>
    <row r="3151" spans="1:36">
      <c r="A3151" s="950" t="s">
        <v>157</v>
      </c>
      <c r="B3151" s="951" t="s">
        <v>264</v>
      </c>
      <c r="C3151" s="1031" t="s">
        <v>861</v>
      </c>
      <c r="D3151" s="1037" t="s">
        <v>899</v>
      </c>
      <c r="E3151" s="1030">
        <v>237686</v>
      </c>
      <c r="F3151" s="955">
        <v>7</v>
      </c>
      <c r="G3151" s="846">
        <v>10230191</v>
      </c>
      <c r="H3151" s="1027">
        <v>9858752</v>
      </c>
      <c r="I3151" s="846"/>
      <c r="J3151" s="1027"/>
      <c r="K3151" s="846"/>
      <c r="L3151" s="1027"/>
      <c r="M3151" s="846">
        <v>11485330</v>
      </c>
      <c r="N3151" s="846" t="s">
        <v>91</v>
      </c>
      <c r="O3151" s="737">
        <f t="shared" si="399"/>
        <v>11485330</v>
      </c>
      <c r="P3151" s="847">
        <v>12404156.4</v>
      </c>
      <c r="Q3151" s="847"/>
      <c r="R3151" s="738">
        <f t="shared" si="402"/>
        <v>12404156.4</v>
      </c>
      <c r="S3151" s="737">
        <f t="shared" si="403"/>
        <v>21715521</v>
      </c>
      <c r="T3151" s="739">
        <f t="shared" si="404"/>
        <v>22262908.399999999</v>
      </c>
      <c r="U3151" s="846"/>
      <c r="V3151" s="1027"/>
      <c r="W3151" s="846"/>
      <c r="X3151" s="846"/>
      <c r="Y3151" s="740">
        <f t="shared" si="400"/>
        <v>0</v>
      </c>
      <c r="Z3151" s="847"/>
      <c r="AA3151" s="847"/>
      <c r="AB3151" s="741">
        <f t="shared" si="401"/>
        <v>0</v>
      </c>
      <c r="AC3151" s="846"/>
      <c r="AD3151" s="1027"/>
      <c r="AE3151" s="846"/>
      <c r="AF3151" s="846"/>
      <c r="AG3151" s="847"/>
      <c r="AH3151" s="847"/>
      <c r="AI3151" s="742">
        <f t="shared" si="405"/>
        <v>21715521</v>
      </c>
      <c r="AJ3151" s="743">
        <f t="shared" si="406"/>
        <v>22262908.399999999</v>
      </c>
    </row>
    <row r="3152" spans="1:36">
      <c r="A3152" s="950" t="s">
        <v>157</v>
      </c>
      <c r="B3152" s="951" t="s">
        <v>272</v>
      </c>
      <c r="C3152" s="958" t="s">
        <v>842</v>
      </c>
      <c r="D3152" s="1037"/>
      <c r="E3152" s="1030">
        <v>237686</v>
      </c>
      <c r="F3152" s="955">
        <v>7</v>
      </c>
      <c r="G3152" s="846"/>
      <c r="H3152" s="1027"/>
      <c r="I3152" s="846"/>
      <c r="J3152" s="1027"/>
      <c r="K3152" s="846"/>
      <c r="L3152" s="1027"/>
      <c r="M3152" s="846"/>
      <c r="N3152" s="846"/>
      <c r="O3152" s="737">
        <f t="shared" si="399"/>
        <v>0</v>
      </c>
      <c r="P3152" s="847" t="s">
        <v>91</v>
      </c>
      <c r="Q3152" s="847"/>
      <c r="R3152" s="738">
        <f t="shared" si="402"/>
        <v>0</v>
      </c>
      <c r="S3152" s="737">
        <f t="shared" si="403"/>
        <v>0</v>
      </c>
      <c r="T3152" s="739">
        <f t="shared" si="404"/>
        <v>0</v>
      </c>
      <c r="U3152" s="846"/>
      <c r="V3152" s="1027"/>
      <c r="W3152" s="846"/>
      <c r="X3152" s="846"/>
      <c r="Y3152" s="740">
        <f t="shared" si="400"/>
        <v>0</v>
      </c>
      <c r="Z3152" s="847"/>
      <c r="AA3152" s="847"/>
      <c r="AB3152" s="741">
        <f t="shared" si="401"/>
        <v>0</v>
      </c>
      <c r="AC3152" s="846"/>
      <c r="AD3152" s="1027"/>
      <c r="AE3152" s="846"/>
      <c r="AF3152" s="846"/>
      <c r="AG3152" s="847"/>
      <c r="AH3152" s="847"/>
      <c r="AI3152" s="742">
        <f t="shared" si="405"/>
        <v>0</v>
      </c>
      <c r="AJ3152" s="743">
        <f t="shared" si="406"/>
        <v>0</v>
      </c>
    </row>
    <row r="3153" spans="1:36">
      <c r="A3153" s="950" t="s">
        <v>157</v>
      </c>
      <c r="B3153" s="951" t="s">
        <v>264</v>
      </c>
      <c r="C3153" s="959" t="s">
        <v>862</v>
      </c>
      <c r="D3153" s="963" t="s">
        <v>532</v>
      </c>
      <c r="E3153" s="1030">
        <v>447582</v>
      </c>
      <c r="F3153" s="961">
        <v>9</v>
      </c>
      <c r="G3153" s="846">
        <v>5775692</v>
      </c>
      <c r="H3153" s="1027">
        <v>5681907</v>
      </c>
      <c r="I3153" s="846"/>
      <c r="J3153" s="1027"/>
      <c r="K3153" s="846"/>
      <c r="L3153" s="1027"/>
      <c r="M3153" s="846">
        <v>9431495</v>
      </c>
      <c r="N3153" s="846"/>
      <c r="O3153" s="737">
        <f t="shared" si="399"/>
        <v>9431495</v>
      </c>
      <c r="P3153" s="847">
        <v>9715383</v>
      </c>
      <c r="Q3153" s="847"/>
      <c r="R3153" s="738">
        <f t="shared" si="402"/>
        <v>9715383</v>
      </c>
      <c r="S3153" s="737">
        <f t="shared" si="403"/>
        <v>15207187</v>
      </c>
      <c r="T3153" s="739">
        <f t="shared" si="404"/>
        <v>15397290</v>
      </c>
      <c r="U3153" s="846"/>
      <c r="V3153" s="1027"/>
      <c r="W3153" s="846"/>
      <c r="X3153" s="846"/>
      <c r="Y3153" s="740">
        <f t="shared" si="400"/>
        <v>0</v>
      </c>
      <c r="Z3153" s="847"/>
      <c r="AA3153" s="847"/>
      <c r="AB3153" s="741">
        <f t="shared" si="401"/>
        <v>0</v>
      </c>
      <c r="AC3153" s="846"/>
      <c r="AD3153" s="1027"/>
      <c r="AE3153" s="846"/>
      <c r="AF3153" s="846"/>
      <c r="AG3153" s="847"/>
      <c r="AH3153" s="847"/>
      <c r="AI3153" s="742">
        <f t="shared" si="405"/>
        <v>15207187</v>
      </c>
      <c r="AJ3153" s="743">
        <f t="shared" si="406"/>
        <v>15397290</v>
      </c>
    </row>
    <row r="3154" spans="1:36">
      <c r="A3154" s="950" t="s">
        <v>157</v>
      </c>
      <c r="B3154" s="951" t="s">
        <v>272</v>
      </c>
      <c r="C3154" s="958" t="s">
        <v>842</v>
      </c>
      <c r="D3154" s="957"/>
      <c r="E3154" s="1030">
        <v>447582</v>
      </c>
      <c r="F3154" s="961">
        <v>9</v>
      </c>
      <c r="G3154" s="846"/>
      <c r="H3154" s="1027"/>
      <c r="I3154" s="846"/>
      <c r="J3154" s="1027"/>
      <c r="K3154" s="846"/>
      <c r="L3154" s="1027"/>
      <c r="M3154" s="846"/>
      <c r="N3154" s="846"/>
      <c r="O3154" s="737">
        <f t="shared" si="399"/>
        <v>0</v>
      </c>
      <c r="P3154" s="847"/>
      <c r="Q3154" s="847"/>
      <c r="R3154" s="738">
        <f t="shared" si="402"/>
        <v>0</v>
      </c>
      <c r="S3154" s="737">
        <f t="shared" si="403"/>
        <v>0</v>
      </c>
      <c r="T3154" s="739">
        <f t="shared" si="404"/>
        <v>0</v>
      </c>
      <c r="U3154" s="846"/>
      <c r="V3154" s="1027"/>
      <c r="W3154" s="846"/>
      <c r="X3154" s="846"/>
      <c r="Y3154" s="740">
        <f t="shared" si="400"/>
        <v>0</v>
      </c>
      <c r="Z3154" s="847"/>
      <c r="AA3154" s="847"/>
      <c r="AB3154" s="741">
        <f t="shared" si="401"/>
        <v>0</v>
      </c>
      <c r="AC3154" s="846"/>
      <c r="AD3154" s="1027"/>
      <c r="AE3154" s="846"/>
      <c r="AF3154" s="846"/>
      <c r="AG3154" s="847"/>
      <c r="AH3154" s="847"/>
      <c r="AI3154" s="742">
        <f t="shared" si="405"/>
        <v>0</v>
      </c>
      <c r="AJ3154" s="743">
        <f t="shared" si="406"/>
        <v>0</v>
      </c>
    </row>
    <row r="3155" spans="1:36">
      <c r="A3155" s="950" t="s">
        <v>157</v>
      </c>
      <c r="B3155" s="951" t="s">
        <v>264</v>
      </c>
      <c r="C3155" s="1035" t="s">
        <v>863</v>
      </c>
      <c r="D3155" s="963" t="s">
        <v>532</v>
      </c>
      <c r="E3155" s="1030">
        <v>443492</v>
      </c>
      <c r="F3155" s="961">
        <v>9</v>
      </c>
      <c r="G3155" s="846">
        <v>7734209</v>
      </c>
      <c r="H3155" s="1027">
        <v>7584426</v>
      </c>
      <c r="I3155" s="846"/>
      <c r="J3155" s="1027"/>
      <c r="K3155" s="846"/>
      <c r="L3155" s="1027"/>
      <c r="M3155" s="846">
        <v>8554548</v>
      </c>
      <c r="N3155" s="846"/>
      <c r="O3155" s="737">
        <f t="shared" si="399"/>
        <v>8554548</v>
      </c>
      <c r="P3155" s="847">
        <v>9152511</v>
      </c>
      <c r="Q3155" s="847"/>
      <c r="R3155" s="738">
        <f t="shared" si="402"/>
        <v>9152511</v>
      </c>
      <c r="S3155" s="737">
        <f t="shared" si="403"/>
        <v>16288757</v>
      </c>
      <c r="T3155" s="739">
        <f t="shared" si="404"/>
        <v>16736937</v>
      </c>
      <c r="U3155" s="846"/>
      <c r="V3155" s="1027"/>
      <c r="W3155" s="846"/>
      <c r="X3155" s="846"/>
      <c r="Y3155" s="740">
        <f t="shared" si="400"/>
        <v>0</v>
      </c>
      <c r="Z3155" s="847"/>
      <c r="AA3155" s="847"/>
      <c r="AB3155" s="741">
        <f t="shared" si="401"/>
        <v>0</v>
      </c>
      <c r="AC3155" s="846"/>
      <c r="AD3155" s="1027"/>
      <c r="AE3155" s="846"/>
      <c r="AF3155" s="846"/>
      <c r="AG3155" s="847"/>
      <c r="AH3155" s="847"/>
      <c r="AI3155" s="742">
        <f t="shared" si="405"/>
        <v>16288757</v>
      </c>
      <c r="AJ3155" s="743">
        <f t="shared" si="406"/>
        <v>16736937</v>
      </c>
    </row>
    <row r="3156" spans="1:36">
      <c r="A3156" s="950" t="s">
        <v>157</v>
      </c>
      <c r="B3156" s="951" t="s">
        <v>272</v>
      </c>
      <c r="C3156" s="958" t="s">
        <v>842</v>
      </c>
      <c r="D3156" s="957"/>
      <c r="E3156" s="1030">
        <v>443492</v>
      </c>
      <c r="F3156" s="961">
        <v>9</v>
      </c>
      <c r="G3156" s="846"/>
      <c r="H3156" s="1027"/>
      <c r="I3156" s="846"/>
      <c r="J3156" s="1027"/>
      <c r="K3156" s="846"/>
      <c r="L3156" s="1027"/>
      <c r="M3156" s="846"/>
      <c r="N3156" s="846"/>
      <c r="O3156" s="737">
        <f t="shared" si="399"/>
        <v>0</v>
      </c>
      <c r="P3156" s="847"/>
      <c r="Q3156" s="847"/>
      <c r="R3156" s="738">
        <f t="shared" si="402"/>
        <v>0</v>
      </c>
      <c r="S3156" s="737">
        <f t="shared" si="403"/>
        <v>0</v>
      </c>
      <c r="T3156" s="739">
        <f t="shared" si="404"/>
        <v>0</v>
      </c>
      <c r="U3156" s="846"/>
      <c r="V3156" s="1027"/>
      <c r="W3156" s="846"/>
      <c r="X3156" s="846"/>
      <c r="Y3156" s="740">
        <f t="shared" si="400"/>
        <v>0</v>
      </c>
      <c r="Z3156" s="847"/>
      <c r="AA3156" s="847"/>
      <c r="AB3156" s="741">
        <f t="shared" si="401"/>
        <v>0</v>
      </c>
      <c r="AC3156" s="846"/>
      <c r="AD3156" s="1027"/>
      <c r="AE3156" s="846"/>
      <c r="AF3156" s="846"/>
      <c r="AG3156" s="847"/>
      <c r="AH3156" s="847"/>
      <c r="AI3156" s="742">
        <f t="shared" si="405"/>
        <v>0</v>
      </c>
      <c r="AJ3156" s="743">
        <f t="shared" si="406"/>
        <v>0</v>
      </c>
    </row>
    <row r="3157" spans="1:36">
      <c r="A3157" s="950" t="s">
        <v>157</v>
      </c>
      <c r="B3157" s="951" t="s">
        <v>264</v>
      </c>
      <c r="C3157" s="959" t="s">
        <v>864</v>
      </c>
      <c r="D3157" s="960" t="s">
        <v>712</v>
      </c>
      <c r="E3157" s="1030">
        <v>238014</v>
      </c>
      <c r="F3157" s="1043">
        <v>10</v>
      </c>
      <c r="G3157" s="846">
        <v>7230369</v>
      </c>
      <c r="H3157" s="1027">
        <v>7125451</v>
      </c>
      <c r="I3157" s="846"/>
      <c r="J3157" s="1027"/>
      <c r="K3157" s="846"/>
      <c r="L3157" s="1027"/>
      <c r="M3157" s="846">
        <v>5487559</v>
      </c>
      <c r="N3157" s="846"/>
      <c r="O3157" s="737">
        <f t="shared" si="399"/>
        <v>5487559</v>
      </c>
      <c r="P3157" s="847">
        <v>6018755</v>
      </c>
      <c r="Q3157" s="847"/>
      <c r="R3157" s="738">
        <f t="shared" si="402"/>
        <v>6018755</v>
      </c>
      <c r="S3157" s="737">
        <f t="shared" si="403"/>
        <v>12717928</v>
      </c>
      <c r="T3157" s="739">
        <f t="shared" si="404"/>
        <v>13144206</v>
      </c>
      <c r="U3157" s="846"/>
      <c r="V3157" s="1027"/>
      <c r="W3157" s="846"/>
      <c r="X3157" s="846"/>
      <c r="Y3157" s="740">
        <f t="shared" si="400"/>
        <v>0</v>
      </c>
      <c r="Z3157" s="847"/>
      <c r="AA3157" s="847"/>
      <c r="AB3157" s="741">
        <f t="shared" si="401"/>
        <v>0</v>
      </c>
      <c r="AC3157" s="846"/>
      <c r="AD3157" s="1027"/>
      <c r="AE3157" s="846"/>
      <c r="AF3157" s="846"/>
      <c r="AG3157" s="847"/>
      <c r="AH3157" s="847"/>
      <c r="AI3157" s="742">
        <f t="shared" si="405"/>
        <v>12717928</v>
      </c>
      <c r="AJ3157" s="743">
        <f t="shared" si="406"/>
        <v>13144206</v>
      </c>
    </row>
    <row r="3158" spans="1:36">
      <c r="A3158" s="950" t="s">
        <v>157</v>
      </c>
      <c r="B3158" s="951" t="s">
        <v>272</v>
      </c>
      <c r="C3158" s="958" t="s">
        <v>842</v>
      </c>
      <c r="D3158" s="957"/>
      <c r="E3158" s="1030">
        <v>238014</v>
      </c>
      <c r="F3158" s="1043">
        <v>10</v>
      </c>
      <c r="G3158" s="846"/>
      <c r="H3158" s="1027"/>
      <c r="I3158" s="846"/>
      <c r="J3158" s="1027"/>
      <c r="K3158" s="846"/>
      <c r="L3158" s="1027"/>
      <c r="M3158" s="846"/>
      <c r="N3158" s="846"/>
      <c r="O3158" s="737">
        <f t="shared" si="399"/>
        <v>0</v>
      </c>
      <c r="P3158" s="847"/>
      <c r="Q3158" s="847"/>
      <c r="R3158" s="738">
        <f t="shared" si="402"/>
        <v>0</v>
      </c>
      <c r="S3158" s="737">
        <f t="shared" si="403"/>
        <v>0</v>
      </c>
      <c r="T3158" s="739">
        <f t="shared" si="404"/>
        <v>0</v>
      </c>
      <c r="U3158" s="846"/>
      <c r="V3158" s="1027"/>
      <c r="W3158" s="846"/>
      <c r="X3158" s="846"/>
      <c r="Y3158" s="740">
        <f t="shared" si="400"/>
        <v>0</v>
      </c>
      <c r="Z3158" s="847"/>
      <c r="AA3158" s="847"/>
      <c r="AB3158" s="741">
        <f t="shared" si="401"/>
        <v>0</v>
      </c>
      <c r="AC3158" s="846"/>
      <c r="AD3158" s="1027"/>
      <c r="AE3158" s="846"/>
      <c r="AF3158" s="846"/>
      <c r="AG3158" s="847"/>
      <c r="AH3158" s="847"/>
      <c r="AI3158" s="742">
        <f t="shared" si="405"/>
        <v>0</v>
      </c>
      <c r="AJ3158" s="743">
        <f t="shared" si="406"/>
        <v>0</v>
      </c>
    </row>
    <row r="3159" spans="1:36">
      <c r="A3159" s="950" t="s">
        <v>157</v>
      </c>
      <c r="B3159" s="951" t="s">
        <v>264</v>
      </c>
      <c r="C3159" s="952" t="s">
        <v>865</v>
      </c>
      <c r="D3159" s="1037" t="s">
        <v>900</v>
      </c>
      <c r="E3159" s="1030">
        <v>446774</v>
      </c>
      <c r="F3159" s="955">
        <v>10</v>
      </c>
      <c r="G3159" s="846">
        <v>4706653</v>
      </c>
      <c r="H3159" s="1027">
        <v>4640378</v>
      </c>
      <c r="I3159" s="846"/>
      <c r="J3159" s="1027"/>
      <c r="K3159" s="846"/>
      <c r="L3159" s="1027"/>
      <c r="M3159" s="846">
        <v>6751053</v>
      </c>
      <c r="N3159" s="846"/>
      <c r="O3159" s="737">
        <f t="shared" si="399"/>
        <v>6751053</v>
      </c>
      <c r="P3159" s="847">
        <v>7716576</v>
      </c>
      <c r="Q3159" s="847"/>
      <c r="R3159" s="738">
        <f t="shared" si="402"/>
        <v>7716576</v>
      </c>
      <c r="S3159" s="737">
        <f t="shared" si="403"/>
        <v>11457706</v>
      </c>
      <c r="T3159" s="739">
        <f t="shared" si="404"/>
        <v>12356954</v>
      </c>
      <c r="U3159" s="846"/>
      <c r="V3159" s="1027"/>
      <c r="W3159" s="846"/>
      <c r="X3159" s="846"/>
      <c r="Y3159" s="740">
        <f t="shared" si="400"/>
        <v>0</v>
      </c>
      <c r="Z3159" s="847"/>
      <c r="AA3159" s="847"/>
      <c r="AB3159" s="741">
        <f t="shared" si="401"/>
        <v>0</v>
      </c>
      <c r="AC3159" s="846"/>
      <c r="AD3159" s="1027"/>
      <c r="AE3159" s="846"/>
      <c r="AF3159" s="846"/>
      <c r="AG3159" s="847"/>
      <c r="AH3159" s="847"/>
      <c r="AI3159" s="742">
        <f t="shared" si="405"/>
        <v>11457706</v>
      </c>
      <c r="AJ3159" s="743">
        <f t="shared" si="406"/>
        <v>12356954</v>
      </c>
    </row>
    <row r="3160" spans="1:36">
      <c r="A3160" s="950" t="s">
        <v>157</v>
      </c>
      <c r="B3160" s="951" t="s">
        <v>272</v>
      </c>
      <c r="C3160" s="958" t="s">
        <v>842</v>
      </c>
      <c r="D3160" s="957"/>
      <c r="E3160" s="1030">
        <v>446774</v>
      </c>
      <c r="F3160" s="955">
        <v>10</v>
      </c>
      <c r="G3160" s="846"/>
      <c r="H3160" s="1027"/>
      <c r="I3160" s="846"/>
      <c r="J3160" s="1027"/>
      <c r="K3160" s="846"/>
      <c r="L3160" s="1027"/>
      <c r="M3160" s="846"/>
      <c r="N3160" s="846"/>
      <c r="O3160" s="737">
        <f t="shared" si="399"/>
        <v>0</v>
      </c>
      <c r="P3160" s="847"/>
      <c r="Q3160" s="847"/>
      <c r="R3160" s="738">
        <f t="shared" si="402"/>
        <v>0</v>
      </c>
      <c r="S3160" s="737">
        <f t="shared" si="403"/>
        <v>0</v>
      </c>
      <c r="T3160" s="739">
        <f t="shared" si="404"/>
        <v>0</v>
      </c>
      <c r="U3160" s="846"/>
      <c r="V3160" s="1027"/>
      <c r="W3160" s="846"/>
      <c r="X3160" s="846"/>
      <c r="Y3160" s="740">
        <f t="shared" si="400"/>
        <v>0</v>
      </c>
      <c r="Z3160" s="847"/>
      <c r="AA3160" s="847"/>
      <c r="AB3160" s="741">
        <f t="shared" si="401"/>
        <v>0</v>
      </c>
      <c r="AC3160" s="846"/>
      <c r="AD3160" s="1027"/>
      <c r="AE3160" s="846"/>
      <c r="AF3160" s="846"/>
      <c r="AG3160" s="847"/>
      <c r="AH3160" s="847"/>
      <c r="AI3160" s="742">
        <f t="shared" si="405"/>
        <v>0</v>
      </c>
      <c r="AJ3160" s="743">
        <f t="shared" si="406"/>
        <v>0</v>
      </c>
    </row>
    <row r="3161" spans="1:36">
      <c r="A3161" s="950" t="s">
        <v>157</v>
      </c>
      <c r="B3161" s="951" t="s">
        <v>264</v>
      </c>
      <c r="C3161" s="959" t="s">
        <v>866</v>
      </c>
      <c r="D3161" s="963" t="s">
        <v>867</v>
      </c>
      <c r="E3161" s="1030" t="s">
        <v>868</v>
      </c>
      <c r="F3161" s="961">
        <v>10</v>
      </c>
      <c r="G3161" s="1038">
        <v>7913830</v>
      </c>
      <c r="H3161" s="847">
        <v>7774924</v>
      </c>
      <c r="I3161" s="846"/>
      <c r="J3161" s="847"/>
      <c r="K3161" s="846"/>
      <c r="L3161" s="847"/>
      <c r="M3161" s="1038">
        <v>7949008</v>
      </c>
      <c r="N3161" s="846"/>
      <c r="O3161" s="737">
        <f t="shared" si="399"/>
        <v>7949008</v>
      </c>
      <c r="P3161" s="847">
        <v>8053208.5</v>
      </c>
      <c r="Q3161" s="847"/>
      <c r="R3161" s="738">
        <f t="shared" si="402"/>
        <v>8053208.5</v>
      </c>
      <c r="S3161" s="737">
        <f t="shared" si="403"/>
        <v>15862838</v>
      </c>
      <c r="T3161" s="739">
        <f t="shared" si="404"/>
        <v>15828132.5</v>
      </c>
      <c r="U3161" s="846"/>
      <c r="V3161" s="847"/>
      <c r="W3161" s="846"/>
      <c r="X3161" s="846"/>
      <c r="Y3161" s="740">
        <f t="shared" si="400"/>
        <v>0</v>
      </c>
      <c r="Z3161" s="847"/>
      <c r="AA3161" s="847"/>
      <c r="AB3161" s="741">
        <f t="shared" si="401"/>
        <v>0</v>
      </c>
      <c r="AC3161" s="846"/>
      <c r="AD3161" s="847"/>
      <c r="AE3161" s="846"/>
      <c r="AF3161" s="846"/>
      <c r="AG3161" s="847"/>
      <c r="AH3161" s="847"/>
      <c r="AI3161" s="742">
        <f t="shared" si="405"/>
        <v>15862838</v>
      </c>
      <c r="AJ3161" s="743">
        <f t="shared" si="406"/>
        <v>15828132.5</v>
      </c>
    </row>
    <row r="3162" spans="1:36">
      <c r="A3162" s="950" t="s">
        <v>157</v>
      </c>
      <c r="B3162" s="951" t="s">
        <v>264</v>
      </c>
      <c r="C3162" s="1031" t="s">
        <v>869</v>
      </c>
      <c r="D3162" s="1032"/>
      <c r="E3162" s="1030">
        <v>438708</v>
      </c>
      <c r="F3162" s="955">
        <v>10</v>
      </c>
      <c r="G3162" s="846">
        <v>1924011</v>
      </c>
      <c r="H3162" s="1027">
        <v>1895244</v>
      </c>
      <c r="I3162" s="846"/>
      <c r="J3162" s="1027"/>
      <c r="K3162" s="846"/>
      <c r="L3162" s="1027"/>
      <c r="M3162" s="846">
        <v>1734129</v>
      </c>
      <c r="N3162" s="846"/>
      <c r="O3162" s="737">
        <f t="shared" si="399"/>
        <v>1734129</v>
      </c>
      <c r="P3162" s="847">
        <v>1857946</v>
      </c>
      <c r="Q3162" s="847"/>
      <c r="R3162" s="738">
        <f t="shared" si="402"/>
        <v>1857946</v>
      </c>
      <c r="S3162" s="737">
        <f t="shared" si="403"/>
        <v>3658140</v>
      </c>
      <c r="T3162" s="739">
        <f t="shared" si="404"/>
        <v>3753190</v>
      </c>
      <c r="U3162" s="846"/>
      <c r="V3162" s="1027"/>
      <c r="W3162" s="846"/>
      <c r="X3162" s="846"/>
      <c r="Y3162" s="740">
        <f t="shared" si="400"/>
        <v>0</v>
      </c>
      <c r="Z3162" s="847"/>
      <c r="AA3162" s="847"/>
      <c r="AB3162" s="741">
        <f t="shared" si="401"/>
        <v>0</v>
      </c>
      <c r="AC3162" s="846"/>
      <c r="AD3162" s="1027"/>
      <c r="AE3162" s="846"/>
      <c r="AF3162" s="846"/>
      <c r="AG3162" s="847"/>
      <c r="AH3162" s="847"/>
      <c r="AI3162" s="742">
        <f t="shared" si="405"/>
        <v>3658140</v>
      </c>
      <c r="AJ3162" s="743">
        <f t="shared" si="406"/>
        <v>3753190</v>
      </c>
    </row>
    <row r="3163" spans="1:36">
      <c r="A3163" s="950" t="s">
        <v>157</v>
      </c>
      <c r="B3163" s="951" t="s">
        <v>272</v>
      </c>
      <c r="C3163" s="958" t="s">
        <v>842</v>
      </c>
      <c r="D3163" s="957"/>
      <c r="E3163" s="1030">
        <v>438708</v>
      </c>
      <c r="F3163" s="955">
        <v>10</v>
      </c>
      <c r="G3163" s="846"/>
      <c r="H3163" s="1027"/>
      <c r="I3163" s="846"/>
      <c r="J3163" s="1027"/>
      <c r="K3163" s="846"/>
      <c r="L3163" s="1027"/>
      <c r="M3163" s="846"/>
      <c r="N3163" s="846"/>
      <c r="O3163" s="737">
        <f t="shared" si="399"/>
        <v>0</v>
      </c>
      <c r="P3163" s="847"/>
      <c r="Q3163" s="847"/>
      <c r="R3163" s="738">
        <f t="shared" si="402"/>
        <v>0</v>
      </c>
      <c r="S3163" s="737">
        <f t="shared" si="403"/>
        <v>0</v>
      </c>
      <c r="T3163" s="739">
        <f t="shared" si="404"/>
        <v>0</v>
      </c>
      <c r="U3163" s="846"/>
      <c r="V3163" s="1027"/>
      <c r="W3163" s="846"/>
      <c r="X3163" s="846"/>
      <c r="Y3163" s="740">
        <f t="shared" si="400"/>
        <v>0</v>
      </c>
      <c r="Z3163" s="847"/>
      <c r="AA3163" s="847"/>
      <c r="AB3163" s="741">
        <f t="shared" si="401"/>
        <v>0</v>
      </c>
      <c r="AC3163" s="846"/>
      <c r="AD3163" s="1027"/>
      <c r="AE3163" s="846"/>
      <c r="AF3163" s="846"/>
      <c r="AG3163" s="847"/>
      <c r="AH3163" s="847"/>
      <c r="AI3163" s="742">
        <f t="shared" si="405"/>
        <v>0</v>
      </c>
      <c r="AJ3163" s="743">
        <f t="shared" si="406"/>
        <v>0</v>
      </c>
    </row>
    <row r="3164" spans="1:36">
      <c r="A3164" s="950" t="s">
        <v>157</v>
      </c>
      <c r="B3164" s="951" t="s">
        <v>264</v>
      </c>
      <c r="C3164" s="959" t="s">
        <v>870</v>
      </c>
      <c r="D3164" s="963"/>
      <c r="E3164" s="1030">
        <v>444954</v>
      </c>
      <c r="F3164" s="955">
        <v>10</v>
      </c>
      <c r="G3164" s="846">
        <v>5818793</v>
      </c>
      <c r="H3164" s="1027">
        <v>5731087</v>
      </c>
      <c r="I3164" s="846"/>
      <c r="J3164" s="1027"/>
      <c r="K3164" s="846"/>
      <c r="L3164" s="1027"/>
      <c r="M3164" s="846">
        <v>9711310</v>
      </c>
      <c r="N3164" s="846">
        <v>213285</v>
      </c>
      <c r="O3164" s="737">
        <f t="shared" si="399"/>
        <v>9924595</v>
      </c>
      <c r="P3164" s="847">
        <v>9981594</v>
      </c>
      <c r="Q3164" s="847">
        <v>212805</v>
      </c>
      <c r="R3164" s="738">
        <f t="shared" si="402"/>
        <v>10194399</v>
      </c>
      <c r="S3164" s="737">
        <f t="shared" si="403"/>
        <v>15530103</v>
      </c>
      <c r="T3164" s="739">
        <f t="shared" si="404"/>
        <v>15712681</v>
      </c>
      <c r="U3164" s="846"/>
      <c r="V3164" s="1027"/>
      <c r="W3164" s="846"/>
      <c r="X3164" s="846"/>
      <c r="Y3164" s="740">
        <f t="shared" si="400"/>
        <v>0</v>
      </c>
      <c r="Z3164" s="847"/>
      <c r="AA3164" s="847"/>
      <c r="AB3164" s="741">
        <f t="shared" si="401"/>
        <v>0</v>
      </c>
      <c r="AC3164" s="846"/>
      <c r="AD3164" s="1027"/>
      <c r="AE3164" s="846"/>
      <c r="AF3164" s="846"/>
      <c r="AG3164" s="847"/>
      <c r="AH3164" s="847"/>
      <c r="AI3164" s="742">
        <f t="shared" si="405"/>
        <v>15530103</v>
      </c>
      <c r="AJ3164" s="743">
        <f t="shared" si="406"/>
        <v>15712681</v>
      </c>
    </row>
    <row r="3165" spans="1:36">
      <c r="A3165" s="950" t="s">
        <v>157</v>
      </c>
      <c r="B3165" s="951" t="s">
        <v>272</v>
      </c>
      <c r="C3165" s="958" t="s">
        <v>842</v>
      </c>
      <c r="D3165" s="957"/>
      <c r="E3165" s="1030">
        <v>444954</v>
      </c>
      <c r="F3165" s="955">
        <v>10</v>
      </c>
      <c r="G3165" s="846"/>
      <c r="H3165" s="1027"/>
      <c r="I3165" s="846"/>
      <c r="J3165" s="1027"/>
      <c r="K3165" s="846"/>
      <c r="L3165" s="1027"/>
      <c r="M3165" s="846"/>
      <c r="N3165" s="846"/>
      <c r="O3165" s="737">
        <f t="shared" si="399"/>
        <v>0</v>
      </c>
      <c r="P3165" s="847"/>
      <c r="Q3165" s="847"/>
      <c r="R3165" s="738">
        <f t="shared" si="402"/>
        <v>0</v>
      </c>
      <c r="S3165" s="737">
        <f t="shared" si="403"/>
        <v>0</v>
      </c>
      <c r="T3165" s="739">
        <f t="shared" si="404"/>
        <v>0</v>
      </c>
      <c r="U3165" s="846"/>
      <c r="V3165" s="1027"/>
      <c r="W3165" s="846"/>
      <c r="X3165" s="846"/>
      <c r="Y3165" s="740">
        <f t="shared" si="400"/>
        <v>0</v>
      </c>
      <c r="Z3165" s="847"/>
      <c r="AA3165" s="847"/>
      <c r="AB3165" s="741">
        <f t="shared" si="401"/>
        <v>0</v>
      </c>
      <c r="AC3165" s="846"/>
      <c r="AD3165" s="1027"/>
      <c r="AE3165" s="846"/>
      <c r="AF3165" s="846"/>
      <c r="AG3165" s="847"/>
      <c r="AH3165" s="847"/>
      <c r="AI3165" s="742">
        <f t="shared" si="405"/>
        <v>0</v>
      </c>
      <c r="AJ3165" s="743">
        <f t="shared" si="406"/>
        <v>0</v>
      </c>
    </row>
    <row r="3166" spans="1:36">
      <c r="A3166" s="950" t="s">
        <v>157</v>
      </c>
      <c r="B3166" s="951" t="s">
        <v>264</v>
      </c>
      <c r="C3166" s="1031" t="s">
        <v>871</v>
      </c>
      <c r="D3166" s="1032"/>
      <c r="E3166" s="1030">
        <v>237817</v>
      </c>
      <c r="F3166" s="955">
        <v>10</v>
      </c>
      <c r="G3166" s="846">
        <v>7973274</v>
      </c>
      <c r="H3166" s="1027">
        <v>7841687</v>
      </c>
      <c r="I3166" s="846"/>
      <c r="J3166" s="1027"/>
      <c r="K3166" s="846"/>
      <c r="L3166" s="1027"/>
      <c r="M3166" s="846">
        <v>5044606</v>
      </c>
      <c r="N3166" s="846"/>
      <c r="O3166" s="737">
        <f t="shared" si="399"/>
        <v>5044606</v>
      </c>
      <c r="P3166" s="847">
        <v>5294818</v>
      </c>
      <c r="Q3166" s="847"/>
      <c r="R3166" s="738">
        <f t="shared" si="402"/>
        <v>5294818</v>
      </c>
      <c r="S3166" s="737">
        <f t="shared" si="403"/>
        <v>13017880</v>
      </c>
      <c r="T3166" s="739">
        <f t="shared" si="404"/>
        <v>13136505</v>
      </c>
      <c r="U3166" s="846"/>
      <c r="V3166" s="1027"/>
      <c r="W3166" s="846"/>
      <c r="X3166" s="846"/>
      <c r="Y3166" s="740">
        <f t="shared" si="400"/>
        <v>0</v>
      </c>
      <c r="Z3166" s="847"/>
      <c r="AA3166" s="847"/>
      <c r="AB3166" s="741">
        <f t="shared" si="401"/>
        <v>0</v>
      </c>
      <c r="AC3166" s="846"/>
      <c r="AD3166" s="1027"/>
      <c r="AE3166" s="846"/>
      <c r="AF3166" s="846"/>
      <c r="AG3166" s="847"/>
      <c r="AH3166" s="847"/>
      <c r="AI3166" s="742">
        <f t="shared" si="405"/>
        <v>13017880</v>
      </c>
      <c r="AJ3166" s="743">
        <f t="shared" si="406"/>
        <v>13136505</v>
      </c>
    </row>
    <row r="3167" spans="1:36">
      <c r="A3167" s="950" t="s">
        <v>157</v>
      </c>
      <c r="B3167" s="951" t="s">
        <v>272</v>
      </c>
      <c r="C3167" s="958" t="s">
        <v>842</v>
      </c>
      <c r="D3167" s="957"/>
      <c r="E3167" s="1030">
        <v>237817</v>
      </c>
      <c r="F3167" s="955">
        <v>10</v>
      </c>
      <c r="G3167" s="846"/>
      <c r="H3167" s="1027"/>
      <c r="I3167" s="846">
        <v>480000</v>
      </c>
      <c r="J3167" s="1027">
        <v>480000</v>
      </c>
      <c r="K3167" s="846"/>
      <c r="L3167" s="1027"/>
      <c r="M3167" s="846"/>
      <c r="N3167" s="846"/>
      <c r="O3167" s="737">
        <f t="shared" si="399"/>
        <v>0</v>
      </c>
      <c r="P3167" s="847"/>
      <c r="Q3167" s="847"/>
      <c r="R3167" s="738">
        <f t="shared" si="402"/>
        <v>0</v>
      </c>
      <c r="S3167" s="737">
        <f t="shared" si="403"/>
        <v>480000</v>
      </c>
      <c r="T3167" s="739">
        <f t="shared" si="404"/>
        <v>480000</v>
      </c>
      <c r="U3167" s="846"/>
      <c r="V3167" s="1027"/>
      <c r="W3167" s="846"/>
      <c r="X3167" s="846"/>
      <c r="Y3167" s="740">
        <f t="shared" si="400"/>
        <v>0</v>
      </c>
      <c r="Z3167" s="847"/>
      <c r="AA3167" s="847"/>
      <c r="AB3167" s="741">
        <f t="shared" si="401"/>
        <v>0</v>
      </c>
      <c r="AC3167" s="846"/>
      <c r="AD3167" s="1027"/>
      <c r="AE3167" s="846"/>
      <c r="AF3167" s="846"/>
      <c r="AG3167" s="847"/>
      <c r="AH3167" s="847"/>
      <c r="AI3167" s="742">
        <f t="shared" si="405"/>
        <v>480000</v>
      </c>
      <c r="AJ3167" s="743">
        <f t="shared" si="406"/>
        <v>480000</v>
      </c>
    </row>
    <row r="3168" spans="1:36">
      <c r="A3168" s="950" t="s">
        <v>157</v>
      </c>
      <c r="B3168" s="951" t="s">
        <v>301</v>
      </c>
      <c r="C3168" s="1031" t="s">
        <v>872</v>
      </c>
      <c r="D3168" s="1032"/>
      <c r="E3168" s="1030">
        <v>237880</v>
      </c>
      <c r="F3168" s="955">
        <v>15</v>
      </c>
      <c r="G3168" s="846"/>
      <c r="H3168" s="1027"/>
      <c r="I3168" s="846"/>
      <c r="J3168" s="1027"/>
      <c r="K3168" s="846"/>
      <c r="L3168" s="1027"/>
      <c r="M3168" s="846"/>
      <c r="N3168" s="846"/>
      <c r="O3168" s="737">
        <f t="shared" si="399"/>
        <v>0</v>
      </c>
      <c r="P3168" s="847"/>
      <c r="Q3168" s="847"/>
      <c r="R3168" s="738">
        <f t="shared" si="402"/>
        <v>0</v>
      </c>
      <c r="S3168" s="737">
        <f t="shared" si="403"/>
        <v>0</v>
      </c>
      <c r="T3168" s="739">
        <f t="shared" si="404"/>
        <v>0</v>
      </c>
      <c r="U3168" s="846"/>
      <c r="V3168" s="1027"/>
      <c r="W3168" s="846"/>
      <c r="X3168" s="846"/>
      <c r="Y3168" s="740">
        <f t="shared" si="400"/>
        <v>0</v>
      </c>
      <c r="Z3168" s="847"/>
      <c r="AA3168" s="847"/>
      <c r="AB3168" s="741">
        <f t="shared" si="401"/>
        <v>0</v>
      </c>
      <c r="AC3168" s="846">
        <v>7185421</v>
      </c>
      <c r="AD3168" s="1027">
        <v>7058218</v>
      </c>
      <c r="AE3168" s="846">
        <v>32275498</v>
      </c>
      <c r="AF3168" s="846"/>
      <c r="AG3168" s="847">
        <v>32275498</v>
      </c>
      <c r="AH3168" s="847"/>
      <c r="AI3168" s="742">
        <f t="shared" si="405"/>
        <v>39460919</v>
      </c>
      <c r="AJ3168" s="743">
        <f t="shared" si="406"/>
        <v>39333716</v>
      </c>
    </row>
    <row r="3169" spans="1:36">
      <c r="A3169" s="950" t="s">
        <v>157</v>
      </c>
      <c r="B3169" s="951" t="s">
        <v>272</v>
      </c>
      <c r="C3169" s="958" t="s">
        <v>842</v>
      </c>
      <c r="D3169" s="957"/>
      <c r="E3169" s="1030">
        <v>237880</v>
      </c>
      <c r="F3169" s="955">
        <v>15</v>
      </c>
      <c r="G3169" s="846"/>
      <c r="H3169" s="1027"/>
      <c r="I3169" s="846"/>
      <c r="J3169" s="1027"/>
      <c r="K3169" s="846"/>
      <c r="L3169" s="1027"/>
      <c r="M3169" s="846"/>
      <c r="N3169" s="846"/>
      <c r="O3169" s="737">
        <f t="shared" si="399"/>
        <v>0</v>
      </c>
      <c r="P3169" s="847"/>
      <c r="Q3169" s="847"/>
      <c r="R3169" s="738">
        <f t="shared" si="402"/>
        <v>0</v>
      </c>
      <c r="S3169" s="737">
        <f t="shared" si="403"/>
        <v>0</v>
      </c>
      <c r="T3169" s="739">
        <f t="shared" si="404"/>
        <v>0</v>
      </c>
      <c r="U3169" s="846"/>
      <c r="V3169" s="1027"/>
      <c r="W3169" s="846"/>
      <c r="X3169" s="846"/>
      <c r="Y3169" s="740">
        <f t="shared" si="400"/>
        <v>0</v>
      </c>
      <c r="Z3169" s="847"/>
      <c r="AA3169" s="847"/>
      <c r="AB3169" s="741">
        <f t="shared" si="401"/>
        <v>0</v>
      </c>
      <c r="AC3169" s="846"/>
      <c r="AD3169" s="1027"/>
      <c r="AE3169" s="846"/>
      <c r="AF3169" s="846"/>
      <c r="AG3169" s="847"/>
      <c r="AH3169" s="847"/>
      <c r="AI3169" s="742">
        <f t="shared" si="405"/>
        <v>0</v>
      </c>
      <c r="AJ3169" s="743">
        <f t="shared" si="406"/>
        <v>0</v>
      </c>
    </row>
    <row r="3170" spans="1:36">
      <c r="A3170" s="950" t="s">
        <v>157</v>
      </c>
      <c r="B3170" s="951" t="s">
        <v>272</v>
      </c>
      <c r="C3170" s="956" t="s">
        <v>834</v>
      </c>
      <c r="D3170" s="957"/>
      <c r="E3170" s="1030">
        <v>237880</v>
      </c>
      <c r="F3170" s="955">
        <v>15</v>
      </c>
      <c r="G3170" s="846"/>
      <c r="H3170" s="1027"/>
      <c r="I3170" s="846"/>
      <c r="J3170" s="1027"/>
      <c r="K3170" s="846"/>
      <c r="L3170" s="1027"/>
      <c r="M3170" s="846"/>
      <c r="N3170" s="846"/>
      <c r="O3170" s="737">
        <f t="shared" si="399"/>
        <v>0</v>
      </c>
      <c r="P3170" s="847"/>
      <c r="Q3170" s="847"/>
      <c r="R3170" s="738">
        <f t="shared" si="402"/>
        <v>0</v>
      </c>
      <c r="S3170" s="737">
        <f t="shared" si="403"/>
        <v>0</v>
      </c>
      <c r="T3170" s="739">
        <f t="shared" si="404"/>
        <v>0</v>
      </c>
      <c r="U3170" s="846"/>
      <c r="V3170" s="1027"/>
      <c r="W3170" s="846"/>
      <c r="X3170" s="846"/>
      <c r="Y3170" s="740">
        <f t="shared" si="400"/>
        <v>0</v>
      </c>
      <c r="Z3170" s="847"/>
      <c r="AA3170" s="847"/>
      <c r="AB3170" s="741">
        <f t="shared" si="401"/>
        <v>0</v>
      </c>
      <c r="AC3170" s="846">
        <v>158872</v>
      </c>
      <c r="AD3170" s="1027">
        <v>152915</v>
      </c>
      <c r="AE3170" s="846"/>
      <c r="AF3170" s="846"/>
      <c r="AG3170" s="847"/>
      <c r="AH3170" s="847"/>
      <c r="AI3170" s="742">
        <f t="shared" si="405"/>
        <v>158872</v>
      </c>
      <c r="AJ3170" s="743">
        <f t="shared" si="406"/>
        <v>152915</v>
      </c>
    </row>
    <row r="3171" spans="1:36">
      <c r="A3171" s="950" t="s">
        <v>157</v>
      </c>
      <c r="B3171" s="951" t="s">
        <v>273</v>
      </c>
      <c r="C3171" s="967" t="s">
        <v>493</v>
      </c>
      <c r="D3171" s="953"/>
      <c r="E3171" s="1039"/>
      <c r="F3171" s="1040"/>
      <c r="G3171" s="846"/>
      <c r="H3171" s="1027"/>
      <c r="I3171" s="846"/>
      <c r="J3171" s="1027"/>
      <c r="K3171" s="846"/>
      <c r="L3171" s="1027"/>
      <c r="M3171" s="846"/>
      <c r="N3171" s="846"/>
      <c r="O3171" s="737">
        <f t="shared" si="399"/>
        <v>0</v>
      </c>
      <c r="P3171" s="847"/>
      <c r="Q3171" s="847"/>
      <c r="R3171" s="738">
        <f t="shared" si="402"/>
        <v>0</v>
      </c>
      <c r="S3171" s="737">
        <f t="shared" si="403"/>
        <v>0</v>
      </c>
      <c r="T3171" s="739">
        <f t="shared" si="404"/>
        <v>0</v>
      </c>
      <c r="U3171" s="846"/>
      <c r="V3171" s="1027"/>
      <c r="W3171" s="846"/>
      <c r="X3171" s="846"/>
      <c r="Y3171" s="740">
        <f t="shared" si="400"/>
        <v>0</v>
      </c>
      <c r="Z3171" s="847"/>
      <c r="AA3171" s="847"/>
      <c r="AB3171" s="741">
        <f t="shared" si="401"/>
        <v>0</v>
      </c>
      <c r="AC3171" s="846"/>
      <c r="AD3171" s="1027"/>
      <c r="AE3171" s="846"/>
      <c r="AF3171" s="846"/>
      <c r="AG3171" s="847"/>
      <c r="AH3171" s="847"/>
      <c r="AI3171" s="742">
        <f t="shared" si="405"/>
        <v>0</v>
      </c>
      <c r="AJ3171" s="743">
        <f t="shared" si="406"/>
        <v>0</v>
      </c>
    </row>
    <row r="3172" spans="1:36">
      <c r="A3172" s="950" t="s">
        <v>157</v>
      </c>
      <c r="B3172" s="951" t="s">
        <v>274</v>
      </c>
      <c r="C3172" s="958" t="s">
        <v>319</v>
      </c>
      <c r="D3172" s="957"/>
      <c r="E3172" s="1039"/>
      <c r="F3172" s="1040"/>
      <c r="G3172" s="846"/>
      <c r="H3172" s="1027"/>
      <c r="I3172" s="846"/>
      <c r="J3172" s="1027"/>
      <c r="K3172" s="846"/>
      <c r="L3172" s="1027"/>
      <c r="M3172" s="846"/>
      <c r="N3172" s="846"/>
      <c r="O3172" s="737">
        <f t="shared" si="399"/>
        <v>0</v>
      </c>
      <c r="P3172" s="847"/>
      <c r="Q3172" s="847"/>
      <c r="R3172" s="738">
        <f t="shared" si="402"/>
        <v>0</v>
      </c>
      <c r="S3172" s="737">
        <f t="shared" si="403"/>
        <v>0</v>
      </c>
      <c r="T3172" s="739">
        <f t="shared" si="404"/>
        <v>0</v>
      </c>
      <c r="U3172" s="846"/>
      <c r="V3172" s="1027"/>
      <c r="W3172" s="846"/>
      <c r="X3172" s="846"/>
      <c r="Y3172" s="740">
        <f t="shared" si="400"/>
        <v>0</v>
      </c>
      <c r="Z3172" s="847"/>
      <c r="AA3172" s="847"/>
      <c r="AB3172" s="741">
        <f t="shared" si="401"/>
        <v>0</v>
      </c>
      <c r="AC3172" s="846"/>
      <c r="AD3172" s="1027"/>
      <c r="AE3172" s="846"/>
      <c r="AF3172" s="846"/>
      <c r="AG3172" s="847"/>
      <c r="AH3172" s="847"/>
      <c r="AI3172" s="742">
        <f t="shared" si="405"/>
        <v>0</v>
      </c>
      <c r="AJ3172" s="743">
        <f t="shared" si="406"/>
        <v>0</v>
      </c>
    </row>
    <row r="3173" spans="1:36">
      <c r="A3173" s="950" t="s">
        <v>157</v>
      </c>
      <c r="B3173" s="951" t="s">
        <v>274</v>
      </c>
      <c r="C3173" s="956" t="s">
        <v>873</v>
      </c>
      <c r="D3173" s="957"/>
      <c r="E3173" s="1039"/>
      <c r="F3173" s="1040"/>
      <c r="G3173" s="846"/>
      <c r="H3173" s="1027"/>
      <c r="I3173" s="846"/>
      <c r="J3173" s="1027"/>
      <c r="K3173" s="846"/>
      <c r="L3173" s="1027"/>
      <c r="M3173" s="846"/>
      <c r="N3173" s="846"/>
      <c r="O3173" s="737">
        <f t="shared" si="399"/>
        <v>0</v>
      </c>
      <c r="P3173" s="847"/>
      <c r="Q3173" s="847"/>
      <c r="R3173" s="738">
        <f t="shared" si="402"/>
        <v>0</v>
      </c>
      <c r="S3173" s="737">
        <f t="shared" si="403"/>
        <v>0</v>
      </c>
      <c r="T3173" s="739">
        <f t="shared" si="404"/>
        <v>0</v>
      </c>
      <c r="U3173" s="846">
        <v>2598296</v>
      </c>
      <c r="V3173" s="1027">
        <v>2248007</v>
      </c>
      <c r="W3173" s="846"/>
      <c r="X3173" s="846"/>
      <c r="Y3173" s="740">
        <f t="shared" si="400"/>
        <v>0</v>
      </c>
      <c r="Z3173" s="847"/>
      <c r="AA3173" s="847"/>
      <c r="AB3173" s="741">
        <f t="shared" si="401"/>
        <v>0</v>
      </c>
      <c r="AC3173" s="846"/>
      <c r="AD3173" s="1027"/>
      <c r="AE3173" s="846"/>
      <c r="AF3173" s="846"/>
      <c r="AG3173" s="847"/>
      <c r="AH3173" s="847"/>
      <c r="AI3173" s="742">
        <f t="shared" si="405"/>
        <v>2598296</v>
      </c>
      <c r="AJ3173" s="743">
        <f t="shared" si="406"/>
        <v>2248007</v>
      </c>
    </row>
    <row r="3174" spans="1:36">
      <c r="A3174" s="950" t="s">
        <v>157</v>
      </c>
      <c r="B3174" s="951" t="s">
        <v>274</v>
      </c>
      <c r="C3174" s="956" t="s">
        <v>874</v>
      </c>
      <c r="D3174" s="957"/>
      <c r="E3174" s="1039"/>
      <c r="F3174" s="1040"/>
      <c r="G3174" s="846"/>
      <c r="H3174" s="1027"/>
      <c r="I3174" s="846"/>
      <c r="J3174" s="1027"/>
      <c r="K3174" s="846"/>
      <c r="L3174" s="1027"/>
      <c r="M3174" s="846"/>
      <c r="N3174" s="846"/>
      <c r="O3174" s="737">
        <f t="shared" si="399"/>
        <v>0</v>
      </c>
      <c r="P3174" s="847"/>
      <c r="Q3174" s="847"/>
      <c r="R3174" s="738">
        <f t="shared" si="402"/>
        <v>0</v>
      </c>
      <c r="S3174" s="737">
        <f t="shared" si="403"/>
        <v>0</v>
      </c>
      <c r="T3174" s="739">
        <f t="shared" si="404"/>
        <v>0</v>
      </c>
      <c r="U3174" s="846">
        <v>89882</v>
      </c>
      <c r="V3174" s="1027">
        <v>87045</v>
      </c>
      <c r="W3174" s="846"/>
      <c r="X3174" s="846"/>
      <c r="Y3174" s="740">
        <f t="shared" si="400"/>
        <v>0</v>
      </c>
      <c r="Z3174" s="847"/>
      <c r="AA3174" s="847"/>
      <c r="AB3174" s="741">
        <f t="shared" si="401"/>
        <v>0</v>
      </c>
      <c r="AC3174" s="846"/>
      <c r="AD3174" s="1027"/>
      <c r="AE3174" s="846"/>
      <c r="AF3174" s="846"/>
      <c r="AG3174" s="847"/>
      <c r="AH3174" s="847"/>
      <c r="AI3174" s="742">
        <f t="shared" si="405"/>
        <v>89882</v>
      </c>
      <c r="AJ3174" s="743">
        <f t="shared" si="406"/>
        <v>87045</v>
      </c>
    </row>
    <row r="3175" spans="1:36">
      <c r="A3175" s="1041" t="s">
        <v>157</v>
      </c>
      <c r="B3175" s="951" t="s">
        <v>274</v>
      </c>
      <c r="C3175" s="956" t="s">
        <v>875</v>
      </c>
      <c r="D3175" s="957"/>
      <c r="E3175" s="1039"/>
      <c r="F3175" s="1040"/>
      <c r="G3175" s="846"/>
      <c r="H3175" s="1027"/>
      <c r="I3175" s="846"/>
      <c r="J3175" s="1027"/>
      <c r="K3175" s="846"/>
      <c r="L3175" s="1027"/>
      <c r="M3175" s="846"/>
      <c r="N3175" s="846"/>
      <c r="O3175" s="737">
        <f t="shared" si="399"/>
        <v>0</v>
      </c>
      <c r="P3175" s="847"/>
      <c r="Q3175" s="847"/>
      <c r="R3175" s="738">
        <f t="shared" si="402"/>
        <v>0</v>
      </c>
      <c r="S3175" s="737">
        <f t="shared" si="403"/>
        <v>0</v>
      </c>
      <c r="T3175" s="739">
        <f t="shared" si="404"/>
        <v>0</v>
      </c>
      <c r="U3175" s="846">
        <v>2354085</v>
      </c>
      <c r="V3175" s="1027">
        <v>2356086</v>
      </c>
      <c r="W3175" s="846"/>
      <c r="X3175" s="846"/>
      <c r="Y3175" s="740">
        <f t="shared" si="400"/>
        <v>0</v>
      </c>
      <c r="Z3175" s="847"/>
      <c r="AA3175" s="847"/>
      <c r="AB3175" s="741">
        <f t="shared" si="401"/>
        <v>0</v>
      </c>
      <c r="AC3175" s="846"/>
      <c r="AD3175" s="1027"/>
      <c r="AE3175" s="846"/>
      <c r="AF3175" s="846"/>
      <c r="AG3175" s="847"/>
      <c r="AH3175" s="847"/>
      <c r="AI3175" s="742">
        <f t="shared" si="405"/>
        <v>2354085</v>
      </c>
      <c r="AJ3175" s="743">
        <f t="shared" si="406"/>
        <v>2356086</v>
      </c>
    </row>
    <row r="3176" spans="1:36">
      <c r="A3176" s="1041" t="s">
        <v>157</v>
      </c>
      <c r="B3176" s="951" t="s">
        <v>275</v>
      </c>
      <c r="C3176" s="956" t="s">
        <v>876</v>
      </c>
      <c r="D3176" s="957"/>
      <c r="E3176" s="1039"/>
      <c r="F3176" s="1040"/>
      <c r="G3176" s="846"/>
      <c r="H3176" s="1027"/>
      <c r="I3176" s="846"/>
      <c r="J3176" s="1027"/>
      <c r="K3176" s="846"/>
      <c r="L3176" s="1027"/>
      <c r="M3176" s="846"/>
      <c r="N3176" s="846"/>
      <c r="O3176" s="737">
        <f t="shared" si="399"/>
        <v>0</v>
      </c>
      <c r="P3176" s="847"/>
      <c r="Q3176" s="847"/>
      <c r="R3176" s="738">
        <f t="shared" si="402"/>
        <v>0</v>
      </c>
      <c r="S3176" s="737">
        <f t="shared" si="403"/>
        <v>0</v>
      </c>
      <c r="T3176" s="739">
        <f t="shared" si="404"/>
        <v>0</v>
      </c>
      <c r="U3176" s="846">
        <v>243926</v>
      </c>
      <c r="V3176" s="1027">
        <v>235588</v>
      </c>
      <c r="W3176" s="846"/>
      <c r="X3176" s="846"/>
      <c r="Y3176" s="740">
        <f t="shared" si="400"/>
        <v>0</v>
      </c>
      <c r="Z3176" s="847"/>
      <c r="AA3176" s="847"/>
      <c r="AB3176" s="741">
        <f t="shared" si="401"/>
        <v>0</v>
      </c>
      <c r="AC3176" s="846"/>
      <c r="AD3176" s="1027"/>
      <c r="AE3176" s="846"/>
      <c r="AF3176" s="846"/>
      <c r="AG3176" s="847"/>
      <c r="AH3176" s="847"/>
      <c r="AI3176" s="742">
        <f t="shared" si="405"/>
        <v>243926</v>
      </c>
      <c r="AJ3176" s="743">
        <f t="shared" si="406"/>
        <v>235588</v>
      </c>
    </row>
    <row r="3177" spans="1:36">
      <c r="A3177" s="1041" t="s">
        <v>157</v>
      </c>
      <c r="B3177" s="951" t="s">
        <v>303</v>
      </c>
      <c r="C3177" s="967" t="s">
        <v>826</v>
      </c>
      <c r="D3177" s="953"/>
      <c r="E3177" s="1039"/>
      <c r="F3177" s="1040"/>
      <c r="G3177" s="846"/>
      <c r="H3177" s="1027"/>
      <c r="I3177" s="846"/>
      <c r="J3177" s="1027"/>
      <c r="K3177" s="846"/>
      <c r="L3177" s="1027"/>
      <c r="M3177" s="846"/>
      <c r="N3177" s="846"/>
      <c r="O3177" s="737">
        <f t="shared" si="399"/>
        <v>0</v>
      </c>
      <c r="P3177" s="847"/>
      <c r="Q3177" s="847"/>
      <c r="R3177" s="738">
        <f t="shared" si="402"/>
        <v>0</v>
      </c>
      <c r="S3177" s="737">
        <f t="shared" si="403"/>
        <v>0</v>
      </c>
      <c r="T3177" s="739">
        <f t="shared" si="404"/>
        <v>0</v>
      </c>
      <c r="U3177" s="846"/>
      <c r="V3177" s="1027"/>
      <c r="W3177" s="846"/>
      <c r="X3177" s="846"/>
      <c r="Y3177" s="740">
        <f t="shared" si="400"/>
        <v>0</v>
      </c>
      <c r="Z3177" s="847"/>
      <c r="AA3177" s="847"/>
      <c r="AB3177" s="741">
        <f t="shared" si="401"/>
        <v>0</v>
      </c>
      <c r="AC3177" s="846"/>
      <c r="AD3177" s="1027"/>
      <c r="AE3177" s="846"/>
      <c r="AF3177" s="846"/>
      <c r="AG3177" s="847"/>
      <c r="AH3177" s="847"/>
      <c r="AI3177" s="742">
        <f t="shared" si="405"/>
        <v>0</v>
      </c>
      <c r="AJ3177" s="743">
        <f t="shared" si="406"/>
        <v>0</v>
      </c>
    </row>
    <row r="3178" spans="1:36">
      <c r="A3178" s="1041" t="s">
        <v>157</v>
      </c>
      <c r="B3178" s="951" t="s">
        <v>303</v>
      </c>
      <c r="C3178" s="956" t="s">
        <v>877</v>
      </c>
      <c r="D3178" s="957"/>
      <c r="E3178" s="1039"/>
      <c r="F3178" s="1040"/>
      <c r="G3178" s="846"/>
      <c r="H3178" s="1027"/>
      <c r="I3178" s="846">
        <v>305478</v>
      </c>
      <c r="J3178" s="1027">
        <v>296920</v>
      </c>
      <c r="K3178" s="846"/>
      <c r="L3178" s="1027"/>
      <c r="M3178" s="846"/>
      <c r="N3178" s="846"/>
      <c r="O3178" s="737">
        <f t="shared" si="399"/>
        <v>0</v>
      </c>
      <c r="P3178" s="847"/>
      <c r="Q3178" s="847"/>
      <c r="R3178" s="738">
        <f t="shared" si="402"/>
        <v>0</v>
      </c>
      <c r="S3178" s="737">
        <f t="shared" si="403"/>
        <v>305478</v>
      </c>
      <c r="T3178" s="739">
        <f t="shared" si="404"/>
        <v>296920</v>
      </c>
      <c r="U3178" s="846"/>
      <c r="V3178" s="1027"/>
      <c r="W3178" s="846"/>
      <c r="X3178" s="846"/>
      <c r="Y3178" s="740">
        <f t="shared" si="400"/>
        <v>0</v>
      </c>
      <c r="Z3178" s="847"/>
      <c r="AA3178" s="847"/>
      <c r="AB3178" s="741">
        <f t="shared" si="401"/>
        <v>0</v>
      </c>
      <c r="AC3178" s="846"/>
      <c r="AD3178" s="1027"/>
      <c r="AE3178" s="846"/>
      <c r="AF3178" s="846"/>
      <c r="AG3178" s="847"/>
      <c r="AH3178" s="847"/>
      <c r="AI3178" s="742">
        <f t="shared" si="405"/>
        <v>305478</v>
      </c>
      <c r="AJ3178" s="743">
        <f t="shared" si="406"/>
        <v>296920</v>
      </c>
    </row>
    <row r="3179" spans="1:36">
      <c r="A3179" s="1041" t="s">
        <v>157</v>
      </c>
      <c r="B3179" s="951" t="s">
        <v>303</v>
      </c>
      <c r="C3179" s="956" t="s">
        <v>878</v>
      </c>
      <c r="D3179" s="957"/>
      <c r="E3179" s="1039"/>
      <c r="F3179" s="1040"/>
      <c r="G3179" s="846"/>
      <c r="H3179" s="1027"/>
      <c r="I3179" s="846"/>
      <c r="J3179" s="1027"/>
      <c r="K3179" s="846"/>
      <c r="L3179" s="1027"/>
      <c r="M3179" s="846"/>
      <c r="N3179" s="846"/>
      <c r="O3179" s="737">
        <f t="shared" si="399"/>
        <v>0</v>
      </c>
      <c r="P3179" s="847"/>
      <c r="Q3179" s="847"/>
      <c r="R3179" s="738">
        <f t="shared" si="402"/>
        <v>0</v>
      </c>
      <c r="S3179" s="737">
        <f t="shared" si="403"/>
        <v>0</v>
      </c>
      <c r="T3179" s="739">
        <f t="shared" si="404"/>
        <v>0</v>
      </c>
      <c r="U3179" s="846">
        <v>73278</v>
      </c>
      <c r="V3179" s="1027">
        <v>71225</v>
      </c>
      <c r="W3179" s="846"/>
      <c r="X3179" s="846"/>
      <c r="Y3179" s="740">
        <f t="shared" si="400"/>
        <v>0</v>
      </c>
      <c r="Z3179" s="847"/>
      <c r="AA3179" s="847"/>
      <c r="AB3179" s="741">
        <f t="shared" si="401"/>
        <v>0</v>
      </c>
      <c r="AC3179" s="846"/>
      <c r="AD3179" s="1027"/>
      <c r="AE3179" s="846"/>
      <c r="AF3179" s="846"/>
      <c r="AG3179" s="847"/>
      <c r="AH3179" s="847"/>
      <c r="AI3179" s="742">
        <f t="shared" si="405"/>
        <v>73278</v>
      </c>
      <c r="AJ3179" s="743">
        <f t="shared" si="406"/>
        <v>71225</v>
      </c>
    </row>
    <row r="3180" spans="1:36">
      <c r="A3180" s="1041" t="s">
        <v>157</v>
      </c>
      <c r="B3180" s="951" t="s">
        <v>303</v>
      </c>
      <c r="C3180" s="956" t="s">
        <v>879</v>
      </c>
      <c r="D3180" s="957"/>
      <c r="E3180" s="1039"/>
      <c r="F3180" s="1040"/>
      <c r="G3180" s="846"/>
      <c r="H3180" s="1027"/>
      <c r="I3180" s="846"/>
      <c r="J3180" s="1027"/>
      <c r="K3180" s="846"/>
      <c r="L3180" s="1027"/>
      <c r="M3180" s="846"/>
      <c r="N3180" s="846"/>
      <c r="O3180" s="737">
        <f t="shared" si="399"/>
        <v>0</v>
      </c>
      <c r="P3180" s="847"/>
      <c r="Q3180" s="847"/>
      <c r="R3180" s="738">
        <f t="shared" si="402"/>
        <v>0</v>
      </c>
      <c r="S3180" s="737">
        <f t="shared" si="403"/>
        <v>0</v>
      </c>
      <c r="T3180" s="739">
        <f t="shared" si="404"/>
        <v>0</v>
      </c>
      <c r="U3180" s="846">
        <v>6249800</v>
      </c>
      <c r="V3180" s="1027">
        <v>6275799</v>
      </c>
      <c r="W3180" s="846"/>
      <c r="X3180" s="846"/>
      <c r="Y3180" s="740">
        <f t="shared" si="400"/>
        <v>0</v>
      </c>
      <c r="Z3180" s="847"/>
      <c r="AA3180" s="847"/>
      <c r="AB3180" s="741">
        <f t="shared" si="401"/>
        <v>0</v>
      </c>
      <c r="AC3180" s="846"/>
      <c r="AD3180" s="1027"/>
      <c r="AE3180" s="846"/>
      <c r="AF3180" s="846"/>
      <c r="AG3180" s="847"/>
      <c r="AH3180" s="847"/>
      <c r="AI3180" s="742">
        <f t="shared" si="405"/>
        <v>6249800</v>
      </c>
      <c r="AJ3180" s="743">
        <f t="shared" si="406"/>
        <v>6275799</v>
      </c>
    </row>
    <row r="3181" spans="1:36">
      <c r="A3181" s="1041" t="s">
        <v>157</v>
      </c>
      <c r="B3181" s="951" t="s">
        <v>281</v>
      </c>
      <c r="C3181" s="967" t="s">
        <v>109</v>
      </c>
      <c r="D3181" s="953"/>
      <c r="E3181" s="1039"/>
      <c r="F3181" s="1040"/>
      <c r="G3181" s="846"/>
      <c r="H3181" s="1027"/>
      <c r="I3181" s="846"/>
      <c r="J3181" s="1027"/>
      <c r="K3181" s="846"/>
      <c r="L3181" s="1027"/>
      <c r="M3181" s="846"/>
      <c r="N3181" s="846"/>
      <c r="O3181" s="737">
        <f t="shared" si="399"/>
        <v>0</v>
      </c>
      <c r="P3181" s="847"/>
      <c r="Q3181" s="847"/>
      <c r="R3181" s="738">
        <f t="shared" si="402"/>
        <v>0</v>
      </c>
      <c r="S3181" s="737">
        <f t="shared" si="403"/>
        <v>0</v>
      </c>
      <c r="T3181" s="739">
        <f t="shared" si="404"/>
        <v>0</v>
      </c>
      <c r="U3181" s="846"/>
      <c r="V3181" s="1027"/>
      <c r="W3181" s="846"/>
      <c r="X3181" s="846"/>
      <c r="Y3181" s="740">
        <f t="shared" si="400"/>
        <v>0</v>
      </c>
      <c r="Z3181" s="847"/>
      <c r="AA3181" s="847"/>
      <c r="AB3181" s="741">
        <f t="shared" si="401"/>
        <v>0</v>
      </c>
      <c r="AC3181" s="846"/>
      <c r="AD3181" s="1027"/>
      <c r="AE3181" s="846"/>
      <c r="AF3181" s="846"/>
      <c r="AG3181" s="847"/>
      <c r="AH3181" s="847"/>
      <c r="AI3181" s="742">
        <f t="shared" si="405"/>
        <v>0</v>
      </c>
      <c r="AJ3181" s="743">
        <f t="shared" si="406"/>
        <v>0</v>
      </c>
    </row>
    <row r="3182" spans="1:36">
      <c r="A3182" s="1041" t="s">
        <v>157</v>
      </c>
      <c r="B3182" s="951" t="s">
        <v>282</v>
      </c>
      <c r="C3182" s="958" t="s">
        <v>140</v>
      </c>
      <c r="D3182" s="957"/>
      <c r="E3182" s="1039"/>
      <c r="F3182" s="1040"/>
      <c r="G3182" s="846"/>
      <c r="H3182" s="1027"/>
      <c r="I3182" s="846"/>
      <c r="J3182" s="1027"/>
      <c r="K3182" s="846"/>
      <c r="L3182" s="1027"/>
      <c r="M3182" s="846"/>
      <c r="N3182" s="846"/>
      <c r="O3182" s="737">
        <f t="shared" si="399"/>
        <v>0</v>
      </c>
      <c r="P3182" s="847"/>
      <c r="Q3182" s="847"/>
      <c r="R3182" s="738">
        <f t="shared" si="402"/>
        <v>0</v>
      </c>
      <c r="S3182" s="737">
        <f t="shared" si="403"/>
        <v>0</v>
      </c>
      <c r="T3182" s="739">
        <f t="shared" si="404"/>
        <v>0</v>
      </c>
      <c r="U3182" s="846"/>
      <c r="V3182" s="1027"/>
      <c r="W3182" s="846"/>
      <c r="X3182" s="846"/>
      <c r="Y3182" s="740">
        <f t="shared" si="400"/>
        <v>0</v>
      </c>
      <c r="Z3182" s="847"/>
      <c r="AA3182" s="847"/>
      <c r="AB3182" s="741">
        <f t="shared" si="401"/>
        <v>0</v>
      </c>
      <c r="AC3182" s="846"/>
      <c r="AD3182" s="1027"/>
      <c r="AE3182" s="846"/>
      <c r="AF3182" s="846"/>
      <c r="AG3182" s="847"/>
      <c r="AH3182" s="847"/>
      <c r="AI3182" s="742">
        <f t="shared" si="405"/>
        <v>0</v>
      </c>
      <c r="AJ3182" s="743">
        <f t="shared" si="406"/>
        <v>0</v>
      </c>
    </row>
    <row r="3183" spans="1:36">
      <c r="A3183" s="1041" t="s">
        <v>157</v>
      </c>
      <c r="B3183" s="951" t="s">
        <v>282</v>
      </c>
      <c r="C3183" s="958" t="s">
        <v>880</v>
      </c>
      <c r="D3183" s="957"/>
      <c r="E3183" s="1039"/>
      <c r="F3183" s="1040"/>
      <c r="G3183" s="846"/>
      <c r="H3183" s="1027"/>
      <c r="I3183" s="846"/>
      <c r="J3183" s="1027"/>
      <c r="K3183" s="846"/>
      <c r="L3183" s="1027"/>
      <c r="M3183" s="846"/>
      <c r="N3183" s="846"/>
      <c r="O3183" s="737">
        <f t="shared" si="399"/>
        <v>0</v>
      </c>
      <c r="P3183" s="847"/>
      <c r="Q3183" s="847"/>
      <c r="R3183" s="738">
        <f t="shared" si="402"/>
        <v>0</v>
      </c>
      <c r="S3183" s="737">
        <f t="shared" si="403"/>
        <v>0</v>
      </c>
      <c r="T3183" s="739">
        <f t="shared" si="404"/>
        <v>0</v>
      </c>
      <c r="U3183" s="846">
        <v>2802089</v>
      </c>
      <c r="V3183" s="1027">
        <v>4670166</v>
      </c>
      <c r="W3183" s="846"/>
      <c r="X3183" s="846"/>
      <c r="Y3183" s="740">
        <f t="shared" si="400"/>
        <v>0</v>
      </c>
      <c r="Z3183" s="847"/>
      <c r="AA3183" s="847"/>
      <c r="AB3183" s="741">
        <f t="shared" si="401"/>
        <v>0</v>
      </c>
      <c r="AC3183" s="846"/>
      <c r="AD3183" s="1027"/>
      <c r="AE3183" s="846"/>
      <c r="AF3183" s="846"/>
      <c r="AG3183" s="847"/>
      <c r="AH3183" s="847"/>
      <c r="AI3183" s="742">
        <f t="shared" si="405"/>
        <v>2802089</v>
      </c>
      <c r="AJ3183" s="743">
        <f t="shared" si="406"/>
        <v>4670166</v>
      </c>
    </row>
    <row r="3184" spans="1:36">
      <c r="A3184" s="1041" t="s">
        <v>157</v>
      </c>
      <c r="B3184" s="951" t="s">
        <v>282</v>
      </c>
      <c r="C3184" s="958" t="s">
        <v>881</v>
      </c>
      <c r="D3184" s="957"/>
      <c r="E3184" s="1039"/>
      <c r="F3184" s="1040"/>
      <c r="G3184" s="846"/>
      <c r="H3184" s="1027"/>
      <c r="I3184" s="846"/>
      <c r="J3184" s="1027"/>
      <c r="K3184" s="846"/>
      <c r="L3184" s="1027"/>
      <c r="M3184" s="846"/>
      <c r="N3184" s="846"/>
      <c r="O3184" s="737">
        <f t="shared" si="399"/>
        <v>0</v>
      </c>
      <c r="P3184" s="847"/>
      <c r="Q3184" s="847"/>
      <c r="R3184" s="738">
        <f t="shared" si="402"/>
        <v>0</v>
      </c>
      <c r="S3184" s="737">
        <f t="shared" si="403"/>
        <v>0</v>
      </c>
      <c r="T3184" s="739">
        <f t="shared" si="404"/>
        <v>0</v>
      </c>
      <c r="U3184" s="846">
        <v>1754853</v>
      </c>
      <c r="V3184" s="1027">
        <v>1720914</v>
      </c>
      <c r="W3184" s="846"/>
      <c r="X3184" s="846"/>
      <c r="Y3184" s="740">
        <f t="shared" si="400"/>
        <v>0</v>
      </c>
      <c r="Z3184" s="847"/>
      <c r="AA3184" s="847"/>
      <c r="AB3184" s="741">
        <f t="shared" si="401"/>
        <v>0</v>
      </c>
      <c r="AC3184" s="846"/>
      <c r="AD3184" s="1027"/>
      <c r="AE3184" s="846"/>
      <c r="AF3184" s="846"/>
      <c r="AG3184" s="847"/>
      <c r="AH3184" s="847"/>
      <c r="AI3184" s="742">
        <f t="shared" si="405"/>
        <v>1754853</v>
      </c>
      <c r="AJ3184" s="743">
        <f t="shared" si="406"/>
        <v>1720914</v>
      </c>
    </row>
    <row r="3185" spans="1:36">
      <c r="A3185" s="1041" t="s">
        <v>157</v>
      </c>
      <c r="B3185" s="951" t="s">
        <v>283</v>
      </c>
      <c r="C3185" s="958" t="s">
        <v>139</v>
      </c>
      <c r="D3185" s="957"/>
      <c r="E3185" s="1039"/>
      <c r="F3185" s="1040"/>
      <c r="G3185" s="846"/>
      <c r="H3185" s="1027"/>
      <c r="I3185" s="846"/>
      <c r="J3185" s="1027"/>
      <c r="K3185" s="846"/>
      <c r="L3185" s="1027"/>
      <c r="M3185" s="846"/>
      <c r="N3185" s="846"/>
      <c r="O3185" s="737">
        <f t="shared" si="399"/>
        <v>0</v>
      </c>
      <c r="P3185" s="847"/>
      <c r="Q3185" s="847"/>
      <c r="R3185" s="738">
        <f t="shared" si="402"/>
        <v>0</v>
      </c>
      <c r="S3185" s="737">
        <f t="shared" si="403"/>
        <v>0</v>
      </c>
      <c r="T3185" s="739">
        <f t="shared" si="404"/>
        <v>0</v>
      </c>
      <c r="U3185" s="846"/>
      <c r="V3185" s="1027"/>
      <c r="W3185" s="846"/>
      <c r="X3185" s="846"/>
      <c r="Y3185" s="740">
        <f t="shared" si="400"/>
        <v>0</v>
      </c>
      <c r="Z3185" s="847"/>
      <c r="AA3185" s="847"/>
      <c r="AB3185" s="741">
        <f t="shared" si="401"/>
        <v>0</v>
      </c>
      <c r="AC3185" s="846"/>
      <c r="AD3185" s="1027"/>
      <c r="AE3185" s="846"/>
      <c r="AF3185" s="846"/>
      <c r="AG3185" s="847"/>
      <c r="AH3185" s="847"/>
      <c r="AI3185" s="742">
        <f t="shared" si="405"/>
        <v>0</v>
      </c>
      <c r="AJ3185" s="743">
        <f t="shared" si="406"/>
        <v>0</v>
      </c>
    </row>
    <row r="3186" spans="1:36">
      <c r="A3186" s="1041" t="s">
        <v>157</v>
      </c>
      <c r="B3186" s="951" t="s">
        <v>283</v>
      </c>
      <c r="C3186" s="956" t="s">
        <v>882</v>
      </c>
      <c r="D3186" s="957"/>
      <c r="E3186" s="1039"/>
      <c r="F3186" s="1040"/>
      <c r="G3186" s="846"/>
      <c r="H3186" s="1027"/>
      <c r="I3186" s="846"/>
      <c r="J3186" s="1027"/>
      <c r="K3186" s="846"/>
      <c r="L3186" s="1027"/>
      <c r="M3186" s="846"/>
      <c r="N3186" s="846"/>
      <c r="O3186" s="737">
        <f t="shared" si="399"/>
        <v>0</v>
      </c>
      <c r="P3186" s="847"/>
      <c r="Q3186" s="847"/>
      <c r="R3186" s="738">
        <f t="shared" si="402"/>
        <v>0</v>
      </c>
      <c r="S3186" s="737">
        <f t="shared" si="403"/>
        <v>0</v>
      </c>
      <c r="T3186" s="739">
        <f t="shared" si="404"/>
        <v>0</v>
      </c>
      <c r="U3186" s="846">
        <v>791013</v>
      </c>
      <c r="V3186" s="1027">
        <v>773248</v>
      </c>
      <c r="W3186" s="846"/>
      <c r="X3186" s="846"/>
      <c r="Y3186" s="740">
        <f t="shared" si="400"/>
        <v>0</v>
      </c>
      <c r="Z3186" s="847"/>
      <c r="AA3186" s="847"/>
      <c r="AB3186" s="741">
        <f t="shared" si="401"/>
        <v>0</v>
      </c>
      <c r="AC3186" s="846"/>
      <c r="AD3186" s="1027"/>
      <c r="AE3186" s="846"/>
      <c r="AF3186" s="846"/>
      <c r="AG3186" s="847"/>
      <c r="AH3186" s="847"/>
      <c r="AI3186" s="742">
        <f t="shared" si="405"/>
        <v>791013</v>
      </c>
      <c r="AJ3186" s="743">
        <f t="shared" si="406"/>
        <v>773248</v>
      </c>
    </row>
    <row r="3187" spans="1:36">
      <c r="A3187" s="1041" t="s">
        <v>157</v>
      </c>
      <c r="B3187" s="951" t="s">
        <v>284</v>
      </c>
      <c r="C3187" s="958" t="s">
        <v>138</v>
      </c>
      <c r="D3187" s="957"/>
      <c r="E3187" s="1039"/>
      <c r="F3187" s="1040"/>
      <c r="G3187" s="846"/>
      <c r="H3187" s="1027"/>
      <c r="I3187" s="846"/>
      <c r="J3187" s="1027"/>
      <c r="K3187" s="846"/>
      <c r="L3187" s="1027"/>
      <c r="M3187" s="846"/>
      <c r="N3187" s="846"/>
      <c r="O3187" s="737">
        <f t="shared" si="399"/>
        <v>0</v>
      </c>
      <c r="P3187" s="847"/>
      <c r="Q3187" s="847"/>
      <c r="R3187" s="738">
        <f t="shared" si="402"/>
        <v>0</v>
      </c>
      <c r="S3187" s="737">
        <f t="shared" si="403"/>
        <v>0</v>
      </c>
      <c r="T3187" s="739">
        <f t="shared" si="404"/>
        <v>0</v>
      </c>
      <c r="U3187" s="846"/>
      <c r="V3187" s="1027"/>
      <c r="W3187" s="846"/>
      <c r="X3187" s="846"/>
      <c r="Y3187" s="740">
        <f t="shared" si="400"/>
        <v>0</v>
      </c>
      <c r="Z3187" s="847"/>
      <c r="AA3187" s="847"/>
      <c r="AB3187" s="741">
        <f t="shared" si="401"/>
        <v>0</v>
      </c>
      <c r="AC3187" s="846"/>
      <c r="AD3187" s="1027"/>
      <c r="AE3187" s="846"/>
      <c r="AF3187" s="846"/>
      <c r="AG3187" s="847"/>
      <c r="AH3187" s="847"/>
      <c r="AI3187" s="742">
        <f t="shared" si="405"/>
        <v>0</v>
      </c>
      <c r="AJ3187" s="743">
        <f t="shared" si="406"/>
        <v>0</v>
      </c>
    </row>
    <row r="3188" spans="1:36">
      <c r="A3188" s="1041" t="s">
        <v>157</v>
      </c>
      <c r="B3188" s="951" t="s">
        <v>285</v>
      </c>
      <c r="C3188" s="958" t="s">
        <v>504</v>
      </c>
      <c r="D3188" s="957"/>
      <c r="E3188" s="1039"/>
      <c r="F3188" s="1040"/>
      <c r="G3188" s="846"/>
      <c r="H3188" s="1027"/>
      <c r="I3188" s="846"/>
      <c r="J3188" s="1027"/>
      <c r="K3188" s="846"/>
      <c r="L3188" s="1027"/>
      <c r="M3188" s="846"/>
      <c r="N3188" s="846"/>
      <c r="O3188" s="737">
        <f t="shared" si="399"/>
        <v>0</v>
      </c>
      <c r="P3188" s="847"/>
      <c r="Q3188" s="847"/>
      <c r="R3188" s="738">
        <f t="shared" si="402"/>
        <v>0</v>
      </c>
      <c r="S3188" s="737">
        <f t="shared" si="403"/>
        <v>0</v>
      </c>
      <c r="T3188" s="739">
        <f t="shared" si="404"/>
        <v>0</v>
      </c>
      <c r="U3188" s="846">
        <v>1653122</v>
      </c>
      <c r="V3188" s="1027">
        <v>1594911</v>
      </c>
      <c r="W3188" s="846"/>
      <c r="X3188" s="846"/>
      <c r="Y3188" s="740">
        <f t="shared" si="400"/>
        <v>0</v>
      </c>
      <c r="Z3188" s="847"/>
      <c r="AA3188" s="847"/>
      <c r="AB3188" s="741">
        <f t="shared" si="401"/>
        <v>0</v>
      </c>
      <c r="AC3188" s="846"/>
      <c r="AD3188" s="1027"/>
      <c r="AE3188" s="846"/>
      <c r="AF3188" s="846"/>
      <c r="AG3188" s="847"/>
      <c r="AH3188" s="847"/>
      <c r="AI3188" s="742">
        <f t="shared" si="405"/>
        <v>1653122</v>
      </c>
      <c r="AJ3188" s="743">
        <f t="shared" si="406"/>
        <v>1594911</v>
      </c>
    </row>
    <row r="3189" spans="1:36">
      <c r="A3189" s="1041" t="s">
        <v>157</v>
      </c>
      <c r="B3189" s="951" t="s">
        <v>286</v>
      </c>
      <c r="C3189" s="967" t="s">
        <v>506</v>
      </c>
      <c r="D3189" s="953"/>
      <c r="E3189" s="1039"/>
      <c r="F3189" s="1040"/>
      <c r="G3189" s="846"/>
      <c r="H3189" s="1027"/>
      <c r="I3189" s="846"/>
      <c r="J3189" s="1027"/>
      <c r="K3189" s="846"/>
      <c r="L3189" s="1027"/>
      <c r="M3189" s="846"/>
      <c r="N3189" s="846"/>
      <c r="O3189" s="737">
        <f t="shared" si="399"/>
        <v>0</v>
      </c>
      <c r="P3189" s="847"/>
      <c r="Q3189" s="847"/>
      <c r="R3189" s="738">
        <f t="shared" si="402"/>
        <v>0</v>
      </c>
      <c r="S3189" s="737">
        <f t="shared" si="403"/>
        <v>0</v>
      </c>
      <c r="T3189" s="739">
        <f t="shared" si="404"/>
        <v>0</v>
      </c>
      <c r="U3189" s="846"/>
      <c r="V3189" s="1027"/>
      <c r="W3189" s="846"/>
      <c r="X3189" s="846"/>
      <c r="Y3189" s="740">
        <f t="shared" si="400"/>
        <v>0</v>
      </c>
      <c r="Z3189" s="847"/>
      <c r="AA3189" s="847"/>
      <c r="AB3189" s="741">
        <f t="shared" si="401"/>
        <v>0</v>
      </c>
      <c r="AC3189" s="846"/>
      <c r="AD3189" s="1027"/>
      <c r="AE3189" s="846"/>
      <c r="AF3189" s="846"/>
      <c r="AG3189" s="847"/>
      <c r="AH3189" s="847"/>
      <c r="AI3189" s="742">
        <f t="shared" si="405"/>
        <v>0</v>
      </c>
      <c r="AJ3189" s="743">
        <f t="shared" si="406"/>
        <v>0</v>
      </c>
    </row>
    <row r="3190" spans="1:36">
      <c r="A3190" s="1041" t="s">
        <v>157</v>
      </c>
      <c r="B3190" s="951" t="s">
        <v>287</v>
      </c>
      <c r="C3190" s="967" t="s">
        <v>510</v>
      </c>
      <c r="D3190" s="953"/>
      <c r="E3190" s="1039"/>
      <c r="F3190" s="1040"/>
      <c r="G3190" s="846"/>
      <c r="H3190" s="1027"/>
      <c r="I3190" s="846"/>
      <c r="J3190" s="1027"/>
      <c r="K3190" s="846"/>
      <c r="L3190" s="1027"/>
      <c r="M3190" s="846"/>
      <c r="N3190" s="846"/>
      <c r="O3190" s="737">
        <f t="shared" si="399"/>
        <v>0</v>
      </c>
      <c r="P3190" s="847"/>
      <c r="Q3190" s="847"/>
      <c r="R3190" s="738">
        <f t="shared" si="402"/>
        <v>0</v>
      </c>
      <c r="S3190" s="737">
        <f t="shared" si="403"/>
        <v>0</v>
      </c>
      <c r="T3190" s="739">
        <f t="shared" si="404"/>
        <v>0</v>
      </c>
      <c r="U3190" s="846"/>
      <c r="V3190" s="1027"/>
      <c r="W3190" s="846"/>
      <c r="X3190" s="846"/>
      <c r="Y3190" s="740">
        <f t="shared" si="400"/>
        <v>0</v>
      </c>
      <c r="Z3190" s="847"/>
      <c r="AA3190" s="847"/>
      <c r="AB3190" s="741">
        <f t="shared" si="401"/>
        <v>0</v>
      </c>
      <c r="AC3190" s="846"/>
      <c r="AD3190" s="1027"/>
      <c r="AE3190" s="846"/>
      <c r="AF3190" s="846"/>
      <c r="AG3190" s="847"/>
      <c r="AH3190" s="847"/>
      <c r="AI3190" s="742">
        <f t="shared" si="405"/>
        <v>0</v>
      </c>
      <c r="AJ3190" s="743">
        <f t="shared" si="406"/>
        <v>0</v>
      </c>
    </row>
    <row r="3191" spans="1:36">
      <c r="A3191" s="1041" t="s">
        <v>157</v>
      </c>
      <c r="B3191" s="951" t="s">
        <v>288</v>
      </c>
      <c r="C3191" s="958" t="s">
        <v>511</v>
      </c>
      <c r="D3191" s="957"/>
      <c r="E3191" s="1039"/>
      <c r="F3191" s="1040"/>
      <c r="G3191" s="846"/>
      <c r="H3191" s="1027"/>
      <c r="I3191" s="846"/>
      <c r="J3191" s="1027"/>
      <c r="K3191" s="846"/>
      <c r="L3191" s="1027"/>
      <c r="M3191" s="846"/>
      <c r="N3191" s="846"/>
      <c r="O3191" s="737">
        <f t="shared" si="399"/>
        <v>0</v>
      </c>
      <c r="P3191" s="847"/>
      <c r="Q3191" s="847"/>
      <c r="R3191" s="738">
        <f t="shared" si="402"/>
        <v>0</v>
      </c>
      <c r="S3191" s="737">
        <f t="shared" si="403"/>
        <v>0</v>
      </c>
      <c r="T3191" s="739">
        <f t="shared" si="404"/>
        <v>0</v>
      </c>
      <c r="U3191" s="846"/>
      <c r="V3191" s="1027"/>
      <c r="W3191" s="846"/>
      <c r="X3191" s="846"/>
      <c r="Y3191" s="740">
        <f t="shared" si="400"/>
        <v>0</v>
      </c>
      <c r="Z3191" s="847"/>
      <c r="AA3191" s="847"/>
      <c r="AB3191" s="741">
        <f t="shared" si="401"/>
        <v>0</v>
      </c>
      <c r="AC3191" s="846"/>
      <c r="AD3191" s="1027"/>
      <c r="AE3191" s="846"/>
      <c r="AF3191" s="846"/>
      <c r="AG3191" s="847"/>
      <c r="AH3191" s="847"/>
      <c r="AI3191" s="742">
        <f t="shared" si="405"/>
        <v>0</v>
      </c>
      <c r="AJ3191" s="743">
        <f t="shared" si="406"/>
        <v>0</v>
      </c>
    </row>
    <row r="3192" spans="1:36">
      <c r="A3192" s="1041" t="s">
        <v>157</v>
      </c>
      <c r="B3192" s="951" t="s">
        <v>288</v>
      </c>
      <c r="C3192" s="956" t="s">
        <v>883</v>
      </c>
      <c r="D3192" s="957"/>
      <c r="E3192" s="1039"/>
      <c r="F3192" s="1040"/>
      <c r="G3192" s="846"/>
      <c r="H3192" s="1027"/>
      <c r="I3192" s="846"/>
      <c r="J3192" s="1027"/>
      <c r="K3192" s="846"/>
      <c r="L3192" s="1027"/>
      <c r="M3192" s="846"/>
      <c r="N3192" s="846"/>
      <c r="O3192" s="737">
        <f t="shared" si="399"/>
        <v>0</v>
      </c>
      <c r="P3192" s="847"/>
      <c r="Q3192" s="847"/>
      <c r="R3192" s="738">
        <f t="shared" si="402"/>
        <v>0</v>
      </c>
      <c r="S3192" s="737">
        <f t="shared" si="403"/>
        <v>0</v>
      </c>
      <c r="T3192" s="739">
        <f t="shared" si="404"/>
        <v>0</v>
      </c>
      <c r="U3192" s="846">
        <v>17586</v>
      </c>
      <c r="V3192" s="1027">
        <v>17135</v>
      </c>
      <c r="W3192" s="846"/>
      <c r="X3192" s="846"/>
      <c r="Y3192" s="740">
        <f t="shared" si="400"/>
        <v>0</v>
      </c>
      <c r="Z3192" s="847"/>
      <c r="AA3192" s="847"/>
      <c r="AB3192" s="741">
        <f t="shared" si="401"/>
        <v>0</v>
      </c>
      <c r="AC3192" s="846"/>
      <c r="AD3192" s="1027"/>
      <c r="AE3192" s="846"/>
      <c r="AF3192" s="846"/>
      <c r="AG3192" s="847"/>
      <c r="AH3192" s="847"/>
      <c r="AI3192" s="742">
        <f t="shared" si="405"/>
        <v>17586</v>
      </c>
      <c r="AJ3192" s="743">
        <f t="shared" si="406"/>
        <v>17135</v>
      </c>
    </row>
    <row r="3193" spans="1:36">
      <c r="A3193" s="1041" t="s">
        <v>157</v>
      </c>
      <c r="B3193" s="951" t="s">
        <v>288</v>
      </c>
      <c r="C3193" s="956" t="s">
        <v>884</v>
      </c>
      <c r="D3193" s="957"/>
      <c r="E3193" s="1039"/>
      <c r="F3193" s="1040"/>
      <c r="G3193" s="846"/>
      <c r="H3193" s="1027"/>
      <c r="I3193" s="846"/>
      <c r="J3193" s="1027"/>
      <c r="K3193" s="846"/>
      <c r="L3193" s="1027"/>
      <c r="M3193" s="846"/>
      <c r="N3193" s="846"/>
      <c r="O3193" s="737">
        <f t="shared" si="399"/>
        <v>0</v>
      </c>
      <c r="P3193" s="847"/>
      <c r="Q3193" s="847"/>
      <c r="R3193" s="738">
        <f t="shared" si="402"/>
        <v>0</v>
      </c>
      <c r="S3193" s="737">
        <f t="shared" si="403"/>
        <v>0</v>
      </c>
      <c r="T3193" s="739">
        <f t="shared" si="404"/>
        <v>0</v>
      </c>
      <c r="U3193" s="846"/>
      <c r="V3193" s="1027"/>
      <c r="W3193" s="846"/>
      <c r="X3193" s="846"/>
      <c r="Y3193" s="740">
        <f t="shared" si="400"/>
        <v>0</v>
      </c>
      <c r="Z3193" s="847"/>
      <c r="AA3193" s="847"/>
      <c r="AB3193" s="741">
        <f t="shared" si="401"/>
        <v>0</v>
      </c>
      <c r="AC3193" s="846"/>
      <c r="AD3193" s="1027"/>
      <c r="AE3193" s="846"/>
      <c r="AF3193" s="846"/>
      <c r="AG3193" s="847"/>
      <c r="AH3193" s="847"/>
      <c r="AI3193" s="742">
        <f t="shared" si="405"/>
        <v>0</v>
      </c>
      <c r="AJ3193" s="743">
        <f t="shared" si="406"/>
        <v>0</v>
      </c>
    </row>
    <row r="3194" spans="1:36">
      <c r="A3194" s="1041" t="s">
        <v>157</v>
      </c>
      <c r="B3194" s="951" t="s">
        <v>288</v>
      </c>
      <c r="C3194" s="956" t="s">
        <v>568</v>
      </c>
      <c r="D3194" s="957"/>
      <c r="E3194" s="1039"/>
      <c r="F3194" s="1040"/>
      <c r="G3194" s="846"/>
      <c r="H3194" s="847"/>
      <c r="I3194" s="846"/>
      <c r="J3194" s="847"/>
      <c r="K3194" s="846"/>
      <c r="L3194" s="847"/>
      <c r="M3194" s="846"/>
      <c r="N3194" s="846"/>
      <c r="O3194" s="737">
        <f t="shared" si="399"/>
        <v>0</v>
      </c>
      <c r="P3194" s="847"/>
      <c r="Q3194" s="847"/>
      <c r="R3194" s="738">
        <f t="shared" si="402"/>
        <v>0</v>
      </c>
      <c r="S3194" s="737">
        <f t="shared" si="403"/>
        <v>0</v>
      </c>
      <c r="T3194" s="739">
        <f t="shared" si="404"/>
        <v>0</v>
      </c>
      <c r="U3194" s="846">
        <v>116421</v>
      </c>
      <c r="V3194" s="847">
        <v>126048</v>
      </c>
      <c r="W3194" s="846"/>
      <c r="X3194" s="846"/>
      <c r="Y3194" s="740">
        <f t="shared" si="400"/>
        <v>0</v>
      </c>
      <c r="Z3194" s="847"/>
      <c r="AA3194" s="847"/>
      <c r="AB3194" s="741">
        <f t="shared" si="401"/>
        <v>0</v>
      </c>
      <c r="AC3194" s="846"/>
      <c r="AD3194" s="847"/>
      <c r="AE3194" s="846"/>
      <c r="AF3194" s="846"/>
      <c r="AG3194" s="847"/>
      <c r="AH3194" s="847"/>
      <c r="AI3194" s="742">
        <f t="shared" si="405"/>
        <v>116421</v>
      </c>
      <c r="AJ3194" s="743">
        <f t="shared" si="406"/>
        <v>126048</v>
      </c>
    </row>
    <row r="3195" spans="1:36">
      <c r="A3195" s="1041" t="s">
        <v>157</v>
      </c>
      <c r="B3195" s="951" t="s">
        <v>289</v>
      </c>
      <c r="C3195" s="958" t="s">
        <v>515</v>
      </c>
      <c r="D3195" s="957"/>
      <c r="E3195" s="1039"/>
      <c r="F3195" s="1040"/>
      <c r="G3195" s="846"/>
      <c r="H3195" s="847"/>
      <c r="I3195" s="846"/>
      <c r="J3195" s="847"/>
      <c r="K3195" s="846"/>
      <c r="L3195" s="847"/>
      <c r="M3195" s="846"/>
      <c r="N3195" s="846"/>
      <c r="O3195" s="737">
        <f t="shared" si="399"/>
        <v>0</v>
      </c>
      <c r="P3195" s="847"/>
      <c r="Q3195" s="847"/>
      <c r="R3195" s="738">
        <f t="shared" si="402"/>
        <v>0</v>
      </c>
      <c r="S3195" s="737">
        <f t="shared" si="403"/>
        <v>0</v>
      </c>
      <c r="T3195" s="739">
        <f t="shared" si="404"/>
        <v>0</v>
      </c>
      <c r="U3195" s="846"/>
      <c r="V3195" s="847"/>
      <c r="W3195" s="846"/>
      <c r="X3195" s="846"/>
      <c r="Y3195" s="740">
        <f t="shared" si="400"/>
        <v>0</v>
      </c>
      <c r="Z3195" s="847"/>
      <c r="AA3195" s="847"/>
      <c r="AB3195" s="741">
        <f t="shared" si="401"/>
        <v>0</v>
      </c>
      <c r="AC3195" s="846"/>
      <c r="AD3195" s="847"/>
      <c r="AE3195" s="846"/>
      <c r="AF3195" s="846"/>
      <c r="AG3195" s="847"/>
      <c r="AH3195" s="847"/>
      <c r="AI3195" s="742">
        <f t="shared" si="405"/>
        <v>0</v>
      </c>
      <c r="AJ3195" s="743">
        <f t="shared" si="406"/>
        <v>0</v>
      </c>
    </row>
    <row r="3196" spans="1:36">
      <c r="A3196" s="1041" t="s">
        <v>157</v>
      </c>
      <c r="B3196" s="951" t="s">
        <v>289</v>
      </c>
      <c r="C3196" s="956" t="s">
        <v>885</v>
      </c>
      <c r="D3196" s="957"/>
      <c r="E3196" s="1039"/>
      <c r="F3196" s="1040"/>
      <c r="G3196" s="846"/>
      <c r="H3196" s="847"/>
      <c r="I3196" s="846"/>
      <c r="J3196" s="847"/>
      <c r="K3196" s="846"/>
      <c r="L3196" s="847"/>
      <c r="M3196" s="846"/>
      <c r="N3196" s="846"/>
      <c r="O3196" s="737">
        <f t="shared" si="399"/>
        <v>0</v>
      </c>
      <c r="P3196" s="847"/>
      <c r="Q3196" s="847"/>
      <c r="R3196" s="738">
        <f t="shared" si="402"/>
        <v>0</v>
      </c>
      <c r="S3196" s="737">
        <f t="shared" si="403"/>
        <v>0</v>
      </c>
      <c r="T3196" s="739">
        <f t="shared" si="404"/>
        <v>0</v>
      </c>
      <c r="U3196" s="846">
        <v>224896</v>
      </c>
      <c r="V3196" s="847">
        <v>87657</v>
      </c>
      <c r="W3196" s="846"/>
      <c r="X3196" s="846"/>
      <c r="Y3196" s="740">
        <f t="shared" si="400"/>
        <v>0</v>
      </c>
      <c r="Z3196" s="847"/>
      <c r="AA3196" s="847"/>
      <c r="AB3196" s="741">
        <f t="shared" si="401"/>
        <v>0</v>
      </c>
      <c r="AC3196" s="846"/>
      <c r="AD3196" s="847"/>
      <c r="AE3196" s="846"/>
      <c r="AF3196" s="846"/>
      <c r="AG3196" s="847"/>
      <c r="AH3196" s="847"/>
      <c r="AI3196" s="742">
        <f t="shared" si="405"/>
        <v>224896</v>
      </c>
      <c r="AJ3196" s="743">
        <f t="shared" si="406"/>
        <v>87657</v>
      </c>
    </row>
    <row r="3197" spans="1:36">
      <c r="A3197" s="1041" t="s">
        <v>157</v>
      </c>
      <c r="B3197" s="951" t="s">
        <v>289</v>
      </c>
      <c r="C3197" s="956" t="s">
        <v>886</v>
      </c>
      <c r="D3197" s="957"/>
      <c r="E3197" s="1039"/>
      <c r="F3197" s="1040"/>
      <c r="G3197" s="846"/>
      <c r="H3197" s="847"/>
      <c r="I3197" s="846"/>
      <c r="J3197" s="847"/>
      <c r="K3197" s="846"/>
      <c r="L3197" s="847"/>
      <c r="M3197" s="846"/>
      <c r="N3197" s="846"/>
      <c r="O3197" s="737">
        <f t="shared" si="399"/>
        <v>0</v>
      </c>
      <c r="P3197" s="847"/>
      <c r="Q3197" s="847"/>
      <c r="R3197" s="738">
        <f t="shared" si="402"/>
        <v>0</v>
      </c>
      <c r="S3197" s="737">
        <f t="shared" si="403"/>
        <v>0</v>
      </c>
      <c r="T3197" s="739">
        <f t="shared" si="404"/>
        <v>0</v>
      </c>
      <c r="U3197" s="846">
        <v>179916</v>
      </c>
      <c r="V3197" s="847">
        <v>131485</v>
      </c>
      <c r="W3197" s="846"/>
      <c r="X3197" s="846"/>
      <c r="Y3197" s="740">
        <f t="shared" si="400"/>
        <v>0</v>
      </c>
      <c r="Z3197" s="847"/>
      <c r="AA3197" s="847"/>
      <c r="AB3197" s="741">
        <f t="shared" si="401"/>
        <v>0</v>
      </c>
      <c r="AC3197" s="846"/>
      <c r="AD3197" s="847"/>
      <c r="AE3197" s="846"/>
      <c r="AF3197" s="846"/>
      <c r="AG3197" s="847"/>
      <c r="AH3197" s="847"/>
      <c r="AI3197" s="742">
        <f t="shared" si="405"/>
        <v>179916</v>
      </c>
      <c r="AJ3197" s="743">
        <f t="shared" si="406"/>
        <v>131485</v>
      </c>
    </row>
    <row r="3198" spans="1:36">
      <c r="A3198" s="1041" t="s">
        <v>157</v>
      </c>
      <c r="B3198" s="951" t="s">
        <v>289</v>
      </c>
      <c r="C3198" s="956" t="s">
        <v>533</v>
      </c>
      <c r="D3198" s="957"/>
      <c r="E3198" s="1039"/>
      <c r="F3198" s="1040"/>
      <c r="G3198" s="846"/>
      <c r="H3198" s="847"/>
      <c r="I3198" s="846"/>
      <c r="J3198" s="847"/>
      <c r="K3198" s="846"/>
      <c r="L3198" s="847"/>
      <c r="M3198" s="846"/>
      <c r="N3198" s="846"/>
      <c r="O3198" s="737">
        <f t="shared" si="399"/>
        <v>0</v>
      </c>
      <c r="P3198" s="847"/>
      <c r="Q3198" s="847"/>
      <c r="R3198" s="738">
        <f t="shared" si="402"/>
        <v>0</v>
      </c>
      <c r="S3198" s="737">
        <f t="shared" si="403"/>
        <v>0</v>
      </c>
      <c r="T3198" s="739">
        <f t="shared" si="404"/>
        <v>0</v>
      </c>
      <c r="U3198" s="846">
        <v>449792</v>
      </c>
      <c r="V3198" s="847">
        <v>482114</v>
      </c>
      <c r="W3198" s="846"/>
      <c r="X3198" s="846"/>
      <c r="Y3198" s="740">
        <f t="shared" si="400"/>
        <v>0</v>
      </c>
      <c r="Z3198" s="847"/>
      <c r="AA3198" s="847"/>
      <c r="AB3198" s="741">
        <f t="shared" si="401"/>
        <v>0</v>
      </c>
      <c r="AC3198" s="846"/>
      <c r="AD3198" s="847"/>
      <c r="AE3198" s="846"/>
      <c r="AF3198" s="846"/>
      <c r="AG3198" s="847"/>
      <c r="AH3198" s="847"/>
      <c r="AI3198" s="742">
        <f t="shared" si="405"/>
        <v>449792</v>
      </c>
      <c r="AJ3198" s="743">
        <f t="shared" si="406"/>
        <v>482114</v>
      </c>
    </row>
    <row r="3199" spans="1:36">
      <c r="A3199" s="1041" t="s">
        <v>157</v>
      </c>
      <c r="B3199" s="951" t="s">
        <v>289</v>
      </c>
      <c r="C3199" s="956" t="s">
        <v>887</v>
      </c>
      <c r="D3199" s="957"/>
      <c r="E3199" s="1039"/>
      <c r="F3199" s="1040"/>
      <c r="G3199" s="846"/>
      <c r="H3199" s="847"/>
      <c r="I3199" s="846"/>
      <c r="J3199" s="847"/>
      <c r="K3199" s="846"/>
      <c r="L3199" s="847"/>
      <c r="M3199" s="846"/>
      <c r="N3199" s="846"/>
      <c r="O3199" s="737">
        <f t="shared" si="399"/>
        <v>0</v>
      </c>
      <c r="P3199" s="847"/>
      <c r="Q3199" s="847"/>
      <c r="R3199" s="738">
        <f t="shared" si="402"/>
        <v>0</v>
      </c>
      <c r="S3199" s="737">
        <f t="shared" si="403"/>
        <v>0</v>
      </c>
      <c r="T3199" s="739">
        <f t="shared" si="404"/>
        <v>0</v>
      </c>
      <c r="U3199" s="846">
        <v>19404</v>
      </c>
      <c r="V3199" s="847">
        <v>12604</v>
      </c>
      <c r="W3199" s="846"/>
      <c r="X3199" s="846"/>
      <c r="Y3199" s="740">
        <f t="shared" si="400"/>
        <v>0</v>
      </c>
      <c r="Z3199" s="847"/>
      <c r="AA3199" s="847"/>
      <c r="AB3199" s="741">
        <f t="shared" si="401"/>
        <v>0</v>
      </c>
      <c r="AC3199" s="846"/>
      <c r="AD3199" s="847"/>
      <c r="AE3199" s="846"/>
      <c r="AF3199" s="846"/>
      <c r="AG3199" s="847"/>
      <c r="AH3199" s="847"/>
      <c r="AI3199" s="742">
        <f t="shared" si="405"/>
        <v>19404</v>
      </c>
      <c r="AJ3199" s="743">
        <f t="shared" si="406"/>
        <v>12604</v>
      </c>
    </row>
    <row r="3200" spans="1:36">
      <c r="A3200" s="1041" t="s">
        <v>157</v>
      </c>
      <c r="B3200" s="951" t="s">
        <v>290</v>
      </c>
      <c r="C3200" s="958" t="s">
        <v>137</v>
      </c>
      <c r="D3200" s="957"/>
      <c r="E3200" s="1039"/>
      <c r="F3200" s="1040"/>
      <c r="G3200" s="846"/>
      <c r="H3200" s="847"/>
      <c r="I3200" s="846"/>
      <c r="J3200" s="847"/>
      <c r="K3200" s="846"/>
      <c r="L3200" s="847"/>
      <c r="M3200" s="846"/>
      <c r="N3200" s="846"/>
      <c r="O3200" s="737">
        <f t="shared" si="399"/>
        <v>0</v>
      </c>
      <c r="P3200" s="847"/>
      <c r="Q3200" s="847"/>
      <c r="R3200" s="738">
        <f t="shared" si="402"/>
        <v>0</v>
      </c>
      <c r="S3200" s="737">
        <f t="shared" si="403"/>
        <v>0</v>
      </c>
      <c r="T3200" s="739">
        <f t="shared" si="404"/>
        <v>0</v>
      </c>
      <c r="U3200" s="846">
        <v>308682</v>
      </c>
      <c r="V3200" s="847">
        <v>410356</v>
      </c>
      <c r="W3200" s="846"/>
      <c r="X3200" s="846"/>
      <c r="Y3200" s="740">
        <f t="shared" si="400"/>
        <v>0</v>
      </c>
      <c r="Z3200" s="847"/>
      <c r="AA3200" s="847"/>
      <c r="AB3200" s="741">
        <f t="shared" si="401"/>
        <v>0</v>
      </c>
      <c r="AC3200" s="846"/>
      <c r="AD3200" s="847"/>
      <c r="AE3200" s="846"/>
      <c r="AF3200" s="846"/>
      <c r="AG3200" s="847"/>
      <c r="AH3200" s="847"/>
      <c r="AI3200" s="742">
        <f t="shared" si="405"/>
        <v>308682</v>
      </c>
      <c r="AJ3200" s="743">
        <f t="shared" si="406"/>
        <v>410356</v>
      </c>
    </row>
    <row r="3201" spans="1:36">
      <c r="A3201" s="1041" t="s">
        <v>157</v>
      </c>
      <c r="B3201" s="951" t="s">
        <v>291</v>
      </c>
      <c r="C3201" s="967" t="s">
        <v>520</v>
      </c>
      <c r="D3201" s="953"/>
      <c r="E3201" s="1039"/>
      <c r="F3201" s="1040"/>
      <c r="G3201" s="846"/>
      <c r="H3201" s="847"/>
      <c r="I3201" s="846"/>
      <c r="J3201" s="847"/>
      <c r="K3201" s="846"/>
      <c r="L3201" s="847"/>
      <c r="M3201" s="846"/>
      <c r="N3201" s="846"/>
      <c r="O3201" s="737">
        <f t="shared" si="399"/>
        <v>0</v>
      </c>
      <c r="P3201" s="847"/>
      <c r="Q3201" s="847"/>
      <c r="R3201" s="738">
        <f t="shared" si="402"/>
        <v>0</v>
      </c>
      <c r="S3201" s="737">
        <f t="shared" si="403"/>
        <v>0</v>
      </c>
      <c r="T3201" s="739">
        <f t="shared" si="404"/>
        <v>0</v>
      </c>
      <c r="U3201" s="846"/>
      <c r="V3201" s="847"/>
      <c r="W3201" s="846"/>
      <c r="X3201" s="846"/>
      <c r="Y3201" s="740">
        <f t="shared" si="400"/>
        <v>0</v>
      </c>
      <c r="Z3201" s="847"/>
      <c r="AA3201" s="847"/>
      <c r="AB3201" s="741">
        <f t="shared" si="401"/>
        <v>0</v>
      </c>
      <c r="AC3201" s="846"/>
      <c r="AD3201" s="847"/>
      <c r="AE3201" s="846"/>
      <c r="AF3201" s="846"/>
      <c r="AG3201" s="847"/>
      <c r="AH3201" s="847"/>
      <c r="AI3201" s="742">
        <f t="shared" si="405"/>
        <v>0</v>
      </c>
      <c r="AJ3201" s="743">
        <f t="shared" si="406"/>
        <v>0</v>
      </c>
    </row>
    <row r="3202" spans="1:36">
      <c r="A3202" s="1041" t="s">
        <v>157</v>
      </c>
      <c r="B3202" s="951" t="s">
        <v>292</v>
      </c>
      <c r="C3202" s="971" t="s">
        <v>34</v>
      </c>
      <c r="D3202" s="972"/>
      <c r="E3202" s="1039"/>
      <c r="F3202" s="1040"/>
      <c r="G3202" s="846"/>
      <c r="H3202" s="847"/>
      <c r="I3202" s="846"/>
      <c r="J3202" s="847"/>
      <c r="K3202" s="846"/>
      <c r="L3202" s="847"/>
      <c r="M3202" s="846"/>
      <c r="N3202" s="846"/>
      <c r="O3202" s="737">
        <f t="shared" si="399"/>
        <v>0</v>
      </c>
      <c r="P3202" s="847"/>
      <c r="Q3202" s="847"/>
      <c r="R3202" s="738">
        <f t="shared" si="402"/>
        <v>0</v>
      </c>
      <c r="S3202" s="737">
        <f t="shared" si="403"/>
        <v>0</v>
      </c>
      <c r="T3202" s="739">
        <f t="shared" si="404"/>
        <v>0</v>
      </c>
      <c r="U3202" s="846"/>
      <c r="V3202" s="847"/>
      <c r="W3202" s="846"/>
      <c r="X3202" s="846"/>
      <c r="Y3202" s="740">
        <f t="shared" si="400"/>
        <v>0</v>
      </c>
      <c r="Z3202" s="847"/>
      <c r="AA3202" s="847"/>
      <c r="AB3202" s="741">
        <f t="shared" si="401"/>
        <v>0</v>
      </c>
      <c r="AC3202" s="846"/>
      <c r="AD3202" s="847"/>
      <c r="AE3202" s="846"/>
      <c r="AF3202" s="846"/>
      <c r="AG3202" s="847"/>
      <c r="AH3202" s="847"/>
      <c r="AI3202" s="742">
        <f t="shared" si="405"/>
        <v>0</v>
      </c>
      <c r="AJ3202" s="743">
        <f t="shared" si="406"/>
        <v>0</v>
      </c>
    </row>
    <row r="3203" spans="1:36">
      <c r="A3203" s="1041" t="s">
        <v>157</v>
      </c>
      <c r="B3203" s="951" t="s">
        <v>292</v>
      </c>
      <c r="C3203" s="973" t="s">
        <v>888</v>
      </c>
      <c r="D3203" s="957"/>
      <c r="E3203" s="1039"/>
      <c r="F3203" s="1040"/>
      <c r="G3203" s="846"/>
      <c r="H3203" s="847"/>
      <c r="I3203" s="846"/>
      <c r="J3203" s="847"/>
      <c r="K3203" s="846"/>
      <c r="L3203" s="847"/>
      <c r="M3203" s="846"/>
      <c r="N3203" s="846"/>
      <c r="O3203" s="737">
        <f t="shared" si="399"/>
        <v>0</v>
      </c>
      <c r="P3203" s="847"/>
      <c r="Q3203" s="847"/>
      <c r="R3203" s="738">
        <f t="shared" si="402"/>
        <v>0</v>
      </c>
      <c r="S3203" s="737">
        <f t="shared" si="403"/>
        <v>0</v>
      </c>
      <c r="T3203" s="739">
        <f t="shared" si="404"/>
        <v>0</v>
      </c>
      <c r="U3203" s="846"/>
      <c r="V3203" s="847"/>
      <c r="W3203" s="846"/>
      <c r="X3203" s="846"/>
      <c r="Y3203" s="740">
        <f t="shared" si="400"/>
        <v>0</v>
      </c>
      <c r="Z3203" s="847"/>
      <c r="AA3203" s="847"/>
      <c r="AB3203" s="741">
        <f t="shared" si="401"/>
        <v>0</v>
      </c>
      <c r="AC3203" s="846"/>
      <c r="AD3203" s="847"/>
      <c r="AE3203" s="846"/>
      <c r="AF3203" s="846"/>
      <c r="AG3203" s="847"/>
      <c r="AH3203" s="847"/>
      <c r="AI3203" s="742">
        <f t="shared" si="405"/>
        <v>0</v>
      </c>
      <c r="AJ3203" s="743">
        <f t="shared" si="406"/>
        <v>0</v>
      </c>
    </row>
    <row r="3204" spans="1:36">
      <c r="A3204" s="1041" t="s">
        <v>157</v>
      </c>
      <c r="B3204" s="985" t="s">
        <v>209</v>
      </c>
      <c r="C3204" s="974" t="s">
        <v>889</v>
      </c>
      <c r="D3204" s="975"/>
      <c r="E3204" s="969"/>
      <c r="F3204" s="1042"/>
      <c r="G3204" s="846"/>
      <c r="H3204" s="847"/>
      <c r="I3204" s="846"/>
      <c r="J3204" s="847"/>
      <c r="K3204" s="846"/>
      <c r="L3204" s="847"/>
      <c r="M3204" s="846"/>
      <c r="N3204" s="846"/>
      <c r="O3204" s="737">
        <f t="shared" si="399"/>
        <v>0</v>
      </c>
      <c r="P3204" s="847"/>
      <c r="Q3204" s="847"/>
      <c r="R3204" s="738">
        <f t="shared" si="402"/>
        <v>0</v>
      </c>
      <c r="S3204" s="737">
        <f t="shared" si="403"/>
        <v>0</v>
      </c>
      <c r="T3204" s="739">
        <f t="shared" si="404"/>
        <v>0</v>
      </c>
      <c r="U3204" s="846"/>
      <c r="V3204" s="847"/>
      <c r="W3204" s="846"/>
      <c r="X3204" s="846"/>
      <c r="Y3204" s="740">
        <f t="shared" si="400"/>
        <v>0</v>
      </c>
      <c r="Z3204" s="847"/>
      <c r="AA3204" s="847"/>
      <c r="AB3204" s="741">
        <f t="shared" si="401"/>
        <v>0</v>
      </c>
      <c r="AC3204" s="846"/>
      <c r="AD3204" s="847"/>
      <c r="AE3204" s="846"/>
      <c r="AF3204" s="846"/>
      <c r="AG3204" s="847"/>
      <c r="AH3204" s="847"/>
      <c r="AI3204" s="742">
        <f t="shared" si="405"/>
        <v>0</v>
      </c>
      <c r="AJ3204" s="743">
        <f t="shared" si="406"/>
        <v>0</v>
      </c>
    </row>
    <row r="3205" spans="1:36">
      <c r="A3205" s="950" t="s">
        <v>157</v>
      </c>
      <c r="B3205" s="985" t="s">
        <v>210</v>
      </c>
      <c r="C3205" s="974" t="s">
        <v>311</v>
      </c>
      <c r="D3205" s="975"/>
      <c r="E3205" s="969"/>
      <c r="F3205" s="1042"/>
      <c r="G3205" s="846"/>
      <c r="H3205" s="847"/>
      <c r="I3205" s="846"/>
      <c r="J3205" s="847"/>
      <c r="K3205" s="846"/>
      <c r="L3205" s="847"/>
      <c r="M3205" s="846"/>
      <c r="N3205" s="846"/>
      <c r="O3205" s="737">
        <f t="shared" si="399"/>
        <v>0</v>
      </c>
      <c r="P3205" s="847"/>
      <c r="Q3205" s="847"/>
      <c r="R3205" s="738">
        <f t="shared" si="402"/>
        <v>0</v>
      </c>
      <c r="S3205" s="737">
        <f t="shared" si="403"/>
        <v>0</v>
      </c>
      <c r="T3205" s="739">
        <f t="shared" si="404"/>
        <v>0</v>
      </c>
      <c r="U3205" s="846">
        <v>33809522</v>
      </c>
      <c r="V3205" s="847">
        <v>33535814</v>
      </c>
      <c r="W3205" s="846"/>
      <c r="X3205" s="846"/>
      <c r="Y3205" s="740">
        <f t="shared" si="400"/>
        <v>0</v>
      </c>
      <c r="Z3205" s="847"/>
      <c r="AA3205" s="847"/>
      <c r="AB3205" s="741">
        <f t="shared" si="401"/>
        <v>0</v>
      </c>
      <c r="AC3205" s="846"/>
      <c r="AD3205" s="847"/>
      <c r="AE3205" s="846"/>
      <c r="AF3205" s="846"/>
      <c r="AG3205" s="847"/>
      <c r="AH3205" s="847"/>
      <c r="AI3205" s="742">
        <f t="shared" si="405"/>
        <v>33809522</v>
      </c>
      <c r="AJ3205" s="743">
        <f t="shared" si="406"/>
        <v>33535814</v>
      </c>
    </row>
    <row r="3206" spans="1:36">
      <c r="A3206" s="950" t="s">
        <v>157</v>
      </c>
      <c r="B3206" s="985" t="s">
        <v>204</v>
      </c>
      <c r="C3206" s="974" t="s">
        <v>249</v>
      </c>
      <c r="D3206" s="975"/>
      <c r="E3206" s="969"/>
      <c r="F3206" s="1042"/>
      <c r="G3206" s="846"/>
      <c r="H3206" s="847"/>
      <c r="I3206" s="846"/>
      <c r="J3206" s="847"/>
      <c r="K3206" s="846"/>
      <c r="L3206" s="847"/>
      <c r="M3206" s="846"/>
      <c r="N3206" s="846"/>
      <c r="O3206" s="737">
        <f t="shared" si="399"/>
        <v>0</v>
      </c>
      <c r="P3206" s="847"/>
      <c r="Q3206" s="847"/>
      <c r="R3206" s="738">
        <f t="shared" si="402"/>
        <v>0</v>
      </c>
      <c r="S3206" s="737">
        <f t="shared" si="403"/>
        <v>0</v>
      </c>
      <c r="T3206" s="739">
        <f t="shared" si="404"/>
        <v>0</v>
      </c>
      <c r="U3206" s="846"/>
      <c r="V3206" s="847"/>
      <c r="W3206" s="846"/>
      <c r="X3206" s="846"/>
      <c r="Y3206" s="740">
        <f t="shared" si="400"/>
        <v>0</v>
      </c>
      <c r="Z3206" s="847"/>
      <c r="AA3206" s="847"/>
      <c r="AB3206" s="741">
        <f t="shared" si="401"/>
        <v>0</v>
      </c>
      <c r="AC3206" s="846"/>
      <c r="AD3206" s="847"/>
      <c r="AE3206" s="846"/>
      <c r="AF3206" s="846"/>
      <c r="AG3206" s="847"/>
      <c r="AH3206" s="847"/>
      <c r="AI3206" s="742">
        <f t="shared" si="405"/>
        <v>0</v>
      </c>
      <c r="AJ3206" s="743">
        <f t="shared" si="406"/>
        <v>0</v>
      </c>
    </row>
    <row r="3207" spans="1:36">
      <c r="A3207" s="950" t="s">
        <v>157</v>
      </c>
      <c r="B3207" s="951" t="s">
        <v>205</v>
      </c>
      <c r="C3207" s="974" t="s">
        <v>890</v>
      </c>
      <c r="D3207" s="975"/>
      <c r="E3207" s="969"/>
      <c r="F3207" s="1042"/>
      <c r="G3207" s="846"/>
      <c r="H3207" s="847"/>
      <c r="I3207" s="846"/>
      <c r="J3207" s="847"/>
      <c r="K3207" s="846"/>
      <c r="L3207" s="847"/>
      <c r="M3207" s="846"/>
      <c r="N3207" s="846"/>
      <c r="O3207" s="737">
        <f t="shared" si="399"/>
        <v>0</v>
      </c>
      <c r="P3207" s="847"/>
      <c r="Q3207" s="847"/>
      <c r="R3207" s="738">
        <f t="shared" si="402"/>
        <v>0</v>
      </c>
      <c r="S3207" s="737">
        <f t="shared" si="403"/>
        <v>0</v>
      </c>
      <c r="T3207" s="739">
        <f t="shared" si="404"/>
        <v>0</v>
      </c>
      <c r="U3207" s="846"/>
      <c r="V3207" s="847"/>
      <c r="W3207" s="846"/>
      <c r="X3207" s="846"/>
      <c r="Y3207" s="740">
        <f t="shared" si="400"/>
        <v>0</v>
      </c>
      <c r="Z3207" s="847"/>
      <c r="AA3207" s="847"/>
      <c r="AB3207" s="741">
        <f t="shared" si="401"/>
        <v>0</v>
      </c>
      <c r="AC3207" s="846"/>
      <c r="AD3207" s="847"/>
      <c r="AE3207" s="846"/>
      <c r="AF3207" s="846"/>
      <c r="AG3207" s="847"/>
      <c r="AH3207" s="847"/>
      <c r="AI3207" s="742">
        <f t="shared" si="405"/>
        <v>0</v>
      </c>
      <c r="AJ3207" s="743">
        <f t="shared" si="406"/>
        <v>0</v>
      </c>
    </row>
    <row r="3208" spans="1:36">
      <c r="A3208" s="950" t="s">
        <v>157</v>
      </c>
      <c r="B3208" s="985" t="s">
        <v>218</v>
      </c>
      <c r="C3208" s="974" t="s">
        <v>311</v>
      </c>
      <c r="D3208" s="975"/>
      <c r="E3208" s="969"/>
      <c r="F3208" s="1042"/>
      <c r="G3208" s="846"/>
      <c r="H3208" s="847"/>
      <c r="I3208" s="846"/>
      <c r="J3208" s="847"/>
      <c r="K3208" s="846"/>
      <c r="L3208" s="847"/>
      <c r="M3208" s="846"/>
      <c r="N3208" s="846"/>
      <c r="O3208" s="737">
        <f t="shared" si="399"/>
        <v>0</v>
      </c>
      <c r="P3208" s="847"/>
      <c r="Q3208" s="847"/>
      <c r="R3208" s="738">
        <f t="shared" si="402"/>
        <v>0</v>
      </c>
      <c r="S3208" s="737">
        <f t="shared" si="403"/>
        <v>0</v>
      </c>
      <c r="T3208" s="739">
        <f t="shared" si="404"/>
        <v>0</v>
      </c>
      <c r="U3208" s="846">
        <v>4359412</v>
      </c>
      <c r="V3208" s="847">
        <v>4730632</v>
      </c>
      <c r="W3208" s="846"/>
      <c r="X3208" s="846"/>
      <c r="Y3208" s="740">
        <f t="shared" si="400"/>
        <v>0</v>
      </c>
      <c r="Z3208" s="847"/>
      <c r="AA3208" s="847"/>
      <c r="AB3208" s="741">
        <f t="shared" si="401"/>
        <v>0</v>
      </c>
      <c r="AC3208" s="846"/>
      <c r="AD3208" s="847"/>
      <c r="AE3208" s="846"/>
      <c r="AF3208" s="846"/>
      <c r="AG3208" s="847"/>
      <c r="AH3208" s="847"/>
      <c r="AI3208" s="742">
        <f t="shared" si="405"/>
        <v>4359412</v>
      </c>
      <c r="AJ3208" s="743">
        <f t="shared" si="406"/>
        <v>4730632</v>
      </c>
    </row>
    <row r="3209" spans="1:36">
      <c r="A3209" s="950" t="s">
        <v>157</v>
      </c>
      <c r="B3209" s="985" t="s">
        <v>219</v>
      </c>
      <c r="C3209" s="974" t="s">
        <v>249</v>
      </c>
      <c r="D3209" s="975"/>
      <c r="E3209" s="969"/>
      <c r="F3209" s="1042"/>
      <c r="G3209" s="846"/>
      <c r="H3209" s="847"/>
      <c r="I3209" s="846"/>
      <c r="J3209" s="847"/>
      <c r="K3209" s="846"/>
      <c r="L3209" s="847"/>
      <c r="M3209" s="846"/>
      <c r="N3209" s="846"/>
      <c r="O3209" s="737">
        <f t="shared" si="399"/>
        <v>0</v>
      </c>
      <c r="P3209" s="847"/>
      <c r="Q3209" s="847"/>
      <c r="R3209" s="738">
        <f t="shared" si="402"/>
        <v>0</v>
      </c>
      <c r="S3209" s="737">
        <f t="shared" si="403"/>
        <v>0</v>
      </c>
      <c r="T3209" s="739">
        <f t="shared" si="404"/>
        <v>0</v>
      </c>
      <c r="U3209" s="846"/>
      <c r="V3209" s="847"/>
      <c r="W3209" s="846"/>
      <c r="X3209" s="846"/>
      <c r="Y3209" s="740">
        <f t="shared" si="400"/>
        <v>0</v>
      </c>
      <c r="Z3209" s="847"/>
      <c r="AA3209" s="847"/>
      <c r="AB3209" s="741">
        <f t="shared" si="401"/>
        <v>0</v>
      </c>
      <c r="AC3209" s="846"/>
      <c r="AD3209" s="847"/>
      <c r="AE3209" s="846"/>
      <c r="AF3209" s="846"/>
      <c r="AG3209" s="847"/>
      <c r="AH3209" s="847"/>
      <c r="AI3209" s="742">
        <f t="shared" si="405"/>
        <v>0</v>
      </c>
      <c r="AJ3209" s="743">
        <f t="shared" si="406"/>
        <v>0</v>
      </c>
    </row>
    <row r="3210" spans="1:36">
      <c r="A3210" s="950" t="s">
        <v>157</v>
      </c>
      <c r="B3210" s="951" t="s">
        <v>292</v>
      </c>
      <c r="C3210" s="973" t="s">
        <v>891</v>
      </c>
      <c r="D3210" s="957"/>
      <c r="E3210" s="969"/>
      <c r="F3210" s="1042"/>
      <c r="G3210" s="846"/>
      <c r="H3210" s="847"/>
      <c r="I3210" s="846"/>
      <c r="J3210" s="847"/>
      <c r="K3210" s="846"/>
      <c r="L3210" s="847"/>
      <c r="M3210" s="846"/>
      <c r="N3210" s="846"/>
      <c r="O3210" s="737">
        <f t="shared" ref="O3210:O3273" si="407">SUM(M3210:N3210)</f>
        <v>0</v>
      </c>
      <c r="P3210" s="847"/>
      <c r="Q3210" s="847"/>
      <c r="R3210" s="738">
        <f t="shared" si="402"/>
        <v>0</v>
      </c>
      <c r="S3210" s="737">
        <f t="shared" si="403"/>
        <v>0</v>
      </c>
      <c r="T3210" s="739">
        <f t="shared" si="404"/>
        <v>0</v>
      </c>
      <c r="U3210" s="846"/>
      <c r="V3210" s="847"/>
      <c r="W3210" s="846"/>
      <c r="X3210" s="846"/>
      <c r="Y3210" s="740">
        <f t="shared" ref="Y3210:Y3273" si="408">SUM(W3210:X3210)</f>
        <v>0</v>
      </c>
      <c r="Z3210" s="847"/>
      <c r="AA3210" s="847"/>
      <c r="AB3210" s="741">
        <f t="shared" ref="AB3210:AB3273" si="409">SUM(Z3210:AA3210)</f>
        <v>0</v>
      </c>
      <c r="AC3210" s="846"/>
      <c r="AD3210" s="847"/>
      <c r="AE3210" s="846"/>
      <c r="AF3210" s="846"/>
      <c r="AG3210" s="847"/>
      <c r="AH3210" s="847"/>
      <c r="AI3210" s="742">
        <f t="shared" si="405"/>
        <v>0</v>
      </c>
      <c r="AJ3210" s="743">
        <f t="shared" si="406"/>
        <v>0</v>
      </c>
    </row>
    <row r="3211" spans="1:36">
      <c r="A3211" s="950" t="s">
        <v>157</v>
      </c>
      <c r="B3211" s="985" t="s">
        <v>209</v>
      </c>
      <c r="C3211" s="974" t="s">
        <v>889</v>
      </c>
      <c r="D3211" s="975"/>
      <c r="E3211" s="969"/>
      <c r="F3211" s="1042"/>
      <c r="G3211" s="846"/>
      <c r="H3211" s="847"/>
      <c r="I3211" s="846"/>
      <c r="J3211" s="847"/>
      <c r="K3211" s="846"/>
      <c r="L3211" s="847"/>
      <c r="M3211" s="846"/>
      <c r="N3211" s="846"/>
      <c r="O3211" s="737">
        <f t="shared" si="407"/>
        <v>0</v>
      </c>
      <c r="P3211" s="847"/>
      <c r="Q3211" s="847"/>
      <c r="R3211" s="738">
        <f t="shared" ref="R3211:R3274" si="410">SUM(P3211:Q3211)</f>
        <v>0</v>
      </c>
      <c r="S3211" s="737">
        <f t="shared" ref="S3211:S3274" si="411">SUM(G3211,I3211,K3211,M3211)</f>
        <v>0</v>
      </c>
      <c r="T3211" s="739">
        <f t="shared" ref="T3211:T3274" si="412">SUM(H3211,J3211,L3211,P3211)</f>
        <v>0</v>
      </c>
      <c r="U3211" s="846"/>
      <c r="V3211" s="847"/>
      <c r="W3211" s="846"/>
      <c r="X3211" s="846"/>
      <c r="Y3211" s="740">
        <f t="shared" si="408"/>
        <v>0</v>
      </c>
      <c r="Z3211" s="847"/>
      <c r="AA3211" s="847"/>
      <c r="AB3211" s="741">
        <f t="shared" si="409"/>
        <v>0</v>
      </c>
      <c r="AC3211" s="846"/>
      <c r="AD3211" s="847"/>
      <c r="AE3211" s="846"/>
      <c r="AF3211" s="846"/>
      <c r="AG3211" s="847"/>
      <c r="AH3211" s="847"/>
      <c r="AI3211" s="742">
        <f t="shared" ref="AI3211:AI3274" si="413">SUM(S3211,U3211,W3211,AC3211,AE3211)</f>
        <v>0</v>
      </c>
      <c r="AJ3211" s="743">
        <f t="shared" ref="AJ3211:AJ3274" si="414">SUM(T3211,V3211,Z3211,AD3211,AG3211)</f>
        <v>0</v>
      </c>
    </row>
    <row r="3212" spans="1:36">
      <c r="A3212" s="950" t="s">
        <v>157</v>
      </c>
      <c r="B3212" s="985" t="s">
        <v>210</v>
      </c>
      <c r="C3212" s="974" t="s">
        <v>311</v>
      </c>
      <c r="D3212" s="975"/>
      <c r="E3212" s="969"/>
      <c r="F3212" s="1042"/>
      <c r="G3212" s="846"/>
      <c r="H3212" s="847"/>
      <c r="I3212" s="846"/>
      <c r="J3212" s="847"/>
      <c r="K3212" s="846"/>
      <c r="L3212" s="847"/>
      <c r="M3212" s="846"/>
      <c r="N3212" s="846"/>
      <c r="O3212" s="737">
        <f t="shared" si="407"/>
        <v>0</v>
      </c>
      <c r="P3212" s="847"/>
      <c r="Q3212" s="847"/>
      <c r="R3212" s="738">
        <f t="shared" si="410"/>
        <v>0</v>
      </c>
      <c r="S3212" s="737">
        <f t="shared" si="411"/>
        <v>0</v>
      </c>
      <c r="T3212" s="739">
        <f t="shared" si="412"/>
        <v>0</v>
      </c>
      <c r="U3212" s="846"/>
      <c r="V3212" s="847"/>
      <c r="W3212" s="846"/>
      <c r="X3212" s="846"/>
      <c r="Y3212" s="740">
        <f t="shared" si="408"/>
        <v>0</v>
      </c>
      <c r="Z3212" s="847"/>
      <c r="AA3212" s="847"/>
      <c r="AB3212" s="741">
        <f t="shared" si="409"/>
        <v>0</v>
      </c>
      <c r="AC3212" s="846"/>
      <c r="AD3212" s="847"/>
      <c r="AE3212" s="846"/>
      <c r="AF3212" s="846"/>
      <c r="AG3212" s="847"/>
      <c r="AH3212" s="847"/>
      <c r="AI3212" s="742">
        <f t="shared" si="413"/>
        <v>0</v>
      </c>
      <c r="AJ3212" s="743">
        <f t="shared" si="414"/>
        <v>0</v>
      </c>
    </row>
    <row r="3213" spans="1:36">
      <c r="A3213" s="950" t="s">
        <v>157</v>
      </c>
      <c r="B3213" s="985" t="s">
        <v>204</v>
      </c>
      <c r="C3213" s="974" t="s">
        <v>249</v>
      </c>
      <c r="D3213" s="975"/>
      <c r="E3213" s="969"/>
      <c r="F3213" s="1042"/>
      <c r="G3213" s="846"/>
      <c r="H3213" s="847"/>
      <c r="I3213" s="846"/>
      <c r="J3213" s="847"/>
      <c r="K3213" s="846"/>
      <c r="L3213" s="847"/>
      <c r="M3213" s="846"/>
      <c r="N3213" s="846"/>
      <c r="O3213" s="737">
        <f t="shared" si="407"/>
        <v>0</v>
      </c>
      <c r="P3213" s="847"/>
      <c r="Q3213" s="847"/>
      <c r="R3213" s="738">
        <f t="shared" si="410"/>
        <v>0</v>
      </c>
      <c r="S3213" s="737">
        <f t="shared" si="411"/>
        <v>0</v>
      </c>
      <c r="T3213" s="739">
        <f t="shared" si="412"/>
        <v>0</v>
      </c>
      <c r="U3213" s="846">
        <v>41989420</v>
      </c>
      <c r="V3213" s="847">
        <v>42020426</v>
      </c>
      <c r="W3213" s="846"/>
      <c r="X3213" s="846"/>
      <c r="Y3213" s="740">
        <f t="shared" si="408"/>
        <v>0</v>
      </c>
      <c r="Z3213" s="847"/>
      <c r="AA3213" s="847"/>
      <c r="AB3213" s="741">
        <f t="shared" si="409"/>
        <v>0</v>
      </c>
      <c r="AC3213" s="846"/>
      <c r="AD3213" s="847"/>
      <c r="AE3213" s="846"/>
      <c r="AF3213" s="846"/>
      <c r="AG3213" s="847"/>
      <c r="AH3213" s="847"/>
      <c r="AI3213" s="742">
        <f t="shared" si="413"/>
        <v>41989420</v>
      </c>
      <c r="AJ3213" s="743">
        <f t="shared" si="414"/>
        <v>42020426</v>
      </c>
    </row>
    <row r="3214" spans="1:36">
      <c r="A3214" s="950" t="s">
        <v>157</v>
      </c>
      <c r="B3214" s="951" t="s">
        <v>205</v>
      </c>
      <c r="C3214" s="974" t="s">
        <v>890</v>
      </c>
      <c r="D3214" s="975"/>
      <c r="E3214" s="969"/>
      <c r="F3214" s="1042"/>
      <c r="G3214" s="846"/>
      <c r="H3214" s="847"/>
      <c r="I3214" s="846"/>
      <c r="J3214" s="847"/>
      <c r="K3214" s="846"/>
      <c r="L3214" s="847"/>
      <c r="M3214" s="846"/>
      <c r="N3214" s="846"/>
      <c r="O3214" s="737">
        <f t="shared" si="407"/>
        <v>0</v>
      </c>
      <c r="P3214" s="847"/>
      <c r="Q3214" s="847"/>
      <c r="R3214" s="738">
        <f t="shared" si="410"/>
        <v>0</v>
      </c>
      <c r="S3214" s="737">
        <f t="shared" si="411"/>
        <v>0</v>
      </c>
      <c r="T3214" s="739">
        <f t="shared" si="412"/>
        <v>0</v>
      </c>
      <c r="U3214" s="846"/>
      <c r="V3214" s="847"/>
      <c r="W3214" s="846"/>
      <c r="X3214" s="846"/>
      <c r="Y3214" s="740">
        <f t="shared" si="408"/>
        <v>0</v>
      </c>
      <c r="Z3214" s="847"/>
      <c r="AA3214" s="847"/>
      <c r="AB3214" s="741">
        <f t="shared" si="409"/>
        <v>0</v>
      </c>
      <c r="AC3214" s="846"/>
      <c r="AD3214" s="847"/>
      <c r="AE3214" s="846"/>
      <c r="AF3214" s="846"/>
      <c r="AG3214" s="847"/>
      <c r="AH3214" s="847"/>
      <c r="AI3214" s="742">
        <f t="shared" si="413"/>
        <v>0</v>
      </c>
      <c r="AJ3214" s="743">
        <f t="shared" si="414"/>
        <v>0</v>
      </c>
    </row>
    <row r="3215" spans="1:36">
      <c r="A3215" s="950" t="s">
        <v>157</v>
      </c>
      <c r="B3215" s="985" t="s">
        <v>218</v>
      </c>
      <c r="C3215" s="974" t="s">
        <v>311</v>
      </c>
      <c r="D3215" s="975"/>
      <c r="E3215" s="969"/>
      <c r="F3215" s="1042"/>
      <c r="G3215" s="846"/>
      <c r="H3215" s="847"/>
      <c r="I3215" s="846"/>
      <c r="J3215" s="847"/>
      <c r="K3215" s="846"/>
      <c r="L3215" s="847"/>
      <c r="M3215" s="846"/>
      <c r="N3215" s="846"/>
      <c r="O3215" s="737">
        <f t="shared" si="407"/>
        <v>0</v>
      </c>
      <c r="P3215" s="847"/>
      <c r="Q3215" s="847"/>
      <c r="R3215" s="738">
        <f t="shared" si="410"/>
        <v>0</v>
      </c>
      <c r="S3215" s="737">
        <f t="shared" si="411"/>
        <v>0</v>
      </c>
      <c r="T3215" s="739">
        <f t="shared" si="412"/>
        <v>0</v>
      </c>
      <c r="U3215" s="846"/>
      <c r="V3215" s="847"/>
      <c r="W3215" s="846"/>
      <c r="X3215" s="846"/>
      <c r="Y3215" s="740">
        <f t="shared" si="408"/>
        <v>0</v>
      </c>
      <c r="Z3215" s="847"/>
      <c r="AA3215" s="847"/>
      <c r="AB3215" s="741">
        <f t="shared" si="409"/>
        <v>0</v>
      </c>
      <c r="AC3215" s="846"/>
      <c r="AD3215" s="847"/>
      <c r="AE3215" s="846"/>
      <c r="AF3215" s="846"/>
      <c r="AG3215" s="847"/>
      <c r="AH3215" s="847"/>
      <c r="AI3215" s="742">
        <f t="shared" si="413"/>
        <v>0</v>
      </c>
      <c r="AJ3215" s="743">
        <f t="shared" si="414"/>
        <v>0</v>
      </c>
    </row>
    <row r="3216" spans="1:36">
      <c r="A3216" s="950" t="s">
        <v>157</v>
      </c>
      <c r="B3216" s="985" t="s">
        <v>219</v>
      </c>
      <c r="C3216" s="974" t="s">
        <v>249</v>
      </c>
      <c r="D3216" s="975"/>
      <c r="E3216" s="969"/>
      <c r="F3216" s="1042"/>
      <c r="G3216" s="846"/>
      <c r="H3216" s="847"/>
      <c r="I3216" s="846"/>
      <c r="J3216" s="847"/>
      <c r="K3216" s="846"/>
      <c r="L3216" s="847"/>
      <c r="M3216" s="846"/>
      <c r="N3216" s="846"/>
      <c r="O3216" s="737">
        <f t="shared" si="407"/>
        <v>0</v>
      </c>
      <c r="P3216" s="847"/>
      <c r="Q3216" s="847"/>
      <c r="R3216" s="738">
        <f t="shared" si="410"/>
        <v>0</v>
      </c>
      <c r="S3216" s="737">
        <f t="shared" si="411"/>
        <v>0</v>
      </c>
      <c r="T3216" s="739">
        <f t="shared" si="412"/>
        <v>0</v>
      </c>
      <c r="U3216" s="846">
        <v>4908107</v>
      </c>
      <c r="V3216" s="847">
        <v>4843411</v>
      </c>
      <c r="W3216" s="846"/>
      <c r="X3216" s="846"/>
      <c r="Y3216" s="740">
        <f t="shared" si="408"/>
        <v>0</v>
      </c>
      <c r="Z3216" s="847"/>
      <c r="AA3216" s="847"/>
      <c r="AB3216" s="741">
        <f t="shared" si="409"/>
        <v>0</v>
      </c>
      <c r="AC3216" s="846"/>
      <c r="AD3216" s="847"/>
      <c r="AE3216" s="846"/>
      <c r="AF3216" s="846"/>
      <c r="AG3216" s="847"/>
      <c r="AH3216" s="847"/>
      <c r="AI3216" s="742">
        <f t="shared" si="413"/>
        <v>4908107</v>
      </c>
      <c r="AJ3216" s="743">
        <f t="shared" si="414"/>
        <v>4843411</v>
      </c>
    </row>
    <row r="3217" spans="1:36">
      <c r="A3217" s="950" t="s">
        <v>157</v>
      </c>
      <c r="B3217" s="951" t="s">
        <v>292</v>
      </c>
      <c r="C3217" s="973" t="s">
        <v>892</v>
      </c>
      <c r="D3217" s="957"/>
      <c r="E3217" s="1039"/>
      <c r="F3217" s="1040"/>
      <c r="G3217" s="846"/>
      <c r="H3217" s="847"/>
      <c r="I3217" s="846"/>
      <c r="J3217" s="847"/>
      <c r="K3217" s="846"/>
      <c r="L3217" s="847"/>
      <c r="M3217" s="846"/>
      <c r="N3217" s="846"/>
      <c r="O3217" s="737">
        <f t="shared" si="407"/>
        <v>0</v>
      </c>
      <c r="P3217" s="847"/>
      <c r="Q3217" s="847"/>
      <c r="R3217" s="738">
        <f t="shared" si="410"/>
        <v>0</v>
      </c>
      <c r="S3217" s="737">
        <f t="shared" si="411"/>
        <v>0</v>
      </c>
      <c r="T3217" s="739">
        <f t="shared" si="412"/>
        <v>0</v>
      </c>
      <c r="U3217" s="846"/>
      <c r="V3217" s="847"/>
      <c r="W3217" s="846"/>
      <c r="X3217" s="846"/>
      <c r="Y3217" s="740">
        <f t="shared" si="408"/>
        <v>0</v>
      </c>
      <c r="Z3217" s="847"/>
      <c r="AA3217" s="847"/>
      <c r="AB3217" s="741">
        <f t="shared" si="409"/>
        <v>0</v>
      </c>
      <c r="AC3217" s="846"/>
      <c r="AD3217" s="847"/>
      <c r="AE3217" s="846"/>
      <c r="AF3217" s="846"/>
      <c r="AG3217" s="847"/>
      <c r="AH3217" s="847"/>
      <c r="AI3217" s="742">
        <f t="shared" si="413"/>
        <v>0</v>
      </c>
      <c r="AJ3217" s="743">
        <f t="shared" si="414"/>
        <v>0</v>
      </c>
    </row>
    <row r="3218" spans="1:36">
      <c r="A3218" s="950" t="s">
        <v>157</v>
      </c>
      <c r="B3218" s="985" t="s">
        <v>209</v>
      </c>
      <c r="C3218" s="974" t="s">
        <v>889</v>
      </c>
      <c r="D3218" s="975"/>
      <c r="E3218" s="969"/>
      <c r="F3218" s="1042"/>
      <c r="G3218" s="846"/>
      <c r="H3218" s="847"/>
      <c r="I3218" s="846"/>
      <c r="J3218" s="847"/>
      <c r="K3218" s="846"/>
      <c r="L3218" s="847"/>
      <c r="M3218" s="846"/>
      <c r="N3218" s="846"/>
      <c r="O3218" s="737">
        <f t="shared" si="407"/>
        <v>0</v>
      </c>
      <c r="P3218" s="847"/>
      <c r="Q3218" s="847"/>
      <c r="R3218" s="738">
        <f t="shared" si="410"/>
        <v>0</v>
      </c>
      <c r="S3218" s="737">
        <f t="shared" si="411"/>
        <v>0</v>
      </c>
      <c r="T3218" s="739">
        <f t="shared" si="412"/>
        <v>0</v>
      </c>
      <c r="U3218" s="846"/>
      <c r="V3218" s="847"/>
      <c r="W3218" s="846"/>
      <c r="X3218" s="846"/>
      <c r="Y3218" s="740">
        <f t="shared" si="408"/>
        <v>0</v>
      </c>
      <c r="Z3218" s="847"/>
      <c r="AA3218" s="847"/>
      <c r="AB3218" s="741">
        <f t="shared" si="409"/>
        <v>0</v>
      </c>
      <c r="AC3218" s="846"/>
      <c r="AD3218" s="847"/>
      <c r="AE3218" s="846"/>
      <c r="AF3218" s="846"/>
      <c r="AG3218" s="847"/>
      <c r="AH3218" s="847"/>
      <c r="AI3218" s="742">
        <f t="shared" si="413"/>
        <v>0</v>
      </c>
      <c r="AJ3218" s="743">
        <f t="shared" si="414"/>
        <v>0</v>
      </c>
    </row>
    <row r="3219" spans="1:36">
      <c r="A3219" s="950" t="s">
        <v>157</v>
      </c>
      <c r="B3219" s="985" t="s">
        <v>210</v>
      </c>
      <c r="C3219" s="974" t="s">
        <v>311</v>
      </c>
      <c r="D3219" s="975"/>
      <c r="E3219" s="969"/>
      <c r="F3219" s="1042"/>
      <c r="G3219" s="846"/>
      <c r="H3219" s="847"/>
      <c r="I3219" s="846"/>
      <c r="J3219" s="847"/>
      <c r="K3219" s="846"/>
      <c r="L3219" s="847"/>
      <c r="M3219" s="846"/>
      <c r="N3219" s="846"/>
      <c r="O3219" s="737">
        <f t="shared" si="407"/>
        <v>0</v>
      </c>
      <c r="P3219" s="847"/>
      <c r="Q3219" s="847"/>
      <c r="R3219" s="738">
        <f t="shared" si="410"/>
        <v>0</v>
      </c>
      <c r="S3219" s="737">
        <f t="shared" si="411"/>
        <v>0</v>
      </c>
      <c r="T3219" s="739">
        <f t="shared" si="412"/>
        <v>0</v>
      </c>
      <c r="U3219" s="846">
        <v>136586</v>
      </c>
      <c r="V3219" s="847">
        <v>131464</v>
      </c>
      <c r="W3219" s="846"/>
      <c r="X3219" s="846"/>
      <c r="Y3219" s="740">
        <f t="shared" si="408"/>
        <v>0</v>
      </c>
      <c r="Z3219" s="847"/>
      <c r="AA3219" s="847"/>
      <c r="AB3219" s="741">
        <f t="shared" si="409"/>
        <v>0</v>
      </c>
      <c r="AC3219" s="846"/>
      <c r="AD3219" s="847"/>
      <c r="AE3219" s="846"/>
      <c r="AF3219" s="846"/>
      <c r="AG3219" s="847"/>
      <c r="AH3219" s="847"/>
      <c r="AI3219" s="742">
        <f t="shared" si="413"/>
        <v>136586</v>
      </c>
      <c r="AJ3219" s="743">
        <f t="shared" si="414"/>
        <v>131464</v>
      </c>
    </row>
    <row r="3220" spans="1:36">
      <c r="A3220" s="950" t="s">
        <v>157</v>
      </c>
      <c r="B3220" s="985" t="s">
        <v>204</v>
      </c>
      <c r="C3220" s="974" t="s">
        <v>249</v>
      </c>
      <c r="D3220" s="975"/>
      <c r="E3220" s="969"/>
      <c r="F3220" s="1042"/>
      <c r="G3220" s="846"/>
      <c r="H3220" s="847"/>
      <c r="I3220" s="846"/>
      <c r="J3220" s="847"/>
      <c r="K3220" s="846"/>
      <c r="L3220" s="847"/>
      <c r="M3220" s="846"/>
      <c r="N3220" s="846"/>
      <c r="O3220" s="737">
        <f t="shared" si="407"/>
        <v>0</v>
      </c>
      <c r="P3220" s="847"/>
      <c r="Q3220" s="847"/>
      <c r="R3220" s="738">
        <f t="shared" si="410"/>
        <v>0</v>
      </c>
      <c r="S3220" s="737">
        <f t="shared" si="411"/>
        <v>0</v>
      </c>
      <c r="T3220" s="739">
        <f t="shared" si="412"/>
        <v>0</v>
      </c>
      <c r="U3220" s="846"/>
      <c r="V3220" s="847"/>
      <c r="W3220" s="846"/>
      <c r="X3220" s="846"/>
      <c r="Y3220" s="740">
        <f t="shared" si="408"/>
        <v>0</v>
      </c>
      <c r="Z3220" s="847"/>
      <c r="AA3220" s="847"/>
      <c r="AB3220" s="741">
        <f t="shared" si="409"/>
        <v>0</v>
      </c>
      <c r="AC3220" s="846"/>
      <c r="AD3220" s="847"/>
      <c r="AE3220" s="846"/>
      <c r="AF3220" s="846"/>
      <c r="AG3220" s="847"/>
      <c r="AH3220" s="847"/>
      <c r="AI3220" s="742">
        <f t="shared" si="413"/>
        <v>0</v>
      </c>
      <c r="AJ3220" s="743">
        <f t="shared" si="414"/>
        <v>0</v>
      </c>
    </row>
    <row r="3221" spans="1:36">
      <c r="A3221" s="950" t="s">
        <v>157</v>
      </c>
      <c r="B3221" s="951" t="s">
        <v>205</v>
      </c>
      <c r="C3221" s="974" t="s">
        <v>890</v>
      </c>
      <c r="D3221" s="975"/>
      <c r="E3221" s="969"/>
      <c r="F3221" s="1042"/>
      <c r="G3221" s="846"/>
      <c r="H3221" s="847"/>
      <c r="I3221" s="846"/>
      <c r="J3221" s="847"/>
      <c r="K3221" s="846"/>
      <c r="L3221" s="847"/>
      <c r="M3221" s="846"/>
      <c r="N3221" s="846"/>
      <c r="O3221" s="737">
        <f t="shared" si="407"/>
        <v>0</v>
      </c>
      <c r="P3221" s="847"/>
      <c r="Q3221" s="847"/>
      <c r="R3221" s="738">
        <f t="shared" si="410"/>
        <v>0</v>
      </c>
      <c r="S3221" s="737">
        <f t="shared" si="411"/>
        <v>0</v>
      </c>
      <c r="T3221" s="739">
        <f t="shared" si="412"/>
        <v>0</v>
      </c>
      <c r="U3221" s="846"/>
      <c r="V3221" s="847"/>
      <c r="W3221" s="846"/>
      <c r="X3221" s="846"/>
      <c r="Y3221" s="740">
        <f t="shared" si="408"/>
        <v>0</v>
      </c>
      <c r="Z3221" s="847"/>
      <c r="AA3221" s="847"/>
      <c r="AB3221" s="741">
        <f t="shared" si="409"/>
        <v>0</v>
      </c>
      <c r="AC3221" s="846"/>
      <c r="AD3221" s="847"/>
      <c r="AE3221" s="846"/>
      <c r="AF3221" s="846"/>
      <c r="AG3221" s="847"/>
      <c r="AH3221" s="847"/>
      <c r="AI3221" s="742">
        <f t="shared" si="413"/>
        <v>0</v>
      </c>
      <c r="AJ3221" s="743">
        <f t="shared" si="414"/>
        <v>0</v>
      </c>
    </row>
    <row r="3222" spans="1:36">
      <c r="A3222" s="950" t="s">
        <v>157</v>
      </c>
      <c r="B3222" s="985" t="s">
        <v>218</v>
      </c>
      <c r="C3222" s="974" t="s">
        <v>311</v>
      </c>
      <c r="D3222" s="975"/>
      <c r="E3222" s="969"/>
      <c r="F3222" s="1042"/>
      <c r="G3222" s="846"/>
      <c r="H3222" s="847"/>
      <c r="I3222" s="846"/>
      <c r="J3222" s="847"/>
      <c r="K3222" s="846"/>
      <c r="L3222" s="847"/>
      <c r="M3222" s="846"/>
      <c r="N3222" s="846"/>
      <c r="O3222" s="737">
        <f t="shared" si="407"/>
        <v>0</v>
      </c>
      <c r="P3222" s="847"/>
      <c r="Q3222" s="847"/>
      <c r="R3222" s="738">
        <f t="shared" si="410"/>
        <v>0</v>
      </c>
      <c r="S3222" s="737">
        <f t="shared" si="411"/>
        <v>0</v>
      </c>
      <c r="T3222" s="739">
        <f t="shared" si="412"/>
        <v>0</v>
      </c>
      <c r="U3222" s="846"/>
      <c r="V3222" s="847"/>
      <c r="W3222" s="846"/>
      <c r="X3222" s="846"/>
      <c r="Y3222" s="740">
        <f t="shared" si="408"/>
        <v>0</v>
      </c>
      <c r="Z3222" s="847"/>
      <c r="AA3222" s="847"/>
      <c r="AB3222" s="741">
        <f t="shared" si="409"/>
        <v>0</v>
      </c>
      <c r="AC3222" s="846"/>
      <c r="AD3222" s="847"/>
      <c r="AE3222" s="846"/>
      <c r="AF3222" s="846"/>
      <c r="AG3222" s="847"/>
      <c r="AH3222" s="847"/>
      <c r="AI3222" s="742">
        <f t="shared" si="413"/>
        <v>0</v>
      </c>
      <c r="AJ3222" s="743">
        <f t="shared" si="414"/>
        <v>0</v>
      </c>
    </row>
    <row r="3223" spans="1:36">
      <c r="A3223" s="950" t="s">
        <v>157</v>
      </c>
      <c r="B3223" s="985" t="s">
        <v>219</v>
      </c>
      <c r="C3223" s="974" t="s">
        <v>249</v>
      </c>
      <c r="D3223" s="975"/>
      <c r="E3223" s="969"/>
      <c r="F3223" s="1042"/>
      <c r="G3223" s="846"/>
      <c r="H3223" s="847"/>
      <c r="I3223" s="846"/>
      <c r="J3223" s="847"/>
      <c r="K3223" s="846"/>
      <c r="L3223" s="847"/>
      <c r="M3223" s="846"/>
      <c r="N3223" s="846"/>
      <c r="O3223" s="737">
        <f t="shared" si="407"/>
        <v>0</v>
      </c>
      <c r="P3223" s="847"/>
      <c r="Q3223" s="847"/>
      <c r="R3223" s="738">
        <f t="shared" si="410"/>
        <v>0</v>
      </c>
      <c r="S3223" s="737">
        <f t="shared" si="411"/>
        <v>0</v>
      </c>
      <c r="T3223" s="739">
        <f t="shared" si="412"/>
        <v>0</v>
      </c>
      <c r="U3223" s="846"/>
      <c r="V3223" s="847"/>
      <c r="W3223" s="846"/>
      <c r="X3223" s="846"/>
      <c r="Y3223" s="740">
        <f t="shared" si="408"/>
        <v>0</v>
      </c>
      <c r="Z3223" s="847"/>
      <c r="AA3223" s="847"/>
      <c r="AB3223" s="741">
        <f t="shared" si="409"/>
        <v>0</v>
      </c>
      <c r="AC3223" s="846"/>
      <c r="AD3223" s="847"/>
      <c r="AE3223" s="846"/>
      <c r="AF3223" s="846"/>
      <c r="AG3223" s="847"/>
      <c r="AH3223" s="847"/>
      <c r="AI3223" s="742">
        <f t="shared" si="413"/>
        <v>0</v>
      </c>
      <c r="AJ3223" s="743">
        <f t="shared" si="414"/>
        <v>0</v>
      </c>
    </row>
    <row r="3224" spans="1:36">
      <c r="A3224" s="950" t="s">
        <v>157</v>
      </c>
      <c r="B3224" s="951" t="s">
        <v>292</v>
      </c>
      <c r="C3224" s="973" t="s">
        <v>893</v>
      </c>
      <c r="D3224" s="957"/>
      <c r="E3224" s="1039"/>
      <c r="F3224" s="1040"/>
      <c r="G3224" s="846"/>
      <c r="H3224" s="847"/>
      <c r="I3224" s="846"/>
      <c r="J3224" s="847"/>
      <c r="K3224" s="846"/>
      <c r="L3224" s="847"/>
      <c r="M3224" s="846"/>
      <c r="N3224" s="846"/>
      <c r="O3224" s="737">
        <f t="shared" si="407"/>
        <v>0</v>
      </c>
      <c r="P3224" s="847"/>
      <c r="Q3224" s="847"/>
      <c r="R3224" s="738">
        <f t="shared" si="410"/>
        <v>0</v>
      </c>
      <c r="S3224" s="737">
        <f t="shared" si="411"/>
        <v>0</v>
      </c>
      <c r="T3224" s="739">
        <f t="shared" si="412"/>
        <v>0</v>
      </c>
      <c r="U3224" s="846"/>
      <c r="V3224" s="847"/>
      <c r="W3224" s="846"/>
      <c r="X3224" s="846"/>
      <c r="Y3224" s="740">
        <f t="shared" si="408"/>
        <v>0</v>
      </c>
      <c r="Z3224" s="847"/>
      <c r="AA3224" s="847"/>
      <c r="AB3224" s="741">
        <f t="shared" si="409"/>
        <v>0</v>
      </c>
      <c r="AC3224" s="846"/>
      <c r="AD3224" s="847"/>
      <c r="AE3224" s="846"/>
      <c r="AF3224" s="846"/>
      <c r="AG3224" s="847"/>
      <c r="AH3224" s="847"/>
      <c r="AI3224" s="742">
        <f t="shared" si="413"/>
        <v>0</v>
      </c>
      <c r="AJ3224" s="743">
        <f t="shared" si="414"/>
        <v>0</v>
      </c>
    </row>
    <row r="3225" spans="1:36">
      <c r="A3225" s="950" t="s">
        <v>157</v>
      </c>
      <c r="B3225" s="985" t="s">
        <v>209</v>
      </c>
      <c r="C3225" s="974" t="s">
        <v>889</v>
      </c>
      <c r="D3225" s="975"/>
      <c r="E3225" s="969"/>
      <c r="F3225" s="1042"/>
      <c r="G3225" s="846"/>
      <c r="H3225" s="847"/>
      <c r="I3225" s="846"/>
      <c r="J3225" s="847"/>
      <c r="K3225" s="846"/>
      <c r="L3225" s="847"/>
      <c r="M3225" s="846"/>
      <c r="N3225" s="846"/>
      <c r="O3225" s="737">
        <f t="shared" si="407"/>
        <v>0</v>
      </c>
      <c r="P3225" s="847"/>
      <c r="Q3225" s="847"/>
      <c r="R3225" s="738">
        <f t="shared" si="410"/>
        <v>0</v>
      </c>
      <c r="S3225" s="737">
        <f t="shared" si="411"/>
        <v>0</v>
      </c>
      <c r="T3225" s="739">
        <f t="shared" si="412"/>
        <v>0</v>
      </c>
      <c r="U3225" s="846"/>
      <c r="V3225" s="847"/>
      <c r="W3225" s="846"/>
      <c r="X3225" s="846"/>
      <c r="Y3225" s="740">
        <f t="shared" si="408"/>
        <v>0</v>
      </c>
      <c r="Z3225" s="847"/>
      <c r="AA3225" s="847"/>
      <c r="AB3225" s="741">
        <f t="shared" si="409"/>
        <v>0</v>
      </c>
      <c r="AC3225" s="846"/>
      <c r="AD3225" s="847"/>
      <c r="AE3225" s="846"/>
      <c r="AF3225" s="846"/>
      <c r="AG3225" s="847"/>
      <c r="AH3225" s="847"/>
      <c r="AI3225" s="742">
        <f t="shared" si="413"/>
        <v>0</v>
      </c>
      <c r="AJ3225" s="743">
        <f t="shared" si="414"/>
        <v>0</v>
      </c>
    </row>
    <row r="3226" spans="1:36">
      <c r="A3226" s="950" t="s">
        <v>157</v>
      </c>
      <c r="B3226" s="985" t="s">
        <v>210</v>
      </c>
      <c r="C3226" s="974" t="s">
        <v>311</v>
      </c>
      <c r="D3226" s="975"/>
      <c r="E3226" s="969"/>
      <c r="F3226" s="1042"/>
      <c r="G3226" s="846"/>
      <c r="H3226" s="847"/>
      <c r="I3226" s="846"/>
      <c r="J3226" s="847"/>
      <c r="K3226" s="846"/>
      <c r="L3226" s="847"/>
      <c r="M3226" s="846"/>
      <c r="N3226" s="846"/>
      <c r="O3226" s="737">
        <f t="shared" si="407"/>
        <v>0</v>
      </c>
      <c r="P3226" s="847"/>
      <c r="Q3226" s="847"/>
      <c r="R3226" s="738">
        <f t="shared" si="410"/>
        <v>0</v>
      </c>
      <c r="S3226" s="737">
        <f t="shared" si="411"/>
        <v>0</v>
      </c>
      <c r="T3226" s="739">
        <f t="shared" si="412"/>
        <v>0</v>
      </c>
      <c r="U3226" s="846"/>
      <c r="V3226" s="847"/>
      <c r="W3226" s="846"/>
      <c r="X3226" s="846"/>
      <c r="Y3226" s="740">
        <f t="shared" si="408"/>
        <v>0</v>
      </c>
      <c r="Z3226" s="847"/>
      <c r="AA3226" s="847"/>
      <c r="AB3226" s="741">
        <f t="shared" si="409"/>
        <v>0</v>
      </c>
      <c r="AC3226" s="846"/>
      <c r="AD3226" s="847"/>
      <c r="AE3226" s="846"/>
      <c r="AF3226" s="846"/>
      <c r="AG3226" s="847"/>
      <c r="AH3226" s="847"/>
      <c r="AI3226" s="742">
        <f t="shared" si="413"/>
        <v>0</v>
      </c>
      <c r="AJ3226" s="743">
        <f t="shared" si="414"/>
        <v>0</v>
      </c>
    </row>
    <row r="3227" spans="1:36">
      <c r="A3227" s="950" t="s">
        <v>157</v>
      </c>
      <c r="B3227" s="985" t="s">
        <v>204</v>
      </c>
      <c r="C3227" s="974" t="s">
        <v>249</v>
      </c>
      <c r="D3227" s="975"/>
      <c r="E3227" s="969"/>
      <c r="F3227" s="1042"/>
      <c r="G3227" s="846"/>
      <c r="H3227" s="847"/>
      <c r="I3227" s="846"/>
      <c r="J3227" s="847"/>
      <c r="K3227" s="846"/>
      <c r="L3227" s="847"/>
      <c r="M3227" s="846"/>
      <c r="N3227" s="846"/>
      <c r="O3227" s="737">
        <f t="shared" si="407"/>
        <v>0</v>
      </c>
      <c r="P3227" s="847"/>
      <c r="Q3227" s="847"/>
      <c r="R3227" s="738">
        <f t="shared" si="410"/>
        <v>0</v>
      </c>
      <c r="S3227" s="737">
        <f t="shared" si="411"/>
        <v>0</v>
      </c>
      <c r="T3227" s="739">
        <f t="shared" si="412"/>
        <v>0</v>
      </c>
      <c r="U3227" s="846">
        <v>277690</v>
      </c>
      <c r="V3227" s="847">
        <v>308246</v>
      </c>
      <c r="W3227" s="846"/>
      <c r="X3227" s="846"/>
      <c r="Y3227" s="740">
        <f t="shared" si="408"/>
        <v>0</v>
      </c>
      <c r="Z3227" s="847"/>
      <c r="AA3227" s="847"/>
      <c r="AB3227" s="741">
        <f t="shared" si="409"/>
        <v>0</v>
      </c>
      <c r="AC3227" s="846"/>
      <c r="AD3227" s="847"/>
      <c r="AE3227" s="846"/>
      <c r="AF3227" s="846"/>
      <c r="AG3227" s="847"/>
      <c r="AH3227" s="847"/>
      <c r="AI3227" s="742">
        <f t="shared" si="413"/>
        <v>277690</v>
      </c>
      <c r="AJ3227" s="743">
        <f t="shared" si="414"/>
        <v>308246</v>
      </c>
    </row>
    <row r="3228" spans="1:36">
      <c r="A3228" s="950" t="s">
        <v>157</v>
      </c>
      <c r="B3228" s="951" t="s">
        <v>205</v>
      </c>
      <c r="C3228" s="974" t="s">
        <v>890</v>
      </c>
      <c r="D3228" s="975"/>
      <c r="E3228" s="969"/>
      <c r="F3228" s="1042"/>
      <c r="G3228" s="846"/>
      <c r="H3228" s="847"/>
      <c r="I3228" s="846"/>
      <c r="J3228" s="847"/>
      <c r="K3228" s="846"/>
      <c r="L3228" s="847"/>
      <c r="M3228" s="846"/>
      <c r="N3228" s="846"/>
      <c r="O3228" s="737">
        <f t="shared" si="407"/>
        <v>0</v>
      </c>
      <c r="P3228" s="847"/>
      <c r="Q3228" s="847"/>
      <c r="R3228" s="738">
        <f t="shared" si="410"/>
        <v>0</v>
      </c>
      <c r="S3228" s="737">
        <f t="shared" si="411"/>
        <v>0</v>
      </c>
      <c r="T3228" s="739">
        <f t="shared" si="412"/>
        <v>0</v>
      </c>
      <c r="U3228" s="846"/>
      <c r="V3228" s="847"/>
      <c r="W3228" s="846"/>
      <c r="X3228" s="846"/>
      <c r="Y3228" s="740">
        <f t="shared" si="408"/>
        <v>0</v>
      </c>
      <c r="Z3228" s="847"/>
      <c r="AA3228" s="847"/>
      <c r="AB3228" s="741">
        <f t="shared" si="409"/>
        <v>0</v>
      </c>
      <c r="AC3228" s="846"/>
      <c r="AD3228" s="847"/>
      <c r="AE3228" s="846"/>
      <c r="AF3228" s="846"/>
      <c r="AG3228" s="847"/>
      <c r="AH3228" s="847"/>
      <c r="AI3228" s="742">
        <f t="shared" si="413"/>
        <v>0</v>
      </c>
      <c r="AJ3228" s="743">
        <f t="shared" si="414"/>
        <v>0</v>
      </c>
    </row>
    <row r="3229" spans="1:36">
      <c r="A3229" s="950" t="s">
        <v>157</v>
      </c>
      <c r="B3229" s="985" t="s">
        <v>218</v>
      </c>
      <c r="C3229" s="974" t="s">
        <v>311</v>
      </c>
      <c r="D3229" s="975"/>
      <c r="E3229" s="969"/>
      <c r="F3229" s="1042"/>
      <c r="G3229" s="846"/>
      <c r="H3229" s="847"/>
      <c r="I3229" s="846"/>
      <c r="J3229" s="847"/>
      <c r="K3229" s="846"/>
      <c r="L3229" s="847"/>
      <c r="M3229" s="846"/>
      <c r="N3229" s="846"/>
      <c r="O3229" s="737">
        <f t="shared" si="407"/>
        <v>0</v>
      </c>
      <c r="P3229" s="847"/>
      <c r="Q3229" s="847"/>
      <c r="R3229" s="738">
        <f t="shared" si="410"/>
        <v>0</v>
      </c>
      <c r="S3229" s="737">
        <f t="shared" si="411"/>
        <v>0</v>
      </c>
      <c r="T3229" s="739">
        <f t="shared" si="412"/>
        <v>0</v>
      </c>
      <c r="U3229" s="846"/>
      <c r="V3229" s="847"/>
      <c r="W3229" s="846"/>
      <c r="X3229" s="846"/>
      <c r="Y3229" s="740">
        <f t="shared" si="408"/>
        <v>0</v>
      </c>
      <c r="Z3229" s="847"/>
      <c r="AA3229" s="847"/>
      <c r="AB3229" s="741">
        <f t="shared" si="409"/>
        <v>0</v>
      </c>
      <c r="AC3229" s="846"/>
      <c r="AD3229" s="847"/>
      <c r="AE3229" s="846"/>
      <c r="AF3229" s="846"/>
      <c r="AG3229" s="847"/>
      <c r="AH3229" s="847"/>
      <c r="AI3229" s="742">
        <f t="shared" si="413"/>
        <v>0</v>
      </c>
      <c r="AJ3229" s="743">
        <f t="shared" si="414"/>
        <v>0</v>
      </c>
    </row>
    <row r="3230" spans="1:36">
      <c r="A3230" s="950" t="s">
        <v>157</v>
      </c>
      <c r="B3230" s="985" t="s">
        <v>219</v>
      </c>
      <c r="C3230" s="974" t="s">
        <v>249</v>
      </c>
      <c r="D3230" s="975"/>
      <c r="E3230" s="969"/>
      <c r="F3230" s="1042"/>
      <c r="G3230" s="846"/>
      <c r="H3230" s="847"/>
      <c r="I3230" s="846"/>
      <c r="J3230" s="847"/>
      <c r="K3230" s="846"/>
      <c r="L3230" s="847"/>
      <c r="M3230" s="846"/>
      <c r="N3230" s="846"/>
      <c r="O3230" s="737">
        <f t="shared" si="407"/>
        <v>0</v>
      </c>
      <c r="P3230" s="847"/>
      <c r="Q3230" s="847"/>
      <c r="R3230" s="738">
        <f t="shared" si="410"/>
        <v>0</v>
      </c>
      <c r="S3230" s="737">
        <f t="shared" si="411"/>
        <v>0</v>
      </c>
      <c r="T3230" s="739">
        <f t="shared" si="412"/>
        <v>0</v>
      </c>
      <c r="U3230" s="846">
        <v>63452</v>
      </c>
      <c r="V3230" s="847">
        <v>20103</v>
      </c>
      <c r="W3230" s="846"/>
      <c r="X3230" s="846"/>
      <c r="Y3230" s="740">
        <f t="shared" si="408"/>
        <v>0</v>
      </c>
      <c r="Z3230" s="847"/>
      <c r="AA3230" s="847"/>
      <c r="AB3230" s="741">
        <f t="shared" si="409"/>
        <v>0</v>
      </c>
      <c r="AC3230" s="846"/>
      <c r="AD3230" s="847"/>
      <c r="AE3230" s="846"/>
      <c r="AF3230" s="846"/>
      <c r="AG3230" s="847"/>
      <c r="AH3230" s="847"/>
      <c r="AI3230" s="742">
        <f t="shared" si="413"/>
        <v>63452</v>
      </c>
      <c r="AJ3230" s="743">
        <f t="shared" si="414"/>
        <v>20103</v>
      </c>
    </row>
    <row r="3231" spans="1:36">
      <c r="A3231" s="950" t="s">
        <v>157</v>
      </c>
      <c r="B3231" s="951" t="s">
        <v>292</v>
      </c>
      <c r="C3231" s="973" t="s">
        <v>894</v>
      </c>
      <c r="D3231" s="957"/>
      <c r="E3231" s="969"/>
      <c r="F3231" s="1042"/>
      <c r="G3231" s="846"/>
      <c r="H3231" s="847"/>
      <c r="I3231" s="846"/>
      <c r="J3231" s="847"/>
      <c r="K3231" s="846"/>
      <c r="L3231" s="847"/>
      <c r="M3231" s="846"/>
      <c r="N3231" s="846"/>
      <c r="O3231" s="737">
        <f t="shared" si="407"/>
        <v>0</v>
      </c>
      <c r="P3231" s="847"/>
      <c r="Q3231" s="847"/>
      <c r="R3231" s="738">
        <f t="shared" si="410"/>
        <v>0</v>
      </c>
      <c r="S3231" s="737">
        <f t="shared" si="411"/>
        <v>0</v>
      </c>
      <c r="T3231" s="739">
        <f t="shared" si="412"/>
        <v>0</v>
      </c>
      <c r="U3231" s="846"/>
      <c r="V3231" s="847"/>
      <c r="W3231" s="846"/>
      <c r="X3231" s="846"/>
      <c r="Y3231" s="740">
        <f t="shared" si="408"/>
        <v>0</v>
      </c>
      <c r="Z3231" s="847"/>
      <c r="AA3231" s="847"/>
      <c r="AB3231" s="741">
        <f t="shared" si="409"/>
        <v>0</v>
      </c>
      <c r="AC3231" s="846"/>
      <c r="AD3231" s="847"/>
      <c r="AE3231" s="846"/>
      <c r="AF3231" s="846"/>
      <c r="AG3231" s="847"/>
      <c r="AH3231" s="847"/>
      <c r="AI3231" s="742">
        <f t="shared" si="413"/>
        <v>0</v>
      </c>
      <c r="AJ3231" s="743">
        <f t="shared" si="414"/>
        <v>0</v>
      </c>
    </row>
    <row r="3232" spans="1:36">
      <c r="A3232" s="950" t="s">
        <v>157</v>
      </c>
      <c r="B3232" s="985" t="s">
        <v>209</v>
      </c>
      <c r="C3232" s="974" t="s">
        <v>889</v>
      </c>
      <c r="D3232" s="975"/>
      <c r="E3232" s="969"/>
      <c r="F3232" s="1042"/>
      <c r="G3232" s="846"/>
      <c r="H3232" s="847"/>
      <c r="I3232" s="846"/>
      <c r="J3232" s="847"/>
      <c r="K3232" s="846"/>
      <c r="L3232" s="847"/>
      <c r="M3232" s="846"/>
      <c r="N3232" s="846"/>
      <c r="O3232" s="737">
        <f t="shared" si="407"/>
        <v>0</v>
      </c>
      <c r="P3232" s="847"/>
      <c r="Q3232" s="847"/>
      <c r="R3232" s="738">
        <f t="shared" si="410"/>
        <v>0</v>
      </c>
      <c r="S3232" s="737">
        <f t="shared" si="411"/>
        <v>0</v>
      </c>
      <c r="T3232" s="739">
        <f t="shared" si="412"/>
        <v>0</v>
      </c>
      <c r="U3232" s="846"/>
      <c r="V3232" s="847"/>
      <c r="W3232" s="846"/>
      <c r="X3232" s="846"/>
      <c r="Y3232" s="740">
        <f t="shared" si="408"/>
        <v>0</v>
      </c>
      <c r="Z3232" s="847"/>
      <c r="AA3232" s="847"/>
      <c r="AB3232" s="741">
        <f t="shared" si="409"/>
        <v>0</v>
      </c>
      <c r="AC3232" s="846"/>
      <c r="AD3232" s="847"/>
      <c r="AE3232" s="846"/>
      <c r="AF3232" s="846"/>
      <c r="AG3232" s="847"/>
      <c r="AH3232" s="847"/>
      <c r="AI3232" s="742">
        <f t="shared" si="413"/>
        <v>0</v>
      </c>
      <c r="AJ3232" s="743">
        <f t="shared" si="414"/>
        <v>0</v>
      </c>
    </row>
    <row r="3233" spans="1:36">
      <c r="A3233" s="950" t="s">
        <v>157</v>
      </c>
      <c r="B3233" s="985" t="s">
        <v>210</v>
      </c>
      <c r="C3233" s="974" t="s">
        <v>311</v>
      </c>
      <c r="D3233" s="975"/>
      <c r="E3233" s="969"/>
      <c r="F3233" s="1042"/>
      <c r="G3233" s="846"/>
      <c r="H3233" s="847"/>
      <c r="I3233" s="846"/>
      <c r="J3233" s="847"/>
      <c r="K3233" s="846"/>
      <c r="L3233" s="847"/>
      <c r="M3233" s="846"/>
      <c r="N3233" s="846"/>
      <c r="O3233" s="737">
        <f t="shared" si="407"/>
        <v>0</v>
      </c>
      <c r="P3233" s="847"/>
      <c r="Q3233" s="847"/>
      <c r="R3233" s="738">
        <f t="shared" si="410"/>
        <v>0</v>
      </c>
      <c r="S3233" s="737">
        <f t="shared" si="411"/>
        <v>0</v>
      </c>
      <c r="T3233" s="739">
        <f t="shared" si="412"/>
        <v>0</v>
      </c>
      <c r="U3233" s="846"/>
      <c r="V3233" s="847"/>
      <c r="W3233" s="846"/>
      <c r="X3233" s="846"/>
      <c r="Y3233" s="740">
        <f t="shared" si="408"/>
        <v>0</v>
      </c>
      <c r="Z3233" s="847"/>
      <c r="AA3233" s="847"/>
      <c r="AB3233" s="741">
        <f t="shared" si="409"/>
        <v>0</v>
      </c>
      <c r="AC3233" s="846"/>
      <c r="AD3233" s="847"/>
      <c r="AE3233" s="846"/>
      <c r="AF3233" s="846"/>
      <c r="AG3233" s="847"/>
      <c r="AH3233" s="847"/>
      <c r="AI3233" s="742">
        <f t="shared" si="413"/>
        <v>0</v>
      </c>
      <c r="AJ3233" s="743">
        <f t="shared" si="414"/>
        <v>0</v>
      </c>
    </row>
    <row r="3234" spans="1:36">
      <c r="A3234" s="950" t="s">
        <v>157</v>
      </c>
      <c r="B3234" s="985" t="s">
        <v>204</v>
      </c>
      <c r="C3234" s="974" t="s">
        <v>249</v>
      </c>
      <c r="D3234" s="975"/>
      <c r="E3234" s="969"/>
      <c r="F3234" s="1042"/>
      <c r="G3234" s="846"/>
      <c r="H3234" s="847"/>
      <c r="I3234" s="846"/>
      <c r="J3234" s="847"/>
      <c r="K3234" s="846"/>
      <c r="L3234" s="847"/>
      <c r="M3234" s="846"/>
      <c r="N3234" s="846"/>
      <c r="O3234" s="737">
        <f t="shared" si="407"/>
        <v>0</v>
      </c>
      <c r="P3234" s="847"/>
      <c r="Q3234" s="847"/>
      <c r="R3234" s="738">
        <f t="shared" si="410"/>
        <v>0</v>
      </c>
      <c r="S3234" s="737">
        <f t="shared" si="411"/>
        <v>0</v>
      </c>
      <c r="T3234" s="739">
        <f t="shared" si="412"/>
        <v>0</v>
      </c>
      <c r="U3234" s="846">
        <v>430012</v>
      </c>
      <c r="V3234" s="847">
        <v>406995</v>
      </c>
      <c r="W3234" s="846"/>
      <c r="X3234" s="846"/>
      <c r="Y3234" s="740">
        <f t="shared" si="408"/>
        <v>0</v>
      </c>
      <c r="Z3234" s="847"/>
      <c r="AA3234" s="847"/>
      <c r="AB3234" s="741">
        <f t="shared" si="409"/>
        <v>0</v>
      </c>
      <c r="AC3234" s="846"/>
      <c r="AD3234" s="847"/>
      <c r="AE3234" s="846"/>
      <c r="AF3234" s="846"/>
      <c r="AG3234" s="847"/>
      <c r="AH3234" s="847"/>
      <c r="AI3234" s="742">
        <f t="shared" si="413"/>
        <v>430012</v>
      </c>
      <c r="AJ3234" s="743">
        <f t="shared" si="414"/>
        <v>406995</v>
      </c>
    </row>
    <row r="3235" spans="1:36">
      <c r="A3235" s="950" t="s">
        <v>157</v>
      </c>
      <c r="B3235" s="985" t="s">
        <v>205</v>
      </c>
      <c r="C3235" s="974" t="s">
        <v>890</v>
      </c>
      <c r="D3235" s="975"/>
      <c r="E3235" s="969"/>
      <c r="F3235" s="1042"/>
      <c r="G3235" s="846"/>
      <c r="H3235" s="847"/>
      <c r="I3235" s="846"/>
      <c r="J3235" s="847"/>
      <c r="K3235" s="846"/>
      <c r="L3235" s="847"/>
      <c r="M3235" s="846"/>
      <c r="N3235" s="846"/>
      <c r="O3235" s="737">
        <f t="shared" si="407"/>
        <v>0</v>
      </c>
      <c r="P3235" s="847"/>
      <c r="Q3235" s="847"/>
      <c r="R3235" s="738">
        <f t="shared" si="410"/>
        <v>0</v>
      </c>
      <c r="S3235" s="737">
        <f t="shared" si="411"/>
        <v>0</v>
      </c>
      <c r="T3235" s="739">
        <f t="shared" si="412"/>
        <v>0</v>
      </c>
      <c r="U3235" s="846"/>
      <c r="V3235" s="847"/>
      <c r="W3235" s="846"/>
      <c r="X3235" s="846"/>
      <c r="Y3235" s="740">
        <f t="shared" si="408"/>
        <v>0</v>
      </c>
      <c r="Z3235" s="847"/>
      <c r="AA3235" s="847"/>
      <c r="AB3235" s="741">
        <f t="shared" si="409"/>
        <v>0</v>
      </c>
      <c r="AC3235" s="846"/>
      <c r="AD3235" s="847"/>
      <c r="AE3235" s="846"/>
      <c r="AF3235" s="846"/>
      <c r="AG3235" s="847"/>
      <c r="AH3235" s="847"/>
      <c r="AI3235" s="742">
        <f t="shared" si="413"/>
        <v>0</v>
      </c>
      <c r="AJ3235" s="743">
        <f t="shared" si="414"/>
        <v>0</v>
      </c>
    </row>
    <row r="3236" spans="1:36">
      <c r="A3236" s="950" t="s">
        <v>157</v>
      </c>
      <c r="B3236" s="985" t="s">
        <v>218</v>
      </c>
      <c r="C3236" s="974" t="s">
        <v>311</v>
      </c>
      <c r="D3236" s="975"/>
      <c r="E3236" s="969"/>
      <c r="F3236" s="1042"/>
      <c r="G3236" s="846"/>
      <c r="H3236" s="847"/>
      <c r="I3236" s="846"/>
      <c r="J3236" s="847"/>
      <c r="K3236" s="846"/>
      <c r="L3236" s="847"/>
      <c r="M3236" s="846"/>
      <c r="N3236" s="846"/>
      <c r="O3236" s="737">
        <f t="shared" si="407"/>
        <v>0</v>
      </c>
      <c r="P3236" s="847"/>
      <c r="Q3236" s="847"/>
      <c r="R3236" s="738">
        <f t="shared" si="410"/>
        <v>0</v>
      </c>
      <c r="S3236" s="737">
        <f t="shared" si="411"/>
        <v>0</v>
      </c>
      <c r="T3236" s="739">
        <f t="shared" si="412"/>
        <v>0</v>
      </c>
      <c r="U3236" s="846"/>
      <c r="V3236" s="847"/>
      <c r="W3236" s="846"/>
      <c r="X3236" s="846"/>
      <c r="Y3236" s="740">
        <f t="shared" si="408"/>
        <v>0</v>
      </c>
      <c r="Z3236" s="847"/>
      <c r="AA3236" s="847"/>
      <c r="AB3236" s="741">
        <f t="shared" si="409"/>
        <v>0</v>
      </c>
      <c r="AC3236" s="846"/>
      <c r="AD3236" s="847"/>
      <c r="AE3236" s="846"/>
      <c r="AF3236" s="846"/>
      <c r="AG3236" s="847"/>
      <c r="AH3236" s="847"/>
      <c r="AI3236" s="742">
        <f t="shared" si="413"/>
        <v>0</v>
      </c>
      <c r="AJ3236" s="743">
        <f t="shared" si="414"/>
        <v>0</v>
      </c>
    </row>
    <row r="3237" spans="1:36">
      <c r="A3237" s="950" t="s">
        <v>157</v>
      </c>
      <c r="B3237" s="985" t="s">
        <v>219</v>
      </c>
      <c r="C3237" s="974" t="s">
        <v>249</v>
      </c>
      <c r="D3237" s="975"/>
      <c r="E3237" s="969"/>
      <c r="F3237" s="1042"/>
      <c r="G3237" s="846"/>
      <c r="H3237" s="847"/>
      <c r="I3237" s="846"/>
      <c r="J3237" s="847"/>
      <c r="K3237" s="846"/>
      <c r="L3237" s="847"/>
      <c r="M3237" s="846"/>
      <c r="N3237" s="846"/>
      <c r="O3237" s="737">
        <f t="shared" si="407"/>
        <v>0</v>
      </c>
      <c r="P3237" s="847"/>
      <c r="Q3237" s="847"/>
      <c r="R3237" s="738">
        <f t="shared" si="410"/>
        <v>0</v>
      </c>
      <c r="S3237" s="737">
        <f t="shared" si="411"/>
        <v>0</v>
      </c>
      <c r="T3237" s="739">
        <f t="shared" si="412"/>
        <v>0</v>
      </c>
      <c r="U3237" s="846">
        <v>40461</v>
      </c>
      <c r="V3237" s="847">
        <v>45836</v>
      </c>
      <c r="W3237" s="846"/>
      <c r="X3237" s="846"/>
      <c r="Y3237" s="740">
        <f t="shared" si="408"/>
        <v>0</v>
      </c>
      <c r="Z3237" s="847"/>
      <c r="AA3237" s="847"/>
      <c r="AB3237" s="741">
        <f t="shared" si="409"/>
        <v>0</v>
      </c>
      <c r="AC3237" s="846"/>
      <c r="AD3237" s="847"/>
      <c r="AE3237" s="846"/>
      <c r="AF3237" s="846"/>
      <c r="AG3237" s="847"/>
      <c r="AH3237" s="847"/>
      <c r="AI3237" s="742">
        <f t="shared" si="413"/>
        <v>40461</v>
      </c>
      <c r="AJ3237" s="743">
        <f t="shared" si="414"/>
        <v>45836</v>
      </c>
    </row>
    <row r="3238" spans="1:36">
      <c r="A3238" s="950" t="s">
        <v>157</v>
      </c>
      <c r="B3238" s="951" t="s">
        <v>292</v>
      </c>
      <c r="C3238" s="973" t="s">
        <v>895</v>
      </c>
      <c r="D3238" s="957"/>
      <c r="E3238" s="1039"/>
      <c r="F3238" s="1040"/>
      <c r="G3238" s="846"/>
      <c r="H3238" s="847"/>
      <c r="I3238" s="846"/>
      <c r="J3238" s="847"/>
      <c r="K3238" s="846"/>
      <c r="L3238" s="847"/>
      <c r="M3238" s="846"/>
      <c r="N3238" s="846"/>
      <c r="O3238" s="737">
        <f t="shared" si="407"/>
        <v>0</v>
      </c>
      <c r="P3238" s="847"/>
      <c r="Q3238" s="847"/>
      <c r="R3238" s="738">
        <f t="shared" si="410"/>
        <v>0</v>
      </c>
      <c r="S3238" s="737">
        <f t="shared" si="411"/>
        <v>0</v>
      </c>
      <c r="T3238" s="739">
        <f t="shared" si="412"/>
        <v>0</v>
      </c>
      <c r="U3238" s="846"/>
      <c r="V3238" s="847"/>
      <c r="W3238" s="846"/>
      <c r="X3238" s="846"/>
      <c r="Y3238" s="740">
        <f t="shared" si="408"/>
        <v>0</v>
      </c>
      <c r="Z3238" s="847"/>
      <c r="AA3238" s="847"/>
      <c r="AB3238" s="741">
        <f t="shared" si="409"/>
        <v>0</v>
      </c>
      <c r="AC3238" s="846"/>
      <c r="AD3238" s="847"/>
      <c r="AE3238" s="846"/>
      <c r="AF3238" s="846"/>
      <c r="AG3238" s="847"/>
      <c r="AH3238" s="847"/>
      <c r="AI3238" s="742">
        <f t="shared" si="413"/>
        <v>0</v>
      </c>
      <c r="AJ3238" s="743">
        <f t="shared" si="414"/>
        <v>0</v>
      </c>
    </row>
    <row r="3239" spans="1:36">
      <c r="A3239" s="950" t="s">
        <v>157</v>
      </c>
      <c r="B3239" s="985" t="s">
        <v>209</v>
      </c>
      <c r="C3239" s="974" t="s">
        <v>896</v>
      </c>
      <c r="D3239" s="975"/>
      <c r="E3239" s="969"/>
      <c r="F3239" s="1042"/>
      <c r="G3239" s="846"/>
      <c r="H3239" s="847"/>
      <c r="I3239" s="846"/>
      <c r="J3239" s="847"/>
      <c r="K3239" s="846"/>
      <c r="L3239" s="847"/>
      <c r="M3239" s="846"/>
      <c r="N3239" s="846"/>
      <c r="O3239" s="737">
        <f t="shared" si="407"/>
        <v>0</v>
      </c>
      <c r="P3239" s="847"/>
      <c r="Q3239" s="847"/>
      <c r="R3239" s="738">
        <f t="shared" si="410"/>
        <v>0</v>
      </c>
      <c r="S3239" s="737">
        <f t="shared" si="411"/>
        <v>0</v>
      </c>
      <c r="T3239" s="739">
        <f t="shared" si="412"/>
        <v>0</v>
      </c>
      <c r="U3239" s="846"/>
      <c r="V3239" s="847"/>
      <c r="W3239" s="846"/>
      <c r="X3239" s="846"/>
      <c r="Y3239" s="740">
        <f t="shared" si="408"/>
        <v>0</v>
      </c>
      <c r="Z3239" s="847"/>
      <c r="AA3239" s="847"/>
      <c r="AB3239" s="741">
        <f t="shared" si="409"/>
        <v>0</v>
      </c>
      <c r="AC3239" s="846"/>
      <c r="AD3239" s="847"/>
      <c r="AE3239" s="846"/>
      <c r="AF3239" s="846"/>
      <c r="AG3239" s="847"/>
      <c r="AH3239" s="847"/>
      <c r="AI3239" s="742">
        <f t="shared" si="413"/>
        <v>0</v>
      </c>
      <c r="AJ3239" s="743">
        <f t="shared" si="414"/>
        <v>0</v>
      </c>
    </row>
    <row r="3240" spans="1:36">
      <c r="A3240" s="950" t="s">
        <v>157</v>
      </c>
      <c r="B3240" s="985" t="s">
        <v>210</v>
      </c>
      <c r="C3240" s="974" t="s">
        <v>311</v>
      </c>
      <c r="D3240" s="975"/>
      <c r="E3240" s="969"/>
      <c r="F3240" s="1042"/>
      <c r="G3240" s="846"/>
      <c r="H3240" s="847"/>
      <c r="I3240" s="846"/>
      <c r="J3240" s="847"/>
      <c r="K3240" s="846"/>
      <c r="L3240" s="847"/>
      <c r="M3240" s="846"/>
      <c r="N3240" s="846"/>
      <c r="O3240" s="737">
        <f t="shared" si="407"/>
        <v>0</v>
      </c>
      <c r="P3240" s="847"/>
      <c r="Q3240" s="847"/>
      <c r="R3240" s="738">
        <f t="shared" si="410"/>
        <v>0</v>
      </c>
      <c r="S3240" s="737">
        <f t="shared" si="411"/>
        <v>0</v>
      </c>
      <c r="T3240" s="739">
        <f t="shared" si="412"/>
        <v>0</v>
      </c>
      <c r="U3240" s="846"/>
      <c r="V3240" s="847"/>
      <c r="W3240" s="846"/>
      <c r="X3240" s="846"/>
      <c r="Y3240" s="740">
        <f t="shared" si="408"/>
        <v>0</v>
      </c>
      <c r="Z3240" s="847"/>
      <c r="AA3240" s="847"/>
      <c r="AB3240" s="741">
        <f t="shared" si="409"/>
        <v>0</v>
      </c>
      <c r="AC3240" s="846"/>
      <c r="AD3240" s="847"/>
      <c r="AE3240" s="846"/>
      <c r="AF3240" s="846"/>
      <c r="AG3240" s="847"/>
      <c r="AH3240" s="847"/>
      <c r="AI3240" s="742">
        <f t="shared" si="413"/>
        <v>0</v>
      </c>
      <c r="AJ3240" s="743">
        <f t="shared" si="414"/>
        <v>0</v>
      </c>
    </row>
    <row r="3241" spans="1:36">
      <c r="A3241" s="950" t="s">
        <v>157</v>
      </c>
      <c r="B3241" s="985" t="s">
        <v>204</v>
      </c>
      <c r="C3241" s="974" t="s">
        <v>249</v>
      </c>
      <c r="D3241" s="975"/>
      <c r="E3241" s="969"/>
      <c r="F3241" s="1042"/>
      <c r="G3241" s="846"/>
      <c r="H3241" s="847"/>
      <c r="I3241" s="846"/>
      <c r="J3241" s="847"/>
      <c r="K3241" s="846"/>
      <c r="L3241" s="847"/>
      <c r="M3241" s="846"/>
      <c r="N3241" s="846"/>
      <c r="O3241" s="737">
        <f t="shared" si="407"/>
        <v>0</v>
      </c>
      <c r="P3241" s="847"/>
      <c r="Q3241" s="847"/>
      <c r="R3241" s="738">
        <f t="shared" si="410"/>
        <v>0</v>
      </c>
      <c r="S3241" s="737">
        <f t="shared" si="411"/>
        <v>0</v>
      </c>
      <c r="T3241" s="739">
        <f t="shared" si="412"/>
        <v>0</v>
      </c>
      <c r="U3241" s="846">
        <v>199271</v>
      </c>
      <c r="V3241" s="847">
        <v>198538</v>
      </c>
      <c r="W3241" s="846"/>
      <c r="X3241" s="846"/>
      <c r="Y3241" s="740">
        <f t="shared" si="408"/>
        <v>0</v>
      </c>
      <c r="Z3241" s="847"/>
      <c r="AA3241" s="847"/>
      <c r="AB3241" s="741">
        <f t="shared" si="409"/>
        <v>0</v>
      </c>
      <c r="AC3241" s="846"/>
      <c r="AD3241" s="847"/>
      <c r="AE3241" s="846"/>
      <c r="AF3241" s="846"/>
      <c r="AG3241" s="847"/>
      <c r="AH3241" s="847"/>
      <c r="AI3241" s="742">
        <f t="shared" si="413"/>
        <v>199271</v>
      </c>
      <c r="AJ3241" s="743">
        <f t="shared" si="414"/>
        <v>198538</v>
      </c>
    </row>
    <row r="3242" spans="1:36">
      <c r="A3242" s="950" t="s">
        <v>157</v>
      </c>
      <c r="B3242" s="951" t="s">
        <v>205</v>
      </c>
      <c r="C3242" s="974" t="s">
        <v>890</v>
      </c>
      <c r="D3242" s="975"/>
      <c r="E3242" s="969"/>
      <c r="F3242" s="1042"/>
      <c r="G3242" s="846"/>
      <c r="H3242" s="847"/>
      <c r="I3242" s="846"/>
      <c r="J3242" s="847"/>
      <c r="K3242" s="846"/>
      <c r="L3242" s="847"/>
      <c r="M3242" s="846"/>
      <c r="N3242" s="846"/>
      <c r="O3242" s="737">
        <f t="shared" si="407"/>
        <v>0</v>
      </c>
      <c r="P3242" s="847"/>
      <c r="Q3242" s="847"/>
      <c r="R3242" s="738">
        <f t="shared" si="410"/>
        <v>0</v>
      </c>
      <c r="S3242" s="737">
        <f t="shared" si="411"/>
        <v>0</v>
      </c>
      <c r="T3242" s="739">
        <f t="shared" si="412"/>
        <v>0</v>
      </c>
      <c r="U3242" s="846"/>
      <c r="V3242" s="847"/>
      <c r="W3242" s="846"/>
      <c r="X3242" s="846"/>
      <c r="Y3242" s="740">
        <f t="shared" si="408"/>
        <v>0</v>
      </c>
      <c r="Z3242" s="847"/>
      <c r="AA3242" s="847"/>
      <c r="AB3242" s="741">
        <f t="shared" si="409"/>
        <v>0</v>
      </c>
      <c r="AC3242" s="846"/>
      <c r="AD3242" s="847"/>
      <c r="AE3242" s="846"/>
      <c r="AF3242" s="846"/>
      <c r="AG3242" s="847"/>
      <c r="AH3242" s="847"/>
      <c r="AI3242" s="742">
        <f t="shared" si="413"/>
        <v>0</v>
      </c>
      <c r="AJ3242" s="743">
        <f t="shared" si="414"/>
        <v>0</v>
      </c>
    </row>
    <row r="3243" spans="1:36">
      <c r="A3243" s="950" t="s">
        <v>157</v>
      </c>
      <c r="B3243" s="985" t="s">
        <v>218</v>
      </c>
      <c r="C3243" s="974" t="s">
        <v>311</v>
      </c>
      <c r="D3243" s="975"/>
      <c r="E3243" s="969"/>
      <c r="F3243" s="1042"/>
      <c r="G3243" s="846"/>
      <c r="H3243" s="847"/>
      <c r="I3243" s="846"/>
      <c r="J3243" s="847"/>
      <c r="K3243" s="846"/>
      <c r="L3243" s="847"/>
      <c r="M3243" s="846"/>
      <c r="N3243" s="846"/>
      <c r="O3243" s="737">
        <f t="shared" si="407"/>
        <v>0</v>
      </c>
      <c r="P3243" s="847"/>
      <c r="Q3243" s="847"/>
      <c r="R3243" s="738">
        <f t="shared" si="410"/>
        <v>0</v>
      </c>
      <c r="S3243" s="737">
        <f t="shared" si="411"/>
        <v>0</v>
      </c>
      <c r="T3243" s="739">
        <f t="shared" si="412"/>
        <v>0</v>
      </c>
      <c r="U3243" s="846"/>
      <c r="V3243" s="847"/>
      <c r="W3243" s="846"/>
      <c r="X3243" s="846"/>
      <c r="Y3243" s="740">
        <f t="shared" si="408"/>
        <v>0</v>
      </c>
      <c r="Z3243" s="847"/>
      <c r="AA3243" s="847"/>
      <c r="AB3243" s="741">
        <f t="shared" si="409"/>
        <v>0</v>
      </c>
      <c r="AC3243" s="846"/>
      <c r="AD3243" s="847"/>
      <c r="AE3243" s="846"/>
      <c r="AF3243" s="846"/>
      <c r="AG3243" s="847"/>
      <c r="AH3243" s="847"/>
      <c r="AI3243" s="742">
        <f t="shared" si="413"/>
        <v>0</v>
      </c>
      <c r="AJ3243" s="743">
        <f t="shared" si="414"/>
        <v>0</v>
      </c>
    </row>
    <row r="3244" spans="1:36">
      <c r="A3244" s="950" t="s">
        <v>157</v>
      </c>
      <c r="B3244" s="985" t="s">
        <v>219</v>
      </c>
      <c r="C3244" s="974" t="s">
        <v>249</v>
      </c>
      <c r="D3244" s="975"/>
      <c r="E3244" s="969"/>
      <c r="F3244" s="1042"/>
      <c r="G3244" s="846"/>
      <c r="H3244" s="847"/>
      <c r="I3244" s="846"/>
      <c r="J3244" s="847"/>
      <c r="K3244" s="846"/>
      <c r="L3244" s="847"/>
      <c r="M3244" s="846"/>
      <c r="N3244" s="846"/>
      <c r="O3244" s="737">
        <f t="shared" si="407"/>
        <v>0</v>
      </c>
      <c r="P3244" s="847"/>
      <c r="Q3244" s="847"/>
      <c r="R3244" s="738">
        <f t="shared" si="410"/>
        <v>0</v>
      </c>
      <c r="S3244" s="737">
        <f t="shared" si="411"/>
        <v>0</v>
      </c>
      <c r="T3244" s="739">
        <f t="shared" si="412"/>
        <v>0</v>
      </c>
      <c r="U3244" s="846">
        <v>29776</v>
      </c>
      <c r="V3244" s="847">
        <v>22060</v>
      </c>
      <c r="W3244" s="846"/>
      <c r="X3244" s="846"/>
      <c r="Y3244" s="740">
        <f t="shared" si="408"/>
        <v>0</v>
      </c>
      <c r="Z3244" s="847"/>
      <c r="AA3244" s="847"/>
      <c r="AB3244" s="741">
        <f t="shared" si="409"/>
        <v>0</v>
      </c>
      <c r="AC3244" s="846"/>
      <c r="AD3244" s="847"/>
      <c r="AE3244" s="846"/>
      <c r="AF3244" s="846"/>
      <c r="AG3244" s="847"/>
      <c r="AH3244" s="847"/>
      <c r="AI3244" s="742">
        <f t="shared" si="413"/>
        <v>29776</v>
      </c>
      <c r="AJ3244" s="743">
        <f t="shared" si="414"/>
        <v>22060</v>
      </c>
    </row>
    <row r="3245" spans="1:36">
      <c r="A3245" s="950" t="s">
        <v>157</v>
      </c>
      <c r="B3245" s="951" t="s">
        <v>292</v>
      </c>
      <c r="C3245" s="973" t="s">
        <v>897</v>
      </c>
      <c r="D3245" s="957"/>
      <c r="E3245" s="1039"/>
      <c r="F3245" s="1040"/>
      <c r="G3245" s="846"/>
      <c r="H3245" s="847"/>
      <c r="I3245" s="846"/>
      <c r="J3245" s="847"/>
      <c r="K3245" s="846"/>
      <c r="L3245" s="847"/>
      <c r="M3245" s="846"/>
      <c r="N3245" s="846"/>
      <c r="O3245" s="737">
        <f t="shared" si="407"/>
        <v>0</v>
      </c>
      <c r="P3245" s="847"/>
      <c r="Q3245" s="847"/>
      <c r="R3245" s="738">
        <f t="shared" si="410"/>
        <v>0</v>
      </c>
      <c r="S3245" s="737">
        <f t="shared" si="411"/>
        <v>0</v>
      </c>
      <c r="T3245" s="739">
        <f t="shared" si="412"/>
        <v>0</v>
      </c>
      <c r="U3245" s="846"/>
      <c r="V3245" s="847"/>
      <c r="W3245" s="846"/>
      <c r="X3245" s="846"/>
      <c r="Y3245" s="740">
        <f t="shared" si="408"/>
        <v>0</v>
      </c>
      <c r="Z3245" s="847"/>
      <c r="AA3245" s="847"/>
      <c r="AB3245" s="741">
        <f t="shared" si="409"/>
        <v>0</v>
      </c>
      <c r="AC3245" s="846"/>
      <c r="AD3245" s="847"/>
      <c r="AE3245" s="846"/>
      <c r="AF3245" s="846"/>
      <c r="AG3245" s="847"/>
      <c r="AH3245" s="847"/>
      <c r="AI3245" s="742">
        <f t="shared" si="413"/>
        <v>0</v>
      </c>
      <c r="AJ3245" s="743">
        <f t="shared" si="414"/>
        <v>0</v>
      </c>
    </row>
    <row r="3246" spans="1:36">
      <c r="A3246" s="950" t="s">
        <v>157</v>
      </c>
      <c r="B3246" s="985" t="s">
        <v>209</v>
      </c>
      <c r="C3246" s="974" t="s">
        <v>889</v>
      </c>
      <c r="D3246" s="975"/>
      <c r="E3246" s="969"/>
      <c r="F3246" s="1042"/>
      <c r="G3246" s="846"/>
      <c r="H3246" s="847"/>
      <c r="I3246" s="846"/>
      <c r="J3246" s="847"/>
      <c r="K3246" s="846"/>
      <c r="L3246" s="847"/>
      <c r="M3246" s="846"/>
      <c r="N3246" s="846"/>
      <c r="O3246" s="737">
        <f t="shared" si="407"/>
        <v>0</v>
      </c>
      <c r="P3246" s="847"/>
      <c r="Q3246" s="847"/>
      <c r="R3246" s="738">
        <f t="shared" si="410"/>
        <v>0</v>
      </c>
      <c r="S3246" s="737">
        <f t="shared" si="411"/>
        <v>0</v>
      </c>
      <c r="T3246" s="739">
        <f t="shared" si="412"/>
        <v>0</v>
      </c>
      <c r="U3246" s="846"/>
      <c r="V3246" s="847"/>
      <c r="W3246" s="846"/>
      <c r="X3246" s="846"/>
      <c r="Y3246" s="740">
        <f t="shared" si="408"/>
        <v>0</v>
      </c>
      <c r="Z3246" s="847"/>
      <c r="AA3246" s="847"/>
      <c r="AB3246" s="741">
        <f t="shared" si="409"/>
        <v>0</v>
      </c>
      <c r="AC3246" s="846"/>
      <c r="AD3246" s="847"/>
      <c r="AE3246" s="846"/>
      <c r="AF3246" s="846"/>
      <c r="AG3246" s="847"/>
      <c r="AH3246" s="847"/>
      <c r="AI3246" s="742">
        <f t="shared" si="413"/>
        <v>0</v>
      </c>
      <c r="AJ3246" s="743">
        <f t="shared" si="414"/>
        <v>0</v>
      </c>
    </row>
    <row r="3247" spans="1:36">
      <c r="A3247" s="950" t="s">
        <v>157</v>
      </c>
      <c r="B3247" s="985" t="s">
        <v>210</v>
      </c>
      <c r="C3247" s="974" t="s">
        <v>311</v>
      </c>
      <c r="D3247" s="975"/>
      <c r="E3247" s="969"/>
      <c r="F3247" s="1042"/>
      <c r="G3247" s="846"/>
      <c r="H3247" s="847"/>
      <c r="I3247" s="846"/>
      <c r="J3247" s="847"/>
      <c r="K3247" s="846"/>
      <c r="L3247" s="847"/>
      <c r="M3247" s="846"/>
      <c r="N3247" s="846"/>
      <c r="O3247" s="737">
        <f t="shared" si="407"/>
        <v>0</v>
      </c>
      <c r="P3247" s="847"/>
      <c r="Q3247" s="847"/>
      <c r="R3247" s="738">
        <f t="shared" si="410"/>
        <v>0</v>
      </c>
      <c r="S3247" s="737">
        <f t="shared" si="411"/>
        <v>0</v>
      </c>
      <c r="T3247" s="739">
        <f t="shared" si="412"/>
        <v>0</v>
      </c>
      <c r="U3247" s="846">
        <v>3405513</v>
      </c>
      <c r="V3247" s="847">
        <v>3838573</v>
      </c>
      <c r="W3247" s="846"/>
      <c r="X3247" s="846"/>
      <c r="Y3247" s="740">
        <f t="shared" si="408"/>
        <v>0</v>
      </c>
      <c r="Z3247" s="847"/>
      <c r="AA3247" s="847"/>
      <c r="AB3247" s="741">
        <f t="shared" si="409"/>
        <v>0</v>
      </c>
      <c r="AC3247" s="846"/>
      <c r="AD3247" s="847"/>
      <c r="AE3247" s="846"/>
      <c r="AF3247" s="846"/>
      <c r="AG3247" s="847"/>
      <c r="AH3247" s="847"/>
      <c r="AI3247" s="742">
        <f t="shared" si="413"/>
        <v>3405513</v>
      </c>
      <c r="AJ3247" s="743">
        <f t="shared" si="414"/>
        <v>3838573</v>
      </c>
    </row>
    <row r="3248" spans="1:36">
      <c r="A3248" s="950" t="s">
        <v>157</v>
      </c>
      <c r="B3248" s="985" t="s">
        <v>204</v>
      </c>
      <c r="C3248" s="974" t="s">
        <v>249</v>
      </c>
      <c r="D3248" s="975"/>
      <c r="E3248" s="969"/>
      <c r="F3248" s="1042"/>
      <c r="G3248" s="846"/>
      <c r="H3248" s="847"/>
      <c r="I3248" s="846"/>
      <c r="J3248" s="847"/>
      <c r="K3248" s="846"/>
      <c r="L3248" s="847"/>
      <c r="M3248" s="846"/>
      <c r="N3248" s="846"/>
      <c r="O3248" s="737">
        <f t="shared" si="407"/>
        <v>0</v>
      </c>
      <c r="P3248" s="847"/>
      <c r="Q3248" s="847"/>
      <c r="R3248" s="738">
        <f t="shared" si="410"/>
        <v>0</v>
      </c>
      <c r="S3248" s="737">
        <f t="shared" si="411"/>
        <v>0</v>
      </c>
      <c r="T3248" s="739">
        <f t="shared" si="412"/>
        <v>0</v>
      </c>
      <c r="U3248" s="846"/>
      <c r="V3248" s="847"/>
      <c r="W3248" s="846"/>
      <c r="X3248" s="846"/>
      <c r="Y3248" s="740">
        <f t="shared" si="408"/>
        <v>0</v>
      </c>
      <c r="Z3248" s="847"/>
      <c r="AA3248" s="847"/>
      <c r="AB3248" s="741">
        <f t="shared" si="409"/>
        <v>0</v>
      </c>
      <c r="AC3248" s="846"/>
      <c r="AD3248" s="847"/>
      <c r="AE3248" s="846"/>
      <c r="AF3248" s="846"/>
      <c r="AG3248" s="847"/>
      <c r="AH3248" s="847"/>
      <c r="AI3248" s="742">
        <f t="shared" si="413"/>
        <v>0</v>
      </c>
      <c r="AJ3248" s="743">
        <f t="shared" si="414"/>
        <v>0</v>
      </c>
    </row>
    <row r="3249" spans="1:36">
      <c r="A3249" s="950" t="s">
        <v>157</v>
      </c>
      <c r="B3249" s="951" t="s">
        <v>205</v>
      </c>
      <c r="C3249" s="974" t="s">
        <v>890</v>
      </c>
      <c r="D3249" s="975"/>
      <c r="E3249" s="969"/>
      <c r="F3249" s="1042"/>
      <c r="G3249" s="846"/>
      <c r="H3249" s="847"/>
      <c r="I3249" s="846"/>
      <c r="J3249" s="847"/>
      <c r="K3249" s="846"/>
      <c r="L3249" s="847"/>
      <c r="M3249" s="846"/>
      <c r="N3249" s="846"/>
      <c r="O3249" s="737">
        <f t="shared" si="407"/>
        <v>0</v>
      </c>
      <c r="P3249" s="847"/>
      <c r="Q3249" s="847"/>
      <c r="R3249" s="738">
        <f t="shared" si="410"/>
        <v>0</v>
      </c>
      <c r="S3249" s="737">
        <f t="shared" si="411"/>
        <v>0</v>
      </c>
      <c r="T3249" s="739">
        <f t="shared" si="412"/>
        <v>0</v>
      </c>
      <c r="U3249" s="846"/>
      <c r="V3249" s="847"/>
      <c r="W3249" s="846"/>
      <c r="X3249" s="846"/>
      <c r="Y3249" s="740">
        <f t="shared" si="408"/>
        <v>0</v>
      </c>
      <c r="Z3249" s="847"/>
      <c r="AA3249" s="847"/>
      <c r="AB3249" s="741">
        <f t="shared" si="409"/>
        <v>0</v>
      </c>
      <c r="AC3249" s="846"/>
      <c r="AD3249" s="847"/>
      <c r="AE3249" s="846"/>
      <c r="AF3249" s="846"/>
      <c r="AG3249" s="847"/>
      <c r="AH3249" s="847"/>
      <c r="AI3249" s="742">
        <f t="shared" si="413"/>
        <v>0</v>
      </c>
      <c r="AJ3249" s="743">
        <f t="shared" si="414"/>
        <v>0</v>
      </c>
    </row>
    <row r="3250" spans="1:36">
      <c r="A3250" s="950" t="s">
        <v>157</v>
      </c>
      <c r="B3250" s="985" t="s">
        <v>218</v>
      </c>
      <c r="C3250" s="974" t="s">
        <v>311</v>
      </c>
      <c r="D3250" s="975"/>
      <c r="E3250" s="969"/>
      <c r="F3250" s="1042"/>
      <c r="G3250" s="846"/>
      <c r="H3250" s="847"/>
      <c r="I3250" s="846"/>
      <c r="J3250" s="847"/>
      <c r="K3250" s="846"/>
      <c r="L3250" s="847"/>
      <c r="M3250" s="846"/>
      <c r="N3250" s="846"/>
      <c r="O3250" s="737">
        <f t="shared" si="407"/>
        <v>0</v>
      </c>
      <c r="P3250" s="847"/>
      <c r="Q3250" s="847"/>
      <c r="R3250" s="738">
        <f t="shared" si="410"/>
        <v>0</v>
      </c>
      <c r="S3250" s="737">
        <f t="shared" si="411"/>
        <v>0</v>
      </c>
      <c r="T3250" s="739">
        <f t="shared" si="412"/>
        <v>0</v>
      </c>
      <c r="U3250" s="846">
        <v>1400455</v>
      </c>
      <c r="V3250" s="847">
        <v>962632</v>
      </c>
      <c r="W3250" s="846"/>
      <c r="X3250" s="846"/>
      <c r="Y3250" s="740">
        <f t="shared" si="408"/>
        <v>0</v>
      </c>
      <c r="Z3250" s="847"/>
      <c r="AA3250" s="847"/>
      <c r="AB3250" s="741">
        <f t="shared" si="409"/>
        <v>0</v>
      </c>
      <c r="AC3250" s="846"/>
      <c r="AD3250" s="847"/>
      <c r="AE3250" s="846"/>
      <c r="AF3250" s="846"/>
      <c r="AG3250" s="847"/>
      <c r="AH3250" s="847"/>
      <c r="AI3250" s="742">
        <f t="shared" si="413"/>
        <v>1400455</v>
      </c>
      <c r="AJ3250" s="743">
        <f t="shared" si="414"/>
        <v>962632</v>
      </c>
    </row>
    <row r="3251" spans="1:36">
      <c r="A3251" s="950" t="s">
        <v>157</v>
      </c>
      <c r="B3251" s="985" t="s">
        <v>219</v>
      </c>
      <c r="C3251" s="974" t="s">
        <v>249</v>
      </c>
      <c r="D3251" s="975"/>
      <c r="E3251" s="969"/>
      <c r="F3251" s="1042"/>
      <c r="G3251" s="846"/>
      <c r="H3251" s="847"/>
      <c r="I3251" s="846"/>
      <c r="J3251" s="847"/>
      <c r="K3251" s="846"/>
      <c r="L3251" s="847"/>
      <c r="M3251" s="846"/>
      <c r="N3251" s="846"/>
      <c r="O3251" s="737">
        <f t="shared" si="407"/>
        <v>0</v>
      </c>
      <c r="P3251" s="847"/>
      <c r="Q3251" s="847"/>
      <c r="R3251" s="738">
        <f t="shared" si="410"/>
        <v>0</v>
      </c>
      <c r="S3251" s="737">
        <f t="shared" si="411"/>
        <v>0</v>
      </c>
      <c r="T3251" s="739">
        <f t="shared" si="412"/>
        <v>0</v>
      </c>
      <c r="U3251" s="846"/>
      <c r="V3251" s="847"/>
      <c r="W3251" s="846"/>
      <c r="X3251" s="846"/>
      <c r="Y3251" s="740">
        <f t="shared" si="408"/>
        <v>0</v>
      </c>
      <c r="Z3251" s="847"/>
      <c r="AA3251" s="847"/>
      <c r="AB3251" s="741">
        <f t="shared" si="409"/>
        <v>0</v>
      </c>
      <c r="AC3251" s="846"/>
      <c r="AD3251" s="847"/>
      <c r="AE3251" s="846"/>
      <c r="AF3251" s="846"/>
      <c r="AG3251" s="847"/>
      <c r="AH3251" s="847"/>
      <c r="AI3251" s="742">
        <f t="shared" si="413"/>
        <v>0</v>
      </c>
      <c r="AJ3251" s="743">
        <f t="shared" si="414"/>
        <v>0</v>
      </c>
    </row>
    <row r="3252" spans="1:36">
      <c r="A3252" s="950" t="s">
        <v>157</v>
      </c>
      <c r="B3252" s="985" t="s">
        <v>293</v>
      </c>
      <c r="C3252" s="986" t="s">
        <v>525</v>
      </c>
      <c r="D3252" s="987"/>
      <c r="E3252" s="969"/>
      <c r="F3252" s="1042"/>
      <c r="G3252" s="846"/>
      <c r="H3252" s="847"/>
      <c r="I3252" s="846"/>
      <c r="J3252" s="847"/>
      <c r="K3252" s="846"/>
      <c r="L3252" s="847"/>
      <c r="M3252" s="846"/>
      <c r="N3252" s="846"/>
      <c r="O3252" s="737">
        <f t="shared" si="407"/>
        <v>0</v>
      </c>
      <c r="P3252" s="847"/>
      <c r="Q3252" s="847"/>
      <c r="R3252" s="738">
        <f t="shared" si="410"/>
        <v>0</v>
      </c>
      <c r="S3252" s="737">
        <f t="shared" si="411"/>
        <v>0</v>
      </c>
      <c r="T3252" s="739">
        <f t="shared" si="412"/>
        <v>0</v>
      </c>
      <c r="U3252" s="846"/>
      <c r="V3252" s="847"/>
      <c r="W3252" s="846"/>
      <c r="X3252" s="846"/>
      <c r="Y3252" s="740">
        <f t="shared" si="408"/>
        <v>0</v>
      </c>
      <c r="Z3252" s="847"/>
      <c r="AA3252" s="847"/>
      <c r="AB3252" s="741">
        <f t="shared" si="409"/>
        <v>0</v>
      </c>
      <c r="AC3252" s="846"/>
      <c r="AD3252" s="847"/>
      <c r="AE3252" s="846"/>
      <c r="AF3252" s="846"/>
      <c r="AG3252" s="847"/>
      <c r="AH3252" s="847"/>
      <c r="AI3252" s="742">
        <f t="shared" si="413"/>
        <v>0</v>
      </c>
      <c r="AJ3252" s="743">
        <f t="shared" si="414"/>
        <v>0</v>
      </c>
    </row>
    <row r="3253" spans="1:36">
      <c r="A3253" s="950" t="s">
        <v>157</v>
      </c>
      <c r="B3253" s="985" t="s">
        <v>252</v>
      </c>
      <c r="C3253" s="974" t="s">
        <v>311</v>
      </c>
      <c r="D3253" s="975"/>
      <c r="E3253" s="969"/>
      <c r="F3253" s="1042"/>
      <c r="G3253" s="846"/>
      <c r="H3253" s="847"/>
      <c r="I3253" s="846"/>
      <c r="J3253" s="847"/>
      <c r="K3253" s="846"/>
      <c r="L3253" s="847"/>
      <c r="M3253" s="846"/>
      <c r="N3253" s="846"/>
      <c r="O3253" s="737">
        <f t="shared" si="407"/>
        <v>0</v>
      </c>
      <c r="P3253" s="847"/>
      <c r="Q3253" s="847"/>
      <c r="R3253" s="738">
        <f t="shared" si="410"/>
        <v>0</v>
      </c>
      <c r="S3253" s="737">
        <f t="shared" si="411"/>
        <v>0</v>
      </c>
      <c r="T3253" s="739">
        <f t="shared" si="412"/>
        <v>0</v>
      </c>
      <c r="U3253" s="846"/>
      <c r="V3253" s="847"/>
      <c r="W3253" s="846"/>
      <c r="X3253" s="846"/>
      <c r="Y3253" s="740">
        <f t="shared" si="408"/>
        <v>0</v>
      </c>
      <c r="Z3253" s="847"/>
      <c r="AA3253" s="847"/>
      <c r="AB3253" s="741">
        <f t="shared" si="409"/>
        <v>0</v>
      </c>
      <c r="AC3253" s="846"/>
      <c r="AD3253" s="847"/>
      <c r="AE3253" s="846"/>
      <c r="AF3253" s="846"/>
      <c r="AG3253" s="847"/>
      <c r="AH3253" s="847"/>
      <c r="AI3253" s="742">
        <f t="shared" si="413"/>
        <v>0</v>
      </c>
      <c r="AJ3253" s="743">
        <f t="shared" si="414"/>
        <v>0</v>
      </c>
    </row>
    <row r="3254" spans="1:36">
      <c r="A3254" s="950" t="s">
        <v>157</v>
      </c>
      <c r="B3254" s="985" t="s">
        <v>253</v>
      </c>
      <c r="C3254" s="974" t="s">
        <v>249</v>
      </c>
      <c r="D3254" s="975"/>
      <c r="E3254" s="969"/>
      <c r="F3254" s="1042"/>
      <c r="G3254" s="846"/>
      <c r="H3254" s="847"/>
      <c r="I3254" s="846"/>
      <c r="J3254" s="847"/>
      <c r="K3254" s="846"/>
      <c r="L3254" s="847"/>
      <c r="M3254" s="846"/>
      <c r="N3254" s="846"/>
      <c r="O3254" s="737">
        <f t="shared" si="407"/>
        <v>0</v>
      </c>
      <c r="P3254" s="847"/>
      <c r="Q3254" s="847"/>
      <c r="R3254" s="738">
        <f t="shared" si="410"/>
        <v>0</v>
      </c>
      <c r="S3254" s="737">
        <f t="shared" si="411"/>
        <v>0</v>
      </c>
      <c r="T3254" s="739">
        <f t="shared" si="412"/>
        <v>0</v>
      </c>
      <c r="U3254" s="846"/>
      <c r="V3254" s="847"/>
      <c r="W3254" s="846"/>
      <c r="X3254" s="846"/>
      <c r="Y3254" s="740">
        <f t="shared" si="408"/>
        <v>0</v>
      </c>
      <c r="Z3254" s="847"/>
      <c r="AA3254" s="847"/>
      <c r="AB3254" s="741">
        <f t="shared" si="409"/>
        <v>0</v>
      </c>
      <c r="AC3254" s="846"/>
      <c r="AD3254" s="847"/>
      <c r="AE3254" s="846"/>
      <c r="AF3254" s="846"/>
      <c r="AG3254" s="847"/>
      <c r="AH3254" s="847"/>
      <c r="AI3254" s="742">
        <f t="shared" si="413"/>
        <v>0</v>
      </c>
      <c r="AJ3254" s="743">
        <f t="shared" si="414"/>
        <v>0</v>
      </c>
    </row>
    <row r="3255" spans="1:36">
      <c r="A3255" s="950" t="s">
        <v>157</v>
      </c>
      <c r="B3255" s="985" t="s">
        <v>293</v>
      </c>
      <c r="C3255" s="986" t="s">
        <v>584</v>
      </c>
      <c r="D3255" s="987"/>
      <c r="E3255" s="969"/>
      <c r="F3255" s="1042"/>
      <c r="G3255" s="846"/>
      <c r="H3255" s="847"/>
      <c r="I3255" s="846"/>
      <c r="J3255" s="847"/>
      <c r="K3255" s="846"/>
      <c r="L3255" s="847"/>
      <c r="M3255" s="846"/>
      <c r="N3255" s="846"/>
      <c r="O3255" s="737">
        <f t="shared" si="407"/>
        <v>0</v>
      </c>
      <c r="P3255" s="847"/>
      <c r="Q3255" s="847"/>
      <c r="R3255" s="738">
        <f t="shared" si="410"/>
        <v>0</v>
      </c>
      <c r="S3255" s="737">
        <f t="shared" si="411"/>
        <v>0</v>
      </c>
      <c r="T3255" s="739">
        <f t="shared" si="412"/>
        <v>0</v>
      </c>
      <c r="U3255" s="846"/>
      <c r="V3255" s="847"/>
      <c r="W3255" s="846"/>
      <c r="X3255" s="846"/>
      <c r="Y3255" s="740">
        <f t="shared" si="408"/>
        <v>0</v>
      </c>
      <c r="Z3255" s="847"/>
      <c r="AA3255" s="847"/>
      <c r="AB3255" s="741">
        <f t="shared" si="409"/>
        <v>0</v>
      </c>
      <c r="AC3255" s="846"/>
      <c r="AD3255" s="847"/>
      <c r="AE3255" s="846"/>
      <c r="AF3255" s="846"/>
      <c r="AG3255" s="847"/>
      <c r="AH3255" s="847"/>
      <c r="AI3255" s="742">
        <f t="shared" si="413"/>
        <v>0</v>
      </c>
      <c r="AJ3255" s="743">
        <f t="shared" si="414"/>
        <v>0</v>
      </c>
    </row>
    <row r="3256" spans="1:36">
      <c r="A3256" s="950" t="s">
        <v>157</v>
      </c>
      <c r="B3256" s="985" t="s">
        <v>252</v>
      </c>
      <c r="C3256" s="974" t="s">
        <v>311</v>
      </c>
      <c r="D3256" s="975"/>
      <c r="E3256" s="969"/>
      <c r="F3256" s="1042"/>
      <c r="G3256" s="846"/>
      <c r="H3256" s="847"/>
      <c r="I3256" s="846"/>
      <c r="J3256" s="847"/>
      <c r="K3256" s="846"/>
      <c r="L3256" s="847"/>
      <c r="M3256" s="846"/>
      <c r="N3256" s="846"/>
      <c r="O3256" s="737">
        <f t="shared" si="407"/>
        <v>0</v>
      </c>
      <c r="P3256" s="847"/>
      <c r="Q3256" s="847"/>
      <c r="R3256" s="738">
        <f t="shared" si="410"/>
        <v>0</v>
      </c>
      <c r="S3256" s="737">
        <f t="shared" si="411"/>
        <v>0</v>
      </c>
      <c r="T3256" s="739">
        <f t="shared" si="412"/>
        <v>0</v>
      </c>
      <c r="U3256" s="846"/>
      <c r="V3256" s="847"/>
      <c r="W3256" s="846"/>
      <c r="X3256" s="846"/>
      <c r="Y3256" s="740">
        <f t="shared" si="408"/>
        <v>0</v>
      </c>
      <c r="Z3256" s="847"/>
      <c r="AA3256" s="847"/>
      <c r="AB3256" s="741">
        <f t="shared" si="409"/>
        <v>0</v>
      </c>
      <c r="AC3256" s="846"/>
      <c r="AD3256" s="847"/>
      <c r="AE3256" s="846"/>
      <c r="AF3256" s="846"/>
      <c r="AG3256" s="847"/>
      <c r="AH3256" s="847"/>
      <c r="AI3256" s="742">
        <f t="shared" si="413"/>
        <v>0</v>
      </c>
      <c r="AJ3256" s="743">
        <f t="shared" si="414"/>
        <v>0</v>
      </c>
    </row>
    <row r="3257" spans="1:36">
      <c r="A3257" s="950" t="s">
        <v>157</v>
      </c>
      <c r="B3257" s="985" t="s">
        <v>253</v>
      </c>
      <c r="C3257" s="974" t="s">
        <v>249</v>
      </c>
      <c r="D3257" s="975"/>
      <c r="E3257" s="969"/>
      <c r="F3257" s="1042"/>
      <c r="G3257" s="846"/>
      <c r="H3257" s="847"/>
      <c r="I3257" s="846"/>
      <c r="J3257" s="847"/>
      <c r="K3257" s="846"/>
      <c r="L3257" s="847"/>
      <c r="M3257" s="846"/>
      <c r="N3257" s="846"/>
      <c r="O3257" s="737">
        <f t="shared" si="407"/>
        <v>0</v>
      </c>
      <c r="P3257" s="847"/>
      <c r="Q3257" s="847"/>
      <c r="R3257" s="738">
        <f t="shared" si="410"/>
        <v>0</v>
      </c>
      <c r="S3257" s="737">
        <f t="shared" si="411"/>
        <v>0</v>
      </c>
      <c r="T3257" s="739">
        <f t="shared" si="412"/>
        <v>0</v>
      </c>
      <c r="U3257" s="846"/>
      <c r="V3257" s="847"/>
      <c r="W3257" s="846"/>
      <c r="X3257" s="846"/>
      <c r="Y3257" s="740">
        <f t="shared" si="408"/>
        <v>0</v>
      </c>
      <c r="Z3257" s="847"/>
      <c r="AA3257" s="847"/>
      <c r="AB3257" s="741">
        <f t="shared" si="409"/>
        <v>0</v>
      </c>
      <c r="AC3257" s="846"/>
      <c r="AD3257" s="847"/>
      <c r="AE3257" s="846"/>
      <c r="AF3257" s="846"/>
      <c r="AG3257" s="847"/>
      <c r="AH3257" s="847"/>
      <c r="AI3257" s="742">
        <f t="shared" si="413"/>
        <v>0</v>
      </c>
      <c r="AJ3257" s="743">
        <f t="shared" si="414"/>
        <v>0</v>
      </c>
    </row>
    <row r="3258" spans="1:36">
      <c r="A3258" s="1056" t="s">
        <v>157</v>
      </c>
      <c r="B3258" s="1057" t="s">
        <v>264</v>
      </c>
      <c r="C3258" s="1057" t="s">
        <v>927</v>
      </c>
      <c r="D3258" s="1058"/>
      <c r="E3258" s="1059">
        <v>237172</v>
      </c>
      <c r="F3258" s="855">
        <v>14</v>
      </c>
      <c r="G3258" s="846">
        <v>384949</v>
      </c>
      <c r="H3258" s="847">
        <v>353851</v>
      </c>
      <c r="I3258" s="846"/>
      <c r="J3258" s="847"/>
      <c r="K3258" s="846"/>
      <c r="L3258" s="847"/>
      <c r="M3258" s="846"/>
      <c r="N3258" s="846"/>
      <c r="O3258" s="737">
        <f t="shared" si="407"/>
        <v>0</v>
      </c>
      <c r="P3258" s="847"/>
      <c r="Q3258" s="847"/>
      <c r="R3258" s="738">
        <f t="shared" si="410"/>
        <v>0</v>
      </c>
      <c r="S3258" s="737">
        <f t="shared" si="411"/>
        <v>384949</v>
      </c>
      <c r="T3258" s="739">
        <f t="shared" si="412"/>
        <v>353851</v>
      </c>
      <c r="U3258" s="846"/>
      <c r="V3258" s="847"/>
      <c r="W3258" s="846"/>
      <c r="X3258" s="846"/>
      <c r="Y3258" s="740">
        <f t="shared" si="408"/>
        <v>0</v>
      </c>
      <c r="Z3258" s="847"/>
      <c r="AA3258" s="847"/>
      <c r="AB3258" s="741">
        <f t="shared" si="409"/>
        <v>0</v>
      </c>
      <c r="AC3258" s="846"/>
      <c r="AD3258" s="847"/>
      <c r="AE3258" s="846"/>
      <c r="AF3258" s="846"/>
      <c r="AG3258" s="847"/>
      <c r="AH3258" s="847"/>
      <c r="AI3258" s="742">
        <f t="shared" si="413"/>
        <v>384949</v>
      </c>
      <c r="AJ3258" s="743">
        <f t="shared" si="414"/>
        <v>353851</v>
      </c>
    </row>
    <row r="3259" spans="1:36">
      <c r="A3259" s="1056" t="s">
        <v>157</v>
      </c>
      <c r="B3259" s="1057" t="s">
        <v>264</v>
      </c>
      <c r="C3259" s="1057" t="s">
        <v>928</v>
      </c>
      <c r="D3259" s="1058"/>
      <c r="E3259" s="1059">
        <v>237224</v>
      </c>
      <c r="F3259" s="855">
        <v>14</v>
      </c>
      <c r="G3259" s="846">
        <v>353431</v>
      </c>
      <c r="H3259" s="847">
        <v>351197</v>
      </c>
      <c r="I3259" s="846"/>
      <c r="J3259" s="847"/>
      <c r="K3259" s="846"/>
      <c r="L3259" s="847"/>
      <c r="M3259" s="846"/>
      <c r="N3259" s="846"/>
      <c r="O3259" s="737">
        <f t="shared" si="407"/>
        <v>0</v>
      </c>
      <c r="P3259" s="847"/>
      <c r="Q3259" s="847"/>
      <c r="R3259" s="738">
        <f t="shared" si="410"/>
        <v>0</v>
      </c>
      <c r="S3259" s="737">
        <f t="shared" si="411"/>
        <v>353431</v>
      </c>
      <c r="T3259" s="739">
        <f t="shared" si="412"/>
        <v>351197</v>
      </c>
      <c r="U3259" s="846"/>
      <c r="V3259" s="847"/>
      <c r="W3259" s="846"/>
      <c r="X3259" s="846"/>
      <c r="Y3259" s="740">
        <f t="shared" si="408"/>
        <v>0</v>
      </c>
      <c r="Z3259" s="847"/>
      <c r="AA3259" s="847"/>
      <c r="AB3259" s="741">
        <f t="shared" si="409"/>
        <v>0</v>
      </c>
      <c r="AC3259" s="846"/>
      <c r="AD3259" s="847"/>
      <c r="AE3259" s="846"/>
      <c r="AF3259" s="846"/>
      <c r="AG3259" s="847"/>
      <c r="AH3259" s="847"/>
      <c r="AI3259" s="742">
        <f t="shared" si="413"/>
        <v>353431</v>
      </c>
      <c r="AJ3259" s="743">
        <f t="shared" si="414"/>
        <v>351197</v>
      </c>
    </row>
    <row r="3260" spans="1:36">
      <c r="A3260" s="1060" t="s">
        <v>157</v>
      </c>
      <c r="B3260" s="1057" t="s">
        <v>264</v>
      </c>
      <c r="C3260" s="1057" t="s">
        <v>929</v>
      </c>
      <c r="D3260" s="1058"/>
      <c r="E3260" s="1059">
        <v>237242</v>
      </c>
      <c r="F3260" s="855">
        <v>14</v>
      </c>
      <c r="G3260" s="846">
        <v>460803</v>
      </c>
      <c r="H3260" s="847">
        <v>481300</v>
      </c>
      <c r="I3260" s="846"/>
      <c r="J3260" s="847"/>
      <c r="K3260" s="846"/>
      <c r="L3260" s="847"/>
      <c r="M3260" s="846"/>
      <c r="N3260" s="846"/>
      <c r="O3260" s="737">
        <f t="shared" si="407"/>
        <v>0</v>
      </c>
      <c r="P3260" s="847"/>
      <c r="Q3260" s="847"/>
      <c r="R3260" s="738">
        <f t="shared" si="410"/>
        <v>0</v>
      </c>
      <c r="S3260" s="737">
        <f t="shared" si="411"/>
        <v>460803</v>
      </c>
      <c r="T3260" s="739">
        <f t="shared" si="412"/>
        <v>481300</v>
      </c>
      <c r="U3260" s="846"/>
      <c r="V3260" s="847"/>
      <c r="W3260" s="846"/>
      <c r="X3260" s="846"/>
      <c r="Y3260" s="740">
        <f t="shared" si="408"/>
        <v>0</v>
      </c>
      <c r="Z3260" s="847"/>
      <c r="AA3260" s="847"/>
      <c r="AB3260" s="741">
        <f t="shared" si="409"/>
        <v>0</v>
      </c>
      <c r="AC3260" s="846"/>
      <c r="AD3260" s="847"/>
      <c r="AE3260" s="846"/>
      <c r="AF3260" s="846"/>
      <c r="AG3260" s="847"/>
      <c r="AH3260" s="847"/>
      <c r="AI3260" s="742">
        <f t="shared" si="413"/>
        <v>460803</v>
      </c>
      <c r="AJ3260" s="743">
        <f t="shared" si="414"/>
        <v>481300</v>
      </c>
    </row>
    <row r="3261" spans="1:36">
      <c r="A3261" s="1060" t="s">
        <v>157</v>
      </c>
      <c r="B3261" s="1057" t="s">
        <v>264</v>
      </c>
      <c r="C3261" s="1057" t="s">
        <v>930</v>
      </c>
      <c r="D3261" s="1058"/>
      <c r="E3261" s="1059">
        <v>430795</v>
      </c>
      <c r="F3261" s="855">
        <v>14</v>
      </c>
      <c r="G3261" s="846">
        <v>732192</v>
      </c>
      <c r="H3261" s="847">
        <v>753952</v>
      </c>
      <c r="I3261" s="846"/>
      <c r="J3261" s="847"/>
      <c r="K3261" s="846"/>
      <c r="L3261" s="847"/>
      <c r="M3261" s="846"/>
      <c r="N3261" s="846"/>
      <c r="O3261" s="737">
        <f t="shared" si="407"/>
        <v>0</v>
      </c>
      <c r="P3261" s="847"/>
      <c r="Q3261" s="847"/>
      <c r="R3261" s="738">
        <f t="shared" si="410"/>
        <v>0</v>
      </c>
      <c r="S3261" s="737">
        <f t="shared" si="411"/>
        <v>732192</v>
      </c>
      <c r="T3261" s="739">
        <f t="shared" si="412"/>
        <v>753952</v>
      </c>
      <c r="U3261" s="846"/>
      <c r="V3261" s="847"/>
      <c r="W3261" s="846"/>
      <c r="X3261" s="846"/>
      <c r="Y3261" s="740">
        <f t="shared" si="408"/>
        <v>0</v>
      </c>
      <c r="Z3261" s="847"/>
      <c r="AA3261" s="847"/>
      <c r="AB3261" s="741">
        <f t="shared" si="409"/>
        <v>0</v>
      </c>
      <c r="AC3261" s="846"/>
      <c r="AD3261" s="847"/>
      <c r="AE3261" s="846"/>
      <c r="AF3261" s="846"/>
      <c r="AG3261" s="847"/>
      <c r="AH3261" s="847"/>
      <c r="AI3261" s="742">
        <f t="shared" si="413"/>
        <v>732192</v>
      </c>
      <c r="AJ3261" s="743">
        <f t="shared" si="414"/>
        <v>753952</v>
      </c>
    </row>
    <row r="3262" spans="1:36">
      <c r="A3262" s="1056" t="s">
        <v>157</v>
      </c>
      <c r="B3262" s="1057" t="s">
        <v>264</v>
      </c>
      <c r="C3262" s="1057" t="s">
        <v>931</v>
      </c>
      <c r="D3262" s="1058"/>
      <c r="E3262" s="1059">
        <v>413176</v>
      </c>
      <c r="F3262" s="855">
        <v>14</v>
      </c>
      <c r="G3262" s="846">
        <v>258765</v>
      </c>
      <c r="H3262" s="847">
        <v>308351</v>
      </c>
      <c r="I3262" s="846"/>
      <c r="J3262" s="847"/>
      <c r="K3262" s="846"/>
      <c r="L3262" s="847"/>
      <c r="M3262" s="846"/>
      <c r="N3262" s="846"/>
      <c r="O3262" s="737">
        <f t="shared" si="407"/>
        <v>0</v>
      </c>
      <c r="P3262" s="847"/>
      <c r="Q3262" s="847"/>
      <c r="R3262" s="738">
        <f t="shared" si="410"/>
        <v>0</v>
      </c>
      <c r="S3262" s="737">
        <f t="shared" si="411"/>
        <v>258765</v>
      </c>
      <c r="T3262" s="739">
        <f t="shared" si="412"/>
        <v>308351</v>
      </c>
      <c r="U3262" s="846"/>
      <c r="V3262" s="847"/>
      <c r="W3262" s="846"/>
      <c r="X3262" s="846"/>
      <c r="Y3262" s="740">
        <f t="shared" si="408"/>
        <v>0</v>
      </c>
      <c r="Z3262" s="847"/>
      <c r="AA3262" s="847"/>
      <c r="AB3262" s="741">
        <f t="shared" si="409"/>
        <v>0</v>
      </c>
      <c r="AC3262" s="846"/>
      <c r="AD3262" s="847"/>
      <c r="AE3262" s="846"/>
      <c r="AF3262" s="846"/>
      <c r="AG3262" s="847"/>
      <c r="AH3262" s="847"/>
      <c r="AI3262" s="742">
        <f t="shared" si="413"/>
        <v>258765</v>
      </c>
      <c r="AJ3262" s="743">
        <f t="shared" si="414"/>
        <v>308351</v>
      </c>
    </row>
    <row r="3263" spans="1:36">
      <c r="A3263" s="1056" t="s">
        <v>157</v>
      </c>
      <c r="B3263" s="1057" t="s">
        <v>264</v>
      </c>
      <c r="C3263" s="1057" t="s">
        <v>932</v>
      </c>
      <c r="D3263" s="1058"/>
      <c r="E3263" s="1059">
        <v>237844</v>
      </c>
      <c r="F3263" s="855">
        <v>14</v>
      </c>
      <c r="G3263" s="846">
        <v>232717</v>
      </c>
      <c r="H3263" s="847">
        <v>255821</v>
      </c>
      <c r="I3263" s="846"/>
      <c r="J3263" s="847"/>
      <c r="K3263" s="846"/>
      <c r="L3263" s="847"/>
      <c r="M3263" s="846"/>
      <c r="N3263" s="846"/>
      <c r="O3263" s="737">
        <f t="shared" si="407"/>
        <v>0</v>
      </c>
      <c r="P3263" s="847"/>
      <c r="Q3263" s="847"/>
      <c r="R3263" s="738">
        <f t="shared" si="410"/>
        <v>0</v>
      </c>
      <c r="S3263" s="737">
        <f t="shared" si="411"/>
        <v>232717</v>
      </c>
      <c r="T3263" s="739">
        <f t="shared" si="412"/>
        <v>255821</v>
      </c>
      <c r="U3263" s="846"/>
      <c r="V3263" s="847"/>
      <c r="W3263" s="846"/>
      <c r="X3263" s="846"/>
      <c r="Y3263" s="740">
        <f t="shared" si="408"/>
        <v>0</v>
      </c>
      <c r="Z3263" s="847"/>
      <c r="AA3263" s="847"/>
      <c r="AB3263" s="741">
        <f t="shared" si="409"/>
        <v>0</v>
      </c>
      <c r="AC3263" s="846"/>
      <c r="AD3263" s="847"/>
      <c r="AE3263" s="846"/>
      <c r="AF3263" s="846"/>
      <c r="AG3263" s="847"/>
      <c r="AH3263" s="847"/>
      <c r="AI3263" s="742">
        <f t="shared" si="413"/>
        <v>232717</v>
      </c>
      <c r="AJ3263" s="743">
        <f t="shared" si="414"/>
        <v>255821</v>
      </c>
    </row>
    <row r="3264" spans="1:36">
      <c r="A3264" s="1060" t="s">
        <v>157</v>
      </c>
      <c r="B3264" s="1057" t="s">
        <v>264</v>
      </c>
      <c r="C3264" s="1057" t="s">
        <v>933</v>
      </c>
      <c r="D3264" s="1058"/>
      <c r="E3264" s="1059">
        <v>431169</v>
      </c>
      <c r="F3264" s="855">
        <v>14</v>
      </c>
      <c r="G3264" s="846">
        <v>977319</v>
      </c>
      <c r="H3264" s="847">
        <v>863164</v>
      </c>
      <c r="I3264" s="846"/>
      <c r="J3264" s="847"/>
      <c r="K3264" s="846"/>
      <c r="L3264" s="847"/>
      <c r="M3264" s="846"/>
      <c r="N3264" s="846"/>
      <c r="O3264" s="737">
        <f t="shared" si="407"/>
        <v>0</v>
      </c>
      <c r="P3264" s="847"/>
      <c r="Q3264" s="847"/>
      <c r="R3264" s="738">
        <f t="shared" si="410"/>
        <v>0</v>
      </c>
      <c r="S3264" s="737">
        <f t="shared" si="411"/>
        <v>977319</v>
      </c>
      <c r="T3264" s="739">
        <f t="shared" si="412"/>
        <v>863164</v>
      </c>
      <c r="U3264" s="846"/>
      <c r="V3264" s="847"/>
      <c r="W3264" s="846"/>
      <c r="X3264" s="846"/>
      <c r="Y3264" s="740">
        <f t="shared" si="408"/>
        <v>0</v>
      </c>
      <c r="Z3264" s="847"/>
      <c r="AA3264" s="847"/>
      <c r="AB3264" s="741">
        <f t="shared" si="409"/>
        <v>0</v>
      </c>
      <c r="AC3264" s="846"/>
      <c r="AD3264" s="847"/>
      <c r="AE3264" s="846"/>
      <c r="AF3264" s="846"/>
      <c r="AG3264" s="847"/>
      <c r="AH3264" s="847"/>
      <c r="AI3264" s="742">
        <f t="shared" si="413"/>
        <v>977319</v>
      </c>
      <c r="AJ3264" s="743">
        <f t="shared" si="414"/>
        <v>863164</v>
      </c>
    </row>
    <row r="3265" spans="1:36">
      <c r="A3265" s="1056" t="s">
        <v>157</v>
      </c>
      <c r="B3265" s="1057" t="s">
        <v>264</v>
      </c>
      <c r="C3265" s="1057" t="s">
        <v>934</v>
      </c>
      <c r="D3265" s="1058"/>
      <c r="E3265" s="1059">
        <v>237473</v>
      </c>
      <c r="F3265" s="855">
        <v>14</v>
      </c>
      <c r="G3265" s="846">
        <v>983838</v>
      </c>
      <c r="H3265" s="847">
        <v>988526</v>
      </c>
      <c r="I3265" s="846"/>
      <c r="J3265" s="847"/>
      <c r="K3265" s="846"/>
      <c r="L3265" s="847"/>
      <c r="M3265" s="846"/>
      <c r="N3265" s="846"/>
      <c r="O3265" s="737">
        <f t="shared" si="407"/>
        <v>0</v>
      </c>
      <c r="P3265" s="847"/>
      <c r="Q3265" s="847"/>
      <c r="R3265" s="738">
        <f t="shared" si="410"/>
        <v>0</v>
      </c>
      <c r="S3265" s="737">
        <f t="shared" si="411"/>
        <v>983838</v>
      </c>
      <c r="T3265" s="739">
        <f t="shared" si="412"/>
        <v>988526</v>
      </c>
      <c r="U3265" s="846"/>
      <c r="V3265" s="847"/>
      <c r="W3265" s="846"/>
      <c r="X3265" s="846"/>
      <c r="Y3265" s="740">
        <f t="shared" si="408"/>
        <v>0</v>
      </c>
      <c r="Z3265" s="847"/>
      <c r="AA3265" s="847"/>
      <c r="AB3265" s="741">
        <f t="shared" si="409"/>
        <v>0</v>
      </c>
      <c r="AC3265" s="846"/>
      <c r="AD3265" s="847"/>
      <c r="AE3265" s="846"/>
      <c r="AF3265" s="846"/>
      <c r="AG3265" s="847"/>
      <c r="AH3265" s="847"/>
      <c r="AI3265" s="742">
        <f t="shared" si="413"/>
        <v>983838</v>
      </c>
      <c r="AJ3265" s="743">
        <f t="shared" si="414"/>
        <v>988526</v>
      </c>
    </row>
    <row r="3266" spans="1:36">
      <c r="A3266" s="1056" t="s">
        <v>157</v>
      </c>
      <c r="B3266" s="1057" t="s">
        <v>264</v>
      </c>
      <c r="C3266" s="1057" t="s">
        <v>935</v>
      </c>
      <c r="D3266" s="1058"/>
      <c r="E3266" s="1059">
        <v>446349</v>
      </c>
      <c r="F3266" s="855">
        <v>14</v>
      </c>
      <c r="G3266" s="846">
        <v>233879</v>
      </c>
      <c r="H3266" s="847">
        <v>407181</v>
      </c>
      <c r="I3266" s="846"/>
      <c r="J3266" s="847"/>
      <c r="K3266" s="846"/>
      <c r="L3266" s="847"/>
      <c r="M3266" s="846"/>
      <c r="N3266" s="846"/>
      <c r="O3266" s="737">
        <f t="shared" si="407"/>
        <v>0</v>
      </c>
      <c r="P3266" s="847"/>
      <c r="Q3266" s="847"/>
      <c r="R3266" s="738">
        <f t="shared" si="410"/>
        <v>0</v>
      </c>
      <c r="S3266" s="737">
        <f t="shared" si="411"/>
        <v>233879</v>
      </c>
      <c r="T3266" s="739">
        <f t="shared" si="412"/>
        <v>407181</v>
      </c>
      <c r="U3266" s="846"/>
      <c r="V3266" s="847"/>
      <c r="W3266" s="846"/>
      <c r="X3266" s="846"/>
      <c r="Y3266" s="740">
        <f t="shared" si="408"/>
        <v>0</v>
      </c>
      <c r="Z3266" s="847"/>
      <c r="AA3266" s="847"/>
      <c r="AB3266" s="741">
        <f t="shared" si="409"/>
        <v>0</v>
      </c>
      <c r="AC3266" s="846"/>
      <c r="AD3266" s="847"/>
      <c r="AE3266" s="846"/>
      <c r="AF3266" s="846"/>
      <c r="AG3266" s="847"/>
      <c r="AH3266" s="847"/>
      <c r="AI3266" s="742">
        <f t="shared" si="413"/>
        <v>233879</v>
      </c>
      <c r="AJ3266" s="743">
        <f t="shared" si="414"/>
        <v>407181</v>
      </c>
    </row>
    <row r="3267" spans="1:36">
      <c r="A3267" s="1056" t="s">
        <v>157</v>
      </c>
      <c r="B3267" s="1057" t="s">
        <v>264</v>
      </c>
      <c r="C3267" s="1057" t="s">
        <v>936</v>
      </c>
      <c r="D3267" s="1058"/>
      <c r="E3267" s="1059">
        <v>237516</v>
      </c>
      <c r="F3267" s="855">
        <v>14</v>
      </c>
      <c r="G3267" s="846">
        <v>174411</v>
      </c>
      <c r="H3267" s="847">
        <v>139144</v>
      </c>
      <c r="I3267" s="846"/>
      <c r="J3267" s="847"/>
      <c r="K3267" s="846"/>
      <c r="L3267" s="847"/>
      <c r="M3267" s="846"/>
      <c r="N3267" s="846"/>
      <c r="O3267" s="737">
        <f t="shared" si="407"/>
        <v>0</v>
      </c>
      <c r="P3267" s="847"/>
      <c r="Q3267" s="847"/>
      <c r="R3267" s="738">
        <f t="shared" si="410"/>
        <v>0</v>
      </c>
      <c r="S3267" s="737">
        <f t="shared" si="411"/>
        <v>174411</v>
      </c>
      <c r="T3267" s="739">
        <f t="shared" si="412"/>
        <v>139144</v>
      </c>
      <c r="U3267" s="846"/>
      <c r="V3267" s="847"/>
      <c r="W3267" s="846"/>
      <c r="X3267" s="846"/>
      <c r="Y3267" s="740">
        <f t="shared" si="408"/>
        <v>0</v>
      </c>
      <c r="Z3267" s="847"/>
      <c r="AA3267" s="847"/>
      <c r="AB3267" s="741">
        <f t="shared" si="409"/>
        <v>0</v>
      </c>
      <c r="AC3267" s="846"/>
      <c r="AD3267" s="847"/>
      <c r="AE3267" s="846"/>
      <c r="AF3267" s="846"/>
      <c r="AG3267" s="847"/>
      <c r="AH3267" s="847"/>
      <c r="AI3267" s="742">
        <f t="shared" si="413"/>
        <v>174411</v>
      </c>
      <c r="AJ3267" s="743">
        <f t="shared" si="414"/>
        <v>139144</v>
      </c>
    </row>
    <row r="3268" spans="1:36">
      <c r="A3268" s="1060" t="s">
        <v>157</v>
      </c>
      <c r="B3268" s="1057" t="s">
        <v>264</v>
      </c>
      <c r="C3268" s="1057" t="s">
        <v>937</v>
      </c>
      <c r="D3268" s="1058"/>
      <c r="E3268" s="1059">
        <v>237534</v>
      </c>
      <c r="F3268" s="855">
        <v>14</v>
      </c>
      <c r="G3268" s="846">
        <v>130809</v>
      </c>
      <c r="H3268" s="847">
        <v>117196</v>
      </c>
      <c r="I3268" s="846"/>
      <c r="J3268" s="847"/>
      <c r="K3268" s="846"/>
      <c r="L3268" s="847"/>
      <c r="M3268" s="846"/>
      <c r="N3268" s="846"/>
      <c r="O3268" s="737">
        <f t="shared" si="407"/>
        <v>0</v>
      </c>
      <c r="P3268" s="847"/>
      <c r="Q3268" s="847"/>
      <c r="R3268" s="738">
        <f t="shared" si="410"/>
        <v>0</v>
      </c>
      <c r="S3268" s="737">
        <f t="shared" si="411"/>
        <v>130809</v>
      </c>
      <c r="T3268" s="739">
        <f t="shared" si="412"/>
        <v>117196</v>
      </c>
      <c r="U3268" s="846"/>
      <c r="V3268" s="847"/>
      <c r="W3268" s="846"/>
      <c r="X3268" s="846"/>
      <c r="Y3268" s="740">
        <f t="shared" si="408"/>
        <v>0</v>
      </c>
      <c r="Z3268" s="847"/>
      <c r="AA3268" s="847"/>
      <c r="AB3268" s="741">
        <f t="shared" si="409"/>
        <v>0</v>
      </c>
      <c r="AC3268" s="846"/>
      <c r="AD3268" s="847"/>
      <c r="AE3268" s="846"/>
      <c r="AF3268" s="846"/>
      <c r="AG3268" s="847"/>
      <c r="AH3268" s="847"/>
      <c r="AI3268" s="742">
        <f t="shared" si="413"/>
        <v>130809</v>
      </c>
      <c r="AJ3268" s="743">
        <f t="shared" si="414"/>
        <v>117196</v>
      </c>
    </row>
    <row r="3269" spans="1:36">
      <c r="A3269" s="1056" t="s">
        <v>157</v>
      </c>
      <c r="B3269" s="1057" t="s">
        <v>264</v>
      </c>
      <c r="C3269" s="1057" t="s">
        <v>938</v>
      </c>
      <c r="D3269" s="1058"/>
      <c r="E3269" s="1059">
        <v>237543</v>
      </c>
      <c r="F3269" s="855">
        <v>14</v>
      </c>
      <c r="G3269" s="846">
        <v>502433</v>
      </c>
      <c r="H3269" s="847">
        <v>505348</v>
      </c>
      <c r="I3269" s="846"/>
      <c r="J3269" s="847"/>
      <c r="K3269" s="846"/>
      <c r="L3269" s="847"/>
      <c r="M3269" s="846"/>
      <c r="N3269" s="846"/>
      <c r="O3269" s="737">
        <f t="shared" si="407"/>
        <v>0</v>
      </c>
      <c r="P3269" s="847"/>
      <c r="Q3269" s="847"/>
      <c r="R3269" s="738">
        <f t="shared" si="410"/>
        <v>0</v>
      </c>
      <c r="S3269" s="737">
        <f t="shared" si="411"/>
        <v>502433</v>
      </c>
      <c r="T3269" s="739">
        <f t="shared" si="412"/>
        <v>505348</v>
      </c>
      <c r="U3269" s="846"/>
      <c r="V3269" s="847"/>
      <c r="W3269" s="846"/>
      <c r="X3269" s="846"/>
      <c r="Y3269" s="740">
        <f t="shared" si="408"/>
        <v>0</v>
      </c>
      <c r="Z3269" s="847"/>
      <c r="AA3269" s="847"/>
      <c r="AB3269" s="741">
        <f t="shared" si="409"/>
        <v>0</v>
      </c>
      <c r="AC3269" s="846"/>
      <c r="AD3269" s="847"/>
      <c r="AE3269" s="846"/>
      <c r="AF3269" s="846"/>
      <c r="AG3269" s="847"/>
      <c r="AH3269" s="847"/>
      <c r="AI3269" s="742">
        <f t="shared" si="413"/>
        <v>502433</v>
      </c>
      <c r="AJ3269" s="743">
        <f t="shared" si="414"/>
        <v>505348</v>
      </c>
    </row>
    <row r="3270" spans="1:36">
      <c r="A3270" s="1056" t="s">
        <v>157</v>
      </c>
      <c r="B3270" s="1057" t="s">
        <v>264</v>
      </c>
      <c r="C3270" s="1057" t="s">
        <v>939</v>
      </c>
      <c r="D3270" s="1058"/>
      <c r="E3270" s="1059">
        <v>368647</v>
      </c>
      <c r="F3270" s="855">
        <v>14</v>
      </c>
      <c r="G3270" s="846">
        <v>192698</v>
      </c>
      <c r="H3270" s="847">
        <v>177663</v>
      </c>
      <c r="I3270" s="846"/>
      <c r="J3270" s="847"/>
      <c r="K3270" s="846"/>
      <c r="L3270" s="847"/>
      <c r="M3270" s="846"/>
      <c r="N3270" s="846"/>
      <c r="O3270" s="737">
        <f t="shared" si="407"/>
        <v>0</v>
      </c>
      <c r="P3270" s="847"/>
      <c r="Q3270" s="847"/>
      <c r="R3270" s="738">
        <f t="shared" si="410"/>
        <v>0</v>
      </c>
      <c r="S3270" s="737">
        <f t="shared" si="411"/>
        <v>192698</v>
      </c>
      <c r="T3270" s="739">
        <f t="shared" si="412"/>
        <v>177663</v>
      </c>
      <c r="U3270" s="846"/>
      <c r="V3270" s="847"/>
      <c r="W3270" s="846"/>
      <c r="X3270" s="846"/>
      <c r="Y3270" s="740">
        <f t="shared" si="408"/>
        <v>0</v>
      </c>
      <c r="Z3270" s="847"/>
      <c r="AA3270" s="847"/>
      <c r="AB3270" s="741">
        <f t="shared" si="409"/>
        <v>0</v>
      </c>
      <c r="AC3270" s="846"/>
      <c r="AD3270" s="847"/>
      <c r="AE3270" s="846"/>
      <c r="AF3270" s="846"/>
      <c r="AG3270" s="847"/>
      <c r="AH3270" s="847"/>
      <c r="AI3270" s="742">
        <f t="shared" si="413"/>
        <v>192698</v>
      </c>
      <c r="AJ3270" s="743">
        <f t="shared" si="414"/>
        <v>177663</v>
      </c>
    </row>
    <row r="3271" spans="1:36">
      <c r="A3271" s="1056" t="s">
        <v>157</v>
      </c>
      <c r="B3271" s="1057" t="s">
        <v>264</v>
      </c>
      <c r="C3271" s="1057" t="s">
        <v>940</v>
      </c>
      <c r="D3271" s="1058"/>
      <c r="E3271" s="1059">
        <v>237561</v>
      </c>
      <c r="F3271" s="855">
        <v>14</v>
      </c>
      <c r="G3271" s="846">
        <v>787076</v>
      </c>
      <c r="H3271" s="847">
        <v>781477</v>
      </c>
      <c r="I3271" s="846"/>
      <c r="J3271" s="847"/>
      <c r="K3271" s="846"/>
      <c r="L3271" s="847"/>
      <c r="M3271" s="846"/>
      <c r="N3271" s="846"/>
      <c r="O3271" s="737">
        <f t="shared" si="407"/>
        <v>0</v>
      </c>
      <c r="P3271" s="847"/>
      <c r="Q3271" s="847"/>
      <c r="R3271" s="738">
        <f t="shared" si="410"/>
        <v>0</v>
      </c>
      <c r="S3271" s="737">
        <f t="shared" si="411"/>
        <v>787076</v>
      </c>
      <c r="T3271" s="739">
        <f t="shared" si="412"/>
        <v>781477</v>
      </c>
      <c r="U3271" s="846"/>
      <c r="V3271" s="847"/>
      <c r="W3271" s="846"/>
      <c r="X3271" s="846"/>
      <c r="Y3271" s="740">
        <f t="shared" si="408"/>
        <v>0</v>
      </c>
      <c r="Z3271" s="847"/>
      <c r="AA3271" s="847"/>
      <c r="AB3271" s="741">
        <f t="shared" si="409"/>
        <v>0</v>
      </c>
      <c r="AC3271" s="846"/>
      <c r="AD3271" s="847"/>
      <c r="AE3271" s="846"/>
      <c r="AF3271" s="846"/>
      <c r="AG3271" s="847"/>
      <c r="AH3271" s="847"/>
      <c r="AI3271" s="742">
        <f t="shared" si="413"/>
        <v>787076</v>
      </c>
      <c r="AJ3271" s="743">
        <f t="shared" si="414"/>
        <v>781477</v>
      </c>
    </row>
    <row r="3272" spans="1:36">
      <c r="A3272" s="1056" t="s">
        <v>157</v>
      </c>
      <c r="B3272" s="1057" t="s">
        <v>264</v>
      </c>
      <c r="C3272" s="1057" t="s">
        <v>941</v>
      </c>
      <c r="D3272" s="1058"/>
      <c r="E3272" s="1059">
        <v>419420</v>
      </c>
      <c r="F3272" s="855">
        <v>14</v>
      </c>
      <c r="G3272" s="846">
        <v>304202</v>
      </c>
      <c r="H3272" s="847">
        <v>296548</v>
      </c>
      <c r="I3272" s="846"/>
      <c r="J3272" s="847"/>
      <c r="K3272" s="846"/>
      <c r="L3272" s="847"/>
      <c r="M3272" s="846"/>
      <c r="N3272" s="846"/>
      <c r="O3272" s="737">
        <f t="shared" si="407"/>
        <v>0</v>
      </c>
      <c r="P3272" s="847"/>
      <c r="Q3272" s="847"/>
      <c r="R3272" s="738">
        <f t="shared" si="410"/>
        <v>0</v>
      </c>
      <c r="S3272" s="737">
        <f t="shared" si="411"/>
        <v>304202</v>
      </c>
      <c r="T3272" s="739">
        <f t="shared" si="412"/>
        <v>296548</v>
      </c>
      <c r="U3272" s="846"/>
      <c r="V3272" s="847"/>
      <c r="W3272" s="846"/>
      <c r="X3272" s="846"/>
      <c r="Y3272" s="740">
        <f t="shared" si="408"/>
        <v>0</v>
      </c>
      <c r="Z3272" s="847"/>
      <c r="AA3272" s="847"/>
      <c r="AB3272" s="741">
        <f t="shared" si="409"/>
        <v>0</v>
      </c>
      <c r="AC3272" s="846"/>
      <c r="AD3272" s="847"/>
      <c r="AE3272" s="846"/>
      <c r="AF3272" s="846"/>
      <c r="AG3272" s="847"/>
      <c r="AH3272" s="847"/>
      <c r="AI3272" s="742">
        <f t="shared" si="413"/>
        <v>304202</v>
      </c>
      <c r="AJ3272" s="743">
        <f t="shared" si="414"/>
        <v>296548</v>
      </c>
    </row>
    <row r="3273" spans="1:36">
      <c r="A3273" s="1056" t="s">
        <v>157</v>
      </c>
      <c r="B3273" s="1057" t="s">
        <v>264</v>
      </c>
      <c r="C3273" s="1057" t="s">
        <v>942</v>
      </c>
      <c r="D3273" s="1058"/>
      <c r="E3273" s="1059">
        <v>237729</v>
      </c>
      <c r="F3273" s="855">
        <v>14</v>
      </c>
      <c r="G3273" s="846">
        <v>414472</v>
      </c>
      <c r="H3273" s="847">
        <v>413321</v>
      </c>
      <c r="I3273" s="846"/>
      <c r="J3273" s="847"/>
      <c r="K3273" s="846"/>
      <c r="L3273" s="847"/>
      <c r="M3273" s="846"/>
      <c r="N3273" s="846"/>
      <c r="O3273" s="737">
        <f t="shared" si="407"/>
        <v>0</v>
      </c>
      <c r="P3273" s="847"/>
      <c r="Q3273" s="847"/>
      <c r="R3273" s="738">
        <f t="shared" si="410"/>
        <v>0</v>
      </c>
      <c r="S3273" s="737">
        <f t="shared" si="411"/>
        <v>414472</v>
      </c>
      <c r="T3273" s="739">
        <f t="shared" si="412"/>
        <v>413321</v>
      </c>
      <c r="U3273" s="846"/>
      <c r="V3273" s="847"/>
      <c r="W3273" s="846"/>
      <c r="X3273" s="846"/>
      <c r="Y3273" s="740">
        <f t="shared" si="408"/>
        <v>0</v>
      </c>
      <c r="Z3273" s="847"/>
      <c r="AA3273" s="847"/>
      <c r="AB3273" s="741">
        <f t="shared" si="409"/>
        <v>0</v>
      </c>
      <c r="AC3273" s="846"/>
      <c r="AD3273" s="847"/>
      <c r="AE3273" s="846"/>
      <c r="AF3273" s="846"/>
      <c r="AG3273" s="847"/>
      <c r="AH3273" s="847"/>
      <c r="AI3273" s="742">
        <f t="shared" si="413"/>
        <v>414472</v>
      </c>
      <c r="AJ3273" s="743">
        <f t="shared" si="414"/>
        <v>413321</v>
      </c>
    </row>
    <row r="3274" spans="1:36">
      <c r="A3274" s="1056" t="s">
        <v>157</v>
      </c>
      <c r="B3274" s="1057" t="s">
        <v>264</v>
      </c>
      <c r="C3274" s="1057" t="s">
        <v>943</v>
      </c>
      <c r="D3274" s="1058"/>
      <c r="E3274" s="1059">
        <v>237491</v>
      </c>
      <c r="F3274" s="855">
        <v>14</v>
      </c>
      <c r="G3274" s="846">
        <v>167859</v>
      </c>
      <c r="H3274" s="847">
        <v>170027</v>
      </c>
      <c r="I3274" s="846"/>
      <c r="J3274" s="847"/>
      <c r="K3274" s="846"/>
      <c r="L3274" s="847"/>
      <c r="M3274" s="846"/>
      <c r="N3274" s="846"/>
      <c r="O3274" s="737">
        <f t="shared" ref="O3274:O3283" si="415">SUM(M3274:N3274)</f>
        <v>0</v>
      </c>
      <c r="P3274" s="847"/>
      <c r="Q3274" s="847"/>
      <c r="R3274" s="738">
        <f t="shared" si="410"/>
        <v>0</v>
      </c>
      <c r="S3274" s="737">
        <f t="shared" si="411"/>
        <v>167859</v>
      </c>
      <c r="T3274" s="739">
        <f t="shared" si="412"/>
        <v>170027</v>
      </c>
      <c r="U3274" s="846"/>
      <c r="V3274" s="847"/>
      <c r="W3274" s="846"/>
      <c r="X3274" s="846"/>
      <c r="Y3274" s="740">
        <f t="shared" ref="Y3274:Y3283" si="416">SUM(W3274:X3274)</f>
        <v>0</v>
      </c>
      <c r="Z3274" s="847"/>
      <c r="AA3274" s="847"/>
      <c r="AB3274" s="741">
        <f t="shared" ref="AB3274:AB3283" si="417">SUM(Z3274:AA3274)</f>
        <v>0</v>
      </c>
      <c r="AC3274" s="846"/>
      <c r="AD3274" s="847"/>
      <c r="AE3274" s="846"/>
      <c r="AF3274" s="846"/>
      <c r="AG3274" s="847"/>
      <c r="AH3274" s="847"/>
      <c r="AI3274" s="742">
        <f t="shared" si="413"/>
        <v>167859</v>
      </c>
      <c r="AJ3274" s="743">
        <f t="shared" si="414"/>
        <v>170027</v>
      </c>
    </row>
    <row r="3275" spans="1:36">
      <c r="A3275" s="1056" t="s">
        <v>157</v>
      </c>
      <c r="B3275" s="1057" t="s">
        <v>264</v>
      </c>
      <c r="C3275" s="1057" t="s">
        <v>944</v>
      </c>
      <c r="D3275" s="1058"/>
      <c r="E3275" s="1059">
        <v>364575</v>
      </c>
      <c r="F3275" s="855">
        <v>14</v>
      </c>
      <c r="G3275" s="846">
        <v>283374</v>
      </c>
      <c r="H3275" s="847">
        <v>275097</v>
      </c>
      <c r="I3275" s="846"/>
      <c r="J3275" s="847"/>
      <c r="K3275" s="846"/>
      <c r="L3275" s="847"/>
      <c r="M3275" s="846"/>
      <c r="N3275" s="846"/>
      <c r="O3275" s="737">
        <f t="shared" si="415"/>
        <v>0</v>
      </c>
      <c r="P3275" s="847"/>
      <c r="Q3275" s="847"/>
      <c r="R3275" s="738">
        <f t="shared" ref="R3275:R3283" si="418">SUM(P3275:Q3275)</f>
        <v>0</v>
      </c>
      <c r="S3275" s="737">
        <f t="shared" ref="S3275:S3283" si="419">SUM(G3275,I3275,K3275,M3275)</f>
        <v>283374</v>
      </c>
      <c r="T3275" s="739">
        <f t="shared" ref="T3275:T3283" si="420">SUM(H3275,J3275,L3275,P3275)</f>
        <v>275097</v>
      </c>
      <c r="U3275" s="846"/>
      <c r="V3275" s="847"/>
      <c r="W3275" s="846"/>
      <c r="X3275" s="846"/>
      <c r="Y3275" s="740">
        <f t="shared" si="416"/>
        <v>0</v>
      </c>
      <c r="Z3275" s="847"/>
      <c r="AA3275" s="847"/>
      <c r="AB3275" s="741">
        <f t="shared" si="417"/>
        <v>0</v>
      </c>
      <c r="AC3275" s="846"/>
      <c r="AD3275" s="847"/>
      <c r="AE3275" s="846"/>
      <c r="AF3275" s="846"/>
      <c r="AG3275" s="847"/>
      <c r="AH3275" s="847"/>
      <c r="AI3275" s="742">
        <f t="shared" ref="AI3275:AI3283" si="421">SUM(S3275,U3275,W3275,AC3275,AE3275)</f>
        <v>283374</v>
      </c>
      <c r="AJ3275" s="743">
        <f t="shared" ref="AJ3275:AJ3283" si="422">SUM(T3275,V3275,Z3275,AD3275,AG3275)</f>
        <v>275097</v>
      </c>
    </row>
    <row r="3276" spans="1:36">
      <c r="A3276" s="1056" t="s">
        <v>157</v>
      </c>
      <c r="B3276" s="1057" t="s">
        <v>264</v>
      </c>
      <c r="C3276" s="1057" t="s">
        <v>945</v>
      </c>
      <c r="D3276" s="1058"/>
      <c r="E3276" s="1059">
        <v>441894</v>
      </c>
      <c r="F3276" s="855">
        <v>14</v>
      </c>
      <c r="G3276" s="846">
        <v>88650</v>
      </c>
      <c r="H3276" s="847">
        <v>75263</v>
      </c>
      <c r="I3276" s="846"/>
      <c r="J3276" s="847"/>
      <c r="K3276" s="846"/>
      <c r="L3276" s="847"/>
      <c r="M3276" s="846"/>
      <c r="N3276" s="846"/>
      <c r="O3276" s="737">
        <f t="shared" si="415"/>
        <v>0</v>
      </c>
      <c r="P3276" s="847"/>
      <c r="Q3276" s="847"/>
      <c r="R3276" s="738">
        <f t="shared" si="418"/>
        <v>0</v>
      </c>
      <c r="S3276" s="737">
        <f t="shared" si="419"/>
        <v>88650</v>
      </c>
      <c r="T3276" s="739">
        <f t="shared" si="420"/>
        <v>75263</v>
      </c>
      <c r="U3276" s="846"/>
      <c r="V3276" s="847"/>
      <c r="W3276" s="846"/>
      <c r="X3276" s="846"/>
      <c r="Y3276" s="740">
        <f t="shared" si="416"/>
        <v>0</v>
      </c>
      <c r="Z3276" s="847"/>
      <c r="AA3276" s="847"/>
      <c r="AB3276" s="741">
        <f t="shared" si="417"/>
        <v>0</v>
      </c>
      <c r="AC3276" s="846"/>
      <c r="AD3276" s="847"/>
      <c r="AE3276" s="846"/>
      <c r="AF3276" s="846"/>
      <c r="AG3276" s="847"/>
      <c r="AH3276" s="847"/>
      <c r="AI3276" s="742">
        <f t="shared" si="421"/>
        <v>88650</v>
      </c>
      <c r="AJ3276" s="743">
        <f t="shared" si="422"/>
        <v>75263</v>
      </c>
    </row>
    <row r="3277" spans="1:36">
      <c r="A3277" s="1056" t="s">
        <v>157</v>
      </c>
      <c r="B3277" s="1057" t="s">
        <v>264</v>
      </c>
      <c r="C3277" s="1057" t="s">
        <v>946</v>
      </c>
      <c r="D3277" s="1058"/>
      <c r="E3277" s="1059">
        <v>419031</v>
      </c>
      <c r="F3277" s="855">
        <v>14</v>
      </c>
      <c r="G3277" s="846">
        <v>226199</v>
      </c>
      <c r="H3277" s="847">
        <v>234399</v>
      </c>
      <c r="I3277" s="846"/>
      <c r="J3277" s="847"/>
      <c r="K3277" s="846"/>
      <c r="L3277" s="847"/>
      <c r="M3277" s="846"/>
      <c r="N3277" s="846"/>
      <c r="O3277" s="737">
        <f t="shared" si="415"/>
        <v>0</v>
      </c>
      <c r="P3277" s="847"/>
      <c r="Q3277" s="847"/>
      <c r="R3277" s="738">
        <f t="shared" si="418"/>
        <v>0</v>
      </c>
      <c r="S3277" s="737">
        <f t="shared" si="419"/>
        <v>226199</v>
      </c>
      <c r="T3277" s="739">
        <f t="shared" si="420"/>
        <v>234399</v>
      </c>
      <c r="U3277" s="846"/>
      <c r="V3277" s="847"/>
      <c r="W3277" s="846"/>
      <c r="X3277" s="846"/>
      <c r="Y3277" s="740">
        <f t="shared" si="416"/>
        <v>0</v>
      </c>
      <c r="Z3277" s="847"/>
      <c r="AA3277" s="847"/>
      <c r="AB3277" s="741">
        <f t="shared" si="417"/>
        <v>0</v>
      </c>
      <c r="AC3277" s="846"/>
      <c r="AD3277" s="847"/>
      <c r="AE3277" s="846"/>
      <c r="AF3277" s="846"/>
      <c r="AG3277" s="847"/>
      <c r="AH3277" s="847"/>
      <c r="AI3277" s="742">
        <f t="shared" si="421"/>
        <v>226199</v>
      </c>
      <c r="AJ3277" s="743">
        <f t="shared" si="422"/>
        <v>234399</v>
      </c>
    </row>
    <row r="3278" spans="1:36">
      <c r="A3278" s="1056" t="s">
        <v>157</v>
      </c>
      <c r="B3278" s="1057" t="s">
        <v>264</v>
      </c>
      <c r="C3278" s="1057" t="s">
        <v>947</v>
      </c>
      <c r="D3278" s="1058"/>
      <c r="E3278" s="1061" t="s">
        <v>948</v>
      </c>
      <c r="F3278" s="855">
        <v>15</v>
      </c>
      <c r="G3278" s="846">
        <v>117065</v>
      </c>
      <c r="H3278" s="847">
        <v>157651</v>
      </c>
      <c r="I3278" s="846"/>
      <c r="J3278" s="847"/>
      <c r="K3278" s="846"/>
      <c r="L3278" s="847"/>
      <c r="M3278" s="846"/>
      <c r="N3278" s="846"/>
      <c r="O3278" s="737">
        <f t="shared" si="415"/>
        <v>0</v>
      </c>
      <c r="P3278" s="847"/>
      <c r="Q3278" s="847"/>
      <c r="R3278" s="738">
        <f t="shared" si="418"/>
        <v>0</v>
      </c>
      <c r="S3278" s="737">
        <f t="shared" si="419"/>
        <v>117065</v>
      </c>
      <c r="T3278" s="739">
        <f t="shared" si="420"/>
        <v>157651</v>
      </c>
      <c r="U3278" s="846"/>
      <c r="V3278" s="847"/>
      <c r="W3278" s="846"/>
      <c r="X3278" s="846"/>
      <c r="Y3278" s="740">
        <f t="shared" si="416"/>
        <v>0</v>
      </c>
      <c r="Z3278" s="847"/>
      <c r="AA3278" s="847"/>
      <c r="AB3278" s="741">
        <f t="shared" si="417"/>
        <v>0</v>
      </c>
      <c r="AC3278" s="846"/>
      <c r="AD3278" s="847"/>
      <c r="AE3278" s="846"/>
      <c r="AF3278" s="846"/>
      <c r="AG3278" s="847"/>
      <c r="AH3278" s="847"/>
      <c r="AI3278" s="742">
        <f t="shared" si="421"/>
        <v>117065</v>
      </c>
      <c r="AJ3278" s="743">
        <f t="shared" si="422"/>
        <v>157651</v>
      </c>
    </row>
    <row r="3279" spans="1:36">
      <c r="A3279" s="1056" t="s">
        <v>157</v>
      </c>
      <c r="B3279" s="1057" t="s">
        <v>264</v>
      </c>
      <c r="C3279" s="1057" t="s">
        <v>949</v>
      </c>
      <c r="D3279" s="1058"/>
      <c r="E3279" s="1061" t="s">
        <v>948</v>
      </c>
      <c r="F3279" s="855">
        <v>15</v>
      </c>
      <c r="G3279" s="846">
        <v>263591</v>
      </c>
      <c r="H3279" s="847">
        <v>230812</v>
      </c>
      <c r="I3279" s="846"/>
      <c r="J3279" s="847"/>
      <c r="K3279" s="846"/>
      <c r="L3279" s="847"/>
      <c r="M3279" s="846"/>
      <c r="N3279" s="846"/>
      <c r="O3279" s="737">
        <f t="shared" si="415"/>
        <v>0</v>
      </c>
      <c r="P3279" s="847"/>
      <c r="Q3279" s="847"/>
      <c r="R3279" s="738">
        <f t="shared" si="418"/>
        <v>0</v>
      </c>
      <c r="S3279" s="737">
        <f t="shared" si="419"/>
        <v>263591</v>
      </c>
      <c r="T3279" s="739">
        <f t="shared" si="420"/>
        <v>230812</v>
      </c>
      <c r="U3279" s="846"/>
      <c r="V3279" s="847"/>
      <c r="W3279" s="846"/>
      <c r="X3279" s="846"/>
      <c r="Y3279" s="740">
        <f t="shared" si="416"/>
        <v>0</v>
      </c>
      <c r="Z3279" s="847"/>
      <c r="AA3279" s="847"/>
      <c r="AB3279" s="741">
        <f t="shared" si="417"/>
        <v>0</v>
      </c>
      <c r="AC3279" s="846"/>
      <c r="AD3279" s="847"/>
      <c r="AE3279" s="846"/>
      <c r="AF3279" s="846"/>
      <c r="AG3279" s="847"/>
      <c r="AH3279" s="847"/>
      <c r="AI3279" s="742">
        <f t="shared" si="421"/>
        <v>263591</v>
      </c>
      <c r="AJ3279" s="743">
        <f t="shared" si="422"/>
        <v>230812</v>
      </c>
    </row>
    <row r="3280" spans="1:36">
      <c r="A3280" s="1060" t="s">
        <v>157</v>
      </c>
      <c r="B3280" s="1057" t="s">
        <v>264</v>
      </c>
      <c r="C3280" s="1057" t="s">
        <v>950</v>
      </c>
      <c r="D3280" s="1058"/>
      <c r="E3280" s="1061" t="s">
        <v>948</v>
      </c>
      <c r="F3280" s="855">
        <v>15</v>
      </c>
      <c r="G3280" s="846">
        <v>135055</v>
      </c>
      <c r="H3280" s="847">
        <v>168629</v>
      </c>
      <c r="I3280" s="846"/>
      <c r="J3280" s="847"/>
      <c r="K3280" s="846"/>
      <c r="L3280" s="847"/>
      <c r="M3280" s="846"/>
      <c r="N3280" s="846"/>
      <c r="O3280" s="737">
        <f t="shared" si="415"/>
        <v>0</v>
      </c>
      <c r="P3280" s="847"/>
      <c r="Q3280" s="847"/>
      <c r="R3280" s="738">
        <f t="shared" si="418"/>
        <v>0</v>
      </c>
      <c r="S3280" s="737">
        <f t="shared" si="419"/>
        <v>135055</v>
      </c>
      <c r="T3280" s="739">
        <f t="shared" si="420"/>
        <v>168629</v>
      </c>
      <c r="U3280" s="846"/>
      <c r="V3280" s="847"/>
      <c r="W3280" s="846"/>
      <c r="X3280" s="846"/>
      <c r="Y3280" s="740">
        <f t="shared" si="416"/>
        <v>0</v>
      </c>
      <c r="Z3280" s="847"/>
      <c r="AA3280" s="847"/>
      <c r="AB3280" s="741">
        <f t="shared" si="417"/>
        <v>0</v>
      </c>
      <c r="AC3280" s="846"/>
      <c r="AD3280" s="847"/>
      <c r="AE3280" s="846"/>
      <c r="AF3280" s="846"/>
      <c r="AG3280" s="847"/>
      <c r="AH3280" s="847"/>
      <c r="AI3280" s="742">
        <f t="shared" si="421"/>
        <v>135055</v>
      </c>
      <c r="AJ3280" s="743">
        <f t="shared" si="422"/>
        <v>168629</v>
      </c>
    </row>
    <row r="3281" spans="1:36">
      <c r="A3281" s="1060" t="s">
        <v>157</v>
      </c>
      <c r="B3281" s="1057" t="s">
        <v>264</v>
      </c>
      <c r="C3281" s="1057" t="s">
        <v>951</v>
      </c>
      <c r="D3281" s="1058"/>
      <c r="E3281" s="1061" t="s">
        <v>948</v>
      </c>
      <c r="F3281" s="855">
        <v>15</v>
      </c>
      <c r="G3281" s="846">
        <v>145761</v>
      </c>
      <c r="H3281" s="847">
        <v>148143</v>
      </c>
      <c r="I3281" s="846"/>
      <c r="J3281" s="847"/>
      <c r="K3281" s="846"/>
      <c r="L3281" s="847"/>
      <c r="M3281" s="846"/>
      <c r="N3281" s="846"/>
      <c r="O3281" s="737">
        <f t="shared" si="415"/>
        <v>0</v>
      </c>
      <c r="P3281" s="847"/>
      <c r="Q3281" s="847"/>
      <c r="R3281" s="738">
        <f t="shared" si="418"/>
        <v>0</v>
      </c>
      <c r="S3281" s="737">
        <f t="shared" si="419"/>
        <v>145761</v>
      </c>
      <c r="T3281" s="739">
        <f t="shared" si="420"/>
        <v>148143</v>
      </c>
      <c r="U3281" s="846"/>
      <c r="V3281" s="847"/>
      <c r="W3281" s="846"/>
      <c r="X3281" s="846"/>
      <c r="Y3281" s="740">
        <f t="shared" si="416"/>
        <v>0</v>
      </c>
      <c r="Z3281" s="847"/>
      <c r="AA3281" s="847"/>
      <c r="AB3281" s="741">
        <f t="shared" si="417"/>
        <v>0</v>
      </c>
      <c r="AC3281" s="846"/>
      <c r="AD3281" s="847"/>
      <c r="AE3281" s="846"/>
      <c r="AF3281" s="846"/>
      <c r="AG3281" s="847"/>
      <c r="AH3281" s="847"/>
      <c r="AI3281" s="742">
        <f t="shared" si="421"/>
        <v>145761</v>
      </c>
      <c r="AJ3281" s="743">
        <f t="shared" si="422"/>
        <v>148143</v>
      </c>
    </row>
    <row r="3282" spans="1:36">
      <c r="A3282" s="1060" t="s">
        <v>157</v>
      </c>
      <c r="B3282" s="1057" t="s">
        <v>264</v>
      </c>
      <c r="C3282" s="1057" t="s">
        <v>952</v>
      </c>
      <c r="D3282" s="1058"/>
      <c r="E3282" s="1059">
        <v>238096</v>
      </c>
      <c r="F3282" s="855">
        <v>15</v>
      </c>
      <c r="G3282" s="846">
        <v>269947</v>
      </c>
      <c r="H3282" s="847">
        <v>419032</v>
      </c>
      <c r="I3282" s="846"/>
      <c r="J3282" s="847"/>
      <c r="K3282" s="846"/>
      <c r="L3282" s="847"/>
      <c r="M3282" s="846"/>
      <c r="N3282" s="846"/>
      <c r="O3282" s="737">
        <f t="shared" si="415"/>
        <v>0</v>
      </c>
      <c r="P3282" s="847"/>
      <c r="Q3282" s="847"/>
      <c r="R3282" s="738">
        <f t="shared" si="418"/>
        <v>0</v>
      </c>
      <c r="S3282" s="737">
        <f t="shared" si="419"/>
        <v>269947</v>
      </c>
      <c r="T3282" s="739">
        <f t="shared" si="420"/>
        <v>419032</v>
      </c>
      <c r="U3282" s="846"/>
      <c r="V3282" s="847"/>
      <c r="W3282" s="846"/>
      <c r="X3282" s="846"/>
      <c r="Y3282" s="740">
        <f t="shared" si="416"/>
        <v>0</v>
      </c>
      <c r="Z3282" s="847"/>
      <c r="AA3282" s="847"/>
      <c r="AB3282" s="741">
        <f t="shared" si="417"/>
        <v>0</v>
      </c>
      <c r="AC3282" s="846"/>
      <c r="AD3282" s="847"/>
      <c r="AE3282" s="846"/>
      <c r="AF3282" s="846"/>
      <c r="AG3282" s="847"/>
      <c r="AH3282" s="847"/>
      <c r="AI3282" s="742">
        <f t="shared" si="421"/>
        <v>269947</v>
      </c>
      <c r="AJ3282" s="743">
        <f t="shared" si="422"/>
        <v>419032</v>
      </c>
    </row>
    <row r="3283" spans="1:36">
      <c r="A3283" s="1060" t="s">
        <v>157</v>
      </c>
      <c r="B3283" s="1057" t="s">
        <v>264</v>
      </c>
      <c r="C3283" s="1057" t="s">
        <v>953</v>
      </c>
      <c r="D3283" s="1058"/>
      <c r="E3283" s="1061" t="s">
        <v>948</v>
      </c>
      <c r="F3283" s="855">
        <v>15</v>
      </c>
      <c r="G3283" s="846">
        <v>156941</v>
      </c>
      <c r="H3283" s="847">
        <v>164301</v>
      </c>
      <c r="I3283" s="846"/>
      <c r="J3283" s="847"/>
      <c r="K3283" s="846"/>
      <c r="L3283" s="847"/>
      <c r="M3283" s="846"/>
      <c r="N3283" s="846"/>
      <c r="O3283" s="737">
        <f t="shared" si="415"/>
        <v>0</v>
      </c>
      <c r="P3283" s="847"/>
      <c r="Q3283" s="847"/>
      <c r="R3283" s="738">
        <f t="shared" si="418"/>
        <v>0</v>
      </c>
      <c r="S3283" s="737">
        <f t="shared" si="419"/>
        <v>156941</v>
      </c>
      <c r="T3283" s="739">
        <f t="shared" si="420"/>
        <v>164301</v>
      </c>
      <c r="U3283" s="846"/>
      <c r="V3283" s="847"/>
      <c r="W3283" s="846"/>
      <c r="X3283" s="846"/>
      <c r="Y3283" s="740">
        <f t="shared" si="416"/>
        <v>0</v>
      </c>
      <c r="Z3283" s="847"/>
      <c r="AA3283" s="847"/>
      <c r="AB3283" s="741">
        <f t="shared" si="417"/>
        <v>0</v>
      </c>
      <c r="AC3283" s="846"/>
      <c r="AD3283" s="847"/>
      <c r="AE3283" s="846"/>
      <c r="AF3283" s="846"/>
      <c r="AG3283" s="847"/>
      <c r="AH3283" s="847"/>
      <c r="AI3283" s="742">
        <f t="shared" si="421"/>
        <v>156941</v>
      </c>
      <c r="AJ3283" s="743">
        <f t="shared" si="422"/>
        <v>164301</v>
      </c>
    </row>
    <row r="3284" spans="1:36">
      <c r="B3284" s="352"/>
      <c r="C3284" s="352"/>
      <c r="D3284" s="352"/>
      <c r="E3284" s="352"/>
      <c r="F3284" s="352"/>
      <c r="H3284" s="352"/>
      <c r="J3284" s="352"/>
      <c r="L3284" s="352"/>
      <c r="M3284" s="352"/>
      <c r="N3284" s="352"/>
      <c r="O3284" s="352"/>
      <c r="P3284" s="352"/>
      <c r="Q3284" s="352"/>
      <c r="R3284" s="352"/>
      <c r="S3284" s="352"/>
      <c r="T3284" s="352"/>
      <c r="U3284" s="352"/>
      <c r="V3284" s="352"/>
      <c r="W3284" s="352"/>
      <c r="X3284" s="352"/>
      <c r="Y3284" s="352"/>
      <c r="Z3284" s="352"/>
      <c r="AA3284" s="352"/>
      <c r="AB3284" s="352"/>
      <c r="AC3284" s="352"/>
      <c r="AD3284" s="352"/>
      <c r="AE3284" s="352"/>
      <c r="AF3284" s="352"/>
      <c r="AG3284" s="352"/>
      <c r="AH3284" s="352"/>
      <c r="AI3284" s="352"/>
      <c r="AJ3284" s="352"/>
    </row>
    <row r="3285" spans="1:36">
      <c r="B3285" s="352"/>
      <c r="C3285" s="352"/>
      <c r="D3285" s="352"/>
      <c r="E3285" s="352"/>
      <c r="F3285" s="352"/>
      <c r="H3285" s="352"/>
      <c r="J3285" s="352"/>
      <c r="L3285" s="352"/>
      <c r="M3285" s="352"/>
      <c r="N3285" s="352"/>
      <c r="O3285" s="352"/>
      <c r="P3285" s="352"/>
      <c r="Q3285" s="352"/>
      <c r="R3285" s="352"/>
      <c r="S3285" s="352"/>
      <c r="T3285" s="352"/>
      <c r="U3285" s="352"/>
      <c r="V3285" s="352"/>
      <c r="W3285" s="352"/>
      <c r="X3285" s="352"/>
      <c r="Y3285" s="352"/>
      <c r="Z3285" s="352"/>
      <c r="AA3285" s="352"/>
      <c r="AB3285" s="352"/>
      <c r="AC3285" s="352"/>
      <c r="AD3285" s="352"/>
      <c r="AE3285" s="352"/>
      <c r="AF3285" s="352"/>
      <c r="AG3285" s="352"/>
      <c r="AH3285" s="352"/>
      <c r="AI3285" s="352"/>
      <c r="AJ3285" s="352"/>
    </row>
    <row r="3286" spans="1:36">
      <c r="B3286" s="352"/>
      <c r="C3286" s="352"/>
      <c r="D3286" s="352"/>
      <c r="E3286" s="352"/>
      <c r="F3286" s="352"/>
      <c r="H3286" s="352"/>
      <c r="J3286" s="352"/>
      <c r="L3286" s="352"/>
      <c r="M3286" s="352"/>
      <c r="N3286" s="352"/>
      <c r="O3286" s="352"/>
      <c r="P3286" s="352"/>
      <c r="Q3286" s="352"/>
      <c r="R3286" s="352"/>
      <c r="S3286" s="352"/>
      <c r="T3286" s="352"/>
      <c r="U3286" s="352"/>
      <c r="V3286" s="352"/>
      <c r="W3286" s="352"/>
      <c r="X3286" s="352"/>
      <c r="Y3286" s="352"/>
      <c r="Z3286" s="352"/>
      <c r="AA3286" s="352"/>
      <c r="AB3286" s="352"/>
      <c r="AC3286" s="352"/>
      <c r="AD3286" s="352"/>
      <c r="AE3286" s="352"/>
      <c r="AF3286" s="352"/>
      <c r="AG3286" s="352"/>
      <c r="AH3286" s="352"/>
      <c r="AI3286" s="352"/>
      <c r="AJ3286" s="352"/>
    </row>
    <row r="3287" spans="1:36">
      <c r="B3287" s="352"/>
      <c r="C3287" s="352"/>
      <c r="D3287" s="352"/>
      <c r="E3287" s="352"/>
      <c r="F3287" s="352"/>
      <c r="H3287" s="352"/>
      <c r="J3287" s="352"/>
      <c r="L3287" s="352"/>
      <c r="M3287" s="352"/>
      <c r="N3287" s="352"/>
      <c r="O3287" s="352"/>
      <c r="P3287" s="352"/>
      <c r="Q3287" s="352"/>
      <c r="R3287" s="352"/>
      <c r="S3287" s="352"/>
      <c r="T3287" s="352"/>
      <c r="U3287" s="352"/>
      <c r="V3287" s="352"/>
      <c r="W3287" s="352"/>
      <c r="X3287" s="352"/>
      <c r="Y3287" s="352"/>
      <c r="Z3287" s="352"/>
      <c r="AA3287" s="352"/>
      <c r="AB3287" s="352"/>
      <c r="AC3287" s="352"/>
      <c r="AD3287" s="352"/>
      <c r="AE3287" s="352"/>
      <c r="AF3287" s="352"/>
      <c r="AG3287" s="352"/>
      <c r="AH3287" s="352"/>
      <c r="AI3287" s="352"/>
      <c r="AJ3287" s="352"/>
    </row>
    <row r="3288" spans="1:36">
      <c r="B3288" s="352"/>
      <c r="C3288" s="352"/>
      <c r="D3288" s="352"/>
      <c r="E3288" s="352"/>
      <c r="F3288" s="352"/>
      <c r="H3288" s="352"/>
      <c r="J3288" s="352"/>
      <c r="L3288" s="352"/>
      <c r="M3288" s="352"/>
      <c r="N3288" s="352"/>
      <c r="O3288" s="352"/>
      <c r="P3288" s="352"/>
      <c r="Q3288" s="352"/>
      <c r="R3288" s="352"/>
      <c r="S3288" s="352"/>
      <c r="T3288" s="352"/>
      <c r="U3288" s="352"/>
      <c r="V3288" s="352"/>
      <c r="W3288" s="352"/>
      <c r="X3288" s="352"/>
      <c r="Y3288" s="352"/>
      <c r="Z3288" s="352"/>
      <c r="AA3288" s="352"/>
      <c r="AB3288" s="352"/>
      <c r="AC3288" s="352"/>
      <c r="AD3288" s="352"/>
      <c r="AE3288" s="352"/>
      <c r="AF3288" s="352"/>
      <c r="AG3288" s="352"/>
      <c r="AH3288" s="352"/>
      <c r="AI3288" s="352"/>
      <c r="AJ3288" s="352"/>
    </row>
    <row r="3289" spans="1:36">
      <c r="B3289" s="352"/>
      <c r="C3289" s="352"/>
      <c r="D3289" s="352"/>
      <c r="E3289" s="352"/>
      <c r="F3289" s="352"/>
      <c r="H3289" s="352"/>
      <c r="J3289" s="352"/>
      <c r="L3289" s="352"/>
      <c r="M3289" s="352"/>
      <c r="N3289" s="352"/>
      <c r="O3289" s="352"/>
      <c r="P3289" s="352"/>
      <c r="Q3289" s="352"/>
      <c r="R3289" s="352"/>
      <c r="S3289" s="352"/>
      <c r="T3289" s="352"/>
      <c r="U3289" s="352"/>
      <c r="V3289" s="352"/>
      <c r="W3289" s="352"/>
      <c r="X3289" s="352"/>
      <c r="Y3289" s="352"/>
      <c r="Z3289" s="352"/>
      <c r="AA3289" s="352"/>
      <c r="AB3289" s="352"/>
      <c r="AC3289" s="352"/>
      <c r="AD3289" s="352"/>
      <c r="AE3289" s="352"/>
      <c r="AF3289" s="352"/>
      <c r="AG3289" s="352"/>
      <c r="AH3289" s="352"/>
      <c r="AI3289" s="352"/>
      <c r="AJ3289" s="352"/>
    </row>
    <row r="3290" spans="1:36">
      <c r="B3290" s="352"/>
      <c r="C3290" s="352"/>
      <c r="D3290" s="352"/>
      <c r="E3290" s="352"/>
      <c r="F3290" s="352"/>
      <c r="H3290" s="352"/>
      <c r="J3290" s="352"/>
      <c r="L3290" s="352"/>
      <c r="M3290" s="352"/>
      <c r="N3290" s="352"/>
      <c r="O3290" s="352"/>
      <c r="P3290" s="352"/>
      <c r="Q3290" s="352"/>
      <c r="R3290" s="352"/>
      <c r="S3290" s="352"/>
      <c r="T3290" s="352"/>
      <c r="U3290" s="352"/>
      <c r="V3290" s="352"/>
      <c r="W3290" s="352"/>
      <c r="X3290" s="352"/>
      <c r="Y3290" s="352"/>
      <c r="Z3290" s="352"/>
      <c r="AA3290" s="352"/>
      <c r="AB3290" s="352"/>
      <c r="AC3290" s="352"/>
      <c r="AD3290" s="352"/>
      <c r="AE3290" s="352"/>
      <c r="AF3290" s="352"/>
      <c r="AG3290" s="352"/>
      <c r="AH3290" s="352"/>
      <c r="AI3290" s="352"/>
      <c r="AJ3290" s="352"/>
    </row>
    <row r="3291" spans="1:36">
      <c r="B3291" s="352"/>
      <c r="C3291" s="352"/>
      <c r="D3291" s="352"/>
      <c r="E3291" s="352"/>
      <c r="F3291" s="352"/>
      <c r="H3291" s="352"/>
      <c r="J3291" s="352"/>
      <c r="L3291" s="352"/>
      <c r="M3291" s="352"/>
      <c r="N3291" s="352"/>
      <c r="O3291" s="352"/>
      <c r="P3291" s="352"/>
      <c r="Q3291" s="352"/>
      <c r="R3291" s="352"/>
      <c r="S3291" s="352"/>
      <c r="T3291" s="352"/>
      <c r="U3291" s="352"/>
      <c r="V3291" s="352"/>
      <c r="W3291" s="352"/>
      <c r="X3291" s="352"/>
      <c r="Y3291" s="352"/>
      <c r="Z3291" s="352"/>
      <c r="AA3291" s="352"/>
      <c r="AB3291" s="352"/>
      <c r="AC3291" s="352"/>
      <c r="AD3291" s="352"/>
      <c r="AE3291" s="352"/>
      <c r="AF3291" s="352"/>
      <c r="AG3291" s="352"/>
      <c r="AH3291" s="352"/>
      <c r="AI3291" s="352"/>
      <c r="AJ3291" s="352"/>
    </row>
    <row r="3292" spans="1:36">
      <c r="B3292" s="352"/>
      <c r="C3292" s="352"/>
      <c r="D3292" s="352"/>
      <c r="E3292" s="352"/>
      <c r="F3292" s="352"/>
      <c r="H3292" s="352"/>
      <c r="J3292" s="352"/>
      <c r="L3292" s="352"/>
      <c r="M3292" s="352"/>
      <c r="N3292" s="352"/>
      <c r="O3292" s="352"/>
      <c r="P3292" s="352"/>
      <c r="Q3292" s="352"/>
      <c r="R3292" s="352"/>
      <c r="S3292" s="352"/>
      <c r="T3292" s="352"/>
      <c r="U3292" s="352"/>
      <c r="V3292" s="352"/>
      <c r="W3292" s="352"/>
      <c r="X3292" s="352"/>
      <c r="Y3292" s="352"/>
      <c r="Z3292" s="352"/>
      <c r="AA3292" s="352"/>
      <c r="AB3292" s="352"/>
      <c r="AC3292" s="352"/>
      <c r="AD3292" s="352"/>
      <c r="AE3292" s="352"/>
      <c r="AF3292" s="352"/>
      <c r="AG3292" s="352"/>
      <c r="AH3292" s="352"/>
      <c r="AI3292" s="352"/>
      <c r="AJ3292" s="352"/>
    </row>
    <row r="3293" spans="1:36">
      <c r="B3293" s="352"/>
      <c r="C3293" s="352"/>
      <c r="D3293" s="352"/>
      <c r="E3293" s="352"/>
      <c r="F3293" s="352"/>
      <c r="H3293" s="352"/>
      <c r="J3293" s="352"/>
      <c r="L3293" s="352"/>
      <c r="M3293" s="352"/>
      <c r="N3293" s="352"/>
      <c r="O3293" s="352"/>
      <c r="P3293" s="352"/>
      <c r="Q3293" s="352"/>
      <c r="R3293" s="352"/>
      <c r="S3293" s="352"/>
      <c r="T3293" s="352"/>
      <c r="U3293" s="352"/>
      <c r="V3293" s="352"/>
      <c r="W3293" s="352"/>
      <c r="X3293" s="352"/>
      <c r="Y3293" s="352"/>
      <c r="Z3293" s="352"/>
      <c r="AA3293" s="352"/>
      <c r="AB3293" s="352"/>
      <c r="AC3293" s="352"/>
      <c r="AD3293" s="352"/>
      <c r="AE3293" s="352"/>
      <c r="AF3293" s="352"/>
      <c r="AG3293" s="352"/>
      <c r="AH3293" s="352"/>
      <c r="AI3293" s="352"/>
      <c r="AJ3293" s="352"/>
    </row>
    <row r="3294" spans="1:36">
      <c r="B3294" s="352"/>
      <c r="C3294" s="352"/>
      <c r="D3294" s="352"/>
      <c r="E3294" s="352"/>
      <c r="F3294" s="352"/>
      <c r="H3294" s="352"/>
      <c r="J3294" s="352"/>
      <c r="L3294" s="352"/>
      <c r="M3294" s="352"/>
      <c r="N3294" s="352"/>
      <c r="O3294" s="352"/>
      <c r="P3294" s="352"/>
      <c r="Q3294" s="352"/>
      <c r="R3294" s="352"/>
      <c r="S3294" s="352"/>
      <c r="T3294" s="352"/>
      <c r="U3294" s="352"/>
      <c r="V3294" s="352"/>
      <c r="W3294" s="352"/>
      <c r="X3294" s="352"/>
      <c r="Y3294" s="352"/>
      <c r="Z3294" s="352"/>
      <c r="AA3294" s="352"/>
      <c r="AB3294" s="352"/>
      <c r="AC3294" s="352"/>
      <c r="AD3294" s="352"/>
      <c r="AE3294" s="352"/>
      <c r="AF3294" s="352"/>
      <c r="AG3294" s="352"/>
      <c r="AH3294" s="352"/>
      <c r="AI3294" s="352"/>
      <c r="AJ3294" s="352"/>
    </row>
    <row r="3295" spans="1:36">
      <c r="B3295" s="352"/>
      <c r="C3295" s="352"/>
      <c r="D3295" s="352"/>
      <c r="E3295" s="352"/>
      <c r="F3295" s="352"/>
      <c r="H3295" s="352"/>
      <c r="J3295" s="352"/>
      <c r="L3295" s="352"/>
      <c r="M3295" s="352"/>
      <c r="N3295" s="352"/>
      <c r="O3295" s="352"/>
      <c r="P3295" s="352"/>
      <c r="Q3295" s="352"/>
      <c r="R3295" s="352"/>
      <c r="S3295" s="352"/>
      <c r="T3295" s="352"/>
      <c r="U3295" s="352"/>
      <c r="V3295" s="352"/>
      <c r="W3295" s="352"/>
      <c r="X3295" s="352"/>
      <c r="Y3295" s="352"/>
      <c r="Z3295" s="352"/>
      <c r="AA3295" s="352"/>
      <c r="AB3295" s="352"/>
      <c r="AC3295" s="352"/>
      <c r="AD3295" s="352"/>
      <c r="AE3295" s="352"/>
      <c r="AF3295" s="352"/>
      <c r="AG3295" s="352"/>
      <c r="AH3295" s="352"/>
      <c r="AI3295" s="352"/>
      <c r="AJ3295" s="352"/>
    </row>
    <row r="3296" spans="1:36">
      <c r="B3296" s="352"/>
      <c r="C3296" s="352"/>
      <c r="D3296" s="352"/>
      <c r="E3296" s="352"/>
      <c r="F3296" s="352"/>
      <c r="H3296" s="352"/>
      <c r="J3296" s="352"/>
      <c r="L3296" s="352"/>
      <c r="M3296" s="352"/>
      <c r="N3296" s="352"/>
      <c r="O3296" s="352"/>
      <c r="P3296" s="352"/>
      <c r="Q3296" s="352"/>
      <c r="R3296" s="352"/>
      <c r="S3296" s="352"/>
      <c r="T3296" s="352"/>
      <c r="U3296" s="352"/>
      <c r="V3296" s="352"/>
      <c r="W3296" s="352"/>
      <c r="X3296" s="352"/>
      <c r="Y3296" s="352"/>
      <c r="Z3296" s="352"/>
      <c r="AA3296" s="352"/>
      <c r="AB3296" s="352"/>
      <c r="AC3296" s="352"/>
      <c r="AD3296" s="352"/>
      <c r="AE3296" s="352"/>
      <c r="AF3296" s="352"/>
      <c r="AG3296" s="352"/>
      <c r="AH3296" s="352"/>
      <c r="AI3296" s="352"/>
      <c r="AJ3296" s="352"/>
    </row>
    <row r="3297" spans="2:36">
      <c r="B3297" s="352"/>
      <c r="C3297" s="352"/>
      <c r="D3297" s="352"/>
      <c r="E3297" s="352"/>
      <c r="F3297" s="352"/>
      <c r="H3297" s="352"/>
      <c r="J3297" s="352"/>
      <c r="L3297" s="352"/>
      <c r="M3297" s="352"/>
      <c r="N3297" s="352"/>
      <c r="O3297" s="352"/>
      <c r="P3297" s="352"/>
      <c r="Q3297" s="352"/>
      <c r="R3297" s="352"/>
      <c r="S3297" s="352"/>
      <c r="T3297" s="352"/>
      <c r="U3297" s="352"/>
      <c r="V3297" s="352"/>
      <c r="W3297" s="352"/>
      <c r="X3297" s="352"/>
      <c r="Y3297" s="352"/>
      <c r="Z3297" s="352"/>
      <c r="AA3297" s="352"/>
      <c r="AB3297" s="352"/>
      <c r="AC3297" s="352"/>
      <c r="AD3297" s="352"/>
      <c r="AE3297" s="352"/>
      <c r="AF3297" s="352"/>
      <c r="AG3297" s="352"/>
      <c r="AH3297" s="352"/>
      <c r="AI3297" s="352"/>
      <c r="AJ3297" s="352"/>
    </row>
    <row r="3298" spans="2:36">
      <c r="B3298" s="352"/>
      <c r="C3298" s="352"/>
      <c r="D3298" s="352"/>
      <c r="E3298" s="352"/>
      <c r="F3298" s="352"/>
      <c r="H3298" s="352"/>
      <c r="J3298" s="352"/>
      <c r="L3298" s="352"/>
      <c r="M3298" s="352"/>
      <c r="N3298" s="352"/>
      <c r="O3298" s="352"/>
      <c r="P3298" s="352"/>
      <c r="Q3298" s="352"/>
      <c r="R3298" s="352"/>
      <c r="S3298" s="352"/>
      <c r="T3298" s="352"/>
      <c r="U3298" s="352"/>
      <c r="V3298" s="352"/>
      <c r="W3298" s="352"/>
      <c r="X3298" s="352"/>
      <c r="Y3298" s="352"/>
      <c r="Z3298" s="352"/>
      <c r="AA3298" s="352"/>
      <c r="AB3298" s="352"/>
      <c r="AC3298" s="352"/>
      <c r="AD3298" s="352"/>
      <c r="AE3298" s="352"/>
      <c r="AF3298" s="352"/>
      <c r="AG3298" s="352"/>
      <c r="AH3298" s="352"/>
      <c r="AI3298" s="352"/>
      <c r="AJ3298" s="352"/>
    </row>
    <row r="3299" spans="2:36">
      <c r="B3299" s="352"/>
      <c r="C3299" s="352"/>
      <c r="D3299" s="352"/>
      <c r="E3299" s="352"/>
      <c r="F3299" s="352"/>
      <c r="H3299" s="352"/>
      <c r="J3299" s="352"/>
      <c r="L3299" s="352"/>
      <c r="M3299" s="352"/>
      <c r="N3299" s="352"/>
      <c r="O3299" s="352"/>
      <c r="P3299" s="352"/>
      <c r="Q3299" s="352"/>
      <c r="R3299" s="352"/>
      <c r="S3299" s="352"/>
      <c r="T3299" s="352"/>
      <c r="U3299" s="352"/>
      <c r="V3299" s="352"/>
      <c r="W3299" s="352"/>
      <c r="X3299" s="352"/>
      <c r="Y3299" s="352"/>
      <c r="Z3299" s="352"/>
      <c r="AA3299" s="352"/>
      <c r="AB3299" s="352"/>
      <c r="AC3299" s="352"/>
      <c r="AD3299" s="352"/>
      <c r="AE3299" s="352"/>
      <c r="AF3299" s="352"/>
      <c r="AG3299" s="352"/>
      <c r="AH3299" s="352"/>
      <c r="AI3299" s="352"/>
      <c r="AJ3299" s="352"/>
    </row>
    <row r="3300" spans="2:36">
      <c r="B3300" s="352"/>
      <c r="C3300" s="352"/>
      <c r="D3300" s="352"/>
      <c r="E3300" s="352"/>
      <c r="F3300" s="352"/>
      <c r="H3300" s="352"/>
      <c r="J3300" s="352"/>
      <c r="L3300" s="352"/>
      <c r="M3300" s="352"/>
      <c r="N3300" s="352"/>
      <c r="O3300" s="352"/>
      <c r="P3300" s="352"/>
      <c r="Q3300" s="352"/>
      <c r="R3300" s="352"/>
      <c r="S3300" s="352"/>
      <c r="T3300" s="352"/>
      <c r="U3300" s="352"/>
      <c r="V3300" s="352"/>
      <c r="W3300" s="352"/>
      <c r="X3300" s="352"/>
      <c r="Y3300" s="352"/>
      <c r="Z3300" s="352"/>
      <c r="AA3300" s="352"/>
      <c r="AB3300" s="352"/>
      <c r="AC3300" s="352"/>
      <c r="AD3300" s="352"/>
      <c r="AE3300" s="352"/>
      <c r="AF3300" s="352"/>
      <c r="AG3300" s="352"/>
      <c r="AH3300" s="352"/>
      <c r="AI3300" s="352"/>
      <c r="AJ3300" s="352"/>
    </row>
    <row r="3301" spans="2:36">
      <c r="B3301" s="352"/>
      <c r="C3301" s="352"/>
      <c r="D3301" s="352"/>
      <c r="E3301" s="352"/>
      <c r="F3301" s="352"/>
      <c r="H3301" s="352"/>
      <c r="J3301" s="352"/>
      <c r="L3301" s="352"/>
      <c r="M3301" s="352"/>
      <c r="N3301" s="352"/>
      <c r="O3301" s="352"/>
      <c r="P3301" s="352"/>
      <c r="Q3301" s="352"/>
      <c r="R3301" s="352"/>
      <c r="S3301" s="352"/>
      <c r="T3301" s="352"/>
      <c r="U3301" s="352"/>
      <c r="V3301" s="352"/>
      <c r="W3301" s="352"/>
      <c r="X3301" s="352"/>
      <c r="Y3301" s="352"/>
      <c r="Z3301" s="352"/>
      <c r="AA3301" s="352"/>
      <c r="AB3301" s="352"/>
      <c r="AC3301" s="352"/>
      <c r="AD3301" s="352"/>
      <c r="AE3301" s="352"/>
      <c r="AF3301" s="352"/>
      <c r="AG3301" s="352"/>
      <c r="AH3301" s="352"/>
      <c r="AI3301" s="352"/>
      <c r="AJ3301" s="352"/>
    </row>
    <row r="3302" spans="2:36">
      <c r="B3302" s="352"/>
      <c r="C3302" s="352"/>
      <c r="D3302" s="352"/>
      <c r="E3302" s="352"/>
      <c r="F3302" s="352"/>
      <c r="H3302" s="352"/>
      <c r="J3302" s="352"/>
      <c r="L3302" s="352"/>
      <c r="M3302" s="352"/>
      <c r="N3302" s="352"/>
      <c r="O3302" s="352"/>
      <c r="P3302" s="352"/>
      <c r="Q3302" s="352"/>
      <c r="R3302" s="352"/>
      <c r="S3302" s="352"/>
      <c r="T3302" s="352"/>
      <c r="U3302" s="352"/>
      <c r="V3302" s="352"/>
      <c r="W3302" s="352"/>
      <c r="X3302" s="352"/>
      <c r="Y3302" s="352"/>
      <c r="Z3302" s="352"/>
      <c r="AA3302" s="352"/>
      <c r="AB3302" s="352"/>
      <c r="AC3302" s="352"/>
      <c r="AD3302" s="352"/>
      <c r="AE3302" s="352"/>
      <c r="AF3302" s="352"/>
      <c r="AG3302" s="352"/>
      <c r="AH3302" s="352"/>
      <c r="AI3302" s="352"/>
      <c r="AJ3302" s="352"/>
    </row>
    <row r="3303" spans="2:36">
      <c r="B3303" s="352"/>
      <c r="C3303" s="352"/>
      <c r="D3303" s="352"/>
      <c r="E3303" s="352"/>
      <c r="F3303" s="352"/>
      <c r="H3303" s="352"/>
      <c r="J3303" s="352"/>
      <c r="L3303" s="352"/>
      <c r="M3303" s="352"/>
      <c r="N3303" s="352"/>
      <c r="O3303" s="352"/>
      <c r="P3303" s="352"/>
      <c r="Q3303" s="352"/>
      <c r="R3303" s="352"/>
      <c r="S3303" s="352"/>
      <c r="T3303" s="352"/>
      <c r="U3303" s="352"/>
      <c r="V3303" s="352"/>
      <c r="W3303" s="352"/>
      <c r="X3303" s="352"/>
      <c r="Y3303" s="352"/>
      <c r="Z3303" s="352"/>
      <c r="AA3303" s="352"/>
      <c r="AB3303" s="352"/>
      <c r="AC3303" s="352"/>
      <c r="AD3303" s="352"/>
      <c r="AE3303" s="352"/>
      <c r="AF3303" s="352"/>
      <c r="AG3303" s="352"/>
      <c r="AH3303" s="352"/>
      <c r="AI3303" s="352"/>
      <c r="AJ3303" s="352"/>
    </row>
    <row r="3304" spans="2:36">
      <c r="B3304" s="352"/>
      <c r="C3304" s="352"/>
      <c r="D3304" s="352"/>
      <c r="E3304" s="352"/>
      <c r="F3304" s="352"/>
      <c r="H3304" s="352"/>
      <c r="J3304" s="352"/>
      <c r="L3304" s="352"/>
      <c r="M3304" s="352"/>
      <c r="N3304" s="352"/>
      <c r="O3304" s="352"/>
      <c r="P3304" s="352"/>
      <c r="Q3304" s="352"/>
      <c r="R3304" s="352"/>
      <c r="S3304" s="352"/>
      <c r="T3304" s="352"/>
      <c r="U3304" s="352"/>
      <c r="V3304" s="352"/>
      <c r="W3304" s="352"/>
      <c r="X3304" s="352"/>
      <c r="Y3304" s="352"/>
      <c r="Z3304" s="352"/>
      <c r="AA3304" s="352"/>
      <c r="AB3304" s="352"/>
      <c r="AC3304" s="352"/>
      <c r="AD3304" s="352"/>
      <c r="AE3304" s="352"/>
      <c r="AF3304" s="352"/>
      <c r="AG3304" s="352"/>
      <c r="AH3304" s="352"/>
      <c r="AI3304" s="352"/>
      <c r="AJ3304" s="352"/>
    </row>
    <row r="3305" spans="2:36">
      <c r="B3305" s="352"/>
      <c r="C3305" s="352"/>
      <c r="D3305" s="352"/>
      <c r="E3305" s="352"/>
      <c r="F3305" s="352"/>
      <c r="H3305" s="352"/>
      <c r="J3305" s="352"/>
      <c r="L3305" s="352"/>
      <c r="M3305" s="352"/>
      <c r="N3305" s="352"/>
      <c r="O3305" s="352"/>
      <c r="P3305" s="352"/>
      <c r="Q3305" s="352"/>
      <c r="R3305" s="352"/>
      <c r="S3305" s="352"/>
      <c r="T3305" s="352"/>
      <c r="U3305" s="352"/>
      <c r="V3305" s="352"/>
      <c r="W3305" s="352"/>
      <c r="X3305" s="352"/>
      <c r="Y3305" s="352"/>
      <c r="Z3305" s="352"/>
      <c r="AA3305" s="352"/>
      <c r="AB3305" s="352"/>
      <c r="AC3305" s="352"/>
      <c r="AD3305" s="352"/>
      <c r="AE3305" s="352"/>
      <c r="AF3305" s="352"/>
      <c r="AG3305" s="352"/>
      <c r="AH3305" s="352"/>
      <c r="AI3305" s="352"/>
      <c r="AJ3305" s="352"/>
    </row>
    <row r="3306" spans="2:36">
      <c r="B3306" s="352"/>
      <c r="C3306" s="352"/>
      <c r="D3306" s="352"/>
      <c r="E3306" s="352"/>
      <c r="F3306" s="352"/>
      <c r="H3306" s="352"/>
      <c r="J3306" s="352"/>
      <c r="L3306" s="352"/>
      <c r="M3306" s="352"/>
      <c r="N3306" s="352"/>
      <c r="O3306" s="352"/>
      <c r="P3306" s="352"/>
      <c r="Q3306" s="352"/>
      <c r="R3306" s="352"/>
      <c r="S3306" s="352"/>
      <c r="T3306" s="352"/>
      <c r="U3306" s="352"/>
      <c r="V3306" s="352"/>
      <c r="W3306" s="352"/>
      <c r="X3306" s="352"/>
      <c r="Y3306" s="352"/>
      <c r="Z3306" s="352"/>
      <c r="AA3306" s="352"/>
      <c r="AB3306" s="352"/>
      <c r="AC3306" s="352"/>
      <c r="AD3306" s="352"/>
      <c r="AE3306" s="352"/>
      <c r="AF3306" s="352"/>
      <c r="AG3306" s="352"/>
      <c r="AH3306" s="352"/>
      <c r="AI3306" s="352"/>
      <c r="AJ3306" s="352"/>
    </row>
    <row r="3307" spans="2:36">
      <c r="B3307" s="352"/>
      <c r="C3307" s="352"/>
      <c r="D3307" s="352"/>
      <c r="E3307" s="352"/>
      <c r="F3307" s="352"/>
      <c r="H3307" s="352"/>
      <c r="J3307" s="352"/>
      <c r="L3307" s="352"/>
      <c r="M3307" s="352"/>
      <c r="N3307" s="352"/>
      <c r="O3307" s="352"/>
      <c r="P3307" s="352"/>
      <c r="Q3307" s="352"/>
      <c r="R3307" s="352"/>
      <c r="S3307" s="352"/>
      <c r="T3307" s="352"/>
      <c r="U3307" s="352"/>
      <c r="V3307" s="352"/>
      <c r="W3307" s="352"/>
      <c r="X3307" s="352"/>
      <c r="Y3307" s="352"/>
      <c r="Z3307" s="352"/>
      <c r="AA3307" s="352"/>
      <c r="AB3307" s="352"/>
      <c r="AC3307" s="352"/>
      <c r="AD3307" s="352"/>
      <c r="AE3307" s="352"/>
      <c r="AF3307" s="352"/>
      <c r="AG3307" s="352"/>
      <c r="AH3307" s="352"/>
      <c r="AI3307" s="352"/>
      <c r="AJ3307" s="352"/>
    </row>
    <row r="3308" spans="2:36">
      <c r="B3308" s="352"/>
      <c r="C3308" s="352"/>
      <c r="D3308" s="352"/>
      <c r="E3308" s="352"/>
      <c r="F3308" s="352"/>
      <c r="H3308" s="352"/>
      <c r="J3308" s="352"/>
      <c r="L3308" s="352"/>
      <c r="M3308" s="352"/>
      <c r="N3308" s="352"/>
      <c r="O3308" s="352"/>
      <c r="P3308" s="352"/>
      <c r="Q3308" s="352"/>
      <c r="R3308" s="352"/>
      <c r="S3308" s="352"/>
      <c r="T3308" s="352"/>
      <c r="U3308" s="352"/>
      <c r="V3308" s="352"/>
      <c r="W3308" s="352"/>
      <c r="X3308" s="352"/>
      <c r="Y3308" s="352"/>
      <c r="Z3308" s="352"/>
      <c r="AA3308" s="352"/>
      <c r="AB3308" s="352"/>
      <c r="AC3308" s="352"/>
      <c r="AD3308" s="352"/>
      <c r="AE3308" s="352"/>
      <c r="AF3308" s="352"/>
      <c r="AG3308" s="352"/>
      <c r="AH3308" s="352"/>
      <c r="AI3308" s="352"/>
      <c r="AJ3308" s="352"/>
    </row>
    <row r="3309" spans="2:36">
      <c r="B3309" s="352"/>
      <c r="C3309" s="352"/>
      <c r="D3309" s="352"/>
      <c r="E3309" s="352"/>
      <c r="F3309" s="352"/>
      <c r="H3309" s="352"/>
      <c r="J3309" s="352"/>
      <c r="L3309" s="352"/>
      <c r="M3309" s="352"/>
      <c r="N3309" s="352"/>
      <c r="O3309" s="352"/>
      <c r="P3309" s="352"/>
      <c r="Q3309" s="352"/>
      <c r="R3309" s="352"/>
      <c r="S3309" s="352"/>
      <c r="T3309" s="352"/>
      <c r="U3309" s="352"/>
      <c r="V3309" s="352"/>
      <c r="W3309" s="352"/>
      <c r="X3309" s="352"/>
      <c r="Y3309" s="352"/>
      <c r="Z3309" s="352"/>
      <c r="AA3309" s="352"/>
      <c r="AB3309" s="352"/>
      <c r="AC3309" s="352"/>
      <c r="AD3309" s="352"/>
      <c r="AE3309" s="352"/>
      <c r="AF3309" s="352"/>
      <c r="AG3309" s="352"/>
      <c r="AH3309" s="352"/>
      <c r="AI3309" s="352"/>
      <c r="AJ3309" s="352"/>
    </row>
    <row r="3310" spans="2:36">
      <c r="B3310" s="352"/>
      <c r="C3310" s="352"/>
      <c r="D3310" s="352"/>
      <c r="E3310" s="352"/>
      <c r="F3310" s="352"/>
      <c r="H3310" s="352"/>
      <c r="J3310" s="352"/>
      <c r="L3310" s="352"/>
      <c r="M3310" s="352"/>
      <c r="N3310" s="352"/>
      <c r="O3310" s="352"/>
      <c r="P3310" s="352"/>
      <c r="Q3310" s="352"/>
      <c r="R3310" s="352"/>
      <c r="S3310" s="352"/>
      <c r="T3310" s="352"/>
      <c r="U3310" s="352"/>
      <c r="V3310" s="352"/>
      <c r="W3310" s="352"/>
      <c r="X3310" s="352"/>
      <c r="Y3310" s="352"/>
      <c r="Z3310" s="352"/>
      <c r="AA3310" s="352"/>
      <c r="AB3310" s="352"/>
      <c r="AC3310" s="352"/>
      <c r="AD3310" s="352"/>
      <c r="AE3310" s="352"/>
      <c r="AF3310" s="352"/>
      <c r="AG3310" s="352"/>
      <c r="AH3310" s="352"/>
      <c r="AI3310" s="352"/>
      <c r="AJ3310" s="352"/>
    </row>
    <row r="3311" spans="2:36">
      <c r="B3311" s="352"/>
      <c r="C3311" s="352"/>
      <c r="D3311" s="352"/>
      <c r="E3311" s="352"/>
      <c r="F3311" s="352"/>
      <c r="H3311" s="352"/>
      <c r="J3311" s="352"/>
      <c r="L3311" s="352"/>
      <c r="M3311" s="352"/>
      <c r="N3311" s="352"/>
      <c r="O3311" s="352"/>
      <c r="P3311" s="352"/>
      <c r="Q3311" s="352"/>
      <c r="R3311" s="352"/>
      <c r="S3311" s="352"/>
      <c r="T3311" s="352"/>
      <c r="U3311" s="352"/>
      <c r="V3311" s="352"/>
      <c r="W3311" s="352"/>
      <c r="X3311" s="352"/>
      <c r="Y3311" s="352"/>
      <c r="Z3311" s="352"/>
      <c r="AA3311" s="352"/>
      <c r="AB3311" s="352"/>
      <c r="AC3311" s="352"/>
      <c r="AD3311" s="352"/>
      <c r="AE3311" s="352"/>
      <c r="AF3311" s="352"/>
      <c r="AG3311" s="352"/>
      <c r="AH3311" s="352"/>
      <c r="AI3311" s="352"/>
      <c r="AJ3311" s="352"/>
    </row>
    <row r="3312" spans="2:36">
      <c r="B3312" s="352"/>
      <c r="C3312" s="352"/>
      <c r="D3312" s="352"/>
      <c r="E3312" s="352"/>
      <c r="F3312" s="352"/>
      <c r="H3312" s="352"/>
      <c r="J3312" s="352"/>
      <c r="L3312" s="352"/>
      <c r="M3312" s="352"/>
      <c r="N3312" s="352"/>
      <c r="O3312" s="352"/>
      <c r="P3312" s="352"/>
      <c r="Q3312" s="352"/>
      <c r="R3312" s="352"/>
      <c r="S3312" s="352"/>
      <c r="T3312" s="352"/>
      <c r="U3312" s="352"/>
      <c r="V3312" s="352"/>
      <c r="W3312" s="352"/>
      <c r="X3312" s="352"/>
      <c r="Y3312" s="352"/>
      <c r="Z3312" s="352"/>
      <c r="AA3312" s="352"/>
      <c r="AB3312" s="352"/>
      <c r="AC3312" s="352"/>
      <c r="AD3312" s="352"/>
      <c r="AE3312" s="352"/>
      <c r="AF3312" s="352"/>
      <c r="AG3312" s="352"/>
      <c r="AH3312" s="352"/>
      <c r="AI3312" s="352"/>
      <c r="AJ3312" s="352"/>
    </row>
    <row r="3313" spans="2:36">
      <c r="B3313" s="352"/>
      <c r="C3313" s="352"/>
      <c r="D3313" s="352"/>
      <c r="E3313" s="352"/>
      <c r="F3313" s="352"/>
      <c r="H3313" s="352"/>
      <c r="J3313" s="352"/>
      <c r="L3313" s="352"/>
      <c r="M3313" s="352"/>
      <c r="N3313" s="352"/>
      <c r="O3313" s="352"/>
      <c r="P3313" s="352"/>
      <c r="Q3313" s="352"/>
      <c r="R3313" s="352"/>
      <c r="S3313" s="352"/>
      <c r="T3313" s="352"/>
      <c r="U3313" s="352"/>
      <c r="V3313" s="352"/>
      <c r="W3313" s="352"/>
      <c r="X3313" s="352"/>
      <c r="Y3313" s="352"/>
      <c r="Z3313" s="352"/>
      <c r="AA3313" s="352"/>
      <c r="AB3313" s="352"/>
      <c r="AC3313" s="352"/>
      <c r="AD3313" s="352"/>
      <c r="AE3313" s="352"/>
      <c r="AF3313" s="352"/>
      <c r="AG3313" s="352"/>
      <c r="AH3313" s="352"/>
      <c r="AI3313" s="352"/>
      <c r="AJ3313" s="352"/>
    </row>
    <row r="3314" spans="2:36">
      <c r="B3314" s="352"/>
      <c r="C3314" s="352"/>
      <c r="D3314" s="352"/>
      <c r="E3314" s="352"/>
      <c r="F3314" s="352"/>
      <c r="H3314" s="352"/>
      <c r="J3314" s="352"/>
      <c r="L3314" s="352"/>
      <c r="M3314" s="352"/>
      <c r="N3314" s="352"/>
      <c r="O3314" s="352"/>
      <c r="P3314" s="352"/>
      <c r="Q3314" s="352"/>
      <c r="R3314" s="352"/>
      <c r="S3314" s="352"/>
      <c r="T3314" s="352"/>
      <c r="U3314" s="352"/>
      <c r="V3314" s="352"/>
      <c r="W3314" s="352"/>
      <c r="X3314" s="352"/>
      <c r="Y3314" s="352"/>
      <c r="Z3314" s="352"/>
      <c r="AA3314" s="352"/>
      <c r="AB3314" s="352"/>
      <c r="AC3314" s="352"/>
      <c r="AD3314" s="352"/>
      <c r="AE3314" s="352"/>
      <c r="AF3314" s="352"/>
      <c r="AG3314" s="352"/>
      <c r="AH3314" s="352"/>
      <c r="AI3314" s="352"/>
      <c r="AJ3314" s="352"/>
    </row>
    <row r="3315" spans="2:36">
      <c r="B3315" s="352"/>
      <c r="C3315" s="352"/>
      <c r="D3315" s="352"/>
      <c r="E3315" s="352"/>
      <c r="F3315" s="352"/>
      <c r="H3315" s="352"/>
      <c r="J3315" s="352"/>
      <c r="L3315" s="352"/>
      <c r="M3315" s="352"/>
      <c r="N3315" s="352"/>
      <c r="O3315" s="352"/>
      <c r="P3315" s="352"/>
      <c r="Q3315" s="352"/>
      <c r="R3315" s="352"/>
      <c r="S3315" s="352"/>
      <c r="T3315" s="352"/>
      <c r="U3315" s="352"/>
      <c r="V3315" s="352"/>
      <c r="W3315" s="352"/>
      <c r="X3315" s="352"/>
      <c r="Y3315" s="352"/>
      <c r="Z3315" s="352"/>
      <c r="AA3315" s="352"/>
      <c r="AB3315" s="352"/>
      <c r="AC3315" s="352"/>
      <c r="AD3315" s="352"/>
      <c r="AE3315" s="352"/>
      <c r="AF3315" s="352"/>
      <c r="AG3315" s="352"/>
      <c r="AH3315" s="352"/>
      <c r="AI3315" s="352"/>
      <c r="AJ3315" s="352"/>
    </row>
    <row r="3316" spans="2:36">
      <c r="B3316" s="352"/>
      <c r="C3316" s="352"/>
      <c r="D3316" s="352"/>
      <c r="E3316" s="352"/>
      <c r="F3316" s="352"/>
      <c r="H3316" s="352"/>
      <c r="J3316" s="352"/>
      <c r="L3316" s="352"/>
      <c r="M3316" s="352"/>
      <c r="N3316" s="352"/>
      <c r="O3316" s="352"/>
      <c r="P3316" s="352"/>
      <c r="Q3316" s="352"/>
      <c r="R3316" s="352"/>
      <c r="S3316" s="352"/>
      <c r="T3316" s="352"/>
      <c r="U3316" s="352"/>
      <c r="V3316" s="352"/>
      <c r="W3316" s="352"/>
      <c r="X3316" s="352"/>
      <c r="Y3316" s="352"/>
      <c r="Z3316" s="352"/>
      <c r="AA3316" s="352"/>
      <c r="AB3316" s="352"/>
      <c r="AC3316" s="352"/>
      <c r="AD3316" s="352"/>
      <c r="AE3316" s="352"/>
      <c r="AF3316" s="352"/>
      <c r="AG3316" s="352"/>
      <c r="AH3316" s="352"/>
      <c r="AI3316" s="352"/>
      <c r="AJ3316" s="352"/>
    </row>
    <row r="3317" spans="2:36">
      <c r="B3317" s="352"/>
      <c r="C3317" s="352"/>
      <c r="D3317" s="352"/>
      <c r="E3317" s="352"/>
      <c r="F3317" s="352"/>
      <c r="H3317" s="352"/>
      <c r="J3317" s="352"/>
      <c r="L3317" s="352"/>
      <c r="M3317" s="352"/>
      <c r="N3317" s="352"/>
      <c r="O3317" s="352"/>
      <c r="P3317" s="352"/>
      <c r="Q3317" s="352"/>
      <c r="R3317" s="352"/>
      <c r="S3317" s="352"/>
      <c r="T3317" s="352"/>
      <c r="U3317" s="352"/>
      <c r="V3317" s="352"/>
      <c r="W3317" s="352"/>
      <c r="X3317" s="352"/>
      <c r="Y3317" s="352"/>
      <c r="Z3317" s="352"/>
      <c r="AA3317" s="352"/>
      <c r="AB3317" s="352"/>
      <c r="AC3317" s="352"/>
      <c r="AD3317" s="352"/>
      <c r="AE3317" s="352"/>
      <c r="AF3317" s="352"/>
      <c r="AG3317" s="352"/>
      <c r="AH3317" s="352"/>
      <c r="AI3317" s="352"/>
      <c r="AJ3317" s="352"/>
    </row>
    <row r="3318" spans="2:36">
      <c r="B3318" s="352"/>
      <c r="C3318" s="352"/>
      <c r="D3318" s="352"/>
      <c r="E3318" s="352"/>
      <c r="F3318" s="352"/>
      <c r="H3318" s="352"/>
      <c r="J3318" s="352"/>
      <c r="L3318" s="352"/>
      <c r="M3318" s="352"/>
      <c r="N3318" s="352"/>
      <c r="O3318" s="352"/>
      <c r="P3318" s="352"/>
      <c r="Q3318" s="352"/>
      <c r="R3318" s="352"/>
      <c r="S3318" s="352"/>
      <c r="T3318" s="352"/>
      <c r="U3318" s="352"/>
      <c r="V3318" s="352"/>
      <c r="W3318" s="352"/>
      <c r="X3318" s="352"/>
      <c r="Y3318" s="352"/>
      <c r="Z3318" s="352"/>
      <c r="AA3318" s="352"/>
      <c r="AB3318" s="352"/>
      <c r="AC3318" s="352"/>
      <c r="AD3318" s="352"/>
      <c r="AE3318" s="352"/>
      <c r="AF3318" s="352"/>
      <c r="AG3318" s="352"/>
      <c r="AH3318" s="352"/>
      <c r="AI3318" s="352"/>
      <c r="AJ3318" s="352"/>
    </row>
    <row r="3319" spans="2:36">
      <c r="B3319" s="352"/>
      <c r="C3319" s="352"/>
      <c r="D3319" s="352"/>
      <c r="E3319" s="352"/>
      <c r="F3319" s="352"/>
      <c r="H3319" s="352"/>
      <c r="J3319" s="352"/>
      <c r="L3319" s="352"/>
      <c r="M3319" s="352"/>
      <c r="N3319" s="352"/>
      <c r="O3319" s="352"/>
      <c r="P3319" s="352"/>
      <c r="Q3319" s="352"/>
      <c r="R3319" s="352"/>
      <c r="S3319" s="352"/>
      <c r="T3319" s="352"/>
      <c r="U3319" s="352"/>
      <c r="V3319" s="352"/>
      <c r="W3319" s="352"/>
      <c r="X3319" s="352"/>
      <c r="Y3319" s="352"/>
      <c r="Z3319" s="352"/>
      <c r="AA3319" s="352"/>
      <c r="AB3319" s="352"/>
      <c r="AC3319" s="352"/>
      <c r="AD3319" s="352"/>
      <c r="AE3319" s="352"/>
      <c r="AF3319" s="352"/>
      <c r="AG3319" s="352"/>
      <c r="AH3319" s="352"/>
      <c r="AI3319" s="352"/>
      <c r="AJ3319" s="352"/>
    </row>
    <row r="3320" spans="2:36">
      <c r="B3320" s="352"/>
      <c r="C3320" s="352"/>
      <c r="D3320" s="352"/>
      <c r="E3320" s="352"/>
      <c r="F3320" s="352"/>
      <c r="H3320" s="352"/>
      <c r="J3320" s="352"/>
      <c r="L3320" s="352"/>
      <c r="M3320" s="352"/>
      <c r="N3320" s="352"/>
      <c r="O3320" s="352"/>
      <c r="P3320" s="352"/>
      <c r="Q3320" s="352"/>
      <c r="R3320" s="352"/>
      <c r="S3320" s="352"/>
      <c r="T3320" s="352"/>
      <c r="U3320" s="352"/>
      <c r="V3320" s="352"/>
      <c r="W3320" s="352"/>
      <c r="X3320" s="352"/>
      <c r="Y3320" s="352"/>
      <c r="Z3320" s="352"/>
      <c r="AA3320" s="352"/>
      <c r="AB3320" s="352"/>
      <c r="AC3320" s="352"/>
      <c r="AD3320" s="352"/>
      <c r="AE3320" s="352"/>
      <c r="AF3320" s="352"/>
      <c r="AG3320" s="352"/>
      <c r="AH3320" s="352"/>
      <c r="AI3320" s="352"/>
      <c r="AJ3320" s="352"/>
    </row>
    <row r="3321" spans="2:36">
      <c r="B3321" s="352"/>
      <c r="C3321" s="352"/>
      <c r="D3321" s="352"/>
      <c r="E3321" s="352"/>
      <c r="F3321" s="352"/>
      <c r="H3321" s="352"/>
      <c r="J3321" s="352"/>
      <c r="L3321" s="352"/>
      <c r="M3321" s="352"/>
      <c r="N3321" s="352"/>
      <c r="O3321" s="352"/>
      <c r="P3321" s="352"/>
      <c r="Q3321" s="352"/>
      <c r="R3321" s="352"/>
      <c r="S3321" s="352"/>
      <c r="T3321" s="352"/>
      <c r="U3321" s="352"/>
      <c r="V3321" s="352"/>
      <c r="W3321" s="352"/>
      <c r="X3321" s="352"/>
      <c r="Y3321" s="352"/>
      <c r="Z3321" s="352"/>
      <c r="AA3321" s="352"/>
      <c r="AB3321" s="352"/>
      <c r="AC3321" s="352"/>
      <c r="AD3321" s="352"/>
      <c r="AE3321" s="352"/>
      <c r="AF3321" s="352"/>
      <c r="AG3321" s="352"/>
      <c r="AH3321" s="352"/>
      <c r="AI3321" s="352"/>
      <c r="AJ3321" s="352"/>
    </row>
    <row r="3322" spans="2:36">
      <c r="B3322" s="352"/>
      <c r="C3322" s="352"/>
      <c r="D3322" s="352"/>
      <c r="E3322" s="352"/>
      <c r="F3322" s="352"/>
      <c r="H3322" s="352"/>
      <c r="J3322" s="352"/>
      <c r="L3322" s="352"/>
      <c r="M3322" s="352"/>
      <c r="N3322" s="352"/>
      <c r="O3322" s="352"/>
      <c r="P3322" s="352"/>
      <c r="Q3322" s="352"/>
      <c r="R3322" s="352"/>
      <c r="S3322" s="352"/>
      <c r="T3322" s="352"/>
      <c r="U3322" s="352"/>
      <c r="V3322" s="352"/>
      <c r="W3322" s="352"/>
      <c r="X3322" s="352"/>
      <c r="Y3322" s="352"/>
      <c r="Z3322" s="352"/>
      <c r="AA3322" s="352"/>
      <c r="AB3322" s="352"/>
      <c r="AC3322" s="352"/>
      <c r="AD3322" s="352"/>
      <c r="AE3322" s="352"/>
      <c r="AF3322" s="352"/>
      <c r="AG3322" s="352"/>
      <c r="AH3322" s="352"/>
      <c r="AI3322" s="352"/>
      <c r="AJ3322" s="352"/>
    </row>
    <row r="3323" spans="2:36">
      <c r="B3323" s="352"/>
      <c r="C3323" s="352"/>
      <c r="D3323" s="352"/>
      <c r="E3323" s="352"/>
      <c r="F3323" s="352"/>
      <c r="H3323" s="352"/>
      <c r="J3323" s="352"/>
      <c r="L3323" s="352"/>
      <c r="M3323" s="352"/>
      <c r="N3323" s="352"/>
      <c r="O3323" s="352"/>
      <c r="P3323" s="352"/>
      <c r="Q3323" s="352"/>
      <c r="R3323" s="352"/>
      <c r="S3323" s="352"/>
      <c r="T3323" s="352"/>
      <c r="U3323" s="352"/>
      <c r="V3323" s="352"/>
      <c r="W3323" s="352"/>
      <c r="X3323" s="352"/>
      <c r="Y3323" s="352"/>
      <c r="Z3323" s="352"/>
      <c r="AA3323" s="352"/>
      <c r="AB3323" s="352"/>
      <c r="AC3323" s="352"/>
      <c r="AD3323" s="352"/>
      <c r="AE3323" s="352"/>
      <c r="AF3323" s="352"/>
      <c r="AG3323" s="352"/>
      <c r="AH3323" s="352"/>
      <c r="AI3323" s="352"/>
      <c r="AJ3323" s="352"/>
    </row>
    <row r="3324" spans="2:36">
      <c r="B3324" s="352"/>
      <c r="C3324" s="352"/>
      <c r="D3324" s="352"/>
      <c r="E3324" s="352"/>
      <c r="F3324" s="352"/>
      <c r="H3324" s="352"/>
      <c r="J3324" s="352"/>
      <c r="L3324" s="352"/>
      <c r="M3324" s="352"/>
      <c r="N3324" s="352"/>
      <c r="O3324" s="352"/>
      <c r="P3324" s="352"/>
      <c r="Q3324" s="352"/>
      <c r="R3324" s="352"/>
      <c r="S3324" s="352"/>
      <c r="T3324" s="352"/>
      <c r="U3324" s="352"/>
      <c r="V3324" s="352"/>
      <c r="W3324" s="352"/>
      <c r="X3324" s="352"/>
      <c r="Y3324" s="352"/>
      <c r="Z3324" s="352"/>
      <c r="AA3324" s="352"/>
      <c r="AB3324" s="352"/>
      <c r="AC3324" s="352"/>
      <c r="AD3324" s="352"/>
      <c r="AE3324" s="352"/>
      <c r="AF3324" s="352"/>
      <c r="AG3324" s="352"/>
      <c r="AH3324" s="352"/>
      <c r="AI3324" s="352"/>
      <c r="AJ3324" s="352"/>
    </row>
    <row r="3325" spans="2:36">
      <c r="B3325" s="352"/>
      <c r="C3325" s="352"/>
      <c r="D3325" s="352"/>
      <c r="E3325" s="352"/>
      <c r="F3325" s="352"/>
      <c r="H3325" s="352"/>
      <c r="J3325" s="352"/>
      <c r="L3325" s="352"/>
      <c r="M3325" s="352"/>
      <c r="N3325" s="352"/>
      <c r="O3325" s="352"/>
      <c r="P3325" s="352"/>
      <c r="Q3325" s="352"/>
      <c r="R3325" s="352"/>
      <c r="S3325" s="352"/>
      <c r="T3325" s="352"/>
      <c r="U3325" s="352"/>
      <c r="V3325" s="352"/>
      <c r="W3325" s="352"/>
      <c r="X3325" s="352"/>
      <c r="Y3325" s="352"/>
      <c r="Z3325" s="352"/>
      <c r="AA3325" s="352"/>
      <c r="AB3325" s="352"/>
      <c r="AC3325" s="352"/>
      <c r="AD3325" s="352"/>
      <c r="AE3325" s="352"/>
      <c r="AF3325" s="352"/>
      <c r="AG3325" s="352"/>
      <c r="AH3325" s="352"/>
      <c r="AI3325" s="352"/>
      <c r="AJ3325" s="352"/>
    </row>
    <row r="3326" spans="2:36">
      <c r="B3326" s="352"/>
      <c r="C3326" s="352"/>
      <c r="D3326" s="352"/>
      <c r="E3326" s="352"/>
      <c r="F3326" s="352"/>
      <c r="H3326" s="352"/>
      <c r="J3326" s="352"/>
      <c r="L3326" s="352"/>
      <c r="M3326" s="352"/>
      <c r="N3326" s="352"/>
      <c r="O3326" s="352"/>
      <c r="P3326" s="352"/>
      <c r="Q3326" s="352"/>
      <c r="R3326" s="352"/>
      <c r="S3326" s="352"/>
      <c r="T3326" s="352"/>
      <c r="U3326" s="352"/>
      <c r="V3326" s="352"/>
      <c r="W3326" s="352"/>
      <c r="X3326" s="352"/>
      <c r="Y3326" s="352"/>
      <c r="Z3326" s="352"/>
      <c r="AA3326" s="352"/>
      <c r="AB3326" s="352"/>
      <c r="AC3326" s="352"/>
      <c r="AD3326" s="352"/>
      <c r="AE3326" s="352"/>
      <c r="AF3326" s="352"/>
      <c r="AG3326" s="352"/>
      <c r="AH3326" s="352"/>
      <c r="AI3326" s="352"/>
      <c r="AJ3326" s="352"/>
    </row>
    <row r="3327" spans="2:36">
      <c r="B3327" s="352"/>
      <c r="C3327" s="352"/>
      <c r="D3327" s="352"/>
      <c r="E3327" s="352"/>
      <c r="F3327" s="352"/>
      <c r="H3327" s="352"/>
      <c r="J3327" s="352"/>
      <c r="L3327" s="352"/>
      <c r="M3327" s="352"/>
      <c r="N3327" s="352"/>
      <c r="O3327" s="352"/>
      <c r="P3327" s="352"/>
      <c r="Q3327" s="352"/>
      <c r="R3327" s="352"/>
      <c r="S3327" s="352"/>
      <c r="T3327" s="352"/>
      <c r="U3327" s="352"/>
      <c r="V3327" s="352"/>
      <c r="W3327" s="352"/>
      <c r="X3327" s="352"/>
      <c r="Y3327" s="352"/>
      <c r="Z3327" s="352"/>
      <c r="AA3327" s="352"/>
      <c r="AB3327" s="352"/>
      <c r="AC3327" s="352"/>
      <c r="AD3327" s="352"/>
      <c r="AE3327" s="352"/>
      <c r="AF3327" s="352"/>
      <c r="AG3327" s="352"/>
      <c r="AH3327" s="352"/>
      <c r="AI3327" s="352"/>
      <c r="AJ3327" s="352"/>
    </row>
    <row r="3328" spans="2:36">
      <c r="B3328" s="352"/>
      <c r="C3328" s="352"/>
      <c r="D3328" s="352"/>
      <c r="E3328" s="352"/>
      <c r="F3328" s="352"/>
      <c r="H3328" s="352"/>
      <c r="J3328" s="352"/>
      <c r="L3328" s="352"/>
      <c r="M3328" s="352"/>
      <c r="N3328" s="352"/>
      <c r="O3328" s="352"/>
      <c r="P3328" s="352"/>
      <c r="Q3328" s="352"/>
      <c r="R3328" s="352"/>
      <c r="S3328" s="352"/>
      <c r="T3328" s="352"/>
      <c r="U3328" s="352"/>
      <c r="V3328" s="352"/>
      <c r="W3328" s="352"/>
      <c r="X3328" s="352"/>
      <c r="Y3328" s="352"/>
      <c r="Z3328" s="352"/>
      <c r="AA3328" s="352"/>
      <c r="AB3328" s="352"/>
      <c r="AC3328" s="352"/>
      <c r="AD3328" s="352"/>
      <c r="AE3328" s="352"/>
      <c r="AF3328" s="352"/>
      <c r="AG3328" s="352"/>
      <c r="AH3328" s="352"/>
      <c r="AI3328" s="352"/>
      <c r="AJ3328" s="352"/>
    </row>
    <row r="3329" spans="2:36">
      <c r="B3329" s="352"/>
      <c r="C3329" s="352"/>
      <c r="D3329" s="352"/>
      <c r="E3329" s="352"/>
      <c r="F3329" s="352"/>
      <c r="H3329" s="352"/>
      <c r="J3329" s="352"/>
      <c r="L3329" s="352"/>
      <c r="M3329" s="352"/>
      <c r="N3329" s="352"/>
      <c r="O3329" s="352"/>
      <c r="P3329" s="352"/>
      <c r="Q3329" s="352"/>
      <c r="R3329" s="352"/>
      <c r="S3329" s="352"/>
      <c r="T3329" s="352"/>
      <c r="U3329" s="352"/>
      <c r="V3329" s="352"/>
      <c r="W3329" s="352"/>
      <c r="X3329" s="352"/>
      <c r="Y3329" s="352"/>
      <c r="Z3329" s="352"/>
      <c r="AA3329" s="352"/>
      <c r="AB3329" s="352"/>
      <c r="AC3329" s="352"/>
      <c r="AD3329" s="352"/>
      <c r="AE3329" s="352"/>
      <c r="AF3329" s="352"/>
      <c r="AG3329" s="352"/>
      <c r="AH3329" s="352"/>
      <c r="AI3329" s="352"/>
      <c r="AJ3329" s="352"/>
    </row>
    <row r="3330" spans="2:36">
      <c r="B3330" s="352"/>
      <c r="C3330" s="352"/>
      <c r="D3330" s="352"/>
      <c r="E3330" s="352"/>
      <c r="F3330" s="352"/>
      <c r="H3330" s="352"/>
      <c r="J3330" s="352"/>
      <c r="L3330" s="352"/>
      <c r="M3330" s="352"/>
      <c r="N3330" s="352"/>
      <c r="O3330" s="352"/>
      <c r="P3330" s="352"/>
      <c r="Q3330" s="352"/>
      <c r="R3330" s="352"/>
      <c r="S3330" s="352"/>
      <c r="T3330" s="352"/>
      <c r="U3330" s="352"/>
      <c r="V3330" s="352"/>
      <c r="W3330" s="352"/>
      <c r="X3330" s="352"/>
      <c r="Y3330" s="352"/>
      <c r="Z3330" s="352"/>
      <c r="AA3330" s="352"/>
      <c r="AB3330" s="352"/>
      <c r="AC3330" s="352"/>
      <c r="AD3330" s="352"/>
      <c r="AE3330" s="352"/>
      <c r="AF3330" s="352"/>
      <c r="AG3330" s="352"/>
      <c r="AH3330" s="352"/>
      <c r="AI3330" s="352"/>
      <c r="AJ3330" s="352"/>
    </row>
    <row r="3331" spans="2:36">
      <c r="B3331" s="352"/>
      <c r="C3331" s="352"/>
      <c r="D3331" s="352"/>
      <c r="E3331" s="352"/>
      <c r="F3331" s="352"/>
      <c r="H3331" s="352"/>
      <c r="J3331" s="352"/>
      <c r="L3331" s="352"/>
      <c r="M3331" s="352"/>
      <c r="N3331" s="352"/>
      <c r="O3331" s="352"/>
      <c r="P3331" s="352"/>
      <c r="Q3331" s="352"/>
      <c r="R3331" s="352"/>
      <c r="S3331" s="352"/>
      <c r="T3331" s="352"/>
      <c r="U3331" s="352"/>
      <c r="V3331" s="352"/>
      <c r="W3331" s="352"/>
      <c r="X3331" s="352"/>
      <c r="Y3331" s="352"/>
      <c r="Z3331" s="352"/>
      <c r="AA3331" s="352"/>
      <c r="AB3331" s="352"/>
      <c r="AC3331" s="352"/>
      <c r="AD3331" s="352"/>
      <c r="AE3331" s="352"/>
      <c r="AF3331" s="352"/>
      <c r="AG3331" s="352"/>
      <c r="AH3331" s="352"/>
      <c r="AI3331" s="352"/>
      <c r="AJ3331" s="352"/>
    </row>
    <row r="3332" spans="2:36">
      <c r="B3332" s="352"/>
      <c r="C3332" s="352"/>
      <c r="D3332" s="352"/>
      <c r="E3332" s="352"/>
      <c r="F3332" s="352"/>
      <c r="H3332" s="352"/>
      <c r="J3332" s="352"/>
      <c r="L3332" s="352"/>
      <c r="M3332" s="352"/>
      <c r="N3332" s="352"/>
      <c r="O3332" s="352"/>
      <c r="P3332" s="352"/>
      <c r="Q3332" s="352"/>
      <c r="R3332" s="352"/>
      <c r="S3332" s="352"/>
      <c r="T3332" s="352"/>
      <c r="U3332" s="352"/>
      <c r="V3332" s="352"/>
      <c r="W3332" s="352"/>
      <c r="X3332" s="352"/>
      <c r="Y3332" s="352"/>
      <c r="Z3332" s="352"/>
      <c r="AA3332" s="352"/>
      <c r="AB3332" s="352"/>
      <c r="AC3332" s="352"/>
      <c r="AD3332" s="352"/>
      <c r="AE3332" s="352"/>
      <c r="AF3332" s="352"/>
      <c r="AG3332" s="352"/>
      <c r="AH3332" s="352"/>
      <c r="AI3332" s="352"/>
      <c r="AJ3332" s="352"/>
    </row>
    <row r="3333" spans="2:36">
      <c r="B3333" s="352"/>
      <c r="C3333" s="352"/>
      <c r="D3333" s="352"/>
      <c r="E3333" s="352"/>
      <c r="F3333" s="352"/>
      <c r="H3333" s="352"/>
      <c r="J3333" s="352"/>
      <c r="L3333" s="352"/>
      <c r="M3333" s="352"/>
      <c r="N3333" s="352"/>
      <c r="O3333" s="352"/>
      <c r="P3333" s="352"/>
      <c r="Q3333" s="352"/>
      <c r="R3333" s="352"/>
      <c r="S3333" s="352"/>
      <c r="T3333" s="352"/>
      <c r="U3333" s="352"/>
      <c r="V3333" s="352"/>
      <c r="W3333" s="352"/>
      <c r="X3333" s="352"/>
      <c r="Y3333" s="352"/>
      <c r="Z3333" s="352"/>
      <c r="AA3333" s="352"/>
      <c r="AB3333" s="352"/>
      <c r="AC3333" s="352"/>
      <c r="AD3333" s="352"/>
      <c r="AE3333" s="352"/>
      <c r="AF3333" s="352"/>
      <c r="AG3333" s="352"/>
      <c r="AH3333" s="352"/>
      <c r="AI3333" s="352"/>
      <c r="AJ3333" s="352"/>
    </row>
    <row r="3334" spans="2:36">
      <c r="B3334" s="352"/>
      <c r="C3334" s="352"/>
      <c r="D3334" s="352"/>
      <c r="E3334" s="352"/>
      <c r="F3334" s="352"/>
      <c r="H3334" s="352"/>
      <c r="J3334" s="352"/>
      <c r="L3334" s="352"/>
      <c r="M3334" s="352"/>
      <c r="N3334" s="352"/>
      <c r="O3334" s="352"/>
      <c r="P3334" s="352"/>
      <c r="Q3334" s="352"/>
      <c r="R3334" s="352"/>
      <c r="S3334" s="352"/>
      <c r="T3334" s="352"/>
      <c r="U3334" s="352"/>
      <c r="V3334" s="352"/>
      <c r="W3334" s="352"/>
      <c r="X3334" s="352"/>
      <c r="Y3334" s="352"/>
      <c r="Z3334" s="352"/>
      <c r="AA3334" s="352"/>
      <c r="AB3334" s="352"/>
      <c r="AC3334" s="352"/>
      <c r="AD3334" s="352"/>
      <c r="AE3334" s="352"/>
      <c r="AF3334" s="352"/>
      <c r="AG3334" s="352"/>
      <c r="AH3334" s="352"/>
      <c r="AI3334" s="352"/>
      <c r="AJ3334" s="352"/>
    </row>
    <row r="3335" spans="2:36">
      <c r="B3335" s="352"/>
      <c r="C3335" s="352"/>
      <c r="D3335" s="352"/>
      <c r="E3335" s="352"/>
      <c r="F3335" s="352"/>
      <c r="H3335" s="352"/>
      <c r="J3335" s="352"/>
      <c r="L3335" s="352"/>
      <c r="M3335" s="352"/>
      <c r="N3335" s="352"/>
      <c r="O3335" s="352"/>
      <c r="P3335" s="352"/>
      <c r="Q3335" s="352"/>
      <c r="R3335" s="352"/>
      <c r="S3335" s="352"/>
      <c r="T3335" s="352"/>
      <c r="U3335" s="352"/>
      <c r="V3335" s="352"/>
      <c r="W3335" s="352"/>
      <c r="X3335" s="352"/>
      <c r="Y3335" s="352"/>
      <c r="Z3335" s="352"/>
      <c r="AA3335" s="352"/>
      <c r="AB3335" s="352"/>
      <c r="AC3335" s="352"/>
      <c r="AD3335" s="352"/>
      <c r="AE3335" s="352"/>
      <c r="AF3335" s="352"/>
      <c r="AG3335" s="352"/>
      <c r="AH3335" s="352"/>
      <c r="AI3335" s="352"/>
      <c r="AJ3335" s="352"/>
    </row>
    <row r="3336" spans="2:36">
      <c r="B3336" s="352"/>
      <c r="C3336" s="352"/>
      <c r="D3336" s="352"/>
      <c r="E3336" s="352"/>
      <c r="F3336" s="352"/>
      <c r="H3336" s="352"/>
      <c r="J3336" s="352"/>
      <c r="L3336" s="352"/>
      <c r="M3336" s="352"/>
      <c r="N3336" s="352"/>
      <c r="O3336" s="352"/>
      <c r="P3336" s="352"/>
      <c r="Q3336" s="352"/>
      <c r="R3336" s="352"/>
      <c r="S3336" s="352"/>
      <c r="T3336" s="352"/>
      <c r="U3336" s="352"/>
      <c r="V3336" s="352"/>
      <c r="W3336" s="352"/>
      <c r="X3336" s="352"/>
      <c r="Y3336" s="352"/>
      <c r="Z3336" s="352"/>
      <c r="AA3336" s="352"/>
      <c r="AB3336" s="352"/>
      <c r="AC3336" s="352"/>
      <c r="AD3336" s="352"/>
      <c r="AE3336" s="352"/>
      <c r="AF3336" s="352"/>
      <c r="AG3336" s="352"/>
      <c r="AH3336" s="352"/>
      <c r="AI3336" s="352"/>
      <c r="AJ3336" s="352"/>
    </row>
    <row r="3337" spans="2:36">
      <c r="B3337" s="352"/>
      <c r="C3337" s="352"/>
      <c r="D3337" s="352"/>
      <c r="E3337" s="352"/>
      <c r="F3337" s="352"/>
      <c r="H3337" s="352"/>
      <c r="J3337" s="352"/>
      <c r="L3337" s="352"/>
      <c r="M3337" s="352"/>
      <c r="N3337" s="352"/>
      <c r="O3337" s="352"/>
      <c r="P3337" s="352"/>
      <c r="Q3337" s="352"/>
      <c r="R3337" s="352"/>
      <c r="S3337" s="352"/>
      <c r="T3337" s="352"/>
      <c r="U3337" s="352"/>
      <c r="V3337" s="352"/>
      <c r="W3337" s="352"/>
      <c r="X3337" s="352"/>
      <c r="Y3337" s="352"/>
      <c r="Z3337" s="352"/>
      <c r="AA3337" s="352"/>
      <c r="AB3337" s="352"/>
      <c r="AC3337" s="352"/>
      <c r="AD3337" s="352"/>
      <c r="AE3337" s="352"/>
      <c r="AF3337" s="352"/>
      <c r="AG3337" s="352"/>
      <c r="AH3337" s="352"/>
      <c r="AI3337" s="352"/>
      <c r="AJ3337" s="352"/>
    </row>
    <row r="3338" spans="2:36">
      <c r="B3338" s="352"/>
      <c r="C3338" s="352"/>
      <c r="D3338" s="352"/>
      <c r="E3338" s="352"/>
      <c r="F3338" s="352"/>
      <c r="H3338" s="352"/>
      <c r="J3338" s="352"/>
      <c r="L3338" s="352"/>
      <c r="M3338" s="352"/>
      <c r="N3338" s="352"/>
      <c r="O3338" s="352"/>
      <c r="P3338" s="352"/>
      <c r="Q3338" s="352"/>
      <c r="R3338" s="352"/>
      <c r="S3338" s="352"/>
      <c r="T3338" s="352"/>
      <c r="U3338" s="352"/>
      <c r="V3338" s="352"/>
      <c r="W3338" s="352"/>
      <c r="X3338" s="352"/>
      <c r="Y3338" s="352"/>
      <c r="Z3338" s="352"/>
      <c r="AA3338" s="352"/>
      <c r="AB3338" s="352"/>
      <c r="AC3338" s="352"/>
      <c r="AD3338" s="352"/>
      <c r="AE3338" s="352"/>
      <c r="AF3338" s="352"/>
      <c r="AG3338" s="352"/>
      <c r="AH3338" s="352"/>
      <c r="AI3338" s="352"/>
      <c r="AJ3338" s="352"/>
    </row>
    <row r="3339" spans="2:36">
      <c r="B3339" s="352"/>
      <c r="C3339" s="352"/>
      <c r="D3339" s="352"/>
      <c r="E3339" s="352"/>
      <c r="F3339" s="352"/>
      <c r="H3339" s="352"/>
      <c r="J3339" s="352"/>
      <c r="L3339" s="352"/>
      <c r="M3339" s="352"/>
      <c r="N3339" s="352"/>
      <c r="O3339" s="352"/>
      <c r="P3339" s="352"/>
      <c r="Q3339" s="352"/>
      <c r="R3339" s="352"/>
      <c r="S3339" s="352"/>
      <c r="T3339" s="352"/>
      <c r="U3339" s="352"/>
      <c r="V3339" s="352"/>
      <c r="W3339" s="352"/>
      <c r="X3339" s="352"/>
      <c r="Y3339" s="352"/>
      <c r="Z3339" s="352"/>
      <c r="AA3339" s="352"/>
      <c r="AB3339" s="352"/>
      <c r="AC3339" s="352"/>
      <c r="AD3339" s="352"/>
      <c r="AE3339" s="352"/>
      <c r="AF3339" s="352"/>
      <c r="AG3339" s="352"/>
      <c r="AH3339" s="352"/>
      <c r="AI3339" s="352"/>
      <c r="AJ3339" s="352"/>
    </row>
    <row r="3340" spans="2:36">
      <c r="B3340" s="352"/>
      <c r="C3340" s="352"/>
      <c r="D3340" s="352"/>
      <c r="E3340" s="352"/>
      <c r="F3340" s="352"/>
      <c r="H3340" s="352"/>
      <c r="J3340" s="352"/>
      <c r="L3340" s="352"/>
      <c r="M3340" s="352"/>
      <c r="N3340" s="352"/>
      <c r="O3340" s="352"/>
      <c r="P3340" s="352"/>
      <c r="Q3340" s="352"/>
      <c r="R3340" s="352"/>
      <c r="S3340" s="352"/>
      <c r="T3340" s="352"/>
      <c r="U3340" s="352"/>
      <c r="V3340" s="352"/>
      <c r="W3340" s="352"/>
      <c r="X3340" s="352"/>
      <c r="Y3340" s="352"/>
      <c r="Z3340" s="352"/>
      <c r="AA3340" s="352"/>
      <c r="AB3340" s="352"/>
      <c r="AC3340" s="352"/>
      <c r="AD3340" s="352"/>
      <c r="AE3340" s="352"/>
      <c r="AF3340" s="352"/>
      <c r="AG3340" s="352"/>
      <c r="AH3340" s="352"/>
      <c r="AI3340" s="352"/>
      <c r="AJ3340" s="352"/>
    </row>
    <row r="3341" spans="2:36">
      <c r="B3341" s="352"/>
      <c r="C3341" s="352"/>
      <c r="D3341" s="352"/>
      <c r="E3341" s="352"/>
      <c r="F3341" s="352"/>
      <c r="H3341" s="352"/>
      <c r="J3341" s="352"/>
      <c r="L3341" s="352"/>
      <c r="M3341" s="352"/>
      <c r="N3341" s="352"/>
      <c r="O3341" s="352"/>
      <c r="P3341" s="352"/>
      <c r="Q3341" s="352"/>
      <c r="R3341" s="352"/>
      <c r="S3341" s="352"/>
      <c r="T3341" s="352"/>
      <c r="U3341" s="352"/>
      <c r="V3341" s="352"/>
      <c r="W3341" s="352"/>
      <c r="X3341" s="352"/>
      <c r="Y3341" s="352"/>
      <c r="Z3341" s="352"/>
      <c r="AA3341" s="352"/>
      <c r="AB3341" s="352"/>
      <c r="AC3341" s="352"/>
      <c r="AD3341" s="352"/>
      <c r="AE3341" s="352"/>
      <c r="AF3341" s="352"/>
      <c r="AG3341" s="352"/>
      <c r="AH3341" s="352"/>
      <c r="AI3341" s="352"/>
      <c r="AJ3341" s="352"/>
    </row>
    <row r="3342" spans="2:36">
      <c r="B3342" s="352"/>
      <c r="C3342" s="352"/>
      <c r="D3342" s="352"/>
      <c r="E3342" s="352"/>
      <c r="F3342" s="352"/>
      <c r="H3342" s="352"/>
      <c r="J3342" s="352"/>
      <c r="L3342" s="352"/>
      <c r="M3342" s="352"/>
      <c r="N3342" s="352"/>
      <c r="O3342" s="352"/>
      <c r="P3342" s="352"/>
      <c r="Q3342" s="352"/>
      <c r="R3342" s="352"/>
      <c r="S3342" s="352"/>
      <c r="T3342" s="352"/>
      <c r="U3342" s="352"/>
      <c r="V3342" s="352"/>
      <c r="W3342" s="352"/>
      <c r="X3342" s="352"/>
      <c r="Y3342" s="352"/>
      <c r="Z3342" s="352"/>
      <c r="AA3342" s="352"/>
      <c r="AB3342" s="352"/>
      <c r="AC3342" s="352"/>
      <c r="AD3342" s="352"/>
      <c r="AE3342" s="352"/>
      <c r="AF3342" s="352"/>
      <c r="AG3342" s="352"/>
      <c r="AH3342" s="352"/>
      <c r="AI3342" s="352"/>
      <c r="AJ3342" s="352"/>
    </row>
    <row r="3343" spans="2:36">
      <c r="B3343" s="352"/>
      <c r="C3343" s="352"/>
      <c r="D3343" s="352"/>
      <c r="E3343" s="352"/>
      <c r="F3343" s="352"/>
      <c r="H3343" s="352"/>
      <c r="J3343" s="352"/>
      <c r="L3343" s="352"/>
      <c r="M3343" s="352"/>
      <c r="N3343" s="352"/>
      <c r="O3343" s="352"/>
      <c r="P3343" s="352"/>
      <c r="Q3343" s="352"/>
      <c r="R3343" s="352"/>
      <c r="S3343" s="352"/>
      <c r="T3343" s="352"/>
      <c r="U3343" s="352"/>
      <c r="V3343" s="352"/>
      <c r="W3343" s="352"/>
      <c r="X3343" s="352"/>
      <c r="Y3343" s="352"/>
      <c r="Z3343" s="352"/>
      <c r="AA3343" s="352"/>
      <c r="AB3343" s="352"/>
      <c r="AC3343" s="352"/>
      <c r="AD3343" s="352"/>
      <c r="AE3343" s="352"/>
      <c r="AF3343" s="352"/>
      <c r="AG3343" s="352"/>
      <c r="AH3343" s="352"/>
      <c r="AI3343" s="352"/>
      <c r="AJ3343" s="352"/>
    </row>
    <row r="3344" spans="2:36">
      <c r="B3344" s="352"/>
      <c r="C3344" s="352"/>
      <c r="D3344" s="352"/>
      <c r="E3344" s="352"/>
      <c r="F3344" s="352"/>
      <c r="H3344" s="352"/>
      <c r="J3344" s="352"/>
      <c r="L3344" s="352"/>
      <c r="M3344" s="352"/>
      <c r="N3344" s="352"/>
      <c r="O3344" s="352"/>
      <c r="P3344" s="352"/>
      <c r="Q3344" s="352"/>
      <c r="R3344" s="352"/>
      <c r="S3344" s="352"/>
      <c r="T3344" s="352"/>
      <c r="U3344" s="352"/>
      <c r="V3344" s="352"/>
      <c r="W3344" s="352"/>
      <c r="X3344" s="352"/>
      <c r="Y3344" s="352"/>
      <c r="Z3344" s="352"/>
      <c r="AA3344" s="352"/>
      <c r="AB3344" s="352"/>
      <c r="AC3344" s="352"/>
      <c r="AD3344" s="352"/>
      <c r="AE3344" s="352"/>
      <c r="AF3344" s="352"/>
      <c r="AG3344" s="352"/>
      <c r="AH3344" s="352"/>
      <c r="AI3344" s="352"/>
      <c r="AJ3344" s="352"/>
    </row>
    <row r="3345" spans="2:36">
      <c r="B3345" s="352"/>
      <c r="C3345" s="352"/>
      <c r="D3345" s="352"/>
      <c r="E3345" s="352"/>
      <c r="F3345" s="352"/>
      <c r="H3345" s="352"/>
      <c r="J3345" s="352"/>
      <c r="L3345" s="352"/>
      <c r="M3345" s="352"/>
      <c r="N3345" s="352"/>
      <c r="O3345" s="352"/>
      <c r="P3345" s="352"/>
      <c r="Q3345" s="352"/>
      <c r="R3345" s="352"/>
      <c r="S3345" s="352"/>
      <c r="T3345" s="352"/>
      <c r="U3345" s="352"/>
      <c r="V3345" s="352"/>
      <c r="W3345" s="352"/>
      <c r="X3345" s="352"/>
      <c r="Y3345" s="352"/>
      <c r="Z3345" s="352"/>
      <c r="AA3345" s="352"/>
      <c r="AB3345" s="352"/>
      <c r="AC3345" s="352"/>
      <c r="AD3345" s="352"/>
      <c r="AE3345" s="352"/>
      <c r="AF3345" s="352"/>
      <c r="AG3345" s="352"/>
      <c r="AH3345" s="352"/>
      <c r="AI3345" s="352"/>
      <c r="AJ3345" s="352"/>
    </row>
    <row r="3346" spans="2:36">
      <c r="B3346" s="352"/>
      <c r="C3346" s="352"/>
      <c r="D3346" s="352"/>
      <c r="E3346" s="352"/>
      <c r="F3346" s="352"/>
      <c r="H3346" s="352"/>
      <c r="J3346" s="352"/>
      <c r="L3346" s="352"/>
      <c r="M3346" s="352"/>
      <c r="N3346" s="352"/>
      <c r="O3346" s="352"/>
      <c r="P3346" s="352"/>
      <c r="Q3346" s="352"/>
      <c r="R3346" s="352"/>
      <c r="S3346" s="352"/>
      <c r="T3346" s="352"/>
      <c r="U3346" s="352"/>
      <c r="V3346" s="352"/>
      <c r="W3346" s="352"/>
      <c r="X3346" s="352"/>
      <c r="Y3346" s="352"/>
      <c r="Z3346" s="352"/>
      <c r="AA3346" s="352"/>
      <c r="AB3346" s="352"/>
      <c r="AC3346" s="352"/>
      <c r="AD3346" s="352"/>
      <c r="AE3346" s="352"/>
      <c r="AF3346" s="352"/>
      <c r="AG3346" s="352"/>
      <c r="AH3346" s="352"/>
      <c r="AI3346" s="352"/>
      <c r="AJ3346" s="352"/>
    </row>
    <row r="3347" spans="2:36">
      <c r="B3347" s="352"/>
      <c r="C3347" s="352"/>
      <c r="D3347" s="352"/>
      <c r="E3347" s="352"/>
      <c r="F3347" s="352"/>
      <c r="H3347" s="352"/>
      <c r="J3347" s="352"/>
      <c r="L3347" s="352"/>
      <c r="M3347" s="352"/>
      <c r="N3347" s="352"/>
      <c r="O3347" s="352"/>
      <c r="P3347" s="352"/>
      <c r="Q3347" s="352"/>
      <c r="R3347" s="352"/>
      <c r="S3347" s="352"/>
      <c r="T3347" s="352"/>
      <c r="U3347" s="352"/>
      <c r="V3347" s="352"/>
      <c r="W3347" s="352"/>
      <c r="X3347" s="352"/>
      <c r="Y3347" s="352"/>
      <c r="Z3347" s="352"/>
      <c r="AA3347" s="352"/>
      <c r="AB3347" s="352"/>
      <c r="AC3347" s="352"/>
      <c r="AD3347" s="352"/>
      <c r="AE3347" s="352"/>
      <c r="AF3347" s="352"/>
      <c r="AG3347" s="352"/>
      <c r="AH3347" s="352"/>
      <c r="AI3347" s="352"/>
      <c r="AJ3347" s="352"/>
    </row>
    <row r="3348" spans="2:36">
      <c r="B3348" s="352"/>
      <c r="C3348" s="352"/>
      <c r="D3348" s="352"/>
      <c r="E3348" s="352"/>
      <c r="F3348" s="352"/>
      <c r="H3348" s="352"/>
      <c r="J3348" s="352"/>
      <c r="L3348" s="352"/>
      <c r="M3348" s="352"/>
      <c r="N3348" s="352"/>
      <c r="O3348" s="352"/>
      <c r="P3348" s="352"/>
      <c r="Q3348" s="352"/>
      <c r="R3348" s="352"/>
      <c r="S3348" s="352"/>
      <c r="T3348" s="352"/>
      <c r="U3348" s="352"/>
      <c r="V3348" s="352"/>
      <c r="W3348" s="352"/>
      <c r="X3348" s="352"/>
      <c r="Y3348" s="352"/>
      <c r="Z3348" s="352"/>
      <c r="AA3348" s="352"/>
      <c r="AB3348" s="352"/>
      <c r="AC3348" s="352"/>
      <c r="AD3348" s="352"/>
      <c r="AE3348" s="352"/>
      <c r="AF3348" s="352"/>
      <c r="AG3348" s="352"/>
      <c r="AH3348" s="352"/>
      <c r="AI3348" s="352"/>
      <c r="AJ3348" s="352"/>
    </row>
    <row r="3349" spans="2:36">
      <c r="B3349" s="352"/>
      <c r="C3349" s="352"/>
      <c r="D3349" s="352"/>
      <c r="E3349" s="352"/>
      <c r="F3349" s="352"/>
      <c r="H3349" s="352"/>
      <c r="J3349" s="352"/>
      <c r="L3349" s="352"/>
      <c r="M3349" s="352"/>
      <c r="N3349" s="352"/>
      <c r="O3349" s="352"/>
      <c r="P3349" s="352"/>
      <c r="Q3349" s="352"/>
      <c r="R3349" s="352"/>
      <c r="S3349" s="352"/>
      <c r="T3349" s="352"/>
      <c r="U3349" s="352"/>
      <c r="V3349" s="352"/>
      <c r="W3349" s="352"/>
      <c r="X3349" s="352"/>
      <c r="Y3349" s="352"/>
      <c r="Z3349" s="352"/>
      <c r="AA3349" s="352"/>
      <c r="AB3349" s="352"/>
      <c r="AC3349" s="352"/>
      <c r="AD3349" s="352"/>
      <c r="AE3349" s="352"/>
      <c r="AF3349" s="352"/>
      <c r="AG3349" s="352"/>
      <c r="AH3349" s="352"/>
      <c r="AI3349" s="352"/>
      <c r="AJ3349" s="352"/>
    </row>
    <row r="3350" spans="2:36">
      <c r="B3350" s="352"/>
      <c r="C3350" s="352"/>
      <c r="D3350" s="352"/>
      <c r="E3350" s="352"/>
      <c r="F3350" s="352"/>
      <c r="H3350" s="352"/>
      <c r="J3350" s="352"/>
      <c r="L3350" s="352"/>
      <c r="M3350" s="352"/>
      <c r="N3350" s="352"/>
      <c r="O3350" s="352"/>
      <c r="P3350" s="352"/>
      <c r="Q3350" s="352"/>
      <c r="R3350" s="352"/>
      <c r="S3350" s="352"/>
      <c r="T3350" s="352"/>
      <c r="U3350" s="352"/>
      <c r="V3350" s="352"/>
      <c r="W3350" s="352"/>
      <c r="X3350" s="352"/>
      <c r="Y3350" s="352"/>
      <c r="Z3350" s="352"/>
      <c r="AA3350" s="352"/>
      <c r="AB3350" s="352"/>
      <c r="AC3350" s="352"/>
      <c r="AD3350" s="352"/>
      <c r="AE3350" s="352"/>
      <c r="AF3350" s="352"/>
      <c r="AG3350" s="352"/>
      <c r="AH3350" s="352"/>
      <c r="AI3350" s="352"/>
      <c r="AJ3350" s="352"/>
    </row>
    <row r="3351" spans="2:36">
      <c r="B3351" s="352"/>
      <c r="C3351" s="352"/>
      <c r="D3351" s="352"/>
      <c r="E3351" s="352"/>
      <c r="F3351" s="352"/>
      <c r="H3351" s="352"/>
      <c r="J3351" s="352"/>
      <c r="L3351" s="352"/>
      <c r="M3351" s="352"/>
      <c r="N3351" s="352"/>
      <c r="O3351" s="352"/>
      <c r="P3351" s="352"/>
      <c r="Q3351" s="352"/>
      <c r="R3351" s="352"/>
      <c r="S3351" s="352"/>
      <c r="T3351" s="352"/>
      <c r="U3351" s="352"/>
      <c r="V3351" s="352"/>
      <c r="W3351" s="352"/>
      <c r="X3351" s="352"/>
      <c r="Y3351" s="352"/>
      <c r="Z3351" s="352"/>
      <c r="AA3351" s="352"/>
      <c r="AB3351" s="352"/>
      <c r="AC3351" s="352"/>
      <c r="AD3351" s="352"/>
      <c r="AE3351" s="352"/>
      <c r="AF3351" s="352"/>
      <c r="AG3351" s="352"/>
      <c r="AH3351" s="352"/>
      <c r="AI3351" s="352"/>
      <c r="AJ3351" s="352"/>
    </row>
    <row r="3352" spans="2:36">
      <c r="B3352" s="352"/>
      <c r="C3352" s="352"/>
      <c r="D3352" s="352"/>
      <c r="E3352" s="352"/>
      <c r="F3352" s="352"/>
      <c r="H3352" s="352"/>
      <c r="J3352" s="352"/>
      <c r="L3352" s="352"/>
      <c r="M3352" s="352"/>
      <c r="N3352" s="352"/>
      <c r="O3352" s="352"/>
      <c r="P3352" s="352"/>
      <c r="Q3352" s="352"/>
      <c r="R3352" s="352"/>
      <c r="S3352" s="352"/>
      <c r="T3352" s="352"/>
      <c r="U3352" s="352"/>
      <c r="V3352" s="352"/>
      <c r="W3352" s="352"/>
      <c r="X3352" s="352"/>
      <c r="Y3352" s="352"/>
      <c r="Z3352" s="352"/>
      <c r="AA3352" s="352"/>
      <c r="AB3352" s="352"/>
      <c r="AC3352" s="352"/>
      <c r="AD3352" s="352"/>
      <c r="AE3352" s="352"/>
      <c r="AF3352" s="352"/>
      <c r="AG3352" s="352"/>
      <c r="AH3352" s="352"/>
      <c r="AI3352" s="352"/>
      <c r="AJ3352" s="352"/>
    </row>
    <row r="3353" spans="2:36">
      <c r="B3353" s="352"/>
      <c r="C3353" s="352"/>
      <c r="D3353" s="352"/>
      <c r="E3353" s="352"/>
      <c r="F3353" s="352"/>
      <c r="H3353" s="352"/>
      <c r="J3353" s="352"/>
      <c r="L3353" s="352"/>
      <c r="M3353" s="352"/>
      <c r="N3353" s="352"/>
      <c r="O3353" s="352"/>
      <c r="P3353" s="352"/>
      <c r="Q3353" s="352"/>
      <c r="R3353" s="352"/>
      <c r="S3353" s="352"/>
      <c r="T3353" s="352"/>
      <c r="U3353" s="352"/>
      <c r="V3353" s="352"/>
      <c r="W3353" s="352"/>
      <c r="X3353" s="352"/>
      <c r="Y3353" s="352"/>
      <c r="Z3353" s="352"/>
      <c r="AA3353" s="352"/>
      <c r="AB3353" s="352"/>
      <c r="AC3353" s="352"/>
      <c r="AD3353" s="352"/>
      <c r="AE3353" s="352"/>
      <c r="AF3353" s="352"/>
      <c r="AG3353" s="352"/>
      <c r="AH3353" s="352"/>
      <c r="AI3353" s="352"/>
      <c r="AJ3353" s="352"/>
    </row>
    <row r="3354" spans="2:36">
      <c r="B3354" s="352"/>
      <c r="C3354" s="352"/>
      <c r="D3354" s="352"/>
      <c r="E3354" s="352"/>
      <c r="F3354" s="352"/>
      <c r="H3354" s="352"/>
      <c r="J3354" s="352"/>
      <c r="L3354" s="352"/>
      <c r="M3354" s="352"/>
      <c r="N3354" s="352"/>
      <c r="O3354" s="352"/>
      <c r="P3354" s="352"/>
      <c r="Q3354" s="352"/>
      <c r="R3354" s="352"/>
      <c r="S3354" s="352"/>
      <c r="T3354" s="352"/>
      <c r="U3354" s="352"/>
      <c r="V3354" s="352"/>
      <c r="W3354" s="352"/>
      <c r="X3354" s="352"/>
      <c r="Y3354" s="352"/>
      <c r="Z3354" s="352"/>
      <c r="AA3354" s="352"/>
      <c r="AB3354" s="352"/>
      <c r="AC3354" s="352"/>
      <c r="AD3354" s="352"/>
      <c r="AE3354" s="352"/>
      <c r="AF3354" s="352"/>
      <c r="AG3354" s="352"/>
      <c r="AH3354" s="352"/>
      <c r="AI3354" s="352"/>
      <c r="AJ3354" s="352"/>
    </row>
    <row r="3355" spans="2:36">
      <c r="B3355" s="352"/>
      <c r="C3355" s="352"/>
      <c r="D3355" s="352"/>
      <c r="E3355" s="352"/>
      <c r="F3355" s="352"/>
      <c r="H3355" s="352"/>
      <c r="J3355" s="352"/>
      <c r="L3355" s="352"/>
      <c r="M3355" s="352"/>
      <c r="N3355" s="352"/>
      <c r="O3355" s="352"/>
      <c r="P3355" s="352"/>
      <c r="Q3355" s="352"/>
      <c r="R3355" s="352"/>
      <c r="S3355" s="352"/>
      <c r="T3355" s="352"/>
      <c r="U3355" s="352"/>
      <c r="V3355" s="352"/>
      <c r="W3355" s="352"/>
      <c r="X3355" s="352"/>
      <c r="Y3355" s="352"/>
      <c r="Z3355" s="352"/>
      <c r="AA3355" s="352"/>
      <c r="AB3355" s="352"/>
      <c r="AC3355" s="352"/>
      <c r="AD3355" s="352"/>
      <c r="AE3355" s="352"/>
      <c r="AF3355" s="352"/>
      <c r="AG3355" s="352"/>
      <c r="AH3355" s="352"/>
      <c r="AI3355" s="352"/>
      <c r="AJ3355" s="352"/>
    </row>
    <row r="3356" spans="2:36">
      <c r="B3356" s="352"/>
      <c r="C3356" s="352"/>
      <c r="D3356" s="352"/>
      <c r="E3356" s="352"/>
      <c r="F3356" s="352"/>
      <c r="H3356" s="352"/>
      <c r="J3356" s="352"/>
      <c r="L3356" s="352"/>
      <c r="M3356" s="352"/>
      <c r="N3356" s="352"/>
      <c r="O3356" s="352"/>
      <c r="P3356" s="352"/>
      <c r="Q3356" s="352"/>
      <c r="R3356" s="352"/>
      <c r="S3356" s="352"/>
      <c r="T3356" s="352"/>
      <c r="U3356" s="352"/>
      <c r="V3356" s="352"/>
      <c r="W3356" s="352"/>
      <c r="X3356" s="352"/>
      <c r="Y3356" s="352"/>
      <c r="Z3356" s="352"/>
      <c r="AA3356" s="352"/>
      <c r="AB3356" s="352"/>
      <c r="AC3356" s="352"/>
      <c r="AD3356" s="352"/>
      <c r="AE3356" s="352"/>
      <c r="AF3356" s="352"/>
      <c r="AG3356" s="352"/>
      <c r="AH3356" s="352"/>
      <c r="AI3356" s="352"/>
      <c r="AJ3356" s="352"/>
    </row>
    <row r="3357" spans="2:36">
      <c r="B3357" s="352"/>
      <c r="C3357" s="352"/>
      <c r="D3357" s="352"/>
      <c r="E3357" s="352"/>
      <c r="F3357" s="352"/>
      <c r="H3357" s="352"/>
      <c r="J3357" s="352"/>
      <c r="L3357" s="352"/>
      <c r="M3357" s="352"/>
      <c r="N3357" s="352"/>
      <c r="O3357" s="352"/>
      <c r="P3357" s="352"/>
      <c r="Q3357" s="352"/>
      <c r="R3357" s="352"/>
      <c r="S3357" s="352"/>
      <c r="T3357" s="352"/>
      <c r="U3357" s="352"/>
      <c r="V3357" s="352"/>
      <c r="W3357" s="352"/>
      <c r="X3357" s="352"/>
      <c r="Y3357" s="352"/>
      <c r="Z3357" s="352"/>
      <c r="AA3357" s="352"/>
      <c r="AB3357" s="352"/>
      <c r="AC3357" s="352"/>
      <c r="AD3357" s="352"/>
      <c r="AE3357" s="352"/>
      <c r="AF3357" s="352"/>
      <c r="AG3357" s="352"/>
      <c r="AH3357" s="352"/>
      <c r="AI3357" s="352"/>
      <c r="AJ3357" s="352"/>
    </row>
    <row r="3358" spans="2:36">
      <c r="B3358" s="352"/>
      <c r="C3358" s="352"/>
      <c r="D3358" s="352"/>
      <c r="E3358" s="352"/>
      <c r="F3358" s="352"/>
      <c r="H3358" s="352"/>
      <c r="J3358" s="352"/>
      <c r="L3358" s="352"/>
      <c r="M3358" s="352"/>
      <c r="N3358" s="352"/>
      <c r="O3358" s="352"/>
      <c r="P3358" s="352"/>
      <c r="Q3358" s="352"/>
      <c r="R3358" s="352"/>
      <c r="S3358" s="352"/>
      <c r="T3358" s="352"/>
      <c r="U3358" s="352"/>
      <c r="V3358" s="352"/>
      <c r="W3358" s="352"/>
      <c r="X3358" s="352"/>
      <c r="Y3358" s="352"/>
      <c r="Z3358" s="352"/>
      <c r="AA3358" s="352"/>
      <c r="AB3358" s="352"/>
      <c r="AC3358" s="352"/>
      <c r="AD3358" s="352"/>
      <c r="AE3358" s="352"/>
      <c r="AF3358" s="352"/>
      <c r="AG3358" s="352"/>
      <c r="AH3358" s="352"/>
      <c r="AI3358" s="352"/>
      <c r="AJ3358" s="352"/>
    </row>
    <row r="3359" spans="2:36">
      <c r="B3359" s="352"/>
      <c r="C3359" s="352"/>
      <c r="D3359" s="352"/>
      <c r="E3359" s="352"/>
      <c r="F3359" s="352"/>
      <c r="H3359" s="352"/>
      <c r="J3359" s="352"/>
      <c r="L3359" s="352"/>
      <c r="M3359" s="352"/>
      <c r="N3359" s="352"/>
      <c r="O3359" s="352"/>
      <c r="P3359" s="352"/>
      <c r="Q3359" s="352"/>
      <c r="R3359" s="352"/>
      <c r="S3359" s="352"/>
      <c r="T3359" s="352"/>
      <c r="U3359" s="352"/>
      <c r="V3359" s="352"/>
      <c r="W3359" s="352"/>
      <c r="X3359" s="352"/>
      <c r="Y3359" s="352"/>
      <c r="Z3359" s="352"/>
      <c r="AA3359" s="352"/>
      <c r="AB3359" s="352"/>
      <c r="AC3359" s="352"/>
      <c r="AD3359" s="352"/>
      <c r="AE3359" s="352"/>
      <c r="AF3359" s="352"/>
      <c r="AG3359" s="352"/>
      <c r="AH3359" s="352"/>
      <c r="AI3359" s="352"/>
      <c r="AJ3359" s="352"/>
    </row>
    <row r="3360" spans="2:36">
      <c r="B3360" s="352"/>
      <c r="C3360" s="352"/>
      <c r="D3360" s="352"/>
      <c r="E3360" s="352"/>
      <c r="F3360" s="352"/>
      <c r="H3360" s="352"/>
      <c r="J3360" s="352"/>
      <c r="L3360" s="352"/>
      <c r="M3360" s="352"/>
      <c r="N3360" s="352"/>
      <c r="O3360" s="352"/>
      <c r="P3360" s="352"/>
      <c r="Q3360" s="352"/>
      <c r="R3360" s="352"/>
      <c r="S3360" s="352"/>
      <c r="T3360" s="352"/>
      <c r="U3360" s="352"/>
      <c r="V3360" s="352"/>
      <c r="W3360" s="352"/>
      <c r="X3360" s="352"/>
      <c r="Y3360" s="352"/>
      <c r="Z3360" s="352"/>
      <c r="AA3360" s="352"/>
      <c r="AB3360" s="352"/>
      <c r="AC3360" s="352"/>
      <c r="AD3360" s="352"/>
      <c r="AE3360" s="352"/>
      <c r="AF3360" s="352"/>
      <c r="AG3360" s="352"/>
      <c r="AH3360" s="352"/>
      <c r="AI3360" s="352"/>
      <c r="AJ3360" s="352"/>
    </row>
    <row r="3361" spans="2:36">
      <c r="B3361" s="352"/>
      <c r="C3361" s="352"/>
      <c r="D3361" s="352"/>
      <c r="E3361" s="352"/>
      <c r="F3361" s="352"/>
      <c r="H3361" s="352"/>
      <c r="J3361" s="352"/>
      <c r="L3361" s="352"/>
      <c r="M3361" s="352"/>
      <c r="N3361" s="352"/>
      <c r="O3361" s="352"/>
      <c r="P3361" s="352"/>
      <c r="Q3361" s="352"/>
      <c r="R3361" s="352"/>
      <c r="S3361" s="352"/>
      <c r="T3361" s="352"/>
      <c r="U3361" s="352"/>
      <c r="V3361" s="352"/>
      <c r="W3361" s="352"/>
      <c r="X3361" s="352"/>
      <c r="Y3361" s="352"/>
      <c r="Z3361" s="352"/>
      <c r="AA3361" s="352"/>
      <c r="AB3361" s="352"/>
      <c r="AC3361" s="352"/>
      <c r="AD3361" s="352"/>
      <c r="AE3361" s="352"/>
      <c r="AF3361" s="352"/>
      <c r="AG3361" s="352"/>
      <c r="AH3361" s="352"/>
      <c r="AI3361" s="352"/>
      <c r="AJ3361" s="352"/>
    </row>
    <row r="3362" spans="2:36">
      <c r="B3362" s="352"/>
      <c r="C3362" s="352"/>
      <c r="D3362" s="352"/>
      <c r="E3362" s="352"/>
      <c r="F3362" s="352"/>
      <c r="H3362" s="352"/>
      <c r="J3362" s="352"/>
      <c r="L3362" s="352"/>
      <c r="M3362" s="352"/>
      <c r="N3362" s="352"/>
      <c r="O3362" s="352"/>
      <c r="P3362" s="352"/>
      <c r="Q3362" s="352"/>
      <c r="R3362" s="352"/>
      <c r="S3362" s="352"/>
      <c r="T3362" s="352"/>
      <c r="U3362" s="352"/>
      <c r="V3362" s="352"/>
      <c r="W3362" s="352"/>
      <c r="X3362" s="352"/>
      <c r="Y3362" s="352"/>
      <c r="Z3362" s="352"/>
      <c r="AA3362" s="352"/>
      <c r="AB3362" s="352"/>
      <c r="AC3362" s="352"/>
      <c r="AD3362" s="352"/>
      <c r="AE3362" s="352"/>
      <c r="AF3362" s="352"/>
      <c r="AG3362" s="352"/>
      <c r="AH3362" s="352"/>
      <c r="AI3362" s="352"/>
      <c r="AJ3362" s="352"/>
    </row>
    <row r="3363" spans="2:36">
      <c r="B3363" s="352"/>
      <c r="C3363" s="352"/>
      <c r="D3363" s="352"/>
      <c r="E3363" s="352"/>
      <c r="F3363" s="352"/>
      <c r="H3363" s="352"/>
      <c r="J3363" s="352"/>
      <c r="L3363" s="352"/>
      <c r="M3363" s="352"/>
      <c r="N3363" s="352"/>
      <c r="O3363" s="352"/>
      <c r="P3363" s="352"/>
      <c r="Q3363" s="352"/>
      <c r="R3363" s="352"/>
      <c r="S3363" s="352"/>
      <c r="T3363" s="352"/>
      <c r="U3363" s="352"/>
      <c r="V3363" s="352"/>
      <c r="W3363" s="352"/>
      <c r="X3363" s="352"/>
      <c r="Y3363" s="352"/>
      <c r="Z3363" s="352"/>
      <c r="AA3363" s="352"/>
      <c r="AB3363" s="352"/>
      <c r="AC3363" s="352"/>
      <c r="AD3363" s="352"/>
      <c r="AE3363" s="352"/>
      <c r="AF3363" s="352"/>
      <c r="AG3363" s="352"/>
      <c r="AH3363" s="352"/>
      <c r="AI3363" s="352"/>
      <c r="AJ3363" s="352"/>
    </row>
    <row r="3364" spans="2:36">
      <c r="B3364" s="352"/>
      <c r="C3364" s="352"/>
      <c r="D3364" s="352"/>
      <c r="E3364" s="352"/>
      <c r="F3364" s="352"/>
      <c r="H3364" s="352"/>
      <c r="J3364" s="352"/>
      <c r="L3364" s="352"/>
      <c r="M3364" s="352"/>
      <c r="N3364" s="352"/>
      <c r="O3364" s="352"/>
      <c r="P3364" s="352"/>
      <c r="Q3364" s="352"/>
      <c r="R3364" s="352"/>
      <c r="S3364" s="352"/>
      <c r="T3364" s="352"/>
      <c r="U3364" s="352"/>
      <c r="V3364" s="352"/>
      <c r="W3364" s="352"/>
      <c r="X3364" s="352"/>
      <c r="Y3364" s="352"/>
      <c r="Z3364" s="352"/>
      <c r="AA3364" s="352"/>
      <c r="AB3364" s="352"/>
      <c r="AC3364" s="352"/>
      <c r="AD3364" s="352"/>
      <c r="AE3364" s="352"/>
      <c r="AF3364" s="352"/>
      <c r="AG3364" s="352"/>
      <c r="AH3364" s="352"/>
      <c r="AI3364" s="352"/>
      <c r="AJ3364" s="352"/>
    </row>
    <row r="3365" spans="2:36">
      <c r="B3365" s="352"/>
      <c r="C3365" s="352"/>
      <c r="D3365" s="352"/>
      <c r="E3365" s="352"/>
      <c r="F3365" s="352"/>
      <c r="H3365" s="352"/>
      <c r="J3365" s="352"/>
      <c r="L3365" s="352"/>
      <c r="M3365" s="352"/>
      <c r="N3365" s="352"/>
      <c r="O3365" s="352"/>
      <c r="P3365" s="352"/>
      <c r="Q3365" s="352"/>
      <c r="R3365" s="352"/>
      <c r="S3365" s="352"/>
      <c r="T3365" s="352"/>
      <c r="U3365" s="352"/>
      <c r="V3365" s="352"/>
      <c r="W3365" s="352"/>
      <c r="X3365" s="352"/>
      <c r="Y3365" s="352"/>
      <c r="Z3365" s="352"/>
      <c r="AA3365" s="352"/>
      <c r="AB3365" s="352"/>
      <c r="AC3365" s="352"/>
      <c r="AD3365" s="352"/>
      <c r="AE3365" s="352"/>
      <c r="AF3365" s="352"/>
      <c r="AG3365" s="352"/>
      <c r="AH3365" s="352"/>
      <c r="AI3365" s="352"/>
      <c r="AJ3365" s="352"/>
    </row>
    <row r="3366" spans="2:36">
      <c r="B3366" s="352"/>
      <c r="C3366" s="352"/>
      <c r="D3366" s="352"/>
      <c r="E3366" s="352"/>
      <c r="F3366" s="352"/>
      <c r="H3366" s="352"/>
      <c r="J3366" s="352"/>
      <c r="L3366" s="352"/>
      <c r="M3366" s="352"/>
      <c r="N3366" s="352"/>
      <c r="O3366" s="352"/>
      <c r="P3366" s="352"/>
      <c r="Q3366" s="352"/>
      <c r="R3366" s="352"/>
      <c r="S3366" s="352"/>
      <c r="T3366" s="352"/>
      <c r="U3366" s="352"/>
      <c r="V3366" s="352"/>
      <c r="W3366" s="352"/>
      <c r="X3366" s="352"/>
      <c r="Y3366" s="352"/>
      <c r="Z3366" s="352"/>
      <c r="AA3366" s="352"/>
      <c r="AB3366" s="352"/>
      <c r="AC3366" s="352"/>
      <c r="AD3366" s="352"/>
      <c r="AE3366" s="352"/>
      <c r="AF3366" s="352"/>
      <c r="AG3366" s="352"/>
      <c r="AH3366" s="352"/>
      <c r="AI3366" s="352"/>
      <c r="AJ3366" s="352"/>
    </row>
    <row r="3367" spans="2:36">
      <c r="B3367" s="352"/>
      <c r="C3367" s="352"/>
      <c r="D3367" s="352"/>
      <c r="E3367" s="352"/>
      <c r="F3367" s="352"/>
      <c r="H3367" s="352"/>
      <c r="J3367" s="352"/>
      <c r="L3367" s="352"/>
      <c r="M3367" s="352"/>
      <c r="N3367" s="352"/>
      <c r="O3367" s="352"/>
      <c r="P3367" s="352"/>
      <c r="Q3367" s="352"/>
      <c r="R3367" s="352"/>
      <c r="S3367" s="352"/>
      <c r="T3367" s="352"/>
      <c r="U3367" s="352"/>
      <c r="V3367" s="352"/>
      <c r="W3367" s="352"/>
      <c r="X3367" s="352"/>
      <c r="Y3367" s="352"/>
      <c r="Z3367" s="352"/>
      <c r="AA3367" s="352"/>
      <c r="AB3367" s="352"/>
      <c r="AC3367" s="352"/>
      <c r="AD3367" s="352"/>
      <c r="AE3367" s="352"/>
      <c r="AF3367" s="352"/>
      <c r="AG3367" s="352"/>
      <c r="AH3367" s="352"/>
      <c r="AI3367" s="352"/>
      <c r="AJ3367" s="352"/>
    </row>
    <row r="3368" spans="2:36">
      <c r="B3368" s="352"/>
      <c r="C3368" s="352"/>
      <c r="D3368" s="352"/>
      <c r="E3368" s="352"/>
      <c r="F3368" s="352"/>
      <c r="H3368" s="352"/>
      <c r="J3368" s="352"/>
      <c r="L3368" s="352"/>
      <c r="M3368" s="352"/>
      <c r="N3368" s="352"/>
      <c r="O3368" s="352"/>
      <c r="P3368" s="352"/>
      <c r="Q3368" s="352"/>
      <c r="R3368" s="352"/>
      <c r="S3368" s="352"/>
      <c r="T3368" s="352"/>
      <c r="U3368" s="352"/>
      <c r="V3368" s="352"/>
      <c r="W3368" s="352"/>
      <c r="X3368" s="352"/>
      <c r="Y3368" s="352"/>
      <c r="Z3368" s="352"/>
      <c r="AA3368" s="352"/>
      <c r="AB3368" s="352"/>
      <c r="AC3368" s="352"/>
      <c r="AD3368" s="352"/>
      <c r="AE3368" s="352"/>
      <c r="AF3368" s="352"/>
      <c r="AG3368" s="352"/>
      <c r="AH3368" s="352"/>
      <c r="AI3368" s="352"/>
      <c r="AJ3368" s="352"/>
    </row>
    <row r="3369" spans="2:36">
      <c r="B3369" s="352"/>
      <c r="C3369" s="352"/>
      <c r="D3369" s="352"/>
      <c r="E3369" s="352"/>
      <c r="F3369" s="352"/>
      <c r="H3369" s="352"/>
      <c r="J3369" s="352"/>
      <c r="L3369" s="352"/>
      <c r="M3369" s="352"/>
      <c r="N3369" s="352"/>
      <c r="O3369" s="352"/>
      <c r="P3369" s="352"/>
      <c r="Q3369" s="352"/>
      <c r="R3369" s="352"/>
      <c r="S3369" s="352"/>
      <c r="T3369" s="352"/>
      <c r="U3369" s="352"/>
      <c r="V3369" s="352"/>
      <c r="W3369" s="352"/>
      <c r="X3369" s="352"/>
      <c r="Y3369" s="352"/>
      <c r="Z3369" s="352"/>
      <c r="AA3369" s="352"/>
      <c r="AB3369" s="352"/>
      <c r="AC3369" s="352"/>
      <c r="AD3369" s="352"/>
      <c r="AE3369" s="352"/>
      <c r="AF3369" s="352"/>
      <c r="AG3369" s="352"/>
      <c r="AH3369" s="352"/>
      <c r="AI3369" s="352"/>
      <c r="AJ3369" s="352"/>
    </row>
    <row r="3370" spans="2:36">
      <c r="B3370" s="352"/>
      <c r="C3370" s="352"/>
      <c r="D3370" s="352"/>
      <c r="E3370" s="352"/>
      <c r="F3370" s="352"/>
      <c r="H3370" s="352"/>
      <c r="J3370" s="352"/>
      <c r="L3370" s="352"/>
      <c r="M3370" s="352"/>
      <c r="N3370" s="352"/>
      <c r="O3370" s="352"/>
      <c r="P3370" s="352"/>
      <c r="Q3370" s="352"/>
      <c r="R3370" s="352"/>
      <c r="S3370" s="352"/>
      <c r="T3370" s="352"/>
      <c r="U3370" s="352"/>
      <c r="V3370" s="352"/>
      <c r="W3370" s="352"/>
      <c r="X3370" s="352"/>
      <c r="Y3370" s="352"/>
      <c r="Z3370" s="352"/>
      <c r="AA3370" s="352"/>
      <c r="AB3370" s="352"/>
      <c r="AC3370" s="352"/>
      <c r="AD3370" s="352"/>
      <c r="AE3370" s="352"/>
      <c r="AF3370" s="352"/>
      <c r="AG3370" s="352"/>
      <c r="AH3370" s="352"/>
      <c r="AI3370" s="352"/>
      <c r="AJ3370" s="352"/>
    </row>
    <row r="3371" spans="2:36">
      <c r="B3371" s="352"/>
      <c r="C3371" s="352"/>
      <c r="D3371" s="352"/>
      <c r="E3371" s="352"/>
      <c r="F3371" s="352"/>
      <c r="H3371" s="352"/>
      <c r="J3371" s="352"/>
      <c r="L3371" s="352"/>
      <c r="M3371" s="352"/>
      <c r="N3371" s="352"/>
      <c r="O3371" s="352"/>
      <c r="P3371" s="352"/>
      <c r="Q3371" s="352"/>
      <c r="R3371" s="352"/>
      <c r="S3371" s="352"/>
      <c r="T3371" s="352"/>
      <c r="U3371" s="352"/>
      <c r="V3371" s="352"/>
      <c r="W3371" s="352"/>
      <c r="X3371" s="352"/>
      <c r="Y3371" s="352"/>
      <c r="Z3371" s="352"/>
      <c r="AA3371" s="352"/>
      <c r="AB3371" s="352"/>
      <c r="AC3371" s="352"/>
      <c r="AD3371" s="352"/>
      <c r="AE3371" s="352"/>
      <c r="AF3371" s="352"/>
      <c r="AG3371" s="352"/>
      <c r="AH3371" s="352"/>
      <c r="AI3371" s="352"/>
      <c r="AJ3371" s="352"/>
    </row>
    <row r="3372" spans="2:36">
      <c r="B3372" s="352"/>
      <c r="C3372" s="352"/>
      <c r="D3372" s="352"/>
      <c r="E3372" s="352"/>
      <c r="F3372" s="352"/>
      <c r="H3372" s="352"/>
      <c r="J3372" s="352"/>
      <c r="L3372" s="352"/>
      <c r="M3372" s="352"/>
      <c r="N3372" s="352"/>
      <c r="O3372" s="352"/>
      <c r="P3372" s="352"/>
      <c r="Q3372" s="352"/>
      <c r="R3372" s="352"/>
      <c r="S3372" s="352"/>
      <c r="T3372" s="352"/>
      <c r="U3372" s="352"/>
      <c r="V3372" s="352"/>
      <c r="W3372" s="352"/>
      <c r="X3372" s="352"/>
      <c r="Y3372" s="352"/>
      <c r="Z3372" s="352"/>
      <c r="AA3372" s="352"/>
      <c r="AB3372" s="352"/>
      <c r="AC3372" s="352"/>
      <c r="AD3372" s="352"/>
      <c r="AE3372" s="352"/>
      <c r="AF3372" s="352"/>
      <c r="AG3372" s="352"/>
      <c r="AH3372" s="352"/>
      <c r="AI3372" s="352"/>
      <c r="AJ3372" s="352"/>
    </row>
    <row r="3373" spans="2:36">
      <c r="B3373" s="352"/>
      <c r="C3373" s="352"/>
      <c r="D3373" s="352"/>
      <c r="E3373" s="352"/>
      <c r="F3373" s="352"/>
      <c r="H3373" s="352"/>
      <c r="J3373" s="352"/>
      <c r="L3373" s="352"/>
      <c r="M3373" s="352"/>
      <c r="N3373" s="352"/>
      <c r="O3373" s="352"/>
      <c r="P3373" s="352"/>
      <c r="Q3373" s="352"/>
      <c r="R3373" s="352"/>
      <c r="S3373" s="352"/>
      <c r="T3373" s="352"/>
      <c r="U3373" s="352"/>
      <c r="V3373" s="352"/>
      <c r="W3373" s="352"/>
      <c r="X3373" s="352"/>
      <c r="Y3373" s="352"/>
      <c r="Z3373" s="352"/>
      <c r="AA3373" s="352"/>
      <c r="AB3373" s="352"/>
      <c r="AC3373" s="352"/>
      <c r="AD3373" s="352"/>
      <c r="AE3373" s="352"/>
      <c r="AF3373" s="352"/>
      <c r="AG3373" s="352"/>
      <c r="AH3373" s="352"/>
      <c r="AI3373" s="352"/>
      <c r="AJ3373" s="352"/>
    </row>
    <row r="3374" spans="2:36">
      <c r="B3374" s="352"/>
      <c r="C3374" s="352"/>
      <c r="D3374" s="352"/>
      <c r="E3374" s="352"/>
      <c r="F3374" s="352"/>
      <c r="H3374" s="352"/>
      <c r="J3374" s="352"/>
      <c r="L3374" s="352"/>
      <c r="M3374" s="352"/>
      <c r="N3374" s="352"/>
      <c r="O3374" s="352"/>
      <c r="P3374" s="352"/>
      <c r="Q3374" s="352"/>
      <c r="R3374" s="352"/>
      <c r="S3374" s="352"/>
      <c r="T3374" s="352"/>
      <c r="U3374" s="352"/>
      <c r="V3374" s="352"/>
      <c r="W3374" s="352"/>
      <c r="X3374" s="352"/>
      <c r="Y3374" s="352"/>
      <c r="Z3374" s="352"/>
      <c r="AA3374" s="352"/>
      <c r="AB3374" s="352"/>
      <c r="AC3374" s="352"/>
      <c r="AD3374" s="352"/>
      <c r="AE3374" s="352"/>
      <c r="AF3374" s="352"/>
      <c r="AG3374" s="352"/>
      <c r="AH3374" s="352"/>
      <c r="AI3374" s="352"/>
      <c r="AJ3374" s="352"/>
    </row>
    <row r="3375" spans="2:36">
      <c r="B3375" s="352"/>
      <c r="C3375" s="352"/>
      <c r="D3375" s="352"/>
      <c r="E3375" s="352"/>
      <c r="F3375" s="352"/>
      <c r="H3375" s="352"/>
      <c r="J3375" s="352"/>
      <c r="L3375" s="352"/>
      <c r="M3375" s="352"/>
      <c r="N3375" s="352"/>
      <c r="O3375" s="352"/>
      <c r="P3375" s="352"/>
      <c r="Q3375" s="352"/>
      <c r="R3375" s="352"/>
      <c r="S3375" s="352"/>
      <c r="T3375" s="352"/>
      <c r="U3375" s="352"/>
      <c r="V3375" s="352"/>
      <c r="W3375" s="352"/>
      <c r="X3375" s="352"/>
      <c r="Y3375" s="352"/>
      <c r="Z3375" s="352"/>
      <c r="AA3375" s="352"/>
      <c r="AB3375" s="352"/>
      <c r="AC3375" s="352"/>
      <c r="AD3375" s="352"/>
      <c r="AE3375" s="352"/>
      <c r="AF3375" s="352"/>
      <c r="AG3375" s="352"/>
      <c r="AH3375" s="352"/>
      <c r="AI3375" s="352"/>
      <c r="AJ3375" s="352"/>
    </row>
    <row r="3376" spans="2:36">
      <c r="B3376" s="352"/>
      <c r="C3376" s="352"/>
      <c r="D3376" s="352"/>
      <c r="E3376" s="352"/>
      <c r="F3376" s="352"/>
      <c r="H3376" s="352"/>
      <c r="J3376" s="352"/>
      <c r="L3376" s="352"/>
      <c r="M3376" s="352"/>
      <c r="N3376" s="352"/>
      <c r="O3376" s="352"/>
      <c r="P3376" s="352"/>
      <c r="Q3376" s="352"/>
      <c r="R3376" s="352"/>
      <c r="S3376" s="352"/>
      <c r="T3376" s="352"/>
      <c r="U3376" s="352"/>
      <c r="V3376" s="352"/>
      <c r="W3376" s="352"/>
      <c r="X3376" s="352"/>
      <c r="Y3376" s="352"/>
      <c r="Z3376" s="352"/>
      <c r="AA3376" s="352"/>
      <c r="AB3376" s="352"/>
      <c r="AC3376" s="352"/>
      <c r="AD3376" s="352"/>
      <c r="AE3376" s="352"/>
      <c r="AF3376" s="352"/>
      <c r="AG3376" s="352"/>
      <c r="AH3376" s="352"/>
      <c r="AI3376" s="352"/>
      <c r="AJ3376" s="352"/>
    </row>
    <row r="3377" spans="2:36">
      <c r="B3377" s="352"/>
      <c r="C3377" s="352"/>
      <c r="D3377" s="352"/>
      <c r="E3377" s="352"/>
      <c r="F3377" s="352"/>
      <c r="H3377" s="352"/>
      <c r="J3377" s="352"/>
      <c r="L3377" s="352"/>
      <c r="M3377" s="352"/>
      <c r="N3377" s="352"/>
      <c r="O3377" s="352"/>
      <c r="P3377" s="352"/>
      <c r="Q3377" s="352"/>
      <c r="R3377" s="352"/>
      <c r="S3377" s="352"/>
      <c r="T3377" s="352"/>
      <c r="U3377" s="352"/>
      <c r="V3377" s="352"/>
      <c r="W3377" s="352"/>
      <c r="X3377" s="352"/>
      <c r="Y3377" s="352"/>
      <c r="Z3377" s="352"/>
      <c r="AA3377" s="352"/>
      <c r="AB3377" s="352"/>
      <c r="AC3377" s="352"/>
      <c r="AD3377" s="352"/>
      <c r="AE3377" s="352"/>
      <c r="AF3377" s="352"/>
      <c r="AG3377" s="352"/>
      <c r="AH3377" s="352"/>
      <c r="AI3377" s="352"/>
      <c r="AJ3377" s="352"/>
    </row>
    <row r="3378" spans="2:36">
      <c r="B3378" s="352"/>
      <c r="C3378" s="352"/>
      <c r="D3378" s="352"/>
      <c r="E3378" s="352"/>
      <c r="F3378" s="352"/>
      <c r="H3378" s="352"/>
      <c r="J3378" s="352"/>
      <c r="L3378" s="352"/>
      <c r="M3378" s="352"/>
      <c r="N3378" s="352"/>
      <c r="O3378" s="352"/>
      <c r="P3378" s="352"/>
      <c r="Q3378" s="352"/>
      <c r="R3378" s="352"/>
      <c r="S3378" s="352"/>
      <c r="T3378" s="352"/>
      <c r="U3378" s="352"/>
      <c r="V3378" s="352"/>
      <c r="W3378" s="352"/>
      <c r="X3378" s="352"/>
      <c r="Y3378" s="352"/>
      <c r="Z3378" s="352"/>
      <c r="AA3378" s="352"/>
      <c r="AB3378" s="352"/>
      <c r="AC3378" s="352"/>
      <c r="AD3378" s="352"/>
      <c r="AE3378" s="352"/>
      <c r="AF3378" s="352"/>
      <c r="AG3378" s="352"/>
      <c r="AH3378" s="352"/>
      <c r="AI3378" s="352"/>
      <c r="AJ3378" s="352"/>
    </row>
    <row r="3379" spans="2:36">
      <c r="B3379" s="352"/>
      <c r="C3379" s="352"/>
      <c r="D3379" s="352"/>
      <c r="E3379" s="352"/>
      <c r="F3379" s="352"/>
      <c r="H3379" s="352"/>
      <c r="J3379" s="352"/>
      <c r="L3379" s="352"/>
      <c r="M3379" s="352"/>
      <c r="N3379" s="352"/>
      <c r="O3379" s="352"/>
      <c r="P3379" s="352"/>
      <c r="Q3379" s="352"/>
      <c r="R3379" s="352"/>
      <c r="S3379" s="352"/>
      <c r="T3379" s="352"/>
      <c r="U3379" s="352"/>
      <c r="V3379" s="352"/>
      <c r="W3379" s="352"/>
      <c r="X3379" s="352"/>
      <c r="Y3379" s="352"/>
      <c r="Z3379" s="352"/>
      <c r="AA3379" s="352"/>
      <c r="AB3379" s="352"/>
      <c r="AC3379" s="352"/>
      <c r="AD3379" s="352"/>
      <c r="AE3379" s="352"/>
      <c r="AF3379" s="352"/>
      <c r="AG3379" s="352"/>
      <c r="AH3379" s="352"/>
      <c r="AI3379" s="352"/>
      <c r="AJ3379" s="352"/>
    </row>
    <row r="3380" spans="2:36">
      <c r="B3380" s="352"/>
      <c r="C3380" s="352"/>
      <c r="D3380" s="352"/>
      <c r="E3380" s="352"/>
      <c r="F3380" s="352"/>
      <c r="H3380" s="352"/>
      <c r="J3380" s="352"/>
      <c r="L3380" s="352"/>
      <c r="M3380" s="352"/>
      <c r="N3380" s="352"/>
      <c r="O3380" s="352"/>
      <c r="P3380" s="352"/>
      <c r="Q3380" s="352"/>
      <c r="R3380" s="352"/>
      <c r="S3380" s="352"/>
      <c r="T3380" s="352"/>
      <c r="U3380" s="352"/>
      <c r="V3380" s="352"/>
      <c r="W3380" s="352"/>
      <c r="X3380" s="352"/>
      <c r="Y3380" s="352"/>
      <c r="Z3380" s="352"/>
      <c r="AA3380" s="352"/>
      <c r="AB3380" s="352"/>
      <c r="AC3380" s="352"/>
      <c r="AD3380" s="352"/>
      <c r="AE3380" s="352"/>
      <c r="AF3380" s="352"/>
      <c r="AG3380" s="352"/>
      <c r="AH3380" s="352"/>
      <c r="AI3380" s="352"/>
      <c r="AJ3380" s="352"/>
    </row>
    <row r="3381" spans="2:36">
      <c r="B3381" s="352"/>
      <c r="C3381" s="352"/>
      <c r="D3381" s="352"/>
      <c r="E3381" s="352"/>
      <c r="F3381" s="352"/>
      <c r="H3381" s="352"/>
      <c r="J3381" s="352"/>
      <c r="L3381" s="352"/>
      <c r="M3381" s="352"/>
      <c r="N3381" s="352"/>
      <c r="O3381" s="352"/>
      <c r="P3381" s="352"/>
      <c r="Q3381" s="352"/>
      <c r="R3381" s="352"/>
      <c r="S3381" s="352"/>
      <c r="T3381" s="352"/>
      <c r="U3381" s="352"/>
      <c r="V3381" s="352"/>
      <c r="W3381" s="352"/>
      <c r="X3381" s="352"/>
      <c r="Y3381" s="352"/>
      <c r="Z3381" s="352"/>
      <c r="AA3381" s="352"/>
      <c r="AB3381" s="352"/>
      <c r="AC3381" s="352"/>
      <c r="AD3381" s="352"/>
      <c r="AE3381" s="352"/>
      <c r="AF3381" s="352"/>
      <c r="AG3381" s="352"/>
      <c r="AH3381" s="352"/>
      <c r="AI3381" s="352"/>
      <c r="AJ3381" s="352"/>
    </row>
    <row r="3382" spans="2:36">
      <c r="B3382" s="352"/>
      <c r="C3382" s="352"/>
      <c r="D3382" s="352"/>
      <c r="E3382" s="352"/>
      <c r="F3382" s="352"/>
      <c r="H3382" s="352"/>
      <c r="J3382" s="352"/>
      <c r="L3382" s="352"/>
      <c r="M3382" s="352"/>
      <c r="N3382" s="352"/>
      <c r="O3382" s="352"/>
      <c r="P3382" s="352"/>
      <c r="Q3382" s="352"/>
      <c r="R3382" s="352"/>
      <c r="S3382" s="352"/>
      <c r="T3382" s="352"/>
      <c r="U3382" s="352"/>
      <c r="V3382" s="352"/>
      <c r="W3382" s="352"/>
      <c r="X3382" s="352"/>
      <c r="Y3382" s="352"/>
      <c r="Z3382" s="352"/>
      <c r="AA3382" s="352"/>
      <c r="AB3382" s="352"/>
      <c r="AC3382" s="352"/>
      <c r="AD3382" s="352"/>
      <c r="AE3382" s="352"/>
      <c r="AF3382" s="352"/>
      <c r="AG3382" s="352"/>
      <c r="AH3382" s="352"/>
      <c r="AI3382" s="352"/>
      <c r="AJ3382" s="352"/>
    </row>
    <row r="3383" spans="2:36">
      <c r="B3383" s="352"/>
      <c r="C3383" s="352"/>
      <c r="D3383" s="352"/>
      <c r="E3383" s="352"/>
      <c r="F3383" s="352"/>
      <c r="H3383" s="352"/>
      <c r="J3383" s="352"/>
      <c r="L3383" s="352"/>
      <c r="M3383" s="352"/>
      <c r="N3383" s="352"/>
      <c r="O3383" s="352"/>
      <c r="P3383" s="352"/>
      <c r="Q3383" s="352"/>
      <c r="R3383" s="352"/>
      <c r="S3383" s="352"/>
      <c r="T3383" s="352"/>
      <c r="U3383" s="352"/>
      <c r="V3383" s="352"/>
      <c r="W3383" s="352"/>
      <c r="X3383" s="352"/>
      <c r="Y3383" s="352"/>
      <c r="Z3383" s="352"/>
      <c r="AA3383" s="352"/>
      <c r="AB3383" s="352"/>
      <c r="AC3383" s="352"/>
      <c r="AD3383" s="352"/>
      <c r="AE3383" s="352"/>
      <c r="AF3383" s="352"/>
      <c r="AG3383" s="352"/>
      <c r="AH3383" s="352"/>
      <c r="AI3383" s="352"/>
      <c r="AJ3383" s="352"/>
    </row>
    <row r="3384" spans="2:36">
      <c r="B3384" s="352"/>
      <c r="C3384" s="352"/>
      <c r="D3384" s="352"/>
      <c r="E3384" s="352"/>
      <c r="F3384" s="352"/>
      <c r="H3384" s="352"/>
      <c r="J3384" s="352"/>
      <c r="L3384" s="352"/>
      <c r="M3384" s="352"/>
      <c r="N3384" s="352"/>
      <c r="O3384" s="352"/>
      <c r="P3384" s="352"/>
      <c r="Q3384" s="352"/>
      <c r="R3384" s="352"/>
      <c r="S3384" s="352"/>
      <c r="T3384" s="352"/>
      <c r="U3384" s="352"/>
      <c r="V3384" s="352"/>
      <c r="W3384" s="352"/>
      <c r="X3384" s="352"/>
      <c r="Y3384" s="352"/>
      <c r="Z3384" s="352"/>
      <c r="AA3384" s="352"/>
      <c r="AB3384" s="352"/>
      <c r="AC3384" s="352"/>
      <c r="AD3384" s="352"/>
      <c r="AE3384" s="352"/>
      <c r="AF3384" s="352"/>
      <c r="AG3384" s="352"/>
      <c r="AH3384" s="352"/>
      <c r="AI3384" s="352"/>
      <c r="AJ3384" s="352"/>
    </row>
    <row r="3385" spans="2:36">
      <c r="B3385" s="352"/>
      <c r="C3385" s="352"/>
      <c r="D3385" s="352"/>
      <c r="E3385" s="352"/>
      <c r="F3385" s="352"/>
      <c r="H3385" s="352"/>
      <c r="J3385" s="352"/>
      <c r="L3385" s="352"/>
      <c r="M3385" s="352"/>
      <c r="N3385" s="352"/>
      <c r="O3385" s="352"/>
      <c r="P3385" s="352"/>
      <c r="Q3385" s="352"/>
      <c r="R3385" s="352"/>
      <c r="S3385" s="352"/>
      <c r="T3385" s="352"/>
      <c r="U3385" s="352"/>
      <c r="V3385" s="352"/>
      <c r="W3385" s="352"/>
      <c r="X3385" s="352"/>
      <c r="Y3385" s="352"/>
      <c r="Z3385" s="352"/>
      <c r="AA3385" s="352"/>
      <c r="AB3385" s="352"/>
      <c r="AC3385" s="352"/>
      <c r="AD3385" s="352"/>
      <c r="AE3385" s="352"/>
      <c r="AF3385" s="352"/>
      <c r="AG3385" s="352"/>
      <c r="AH3385" s="352"/>
      <c r="AI3385" s="352"/>
      <c r="AJ3385" s="352"/>
    </row>
    <row r="3386" spans="2:36">
      <c r="B3386" s="352"/>
      <c r="C3386" s="352"/>
      <c r="D3386" s="352"/>
      <c r="E3386" s="352"/>
      <c r="F3386" s="352"/>
      <c r="H3386" s="352"/>
      <c r="J3386" s="352"/>
      <c r="L3386" s="352"/>
      <c r="M3386" s="352"/>
      <c r="N3386" s="352"/>
      <c r="O3386" s="352"/>
      <c r="P3386" s="352"/>
      <c r="Q3386" s="352"/>
      <c r="R3386" s="352"/>
      <c r="S3386" s="352"/>
      <c r="T3386" s="352"/>
      <c r="U3386" s="352"/>
      <c r="V3386" s="352"/>
      <c r="W3386" s="352"/>
      <c r="X3386" s="352"/>
      <c r="Y3386" s="352"/>
      <c r="Z3386" s="352"/>
      <c r="AA3386" s="352"/>
      <c r="AB3386" s="352"/>
      <c r="AC3386" s="352"/>
      <c r="AD3386" s="352"/>
      <c r="AE3386" s="352"/>
      <c r="AF3386" s="352"/>
      <c r="AG3386" s="352"/>
      <c r="AH3386" s="352"/>
      <c r="AI3386" s="352"/>
      <c r="AJ3386" s="352"/>
    </row>
    <row r="3387" spans="2:36">
      <c r="B3387" s="352"/>
      <c r="C3387" s="352"/>
      <c r="D3387" s="352"/>
      <c r="E3387" s="352"/>
      <c r="F3387" s="352"/>
      <c r="H3387" s="352"/>
      <c r="J3387" s="352"/>
      <c r="L3387" s="352"/>
      <c r="M3387" s="352"/>
      <c r="N3387" s="352"/>
      <c r="O3387" s="352"/>
      <c r="P3387" s="352"/>
      <c r="Q3387" s="352"/>
      <c r="R3387" s="352"/>
      <c r="S3387" s="352"/>
      <c r="T3387" s="352"/>
      <c r="U3387" s="352"/>
      <c r="V3387" s="352"/>
      <c r="W3387" s="352"/>
      <c r="X3387" s="352"/>
      <c r="Y3387" s="352"/>
      <c r="Z3387" s="352"/>
      <c r="AA3387" s="352"/>
      <c r="AB3387" s="352"/>
      <c r="AC3387" s="352"/>
      <c r="AD3387" s="352"/>
      <c r="AE3387" s="352"/>
      <c r="AF3387" s="352"/>
      <c r="AG3387" s="352"/>
      <c r="AH3387" s="352"/>
      <c r="AI3387" s="352"/>
      <c r="AJ3387" s="352"/>
    </row>
    <row r="3388" spans="2:36">
      <c r="B3388" s="352"/>
      <c r="C3388" s="352"/>
      <c r="D3388" s="352"/>
      <c r="E3388" s="352"/>
      <c r="F3388" s="352"/>
      <c r="H3388" s="352"/>
      <c r="J3388" s="352"/>
      <c r="L3388" s="352"/>
      <c r="M3388" s="352"/>
      <c r="N3388" s="352"/>
      <c r="O3388" s="352"/>
      <c r="P3388" s="352"/>
      <c r="Q3388" s="352"/>
      <c r="R3388" s="352"/>
      <c r="S3388" s="352"/>
      <c r="T3388" s="352"/>
      <c r="U3388" s="352"/>
      <c r="V3388" s="352"/>
      <c r="W3388" s="352"/>
      <c r="X3388" s="352"/>
      <c r="Y3388" s="352"/>
      <c r="Z3388" s="352"/>
      <c r="AA3388" s="352"/>
      <c r="AB3388" s="352"/>
      <c r="AC3388" s="352"/>
      <c r="AD3388" s="352"/>
      <c r="AE3388" s="352"/>
      <c r="AF3388" s="352"/>
      <c r="AG3388" s="352"/>
      <c r="AH3388" s="352"/>
      <c r="AI3388" s="352"/>
      <c r="AJ3388" s="352"/>
    </row>
    <row r="3389" spans="2:36">
      <c r="B3389" s="352"/>
      <c r="C3389" s="352"/>
      <c r="D3389" s="352"/>
      <c r="E3389" s="352"/>
      <c r="F3389" s="352"/>
      <c r="H3389" s="352"/>
      <c r="J3389" s="352"/>
      <c r="L3389" s="352"/>
      <c r="M3389" s="352"/>
      <c r="N3389" s="352"/>
      <c r="O3389" s="352"/>
      <c r="P3389" s="352"/>
      <c r="Q3389" s="352"/>
      <c r="R3389" s="352"/>
      <c r="S3389" s="352"/>
      <c r="T3389" s="352"/>
      <c r="U3389" s="352"/>
      <c r="V3389" s="352"/>
      <c r="W3389" s="352"/>
      <c r="X3389" s="352"/>
      <c r="Y3389" s="352"/>
      <c r="Z3389" s="352"/>
      <c r="AA3389" s="352"/>
      <c r="AB3389" s="352"/>
      <c r="AC3389" s="352"/>
      <c r="AD3389" s="352"/>
      <c r="AE3389" s="352"/>
      <c r="AF3389" s="352"/>
      <c r="AG3389" s="352"/>
      <c r="AH3389" s="352"/>
      <c r="AI3389" s="352"/>
      <c r="AJ3389" s="352"/>
    </row>
    <row r="3390" spans="2:36">
      <c r="B3390" s="352"/>
      <c r="C3390" s="352"/>
      <c r="D3390" s="352"/>
      <c r="E3390" s="352"/>
      <c r="F3390" s="352"/>
      <c r="H3390" s="352"/>
      <c r="J3390" s="352"/>
      <c r="L3390" s="352"/>
      <c r="M3390" s="352"/>
      <c r="N3390" s="352"/>
      <c r="O3390" s="352"/>
      <c r="P3390" s="352"/>
      <c r="Q3390" s="352"/>
      <c r="R3390" s="352"/>
      <c r="S3390" s="352"/>
      <c r="T3390" s="352"/>
      <c r="U3390" s="352"/>
      <c r="V3390" s="352"/>
      <c r="W3390" s="352"/>
      <c r="X3390" s="352"/>
      <c r="Y3390" s="352"/>
      <c r="Z3390" s="352"/>
      <c r="AA3390" s="352"/>
      <c r="AB3390" s="352"/>
      <c r="AC3390" s="352"/>
      <c r="AD3390" s="352"/>
      <c r="AE3390" s="352"/>
      <c r="AF3390" s="352"/>
      <c r="AG3390" s="352"/>
      <c r="AH3390" s="352"/>
      <c r="AI3390" s="352"/>
      <c r="AJ3390" s="352"/>
    </row>
    <row r="3391" spans="2:36">
      <c r="B3391" s="352"/>
      <c r="C3391" s="352"/>
      <c r="D3391" s="352"/>
      <c r="E3391" s="352"/>
      <c r="F3391" s="352"/>
      <c r="H3391" s="352"/>
      <c r="J3391" s="352"/>
      <c r="L3391" s="352"/>
      <c r="M3391" s="352"/>
      <c r="N3391" s="352"/>
      <c r="O3391" s="352"/>
      <c r="P3391" s="352"/>
      <c r="Q3391" s="352"/>
      <c r="R3391" s="352"/>
      <c r="S3391" s="352"/>
      <c r="T3391" s="352"/>
      <c r="U3391" s="352"/>
      <c r="V3391" s="352"/>
      <c r="W3391" s="352"/>
      <c r="X3391" s="352"/>
      <c r="Y3391" s="352"/>
      <c r="Z3391" s="352"/>
      <c r="AA3391" s="352"/>
      <c r="AB3391" s="352"/>
      <c r="AC3391" s="352"/>
      <c r="AD3391" s="352"/>
      <c r="AE3391" s="352"/>
      <c r="AF3391" s="352"/>
      <c r="AG3391" s="352"/>
      <c r="AH3391" s="352"/>
      <c r="AI3391" s="352"/>
      <c r="AJ3391" s="352"/>
    </row>
    <row r="3392" spans="2:36">
      <c r="B3392" s="352"/>
      <c r="C3392" s="352"/>
      <c r="D3392" s="352"/>
      <c r="E3392" s="352"/>
      <c r="F3392" s="352"/>
      <c r="H3392" s="352"/>
      <c r="J3392" s="352"/>
      <c r="L3392" s="352"/>
      <c r="M3392" s="352"/>
      <c r="N3392" s="352"/>
      <c r="O3392" s="352"/>
      <c r="P3392" s="352"/>
      <c r="Q3392" s="352"/>
      <c r="R3392" s="352"/>
      <c r="S3392" s="352"/>
      <c r="T3392" s="352"/>
      <c r="U3392" s="352"/>
      <c r="V3392" s="352"/>
      <c r="W3392" s="352"/>
      <c r="X3392" s="352"/>
      <c r="Y3392" s="352"/>
      <c r="Z3392" s="352"/>
      <c r="AA3392" s="352"/>
      <c r="AB3392" s="352"/>
      <c r="AC3392" s="352"/>
      <c r="AD3392" s="352"/>
      <c r="AE3392" s="352"/>
      <c r="AF3392" s="352"/>
      <c r="AG3392" s="352"/>
      <c r="AH3392" s="352"/>
      <c r="AI3392" s="352"/>
      <c r="AJ3392" s="352"/>
    </row>
    <row r="3393" spans="2:36">
      <c r="B3393" s="352"/>
      <c r="C3393" s="352"/>
      <c r="D3393" s="352"/>
      <c r="E3393" s="352"/>
      <c r="F3393" s="352"/>
      <c r="H3393" s="352"/>
      <c r="J3393" s="352"/>
      <c r="L3393" s="352"/>
      <c r="M3393" s="352"/>
      <c r="N3393" s="352"/>
      <c r="O3393" s="352"/>
      <c r="P3393" s="352"/>
      <c r="Q3393" s="352"/>
      <c r="R3393" s="352"/>
      <c r="S3393" s="352"/>
      <c r="T3393" s="352"/>
      <c r="U3393" s="352"/>
      <c r="V3393" s="352"/>
      <c r="W3393" s="352"/>
      <c r="X3393" s="352"/>
      <c r="Y3393" s="352"/>
      <c r="Z3393" s="352"/>
      <c r="AA3393" s="352"/>
      <c r="AB3393" s="352"/>
      <c r="AC3393" s="352"/>
      <c r="AD3393" s="352"/>
      <c r="AE3393" s="352"/>
      <c r="AF3393" s="352"/>
      <c r="AG3393" s="352"/>
      <c r="AH3393" s="352"/>
      <c r="AI3393" s="352"/>
      <c r="AJ3393" s="352"/>
    </row>
    <row r="3394" spans="2:36">
      <c r="B3394" s="352"/>
      <c r="C3394" s="352"/>
      <c r="D3394" s="352"/>
      <c r="E3394" s="352"/>
      <c r="F3394" s="352"/>
      <c r="H3394" s="352"/>
      <c r="J3394" s="352"/>
      <c r="L3394" s="352"/>
      <c r="M3394" s="352"/>
      <c r="N3394" s="352"/>
      <c r="O3394" s="352"/>
      <c r="P3394" s="352"/>
      <c r="Q3394" s="352"/>
      <c r="R3394" s="352"/>
      <c r="S3394" s="352"/>
      <c r="T3394" s="352"/>
      <c r="U3394" s="352"/>
      <c r="V3394" s="352"/>
      <c r="W3394" s="352"/>
      <c r="X3394" s="352"/>
      <c r="Y3394" s="352"/>
      <c r="Z3394" s="352"/>
      <c r="AA3394" s="352"/>
      <c r="AB3394" s="352"/>
      <c r="AC3394" s="352"/>
      <c r="AD3394" s="352"/>
      <c r="AE3394" s="352"/>
      <c r="AF3394" s="352"/>
      <c r="AG3394" s="352"/>
      <c r="AH3394" s="352"/>
      <c r="AI3394" s="352"/>
      <c r="AJ3394" s="352"/>
    </row>
    <row r="3395" spans="2:36">
      <c r="B3395" s="352"/>
      <c r="C3395" s="352"/>
      <c r="D3395" s="352"/>
      <c r="E3395" s="352"/>
      <c r="F3395" s="352"/>
      <c r="H3395" s="352"/>
      <c r="J3395" s="352"/>
      <c r="L3395" s="352"/>
      <c r="M3395" s="352"/>
      <c r="N3395" s="352"/>
      <c r="O3395" s="352"/>
      <c r="P3395" s="352"/>
      <c r="Q3395" s="352"/>
      <c r="R3395" s="352"/>
      <c r="S3395" s="352"/>
      <c r="T3395" s="352"/>
      <c r="U3395" s="352"/>
      <c r="V3395" s="352"/>
      <c r="W3395" s="352"/>
      <c r="X3395" s="352"/>
      <c r="Y3395" s="352"/>
      <c r="Z3395" s="352"/>
      <c r="AA3395" s="352"/>
      <c r="AB3395" s="352"/>
      <c r="AC3395" s="352"/>
      <c r="AD3395" s="352"/>
      <c r="AE3395" s="352"/>
      <c r="AF3395" s="352"/>
      <c r="AG3395" s="352"/>
      <c r="AH3395" s="352"/>
      <c r="AI3395" s="352"/>
      <c r="AJ3395" s="352"/>
    </row>
    <row r="3396" spans="2:36">
      <c r="B3396" s="352"/>
      <c r="C3396" s="352"/>
      <c r="D3396" s="352"/>
      <c r="E3396" s="352"/>
      <c r="F3396" s="352"/>
      <c r="H3396" s="352"/>
      <c r="J3396" s="352"/>
      <c r="L3396" s="352"/>
      <c r="M3396" s="352"/>
      <c r="N3396" s="352"/>
      <c r="O3396" s="352"/>
      <c r="P3396" s="352"/>
      <c r="Q3396" s="352"/>
      <c r="R3396" s="352"/>
      <c r="S3396" s="352"/>
      <c r="T3396" s="352"/>
      <c r="U3396" s="352"/>
      <c r="V3396" s="352"/>
      <c r="W3396" s="352"/>
      <c r="X3396" s="352"/>
      <c r="Y3396" s="352"/>
      <c r="Z3396" s="352"/>
      <c r="AA3396" s="352"/>
      <c r="AB3396" s="352"/>
      <c r="AC3396" s="352"/>
      <c r="AD3396" s="352"/>
      <c r="AE3396" s="352"/>
      <c r="AF3396" s="352"/>
      <c r="AG3396" s="352"/>
      <c r="AH3396" s="352"/>
      <c r="AI3396" s="352"/>
      <c r="AJ3396" s="352"/>
    </row>
    <row r="3397" spans="2:36">
      <c r="B3397" s="352"/>
      <c r="C3397" s="352"/>
      <c r="D3397" s="352"/>
      <c r="E3397" s="352"/>
      <c r="F3397" s="352"/>
      <c r="H3397" s="352"/>
      <c r="J3397" s="352"/>
      <c r="L3397" s="352"/>
      <c r="M3397" s="352"/>
      <c r="N3397" s="352"/>
      <c r="O3397" s="352"/>
      <c r="P3397" s="352"/>
      <c r="Q3397" s="352"/>
      <c r="R3397" s="352"/>
      <c r="S3397" s="352"/>
      <c r="T3397" s="352"/>
      <c r="U3397" s="352"/>
      <c r="V3397" s="352"/>
      <c r="W3397" s="352"/>
      <c r="X3397" s="352"/>
      <c r="Y3397" s="352"/>
      <c r="Z3397" s="352"/>
      <c r="AA3397" s="352"/>
      <c r="AB3397" s="352"/>
      <c r="AC3397" s="352"/>
      <c r="AD3397" s="352"/>
      <c r="AE3397" s="352"/>
      <c r="AF3397" s="352"/>
      <c r="AG3397" s="352"/>
      <c r="AH3397" s="352"/>
      <c r="AI3397" s="352"/>
      <c r="AJ3397" s="352"/>
    </row>
    <row r="3398" spans="2:36">
      <c r="B3398" s="352"/>
      <c r="C3398" s="352"/>
      <c r="D3398" s="352"/>
      <c r="E3398" s="352"/>
      <c r="F3398" s="352"/>
      <c r="H3398" s="352"/>
      <c r="J3398" s="352"/>
      <c r="L3398" s="352"/>
      <c r="M3398" s="352"/>
      <c r="N3398" s="352"/>
      <c r="O3398" s="352"/>
      <c r="P3398" s="352"/>
      <c r="Q3398" s="352"/>
      <c r="R3398" s="352"/>
      <c r="S3398" s="352"/>
      <c r="T3398" s="352"/>
      <c r="U3398" s="352"/>
      <c r="V3398" s="352"/>
      <c r="W3398" s="352"/>
      <c r="X3398" s="352"/>
      <c r="Y3398" s="352"/>
      <c r="Z3398" s="352"/>
      <c r="AA3398" s="352"/>
      <c r="AB3398" s="352"/>
      <c r="AC3398" s="352"/>
      <c r="AD3398" s="352"/>
      <c r="AE3398" s="352"/>
      <c r="AF3398" s="352"/>
      <c r="AG3398" s="352"/>
      <c r="AH3398" s="352"/>
      <c r="AI3398" s="352"/>
      <c r="AJ3398" s="352"/>
    </row>
    <row r="3399" spans="2:36">
      <c r="B3399" s="352"/>
      <c r="C3399" s="352"/>
      <c r="D3399" s="352"/>
      <c r="E3399" s="352"/>
      <c r="F3399" s="352"/>
      <c r="H3399" s="352"/>
      <c r="J3399" s="352"/>
      <c r="L3399" s="352"/>
      <c r="M3399" s="352"/>
      <c r="N3399" s="352"/>
      <c r="O3399" s="352"/>
      <c r="P3399" s="352"/>
      <c r="Q3399" s="352"/>
      <c r="R3399" s="352"/>
      <c r="S3399" s="352"/>
      <c r="T3399" s="352"/>
      <c r="U3399" s="352"/>
      <c r="V3399" s="352"/>
      <c r="W3399" s="352"/>
      <c r="X3399" s="352"/>
      <c r="Y3399" s="352"/>
      <c r="Z3399" s="352"/>
      <c r="AA3399" s="352"/>
      <c r="AB3399" s="352"/>
      <c r="AC3399" s="352"/>
      <c r="AD3399" s="352"/>
      <c r="AE3399" s="352"/>
      <c r="AF3399" s="352"/>
      <c r="AG3399" s="352"/>
      <c r="AH3399" s="352"/>
      <c r="AI3399" s="352"/>
      <c r="AJ3399" s="352"/>
    </row>
    <row r="3400" spans="2:36">
      <c r="B3400" s="352"/>
      <c r="C3400" s="352"/>
      <c r="D3400" s="352"/>
      <c r="E3400" s="352"/>
      <c r="F3400" s="352"/>
      <c r="H3400" s="352"/>
      <c r="J3400" s="352"/>
      <c r="L3400" s="352"/>
      <c r="M3400" s="352"/>
      <c r="N3400" s="352"/>
      <c r="O3400" s="352"/>
      <c r="P3400" s="352"/>
      <c r="Q3400" s="352"/>
      <c r="R3400" s="352"/>
      <c r="S3400" s="352"/>
      <c r="T3400" s="352"/>
      <c r="U3400" s="352"/>
      <c r="V3400" s="352"/>
      <c r="W3400" s="352"/>
      <c r="X3400" s="352"/>
      <c r="Y3400" s="352"/>
      <c r="Z3400" s="352"/>
      <c r="AA3400" s="352"/>
      <c r="AB3400" s="352"/>
      <c r="AC3400" s="352"/>
      <c r="AD3400" s="352"/>
      <c r="AE3400" s="352"/>
      <c r="AF3400" s="352"/>
      <c r="AG3400" s="352"/>
      <c r="AH3400" s="352"/>
      <c r="AI3400" s="352"/>
      <c r="AJ3400" s="352"/>
    </row>
    <row r="3401" spans="2:36">
      <c r="B3401" s="352"/>
      <c r="C3401" s="352"/>
      <c r="D3401" s="352"/>
      <c r="E3401" s="352"/>
      <c r="F3401" s="352"/>
      <c r="H3401" s="352"/>
      <c r="J3401" s="352"/>
      <c r="L3401" s="352"/>
      <c r="M3401" s="352"/>
      <c r="N3401" s="352"/>
      <c r="O3401" s="352"/>
      <c r="P3401" s="352"/>
      <c r="Q3401" s="352"/>
      <c r="R3401" s="352"/>
      <c r="S3401" s="352"/>
      <c r="T3401" s="352"/>
      <c r="U3401" s="352"/>
      <c r="V3401" s="352"/>
      <c r="W3401" s="352"/>
      <c r="X3401" s="352"/>
      <c r="Y3401" s="352"/>
      <c r="Z3401" s="352"/>
      <c r="AA3401" s="352"/>
      <c r="AB3401" s="352"/>
      <c r="AC3401" s="352"/>
      <c r="AD3401" s="352"/>
      <c r="AE3401" s="352"/>
      <c r="AF3401" s="352"/>
      <c r="AG3401" s="352"/>
      <c r="AH3401" s="352"/>
      <c r="AI3401" s="352"/>
      <c r="AJ3401" s="352"/>
    </row>
    <row r="3402" spans="2:36">
      <c r="B3402" s="352"/>
      <c r="C3402" s="352"/>
      <c r="D3402" s="352"/>
      <c r="E3402" s="352"/>
      <c r="F3402" s="352"/>
      <c r="H3402" s="352"/>
      <c r="J3402" s="352"/>
      <c r="L3402" s="352"/>
      <c r="M3402" s="352"/>
      <c r="N3402" s="352"/>
      <c r="O3402" s="352"/>
      <c r="P3402" s="352"/>
      <c r="Q3402" s="352"/>
      <c r="R3402" s="352"/>
      <c r="S3402" s="352"/>
      <c r="T3402" s="352"/>
      <c r="U3402" s="352"/>
      <c r="V3402" s="352"/>
      <c r="W3402" s="352"/>
      <c r="X3402" s="352"/>
      <c r="Y3402" s="352"/>
      <c r="Z3402" s="352"/>
      <c r="AA3402" s="352"/>
      <c r="AB3402" s="352"/>
      <c r="AC3402" s="352"/>
      <c r="AD3402" s="352"/>
      <c r="AE3402" s="352"/>
      <c r="AF3402" s="352"/>
      <c r="AG3402" s="352"/>
      <c r="AH3402" s="352"/>
      <c r="AI3402" s="352"/>
      <c r="AJ3402" s="352"/>
    </row>
    <row r="3403" spans="2:36">
      <c r="B3403" s="352"/>
      <c r="C3403" s="352"/>
      <c r="D3403" s="352"/>
      <c r="E3403" s="352"/>
      <c r="F3403" s="352"/>
      <c r="H3403" s="352"/>
      <c r="J3403" s="352"/>
      <c r="L3403" s="352"/>
      <c r="M3403" s="352"/>
      <c r="N3403" s="352"/>
      <c r="O3403" s="352"/>
      <c r="P3403" s="352"/>
      <c r="Q3403" s="352"/>
      <c r="R3403" s="352"/>
      <c r="S3403" s="352"/>
      <c r="T3403" s="352"/>
      <c r="U3403" s="352"/>
      <c r="V3403" s="352"/>
      <c r="W3403" s="352"/>
      <c r="X3403" s="352"/>
      <c r="Y3403" s="352"/>
      <c r="Z3403" s="352"/>
      <c r="AA3403" s="352"/>
      <c r="AB3403" s="352"/>
      <c r="AC3403" s="352"/>
      <c r="AD3403" s="352"/>
      <c r="AE3403" s="352"/>
      <c r="AF3403" s="352"/>
      <c r="AG3403" s="352"/>
      <c r="AH3403" s="352"/>
      <c r="AI3403" s="352"/>
      <c r="AJ3403" s="352"/>
    </row>
    <row r="3404" spans="2:36">
      <c r="B3404" s="352"/>
      <c r="C3404" s="352"/>
      <c r="D3404" s="352"/>
      <c r="E3404" s="352"/>
      <c r="F3404" s="352"/>
      <c r="H3404" s="352"/>
      <c r="J3404" s="352"/>
      <c r="L3404" s="352"/>
      <c r="M3404" s="352"/>
      <c r="N3404" s="352"/>
      <c r="O3404" s="352"/>
      <c r="P3404" s="352"/>
      <c r="Q3404" s="352"/>
      <c r="R3404" s="352"/>
      <c r="S3404" s="352"/>
      <c r="T3404" s="352"/>
      <c r="U3404" s="352"/>
      <c r="V3404" s="352"/>
      <c r="W3404" s="352"/>
      <c r="X3404" s="352"/>
      <c r="Y3404" s="352"/>
      <c r="Z3404" s="352"/>
      <c r="AA3404" s="352"/>
      <c r="AB3404" s="352"/>
      <c r="AC3404" s="352"/>
      <c r="AD3404" s="352"/>
      <c r="AE3404" s="352"/>
      <c r="AF3404" s="352"/>
      <c r="AG3404" s="352"/>
      <c r="AH3404" s="352"/>
      <c r="AI3404" s="352"/>
      <c r="AJ3404" s="352"/>
    </row>
    <row r="3405" spans="2:36">
      <c r="B3405" s="352"/>
      <c r="C3405" s="352"/>
      <c r="D3405" s="352"/>
      <c r="E3405" s="352"/>
      <c r="F3405" s="352"/>
      <c r="H3405" s="352"/>
      <c r="J3405" s="352"/>
      <c r="L3405" s="352"/>
      <c r="M3405" s="352"/>
      <c r="N3405" s="352"/>
      <c r="O3405" s="352"/>
      <c r="P3405" s="352"/>
      <c r="Q3405" s="352"/>
      <c r="R3405" s="352"/>
      <c r="S3405" s="352"/>
      <c r="T3405" s="352"/>
      <c r="U3405" s="352"/>
      <c r="V3405" s="352"/>
      <c r="W3405" s="352"/>
      <c r="X3405" s="352"/>
      <c r="Y3405" s="352"/>
      <c r="Z3405" s="352"/>
      <c r="AA3405" s="352"/>
      <c r="AB3405" s="352"/>
      <c r="AC3405" s="352"/>
      <c r="AD3405" s="352"/>
      <c r="AE3405" s="352"/>
      <c r="AF3405" s="352"/>
      <c r="AG3405" s="352"/>
      <c r="AH3405" s="352"/>
      <c r="AI3405" s="352"/>
      <c r="AJ3405" s="352"/>
    </row>
    <row r="3406" spans="2:36">
      <c r="B3406" s="352"/>
      <c r="C3406" s="352"/>
      <c r="D3406" s="352"/>
      <c r="E3406" s="352"/>
      <c r="F3406" s="352"/>
      <c r="H3406" s="352"/>
      <c r="J3406" s="352"/>
      <c r="L3406" s="352"/>
      <c r="M3406" s="352"/>
      <c r="N3406" s="352"/>
      <c r="O3406" s="352"/>
      <c r="P3406" s="352"/>
      <c r="Q3406" s="352"/>
      <c r="R3406" s="352"/>
      <c r="S3406" s="352"/>
      <c r="T3406" s="352"/>
      <c r="U3406" s="352"/>
      <c r="V3406" s="352"/>
      <c r="W3406" s="352"/>
      <c r="X3406" s="352"/>
      <c r="Y3406" s="352"/>
      <c r="Z3406" s="352"/>
      <c r="AA3406" s="352"/>
      <c r="AB3406" s="352"/>
      <c r="AC3406" s="352"/>
      <c r="AD3406" s="352"/>
      <c r="AE3406" s="352"/>
      <c r="AF3406" s="352"/>
      <c r="AG3406" s="352"/>
      <c r="AH3406" s="352"/>
      <c r="AI3406" s="352"/>
      <c r="AJ3406" s="352"/>
    </row>
    <row r="3407" spans="2:36">
      <c r="B3407" s="352"/>
      <c r="C3407" s="352"/>
      <c r="D3407" s="352"/>
      <c r="E3407" s="352"/>
      <c r="F3407" s="352"/>
      <c r="H3407" s="352"/>
      <c r="J3407" s="352"/>
      <c r="L3407" s="352"/>
      <c r="M3407" s="352"/>
      <c r="N3407" s="352"/>
      <c r="O3407" s="352"/>
      <c r="P3407" s="352"/>
      <c r="Q3407" s="352"/>
      <c r="R3407" s="352"/>
      <c r="S3407" s="352"/>
      <c r="T3407" s="352"/>
      <c r="U3407" s="352"/>
      <c r="V3407" s="352"/>
      <c r="W3407" s="352"/>
      <c r="X3407" s="352"/>
      <c r="Y3407" s="352"/>
      <c r="Z3407" s="352"/>
      <c r="AA3407" s="352"/>
      <c r="AB3407" s="352"/>
      <c r="AC3407" s="352"/>
      <c r="AD3407" s="352"/>
      <c r="AE3407" s="352"/>
      <c r="AF3407" s="352"/>
      <c r="AG3407" s="352"/>
      <c r="AH3407" s="352"/>
      <c r="AI3407" s="352"/>
      <c r="AJ3407" s="352"/>
    </row>
    <row r="3408" spans="2:36">
      <c r="B3408" s="352"/>
      <c r="C3408" s="352"/>
      <c r="D3408" s="352"/>
      <c r="E3408" s="352"/>
      <c r="F3408" s="352"/>
      <c r="H3408" s="352"/>
      <c r="J3408" s="352"/>
      <c r="L3408" s="352"/>
      <c r="M3408" s="352"/>
      <c r="N3408" s="352"/>
      <c r="O3408" s="352"/>
      <c r="P3408" s="352"/>
      <c r="Q3408" s="352"/>
      <c r="R3408" s="352"/>
      <c r="S3408" s="352"/>
      <c r="T3408" s="352"/>
      <c r="U3408" s="352"/>
      <c r="V3408" s="352"/>
      <c r="W3408" s="352"/>
      <c r="X3408" s="352"/>
      <c r="Y3408" s="352"/>
      <c r="Z3408" s="352"/>
      <c r="AA3408" s="352"/>
      <c r="AB3408" s="352"/>
      <c r="AC3408" s="352"/>
      <c r="AD3408" s="352"/>
      <c r="AE3408" s="352"/>
      <c r="AF3408" s="352"/>
      <c r="AG3408" s="352"/>
      <c r="AH3408" s="352"/>
      <c r="AI3408" s="352"/>
      <c r="AJ3408" s="352"/>
    </row>
    <row r="3409" spans="2:36">
      <c r="B3409" s="352"/>
      <c r="C3409" s="352"/>
      <c r="D3409" s="352"/>
      <c r="E3409" s="352"/>
      <c r="F3409" s="352"/>
      <c r="H3409" s="352"/>
      <c r="J3409" s="352"/>
      <c r="L3409" s="352"/>
      <c r="M3409" s="352"/>
      <c r="N3409" s="352"/>
      <c r="O3409" s="352"/>
      <c r="P3409" s="352"/>
      <c r="Q3409" s="352"/>
      <c r="R3409" s="352"/>
      <c r="S3409" s="352"/>
      <c r="T3409" s="352"/>
      <c r="U3409" s="352"/>
      <c r="V3409" s="352"/>
      <c r="W3409" s="352"/>
      <c r="X3409" s="352"/>
      <c r="Y3409" s="352"/>
      <c r="Z3409" s="352"/>
      <c r="AA3409" s="352"/>
      <c r="AB3409" s="352"/>
      <c r="AC3409" s="352"/>
      <c r="AD3409" s="352"/>
      <c r="AE3409" s="352"/>
      <c r="AF3409" s="352"/>
      <c r="AG3409" s="352"/>
      <c r="AH3409" s="352"/>
      <c r="AI3409" s="352"/>
      <c r="AJ3409" s="352"/>
    </row>
    <row r="3410" spans="2:36">
      <c r="B3410" s="352"/>
      <c r="C3410" s="352"/>
      <c r="D3410" s="352"/>
      <c r="E3410" s="352"/>
      <c r="F3410" s="352"/>
      <c r="H3410" s="352"/>
      <c r="J3410" s="352"/>
      <c r="L3410" s="352"/>
      <c r="M3410" s="352"/>
      <c r="N3410" s="352"/>
      <c r="O3410" s="352"/>
      <c r="P3410" s="352"/>
      <c r="Q3410" s="352"/>
      <c r="R3410" s="352"/>
      <c r="S3410" s="352"/>
      <c r="T3410" s="352"/>
      <c r="U3410" s="352"/>
      <c r="V3410" s="352"/>
      <c r="W3410" s="352"/>
      <c r="X3410" s="352"/>
      <c r="Y3410" s="352"/>
      <c r="Z3410" s="352"/>
      <c r="AA3410" s="352"/>
      <c r="AB3410" s="352"/>
      <c r="AC3410" s="352"/>
      <c r="AD3410" s="352"/>
      <c r="AE3410" s="352"/>
      <c r="AF3410" s="352"/>
      <c r="AG3410" s="352"/>
      <c r="AH3410" s="352"/>
      <c r="AI3410" s="352"/>
      <c r="AJ3410" s="352"/>
    </row>
    <row r="3411" spans="2:36">
      <c r="B3411" s="352"/>
      <c r="C3411" s="352"/>
      <c r="D3411" s="352"/>
      <c r="E3411" s="352"/>
      <c r="F3411" s="352"/>
      <c r="H3411" s="352"/>
      <c r="J3411" s="352"/>
      <c r="L3411" s="352"/>
      <c r="M3411" s="352"/>
      <c r="N3411" s="352"/>
      <c r="O3411" s="352"/>
      <c r="P3411" s="352"/>
      <c r="Q3411" s="352"/>
      <c r="R3411" s="352"/>
      <c r="S3411" s="352"/>
      <c r="T3411" s="352"/>
      <c r="U3411" s="352"/>
      <c r="V3411" s="352"/>
      <c r="W3411" s="352"/>
      <c r="X3411" s="352"/>
      <c r="Y3411" s="352"/>
      <c r="Z3411" s="352"/>
      <c r="AA3411" s="352"/>
      <c r="AB3411" s="352"/>
      <c r="AC3411" s="352"/>
      <c r="AD3411" s="352"/>
      <c r="AE3411" s="352"/>
      <c r="AF3411" s="352"/>
      <c r="AG3411" s="352"/>
      <c r="AH3411" s="352"/>
      <c r="AI3411" s="352"/>
      <c r="AJ3411" s="352"/>
    </row>
    <row r="3412" spans="2:36">
      <c r="B3412" s="352"/>
      <c r="C3412" s="352"/>
      <c r="D3412" s="352"/>
      <c r="E3412" s="352"/>
      <c r="F3412" s="352"/>
      <c r="H3412" s="352"/>
      <c r="J3412" s="352"/>
      <c r="L3412" s="352"/>
      <c r="M3412" s="352"/>
      <c r="N3412" s="352"/>
      <c r="O3412" s="352"/>
      <c r="P3412" s="352"/>
      <c r="Q3412" s="352"/>
      <c r="R3412" s="352"/>
      <c r="S3412" s="352"/>
      <c r="T3412" s="352"/>
      <c r="U3412" s="352"/>
      <c r="V3412" s="352"/>
      <c r="W3412" s="352"/>
      <c r="X3412" s="352"/>
      <c r="Y3412" s="352"/>
      <c r="Z3412" s="352"/>
      <c r="AA3412" s="352"/>
      <c r="AB3412" s="352"/>
      <c r="AC3412" s="352"/>
      <c r="AD3412" s="352"/>
      <c r="AE3412" s="352"/>
      <c r="AF3412" s="352"/>
      <c r="AG3412" s="352"/>
      <c r="AH3412" s="352"/>
      <c r="AI3412" s="352"/>
      <c r="AJ3412" s="352"/>
    </row>
    <row r="3413" spans="2:36">
      <c r="B3413" s="352"/>
      <c r="C3413" s="352"/>
      <c r="D3413" s="352"/>
      <c r="E3413" s="352"/>
      <c r="F3413" s="352"/>
      <c r="H3413" s="352"/>
      <c r="J3413" s="352"/>
      <c r="L3413" s="352"/>
      <c r="M3413" s="352"/>
      <c r="N3413" s="352"/>
      <c r="O3413" s="352"/>
      <c r="P3413" s="352"/>
      <c r="Q3413" s="352"/>
      <c r="R3413" s="352"/>
      <c r="S3413" s="352"/>
      <c r="T3413" s="352"/>
      <c r="U3413" s="352"/>
      <c r="V3413" s="352"/>
      <c r="W3413" s="352"/>
      <c r="X3413" s="352"/>
      <c r="Y3413" s="352"/>
      <c r="Z3413" s="352"/>
      <c r="AA3413" s="352"/>
      <c r="AB3413" s="352"/>
      <c r="AC3413" s="352"/>
      <c r="AD3413" s="352"/>
      <c r="AE3413" s="352"/>
      <c r="AF3413" s="352"/>
      <c r="AG3413" s="352"/>
      <c r="AH3413" s="352"/>
      <c r="AI3413" s="352"/>
      <c r="AJ3413" s="352"/>
    </row>
    <row r="3414" spans="2:36">
      <c r="B3414" s="352"/>
      <c r="C3414" s="352"/>
      <c r="D3414" s="352"/>
      <c r="E3414" s="352"/>
      <c r="F3414" s="352"/>
      <c r="H3414" s="352"/>
      <c r="J3414" s="352"/>
      <c r="L3414" s="352"/>
      <c r="M3414" s="352"/>
      <c r="N3414" s="352"/>
      <c r="O3414" s="352"/>
      <c r="P3414" s="352"/>
      <c r="Q3414" s="352"/>
      <c r="R3414" s="352"/>
      <c r="S3414" s="352"/>
      <c r="T3414" s="352"/>
      <c r="U3414" s="352"/>
      <c r="V3414" s="352"/>
      <c r="W3414" s="352"/>
      <c r="X3414" s="352"/>
      <c r="Y3414" s="352"/>
      <c r="Z3414" s="352"/>
      <c r="AA3414" s="352"/>
      <c r="AB3414" s="352"/>
      <c r="AC3414" s="352"/>
      <c r="AD3414" s="352"/>
      <c r="AE3414" s="352"/>
      <c r="AF3414" s="352"/>
      <c r="AG3414" s="352"/>
      <c r="AH3414" s="352"/>
      <c r="AI3414" s="352"/>
      <c r="AJ3414" s="352"/>
    </row>
    <row r="3415" spans="2:36">
      <c r="B3415" s="352"/>
      <c r="C3415" s="352"/>
      <c r="D3415" s="352"/>
      <c r="E3415" s="352"/>
      <c r="F3415" s="352"/>
      <c r="H3415" s="352"/>
      <c r="J3415" s="352"/>
      <c r="L3415" s="352"/>
      <c r="M3415" s="352"/>
      <c r="N3415" s="352"/>
      <c r="O3415" s="352"/>
      <c r="P3415" s="352"/>
      <c r="Q3415" s="352"/>
      <c r="R3415" s="352"/>
      <c r="S3415" s="352"/>
      <c r="T3415" s="352"/>
      <c r="U3415" s="352"/>
      <c r="V3415" s="352"/>
      <c r="W3415" s="352"/>
      <c r="X3415" s="352"/>
      <c r="Y3415" s="352"/>
      <c r="Z3415" s="352"/>
      <c r="AA3415" s="352"/>
      <c r="AB3415" s="352"/>
      <c r="AC3415" s="352"/>
      <c r="AD3415" s="352"/>
      <c r="AE3415" s="352"/>
      <c r="AF3415" s="352"/>
      <c r="AG3415" s="352"/>
      <c r="AH3415" s="352"/>
      <c r="AI3415" s="352"/>
      <c r="AJ3415" s="352"/>
    </row>
    <row r="3416" spans="2:36">
      <c r="B3416" s="352"/>
      <c r="C3416" s="352"/>
      <c r="D3416" s="352"/>
      <c r="E3416" s="352"/>
      <c r="F3416" s="352"/>
      <c r="H3416" s="352"/>
      <c r="J3416" s="352"/>
      <c r="L3416" s="352"/>
      <c r="M3416" s="352"/>
      <c r="N3416" s="352"/>
      <c r="O3416" s="352"/>
      <c r="P3416" s="352"/>
      <c r="Q3416" s="352"/>
      <c r="R3416" s="352"/>
      <c r="S3416" s="352"/>
      <c r="T3416" s="352"/>
      <c r="U3416" s="352"/>
      <c r="V3416" s="352"/>
      <c r="W3416" s="352"/>
      <c r="X3416" s="352"/>
      <c r="Y3416" s="352"/>
      <c r="Z3416" s="352"/>
      <c r="AA3416" s="352"/>
      <c r="AB3416" s="352"/>
      <c r="AC3416" s="352"/>
      <c r="AD3416" s="352"/>
      <c r="AE3416" s="352"/>
      <c r="AF3416" s="352"/>
      <c r="AG3416" s="352"/>
      <c r="AH3416" s="352"/>
      <c r="AI3416" s="352"/>
      <c r="AJ3416" s="352"/>
    </row>
    <row r="3417" spans="2:36">
      <c r="B3417" s="352"/>
      <c r="C3417" s="352"/>
      <c r="D3417" s="352"/>
      <c r="E3417" s="352"/>
      <c r="F3417" s="352"/>
      <c r="H3417" s="352"/>
      <c r="J3417" s="352"/>
      <c r="L3417" s="352"/>
      <c r="M3417" s="352"/>
      <c r="N3417" s="352"/>
      <c r="O3417" s="352"/>
      <c r="P3417" s="352"/>
      <c r="Q3417" s="352"/>
      <c r="R3417" s="352"/>
      <c r="S3417" s="352"/>
      <c r="T3417" s="352"/>
      <c r="U3417" s="352"/>
      <c r="V3417" s="352"/>
      <c r="W3417" s="352"/>
      <c r="X3417" s="352"/>
      <c r="Y3417" s="352"/>
      <c r="Z3417" s="352"/>
      <c r="AA3417" s="352"/>
      <c r="AB3417" s="352"/>
      <c r="AC3417" s="352"/>
      <c r="AD3417" s="352"/>
      <c r="AE3417" s="352"/>
      <c r="AF3417" s="352"/>
      <c r="AG3417" s="352"/>
      <c r="AH3417" s="352"/>
      <c r="AI3417" s="352"/>
      <c r="AJ3417" s="352"/>
    </row>
    <row r="3418" spans="2:36">
      <c r="B3418" s="352"/>
      <c r="C3418" s="352"/>
      <c r="D3418" s="352"/>
      <c r="E3418" s="352"/>
      <c r="F3418" s="352"/>
      <c r="H3418" s="352"/>
      <c r="J3418" s="352"/>
      <c r="L3418" s="352"/>
      <c r="M3418" s="352"/>
      <c r="N3418" s="352"/>
      <c r="O3418" s="352"/>
      <c r="P3418" s="352"/>
      <c r="Q3418" s="352"/>
      <c r="R3418" s="352"/>
      <c r="S3418" s="352"/>
      <c r="T3418" s="352"/>
      <c r="U3418" s="352"/>
      <c r="V3418" s="352"/>
      <c r="W3418" s="352"/>
      <c r="X3418" s="352"/>
      <c r="Y3418" s="352"/>
      <c r="Z3418" s="352"/>
      <c r="AA3418" s="352"/>
      <c r="AB3418" s="352"/>
      <c r="AC3418" s="352"/>
      <c r="AD3418" s="352"/>
      <c r="AE3418" s="352"/>
      <c r="AF3418" s="352"/>
      <c r="AG3418" s="352"/>
      <c r="AH3418" s="352"/>
      <c r="AI3418" s="352"/>
      <c r="AJ3418" s="352"/>
    </row>
    <row r="3419" spans="2:36">
      <c r="B3419" s="352"/>
      <c r="C3419" s="352"/>
      <c r="D3419" s="352"/>
      <c r="E3419" s="352"/>
      <c r="F3419" s="352"/>
      <c r="H3419" s="352"/>
      <c r="J3419" s="352"/>
      <c r="L3419" s="352"/>
      <c r="M3419" s="352"/>
      <c r="N3419" s="352"/>
      <c r="O3419" s="352"/>
      <c r="P3419" s="352"/>
      <c r="Q3419" s="352"/>
      <c r="R3419" s="352"/>
      <c r="S3419" s="352"/>
      <c r="T3419" s="352"/>
      <c r="U3419" s="352"/>
      <c r="V3419" s="352"/>
      <c r="W3419" s="352"/>
      <c r="X3419" s="352"/>
      <c r="Y3419" s="352"/>
      <c r="Z3419" s="352"/>
      <c r="AA3419" s="352"/>
      <c r="AB3419" s="352"/>
      <c r="AC3419" s="352"/>
      <c r="AD3419" s="352"/>
      <c r="AE3419" s="352"/>
      <c r="AF3419" s="352"/>
      <c r="AG3419" s="352"/>
      <c r="AH3419" s="352"/>
      <c r="AI3419" s="352"/>
      <c r="AJ3419" s="352"/>
    </row>
    <row r="3420" spans="2:36">
      <c r="B3420" s="352"/>
      <c r="C3420" s="352"/>
      <c r="D3420" s="352"/>
      <c r="E3420" s="352"/>
      <c r="F3420" s="352"/>
      <c r="H3420" s="352"/>
      <c r="J3420" s="352"/>
      <c r="L3420" s="352"/>
      <c r="M3420" s="352"/>
      <c r="N3420" s="352"/>
      <c r="O3420" s="352"/>
      <c r="P3420" s="352"/>
      <c r="Q3420" s="352"/>
      <c r="R3420" s="352"/>
      <c r="S3420" s="352"/>
      <c r="T3420" s="352"/>
      <c r="U3420" s="352"/>
      <c r="V3420" s="352"/>
      <c r="W3420" s="352"/>
      <c r="X3420" s="352"/>
      <c r="Y3420" s="352"/>
      <c r="Z3420" s="352"/>
      <c r="AA3420" s="352"/>
      <c r="AB3420" s="352"/>
      <c r="AC3420" s="352"/>
      <c r="AD3420" s="352"/>
      <c r="AE3420" s="352"/>
      <c r="AF3420" s="352"/>
      <c r="AG3420" s="352"/>
      <c r="AH3420" s="352"/>
      <c r="AI3420" s="352"/>
      <c r="AJ3420" s="352"/>
    </row>
    <row r="3421" spans="2:36">
      <c r="B3421" s="352"/>
      <c r="C3421" s="352"/>
      <c r="D3421" s="352"/>
      <c r="E3421" s="352"/>
      <c r="F3421" s="352"/>
      <c r="H3421" s="352"/>
      <c r="J3421" s="352"/>
      <c r="L3421" s="352"/>
      <c r="M3421" s="352"/>
      <c r="N3421" s="352"/>
      <c r="O3421" s="352"/>
      <c r="P3421" s="352"/>
      <c r="Q3421" s="352"/>
      <c r="R3421" s="352"/>
      <c r="S3421" s="352"/>
      <c r="T3421" s="352"/>
      <c r="U3421" s="352"/>
      <c r="V3421" s="352"/>
      <c r="W3421" s="352"/>
      <c r="X3421" s="352"/>
      <c r="Y3421" s="352"/>
      <c r="Z3421" s="352"/>
      <c r="AA3421" s="352"/>
      <c r="AB3421" s="352"/>
      <c r="AC3421" s="352"/>
      <c r="AD3421" s="352"/>
      <c r="AE3421" s="352"/>
      <c r="AF3421" s="352"/>
      <c r="AG3421" s="352"/>
      <c r="AH3421" s="352"/>
      <c r="AI3421" s="352"/>
      <c r="AJ3421" s="352"/>
    </row>
    <row r="3422" spans="2:36">
      <c r="B3422" s="352"/>
      <c r="C3422" s="352"/>
      <c r="D3422" s="352"/>
      <c r="E3422" s="352"/>
      <c r="F3422" s="352"/>
      <c r="H3422" s="352"/>
      <c r="J3422" s="352"/>
      <c r="L3422" s="352"/>
      <c r="M3422" s="352"/>
      <c r="N3422" s="352"/>
      <c r="O3422" s="352"/>
      <c r="P3422" s="352"/>
      <c r="Q3422" s="352"/>
      <c r="R3422" s="352"/>
      <c r="S3422" s="352"/>
      <c r="T3422" s="352"/>
      <c r="U3422" s="352"/>
      <c r="V3422" s="352"/>
      <c r="W3422" s="352"/>
      <c r="X3422" s="352"/>
      <c r="Y3422" s="352"/>
      <c r="Z3422" s="352"/>
      <c r="AA3422" s="352"/>
      <c r="AB3422" s="352"/>
      <c r="AC3422" s="352"/>
      <c r="AD3422" s="352"/>
      <c r="AE3422" s="352"/>
      <c r="AF3422" s="352"/>
      <c r="AG3422" s="352"/>
      <c r="AH3422" s="352"/>
      <c r="AI3422" s="352"/>
      <c r="AJ3422" s="352"/>
    </row>
    <row r="3423" spans="2:36">
      <c r="B3423" s="352"/>
      <c r="C3423" s="352"/>
      <c r="D3423" s="352"/>
      <c r="E3423" s="352"/>
      <c r="F3423" s="352"/>
      <c r="H3423" s="352"/>
      <c r="J3423" s="352"/>
      <c r="L3423" s="352"/>
      <c r="M3423" s="352"/>
      <c r="N3423" s="352"/>
      <c r="O3423" s="352"/>
      <c r="P3423" s="352"/>
      <c r="Q3423" s="352"/>
      <c r="R3423" s="352"/>
      <c r="S3423" s="352"/>
      <c r="T3423" s="352"/>
      <c r="U3423" s="352"/>
      <c r="V3423" s="352"/>
      <c r="W3423" s="352"/>
      <c r="X3423" s="352"/>
      <c r="Y3423" s="352"/>
      <c r="Z3423" s="352"/>
      <c r="AA3423" s="352"/>
      <c r="AB3423" s="352"/>
      <c r="AC3423" s="352"/>
      <c r="AD3423" s="352"/>
      <c r="AE3423" s="352"/>
      <c r="AF3423" s="352"/>
      <c r="AG3423" s="352"/>
      <c r="AH3423" s="352"/>
      <c r="AI3423" s="352"/>
      <c r="AJ3423" s="352"/>
    </row>
    <row r="3424" spans="2:36">
      <c r="B3424" s="352"/>
      <c r="C3424" s="352"/>
      <c r="D3424" s="352"/>
      <c r="E3424" s="352"/>
      <c r="F3424" s="352"/>
      <c r="H3424" s="352"/>
      <c r="J3424" s="352"/>
      <c r="L3424" s="352"/>
      <c r="M3424" s="352"/>
      <c r="N3424" s="352"/>
      <c r="O3424" s="352"/>
      <c r="P3424" s="352"/>
      <c r="Q3424" s="352"/>
      <c r="R3424" s="352"/>
      <c r="S3424" s="352"/>
      <c r="T3424" s="352"/>
      <c r="U3424" s="352"/>
      <c r="V3424" s="352"/>
      <c r="W3424" s="352"/>
      <c r="X3424" s="352"/>
      <c r="Y3424" s="352"/>
      <c r="Z3424" s="352"/>
      <c r="AA3424" s="352"/>
      <c r="AB3424" s="352"/>
      <c r="AC3424" s="352"/>
      <c r="AD3424" s="352"/>
      <c r="AE3424" s="352"/>
      <c r="AF3424" s="352"/>
      <c r="AG3424" s="352"/>
      <c r="AH3424" s="352"/>
      <c r="AI3424" s="352"/>
      <c r="AJ3424" s="352"/>
    </row>
    <row r="3425" spans="2:36">
      <c r="B3425" s="352"/>
      <c r="C3425" s="352"/>
      <c r="D3425" s="352"/>
      <c r="E3425" s="352"/>
      <c r="F3425" s="352"/>
      <c r="H3425" s="352"/>
      <c r="J3425" s="352"/>
      <c r="L3425" s="352"/>
      <c r="M3425" s="352"/>
      <c r="N3425" s="352"/>
      <c r="O3425" s="352"/>
      <c r="P3425" s="352"/>
      <c r="Q3425" s="352"/>
      <c r="R3425" s="352"/>
      <c r="S3425" s="352"/>
      <c r="T3425" s="352"/>
      <c r="U3425" s="352"/>
      <c r="V3425" s="352"/>
      <c r="W3425" s="352"/>
      <c r="X3425" s="352"/>
      <c r="Y3425" s="352"/>
      <c r="Z3425" s="352"/>
      <c r="AA3425" s="352"/>
      <c r="AB3425" s="352"/>
      <c r="AC3425" s="352"/>
      <c r="AD3425" s="352"/>
      <c r="AE3425" s="352"/>
      <c r="AF3425" s="352"/>
      <c r="AG3425" s="352"/>
      <c r="AH3425" s="352"/>
      <c r="AI3425" s="352"/>
      <c r="AJ3425" s="352"/>
    </row>
    <row r="3426" spans="2:36">
      <c r="B3426" s="352"/>
      <c r="C3426" s="352"/>
      <c r="D3426" s="352"/>
      <c r="E3426" s="352"/>
      <c r="F3426" s="352"/>
      <c r="H3426" s="352"/>
      <c r="J3426" s="352"/>
      <c r="L3426" s="352"/>
      <c r="M3426" s="352"/>
      <c r="N3426" s="352"/>
      <c r="O3426" s="352"/>
      <c r="P3426" s="352"/>
      <c r="Q3426" s="352"/>
      <c r="R3426" s="352"/>
      <c r="S3426" s="352"/>
      <c r="T3426" s="352"/>
      <c r="U3426" s="352"/>
      <c r="V3426" s="352"/>
      <c r="W3426" s="352"/>
      <c r="X3426" s="352"/>
      <c r="Y3426" s="352"/>
      <c r="Z3426" s="352"/>
      <c r="AA3426" s="352"/>
      <c r="AB3426" s="352"/>
      <c r="AC3426" s="352"/>
      <c r="AD3426" s="352"/>
      <c r="AE3426" s="352"/>
      <c r="AF3426" s="352"/>
      <c r="AG3426" s="352"/>
      <c r="AH3426" s="352"/>
      <c r="AI3426" s="352"/>
      <c r="AJ3426" s="352"/>
    </row>
    <row r="3427" spans="2:36">
      <c r="B3427" s="352"/>
      <c r="C3427" s="352"/>
      <c r="D3427" s="352"/>
      <c r="E3427" s="352"/>
      <c r="F3427" s="352"/>
      <c r="H3427" s="352"/>
      <c r="J3427" s="352"/>
      <c r="L3427" s="352"/>
      <c r="M3427" s="352"/>
      <c r="N3427" s="352"/>
      <c r="O3427" s="352"/>
      <c r="P3427" s="352"/>
      <c r="Q3427" s="352"/>
      <c r="R3427" s="352"/>
      <c r="S3427" s="352"/>
      <c r="T3427" s="352"/>
      <c r="U3427" s="352"/>
      <c r="V3427" s="352"/>
      <c r="W3427" s="352"/>
      <c r="X3427" s="352"/>
      <c r="Y3427" s="352"/>
      <c r="Z3427" s="352"/>
      <c r="AA3427" s="352"/>
      <c r="AB3427" s="352"/>
      <c r="AC3427" s="352"/>
      <c r="AD3427" s="352"/>
      <c r="AE3427" s="352"/>
      <c r="AF3427" s="352"/>
      <c r="AG3427" s="352"/>
      <c r="AH3427" s="352"/>
      <c r="AI3427" s="352"/>
      <c r="AJ3427" s="352"/>
    </row>
    <row r="3428" spans="2:36">
      <c r="B3428" s="352"/>
      <c r="C3428" s="352"/>
      <c r="D3428" s="352"/>
      <c r="E3428" s="352"/>
      <c r="F3428" s="352"/>
      <c r="H3428" s="352"/>
      <c r="J3428" s="352"/>
      <c r="L3428" s="352"/>
      <c r="M3428" s="352"/>
      <c r="N3428" s="352"/>
      <c r="O3428" s="352"/>
      <c r="P3428" s="352"/>
      <c r="Q3428" s="352"/>
      <c r="R3428" s="352"/>
      <c r="S3428" s="352"/>
      <c r="T3428" s="352"/>
      <c r="U3428" s="352"/>
      <c r="V3428" s="352"/>
      <c r="W3428" s="352"/>
      <c r="X3428" s="352"/>
      <c r="Y3428" s="352"/>
      <c r="Z3428" s="352"/>
      <c r="AA3428" s="352"/>
      <c r="AB3428" s="352"/>
      <c r="AC3428" s="352"/>
      <c r="AD3428" s="352"/>
      <c r="AE3428" s="352"/>
      <c r="AF3428" s="352"/>
      <c r="AG3428" s="352"/>
      <c r="AH3428" s="352"/>
      <c r="AI3428" s="352"/>
      <c r="AJ3428" s="352"/>
    </row>
    <row r="3429" spans="2:36">
      <c r="B3429" s="352"/>
      <c r="C3429" s="352"/>
      <c r="D3429" s="352"/>
      <c r="E3429" s="352"/>
      <c r="F3429" s="352"/>
      <c r="H3429" s="352"/>
      <c r="J3429" s="352"/>
      <c r="L3429" s="352"/>
      <c r="M3429" s="352"/>
      <c r="N3429" s="352"/>
      <c r="O3429" s="352"/>
      <c r="P3429" s="352"/>
      <c r="Q3429" s="352"/>
      <c r="R3429" s="352"/>
      <c r="S3429" s="352"/>
      <c r="T3429" s="352"/>
      <c r="U3429" s="352"/>
      <c r="V3429" s="352"/>
      <c r="W3429" s="352"/>
      <c r="X3429" s="352"/>
      <c r="Y3429" s="352"/>
      <c r="Z3429" s="352"/>
      <c r="AA3429" s="352"/>
      <c r="AB3429" s="352"/>
      <c r="AC3429" s="352"/>
      <c r="AD3429" s="352"/>
      <c r="AE3429" s="352"/>
      <c r="AF3429" s="352"/>
      <c r="AG3429" s="352"/>
      <c r="AH3429" s="352"/>
      <c r="AI3429" s="352"/>
      <c r="AJ3429" s="352"/>
    </row>
    <row r="3430" spans="2:36">
      <c r="B3430" s="352"/>
      <c r="C3430" s="352"/>
      <c r="D3430" s="352"/>
      <c r="E3430" s="352"/>
      <c r="F3430" s="352"/>
      <c r="H3430" s="352"/>
      <c r="J3430" s="352"/>
      <c r="L3430" s="352"/>
      <c r="M3430" s="352"/>
      <c r="N3430" s="352"/>
      <c r="O3430" s="352"/>
      <c r="P3430" s="352"/>
      <c r="Q3430" s="352"/>
      <c r="R3430" s="352"/>
      <c r="S3430" s="352"/>
      <c r="T3430" s="352"/>
      <c r="U3430" s="352"/>
      <c r="V3430" s="352"/>
      <c r="W3430" s="352"/>
      <c r="X3430" s="352"/>
      <c r="Y3430" s="352"/>
      <c r="Z3430" s="352"/>
      <c r="AA3430" s="352"/>
      <c r="AB3430" s="352"/>
      <c r="AC3430" s="352"/>
      <c r="AD3430" s="352"/>
      <c r="AE3430" s="352"/>
      <c r="AF3430" s="352"/>
      <c r="AG3430" s="352"/>
      <c r="AH3430" s="352"/>
      <c r="AI3430" s="352"/>
      <c r="AJ3430" s="352"/>
    </row>
    <row r="3431" spans="2:36">
      <c r="B3431" s="352"/>
      <c r="C3431" s="352"/>
      <c r="D3431" s="352"/>
      <c r="E3431" s="352"/>
      <c r="F3431" s="352"/>
      <c r="H3431" s="352"/>
      <c r="J3431" s="352"/>
      <c r="L3431" s="352"/>
      <c r="M3431" s="352"/>
      <c r="N3431" s="352"/>
      <c r="O3431" s="352"/>
      <c r="P3431" s="352"/>
      <c r="Q3431" s="352"/>
      <c r="R3431" s="352"/>
      <c r="S3431" s="352"/>
      <c r="T3431" s="352"/>
      <c r="U3431" s="352"/>
      <c r="V3431" s="352"/>
      <c r="W3431" s="352"/>
      <c r="X3431" s="352"/>
      <c r="Y3431" s="352"/>
      <c r="Z3431" s="352"/>
      <c r="AA3431" s="352"/>
      <c r="AB3431" s="352"/>
      <c r="AC3431" s="352"/>
      <c r="AD3431" s="352"/>
      <c r="AE3431" s="352"/>
      <c r="AF3431" s="352"/>
      <c r="AG3431" s="352"/>
      <c r="AH3431" s="352"/>
      <c r="AI3431" s="352"/>
      <c r="AJ3431" s="352"/>
    </row>
    <row r="3432" spans="2:36">
      <c r="B3432" s="352"/>
      <c r="C3432" s="352"/>
      <c r="D3432" s="352"/>
      <c r="E3432" s="352"/>
      <c r="F3432" s="352"/>
      <c r="H3432" s="352"/>
      <c r="J3432" s="352"/>
      <c r="L3432" s="352"/>
      <c r="M3432" s="352"/>
      <c r="N3432" s="352"/>
      <c r="O3432" s="352"/>
      <c r="P3432" s="352"/>
      <c r="Q3432" s="352"/>
      <c r="R3432" s="352"/>
      <c r="S3432" s="352"/>
      <c r="T3432" s="352"/>
      <c r="U3432" s="352"/>
      <c r="V3432" s="352"/>
      <c r="W3432" s="352"/>
      <c r="X3432" s="352"/>
      <c r="Y3432" s="352"/>
      <c r="Z3432" s="352"/>
      <c r="AA3432" s="352"/>
      <c r="AB3432" s="352"/>
      <c r="AC3432" s="352"/>
      <c r="AD3432" s="352"/>
      <c r="AE3432" s="352"/>
      <c r="AF3432" s="352"/>
      <c r="AG3432" s="352"/>
      <c r="AH3432" s="352"/>
      <c r="AI3432" s="352"/>
      <c r="AJ3432" s="352"/>
    </row>
    <row r="3433" spans="2:36">
      <c r="B3433" s="352"/>
      <c r="C3433" s="352"/>
      <c r="D3433" s="352"/>
      <c r="E3433" s="352"/>
      <c r="F3433" s="352"/>
      <c r="H3433" s="352"/>
      <c r="J3433" s="352"/>
      <c r="L3433" s="352"/>
      <c r="M3433" s="352"/>
      <c r="N3433" s="352"/>
      <c r="O3433" s="352"/>
      <c r="P3433" s="352"/>
      <c r="Q3433" s="352"/>
      <c r="R3433" s="352"/>
      <c r="S3433" s="352"/>
      <c r="T3433" s="352"/>
      <c r="U3433" s="352"/>
      <c r="V3433" s="352"/>
      <c r="W3433" s="352"/>
      <c r="X3433" s="352"/>
      <c r="Y3433" s="352"/>
      <c r="Z3433" s="352"/>
      <c r="AA3433" s="352"/>
      <c r="AB3433" s="352"/>
      <c r="AC3433" s="352"/>
      <c r="AD3433" s="352"/>
      <c r="AE3433" s="352"/>
      <c r="AF3433" s="352"/>
      <c r="AG3433" s="352"/>
      <c r="AH3433" s="352"/>
      <c r="AI3433" s="352"/>
      <c r="AJ3433" s="352"/>
    </row>
    <row r="3434" spans="2:36">
      <c r="B3434" s="352"/>
      <c r="C3434" s="352"/>
      <c r="D3434" s="352"/>
      <c r="E3434" s="352"/>
      <c r="F3434" s="352"/>
      <c r="H3434" s="352"/>
      <c r="J3434" s="352"/>
      <c r="L3434" s="352"/>
      <c r="M3434" s="352"/>
      <c r="N3434" s="352"/>
      <c r="O3434" s="352"/>
      <c r="P3434" s="352"/>
      <c r="Q3434" s="352"/>
      <c r="R3434" s="352"/>
      <c r="S3434" s="352"/>
      <c r="T3434" s="352"/>
      <c r="U3434" s="352"/>
      <c r="V3434" s="352"/>
      <c r="W3434" s="352"/>
      <c r="X3434" s="352"/>
      <c r="Y3434" s="352"/>
      <c r="Z3434" s="352"/>
      <c r="AA3434" s="352"/>
      <c r="AB3434" s="352"/>
      <c r="AC3434" s="352"/>
      <c r="AD3434" s="352"/>
      <c r="AE3434" s="352"/>
      <c r="AF3434" s="352"/>
      <c r="AG3434" s="352"/>
      <c r="AH3434" s="352"/>
      <c r="AI3434" s="352"/>
      <c r="AJ3434" s="352"/>
    </row>
    <row r="3435" spans="2:36">
      <c r="B3435" s="352"/>
      <c r="C3435" s="352"/>
      <c r="D3435" s="352"/>
      <c r="E3435" s="352"/>
      <c r="F3435" s="352"/>
      <c r="H3435" s="352"/>
      <c r="J3435" s="352"/>
      <c r="L3435" s="352"/>
      <c r="M3435" s="352"/>
      <c r="N3435" s="352"/>
      <c r="O3435" s="352"/>
      <c r="P3435" s="352"/>
      <c r="Q3435" s="352"/>
      <c r="R3435" s="352"/>
      <c r="S3435" s="352"/>
      <c r="T3435" s="352"/>
      <c r="U3435" s="352"/>
      <c r="V3435" s="352"/>
      <c r="W3435" s="352"/>
      <c r="X3435" s="352"/>
      <c r="Y3435" s="352"/>
      <c r="Z3435" s="352"/>
      <c r="AA3435" s="352"/>
      <c r="AB3435" s="352"/>
      <c r="AC3435" s="352"/>
      <c r="AD3435" s="352"/>
      <c r="AE3435" s="352"/>
      <c r="AF3435" s="352"/>
      <c r="AG3435" s="352"/>
      <c r="AH3435" s="352"/>
      <c r="AI3435" s="352"/>
      <c r="AJ3435" s="352"/>
    </row>
    <row r="3436" spans="2:36">
      <c r="B3436" s="352"/>
      <c r="C3436" s="352"/>
      <c r="D3436" s="352"/>
      <c r="E3436" s="352"/>
      <c r="F3436" s="352"/>
      <c r="H3436" s="352"/>
      <c r="J3436" s="352"/>
      <c r="L3436" s="352"/>
      <c r="M3436" s="352"/>
      <c r="N3436" s="352"/>
      <c r="O3436" s="352"/>
      <c r="P3436" s="352"/>
      <c r="Q3436" s="352"/>
      <c r="R3436" s="352"/>
      <c r="S3436" s="352"/>
      <c r="T3436" s="352"/>
      <c r="U3436" s="352"/>
      <c r="V3436" s="352"/>
      <c r="W3436" s="352"/>
      <c r="X3436" s="352"/>
      <c r="Y3436" s="352"/>
      <c r="Z3436" s="352"/>
      <c r="AA3436" s="352"/>
      <c r="AB3436" s="352"/>
      <c r="AC3436" s="352"/>
      <c r="AD3436" s="352"/>
      <c r="AE3436" s="352"/>
      <c r="AF3436" s="352"/>
      <c r="AG3436" s="352"/>
      <c r="AH3436" s="352"/>
      <c r="AI3436" s="352"/>
      <c r="AJ3436" s="352"/>
    </row>
    <row r="3437" spans="2:36">
      <c r="B3437" s="352"/>
      <c r="C3437" s="352"/>
      <c r="D3437" s="352"/>
      <c r="E3437" s="352"/>
      <c r="F3437" s="352"/>
      <c r="H3437" s="352"/>
      <c r="J3437" s="352"/>
      <c r="L3437" s="352"/>
      <c r="M3437" s="352"/>
      <c r="N3437" s="352"/>
      <c r="O3437" s="352"/>
      <c r="P3437" s="352"/>
      <c r="Q3437" s="352"/>
      <c r="R3437" s="352"/>
      <c r="S3437" s="352"/>
      <c r="T3437" s="352"/>
      <c r="U3437" s="352"/>
      <c r="V3437" s="352"/>
      <c r="W3437" s="352"/>
      <c r="X3437" s="352"/>
      <c r="Y3437" s="352"/>
      <c r="Z3437" s="352"/>
      <c r="AA3437" s="352"/>
      <c r="AB3437" s="352"/>
      <c r="AC3437" s="352"/>
      <c r="AD3437" s="352"/>
      <c r="AE3437" s="352"/>
      <c r="AF3437" s="352"/>
      <c r="AG3437" s="352"/>
      <c r="AH3437" s="352"/>
      <c r="AI3437" s="352"/>
      <c r="AJ3437" s="352"/>
    </row>
    <row r="3438" spans="2:36">
      <c r="B3438" s="352"/>
      <c r="C3438" s="352"/>
      <c r="D3438" s="352"/>
      <c r="E3438" s="352"/>
      <c r="F3438" s="352"/>
      <c r="H3438" s="352"/>
      <c r="J3438" s="352"/>
      <c r="L3438" s="352"/>
      <c r="M3438" s="352"/>
      <c r="N3438" s="352"/>
      <c r="O3438" s="352"/>
      <c r="P3438" s="352"/>
      <c r="Q3438" s="352"/>
      <c r="R3438" s="352"/>
      <c r="S3438" s="352"/>
      <c r="T3438" s="352"/>
      <c r="U3438" s="352"/>
      <c r="V3438" s="352"/>
      <c r="W3438" s="352"/>
      <c r="X3438" s="352"/>
      <c r="Y3438" s="352"/>
      <c r="Z3438" s="352"/>
      <c r="AA3438" s="352"/>
      <c r="AB3438" s="352"/>
      <c r="AC3438" s="352"/>
      <c r="AD3438" s="352"/>
      <c r="AE3438" s="352"/>
      <c r="AF3438" s="352"/>
      <c r="AG3438" s="352"/>
      <c r="AH3438" s="352"/>
      <c r="AI3438" s="352"/>
      <c r="AJ3438" s="352"/>
    </row>
    <row r="3439" spans="2:36">
      <c r="B3439" s="352"/>
      <c r="C3439" s="352"/>
      <c r="D3439" s="352"/>
      <c r="E3439" s="352"/>
      <c r="F3439" s="352"/>
      <c r="H3439" s="352"/>
      <c r="J3439" s="352"/>
      <c r="L3439" s="352"/>
      <c r="M3439" s="352"/>
      <c r="N3439" s="352"/>
      <c r="O3439" s="352"/>
      <c r="P3439" s="352"/>
      <c r="Q3439" s="352"/>
      <c r="R3439" s="352"/>
      <c r="S3439" s="352"/>
      <c r="T3439" s="352"/>
      <c r="U3439" s="352"/>
      <c r="V3439" s="352"/>
      <c r="W3439" s="352"/>
      <c r="X3439" s="352"/>
      <c r="Y3439" s="352"/>
      <c r="Z3439" s="352"/>
      <c r="AA3439" s="352"/>
      <c r="AB3439" s="352"/>
      <c r="AC3439" s="352"/>
      <c r="AD3439" s="352"/>
      <c r="AE3439" s="352"/>
      <c r="AF3439" s="352"/>
      <c r="AG3439" s="352"/>
      <c r="AH3439" s="352"/>
      <c r="AI3439" s="352"/>
      <c r="AJ3439" s="352"/>
    </row>
    <row r="3440" spans="2:36">
      <c r="B3440" s="352"/>
      <c r="C3440" s="352"/>
      <c r="D3440" s="352"/>
      <c r="E3440" s="352"/>
      <c r="F3440" s="352"/>
      <c r="H3440" s="352"/>
      <c r="J3440" s="352"/>
      <c r="L3440" s="352"/>
      <c r="M3440" s="352"/>
      <c r="N3440" s="352"/>
      <c r="O3440" s="352"/>
      <c r="P3440" s="352"/>
      <c r="Q3440" s="352"/>
      <c r="R3440" s="352"/>
      <c r="S3440" s="352"/>
      <c r="T3440" s="352"/>
      <c r="U3440" s="352"/>
      <c r="V3440" s="352"/>
      <c r="W3440" s="352"/>
      <c r="X3440" s="352"/>
      <c r="Y3440" s="352"/>
      <c r="Z3440" s="352"/>
      <c r="AA3440" s="352"/>
      <c r="AB3440" s="352"/>
      <c r="AC3440" s="352"/>
      <c r="AD3440" s="352"/>
      <c r="AE3440" s="352"/>
      <c r="AF3440" s="352"/>
      <c r="AG3440" s="352"/>
      <c r="AH3440" s="352"/>
      <c r="AI3440" s="352"/>
      <c r="AJ3440" s="352"/>
    </row>
    <row r="3441" spans="2:36">
      <c r="B3441" s="352"/>
      <c r="C3441" s="352"/>
      <c r="D3441" s="352"/>
      <c r="E3441" s="352"/>
      <c r="F3441" s="352"/>
      <c r="H3441" s="352"/>
      <c r="J3441" s="352"/>
      <c r="L3441" s="352"/>
      <c r="M3441" s="352"/>
      <c r="N3441" s="352"/>
      <c r="O3441" s="352"/>
      <c r="P3441" s="352"/>
      <c r="Q3441" s="352"/>
      <c r="R3441" s="352"/>
      <c r="S3441" s="352"/>
      <c r="T3441" s="352"/>
      <c r="U3441" s="352"/>
      <c r="V3441" s="352"/>
      <c r="W3441" s="352"/>
      <c r="X3441" s="352"/>
      <c r="Y3441" s="352"/>
      <c r="Z3441" s="352"/>
      <c r="AA3441" s="352"/>
      <c r="AB3441" s="352"/>
      <c r="AC3441" s="352"/>
      <c r="AD3441" s="352"/>
      <c r="AE3441" s="352"/>
      <c r="AF3441" s="352"/>
      <c r="AG3441" s="352"/>
      <c r="AH3441" s="352"/>
      <c r="AI3441" s="352"/>
      <c r="AJ3441" s="352"/>
    </row>
    <row r="3442" spans="2:36">
      <c r="B3442" s="352"/>
      <c r="C3442" s="352"/>
      <c r="D3442" s="352"/>
      <c r="E3442" s="352"/>
      <c r="F3442" s="352"/>
      <c r="H3442" s="352"/>
      <c r="J3442" s="352"/>
      <c r="L3442" s="352"/>
      <c r="M3442" s="352"/>
      <c r="N3442" s="352"/>
      <c r="O3442" s="352"/>
      <c r="P3442" s="352"/>
      <c r="Q3442" s="352"/>
      <c r="R3442" s="352"/>
      <c r="S3442" s="352"/>
      <c r="T3442" s="352"/>
      <c r="U3442" s="352"/>
      <c r="V3442" s="352"/>
      <c r="W3442" s="352"/>
      <c r="X3442" s="352"/>
      <c r="Y3442" s="352"/>
      <c r="Z3442" s="352"/>
      <c r="AA3442" s="352"/>
      <c r="AB3442" s="352"/>
      <c r="AC3442" s="352"/>
      <c r="AD3442" s="352"/>
      <c r="AE3442" s="352"/>
      <c r="AF3442" s="352"/>
      <c r="AG3442" s="352"/>
      <c r="AH3442" s="352"/>
      <c r="AI3442" s="352"/>
      <c r="AJ3442" s="352"/>
    </row>
    <row r="3443" spans="2:36">
      <c r="B3443" s="352"/>
      <c r="C3443" s="352"/>
      <c r="D3443" s="352"/>
      <c r="E3443" s="352"/>
      <c r="F3443" s="352"/>
      <c r="H3443" s="352"/>
      <c r="J3443" s="352"/>
      <c r="L3443" s="352"/>
      <c r="M3443" s="352"/>
      <c r="N3443" s="352"/>
      <c r="O3443" s="352"/>
      <c r="P3443" s="352"/>
      <c r="Q3443" s="352"/>
      <c r="R3443" s="352"/>
      <c r="S3443" s="352"/>
      <c r="T3443" s="352"/>
      <c r="U3443" s="352"/>
      <c r="V3443" s="352"/>
      <c r="W3443" s="352"/>
      <c r="X3443" s="352"/>
      <c r="Y3443" s="352"/>
      <c r="Z3443" s="352"/>
      <c r="AA3443" s="352"/>
      <c r="AB3443" s="352"/>
      <c r="AC3443" s="352"/>
      <c r="AD3443" s="352"/>
      <c r="AE3443" s="352"/>
      <c r="AF3443" s="352"/>
      <c r="AG3443" s="352"/>
      <c r="AH3443" s="352"/>
      <c r="AI3443" s="352"/>
      <c r="AJ3443" s="352"/>
    </row>
    <row r="3444" spans="2:36">
      <c r="B3444" s="352"/>
      <c r="C3444" s="352"/>
      <c r="D3444" s="352"/>
      <c r="E3444" s="352"/>
      <c r="F3444" s="352"/>
      <c r="H3444" s="352"/>
      <c r="J3444" s="352"/>
      <c r="L3444" s="352"/>
      <c r="M3444" s="352"/>
      <c r="N3444" s="352"/>
      <c r="O3444" s="352"/>
      <c r="P3444" s="352"/>
      <c r="Q3444" s="352"/>
      <c r="R3444" s="352"/>
      <c r="S3444" s="352"/>
      <c r="T3444" s="352"/>
      <c r="U3444" s="352"/>
      <c r="V3444" s="352"/>
      <c r="W3444" s="352"/>
      <c r="X3444" s="352"/>
      <c r="Y3444" s="352"/>
      <c r="Z3444" s="352"/>
      <c r="AA3444" s="352"/>
      <c r="AB3444" s="352"/>
      <c r="AC3444" s="352"/>
      <c r="AD3444" s="352"/>
      <c r="AE3444" s="352"/>
      <c r="AF3444" s="352"/>
      <c r="AG3444" s="352"/>
      <c r="AH3444" s="352"/>
      <c r="AI3444" s="352"/>
      <c r="AJ3444" s="352"/>
    </row>
    <row r="3445" spans="2:36">
      <c r="B3445" s="352"/>
      <c r="C3445" s="352"/>
      <c r="D3445" s="352"/>
      <c r="E3445" s="352"/>
      <c r="F3445" s="352"/>
      <c r="H3445" s="352"/>
      <c r="J3445" s="352"/>
      <c r="L3445" s="352"/>
      <c r="M3445" s="352"/>
      <c r="N3445" s="352"/>
      <c r="O3445" s="352"/>
      <c r="P3445" s="352"/>
      <c r="Q3445" s="352"/>
      <c r="R3445" s="352"/>
      <c r="S3445" s="352"/>
      <c r="T3445" s="352"/>
      <c r="U3445" s="352"/>
      <c r="V3445" s="352"/>
      <c r="W3445" s="352"/>
      <c r="X3445" s="352"/>
      <c r="Y3445" s="352"/>
      <c r="Z3445" s="352"/>
      <c r="AA3445" s="352"/>
      <c r="AB3445" s="352"/>
      <c r="AC3445" s="352"/>
      <c r="AD3445" s="352"/>
      <c r="AE3445" s="352"/>
      <c r="AF3445" s="352"/>
      <c r="AG3445" s="352"/>
      <c r="AH3445" s="352"/>
      <c r="AI3445" s="352"/>
      <c r="AJ3445" s="352"/>
    </row>
    <row r="3446" spans="2:36">
      <c r="B3446" s="352"/>
      <c r="C3446" s="352"/>
      <c r="D3446" s="352"/>
      <c r="E3446" s="352"/>
      <c r="F3446" s="352"/>
      <c r="H3446" s="352"/>
      <c r="J3446" s="352"/>
      <c r="L3446" s="352"/>
      <c r="M3446" s="352"/>
      <c r="N3446" s="352"/>
      <c r="O3446" s="352"/>
      <c r="P3446" s="352"/>
      <c r="Q3446" s="352"/>
      <c r="R3446" s="352"/>
      <c r="S3446" s="352"/>
      <c r="T3446" s="352"/>
      <c r="U3446" s="352"/>
      <c r="V3446" s="352"/>
      <c r="W3446" s="352"/>
      <c r="X3446" s="352"/>
      <c r="Y3446" s="352"/>
      <c r="Z3446" s="352"/>
      <c r="AA3446" s="352"/>
      <c r="AB3446" s="352"/>
      <c r="AC3446" s="352"/>
      <c r="AD3446" s="352"/>
      <c r="AE3446" s="352"/>
      <c r="AF3446" s="352"/>
      <c r="AG3446" s="352"/>
      <c r="AH3446" s="352"/>
      <c r="AI3446" s="352"/>
      <c r="AJ3446" s="352"/>
    </row>
    <row r="3447" spans="2:36">
      <c r="B3447" s="352"/>
      <c r="C3447" s="352"/>
      <c r="D3447" s="352"/>
      <c r="E3447" s="352"/>
      <c r="F3447" s="352"/>
      <c r="H3447" s="352"/>
      <c r="J3447" s="352"/>
      <c r="L3447" s="352"/>
      <c r="M3447" s="352"/>
      <c r="N3447" s="352"/>
      <c r="O3447" s="352"/>
      <c r="P3447" s="352"/>
      <c r="Q3447" s="352"/>
      <c r="R3447" s="352"/>
      <c r="S3447" s="352"/>
      <c r="T3447" s="352"/>
      <c r="U3447" s="352"/>
      <c r="V3447" s="352"/>
      <c r="W3447" s="352"/>
      <c r="X3447" s="352"/>
      <c r="Y3447" s="352"/>
      <c r="Z3447" s="352"/>
      <c r="AA3447" s="352"/>
      <c r="AB3447" s="352"/>
      <c r="AC3447" s="352"/>
      <c r="AD3447" s="352"/>
      <c r="AE3447" s="352"/>
      <c r="AF3447" s="352"/>
      <c r="AG3447" s="352"/>
      <c r="AH3447" s="352"/>
      <c r="AI3447" s="352"/>
      <c r="AJ3447" s="352"/>
    </row>
    <row r="3448" spans="2:36">
      <c r="B3448" s="352"/>
      <c r="C3448" s="352"/>
      <c r="D3448" s="352"/>
      <c r="E3448" s="352"/>
      <c r="F3448" s="352"/>
      <c r="H3448" s="352"/>
      <c r="J3448" s="352"/>
      <c r="L3448" s="352"/>
      <c r="M3448" s="352"/>
      <c r="N3448" s="352"/>
      <c r="O3448" s="352"/>
      <c r="P3448" s="352"/>
      <c r="Q3448" s="352"/>
      <c r="R3448" s="352"/>
      <c r="S3448" s="352"/>
      <c r="T3448" s="352"/>
      <c r="U3448" s="352"/>
      <c r="V3448" s="352"/>
      <c r="W3448" s="352"/>
      <c r="X3448" s="352"/>
      <c r="Y3448" s="352"/>
      <c r="Z3448" s="352"/>
      <c r="AA3448" s="352"/>
      <c r="AB3448" s="352"/>
      <c r="AC3448" s="352"/>
      <c r="AD3448" s="352"/>
      <c r="AE3448" s="352"/>
      <c r="AF3448" s="352"/>
      <c r="AG3448" s="352"/>
      <c r="AH3448" s="352"/>
      <c r="AI3448" s="352"/>
      <c r="AJ3448" s="352"/>
    </row>
    <row r="3449" spans="2:36">
      <c r="B3449" s="352"/>
      <c r="C3449" s="352"/>
      <c r="D3449" s="352"/>
      <c r="E3449" s="352"/>
      <c r="F3449" s="352"/>
      <c r="H3449" s="352"/>
      <c r="J3449" s="352"/>
      <c r="L3449" s="352"/>
      <c r="M3449" s="352"/>
      <c r="N3449" s="352"/>
      <c r="O3449" s="352"/>
      <c r="P3449" s="352"/>
      <c r="Q3449" s="352"/>
      <c r="R3449" s="352"/>
      <c r="S3449" s="352"/>
      <c r="T3449" s="352"/>
      <c r="U3449" s="352"/>
      <c r="V3449" s="352"/>
      <c r="W3449" s="352"/>
      <c r="X3449" s="352"/>
      <c r="Y3449" s="352"/>
      <c r="Z3449" s="352"/>
      <c r="AA3449" s="352"/>
      <c r="AB3449" s="352"/>
      <c r="AC3449" s="352"/>
      <c r="AD3449" s="352"/>
      <c r="AE3449" s="352"/>
      <c r="AF3449" s="352"/>
      <c r="AG3449" s="352"/>
      <c r="AH3449" s="352"/>
      <c r="AI3449" s="352"/>
      <c r="AJ3449" s="352"/>
    </row>
    <row r="3450" spans="2:36">
      <c r="B3450" s="352"/>
      <c r="C3450" s="352"/>
      <c r="D3450" s="352"/>
      <c r="E3450" s="352"/>
      <c r="F3450" s="352"/>
      <c r="H3450" s="352"/>
      <c r="J3450" s="352"/>
      <c r="L3450" s="352"/>
      <c r="M3450" s="352"/>
      <c r="N3450" s="352"/>
      <c r="O3450" s="352"/>
      <c r="P3450" s="352"/>
      <c r="Q3450" s="352"/>
      <c r="R3450" s="352"/>
      <c r="S3450" s="352"/>
      <c r="T3450" s="352"/>
      <c r="U3450" s="352"/>
      <c r="V3450" s="352"/>
      <c r="W3450" s="352"/>
      <c r="X3450" s="352"/>
      <c r="Y3450" s="352"/>
      <c r="Z3450" s="352"/>
      <c r="AA3450" s="352"/>
      <c r="AB3450" s="352"/>
      <c r="AC3450" s="352"/>
      <c r="AD3450" s="352"/>
      <c r="AE3450" s="352"/>
      <c r="AF3450" s="352"/>
      <c r="AG3450" s="352"/>
      <c r="AH3450" s="352"/>
      <c r="AI3450" s="352"/>
      <c r="AJ3450" s="352"/>
    </row>
    <row r="3451" spans="2:36">
      <c r="B3451" s="352"/>
      <c r="C3451" s="352"/>
      <c r="D3451" s="352"/>
      <c r="E3451" s="352"/>
      <c r="F3451" s="352"/>
      <c r="H3451" s="352"/>
      <c r="J3451" s="352"/>
      <c r="L3451" s="352"/>
      <c r="M3451" s="352"/>
      <c r="N3451" s="352"/>
      <c r="O3451" s="352"/>
      <c r="P3451" s="352"/>
      <c r="Q3451" s="352"/>
      <c r="R3451" s="352"/>
      <c r="S3451" s="352"/>
      <c r="T3451" s="352"/>
      <c r="U3451" s="352"/>
      <c r="V3451" s="352"/>
      <c r="W3451" s="352"/>
      <c r="X3451" s="352"/>
      <c r="Y3451" s="352"/>
      <c r="Z3451" s="352"/>
      <c r="AA3451" s="352"/>
      <c r="AB3451" s="352"/>
      <c r="AC3451" s="352"/>
      <c r="AD3451" s="352"/>
      <c r="AE3451" s="352"/>
      <c r="AF3451" s="352"/>
      <c r="AG3451" s="352"/>
      <c r="AH3451" s="352"/>
      <c r="AI3451" s="352"/>
      <c r="AJ3451" s="352"/>
    </row>
    <row r="3452" spans="2:36">
      <c r="B3452" s="352"/>
      <c r="C3452" s="352"/>
      <c r="D3452" s="352"/>
      <c r="E3452" s="352"/>
      <c r="F3452" s="352"/>
      <c r="H3452" s="352"/>
      <c r="J3452" s="352"/>
      <c r="L3452" s="352"/>
      <c r="M3452" s="352"/>
      <c r="N3452" s="352"/>
      <c r="O3452" s="352"/>
      <c r="P3452" s="352"/>
      <c r="Q3452" s="352"/>
      <c r="R3452" s="352"/>
      <c r="S3452" s="352"/>
      <c r="T3452" s="352"/>
      <c r="U3452" s="352"/>
      <c r="V3452" s="352"/>
      <c r="W3452" s="352"/>
      <c r="X3452" s="352"/>
      <c r="Y3452" s="352"/>
      <c r="Z3452" s="352"/>
      <c r="AA3452" s="352"/>
      <c r="AB3452" s="352"/>
      <c r="AC3452" s="352"/>
      <c r="AD3452" s="352"/>
      <c r="AE3452" s="352"/>
      <c r="AF3452" s="352"/>
      <c r="AG3452" s="352"/>
      <c r="AH3452" s="352"/>
      <c r="AI3452" s="352"/>
      <c r="AJ3452" s="352"/>
    </row>
    <row r="3453" spans="2:36">
      <c r="B3453" s="352"/>
      <c r="C3453" s="352"/>
      <c r="D3453" s="352"/>
      <c r="E3453" s="352"/>
      <c r="F3453" s="352"/>
      <c r="H3453" s="352"/>
      <c r="J3453" s="352"/>
      <c r="L3453" s="352"/>
      <c r="M3453" s="352"/>
      <c r="N3453" s="352"/>
      <c r="O3453" s="352"/>
      <c r="P3453" s="352"/>
      <c r="Q3453" s="352"/>
      <c r="R3453" s="352"/>
      <c r="S3453" s="352"/>
      <c r="T3453" s="352"/>
      <c r="U3453" s="352"/>
      <c r="V3453" s="352"/>
      <c r="W3453" s="352"/>
      <c r="X3453" s="352"/>
      <c r="Y3453" s="352"/>
      <c r="Z3453" s="352"/>
      <c r="AA3453" s="352"/>
      <c r="AB3453" s="352"/>
      <c r="AC3453" s="352"/>
      <c r="AD3453" s="352"/>
      <c r="AE3453" s="352"/>
      <c r="AF3453" s="352"/>
      <c r="AG3453" s="352"/>
      <c r="AH3453" s="352"/>
      <c r="AI3453" s="352"/>
      <c r="AJ3453" s="352"/>
    </row>
    <row r="3454" spans="2:36">
      <c r="B3454" s="352"/>
      <c r="C3454" s="352"/>
      <c r="D3454" s="352"/>
      <c r="E3454" s="352"/>
      <c r="F3454" s="352"/>
      <c r="H3454" s="352"/>
      <c r="J3454" s="352"/>
      <c r="L3454" s="352"/>
      <c r="M3454" s="352"/>
      <c r="N3454" s="352"/>
      <c r="O3454" s="352"/>
      <c r="P3454" s="352"/>
      <c r="Q3454" s="352"/>
      <c r="R3454" s="352"/>
      <c r="S3454" s="352"/>
      <c r="T3454" s="352"/>
      <c r="U3454" s="352"/>
      <c r="V3454" s="352"/>
      <c r="W3454" s="352"/>
      <c r="X3454" s="352"/>
      <c r="Y3454" s="352"/>
      <c r="Z3454" s="352"/>
      <c r="AA3454" s="352"/>
      <c r="AB3454" s="352"/>
      <c r="AC3454" s="352"/>
      <c r="AD3454" s="352"/>
      <c r="AE3454" s="352"/>
      <c r="AF3454" s="352"/>
      <c r="AG3454" s="352"/>
      <c r="AH3454" s="352"/>
      <c r="AI3454" s="352"/>
      <c r="AJ3454" s="352"/>
    </row>
    <row r="3455" spans="2:36">
      <c r="B3455" s="352"/>
      <c r="C3455" s="352"/>
      <c r="D3455" s="352"/>
      <c r="E3455" s="352"/>
      <c r="F3455" s="352"/>
      <c r="H3455" s="352"/>
      <c r="J3455" s="352"/>
      <c r="L3455" s="352"/>
      <c r="M3455" s="352"/>
      <c r="N3455" s="352"/>
      <c r="O3455" s="352"/>
      <c r="P3455" s="352"/>
      <c r="Q3455" s="352"/>
      <c r="R3455" s="352"/>
      <c r="S3455" s="352"/>
      <c r="T3455" s="352"/>
      <c r="U3455" s="352"/>
      <c r="V3455" s="352"/>
      <c r="W3455" s="352"/>
      <c r="X3455" s="352"/>
      <c r="Y3455" s="352"/>
      <c r="Z3455" s="352"/>
      <c r="AA3455" s="352"/>
      <c r="AB3455" s="352"/>
      <c r="AC3455" s="352"/>
      <c r="AD3455" s="352"/>
      <c r="AE3455" s="352"/>
      <c r="AF3455" s="352"/>
      <c r="AG3455" s="352"/>
      <c r="AH3455" s="352"/>
      <c r="AI3455" s="352"/>
      <c r="AJ3455" s="352"/>
    </row>
    <row r="3456" spans="2:36">
      <c r="B3456" s="352"/>
      <c r="C3456" s="352"/>
      <c r="D3456" s="352"/>
      <c r="E3456" s="352"/>
      <c r="F3456" s="352"/>
      <c r="H3456" s="352"/>
      <c r="J3456" s="352"/>
      <c r="L3456" s="352"/>
      <c r="M3456" s="352"/>
      <c r="N3456" s="352"/>
      <c r="O3456" s="352"/>
      <c r="P3456" s="352"/>
      <c r="Q3456" s="352"/>
      <c r="R3456" s="352"/>
      <c r="S3456" s="352"/>
      <c r="T3456" s="352"/>
      <c r="U3456" s="352"/>
      <c r="V3456" s="352"/>
      <c r="W3456" s="352"/>
      <c r="X3456" s="352"/>
      <c r="Y3456" s="352"/>
      <c r="Z3456" s="352"/>
      <c r="AA3456" s="352"/>
      <c r="AB3456" s="352"/>
      <c r="AC3456" s="352"/>
      <c r="AD3456" s="352"/>
      <c r="AE3456" s="352"/>
      <c r="AF3456" s="352"/>
      <c r="AG3456" s="352"/>
      <c r="AH3456" s="352"/>
      <c r="AI3456" s="352"/>
      <c r="AJ3456" s="352"/>
    </row>
    <row r="3457" spans="2:36">
      <c r="B3457" s="352"/>
      <c r="C3457" s="352"/>
      <c r="D3457" s="352"/>
      <c r="E3457" s="352"/>
      <c r="F3457" s="352"/>
      <c r="H3457" s="352"/>
      <c r="J3457" s="352"/>
      <c r="L3457" s="352"/>
      <c r="M3457" s="352"/>
      <c r="N3457" s="352"/>
      <c r="O3457" s="352"/>
      <c r="P3457" s="352"/>
      <c r="Q3457" s="352"/>
      <c r="R3457" s="352"/>
      <c r="S3457" s="352"/>
      <c r="T3457" s="352"/>
      <c r="U3457" s="352"/>
      <c r="V3457" s="352"/>
      <c r="W3457" s="352"/>
      <c r="X3457" s="352"/>
      <c r="Y3457" s="352"/>
      <c r="Z3457" s="352"/>
      <c r="AA3457" s="352"/>
      <c r="AB3457" s="352"/>
      <c r="AC3457" s="352"/>
      <c r="AD3457" s="352"/>
      <c r="AE3457" s="352"/>
      <c r="AF3457" s="352"/>
      <c r="AG3457" s="352"/>
      <c r="AH3457" s="352"/>
      <c r="AI3457" s="352"/>
      <c r="AJ3457" s="352"/>
    </row>
    <row r="3458" spans="2:36">
      <c r="B3458" s="352"/>
      <c r="C3458" s="352"/>
      <c r="D3458" s="352"/>
      <c r="E3458" s="352"/>
      <c r="F3458" s="352"/>
      <c r="H3458" s="352"/>
      <c r="J3458" s="352"/>
      <c r="L3458" s="352"/>
      <c r="M3458" s="352"/>
      <c r="N3458" s="352"/>
      <c r="O3458" s="352"/>
      <c r="P3458" s="352"/>
      <c r="Q3458" s="352"/>
      <c r="R3458" s="352"/>
      <c r="S3458" s="352"/>
      <c r="T3458" s="352"/>
      <c r="U3458" s="352"/>
      <c r="V3458" s="352"/>
      <c r="W3458" s="352"/>
      <c r="X3458" s="352"/>
      <c r="Y3458" s="352"/>
      <c r="Z3458" s="352"/>
      <c r="AA3458" s="352"/>
      <c r="AB3458" s="352"/>
      <c r="AC3458" s="352"/>
      <c r="AD3458" s="352"/>
      <c r="AE3458" s="352"/>
      <c r="AF3458" s="352"/>
      <c r="AG3458" s="352"/>
      <c r="AH3458" s="352"/>
      <c r="AI3458" s="352"/>
      <c r="AJ3458" s="352"/>
    </row>
    <row r="3459" spans="2:36">
      <c r="B3459" s="352"/>
      <c r="C3459" s="352"/>
      <c r="D3459" s="352"/>
      <c r="E3459" s="352"/>
      <c r="F3459" s="352"/>
      <c r="H3459" s="352"/>
      <c r="J3459" s="352"/>
      <c r="L3459" s="352"/>
      <c r="M3459" s="352"/>
      <c r="N3459" s="352"/>
      <c r="O3459" s="352"/>
      <c r="P3459" s="352"/>
      <c r="Q3459" s="352"/>
      <c r="R3459" s="352"/>
      <c r="S3459" s="352"/>
      <c r="T3459" s="352"/>
      <c r="U3459" s="352"/>
      <c r="V3459" s="352"/>
      <c r="W3459" s="352"/>
      <c r="X3459" s="352"/>
      <c r="Y3459" s="352"/>
      <c r="Z3459" s="352"/>
      <c r="AA3459" s="352"/>
      <c r="AB3459" s="352"/>
      <c r="AC3459" s="352"/>
      <c r="AD3459" s="352"/>
      <c r="AE3459" s="352"/>
      <c r="AF3459" s="352"/>
      <c r="AG3459" s="352"/>
      <c r="AH3459" s="352"/>
      <c r="AI3459" s="352"/>
      <c r="AJ3459" s="352"/>
    </row>
    <row r="3460" spans="2:36">
      <c r="B3460" s="352"/>
      <c r="C3460" s="352"/>
      <c r="D3460" s="352"/>
      <c r="E3460" s="352"/>
      <c r="F3460" s="352"/>
      <c r="H3460" s="352"/>
      <c r="J3460" s="352"/>
      <c r="L3460" s="352"/>
      <c r="M3460" s="352"/>
      <c r="N3460" s="352"/>
      <c r="O3460" s="352"/>
      <c r="P3460" s="352"/>
      <c r="Q3460" s="352"/>
      <c r="R3460" s="352"/>
      <c r="S3460" s="352"/>
      <c r="T3460" s="352"/>
      <c r="U3460" s="352"/>
      <c r="V3460" s="352"/>
      <c r="W3460" s="352"/>
      <c r="X3460" s="352"/>
      <c r="Y3460" s="352"/>
      <c r="Z3460" s="352"/>
      <c r="AA3460" s="352"/>
      <c r="AB3460" s="352"/>
      <c r="AC3460" s="352"/>
      <c r="AD3460" s="352"/>
      <c r="AE3460" s="352"/>
      <c r="AF3460" s="352"/>
      <c r="AG3460" s="352"/>
      <c r="AH3460" s="352"/>
      <c r="AI3460" s="352"/>
      <c r="AJ3460" s="352"/>
    </row>
    <row r="3461" spans="2:36">
      <c r="B3461" s="352"/>
      <c r="C3461" s="352"/>
      <c r="D3461" s="352"/>
      <c r="E3461" s="352"/>
      <c r="F3461" s="352"/>
      <c r="H3461" s="352"/>
      <c r="J3461" s="352"/>
      <c r="L3461" s="352"/>
      <c r="M3461" s="352"/>
      <c r="N3461" s="352"/>
      <c r="O3461" s="352"/>
      <c r="P3461" s="352"/>
      <c r="Q3461" s="352"/>
      <c r="R3461" s="352"/>
      <c r="S3461" s="352"/>
      <c r="T3461" s="352"/>
      <c r="U3461" s="352"/>
      <c r="V3461" s="352"/>
      <c r="W3461" s="352"/>
      <c r="X3461" s="352"/>
      <c r="Y3461" s="352"/>
      <c r="Z3461" s="352"/>
      <c r="AA3461" s="352"/>
      <c r="AB3461" s="352"/>
      <c r="AC3461" s="352"/>
      <c r="AD3461" s="352"/>
      <c r="AE3461" s="352"/>
      <c r="AF3461" s="352"/>
      <c r="AG3461" s="352"/>
      <c r="AH3461" s="352"/>
      <c r="AI3461" s="352"/>
      <c r="AJ3461" s="352"/>
    </row>
    <row r="3462" spans="2:36">
      <c r="B3462" s="352"/>
      <c r="C3462" s="352"/>
      <c r="D3462" s="352"/>
      <c r="E3462" s="352"/>
      <c r="F3462" s="352"/>
      <c r="H3462" s="352"/>
      <c r="J3462" s="352"/>
      <c r="L3462" s="352"/>
      <c r="M3462" s="352"/>
      <c r="N3462" s="352"/>
      <c r="O3462" s="352"/>
      <c r="P3462" s="352"/>
      <c r="Q3462" s="352"/>
      <c r="R3462" s="352"/>
      <c r="S3462" s="352"/>
      <c r="T3462" s="352"/>
      <c r="U3462" s="352"/>
      <c r="V3462" s="352"/>
      <c r="W3462" s="352"/>
      <c r="X3462" s="352"/>
      <c r="Y3462" s="352"/>
      <c r="Z3462" s="352"/>
      <c r="AA3462" s="352"/>
      <c r="AB3462" s="352"/>
      <c r="AC3462" s="352"/>
      <c r="AD3462" s="352"/>
      <c r="AE3462" s="352"/>
      <c r="AF3462" s="352"/>
      <c r="AG3462" s="352"/>
      <c r="AH3462" s="352"/>
      <c r="AI3462" s="352"/>
      <c r="AJ3462" s="352"/>
    </row>
    <row r="3463" spans="2:36">
      <c r="B3463" s="352"/>
      <c r="C3463" s="352"/>
      <c r="D3463" s="352"/>
      <c r="E3463" s="352"/>
      <c r="F3463" s="352"/>
      <c r="H3463" s="352"/>
      <c r="J3463" s="352"/>
      <c r="L3463" s="352"/>
      <c r="M3463" s="352"/>
      <c r="N3463" s="352"/>
      <c r="O3463" s="352"/>
      <c r="P3463" s="352"/>
      <c r="Q3463" s="352"/>
      <c r="R3463" s="352"/>
      <c r="S3463" s="352"/>
      <c r="T3463" s="352"/>
      <c r="U3463" s="352"/>
      <c r="V3463" s="352"/>
      <c r="W3463" s="352"/>
      <c r="X3463" s="352"/>
      <c r="Y3463" s="352"/>
      <c r="Z3463" s="352"/>
      <c r="AA3463" s="352"/>
      <c r="AB3463" s="352"/>
      <c r="AC3463" s="352"/>
      <c r="AD3463" s="352"/>
      <c r="AE3463" s="352"/>
      <c r="AF3463" s="352"/>
      <c r="AG3463" s="352"/>
      <c r="AH3463" s="352"/>
      <c r="AI3463" s="352"/>
      <c r="AJ3463" s="352"/>
    </row>
    <row r="3464" spans="2:36">
      <c r="B3464" s="352"/>
      <c r="C3464" s="352"/>
      <c r="D3464" s="352"/>
      <c r="E3464" s="352"/>
      <c r="F3464" s="352"/>
      <c r="H3464" s="352"/>
      <c r="J3464" s="352"/>
      <c r="L3464" s="352"/>
      <c r="M3464" s="352"/>
      <c r="N3464" s="352"/>
      <c r="O3464" s="352"/>
      <c r="P3464" s="352"/>
      <c r="Q3464" s="352"/>
      <c r="R3464" s="352"/>
      <c r="S3464" s="352"/>
      <c r="T3464" s="352"/>
      <c r="U3464" s="352"/>
      <c r="V3464" s="352"/>
      <c r="W3464" s="352"/>
      <c r="X3464" s="352"/>
      <c r="Y3464" s="352"/>
      <c r="Z3464" s="352"/>
      <c r="AA3464" s="352"/>
      <c r="AB3464" s="352"/>
      <c r="AC3464" s="352"/>
      <c r="AD3464" s="352"/>
      <c r="AE3464" s="352"/>
      <c r="AF3464" s="352"/>
      <c r="AG3464" s="352"/>
      <c r="AH3464" s="352"/>
      <c r="AI3464" s="352"/>
      <c r="AJ3464" s="352"/>
    </row>
    <row r="3465" spans="2:36">
      <c r="B3465" s="352"/>
      <c r="C3465" s="352"/>
      <c r="D3465" s="352"/>
      <c r="E3465" s="352"/>
      <c r="F3465" s="352"/>
      <c r="H3465" s="352"/>
      <c r="J3465" s="352"/>
      <c r="L3465" s="352"/>
      <c r="M3465" s="352"/>
      <c r="N3465" s="352"/>
      <c r="O3465" s="352"/>
      <c r="P3465" s="352"/>
      <c r="Q3465" s="352"/>
      <c r="R3465" s="352"/>
      <c r="S3465" s="352"/>
      <c r="T3465" s="352"/>
      <c r="U3465" s="352"/>
      <c r="V3465" s="352"/>
      <c r="W3465" s="352"/>
      <c r="X3465" s="352"/>
      <c r="Y3465" s="352"/>
      <c r="Z3465" s="352"/>
      <c r="AA3465" s="352"/>
      <c r="AB3465" s="352"/>
      <c r="AC3465" s="352"/>
      <c r="AD3465" s="352"/>
      <c r="AE3465" s="352"/>
      <c r="AF3465" s="352"/>
      <c r="AG3465" s="352"/>
      <c r="AH3465" s="352"/>
      <c r="AI3465" s="352"/>
      <c r="AJ3465" s="352"/>
    </row>
    <row r="3466" spans="2:36">
      <c r="B3466" s="352"/>
      <c r="C3466" s="352"/>
      <c r="D3466" s="352"/>
      <c r="E3466" s="352"/>
      <c r="F3466" s="352"/>
      <c r="H3466" s="352"/>
      <c r="J3466" s="352"/>
      <c r="L3466" s="352"/>
      <c r="M3466" s="352"/>
      <c r="N3466" s="352"/>
      <c r="O3466" s="352"/>
      <c r="P3466" s="352"/>
      <c r="Q3466" s="352"/>
      <c r="R3466" s="352"/>
      <c r="S3466" s="352"/>
      <c r="T3466" s="352"/>
      <c r="U3466" s="352"/>
      <c r="V3466" s="352"/>
      <c r="W3466" s="352"/>
      <c r="X3466" s="352"/>
      <c r="Y3466" s="352"/>
      <c r="Z3466" s="352"/>
      <c r="AA3466" s="352"/>
      <c r="AB3466" s="352"/>
      <c r="AC3466" s="352"/>
      <c r="AD3466" s="352"/>
      <c r="AE3466" s="352"/>
      <c r="AF3466" s="352"/>
      <c r="AG3466" s="352"/>
      <c r="AH3466" s="352"/>
      <c r="AI3466" s="352"/>
      <c r="AJ3466" s="352"/>
    </row>
    <row r="3467" spans="2:36">
      <c r="B3467" s="352"/>
      <c r="C3467" s="352"/>
      <c r="D3467" s="352"/>
      <c r="E3467" s="352"/>
      <c r="F3467" s="352"/>
      <c r="H3467" s="352"/>
      <c r="J3467" s="352"/>
      <c r="L3467" s="352"/>
      <c r="M3467" s="352"/>
      <c r="N3467" s="352"/>
      <c r="O3467" s="352"/>
      <c r="P3467" s="352"/>
      <c r="Q3467" s="352"/>
      <c r="R3467" s="352"/>
      <c r="S3467" s="352"/>
      <c r="T3467" s="352"/>
      <c r="U3467" s="352"/>
      <c r="V3467" s="352"/>
      <c r="W3467" s="352"/>
      <c r="X3467" s="352"/>
      <c r="Y3467" s="352"/>
      <c r="Z3467" s="352"/>
      <c r="AA3467" s="352"/>
      <c r="AB3467" s="352"/>
      <c r="AC3467" s="352"/>
      <c r="AD3467" s="352"/>
      <c r="AE3467" s="352"/>
      <c r="AF3467" s="352"/>
      <c r="AG3467" s="352"/>
      <c r="AH3467" s="352"/>
      <c r="AI3467" s="352"/>
      <c r="AJ3467" s="352"/>
    </row>
    <row r="3468" spans="2:36">
      <c r="B3468" s="352"/>
      <c r="C3468" s="352"/>
      <c r="D3468" s="352"/>
      <c r="E3468" s="352"/>
      <c r="F3468" s="352"/>
      <c r="H3468" s="352"/>
      <c r="J3468" s="352"/>
      <c r="L3468" s="352"/>
      <c r="M3468" s="352"/>
      <c r="N3468" s="352"/>
      <c r="O3468" s="352"/>
      <c r="P3468" s="352"/>
      <c r="Q3468" s="352"/>
      <c r="R3468" s="352"/>
      <c r="S3468" s="352"/>
      <c r="T3468" s="352"/>
      <c r="U3468" s="352"/>
      <c r="V3468" s="352"/>
      <c r="W3468" s="352"/>
      <c r="X3468" s="352"/>
      <c r="Y3468" s="352"/>
      <c r="Z3468" s="352"/>
      <c r="AA3468" s="352"/>
      <c r="AB3468" s="352"/>
      <c r="AC3468" s="352"/>
      <c r="AD3468" s="352"/>
      <c r="AE3468" s="352"/>
      <c r="AF3468" s="352"/>
      <c r="AG3468" s="352"/>
      <c r="AH3468" s="352"/>
      <c r="AI3468" s="352"/>
      <c r="AJ3468" s="352"/>
    </row>
    <row r="3469" spans="2:36">
      <c r="B3469" s="352"/>
      <c r="C3469" s="352"/>
      <c r="D3469" s="352"/>
      <c r="E3469" s="352"/>
      <c r="F3469" s="352"/>
      <c r="H3469" s="352"/>
      <c r="J3469" s="352"/>
      <c r="L3469" s="352"/>
      <c r="M3469" s="352"/>
      <c r="N3469" s="352"/>
      <c r="O3469" s="352"/>
      <c r="P3469" s="352"/>
      <c r="Q3469" s="352"/>
      <c r="R3469" s="352"/>
      <c r="S3469" s="352"/>
      <c r="T3469" s="352"/>
      <c r="U3469" s="352"/>
      <c r="V3469" s="352"/>
      <c r="W3469" s="352"/>
      <c r="X3469" s="352"/>
      <c r="Y3469" s="352"/>
      <c r="Z3469" s="352"/>
      <c r="AA3469" s="352"/>
      <c r="AB3469" s="352"/>
      <c r="AC3469" s="352"/>
      <c r="AD3469" s="352"/>
      <c r="AE3469" s="352"/>
      <c r="AF3469" s="352"/>
      <c r="AG3469" s="352"/>
      <c r="AH3469" s="352"/>
      <c r="AI3469" s="352"/>
      <c r="AJ3469" s="352"/>
    </row>
    <row r="3470" spans="2:36">
      <c r="B3470" s="352"/>
      <c r="C3470" s="352"/>
      <c r="D3470" s="352"/>
      <c r="E3470" s="352"/>
      <c r="F3470" s="352"/>
      <c r="H3470" s="352"/>
      <c r="J3470" s="352"/>
      <c r="L3470" s="352"/>
      <c r="M3470" s="352"/>
      <c r="N3470" s="352"/>
      <c r="O3470" s="352"/>
      <c r="P3470" s="352"/>
      <c r="Q3470" s="352"/>
      <c r="R3470" s="352"/>
      <c r="S3470" s="352"/>
      <c r="T3470" s="352"/>
      <c r="U3470" s="352"/>
      <c r="V3470" s="352"/>
      <c r="W3470" s="352"/>
      <c r="X3470" s="352"/>
      <c r="Y3470" s="352"/>
      <c r="Z3470" s="352"/>
      <c r="AA3470" s="352"/>
      <c r="AB3470" s="352"/>
      <c r="AC3470" s="352"/>
      <c r="AD3470" s="352"/>
      <c r="AE3470" s="352"/>
      <c r="AF3470" s="352"/>
      <c r="AG3470" s="352"/>
      <c r="AH3470" s="352"/>
      <c r="AI3470" s="352"/>
      <c r="AJ3470" s="352"/>
    </row>
    <row r="3471" spans="2:36">
      <c r="B3471" s="352"/>
      <c r="C3471" s="352"/>
      <c r="D3471" s="352"/>
      <c r="E3471" s="352"/>
      <c r="F3471" s="352"/>
      <c r="H3471" s="352"/>
      <c r="J3471" s="352"/>
      <c r="L3471" s="352"/>
      <c r="M3471" s="352"/>
      <c r="N3471" s="352"/>
      <c r="O3471" s="352"/>
      <c r="P3471" s="352"/>
      <c r="Q3471" s="352"/>
      <c r="R3471" s="352"/>
      <c r="S3471" s="352"/>
      <c r="T3471" s="352"/>
      <c r="U3471" s="352"/>
      <c r="V3471" s="352"/>
      <c r="W3471" s="352"/>
      <c r="X3471" s="352"/>
      <c r="Y3471" s="352"/>
      <c r="Z3471" s="352"/>
      <c r="AA3471" s="352"/>
      <c r="AB3471" s="352"/>
      <c r="AC3471" s="352"/>
      <c r="AD3471" s="352"/>
      <c r="AE3471" s="352"/>
      <c r="AF3471" s="352"/>
      <c r="AG3471" s="352"/>
      <c r="AH3471" s="352"/>
      <c r="AI3471" s="352"/>
      <c r="AJ3471" s="352"/>
    </row>
    <row r="3472" spans="2:36">
      <c r="B3472" s="352"/>
      <c r="C3472" s="352"/>
      <c r="D3472" s="352"/>
      <c r="E3472" s="352"/>
      <c r="F3472" s="352"/>
      <c r="H3472" s="352"/>
      <c r="J3472" s="352"/>
      <c r="L3472" s="352"/>
      <c r="M3472" s="352"/>
      <c r="N3472" s="352"/>
      <c r="O3472" s="352"/>
      <c r="P3472" s="352"/>
      <c r="Q3472" s="352"/>
      <c r="R3472" s="352"/>
      <c r="S3472" s="352"/>
      <c r="T3472" s="352"/>
      <c r="U3472" s="352"/>
      <c r="V3472" s="352"/>
      <c r="W3472" s="352"/>
      <c r="X3472" s="352"/>
      <c r="Y3472" s="352"/>
      <c r="Z3472" s="352"/>
      <c r="AA3472" s="352"/>
      <c r="AB3472" s="352"/>
      <c r="AC3472" s="352"/>
      <c r="AD3472" s="352"/>
      <c r="AE3472" s="352"/>
      <c r="AF3472" s="352"/>
      <c r="AG3472" s="352"/>
      <c r="AH3472" s="352"/>
      <c r="AI3472" s="352"/>
      <c r="AJ3472" s="352"/>
    </row>
    <row r="3473" spans="2:36">
      <c r="B3473" s="352"/>
      <c r="C3473" s="352"/>
      <c r="D3473" s="352"/>
      <c r="E3473" s="352"/>
      <c r="F3473" s="352"/>
      <c r="H3473" s="352"/>
      <c r="J3473" s="352"/>
      <c r="L3473" s="352"/>
      <c r="M3473" s="352"/>
      <c r="N3473" s="352"/>
      <c r="O3473" s="352"/>
      <c r="P3473" s="352"/>
      <c r="Q3473" s="352"/>
      <c r="R3473" s="352"/>
      <c r="S3473" s="352"/>
      <c r="T3473" s="352"/>
      <c r="U3473" s="352"/>
      <c r="V3473" s="352"/>
      <c r="W3473" s="352"/>
      <c r="X3473" s="352"/>
      <c r="Y3473" s="352"/>
      <c r="Z3473" s="352"/>
      <c r="AA3473" s="352"/>
      <c r="AB3473" s="352"/>
      <c r="AC3473" s="352"/>
      <c r="AD3473" s="352"/>
      <c r="AE3473" s="352"/>
      <c r="AF3473" s="352"/>
      <c r="AG3473" s="352"/>
      <c r="AH3473" s="352"/>
      <c r="AI3473" s="352"/>
      <c r="AJ3473" s="352"/>
    </row>
    <row r="3474" spans="2:36">
      <c r="B3474" s="352"/>
      <c r="C3474" s="352"/>
      <c r="D3474" s="352"/>
      <c r="E3474" s="352"/>
      <c r="F3474" s="352"/>
      <c r="H3474" s="352"/>
      <c r="J3474" s="352"/>
      <c r="L3474" s="352"/>
      <c r="M3474" s="352"/>
      <c r="N3474" s="352"/>
      <c r="O3474" s="352"/>
      <c r="P3474" s="352"/>
      <c r="Q3474" s="352"/>
      <c r="R3474" s="352"/>
      <c r="S3474" s="352"/>
      <c r="T3474" s="352"/>
      <c r="U3474" s="352"/>
      <c r="V3474" s="352"/>
      <c r="W3474" s="352"/>
      <c r="X3474" s="352"/>
      <c r="Y3474" s="352"/>
      <c r="Z3474" s="352"/>
      <c r="AA3474" s="352"/>
      <c r="AB3474" s="352"/>
      <c r="AC3474" s="352"/>
      <c r="AD3474" s="352"/>
      <c r="AE3474" s="352"/>
      <c r="AF3474" s="352"/>
      <c r="AG3474" s="352"/>
      <c r="AH3474" s="352"/>
      <c r="AI3474" s="352"/>
      <c r="AJ3474" s="352"/>
    </row>
    <row r="3475" spans="2:36">
      <c r="B3475" s="352"/>
      <c r="C3475" s="352"/>
      <c r="D3475" s="352"/>
      <c r="E3475" s="352"/>
      <c r="F3475" s="352"/>
      <c r="H3475" s="352"/>
      <c r="J3475" s="352"/>
      <c r="L3475" s="352"/>
      <c r="M3475" s="352"/>
      <c r="N3475" s="352"/>
      <c r="O3475" s="352"/>
      <c r="P3475" s="352"/>
      <c r="Q3475" s="352"/>
      <c r="R3475" s="352"/>
      <c r="S3475" s="352"/>
      <c r="T3475" s="352"/>
      <c r="U3475" s="352"/>
      <c r="V3475" s="352"/>
      <c r="W3475" s="352"/>
      <c r="X3475" s="352"/>
      <c r="Y3475" s="352"/>
      <c r="Z3475" s="352"/>
      <c r="AA3475" s="352"/>
      <c r="AB3475" s="352"/>
      <c r="AC3475" s="352"/>
      <c r="AD3475" s="352"/>
      <c r="AE3475" s="352"/>
      <c r="AF3475" s="352"/>
      <c r="AG3475" s="352"/>
      <c r="AH3475" s="352"/>
      <c r="AI3475" s="352"/>
      <c r="AJ3475" s="352"/>
    </row>
    <row r="3476" spans="2:36">
      <c r="B3476" s="352"/>
      <c r="C3476" s="352"/>
      <c r="D3476" s="352"/>
      <c r="E3476" s="352"/>
      <c r="F3476" s="352"/>
      <c r="H3476" s="352"/>
      <c r="J3476" s="352"/>
      <c r="L3476" s="352"/>
      <c r="M3476" s="352"/>
      <c r="N3476" s="352"/>
      <c r="O3476" s="352"/>
      <c r="P3476" s="352"/>
      <c r="Q3476" s="352"/>
      <c r="R3476" s="352"/>
      <c r="S3476" s="352"/>
      <c r="T3476" s="352"/>
      <c r="U3476" s="352"/>
      <c r="V3476" s="352"/>
      <c r="W3476" s="352"/>
      <c r="X3476" s="352"/>
      <c r="Y3476" s="352"/>
      <c r="Z3476" s="352"/>
      <c r="AA3476" s="352"/>
      <c r="AB3476" s="352"/>
      <c r="AC3476" s="352"/>
      <c r="AD3476" s="352"/>
      <c r="AE3476" s="352"/>
      <c r="AF3476" s="352"/>
      <c r="AG3476" s="352"/>
      <c r="AH3476" s="352"/>
      <c r="AI3476" s="352"/>
      <c r="AJ3476" s="352"/>
    </row>
    <row r="3477" spans="2:36">
      <c r="B3477" s="352"/>
      <c r="C3477" s="352"/>
      <c r="D3477" s="352"/>
      <c r="E3477" s="352"/>
      <c r="F3477" s="352"/>
      <c r="H3477" s="352"/>
      <c r="J3477" s="352"/>
      <c r="L3477" s="352"/>
      <c r="M3477" s="352"/>
      <c r="N3477" s="352"/>
      <c r="O3477" s="352"/>
      <c r="P3477" s="352"/>
      <c r="Q3477" s="352"/>
      <c r="R3477" s="352"/>
      <c r="S3477" s="352"/>
      <c r="T3477" s="352"/>
      <c r="U3477" s="352"/>
      <c r="V3477" s="352"/>
      <c r="W3477" s="352"/>
      <c r="X3477" s="352"/>
      <c r="Y3477" s="352"/>
      <c r="Z3477" s="352"/>
      <c r="AA3477" s="352"/>
      <c r="AB3477" s="352"/>
      <c r="AC3477" s="352"/>
      <c r="AD3477" s="352"/>
      <c r="AE3477" s="352"/>
      <c r="AF3477" s="352"/>
      <c r="AG3477" s="352"/>
      <c r="AH3477" s="352"/>
      <c r="AI3477" s="352"/>
      <c r="AJ3477" s="352"/>
    </row>
    <row r="3478" spans="2:36">
      <c r="B3478" s="352"/>
      <c r="C3478" s="352"/>
      <c r="D3478" s="352"/>
      <c r="E3478" s="352"/>
      <c r="F3478" s="352"/>
      <c r="H3478" s="352"/>
      <c r="J3478" s="352"/>
      <c r="L3478" s="352"/>
      <c r="M3478" s="352"/>
      <c r="N3478" s="352"/>
      <c r="O3478" s="352"/>
      <c r="P3478" s="352"/>
      <c r="Q3478" s="352"/>
      <c r="R3478" s="352"/>
      <c r="S3478" s="352"/>
      <c r="T3478" s="352"/>
      <c r="U3478" s="352"/>
      <c r="V3478" s="352"/>
      <c r="W3478" s="352"/>
      <c r="X3478" s="352"/>
      <c r="Y3478" s="352"/>
      <c r="Z3478" s="352"/>
      <c r="AA3478" s="352"/>
      <c r="AB3478" s="352"/>
      <c r="AC3478" s="352"/>
      <c r="AD3478" s="352"/>
      <c r="AE3478" s="352"/>
      <c r="AF3478" s="352"/>
      <c r="AG3478" s="352"/>
      <c r="AH3478" s="352"/>
      <c r="AI3478" s="352"/>
      <c r="AJ3478" s="352"/>
    </row>
    <row r="3479" spans="2:36">
      <c r="B3479" s="352"/>
      <c r="C3479" s="352"/>
      <c r="D3479" s="352"/>
      <c r="E3479" s="352"/>
      <c r="F3479" s="352"/>
      <c r="H3479" s="352"/>
      <c r="J3479" s="352"/>
      <c r="L3479" s="352"/>
      <c r="M3479" s="352"/>
      <c r="N3479" s="352"/>
      <c r="O3479" s="352"/>
      <c r="P3479" s="352"/>
      <c r="Q3479" s="352"/>
      <c r="R3479" s="352"/>
      <c r="S3479" s="352"/>
      <c r="T3479" s="352"/>
      <c r="U3479" s="352"/>
      <c r="V3479" s="352"/>
      <c r="W3479" s="352"/>
      <c r="X3479" s="352"/>
      <c r="Y3479" s="352"/>
      <c r="Z3479" s="352"/>
      <c r="AA3479" s="352"/>
      <c r="AB3479" s="352"/>
      <c r="AC3479" s="352"/>
      <c r="AD3479" s="352"/>
      <c r="AE3479" s="352"/>
      <c r="AF3479" s="352"/>
      <c r="AG3479" s="352"/>
      <c r="AH3479" s="352"/>
      <c r="AI3479" s="352"/>
      <c r="AJ3479" s="352"/>
    </row>
    <row r="3480" spans="2:36">
      <c r="B3480" s="352"/>
      <c r="C3480" s="352"/>
      <c r="D3480" s="352"/>
      <c r="E3480" s="352"/>
      <c r="F3480" s="352"/>
      <c r="H3480" s="352"/>
      <c r="J3480" s="352"/>
      <c r="L3480" s="352"/>
      <c r="M3480" s="352"/>
      <c r="N3480" s="352"/>
      <c r="O3480" s="352"/>
      <c r="P3480" s="352"/>
      <c r="Q3480" s="352"/>
      <c r="R3480" s="352"/>
      <c r="S3480" s="352"/>
      <c r="T3480" s="352"/>
      <c r="U3480" s="352"/>
      <c r="V3480" s="352"/>
      <c r="W3480" s="352"/>
      <c r="X3480" s="352"/>
      <c r="Y3480" s="352"/>
      <c r="Z3480" s="352"/>
      <c r="AA3480" s="352"/>
      <c r="AB3480" s="352"/>
      <c r="AC3480" s="352"/>
      <c r="AD3480" s="352"/>
      <c r="AE3480" s="352"/>
      <c r="AF3480" s="352"/>
      <c r="AG3480" s="352"/>
      <c r="AH3480" s="352"/>
      <c r="AI3480" s="352"/>
      <c r="AJ3480" s="352"/>
    </row>
    <row r="3481" spans="2:36">
      <c r="B3481" s="352"/>
      <c r="C3481" s="352"/>
      <c r="D3481" s="352"/>
      <c r="E3481" s="352"/>
      <c r="F3481" s="352"/>
      <c r="H3481" s="352"/>
      <c r="J3481" s="352"/>
      <c r="L3481" s="352"/>
      <c r="M3481" s="352"/>
      <c r="N3481" s="352"/>
      <c r="O3481" s="352"/>
      <c r="P3481" s="352"/>
      <c r="Q3481" s="352"/>
      <c r="R3481" s="352"/>
      <c r="S3481" s="352"/>
      <c r="T3481" s="352"/>
      <c r="U3481" s="352"/>
      <c r="V3481" s="352"/>
      <c r="W3481" s="352"/>
      <c r="X3481" s="352"/>
      <c r="Y3481" s="352"/>
      <c r="Z3481" s="352"/>
      <c r="AA3481" s="352"/>
      <c r="AB3481" s="352"/>
      <c r="AC3481" s="352"/>
      <c r="AD3481" s="352"/>
      <c r="AE3481" s="352"/>
      <c r="AF3481" s="352"/>
      <c r="AG3481" s="352"/>
      <c r="AH3481" s="352"/>
      <c r="AI3481" s="352"/>
      <c r="AJ3481" s="352"/>
    </row>
    <row r="3482" spans="2:36">
      <c r="B3482" s="352"/>
      <c r="C3482" s="352"/>
      <c r="D3482" s="352"/>
      <c r="E3482" s="352"/>
      <c r="F3482" s="352"/>
      <c r="H3482" s="352"/>
      <c r="J3482" s="352"/>
      <c r="L3482" s="352"/>
      <c r="M3482" s="352"/>
      <c r="N3482" s="352"/>
      <c r="O3482" s="352"/>
      <c r="P3482" s="352"/>
      <c r="Q3482" s="352"/>
      <c r="R3482" s="352"/>
      <c r="S3482" s="352"/>
      <c r="T3482" s="352"/>
      <c r="U3482" s="352"/>
      <c r="V3482" s="352"/>
      <c r="W3482" s="352"/>
      <c r="X3482" s="352"/>
      <c r="Y3482" s="352"/>
      <c r="Z3482" s="352"/>
      <c r="AA3482" s="352"/>
      <c r="AB3482" s="352"/>
      <c r="AC3482" s="352"/>
      <c r="AD3482" s="352"/>
      <c r="AE3482" s="352"/>
      <c r="AF3482" s="352"/>
      <c r="AG3482" s="352"/>
      <c r="AH3482" s="352"/>
      <c r="AI3482" s="352"/>
      <c r="AJ3482" s="352"/>
    </row>
    <row r="3483" spans="2:36">
      <c r="B3483" s="352"/>
      <c r="C3483" s="352"/>
      <c r="D3483" s="352"/>
      <c r="E3483" s="352"/>
      <c r="F3483" s="352"/>
      <c r="H3483" s="352"/>
      <c r="J3483" s="352"/>
      <c r="L3483" s="352"/>
      <c r="M3483" s="352"/>
      <c r="N3483" s="352"/>
      <c r="O3483" s="352"/>
      <c r="P3483" s="352"/>
      <c r="Q3483" s="352"/>
      <c r="R3483" s="352"/>
      <c r="S3483" s="352"/>
      <c r="T3483" s="352"/>
      <c r="U3483" s="352"/>
      <c r="V3483" s="352"/>
      <c r="W3483" s="352"/>
      <c r="X3483" s="352"/>
      <c r="Y3483" s="352"/>
      <c r="Z3483" s="352"/>
      <c r="AA3483" s="352"/>
      <c r="AB3483" s="352"/>
      <c r="AC3483" s="352"/>
      <c r="AD3483" s="352"/>
      <c r="AE3483" s="352"/>
      <c r="AF3483" s="352"/>
      <c r="AG3483" s="352"/>
      <c r="AH3483" s="352"/>
      <c r="AI3483" s="352"/>
      <c r="AJ3483" s="352"/>
    </row>
    <row r="3484" spans="2:36">
      <c r="B3484" s="352"/>
      <c r="C3484" s="352"/>
      <c r="D3484" s="352"/>
      <c r="E3484" s="352"/>
      <c r="F3484" s="352"/>
      <c r="H3484" s="352"/>
      <c r="J3484" s="352"/>
      <c r="L3484" s="352"/>
      <c r="M3484" s="352"/>
      <c r="N3484" s="352"/>
      <c r="O3484" s="352"/>
      <c r="P3484" s="352"/>
      <c r="Q3484" s="352"/>
      <c r="R3484" s="352"/>
      <c r="S3484" s="352"/>
      <c r="T3484" s="352"/>
      <c r="U3484" s="352"/>
      <c r="V3484" s="352"/>
      <c r="W3484" s="352"/>
      <c r="X3484" s="352"/>
      <c r="Y3484" s="352"/>
      <c r="Z3484" s="352"/>
      <c r="AA3484" s="352"/>
      <c r="AB3484" s="352"/>
      <c r="AC3484" s="352"/>
      <c r="AD3484" s="352"/>
      <c r="AE3484" s="352"/>
      <c r="AF3484" s="352"/>
      <c r="AG3484" s="352"/>
      <c r="AH3484" s="352"/>
      <c r="AI3484" s="352"/>
      <c r="AJ3484" s="352"/>
    </row>
    <row r="3485" spans="2:36">
      <c r="B3485" s="352"/>
      <c r="C3485" s="352"/>
      <c r="D3485" s="352"/>
      <c r="E3485" s="352"/>
      <c r="F3485" s="352"/>
      <c r="H3485" s="352"/>
      <c r="J3485" s="352"/>
      <c r="L3485" s="352"/>
      <c r="M3485" s="352"/>
      <c r="N3485" s="352"/>
      <c r="O3485" s="352"/>
      <c r="P3485" s="352"/>
      <c r="Q3485" s="352"/>
      <c r="R3485" s="352"/>
      <c r="S3485" s="352"/>
      <c r="T3485" s="352"/>
      <c r="U3485" s="352"/>
      <c r="V3485" s="352"/>
      <c r="W3485" s="352"/>
      <c r="X3485" s="352"/>
      <c r="Y3485" s="352"/>
      <c r="Z3485" s="352"/>
      <c r="AA3485" s="352"/>
      <c r="AB3485" s="352"/>
      <c r="AC3485" s="352"/>
      <c r="AD3485" s="352"/>
      <c r="AE3485" s="352"/>
      <c r="AF3485" s="352"/>
      <c r="AG3485" s="352"/>
      <c r="AH3485" s="352"/>
      <c r="AI3485" s="352"/>
      <c r="AJ3485" s="352"/>
    </row>
    <row r="3486" spans="2:36">
      <c r="B3486" s="352"/>
      <c r="C3486" s="352"/>
      <c r="D3486" s="352"/>
      <c r="E3486" s="352"/>
      <c r="F3486" s="352"/>
      <c r="H3486" s="352"/>
      <c r="J3486" s="352"/>
      <c r="L3486" s="352"/>
      <c r="M3486" s="352"/>
      <c r="N3486" s="352"/>
      <c r="O3486" s="352"/>
      <c r="P3486" s="352"/>
      <c r="Q3486" s="352"/>
      <c r="R3486" s="352"/>
      <c r="S3486" s="352"/>
      <c r="T3486" s="352"/>
      <c r="U3486" s="352"/>
      <c r="V3486" s="352"/>
      <c r="W3486" s="352"/>
      <c r="X3486" s="352"/>
      <c r="Y3486" s="352"/>
      <c r="Z3486" s="352"/>
      <c r="AA3486" s="352"/>
      <c r="AB3486" s="352"/>
      <c r="AC3486" s="352"/>
      <c r="AD3486" s="352"/>
      <c r="AE3486" s="352"/>
      <c r="AF3486" s="352"/>
      <c r="AG3486" s="352"/>
      <c r="AH3486" s="352"/>
      <c r="AI3486" s="352"/>
      <c r="AJ3486" s="352"/>
    </row>
    <row r="3487" spans="2:36">
      <c r="B3487" s="352"/>
      <c r="C3487" s="352"/>
      <c r="D3487" s="352"/>
      <c r="E3487" s="352"/>
      <c r="F3487" s="352"/>
      <c r="H3487" s="352"/>
      <c r="J3487" s="352"/>
      <c r="L3487" s="352"/>
      <c r="M3487" s="352"/>
      <c r="N3487" s="352"/>
      <c r="O3487" s="352"/>
      <c r="P3487" s="352"/>
      <c r="Q3487" s="352"/>
      <c r="R3487" s="352"/>
      <c r="S3487" s="352"/>
      <c r="T3487" s="352"/>
      <c r="U3487" s="352"/>
      <c r="V3487" s="352"/>
      <c r="W3487" s="352"/>
      <c r="X3487" s="352"/>
      <c r="Y3487" s="352"/>
      <c r="Z3487" s="352"/>
      <c r="AA3487" s="352"/>
      <c r="AB3487" s="352"/>
      <c r="AC3487" s="352"/>
      <c r="AD3487" s="352"/>
      <c r="AE3487" s="352"/>
      <c r="AF3487" s="352"/>
      <c r="AG3487" s="352"/>
      <c r="AH3487" s="352"/>
      <c r="AI3487" s="352"/>
      <c r="AJ3487" s="352"/>
    </row>
    <row r="3488" spans="2:36">
      <c r="B3488" s="352"/>
      <c r="C3488" s="352"/>
      <c r="D3488" s="352"/>
      <c r="E3488" s="352"/>
      <c r="F3488" s="352"/>
      <c r="H3488" s="352"/>
      <c r="J3488" s="352"/>
      <c r="L3488" s="352"/>
      <c r="M3488" s="352"/>
      <c r="N3488" s="352"/>
      <c r="O3488" s="352"/>
      <c r="P3488" s="352"/>
      <c r="Q3488" s="352"/>
      <c r="R3488" s="352"/>
      <c r="S3488" s="352"/>
      <c r="T3488" s="352"/>
      <c r="U3488" s="352"/>
      <c r="V3488" s="352"/>
      <c r="W3488" s="352"/>
      <c r="X3488" s="352"/>
      <c r="Y3488" s="352"/>
      <c r="Z3488" s="352"/>
      <c r="AA3488" s="352"/>
      <c r="AB3488" s="352"/>
      <c r="AC3488" s="352"/>
      <c r="AD3488" s="352"/>
      <c r="AE3488" s="352"/>
      <c r="AF3488" s="352"/>
      <c r="AG3488" s="352"/>
      <c r="AH3488" s="352"/>
      <c r="AI3488" s="352"/>
      <c r="AJ3488" s="352"/>
    </row>
    <row r="3489" spans="2:36">
      <c r="B3489" s="352"/>
      <c r="C3489" s="352"/>
      <c r="D3489" s="352"/>
      <c r="E3489" s="352"/>
      <c r="F3489" s="352"/>
      <c r="H3489" s="352"/>
      <c r="J3489" s="352"/>
      <c r="L3489" s="352"/>
      <c r="M3489" s="352"/>
      <c r="N3489" s="352"/>
      <c r="O3489" s="352"/>
      <c r="P3489" s="352"/>
      <c r="Q3489" s="352"/>
      <c r="R3489" s="352"/>
      <c r="S3489" s="352"/>
      <c r="T3489" s="352"/>
      <c r="U3489" s="352"/>
      <c r="V3489" s="352"/>
      <c r="W3489" s="352"/>
      <c r="X3489" s="352"/>
      <c r="Y3489" s="352"/>
      <c r="Z3489" s="352"/>
      <c r="AA3489" s="352"/>
      <c r="AB3489" s="352"/>
      <c r="AC3489" s="352"/>
      <c r="AD3489" s="352"/>
      <c r="AE3489" s="352"/>
      <c r="AF3489" s="352"/>
      <c r="AG3489" s="352"/>
      <c r="AH3489" s="352"/>
      <c r="AI3489" s="352"/>
      <c r="AJ3489" s="352"/>
    </row>
    <row r="3490" spans="2:36">
      <c r="B3490" s="352"/>
      <c r="C3490" s="352"/>
      <c r="D3490" s="352"/>
      <c r="E3490" s="352"/>
      <c r="F3490" s="352"/>
      <c r="H3490" s="352"/>
      <c r="J3490" s="352"/>
      <c r="L3490" s="352"/>
      <c r="M3490" s="352"/>
      <c r="N3490" s="352"/>
      <c r="O3490" s="352"/>
      <c r="P3490" s="352"/>
      <c r="Q3490" s="352"/>
      <c r="R3490" s="352"/>
      <c r="S3490" s="352"/>
      <c r="T3490" s="352"/>
      <c r="U3490" s="352"/>
      <c r="V3490" s="352"/>
      <c r="W3490" s="352"/>
      <c r="X3490" s="352"/>
      <c r="Y3490" s="352"/>
      <c r="Z3490" s="352"/>
      <c r="AA3490" s="352"/>
      <c r="AB3490" s="352"/>
      <c r="AC3490" s="352"/>
      <c r="AD3490" s="352"/>
      <c r="AE3490" s="352"/>
      <c r="AF3490" s="352"/>
      <c r="AG3490" s="352"/>
      <c r="AH3490" s="352"/>
      <c r="AI3490" s="352"/>
      <c r="AJ3490" s="352"/>
    </row>
    <row r="3491" spans="2:36">
      <c r="B3491" s="352"/>
      <c r="C3491" s="352"/>
      <c r="D3491" s="352"/>
      <c r="E3491" s="352"/>
      <c r="F3491" s="352"/>
      <c r="H3491" s="352"/>
      <c r="J3491" s="352"/>
      <c r="L3491" s="352"/>
      <c r="M3491" s="352"/>
      <c r="N3491" s="352"/>
      <c r="O3491" s="352"/>
      <c r="P3491" s="352"/>
      <c r="Q3491" s="352"/>
      <c r="R3491" s="352"/>
      <c r="S3491" s="352"/>
      <c r="T3491" s="352"/>
      <c r="U3491" s="352"/>
      <c r="V3491" s="352"/>
      <c r="W3491" s="352"/>
      <c r="X3491" s="352"/>
      <c r="Y3491" s="352"/>
      <c r="Z3491" s="352"/>
      <c r="AA3491" s="352"/>
      <c r="AB3491" s="352"/>
      <c r="AC3491" s="352"/>
      <c r="AD3491" s="352"/>
      <c r="AE3491" s="352"/>
      <c r="AF3491" s="352"/>
      <c r="AG3491" s="352"/>
      <c r="AH3491" s="352"/>
      <c r="AI3491" s="352"/>
      <c r="AJ3491" s="352"/>
    </row>
    <row r="3492" spans="2:36">
      <c r="B3492" s="352"/>
      <c r="C3492" s="352"/>
      <c r="D3492" s="352"/>
      <c r="E3492" s="352"/>
      <c r="F3492" s="352"/>
      <c r="H3492" s="352"/>
      <c r="J3492" s="352"/>
      <c r="L3492" s="352"/>
      <c r="M3492" s="352"/>
      <c r="N3492" s="352"/>
      <c r="O3492" s="352"/>
      <c r="P3492" s="352"/>
      <c r="Q3492" s="352"/>
      <c r="R3492" s="352"/>
      <c r="S3492" s="352"/>
      <c r="T3492" s="352"/>
      <c r="U3492" s="352"/>
      <c r="V3492" s="352"/>
      <c r="W3492" s="352"/>
      <c r="X3492" s="352"/>
      <c r="Y3492" s="352"/>
      <c r="Z3492" s="352"/>
      <c r="AA3492" s="352"/>
      <c r="AB3492" s="352"/>
      <c r="AC3492" s="352"/>
      <c r="AD3492" s="352"/>
      <c r="AE3492" s="352"/>
      <c r="AF3492" s="352"/>
      <c r="AG3492" s="352"/>
      <c r="AH3492" s="352"/>
      <c r="AI3492" s="352"/>
      <c r="AJ3492" s="352"/>
    </row>
    <row r="3493" spans="2:36">
      <c r="B3493" s="352"/>
      <c r="C3493" s="352"/>
      <c r="D3493" s="352"/>
      <c r="E3493" s="352"/>
      <c r="F3493" s="352"/>
      <c r="H3493" s="352"/>
      <c r="J3493" s="352"/>
      <c r="L3493" s="352"/>
      <c r="M3493" s="352"/>
      <c r="N3493" s="352"/>
      <c r="O3493" s="352"/>
      <c r="P3493" s="352"/>
      <c r="Q3493" s="352"/>
      <c r="R3493" s="352"/>
      <c r="S3493" s="352"/>
      <c r="T3493" s="352"/>
      <c r="U3493" s="352"/>
      <c r="V3493" s="352"/>
      <c r="W3493" s="352"/>
      <c r="X3493" s="352"/>
      <c r="Y3493" s="352"/>
      <c r="Z3493" s="352"/>
      <c r="AA3493" s="352"/>
      <c r="AB3493" s="352"/>
      <c r="AC3493" s="352"/>
      <c r="AD3493" s="352"/>
      <c r="AE3493" s="352"/>
      <c r="AF3493" s="352"/>
      <c r="AG3493" s="352"/>
      <c r="AH3493" s="352"/>
      <c r="AI3493" s="352"/>
      <c r="AJ3493" s="352"/>
    </row>
    <row r="3494" spans="2:36">
      <c r="B3494" s="352"/>
      <c r="C3494" s="352"/>
      <c r="D3494" s="352"/>
      <c r="E3494" s="352"/>
      <c r="F3494" s="352"/>
      <c r="H3494" s="352"/>
      <c r="J3494" s="352"/>
      <c r="L3494" s="352"/>
      <c r="M3494" s="352"/>
      <c r="N3494" s="352"/>
      <c r="O3494" s="352"/>
      <c r="P3494" s="352"/>
      <c r="Q3494" s="352"/>
      <c r="R3494" s="352"/>
      <c r="S3494" s="352"/>
      <c r="T3494" s="352"/>
      <c r="U3494" s="352"/>
      <c r="V3494" s="352"/>
      <c r="W3494" s="352"/>
      <c r="X3494" s="352"/>
      <c r="Y3494" s="352"/>
      <c r="Z3494" s="352"/>
      <c r="AA3494" s="352"/>
      <c r="AB3494" s="352"/>
      <c r="AC3494" s="352"/>
      <c r="AD3494" s="352"/>
      <c r="AE3494" s="352"/>
      <c r="AF3494" s="352"/>
      <c r="AG3494" s="352"/>
      <c r="AH3494" s="352"/>
      <c r="AI3494" s="352"/>
      <c r="AJ3494" s="352"/>
    </row>
    <row r="3495" spans="2:36">
      <c r="B3495" s="352"/>
      <c r="C3495" s="352"/>
      <c r="D3495" s="352"/>
      <c r="E3495" s="352"/>
      <c r="F3495" s="352"/>
      <c r="H3495" s="352"/>
      <c r="J3495" s="352"/>
      <c r="L3495" s="352"/>
      <c r="M3495" s="352"/>
      <c r="N3495" s="352"/>
      <c r="O3495" s="352"/>
      <c r="P3495" s="352"/>
      <c r="Q3495" s="352"/>
      <c r="R3495" s="352"/>
      <c r="S3495" s="352"/>
      <c r="T3495" s="352"/>
      <c r="U3495" s="352"/>
      <c r="V3495" s="352"/>
      <c r="W3495" s="352"/>
      <c r="X3495" s="352"/>
      <c r="Y3495" s="352"/>
      <c r="Z3495" s="352"/>
      <c r="AA3495" s="352"/>
      <c r="AB3495" s="352"/>
      <c r="AC3495" s="352"/>
      <c r="AD3495" s="352"/>
      <c r="AE3495" s="352"/>
      <c r="AF3495" s="352"/>
      <c r="AG3495" s="352"/>
      <c r="AH3495" s="352"/>
      <c r="AI3495" s="352"/>
      <c r="AJ3495" s="352"/>
    </row>
    <row r="3496" spans="2:36">
      <c r="B3496" s="352"/>
      <c r="C3496" s="352"/>
      <c r="D3496" s="352"/>
      <c r="E3496" s="352"/>
      <c r="F3496" s="352"/>
      <c r="H3496" s="352"/>
      <c r="J3496" s="352"/>
      <c r="L3496" s="352"/>
      <c r="M3496" s="352"/>
      <c r="N3496" s="352"/>
      <c r="O3496" s="352"/>
      <c r="P3496" s="352"/>
      <c r="Q3496" s="352"/>
      <c r="R3496" s="352"/>
      <c r="S3496" s="352"/>
      <c r="T3496" s="352"/>
      <c r="U3496" s="352"/>
      <c r="V3496" s="352"/>
      <c r="W3496" s="352"/>
      <c r="X3496" s="352"/>
      <c r="Y3496" s="352"/>
      <c r="Z3496" s="352"/>
      <c r="AA3496" s="352"/>
      <c r="AB3496" s="352"/>
      <c r="AC3496" s="352"/>
      <c r="AD3496" s="352"/>
      <c r="AE3496" s="352"/>
      <c r="AF3496" s="352"/>
      <c r="AG3496" s="352"/>
      <c r="AH3496" s="352"/>
      <c r="AI3496" s="352"/>
      <c r="AJ3496" s="352"/>
    </row>
    <row r="3497" spans="2:36">
      <c r="B3497" s="352"/>
      <c r="C3497" s="352"/>
      <c r="D3497" s="352"/>
      <c r="E3497" s="352"/>
      <c r="F3497" s="352"/>
      <c r="H3497" s="352"/>
      <c r="J3497" s="352"/>
      <c r="L3497" s="352"/>
      <c r="M3497" s="352"/>
      <c r="N3497" s="352"/>
      <c r="O3497" s="352"/>
      <c r="P3497" s="352"/>
      <c r="Q3497" s="352"/>
      <c r="R3497" s="352"/>
      <c r="S3497" s="352"/>
      <c r="T3497" s="352"/>
      <c r="U3497" s="352"/>
      <c r="V3497" s="352"/>
      <c r="W3497" s="352"/>
      <c r="X3497" s="352"/>
      <c r="Y3497" s="352"/>
      <c r="Z3497" s="352"/>
      <c r="AA3497" s="352"/>
      <c r="AB3497" s="352"/>
      <c r="AC3497" s="352"/>
      <c r="AD3497" s="352"/>
      <c r="AE3497" s="352"/>
      <c r="AF3497" s="352"/>
      <c r="AG3497" s="352"/>
      <c r="AH3497" s="352"/>
      <c r="AI3497" s="352"/>
      <c r="AJ3497" s="352"/>
    </row>
    <row r="3498" spans="2:36">
      <c r="B3498" s="352"/>
      <c r="C3498" s="352"/>
      <c r="D3498" s="352"/>
      <c r="E3498" s="352"/>
      <c r="F3498" s="352"/>
      <c r="H3498" s="352"/>
      <c r="J3498" s="352"/>
      <c r="L3498" s="352"/>
      <c r="M3498" s="352"/>
      <c r="N3498" s="352"/>
      <c r="O3498" s="352"/>
      <c r="P3498" s="352"/>
      <c r="Q3498" s="352"/>
      <c r="R3498" s="352"/>
      <c r="S3498" s="352"/>
      <c r="T3498" s="352"/>
      <c r="U3498" s="352"/>
      <c r="V3498" s="352"/>
      <c r="W3498" s="352"/>
      <c r="X3498" s="352"/>
      <c r="Y3498" s="352"/>
      <c r="Z3498" s="352"/>
      <c r="AA3498" s="352"/>
      <c r="AB3498" s="352"/>
      <c r="AC3498" s="352"/>
      <c r="AD3498" s="352"/>
      <c r="AE3498" s="352"/>
      <c r="AF3498" s="352"/>
      <c r="AG3498" s="352"/>
      <c r="AH3498" s="352"/>
      <c r="AI3498" s="352"/>
      <c r="AJ3498" s="352"/>
    </row>
    <row r="3499" spans="2:36">
      <c r="B3499" s="352"/>
      <c r="C3499" s="352"/>
      <c r="D3499" s="352"/>
      <c r="E3499" s="352"/>
      <c r="F3499" s="352"/>
      <c r="H3499" s="352"/>
      <c r="J3499" s="352"/>
      <c r="L3499" s="352"/>
      <c r="M3499" s="352"/>
      <c r="N3499" s="352"/>
      <c r="O3499" s="352"/>
      <c r="P3499" s="352"/>
      <c r="Q3499" s="352"/>
      <c r="R3499" s="352"/>
      <c r="S3499" s="352"/>
      <c r="T3499" s="352"/>
      <c r="U3499" s="352"/>
      <c r="V3499" s="352"/>
      <c r="W3499" s="352"/>
      <c r="X3499" s="352"/>
      <c r="Y3499" s="352"/>
      <c r="Z3499" s="352"/>
      <c r="AA3499" s="352"/>
      <c r="AB3499" s="352"/>
      <c r="AC3499" s="352"/>
      <c r="AD3499" s="352"/>
      <c r="AE3499" s="352"/>
      <c r="AF3499" s="352"/>
      <c r="AG3499" s="352"/>
      <c r="AH3499" s="352"/>
      <c r="AI3499" s="352"/>
      <c r="AJ3499" s="352"/>
    </row>
    <row r="3500" spans="2:36">
      <c r="B3500" s="352"/>
      <c r="C3500" s="352"/>
      <c r="D3500" s="352"/>
      <c r="E3500" s="352"/>
      <c r="F3500" s="352"/>
      <c r="H3500" s="352"/>
      <c r="J3500" s="352"/>
      <c r="L3500" s="352"/>
      <c r="M3500" s="352"/>
      <c r="N3500" s="352"/>
      <c r="O3500" s="352"/>
      <c r="P3500" s="352"/>
      <c r="Q3500" s="352"/>
      <c r="R3500" s="352"/>
      <c r="S3500" s="352"/>
      <c r="T3500" s="352"/>
      <c r="U3500" s="352"/>
      <c r="V3500" s="352"/>
      <c r="W3500" s="352"/>
      <c r="X3500" s="352"/>
      <c r="Y3500" s="352"/>
      <c r="Z3500" s="352"/>
      <c r="AA3500" s="352"/>
      <c r="AB3500" s="352"/>
      <c r="AC3500" s="352"/>
      <c r="AD3500" s="352"/>
      <c r="AE3500" s="352"/>
      <c r="AF3500" s="352"/>
      <c r="AG3500" s="352"/>
      <c r="AH3500" s="352"/>
      <c r="AI3500" s="352"/>
      <c r="AJ3500" s="352"/>
    </row>
    <row r="3501" spans="2:36">
      <c r="B3501" s="352"/>
      <c r="C3501" s="352"/>
      <c r="D3501" s="352"/>
      <c r="E3501" s="352"/>
      <c r="F3501" s="352"/>
      <c r="H3501" s="352"/>
      <c r="J3501" s="352"/>
      <c r="L3501" s="352"/>
      <c r="M3501" s="352"/>
      <c r="N3501" s="352"/>
      <c r="O3501" s="352"/>
      <c r="P3501" s="352"/>
      <c r="Q3501" s="352"/>
      <c r="R3501" s="352"/>
      <c r="S3501" s="352"/>
      <c r="T3501" s="352"/>
      <c r="U3501" s="352"/>
      <c r="V3501" s="352"/>
      <c r="W3501" s="352"/>
      <c r="X3501" s="352"/>
      <c r="Y3501" s="352"/>
      <c r="Z3501" s="352"/>
      <c r="AA3501" s="352"/>
      <c r="AB3501" s="352"/>
      <c r="AC3501" s="352"/>
      <c r="AD3501" s="352"/>
      <c r="AE3501" s="352"/>
      <c r="AF3501" s="352"/>
      <c r="AG3501" s="352"/>
      <c r="AH3501" s="352"/>
      <c r="AI3501" s="352"/>
      <c r="AJ3501" s="352"/>
    </row>
    <row r="3502" spans="2:36">
      <c r="B3502" s="352"/>
      <c r="C3502" s="352"/>
      <c r="D3502" s="352"/>
      <c r="E3502" s="352"/>
      <c r="F3502" s="352"/>
      <c r="H3502" s="352"/>
      <c r="J3502" s="352"/>
      <c r="L3502" s="352"/>
      <c r="M3502" s="352"/>
      <c r="N3502" s="352"/>
      <c r="O3502" s="352"/>
      <c r="P3502" s="352"/>
      <c r="Q3502" s="352"/>
      <c r="R3502" s="352"/>
      <c r="S3502" s="352"/>
      <c r="T3502" s="352"/>
      <c r="U3502" s="352"/>
      <c r="V3502" s="352"/>
      <c r="W3502" s="352"/>
      <c r="X3502" s="352"/>
      <c r="Y3502" s="352"/>
      <c r="Z3502" s="352"/>
      <c r="AA3502" s="352"/>
      <c r="AB3502" s="352"/>
      <c r="AC3502" s="352"/>
      <c r="AD3502" s="352"/>
      <c r="AE3502" s="352"/>
      <c r="AF3502" s="352"/>
      <c r="AG3502" s="352"/>
      <c r="AH3502" s="352"/>
      <c r="AI3502" s="352"/>
      <c r="AJ3502" s="352"/>
    </row>
    <row r="3503" spans="2:36">
      <c r="B3503" s="352"/>
      <c r="C3503" s="352"/>
      <c r="D3503" s="352"/>
      <c r="E3503" s="352"/>
      <c r="F3503" s="352"/>
      <c r="H3503" s="352"/>
      <c r="J3503" s="352"/>
      <c r="L3503" s="352"/>
      <c r="M3503" s="352"/>
      <c r="N3503" s="352"/>
      <c r="O3503" s="352"/>
      <c r="P3503" s="352"/>
      <c r="Q3503" s="352"/>
      <c r="R3503" s="352"/>
      <c r="S3503" s="352"/>
      <c r="T3503" s="352"/>
      <c r="U3503" s="352"/>
      <c r="V3503" s="352"/>
      <c r="W3503" s="352"/>
      <c r="X3503" s="352"/>
      <c r="Y3503" s="352"/>
      <c r="Z3503" s="352"/>
      <c r="AA3503" s="352"/>
      <c r="AB3503" s="352"/>
      <c r="AC3503" s="352"/>
      <c r="AD3503" s="352"/>
      <c r="AE3503" s="352"/>
      <c r="AF3503" s="352"/>
      <c r="AG3503" s="352"/>
      <c r="AH3503" s="352"/>
      <c r="AI3503" s="352"/>
      <c r="AJ3503" s="352"/>
    </row>
    <row r="3504" spans="2:36">
      <c r="B3504" s="352"/>
      <c r="C3504" s="352"/>
      <c r="D3504" s="352"/>
      <c r="E3504" s="352"/>
      <c r="F3504" s="352"/>
      <c r="H3504" s="352"/>
      <c r="J3504" s="352"/>
      <c r="L3504" s="352"/>
      <c r="M3504" s="352"/>
      <c r="N3504" s="352"/>
      <c r="O3504" s="352"/>
      <c r="P3504" s="352"/>
      <c r="Q3504" s="352"/>
      <c r="R3504" s="352"/>
      <c r="S3504" s="352"/>
      <c r="T3504" s="352"/>
      <c r="U3504" s="352"/>
      <c r="V3504" s="352"/>
      <c r="W3504" s="352"/>
      <c r="X3504" s="352"/>
      <c r="Y3504" s="352"/>
      <c r="Z3504" s="352"/>
      <c r="AA3504" s="352"/>
      <c r="AB3504" s="352"/>
      <c r="AC3504" s="352"/>
      <c r="AD3504" s="352"/>
      <c r="AE3504" s="352"/>
      <c r="AF3504" s="352"/>
      <c r="AG3504" s="352"/>
      <c r="AH3504" s="352"/>
      <c r="AI3504" s="352"/>
      <c r="AJ3504" s="352"/>
    </row>
    <row r="3505" spans="2:36">
      <c r="B3505" s="352"/>
      <c r="C3505" s="352"/>
      <c r="D3505" s="352"/>
      <c r="E3505" s="352"/>
      <c r="F3505" s="352"/>
      <c r="H3505" s="352"/>
      <c r="J3505" s="352"/>
      <c r="L3505" s="352"/>
      <c r="M3505" s="352"/>
      <c r="N3505" s="352"/>
      <c r="O3505" s="352"/>
      <c r="P3505" s="352"/>
      <c r="Q3505" s="352"/>
      <c r="R3505" s="352"/>
      <c r="S3505" s="352"/>
      <c r="T3505" s="352"/>
      <c r="U3505" s="352"/>
      <c r="V3505" s="352"/>
      <c r="W3505" s="352"/>
      <c r="X3505" s="352"/>
      <c r="Y3505" s="352"/>
      <c r="Z3505" s="352"/>
      <c r="AA3505" s="352"/>
      <c r="AB3505" s="352"/>
      <c r="AC3505" s="352"/>
      <c r="AD3505" s="352"/>
      <c r="AE3505" s="352"/>
      <c r="AF3505" s="352"/>
      <c r="AG3505" s="352"/>
      <c r="AH3505" s="352"/>
      <c r="AI3505" s="352"/>
      <c r="AJ3505" s="352"/>
    </row>
    <row r="3506" spans="2:36">
      <c r="B3506" s="352"/>
      <c r="C3506" s="352"/>
      <c r="D3506" s="352"/>
      <c r="E3506" s="352"/>
      <c r="F3506" s="352"/>
      <c r="H3506" s="352"/>
      <c r="J3506" s="352"/>
      <c r="L3506" s="352"/>
      <c r="M3506" s="352"/>
      <c r="N3506" s="352"/>
      <c r="O3506" s="352"/>
      <c r="P3506" s="352"/>
      <c r="Q3506" s="352"/>
      <c r="R3506" s="352"/>
      <c r="S3506" s="352"/>
      <c r="T3506" s="352"/>
      <c r="U3506" s="352"/>
      <c r="V3506" s="352"/>
      <c r="W3506" s="352"/>
      <c r="X3506" s="352"/>
      <c r="Y3506" s="352"/>
      <c r="Z3506" s="352"/>
      <c r="AA3506" s="352"/>
      <c r="AB3506" s="352"/>
      <c r="AC3506" s="352"/>
      <c r="AD3506" s="352"/>
      <c r="AE3506" s="352"/>
      <c r="AF3506" s="352"/>
      <c r="AG3506" s="352"/>
      <c r="AH3506" s="352"/>
      <c r="AI3506" s="352"/>
      <c r="AJ3506" s="352"/>
    </row>
    <row r="3507" spans="2:36">
      <c r="B3507" s="352"/>
      <c r="C3507" s="352"/>
      <c r="D3507" s="352"/>
      <c r="E3507" s="352"/>
      <c r="F3507" s="352"/>
      <c r="H3507" s="352"/>
      <c r="J3507" s="352"/>
      <c r="L3507" s="352"/>
      <c r="M3507" s="352"/>
      <c r="N3507" s="352"/>
      <c r="O3507" s="352"/>
      <c r="P3507" s="352"/>
      <c r="Q3507" s="352"/>
      <c r="R3507" s="352"/>
      <c r="S3507" s="352"/>
      <c r="T3507" s="352"/>
      <c r="U3507" s="352"/>
      <c r="V3507" s="352"/>
      <c r="W3507" s="352"/>
      <c r="X3507" s="352"/>
      <c r="Y3507" s="352"/>
      <c r="Z3507" s="352"/>
      <c r="AA3507" s="352"/>
      <c r="AB3507" s="352"/>
      <c r="AC3507" s="352"/>
      <c r="AD3507" s="352"/>
      <c r="AE3507" s="352"/>
      <c r="AF3507" s="352"/>
      <c r="AG3507" s="352"/>
      <c r="AH3507" s="352"/>
      <c r="AI3507" s="352"/>
      <c r="AJ3507" s="352"/>
    </row>
    <row r="3508" spans="2:36">
      <c r="B3508" s="352"/>
      <c r="C3508" s="352"/>
      <c r="D3508" s="352"/>
      <c r="E3508" s="352"/>
      <c r="F3508" s="352"/>
      <c r="H3508" s="352"/>
      <c r="J3508" s="352"/>
      <c r="L3508" s="352"/>
      <c r="M3508" s="352"/>
      <c r="N3508" s="352"/>
      <c r="O3508" s="352"/>
      <c r="P3508" s="352"/>
      <c r="Q3508" s="352"/>
      <c r="R3508" s="352"/>
      <c r="S3508" s="352"/>
      <c r="T3508" s="352"/>
      <c r="U3508" s="352"/>
      <c r="V3508" s="352"/>
      <c r="W3508" s="352"/>
      <c r="X3508" s="352"/>
      <c r="Y3508" s="352"/>
      <c r="Z3508" s="352"/>
      <c r="AA3508" s="352"/>
      <c r="AB3508" s="352"/>
      <c r="AC3508" s="352"/>
      <c r="AD3508" s="352"/>
      <c r="AE3508" s="352"/>
      <c r="AF3508" s="352"/>
      <c r="AG3508" s="352"/>
      <c r="AH3508" s="352"/>
      <c r="AI3508" s="352"/>
      <c r="AJ3508" s="352"/>
    </row>
    <row r="3509" spans="2:36">
      <c r="B3509" s="352"/>
      <c r="C3509" s="352"/>
      <c r="D3509" s="352"/>
      <c r="E3509" s="352"/>
      <c r="F3509" s="352"/>
      <c r="H3509" s="352"/>
      <c r="J3509" s="352"/>
      <c r="L3509" s="352"/>
      <c r="M3509" s="352"/>
      <c r="N3509" s="352"/>
      <c r="O3509" s="352"/>
      <c r="P3509" s="352"/>
      <c r="Q3509" s="352"/>
      <c r="R3509" s="352"/>
      <c r="S3509" s="352"/>
      <c r="T3509" s="352"/>
      <c r="U3509" s="352"/>
      <c r="V3509" s="352"/>
      <c r="W3509" s="352"/>
      <c r="X3509" s="352"/>
      <c r="Y3509" s="352"/>
      <c r="Z3509" s="352"/>
      <c r="AA3509" s="352"/>
      <c r="AB3509" s="352"/>
      <c r="AC3509" s="352"/>
      <c r="AD3509" s="352"/>
      <c r="AE3509" s="352"/>
      <c r="AF3509" s="352"/>
      <c r="AG3509" s="352"/>
      <c r="AH3509" s="352"/>
      <c r="AI3509" s="352"/>
      <c r="AJ3509" s="352"/>
    </row>
    <row r="3510" spans="2:36">
      <c r="B3510" s="352"/>
      <c r="C3510" s="352"/>
      <c r="D3510" s="352"/>
      <c r="E3510" s="352"/>
      <c r="F3510" s="352"/>
      <c r="H3510" s="352"/>
      <c r="J3510" s="352"/>
      <c r="L3510" s="352"/>
      <c r="M3510" s="352"/>
      <c r="N3510" s="352"/>
      <c r="O3510" s="352"/>
      <c r="P3510" s="352"/>
      <c r="Q3510" s="352"/>
      <c r="R3510" s="352"/>
      <c r="S3510" s="352"/>
      <c r="T3510" s="352"/>
      <c r="U3510" s="352"/>
      <c r="V3510" s="352"/>
      <c r="W3510" s="352"/>
      <c r="X3510" s="352"/>
      <c r="Y3510" s="352"/>
      <c r="Z3510" s="352"/>
      <c r="AA3510" s="352"/>
      <c r="AB3510" s="352"/>
      <c r="AC3510" s="352"/>
      <c r="AD3510" s="352"/>
      <c r="AE3510" s="352"/>
      <c r="AF3510" s="352"/>
      <c r="AG3510" s="352"/>
      <c r="AH3510" s="352"/>
      <c r="AI3510" s="352"/>
      <c r="AJ3510" s="352"/>
    </row>
    <row r="3511" spans="2:36">
      <c r="B3511" s="352"/>
      <c r="C3511" s="352"/>
      <c r="D3511" s="352"/>
      <c r="E3511" s="352"/>
      <c r="F3511" s="352"/>
      <c r="H3511" s="352"/>
      <c r="J3511" s="352"/>
      <c r="L3511" s="352"/>
      <c r="M3511" s="352"/>
      <c r="N3511" s="352"/>
      <c r="O3511" s="352"/>
      <c r="P3511" s="352"/>
      <c r="Q3511" s="352"/>
      <c r="R3511" s="352"/>
      <c r="S3511" s="352"/>
      <c r="T3511" s="352"/>
      <c r="U3511" s="352"/>
      <c r="V3511" s="352"/>
      <c r="W3511" s="352"/>
      <c r="X3511" s="352"/>
      <c r="Y3511" s="352"/>
      <c r="Z3511" s="352"/>
      <c r="AA3511" s="352"/>
      <c r="AB3511" s="352"/>
      <c r="AC3511" s="352"/>
      <c r="AD3511" s="352"/>
      <c r="AE3511" s="352"/>
      <c r="AF3511" s="352"/>
      <c r="AG3511" s="352"/>
      <c r="AH3511" s="352"/>
      <c r="AI3511" s="352"/>
      <c r="AJ3511" s="352"/>
    </row>
    <row r="3512" spans="2:36">
      <c r="B3512" s="352"/>
      <c r="C3512" s="352"/>
      <c r="D3512" s="352"/>
      <c r="E3512" s="352"/>
      <c r="F3512" s="352"/>
      <c r="H3512" s="352"/>
      <c r="J3512" s="352"/>
      <c r="L3512" s="352"/>
      <c r="M3512" s="352"/>
      <c r="N3512" s="352"/>
      <c r="O3512" s="352"/>
      <c r="P3512" s="352"/>
      <c r="Q3512" s="352"/>
      <c r="R3512" s="352"/>
      <c r="S3512" s="352"/>
      <c r="T3512" s="352"/>
      <c r="U3512" s="352"/>
      <c r="V3512" s="352"/>
      <c r="W3512" s="352"/>
      <c r="X3512" s="352"/>
      <c r="Y3512" s="352"/>
      <c r="Z3512" s="352"/>
      <c r="AA3512" s="352"/>
      <c r="AB3512" s="352"/>
      <c r="AC3512" s="352"/>
      <c r="AD3512" s="352"/>
      <c r="AE3512" s="352"/>
      <c r="AF3512" s="352"/>
      <c r="AG3512" s="352"/>
      <c r="AH3512" s="352"/>
      <c r="AI3512" s="352"/>
      <c r="AJ3512" s="352"/>
    </row>
    <row r="3513" spans="2:36">
      <c r="B3513" s="352"/>
      <c r="C3513" s="352"/>
      <c r="D3513" s="352"/>
      <c r="E3513" s="352"/>
      <c r="F3513" s="352"/>
      <c r="H3513" s="352"/>
      <c r="J3513" s="352"/>
      <c r="L3513" s="352"/>
      <c r="M3513" s="352"/>
      <c r="N3513" s="352"/>
      <c r="O3513" s="352"/>
      <c r="P3513" s="352"/>
      <c r="Q3513" s="352"/>
      <c r="R3513" s="352"/>
      <c r="S3513" s="352"/>
      <c r="T3513" s="352"/>
      <c r="U3513" s="352"/>
      <c r="V3513" s="352"/>
      <c r="W3513" s="352"/>
      <c r="X3513" s="352"/>
      <c r="Y3513" s="352"/>
      <c r="Z3513" s="352"/>
      <c r="AA3513" s="352"/>
      <c r="AB3513" s="352"/>
      <c r="AC3513" s="352"/>
      <c r="AD3513" s="352"/>
      <c r="AE3513" s="352"/>
      <c r="AF3513" s="352"/>
      <c r="AG3513" s="352"/>
      <c r="AH3513" s="352"/>
      <c r="AI3513" s="352"/>
      <c r="AJ3513" s="352"/>
    </row>
    <row r="3514" spans="2:36">
      <c r="B3514" s="352"/>
      <c r="C3514" s="352"/>
      <c r="D3514" s="352"/>
      <c r="E3514" s="352"/>
      <c r="F3514" s="352"/>
      <c r="H3514" s="352"/>
      <c r="J3514" s="352"/>
      <c r="L3514" s="352"/>
      <c r="M3514" s="352"/>
      <c r="N3514" s="352"/>
      <c r="O3514" s="352"/>
      <c r="P3514" s="352"/>
      <c r="Q3514" s="352"/>
      <c r="R3514" s="352"/>
      <c r="S3514" s="352"/>
      <c r="T3514" s="352"/>
      <c r="U3514" s="352"/>
      <c r="V3514" s="352"/>
      <c r="W3514" s="352"/>
      <c r="X3514" s="352"/>
      <c r="Y3514" s="352"/>
      <c r="Z3514" s="352"/>
      <c r="AA3514" s="352"/>
      <c r="AB3514" s="352"/>
      <c r="AC3514" s="352"/>
      <c r="AD3514" s="352"/>
      <c r="AE3514" s="352"/>
      <c r="AF3514" s="352"/>
      <c r="AG3514" s="352"/>
      <c r="AH3514" s="352"/>
      <c r="AI3514" s="352"/>
      <c r="AJ3514" s="352"/>
    </row>
    <row r="3515" spans="2:36">
      <c r="B3515" s="352"/>
      <c r="C3515" s="352"/>
      <c r="D3515" s="352"/>
      <c r="E3515" s="352"/>
      <c r="F3515" s="352"/>
      <c r="H3515" s="352"/>
      <c r="J3515" s="352"/>
      <c r="L3515" s="352"/>
      <c r="M3515" s="352"/>
      <c r="N3515" s="352"/>
      <c r="O3515" s="352"/>
      <c r="P3515" s="352"/>
      <c r="Q3515" s="352"/>
      <c r="R3515" s="352"/>
      <c r="S3515" s="352"/>
      <c r="T3515" s="352"/>
      <c r="U3515" s="352"/>
      <c r="V3515" s="352"/>
      <c r="W3515" s="352"/>
      <c r="X3515" s="352"/>
      <c r="Y3515" s="352"/>
      <c r="Z3515" s="352"/>
      <c r="AA3515" s="352"/>
      <c r="AB3515" s="352"/>
      <c r="AC3515" s="352"/>
      <c r="AD3515" s="352"/>
      <c r="AE3515" s="352"/>
      <c r="AF3515" s="352"/>
      <c r="AG3515" s="352"/>
      <c r="AH3515" s="352"/>
      <c r="AI3515" s="352"/>
      <c r="AJ3515" s="352"/>
    </row>
    <row r="3516" spans="2:36">
      <c r="B3516" s="352"/>
      <c r="C3516" s="352"/>
      <c r="D3516" s="352"/>
      <c r="E3516" s="352"/>
      <c r="F3516" s="352"/>
      <c r="H3516" s="352"/>
      <c r="J3516" s="352"/>
      <c r="L3516" s="352"/>
      <c r="M3516" s="352"/>
      <c r="N3516" s="352"/>
      <c r="O3516" s="352"/>
      <c r="P3516" s="352"/>
      <c r="Q3516" s="352"/>
      <c r="R3516" s="352"/>
      <c r="S3516" s="352"/>
      <c r="T3516" s="352"/>
      <c r="U3516" s="352"/>
      <c r="V3516" s="352"/>
      <c r="W3516" s="352"/>
      <c r="X3516" s="352"/>
      <c r="Y3516" s="352"/>
      <c r="Z3516" s="352"/>
      <c r="AA3516" s="352"/>
      <c r="AB3516" s="352"/>
      <c r="AC3516" s="352"/>
      <c r="AD3516" s="352"/>
      <c r="AE3516" s="352"/>
      <c r="AF3516" s="352"/>
      <c r="AG3516" s="352"/>
      <c r="AH3516" s="352"/>
      <c r="AI3516" s="352"/>
      <c r="AJ3516" s="352"/>
    </row>
    <row r="3517" spans="2:36">
      <c r="B3517" s="352"/>
      <c r="C3517" s="352"/>
      <c r="D3517" s="352"/>
      <c r="E3517" s="352"/>
      <c r="F3517" s="352"/>
      <c r="H3517" s="352"/>
      <c r="J3517" s="352"/>
      <c r="L3517" s="352"/>
      <c r="M3517" s="352"/>
      <c r="N3517" s="352"/>
      <c r="O3517" s="352"/>
      <c r="P3517" s="352"/>
      <c r="Q3517" s="352"/>
      <c r="R3517" s="352"/>
      <c r="S3517" s="352"/>
      <c r="T3517" s="352"/>
      <c r="U3517" s="352"/>
      <c r="V3517" s="352"/>
      <c r="W3517" s="352"/>
      <c r="X3517" s="352"/>
      <c r="Y3517" s="352"/>
      <c r="Z3517" s="352"/>
      <c r="AA3517" s="352"/>
      <c r="AB3517" s="352"/>
      <c r="AC3517" s="352"/>
      <c r="AD3517" s="352"/>
      <c r="AE3517" s="352"/>
      <c r="AF3517" s="352"/>
      <c r="AG3517" s="352"/>
      <c r="AH3517" s="352"/>
      <c r="AI3517" s="352"/>
      <c r="AJ3517" s="352"/>
    </row>
    <row r="3518" spans="2:36">
      <c r="B3518" s="352"/>
      <c r="C3518" s="352"/>
      <c r="D3518" s="352"/>
      <c r="E3518" s="352"/>
      <c r="F3518" s="352"/>
      <c r="H3518" s="352"/>
      <c r="J3518" s="352"/>
      <c r="L3518" s="352"/>
      <c r="M3518" s="352"/>
      <c r="N3518" s="352"/>
      <c r="O3518" s="352"/>
      <c r="P3518" s="352"/>
      <c r="Q3518" s="352"/>
      <c r="R3518" s="352"/>
      <c r="S3518" s="352"/>
      <c r="T3518" s="352"/>
      <c r="U3518" s="352"/>
      <c r="V3518" s="352"/>
      <c r="W3518" s="352"/>
      <c r="X3518" s="352"/>
      <c r="Y3518" s="352"/>
      <c r="Z3518" s="352"/>
      <c r="AA3518" s="352"/>
      <c r="AB3518" s="352"/>
      <c r="AC3518" s="352"/>
      <c r="AD3518" s="352"/>
      <c r="AE3518" s="352"/>
      <c r="AF3518" s="352"/>
      <c r="AG3518" s="352"/>
      <c r="AH3518" s="352"/>
      <c r="AI3518" s="352"/>
      <c r="AJ3518" s="352"/>
    </row>
    <row r="3519" spans="2:36">
      <c r="B3519" s="352"/>
      <c r="C3519" s="352"/>
      <c r="D3519" s="352"/>
      <c r="E3519" s="352"/>
      <c r="F3519" s="352"/>
      <c r="H3519" s="352"/>
      <c r="J3519" s="352"/>
      <c r="L3519" s="352"/>
      <c r="M3519" s="352"/>
      <c r="N3519" s="352"/>
      <c r="O3519" s="352"/>
      <c r="P3519" s="352"/>
      <c r="Q3519" s="352"/>
      <c r="R3519" s="352"/>
      <c r="S3519" s="352"/>
      <c r="T3519" s="352"/>
      <c r="U3519" s="352"/>
      <c r="V3519" s="352"/>
      <c r="W3519" s="352"/>
      <c r="X3519" s="352"/>
      <c r="Y3519" s="352"/>
      <c r="Z3519" s="352"/>
      <c r="AA3519" s="352"/>
      <c r="AB3519" s="352"/>
      <c r="AC3519" s="352"/>
      <c r="AD3519" s="352"/>
      <c r="AE3519" s="352"/>
      <c r="AF3519" s="352"/>
      <c r="AG3519" s="352"/>
      <c r="AH3519" s="352"/>
      <c r="AI3519" s="352"/>
      <c r="AJ3519" s="352"/>
    </row>
    <row r="3520" spans="2:36">
      <c r="B3520" s="352"/>
      <c r="C3520" s="352"/>
      <c r="D3520" s="352"/>
      <c r="E3520" s="352"/>
      <c r="F3520" s="352"/>
      <c r="H3520" s="352"/>
      <c r="J3520" s="352"/>
      <c r="L3520" s="352"/>
      <c r="M3520" s="352"/>
      <c r="N3520" s="352"/>
      <c r="O3520" s="352"/>
      <c r="P3520" s="352"/>
      <c r="Q3520" s="352"/>
      <c r="R3520" s="352"/>
      <c r="S3520" s="352"/>
      <c r="T3520" s="352"/>
      <c r="U3520" s="352"/>
      <c r="V3520" s="352"/>
      <c r="W3520" s="352"/>
      <c r="X3520" s="352"/>
      <c r="Y3520" s="352"/>
      <c r="Z3520" s="352"/>
      <c r="AA3520" s="352"/>
      <c r="AB3520" s="352"/>
      <c r="AC3520" s="352"/>
      <c r="AD3520" s="352"/>
      <c r="AE3520" s="352"/>
      <c r="AF3520" s="352"/>
      <c r="AG3520" s="352"/>
      <c r="AH3520" s="352"/>
      <c r="AI3520" s="352"/>
      <c r="AJ3520" s="352"/>
    </row>
    <row r="3521" spans="2:36">
      <c r="B3521" s="352"/>
      <c r="C3521" s="352"/>
      <c r="D3521" s="352"/>
      <c r="E3521" s="352"/>
      <c r="F3521" s="352"/>
      <c r="H3521" s="352"/>
      <c r="J3521" s="352"/>
      <c r="L3521" s="352"/>
      <c r="M3521" s="352"/>
      <c r="N3521" s="352"/>
      <c r="O3521" s="352"/>
      <c r="P3521" s="352"/>
      <c r="Q3521" s="352"/>
      <c r="R3521" s="352"/>
      <c r="S3521" s="352"/>
      <c r="T3521" s="352"/>
      <c r="U3521" s="352"/>
      <c r="V3521" s="352"/>
      <c r="W3521" s="352"/>
      <c r="X3521" s="352"/>
      <c r="Y3521" s="352"/>
      <c r="Z3521" s="352"/>
      <c r="AA3521" s="352"/>
      <c r="AB3521" s="352"/>
      <c r="AC3521" s="352"/>
      <c r="AD3521" s="352"/>
      <c r="AE3521" s="352"/>
      <c r="AF3521" s="352"/>
      <c r="AG3521" s="352"/>
      <c r="AH3521" s="352"/>
      <c r="AI3521" s="352"/>
      <c r="AJ3521" s="352"/>
    </row>
    <row r="3522" spans="2:36">
      <c r="B3522" s="352"/>
      <c r="C3522" s="352"/>
      <c r="D3522" s="352"/>
      <c r="E3522" s="352"/>
      <c r="F3522" s="352"/>
      <c r="H3522" s="352"/>
      <c r="J3522" s="352"/>
      <c r="L3522" s="352"/>
      <c r="M3522" s="352"/>
      <c r="N3522" s="352"/>
      <c r="O3522" s="352"/>
      <c r="P3522" s="352"/>
      <c r="Q3522" s="352"/>
      <c r="R3522" s="352"/>
      <c r="S3522" s="352"/>
      <c r="T3522" s="352"/>
      <c r="U3522" s="352"/>
      <c r="V3522" s="352"/>
      <c r="W3522" s="352"/>
      <c r="X3522" s="352"/>
      <c r="Y3522" s="352"/>
      <c r="Z3522" s="352"/>
      <c r="AA3522" s="352"/>
      <c r="AB3522" s="352"/>
      <c r="AC3522" s="352"/>
      <c r="AD3522" s="352"/>
      <c r="AE3522" s="352"/>
      <c r="AF3522" s="352"/>
      <c r="AG3522" s="352"/>
      <c r="AH3522" s="352"/>
      <c r="AI3522" s="352"/>
      <c r="AJ3522" s="352"/>
    </row>
    <row r="3523" spans="2:36">
      <c r="B3523" s="352"/>
      <c r="C3523" s="352"/>
      <c r="D3523" s="352"/>
      <c r="E3523" s="352"/>
      <c r="F3523" s="352"/>
      <c r="H3523" s="352"/>
      <c r="J3523" s="352"/>
      <c r="L3523" s="352"/>
      <c r="M3523" s="352"/>
      <c r="N3523" s="352"/>
      <c r="O3523" s="352"/>
      <c r="P3523" s="352"/>
      <c r="Q3523" s="352"/>
      <c r="R3523" s="352"/>
      <c r="S3523" s="352"/>
      <c r="T3523" s="352"/>
      <c r="U3523" s="352"/>
      <c r="V3523" s="352"/>
      <c r="W3523" s="352"/>
      <c r="X3523" s="352"/>
      <c r="Y3523" s="352"/>
      <c r="Z3523" s="352"/>
      <c r="AA3523" s="352"/>
      <c r="AB3523" s="352"/>
      <c r="AC3523" s="352"/>
      <c r="AD3523" s="352"/>
      <c r="AE3523" s="352"/>
      <c r="AF3523" s="352"/>
      <c r="AG3523" s="352"/>
      <c r="AH3523" s="352"/>
      <c r="AI3523" s="352"/>
      <c r="AJ3523" s="352"/>
    </row>
    <row r="3524" spans="2:36">
      <c r="B3524" s="352"/>
      <c r="C3524" s="352"/>
      <c r="D3524" s="352"/>
      <c r="E3524" s="352"/>
      <c r="F3524" s="352"/>
      <c r="H3524" s="352"/>
      <c r="J3524" s="352"/>
      <c r="L3524" s="352"/>
      <c r="M3524" s="352"/>
      <c r="N3524" s="352"/>
      <c r="O3524" s="352"/>
      <c r="P3524" s="352"/>
      <c r="Q3524" s="352"/>
      <c r="R3524" s="352"/>
      <c r="S3524" s="352"/>
      <c r="T3524" s="352"/>
      <c r="U3524" s="352"/>
      <c r="V3524" s="352"/>
      <c r="W3524" s="352"/>
      <c r="X3524" s="352"/>
      <c r="Y3524" s="352"/>
      <c r="Z3524" s="352"/>
      <c r="AA3524" s="352"/>
      <c r="AB3524" s="352"/>
      <c r="AC3524" s="352"/>
      <c r="AD3524" s="352"/>
      <c r="AE3524" s="352"/>
      <c r="AF3524" s="352"/>
      <c r="AG3524" s="352"/>
      <c r="AH3524" s="352"/>
      <c r="AI3524" s="352"/>
      <c r="AJ3524" s="352"/>
    </row>
    <row r="3525" spans="2:36">
      <c r="B3525" s="352"/>
      <c r="C3525" s="352"/>
      <c r="D3525" s="352"/>
      <c r="E3525" s="352"/>
      <c r="F3525" s="352"/>
      <c r="H3525" s="352"/>
      <c r="J3525" s="352"/>
      <c r="L3525" s="352"/>
      <c r="M3525" s="352"/>
      <c r="N3525" s="352"/>
      <c r="O3525" s="352"/>
      <c r="P3525" s="352"/>
      <c r="Q3525" s="352"/>
      <c r="R3525" s="352"/>
      <c r="S3525" s="352"/>
      <c r="T3525" s="352"/>
      <c r="U3525" s="352"/>
      <c r="V3525" s="352"/>
      <c r="W3525" s="352"/>
      <c r="X3525" s="352"/>
      <c r="Y3525" s="352"/>
      <c r="Z3525" s="352"/>
      <c r="AA3525" s="352"/>
      <c r="AB3525" s="352"/>
      <c r="AC3525" s="352"/>
      <c r="AD3525" s="352"/>
      <c r="AE3525" s="352"/>
      <c r="AF3525" s="352"/>
      <c r="AG3525" s="352"/>
      <c r="AH3525" s="352"/>
      <c r="AI3525" s="352"/>
      <c r="AJ3525" s="352"/>
    </row>
    <row r="3526" spans="2:36">
      <c r="B3526" s="352"/>
      <c r="C3526" s="352"/>
      <c r="D3526" s="352"/>
      <c r="E3526" s="352"/>
      <c r="F3526" s="352"/>
      <c r="H3526" s="352"/>
      <c r="J3526" s="352"/>
      <c r="L3526" s="352"/>
      <c r="M3526" s="352"/>
      <c r="N3526" s="352"/>
      <c r="O3526" s="352"/>
      <c r="P3526" s="352"/>
      <c r="Q3526" s="352"/>
      <c r="R3526" s="352"/>
      <c r="S3526" s="352"/>
      <c r="T3526" s="352"/>
      <c r="U3526" s="352"/>
      <c r="V3526" s="352"/>
      <c r="W3526" s="352"/>
      <c r="X3526" s="352"/>
      <c r="Y3526" s="352"/>
      <c r="Z3526" s="352"/>
      <c r="AA3526" s="352"/>
      <c r="AB3526" s="352"/>
      <c r="AC3526" s="352"/>
      <c r="AD3526" s="352"/>
      <c r="AE3526" s="352"/>
      <c r="AF3526" s="352"/>
      <c r="AG3526" s="352"/>
      <c r="AH3526" s="352"/>
      <c r="AI3526" s="352"/>
      <c r="AJ3526" s="352"/>
    </row>
    <row r="3527" spans="2:36">
      <c r="B3527" s="352"/>
      <c r="C3527" s="352"/>
      <c r="D3527" s="352"/>
      <c r="E3527" s="352"/>
      <c r="F3527" s="352"/>
      <c r="H3527" s="352"/>
      <c r="J3527" s="352"/>
      <c r="L3527" s="352"/>
      <c r="M3527" s="352"/>
      <c r="N3527" s="352"/>
      <c r="O3527" s="352"/>
      <c r="P3527" s="352"/>
      <c r="Q3527" s="352"/>
      <c r="R3527" s="352"/>
      <c r="S3527" s="352"/>
      <c r="T3527" s="352"/>
      <c r="U3527" s="352"/>
      <c r="V3527" s="352"/>
      <c r="W3527" s="352"/>
      <c r="X3527" s="352"/>
      <c r="Y3527" s="352"/>
      <c r="Z3527" s="352"/>
      <c r="AA3527" s="352"/>
      <c r="AB3527" s="352"/>
      <c r="AC3527" s="352"/>
      <c r="AD3527" s="352"/>
      <c r="AE3527" s="352"/>
      <c r="AF3527" s="352"/>
      <c r="AG3527" s="352"/>
      <c r="AH3527" s="352"/>
      <c r="AI3527" s="352"/>
      <c r="AJ3527" s="352"/>
    </row>
    <row r="3528" spans="2:36">
      <c r="B3528" s="352"/>
      <c r="C3528" s="352"/>
      <c r="D3528" s="352"/>
      <c r="E3528" s="352"/>
      <c r="F3528" s="352"/>
      <c r="H3528" s="352"/>
      <c r="J3528" s="352"/>
      <c r="L3528" s="352"/>
      <c r="M3528" s="352"/>
      <c r="N3528" s="352"/>
      <c r="O3528" s="352"/>
      <c r="P3528" s="352"/>
      <c r="Q3528" s="352"/>
      <c r="R3528" s="352"/>
      <c r="S3528" s="352"/>
      <c r="T3528" s="352"/>
      <c r="U3528" s="352"/>
      <c r="V3528" s="352"/>
      <c r="W3528" s="352"/>
      <c r="X3528" s="352"/>
      <c r="Y3528" s="352"/>
      <c r="Z3528" s="352"/>
      <c r="AA3528" s="352"/>
      <c r="AB3528" s="352"/>
      <c r="AC3528" s="352"/>
      <c r="AD3528" s="352"/>
      <c r="AE3528" s="352"/>
      <c r="AF3528" s="352"/>
      <c r="AG3528" s="352"/>
      <c r="AH3528" s="352"/>
      <c r="AI3528" s="352"/>
      <c r="AJ3528" s="352"/>
    </row>
    <row r="3529" spans="2:36">
      <c r="B3529" s="352"/>
      <c r="C3529" s="352"/>
      <c r="D3529" s="352"/>
      <c r="E3529" s="352"/>
      <c r="F3529" s="352"/>
      <c r="H3529" s="352"/>
      <c r="J3529" s="352"/>
      <c r="L3529" s="352"/>
      <c r="M3529" s="352"/>
      <c r="N3529" s="352"/>
      <c r="O3529" s="352"/>
      <c r="P3529" s="352"/>
      <c r="Q3529" s="352"/>
      <c r="R3529" s="352"/>
      <c r="S3529" s="352"/>
      <c r="T3529" s="352"/>
      <c r="U3529" s="352"/>
      <c r="V3529" s="352"/>
      <c r="W3529" s="352"/>
      <c r="X3529" s="352"/>
      <c r="Y3529" s="352"/>
      <c r="Z3529" s="352"/>
      <c r="AA3529" s="352"/>
      <c r="AB3529" s="352"/>
      <c r="AC3529" s="352"/>
      <c r="AD3529" s="352"/>
      <c r="AE3529" s="352"/>
      <c r="AF3529" s="352"/>
      <c r="AG3529" s="352"/>
      <c r="AH3529" s="352"/>
      <c r="AI3529" s="352"/>
      <c r="AJ3529" s="352"/>
    </row>
    <row r="3530" spans="2:36">
      <c r="B3530" s="352"/>
      <c r="C3530" s="352"/>
      <c r="D3530" s="352"/>
      <c r="E3530" s="352"/>
      <c r="F3530" s="352"/>
      <c r="H3530" s="352"/>
      <c r="J3530" s="352"/>
      <c r="L3530" s="352"/>
      <c r="M3530" s="352"/>
      <c r="N3530" s="352"/>
      <c r="O3530" s="352"/>
      <c r="P3530" s="352"/>
      <c r="Q3530" s="352"/>
      <c r="R3530" s="352"/>
      <c r="S3530" s="352"/>
      <c r="T3530" s="352"/>
      <c r="U3530" s="352"/>
      <c r="V3530" s="352"/>
      <c r="W3530" s="352"/>
      <c r="X3530" s="352"/>
      <c r="Y3530" s="352"/>
      <c r="Z3530" s="352"/>
      <c r="AA3530" s="352"/>
      <c r="AB3530" s="352"/>
      <c r="AC3530" s="352"/>
      <c r="AD3530" s="352"/>
      <c r="AE3530" s="352"/>
      <c r="AF3530" s="352"/>
      <c r="AG3530" s="352"/>
      <c r="AH3530" s="352"/>
      <c r="AI3530" s="352"/>
      <c r="AJ3530" s="352"/>
    </row>
    <row r="3531" spans="2:36">
      <c r="B3531" s="352"/>
      <c r="C3531" s="352"/>
      <c r="D3531" s="352"/>
      <c r="E3531" s="352"/>
      <c r="F3531" s="352"/>
      <c r="H3531" s="352"/>
      <c r="J3531" s="352"/>
      <c r="L3531" s="352"/>
      <c r="M3531" s="352"/>
      <c r="N3531" s="352"/>
      <c r="O3531" s="352"/>
      <c r="P3531" s="352"/>
      <c r="Q3531" s="352"/>
      <c r="R3531" s="352"/>
      <c r="S3531" s="352"/>
      <c r="T3531" s="352"/>
      <c r="U3531" s="352"/>
      <c r="V3531" s="352"/>
      <c r="W3531" s="352"/>
      <c r="X3531" s="352"/>
      <c r="Y3531" s="352"/>
      <c r="Z3531" s="352"/>
      <c r="AA3531" s="352"/>
      <c r="AB3531" s="352"/>
      <c r="AC3531" s="352"/>
      <c r="AD3531" s="352"/>
      <c r="AE3531" s="352"/>
      <c r="AF3531" s="352"/>
      <c r="AG3531" s="352"/>
      <c r="AH3531" s="352"/>
      <c r="AI3531" s="352"/>
      <c r="AJ3531" s="352"/>
    </row>
    <row r="3532" spans="2:36">
      <c r="B3532" s="352"/>
      <c r="C3532" s="352"/>
      <c r="D3532" s="352"/>
      <c r="E3532" s="352"/>
      <c r="F3532" s="352"/>
      <c r="H3532" s="352"/>
      <c r="J3532" s="352"/>
      <c r="L3532" s="352"/>
      <c r="M3532" s="352"/>
      <c r="N3532" s="352"/>
      <c r="O3532" s="352"/>
      <c r="P3532" s="352"/>
      <c r="Q3532" s="352"/>
      <c r="R3532" s="352"/>
      <c r="S3532" s="352"/>
      <c r="T3532" s="352"/>
      <c r="U3532" s="352"/>
      <c r="V3532" s="352"/>
      <c r="W3532" s="352"/>
      <c r="X3532" s="352"/>
      <c r="Y3532" s="352"/>
      <c r="Z3532" s="352"/>
      <c r="AA3532" s="352"/>
      <c r="AB3532" s="352"/>
      <c r="AC3532" s="352"/>
      <c r="AD3532" s="352"/>
      <c r="AE3532" s="352"/>
      <c r="AF3532" s="352"/>
      <c r="AG3532" s="352"/>
      <c r="AH3532" s="352"/>
      <c r="AI3532" s="352"/>
      <c r="AJ3532" s="352"/>
    </row>
    <row r="3533" spans="2:36">
      <c r="B3533" s="352"/>
      <c r="C3533" s="352"/>
      <c r="D3533" s="352"/>
      <c r="E3533" s="352"/>
      <c r="F3533" s="352"/>
      <c r="H3533" s="352"/>
      <c r="J3533" s="352"/>
      <c r="L3533" s="352"/>
      <c r="M3533" s="352"/>
      <c r="N3533" s="352"/>
      <c r="O3533" s="352"/>
      <c r="P3533" s="352"/>
      <c r="Q3533" s="352"/>
      <c r="R3533" s="352"/>
      <c r="S3533" s="352"/>
      <c r="T3533" s="352"/>
      <c r="U3533" s="352"/>
      <c r="V3533" s="352"/>
      <c r="W3533" s="352"/>
      <c r="X3533" s="352"/>
      <c r="Y3533" s="352"/>
      <c r="Z3533" s="352"/>
      <c r="AA3533" s="352"/>
      <c r="AB3533" s="352"/>
      <c r="AC3533" s="352"/>
      <c r="AD3533" s="352"/>
      <c r="AE3533" s="352"/>
      <c r="AF3533" s="352"/>
      <c r="AG3533" s="352"/>
      <c r="AH3533" s="352"/>
      <c r="AI3533" s="352"/>
      <c r="AJ3533" s="352"/>
    </row>
    <row r="3534" spans="2:36">
      <c r="B3534" s="352"/>
      <c r="C3534" s="352"/>
      <c r="D3534" s="352"/>
      <c r="E3534" s="352"/>
      <c r="F3534" s="352"/>
      <c r="H3534" s="352"/>
      <c r="J3534" s="352"/>
      <c r="L3534" s="352"/>
      <c r="M3534" s="352"/>
      <c r="N3534" s="352"/>
      <c r="O3534" s="352"/>
      <c r="P3534" s="352"/>
      <c r="Q3534" s="352"/>
      <c r="R3534" s="352"/>
      <c r="S3534" s="352"/>
      <c r="T3534" s="352"/>
      <c r="U3534" s="352"/>
      <c r="V3534" s="352"/>
      <c r="W3534" s="352"/>
      <c r="X3534" s="352"/>
      <c r="Y3534" s="352"/>
      <c r="Z3534" s="352"/>
      <c r="AA3534" s="352"/>
      <c r="AB3534" s="352"/>
      <c r="AC3534" s="352"/>
      <c r="AD3534" s="352"/>
      <c r="AE3534" s="352"/>
      <c r="AF3534" s="352"/>
      <c r="AG3534" s="352"/>
      <c r="AH3534" s="352"/>
      <c r="AI3534" s="352"/>
      <c r="AJ3534" s="352"/>
    </row>
    <row r="3535" spans="2:36">
      <c r="B3535" s="352"/>
      <c r="C3535" s="352"/>
      <c r="D3535" s="352"/>
      <c r="E3535" s="352"/>
      <c r="F3535" s="352"/>
      <c r="H3535" s="352"/>
      <c r="J3535" s="352"/>
      <c r="L3535" s="352"/>
      <c r="M3535" s="352"/>
      <c r="N3535" s="352"/>
      <c r="O3535" s="352"/>
      <c r="P3535" s="352"/>
      <c r="Q3535" s="352"/>
      <c r="R3535" s="352"/>
      <c r="S3535" s="352"/>
      <c r="T3535" s="352"/>
      <c r="U3535" s="352"/>
      <c r="V3535" s="352"/>
      <c r="W3535" s="352"/>
      <c r="X3535" s="352"/>
      <c r="Y3535" s="352"/>
      <c r="Z3535" s="352"/>
      <c r="AA3535" s="352"/>
      <c r="AB3535" s="352"/>
      <c r="AC3535" s="352"/>
      <c r="AD3535" s="352"/>
      <c r="AE3535" s="352"/>
      <c r="AF3535" s="352"/>
      <c r="AG3535" s="352"/>
      <c r="AH3535" s="352"/>
      <c r="AI3535" s="352"/>
      <c r="AJ3535" s="352"/>
    </row>
    <row r="3536" spans="2:36">
      <c r="B3536" s="352"/>
      <c r="C3536" s="352"/>
      <c r="D3536" s="352"/>
      <c r="E3536" s="352"/>
      <c r="F3536" s="352"/>
      <c r="H3536" s="352"/>
      <c r="J3536" s="352"/>
      <c r="L3536" s="352"/>
      <c r="M3536" s="352"/>
      <c r="N3536" s="352"/>
      <c r="O3536" s="352"/>
      <c r="P3536" s="352"/>
      <c r="Q3536" s="352"/>
      <c r="R3536" s="352"/>
      <c r="S3536" s="352"/>
      <c r="T3536" s="352"/>
      <c r="U3536" s="352"/>
      <c r="V3536" s="352"/>
      <c r="W3536" s="352"/>
      <c r="X3536" s="352"/>
      <c r="Y3536" s="352"/>
      <c r="Z3536" s="352"/>
      <c r="AA3536" s="352"/>
      <c r="AB3536" s="352"/>
      <c r="AC3536" s="352"/>
      <c r="AD3536" s="352"/>
      <c r="AE3536" s="352"/>
      <c r="AF3536" s="352"/>
      <c r="AG3536" s="352"/>
      <c r="AH3536" s="352"/>
      <c r="AI3536" s="352"/>
      <c r="AJ3536" s="352"/>
    </row>
    <row r="3537" spans="2:36">
      <c r="B3537" s="352"/>
      <c r="C3537" s="352"/>
      <c r="D3537" s="352"/>
      <c r="E3537" s="352"/>
      <c r="F3537" s="352"/>
      <c r="H3537" s="352"/>
      <c r="J3537" s="352"/>
      <c r="L3537" s="352"/>
      <c r="M3537" s="352"/>
      <c r="N3537" s="352"/>
      <c r="O3537" s="352"/>
      <c r="P3537" s="352"/>
      <c r="Q3537" s="352"/>
      <c r="R3537" s="352"/>
      <c r="S3537" s="352"/>
      <c r="T3537" s="352"/>
      <c r="U3537" s="352"/>
      <c r="V3537" s="352"/>
      <c r="W3537" s="352"/>
      <c r="X3537" s="352"/>
      <c r="Y3537" s="352"/>
      <c r="Z3537" s="352"/>
      <c r="AA3537" s="352"/>
      <c r="AB3537" s="352"/>
      <c r="AC3537" s="352"/>
      <c r="AD3537" s="352"/>
      <c r="AE3537" s="352"/>
      <c r="AF3537" s="352"/>
      <c r="AG3537" s="352"/>
      <c r="AH3537" s="352"/>
      <c r="AI3537" s="352"/>
      <c r="AJ3537" s="352"/>
    </row>
    <row r="3538" spans="2:36">
      <c r="B3538" s="352"/>
      <c r="C3538" s="352"/>
      <c r="D3538" s="352"/>
      <c r="E3538" s="352"/>
      <c r="F3538" s="352"/>
      <c r="H3538" s="352"/>
      <c r="J3538" s="352"/>
      <c r="L3538" s="352"/>
      <c r="M3538" s="352"/>
      <c r="N3538" s="352"/>
      <c r="O3538" s="352"/>
      <c r="P3538" s="352"/>
      <c r="Q3538" s="352"/>
      <c r="R3538" s="352"/>
      <c r="S3538" s="352"/>
      <c r="T3538" s="352"/>
      <c r="U3538" s="352"/>
      <c r="V3538" s="352"/>
      <c r="W3538" s="352"/>
      <c r="X3538" s="352"/>
      <c r="Y3538" s="352"/>
      <c r="Z3538" s="352"/>
      <c r="AA3538" s="352"/>
      <c r="AB3538" s="352"/>
      <c r="AC3538" s="352"/>
      <c r="AD3538" s="352"/>
      <c r="AE3538" s="352"/>
      <c r="AF3538" s="352"/>
      <c r="AG3538" s="352"/>
      <c r="AH3538" s="352"/>
      <c r="AI3538" s="352"/>
      <c r="AJ3538" s="352"/>
    </row>
    <row r="3539" spans="2:36">
      <c r="B3539" s="352"/>
      <c r="C3539" s="352"/>
      <c r="D3539" s="352"/>
      <c r="E3539" s="352"/>
      <c r="F3539" s="352"/>
      <c r="H3539" s="352"/>
      <c r="J3539" s="352"/>
      <c r="L3539" s="352"/>
      <c r="M3539" s="352"/>
      <c r="N3539" s="352"/>
      <c r="O3539" s="352"/>
      <c r="P3539" s="352"/>
      <c r="Q3539" s="352"/>
      <c r="R3539" s="352"/>
      <c r="S3539" s="352"/>
      <c r="T3539" s="352"/>
      <c r="U3539" s="352"/>
      <c r="V3539" s="352"/>
      <c r="W3539" s="352"/>
      <c r="X3539" s="352"/>
      <c r="Y3539" s="352"/>
      <c r="Z3539" s="352"/>
      <c r="AA3539" s="352"/>
      <c r="AB3539" s="352"/>
      <c r="AC3539" s="352"/>
      <c r="AD3539" s="352"/>
      <c r="AE3539" s="352"/>
      <c r="AF3539" s="352"/>
      <c r="AG3539" s="352"/>
      <c r="AH3539" s="352"/>
      <c r="AI3539" s="352"/>
      <c r="AJ3539" s="352"/>
    </row>
    <row r="3540" spans="2:36">
      <c r="B3540" s="352"/>
      <c r="C3540" s="352"/>
      <c r="D3540" s="352"/>
      <c r="E3540" s="352"/>
      <c r="F3540" s="352"/>
      <c r="H3540" s="352"/>
      <c r="J3540" s="352"/>
      <c r="L3540" s="352"/>
      <c r="M3540" s="352"/>
      <c r="N3540" s="352"/>
      <c r="O3540" s="352"/>
      <c r="P3540" s="352"/>
      <c r="Q3540" s="352"/>
      <c r="R3540" s="352"/>
      <c r="S3540" s="352"/>
      <c r="T3540" s="352"/>
      <c r="U3540" s="352"/>
      <c r="V3540" s="352"/>
      <c r="W3540" s="352"/>
      <c r="X3540" s="352"/>
      <c r="Y3540" s="352"/>
      <c r="Z3540" s="352"/>
      <c r="AA3540" s="352"/>
      <c r="AB3540" s="352"/>
      <c r="AC3540" s="352"/>
      <c r="AD3540" s="352"/>
      <c r="AE3540" s="352"/>
      <c r="AF3540" s="352"/>
      <c r="AG3540" s="352"/>
      <c r="AH3540" s="352"/>
      <c r="AI3540" s="352"/>
      <c r="AJ3540" s="352"/>
    </row>
    <row r="3541" spans="2:36">
      <c r="B3541" s="352"/>
      <c r="C3541" s="352"/>
      <c r="D3541" s="352"/>
      <c r="E3541" s="352"/>
      <c r="F3541" s="352"/>
      <c r="H3541" s="352"/>
      <c r="J3541" s="352"/>
      <c r="L3541" s="352"/>
      <c r="M3541" s="352"/>
      <c r="N3541" s="352"/>
      <c r="O3541" s="352"/>
      <c r="P3541" s="352"/>
      <c r="Q3541" s="352"/>
      <c r="R3541" s="352"/>
      <c r="S3541" s="352"/>
      <c r="T3541" s="352"/>
      <c r="U3541" s="352"/>
      <c r="V3541" s="352"/>
      <c r="W3541" s="352"/>
      <c r="X3541" s="352"/>
      <c r="Y3541" s="352"/>
      <c r="Z3541" s="352"/>
      <c r="AA3541" s="352"/>
      <c r="AB3541" s="352"/>
      <c r="AC3541" s="352"/>
      <c r="AD3541" s="352"/>
      <c r="AE3541" s="352"/>
      <c r="AF3541" s="352"/>
      <c r="AG3541" s="352"/>
      <c r="AH3541" s="352"/>
      <c r="AI3541" s="352"/>
      <c r="AJ3541" s="352"/>
    </row>
    <row r="3542" spans="2:36">
      <c r="B3542" s="352"/>
      <c r="C3542" s="352"/>
      <c r="D3542" s="352"/>
      <c r="E3542" s="352"/>
      <c r="F3542" s="352"/>
      <c r="H3542" s="352"/>
      <c r="J3542" s="352"/>
      <c r="L3542" s="352"/>
      <c r="M3542" s="352"/>
      <c r="N3542" s="352"/>
      <c r="O3542" s="352"/>
      <c r="P3542" s="352"/>
      <c r="Q3542" s="352"/>
      <c r="R3542" s="352"/>
      <c r="S3542" s="352"/>
      <c r="T3542" s="352"/>
      <c r="U3542" s="352"/>
      <c r="V3542" s="352"/>
      <c r="W3542" s="352"/>
      <c r="X3542" s="352"/>
      <c r="Y3542" s="352"/>
      <c r="Z3542" s="352"/>
      <c r="AA3542" s="352"/>
      <c r="AB3542" s="352"/>
      <c r="AC3542" s="352"/>
      <c r="AD3542" s="352"/>
      <c r="AE3542" s="352"/>
      <c r="AF3542" s="352"/>
      <c r="AG3542" s="352"/>
      <c r="AH3542" s="352"/>
      <c r="AI3542" s="352"/>
      <c r="AJ3542" s="352"/>
    </row>
    <row r="3543" spans="2:36">
      <c r="B3543" s="352"/>
      <c r="C3543" s="352"/>
      <c r="D3543" s="352"/>
      <c r="E3543" s="352"/>
      <c r="F3543" s="352"/>
      <c r="H3543" s="352"/>
      <c r="J3543" s="352"/>
      <c r="L3543" s="352"/>
      <c r="M3543" s="352"/>
      <c r="N3543" s="352"/>
      <c r="O3543" s="352"/>
      <c r="P3543" s="352"/>
      <c r="Q3543" s="352"/>
      <c r="R3543" s="352"/>
      <c r="S3543" s="352"/>
      <c r="T3543" s="352"/>
      <c r="U3543" s="352"/>
      <c r="V3543" s="352"/>
      <c r="W3543" s="352"/>
      <c r="X3543" s="352"/>
      <c r="Y3543" s="352"/>
      <c r="Z3543" s="352"/>
      <c r="AA3543" s="352"/>
      <c r="AB3543" s="352"/>
      <c r="AC3543" s="352"/>
      <c r="AD3543" s="352"/>
      <c r="AE3543" s="352"/>
      <c r="AF3543" s="352"/>
      <c r="AG3543" s="352"/>
      <c r="AH3543" s="352"/>
      <c r="AI3543" s="352"/>
      <c r="AJ3543" s="352"/>
    </row>
    <row r="3544" spans="2:36">
      <c r="B3544" s="352"/>
      <c r="C3544" s="352"/>
      <c r="D3544" s="352"/>
      <c r="E3544" s="352"/>
      <c r="F3544" s="352"/>
      <c r="H3544" s="352"/>
      <c r="J3544" s="352"/>
      <c r="L3544" s="352"/>
      <c r="M3544" s="352"/>
      <c r="N3544" s="352"/>
      <c r="O3544" s="352"/>
      <c r="P3544" s="352"/>
      <c r="Q3544" s="352"/>
      <c r="R3544" s="352"/>
      <c r="S3544" s="352"/>
      <c r="T3544" s="352"/>
      <c r="U3544" s="352"/>
      <c r="V3544" s="352"/>
      <c r="W3544" s="352"/>
      <c r="X3544" s="352"/>
      <c r="Y3544" s="352"/>
      <c r="Z3544" s="352"/>
      <c r="AA3544" s="352"/>
      <c r="AB3544" s="352"/>
      <c r="AC3544" s="352"/>
      <c r="AD3544" s="352"/>
      <c r="AE3544" s="352"/>
      <c r="AF3544" s="352"/>
      <c r="AG3544" s="352"/>
      <c r="AH3544" s="352"/>
      <c r="AI3544" s="352"/>
      <c r="AJ3544" s="352"/>
    </row>
    <row r="3545" spans="2:36">
      <c r="B3545" s="352"/>
      <c r="C3545" s="352"/>
      <c r="D3545" s="352"/>
      <c r="E3545" s="352"/>
      <c r="F3545" s="352"/>
      <c r="H3545" s="352"/>
      <c r="J3545" s="352"/>
      <c r="L3545" s="352"/>
      <c r="M3545" s="352"/>
      <c r="N3545" s="352"/>
      <c r="O3545" s="352"/>
      <c r="P3545" s="352"/>
      <c r="Q3545" s="352"/>
      <c r="R3545" s="352"/>
      <c r="S3545" s="352"/>
      <c r="T3545" s="352"/>
      <c r="U3545" s="352"/>
      <c r="V3545" s="352"/>
      <c r="W3545" s="352"/>
      <c r="X3545" s="352"/>
      <c r="Y3545" s="352"/>
      <c r="Z3545" s="352"/>
      <c r="AA3545" s="352"/>
      <c r="AB3545" s="352"/>
      <c r="AC3545" s="352"/>
      <c r="AD3545" s="352"/>
      <c r="AE3545" s="352"/>
      <c r="AF3545" s="352"/>
      <c r="AG3545" s="352"/>
      <c r="AH3545" s="352"/>
      <c r="AI3545" s="352"/>
      <c r="AJ3545" s="352"/>
    </row>
    <row r="3546" spans="2:36">
      <c r="B3546" s="352"/>
      <c r="C3546" s="352"/>
      <c r="D3546" s="352"/>
      <c r="E3546" s="352"/>
      <c r="F3546" s="352"/>
      <c r="H3546" s="352"/>
      <c r="J3546" s="352"/>
      <c r="L3546" s="352"/>
      <c r="M3546" s="352"/>
      <c r="N3546" s="352"/>
      <c r="O3546" s="352"/>
      <c r="P3546" s="352"/>
      <c r="Q3546" s="352"/>
      <c r="R3546" s="352"/>
      <c r="S3546" s="352"/>
      <c r="T3546" s="352"/>
      <c r="U3546" s="352"/>
      <c r="V3546" s="352"/>
      <c r="W3546" s="352"/>
      <c r="X3546" s="352"/>
      <c r="Y3546" s="352"/>
      <c r="Z3546" s="352"/>
      <c r="AA3546" s="352"/>
      <c r="AB3546" s="352"/>
      <c r="AC3546" s="352"/>
      <c r="AD3546" s="352"/>
      <c r="AE3546" s="352"/>
      <c r="AF3546" s="352"/>
      <c r="AG3546" s="352"/>
      <c r="AH3546" s="352"/>
      <c r="AI3546" s="352"/>
      <c r="AJ3546" s="352"/>
    </row>
    <row r="3547" spans="2:36">
      <c r="B3547" s="352"/>
      <c r="C3547" s="352"/>
      <c r="D3547" s="352"/>
      <c r="E3547" s="352"/>
      <c r="F3547" s="352"/>
      <c r="H3547" s="352"/>
      <c r="J3547" s="352"/>
      <c r="L3547" s="352"/>
      <c r="M3547" s="352"/>
      <c r="N3547" s="352"/>
      <c r="O3547" s="352"/>
      <c r="P3547" s="352"/>
      <c r="Q3547" s="352"/>
      <c r="R3547" s="352"/>
      <c r="S3547" s="352"/>
      <c r="T3547" s="352"/>
      <c r="U3547" s="352"/>
      <c r="V3547" s="352"/>
      <c r="W3547" s="352"/>
      <c r="X3547" s="352"/>
      <c r="Y3547" s="352"/>
      <c r="Z3547" s="352"/>
      <c r="AA3547" s="352"/>
      <c r="AB3547" s="352"/>
      <c r="AC3547" s="352"/>
      <c r="AD3547" s="352"/>
      <c r="AE3547" s="352"/>
      <c r="AF3547" s="352"/>
      <c r="AG3547" s="352"/>
      <c r="AH3547" s="352"/>
      <c r="AI3547" s="352"/>
      <c r="AJ3547" s="352"/>
    </row>
    <row r="3548" spans="2:36">
      <c r="B3548" s="352"/>
      <c r="C3548" s="352"/>
      <c r="D3548" s="352"/>
      <c r="E3548" s="352"/>
      <c r="F3548" s="352"/>
      <c r="H3548" s="352"/>
      <c r="J3548" s="352"/>
      <c r="L3548" s="352"/>
      <c r="M3548" s="352"/>
      <c r="N3548" s="352"/>
      <c r="O3548" s="352"/>
      <c r="P3548" s="352"/>
      <c r="Q3548" s="352"/>
      <c r="R3548" s="352"/>
      <c r="S3548" s="352"/>
      <c r="T3548" s="352"/>
      <c r="U3548" s="352"/>
      <c r="V3548" s="352"/>
      <c r="W3548" s="352"/>
      <c r="X3548" s="352"/>
      <c r="Y3548" s="352"/>
      <c r="Z3548" s="352"/>
      <c r="AA3548" s="352"/>
      <c r="AB3548" s="352"/>
      <c r="AC3548" s="352"/>
      <c r="AD3548" s="352"/>
      <c r="AE3548" s="352"/>
      <c r="AF3548" s="352"/>
      <c r="AG3548" s="352"/>
      <c r="AH3548" s="352"/>
      <c r="AI3548" s="352"/>
      <c r="AJ3548" s="352"/>
    </row>
    <row r="3549" spans="2:36">
      <c r="B3549" s="352"/>
      <c r="C3549" s="352"/>
      <c r="D3549" s="352"/>
      <c r="E3549" s="352"/>
      <c r="F3549" s="352"/>
      <c r="H3549" s="352"/>
      <c r="J3549" s="352"/>
      <c r="L3549" s="352"/>
      <c r="M3549" s="352"/>
      <c r="N3549" s="352"/>
      <c r="O3549" s="352"/>
      <c r="P3549" s="352"/>
      <c r="Q3549" s="352"/>
      <c r="R3549" s="352"/>
      <c r="S3549" s="352"/>
      <c r="T3549" s="352"/>
      <c r="U3549" s="352"/>
      <c r="V3549" s="352"/>
      <c r="W3549" s="352"/>
      <c r="X3549" s="352"/>
      <c r="Y3549" s="352"/>
      <c r="Z3549" s="352"/>
      <c r="AA3549" s="352"/>
      <c r="AB3549" s="352"/>
      <c r="AC3549" s="352"/>
      <c r="AD3549" s="352"/>
      <c r="AE3549" s="352"/>
      <c r="AF3549" s="352"/>
      <c r="AG3549" s="352"/>
      <c r="AH3549" s="352"/>
      <c r="AI3549" s="352"/>
      <c r="AJ3549" s="352"/>
    </row>
    <row r="3550" spans="2:36">
      <c r="B3550" s="352"/>
      <c r="C3550" s="352"/>
      <c r="D3550" s="352"/>
      <c r="E3550" s="352"/>
      <c r="F3550" s="352"/>
      <c r="H3550" s="352"/>
      <c r="J3550" s="352"/>
      <c r="L3550" s="352"/>
      <c r="M3550" s="352"/>
      <c r="N3550" s="352"/>
      <c r="O3550" s="352"/>
      <c r="P3550" s="352"/>
      <c r="Q3550" s="352"/>
      <c r="R3550" s="352"/>
      <c r="S3550" s="352"/>
      <c r="T3550" s="352"/>
      <c r="U3550" s="352"/>
      <c r="V3550" s="352"/>
      <c r="W3550" s="352"/>
      <c r="X3550" s="352"/>
      <c r="Y3550" s="352"/>
      <c r="Z3550" s="352"/>
      <c r="AA3550" s="352"/>
      <c r="AB3550" s="352"/>
      <c r="AC3550" s="352"/>
      <c r="AD3550" s="352"/>
      <c r="AE3550" s="352"/>
      <c r="AF3550" s="352"/>
      <c r="AG3550" s="352"/>
      <c r="AH3550" s="352"/>
      <c r="AI3550" s="352"/>
      <c r="AJ3550" s="352"/>
    </row>
    <row r="3551" spans="2:36">
      <c r="B3551" s="352"/>
      <c r="C3551" s="352"/>
      <c r="D3551" s="352"/>
      <c r="E3551" s="352"/>
      <c r="F3551" s="352"/>
      <c r="H3551" s="352"/>
      <c r="J3551" s="352"/>
      <c r="L3551" s="352"/>
      <c r="M3551" s="352"/>
      <c r="N3551" s="352"/>
      <c r="O3551" s="352"/>
      <c r="P3551" s="352"/>
      <c r="Q3551" s="352"/>
      <c r="R3551" s="352"/>
      <c r="S3551" s="352"/>
      <c r="T3551" s="352"/>
      <c r="U3551" s="352"/>
      <c r="V3551" s="352"/>
      <c r="W3551" s="352"/>
      <c r="X3551" s="352"/>
      <c r="Y3551" s="352"/>
      <c r="Z3551" s="352"/>
      <c r="AA3551" s="352"/>
      <c r="AB3551" s="352"/>
      <c r="AC3551" s="352"/>
      <c r="AD3551" s="352"/>
      <c r="AE3551" s="352"/>
      <c r="AF3551" s="352"/>
      <c r="AG3551" s="352"/>
      <c r="AH3551" s="352"/>
      <c r="AI3551" s="352"/>
      <c r="AJ3551" s="352"/>
    </row>
    <row r="3552" spans="2:36">
      <c r="B3552" s="352"/>
      <c r="C3552" s="352"/>
      <c r="D3552" s="352"/>
      <c r="E3552" s="352"/>
      <c r="F3552" s="352"/>
      <c r="H3552" s="352"/>
      <c r="J3552" s="352"/>
      <c r="L3552" s="352"/>
      <c r="M3552" s="352"/>
      <c r="N3552" s="352"/>
      <c r="O3552" s="352"/>
      <c r="P3552" s="352"/>
      <c r="Q3552" s="352"/>
      <c r="R3552" s="352"/>
      <c r="S3552" s="352"/>
      <c r="T3552" s="352"/>
      <c r="U3552" s="352"/>
      <c r="V3552" s="352"/>
      <c r="W3552" s="352"/>
      <c r="X3552" s="352"/>
      <c r="Y3552" s="352"/>
      <c r="Z3552" s="352"/>
      <c r="AA3552" s="352"/>
      <c r="AB3552" s="352"/>
      <c r="AC3552" s="352"/>
      <c r="AD3552" s="352"/>
      <c r="AE3552" s="352"/>
      <c r="AF3552" s="352"/>
      <c r="AG3552" s="352"/>
      <c r="AH3552" s="352"/>
      <c r="AI3552" s="352"/>
      <c r="AJ3552" s="352"/>
    </row>
    <row r="3553" spans="2:36">
      <c r="B3553" s="352"/>
      <c r="C3553" s="352"/>
      <c r="D3553" s="352"/>
      <c r="E3553" s="352"/>
      <c r="F3553" s="352"/>
      <c r="H3553" s="352"/>
      <c r="J3553" s="352"/>
      <c r="L3553" s="352"/>
      <c r="M3553" s="352"/>
      <c r="N3553" s="352"/>
      <c r="O3553" s="352"/>
      <c r="P3553" s="352"/>
      <c r="Q3553" s="352"/>
      <c r="R3553" s="352"/>
      <c r="S3553" s="352"/>
      <c r="T3553" s="352"/>
      <c r="U3553" s="352"/>
      <c r="V3553" s="352"/>
      <c r="W3553" s="352"/>
      <c r="X3553" s="352"/>
      <c r="Y3553" s="352"/>
      <c r="Z3553" s="352"/>
      <c r="AA3553" s="352"/>
      <c r="AB3553" s="352"/>
      <c r="AC3553" s="352"/>
      <c r="AD3553" s="352"/>
      <c r="AE3553" s="352"/>
      <c r="AF3553" s="352"/>
      <c r="AG3553" s="352"/>
      <c r="AH3553" s="352"/>
      <c r="AI3553" s="352"/>
      <c r="AJ3553" s="352"/>
    </row>
    <row r="3554" spans="2:36">
      <c r="B3554" s="352"/>
      <c r="C3554" s="352"/>
      <c r="D3554" s="352"/>
      <c r="E3554" s="352"/>
      <c r="F3554" s="352"/>
      <c r="H3554" s="352"/>
      <c r="J3554" s="352"/>
      <c r="L3554" s="352"/>
      <c r="M3554" s="352"/>
      <c r="N3554" s="352"/>
      <c r="O3554" s="352"/>
      <c r="P3554" s="352"/>
      <c r="Q3554" s="352"/>
      <c r="R3554" s="352"/>
      <c r="S3554" s="352"/>
      <c r="T3554" s="352"/>
      <c r="U3554" s="352"/>
      <c r="V3554" s="352"/>
      <c r="W3554" s="352"/>
      <c r="X3554" s="352"/>
      <c r="Y3554" s="352"/>
      <c r="Z3554" s="352"/>
      <c r="AA3554" s="352"/>
      <c r="AB3554" s="352"/>
      <c r="AC3554" s="352"/>
      <c r="AD3554" s="352"/>
      <c r="AE3554" s="352"/>
      <c r="AF3554" s="352"/>
      <c r="AG3554" s="352"/>
      <c r="AH3554" s="352"/>
      <c r="AI3554" s="352"/>
      <c r="AJ3554" s="352"/>
    </row>
    <row r="3555" spans="2:36">
      <c r="B3555" s="352"/>
      <c r="C3555" s="352"/>
      <c r="D3555" s="352"/>
      <c r="E3555" s="352"/>
      <c r="F3555" s="352"/>
      <c r="H3555" s="352"/>
      <c r="J3555" s="352"/>
      <c r="L3555" s="352"/>
      <c r="M3555" s="352"/>
      <c r="N3555" s="352"/>
      <c r="O3555" s="352"/>
      <c r="P3555" s="352"/>
      <c r="Q3555" s="352"/>
      <c r="R3555" s="352"/>
      <c r="S3555" s="352"/>
      <c r="T3555" s="352"/>
      <c r="U3555" s="352"/>
      <c r="V3555" s="352"/>
      <c r="W3555" s="352"/>
      <c r="X3555" s="352"/>
      <c r="Y3555" s="352"/>
      <c r="Z3555" s="352"/>
      <c r="AA3555" s="352"/>
      <c r="AB3555" s="352"/>
      <c r="AC3555" s="352"/>
      <c r="AD3555" s="352"/>
      <c r="AE3555" s="352"/>
      <c r="AF3555" s="352"/>
      <c r="AG3555" s="352"/>
      <c r="AH3555" s="352"/>
      <c r="AI3555" s="352"/>
      <c r="AJ3555" s="352"/>
    </row>
    <row r="3556" spans="2:36">
      <c r="B3556" s="352"/>
      <c r="C3556" s="352"/>
      <c r="D3556" s="352"/>
      <c r="E3556" s="352"/>
      <c r="F3556" s="352"/>
      <c r="H3556" s="352"/>
      <c r="J3556" s="352"/>
      <c r="L3556" s="352"/>
      <c r="M3556" s="352"/>
      <c r="N3556" s="352"/>
      <c r="O3556" s="352"/>
      <c r="P3556" s="352"/>
      <c r="Q3556" s="352"/>
      <c r="R3556" s="352"/>
      <c r="S3556" s="352"/>
      <c r="T3556" s="352"/>
      <c r="U3556" s="352"/>
      <c r="V3556" s="352"/>
      <c r="W3556" s="352"/>
      <c r="X3556" s="352"/>
      <c r="Y3556" s="352"/>
      <c r="Z3556" s="352"/>
      <c r="AA3556" s="352"/>
      <c r="AB3556" s="352"/>
      <c r="AC3556" s="352"/>
      <c r="AD3556" s="352"/>
      <c r="AE3556" s="352"/>
      <c r="AF3556" s="352"/>
      <c r="AG3556" s="352"/>
      <c r="AH3556" s="352"/>
      <c r="AI3556" s="352"/>
      <c r="AJ3556" s="352"/>
    </row>
    <row r="3557" spans="2:36">
      <c r="B3557" s="352"/>
      <c r="C3557" s="352"/>
      <c r="D3557" s="352"/>
      <c r="E3557" s="352"/>
      <c r="F3557" s="352"/>
      <c r="H3557" s="352"/>
      <c r="J3557" s="352"/>
      <c r="L3557" s="352"/>
      <c r="M3557" s="352"/>
      <c r="N3557" s="352"/>
      <c r="O3557" s="352"/>
      <c r="P3557" s="352"/>
      <c r="Q3557" s="352"/>
      <c r="R3557" s="352"/>
      <c r="S3557" s="352"/>
      <c r="T3557" s="352"/>
      <c r="U3557" s="352"/>
      <c r="V3557" s="352"/>
      <c r="W3557" s="352"/>
      <c r="X3557" s="352"/>
      <c r="Y3557" s="352"/>
      <c r="Z3557" s="352"/>
      <c r="AA3557" s="352"/>
      <c r="AB3557" s="352"/>
      <c r="AC3557" s="352"/>
      <c r="AD3557" s="352"/>
      <c r="AE3557" s="352"/>
      <c r="AF3557" s="352"/>
      <c r="AG3557" s="352"/>
      <c r="AH3557" s="352"/>
      <c r="AI3557" s="352"/>
      <c r="AJ3557" s="352"/>
    </row>
    <row r="3558" spans="2:36">
      <c r="B3558" s="352"/>
      <c r="C3558" s="352"/>
      <c r="D3558" s="352"/>
      <c r="E3558" s="352"/>
      <c r="F3558" s="352"/>
      <c r="H3558" s="352"/>
      <c r="J3558" s="352"/>
      <c r="L3558" s="352"/>
      <c r="M3558" s="352"/>
      <c r="N3558" s="352"/>
      <c r="O3558" s="352"/>
      <c r="P3558" s="352"/>
      <c r="Q3558" s="352"/>
      <c r="R3558" s="352"/>
      <c r="S3558" s="352"/>
      <c r="T3558" s="352"/>
      <c r="U3558" s="352"/>
      <c r="V3558" s="352"/>
      <c r="W3558" s="352"/>
      <c r="X3558" s="352"/>
      <c r="Y3558" s="352"/>
      <c r="Z3558" s="352"/>
      <c r="AA3558" s="352"/>
      <c r="AB3558" s="352"/>
      <c r="AC3558" s="352"/>
      <c r="AD3558" s="352"/>
      <c r="AE3558" s="352"/>
      <c r="AF3558" s="352"/>
      <c r="AG3558" s="352"/>
      <c r="AH3558" s="352"/>
      <c r="AI3558" s="352"/>
      <c r="AJ3558" s="352"/>
    </row>
    <row r="3559" spans="2:36">
      <c r="B3559" s="352"/>
      <c r="C3559" s="352"/>
      <c r="D3559" s="352"/>
      <c r="E3559" s="352"/>
      <c r="F3559" s="352"/>
      <c r="H3559" s="352"/>
      <c r="J3559" s="352"/>
      <c r="L3559" s="352"/>
      <c r="M3559" s="352"/>
      <c r="N3559" s="352"/>
      <c r="O3559" s="352"/>
      <c r="P3559" s="352"/>
      <c r="Q3559" s="352"/>
      <c r="R3559" s="352"/>
      <c r="S3559" s="352"/>
      <c r="T3559" s="352"/>
      <c r="U3559" s="352"/>
      <c r="V3559" s="352"/>
      <c r="W3559" s="352"/>
      <c r="X3559" s="352"/>
      <c r="Y3559" s="352"/>
      <c r="Z3559" s="352"/>
      <c r="AA3559" s="352"/>
      <c r="AB3559" s="352"/>
      <c r="AC3559" s="352"/>
      <c r="AD3559" s="352"/>
      <c r="AE3559" s="352"/>
      <c r="AF3559" s="352"/>
      <c r="AG3559" s="352"/>
      <c r="AH3559" s="352"/>
      <c r="AI3559" s="352"/>
      <c r="AJ3559" s="352"/>
    </row>
    <row r="3560" spans="2:36">
      <c r="B3560" s="352"/>
      <c r="C3560" s="352"/>
      <c r="D3560" s="352"/>
      <c r="E3560" s="352"/>
      <c r="F3560" s="352"/>
      <c r="H3560" s="352"/>
      <c r="J3560" s="352"/>
      <c r="L3560" s="352"/>
      <c r="M3560" s="352"/>
      <c r="N3560" s="352"/>
      <c r="O3560" s="352"/>
      <c r="P3560" s="352"/>
      <c r="Q3560" s="352"/>
      <c r="R3560" s="352"/>
      <c r="S3560" s="352"/>
      <c r="T3560" s="352"/>
      <c r="U3560" s="352"/>
      <c r="V3560" s="352"/>
      <c r="W3560" s="352"/>
      <c r="X3560" s="352"/>
      <c r="Y3560" s="352"/>
      <c r="Z3560" s="352"/>
      <c r="AA3560" s="352"/>
      <c r="AB3560" s="352"/>
      <c r="AC3560" s="352"/>
      <c r="AD3560" s="352"/>
      <c r="AE3560" s="352"/>
      <c r="AF3560" s="352"/>
      <c r="AG3560" s="352"/>
      <c r="AH3560" s="352"/>
      <c r="AI3560" s="352"/>
      <c r="AJ3560" s="352"/>
    </row>
    <row r="3561" spans="2:36">
      <c r="B3561" s="352"/>
      <c r="C3561" s="352"/>
      <c r="D3561" s="352"/>
      <c r="E3561" s="352"/>
      <c r="F3561" s="352"/>
      <c r="H3561" s="352"/>
      <c r="J3561" s="352"/>
      <c r="L3561" s="352"/>
      <c r="M3561" s="352"/>
      <c r="N3561" s="352"/>
      <c r="O3561" s="352"/>
      <c r="P3561" s="352"/>
      <c r="Q3561" s="352"/>
      <c r="R3561" s="352"/>
      <c r="S3561" s="352"/>
      <c r="T3561" s="352"/>
      <c r="U3561" s="352"/>
      <c r="V3561" s="352"/>
      <c r="W3561" s="352"/>
      <c r="X3561" s="352"/>
      <c r="Y3561" s="352"/>
      <c r="Z3561" s="352"/>
      <c r="AA3561" s="352"/>
      <c r="AB3561" s="352"/>
      <c r="AC3561" s="352"/>
      <c r="AD3561" s="352"/>
      <c r="AE3561" s="352"/>
      <c r="AF3561" s="352"/>
      <c r="AG3561" s="352"/>
      <c r="AH3561" s="352"/>
      <c r="AI3561" s="352"/>
      <c r="AJ3561" s="352"/>
    </row>
    <row r="3562" spans="2:36">
      <c r="B3562" s="352"/>
      <c r="C3562" s="352"/>
      <c r="D3562" s="352"/>
      <c r="E3562" s="352"/>
      <c r="F3562" s="352"/>
      <c r="H3562" s="352"/>
      <c r="J3562" s="352"/>
      <c r="L3562" s="352"/>
      <c r="M3562" s="352"/>
      <c r="N3562" s="352"/>
      <c r="O3562" s="352"/>
      <c r="P3562" s="352"/>
      <c r="Q3562" s="352"/>
      <c r="R3562" s="352"/>
      <c r="S3562" s="352"/>
      <c r="T3562" s="352"/>
      <c r="U3562" s="352"/>
      <c r="V3562" s="352"/>
      <c r="W3562" s="352"/>
      <c r="X3562" s="352"/>
      <c r="Y3562" s="352"/>
      <c r="Z3562" s="352"/>
      <c r="AA3562" s="352"/>
      <c r="AB3562" s="352"/>
      <c r="AC3562" s="352"/>
      <c r="AD3562" s="352"/>
      <c r="AE3562" s="352"/>
      <c r="AF3562" s="352"/>
      <c r="AG3562" s="352"/>
      <c r="AH3562" s="352"/>
      <c r="AI3562" s="352"/>
      <c r="AJ3562" s="352"/>
    </row>
    <row r="3563" spans="2:36">
      <c r="B3563" s="352"/>
      <c r="C3563" s="352"/>
      <c r="D3563" s="352"/>
      <c r="E3563" s="352"/>
      <c r="F3563" s="352"/>
      <c r="H3563" s="352"/>
      <c r="J3563" s="352"/>
      <c r="L3563" s="352"/>
      <c r="M3563" s="352"/>
      <c r="N3563" s="352"/>
      <c r="O3563" s="352"/>
      <c r="P3563" s="352"/>
      <c r="Q3563" s="352"/>
      <c r="R3563" s="352"/>
      <c r="S3563" s="352"/>
      <c r="T3563" s="352"/>
      <c r="U3563" s="352"/>
      <c r="V3563" s="352"/>
      <c r="W3563" s="352"/>
      <c r="X3563" s="352"/>
      <c r="Y3563" s="352"/>
      <c r="Z3563" s="352"/>
      <c r="AA3563" s="352"/>
      <c r="AB3563" s="352"/>
      <c r="AC3563" s="352"/>
      <c r="AD3563" s="352"/>
      <c r="AE3563" s="352"/>
      <c r="AF3563" s="352"/>
      <c r="AG3563" s="352"/>
      <c r="AH3563" s="352"/>
      <c r="AI3563" s="352"/>
      <c r="AJ3563" s="352"/>
    </row>
    <row r="3564" spans="2:36">
      <c r="B3564" s="352"/>
      <c r="C3564" s="352"/>
      <c r="D3564" s="352"/>
      <c r="E3564" s="352"/>
      <c r="F3564" s="352"/>
      <c r="H3564" s="352"/>
      <c r="J3564" s="352"/>
      <c r="L3564" s="352"/>
      <c r="M3564" s="352"/>
      <c r="N3564" s="352"/>
      <c r="O3564" s="352"/>
      <c r="P3564" s="352"/>
      <c r="Q3564" s="352"/>
      <c r="R3564" s="352"/>
      <c r="S3564" s="352"/>
      <c r="T3564" s="352"/>
      <c r="U3564" s="352"/>
      <c r="V3564" s="352"/>
      <c r="W3564" s="352"/>
      <c r="X3564" s="352"/>
      <c r="Y3564" s="352"/>
      <c r="Z3564" s="352"/>
      <c r="AA3564" s="352"/>
      <c r="AB3564" s="352"/>
      <c r="AC3564" s="352"/>
      <c r="AD3564" s="352"/>
      <c r="AE3564" s="352"/>
      <c r="AF3564" s="352"/>
      <c r="AG3564" s="352"/>
      <c r="AH3564" s="352"/>
      <c r="AI3564" s="352"/>
      <c r="AJ3564" s="352"/>
    </row>
    <row r="3565" spans="2:36">
      <c r="B3565" s="352"/>
      <c r="C3565" s="352"/>
      <c r="D3565" s="352"/>
      <c r="E3565" s="352"/>
      <c r="F3565" s="352"/>
      <c r="H3565" s="352"/>
      <c r="J3565" s="352"/>
      <c r="L3565" s="352"/>
      <c r="M3565" s="352"/>
      <c r="N3565" s="352"/>
      <c r="O3565" s="352"/>
      <c r="P3565" s="352"/>
      <c r="Q3565" s="352"/>
      <c r="R3565" s="352"/>
      <c r="S3565" s="352"/>
      <c r="T3565" s="352"/>
      <c r="U3565" s="352"/>
      <c r="V3565" s="352"/>
      <c r="W3565" s="352"/>
      <c r="X3565" s="352"/>
      <c r="Y3565" s="352"/>
      <c r="Z3565" s="352"/>
      <c r="AA3565" s="352"/>
      <c r="AB3565" s="352"/>
      <c r="AC3565" s="352"/>
      <c r="AD3565" s="352"/>
      <c r="AE3565" s="352"/>
      <c r="AF3565" s="352"/>
      <c r="AG3565" s="352"/>
      <c r="AH3565" s="352"/>
      <c r="AI3565" s="352"/>
      <c r="AJ3565" s="352"/>
    </row>
    <row r="3566" spans="2:36">
      <c r="B3566" s="352"/>
      <c r="C3566" s="352"/>
      <c r="D3566" s="352"/>
      <c r="E3566" s="352"/>
      <c r="F3566" s="352"/>
      <c r="H3566" s="352"/>
      <c r="J3566" s="352"/>
      <c r="L3566" s="352"/>
      <c r="M3566" s="352"/>
      <c r="N3566" s="352"/>
      <c r="O3566" s="352"/>
      <c r="P3566" s="352"/>
      <c r="Q3566" s="352"/>
      <c r="R3566" s="352"/>
      <c r="S3566" s="352"/>
      <c r="T3566" s="352"/>
      <c r="U3566" s="352"/>
      <c r="V3566" s="352"/>
      <c r="W3566" s="352"/>
      <c r="X3566" s="352"/>
      <c r="Y3566" s="352"/>
      <c r="Z3566" s="352"/>
      <c r="AA3566" s="352"/>
      <c r="AB3566" s="352"/>
      <c r="AC3566" s="352"/>
      <c r="AD3566" s="352"/>
      <c r="AE3566" s="352"/>
      <c r="AF3566" s="352"/>
      <c r="AG3566" s="352"/>
      <c r="AH3566" s="352"/>
      <c r="AI3566" s="352"/>
      <c r="AJ3566" s="352"/>
    </row>
    <row r="3567" spans="2:36">
      <c r="B3567" s="352"/>
      <c r="C3567" s="352"/>
      <c r="D3567" s="352"/>
      <c r="E3567" s="352"/>
      <c r="F3567" s="352"/>
      <c r="H3567" s="352"/>
      <c r="J3567" s="352"/>
      <c r="L3567" s="352"/>
      <c r="M3567" s="352"/>
      <c r="N3567" s="352"/>
      <c r="O3567" s="352"/>
      <c r="P3567" s="352"/>
      <c r="Q3567" s="352"/>
      <c r="R3567" s="352"/>
      <c r="S3567" s="352"/>
      <c r="T3567" s="352"/>
      <c r="U3567" s="352"/>
      <c r="V3567" s="352"/>
      <c r="W3567" s="352"/>
      <c r="X3567" s="352"/>
      <c r="Y3567" s="352"/>
      <c r="Z3567" s="352"/>
      <c r="AA3567" s="352"/>
      <c r="AB3567" s="352"/>
      <c r="AC3567" s="352"/>
      <c r="AD3567" s="352"/>
      <c r="AE3567" s="352"/>
      <c r="AF3567" s="352"/>
      <c r="AG3567" s="352"/>
      <c r="AH3567" s="352"/>
      <c r="AI3567" s="352"/>
      <c r="AJ3567" s="352"/>
    </row>
    <row r="3568" spans="2:36">
      <c r="B3568" s="352"/>
      <c r="C3568" s="352"/>
      <c r="D3568" s="352"/>
      <c r="E3568" s="352"/>
      <c r="F3568" s="352"/>
      <c r="H3568" s="352"/>
      <c r="J3568" s="352"/>
      <c r="L3568" s="352"/>
      <c r="M3568" s="352"/>
      <c r="N3568" s="352"/>
      <c r="O3568" s="352"/>
      <c r="P3568" s="352"/>
      <c r="Q3568" s="352"/>
      <c r="R3568" s="352"/>
      <c r="S3568" s="352"/>
      <c r="T3568" s="352"/>
      <c r="U3568" s="352"/>
      <c r="V3568" s="352"/>
      <c r="W3568" s="352"/>
      <c r="X3568" s="352"/>
      <c r="Y3568" s="352"/>
      <c r="Z3568" s="352"/>
      <c r="AA3568" s="352"/>
      <c r="AB3568" s="352"/>
      <c r="AC3568" s="352"/>
      <c r="AD3568" s="352"/>
      <c r="AE3568" s="352"/>
      <c r="AF3568" s="352"/>
      <c r="AG3568" s="352"/>
      <c r="AH3568" s="352"/>
      <c r="AI3568" s="352"/>
      <c r="AJ3568" s="352"/>
    </row>
    <row r="3569" spans="2:36">
      <c r="B3569" s="352"/>
      <c r="C3569" s="352"/>
      <c r="D3569" s="352"/>
      <c r="E3569" s="352"/>
      <c r="F3569" s="352"/>
      <c r="H3569" s="352"/>
      <c r="J3569" s="352"/>
      <c r="L3569" s="352"/>
      <c r="M3569" s="352"/>
      <c r="N3569" s="352"/>
      <c r="O3569" s="352"/>
      <c r="P3569" s="352"/>
      <c r="Q3569" s="352"/>
      <c r="R3569" s="352"/>
      <c r="S3569" s="352"/>
      <c r="T3569" s="352"/>
      <c r="U3569" s="352"/>
      <c r="V3569" s="352"/>
      <c r="W3569" s="352"/>
      <c r="X3569" s="352"/>
      <c r="Y3569" s="352"/>
      <c r="Z3569" s="352"/>
      <c r="AA3569" s="352"/>
      <c r="AB3569" s="352"/>
      <c r="AC3569" s="352"/>
      <c r="AD3569" s="352"/>
      <c r="AE3569" s="352"/>
      <c r="AF3569" s="352"/>
      <c r="AG3569" s="352"/>
      <c r="AH3569" s="352"/>
      <c r="AI3569" s="352"/>
      <c r="AJ3569" s="352"/>
    </row>
    <row r="3570" spans="2:36">
      <c r="B3570" s="352"/>
      <c r="C3570" s="352"/>
      <c r="D3570" s="352"/>
      <c r="E3570" s="352"/>
      <c r="F3570" s="352"/>
      <c r="H3570" s="352"/>
      <c r="J3570" s="352"/>
      <c r="L3570" s="352"/>
      <c r="M3570" s="352"/>
      <c r="N3570" s="352"/>
      <c r="O3570" s="352"/>
      <c r="P3570" s="352"/>
      <c r="Q3570" s="352"/>
      <c r="R3570" s="352"/>
      <c r="S3570" s="352"/>
      <c r="T3570" s="352"/>
      <c r="U3570" s="352"/>
      <c r="V3570" s="352"/>
      <c r="W3570" s="352"/>
      <c r="X3570" s="352"/>
      <c r="Y3570" s="352"/>
      <c r="Z3570" s="352"/>
      <c r="AA3570" s="352"/>
      <c r="AB3570" s="352"/>
      <c r="AC3570" s="352"/>
      <c r="AD3570" s="352"/>
      <c r="AE3570" s="352"/>
      <c r="AF3570" s="352"/>
      <c r="AG3570" s="352"/>
      <c r="AH3570" s="352"/>
      <c r="AI3570" s="352"/>
      <c r="AJ3570" s="352"/>
    </row>
    <row r="3571" spans="2:36">
      <c r="B3571" s="352"/>
      <c r="C3571" s="352"/>
      <c r="D3571" s="352"/>
      <c r="E3571" s="352"/>
      <c r="F3571" s="352"/>
      <c r="H3571" s="352"/>
      <c r="J3571" s="352"/>
      <c r="L3571" s="352"/>
      <c r="M3571" s="352"/>
      <c r="N3571" s="352"/>
      <c r="O3571" s="352"/>
      <c r="P3571" s="352"/>
      <c r="Q3571" s="352"/>
      <c r="R3571" s="352"/>
      <c r="S3571" s="352"/>
      <c r="T3571" s="352"/>
      <c r="U3571" s="352"/>
      <c r="V3571" s="352"/>
      <c r="W3571" s="352"/>
      <c r="X3571" s="352"/>
      <c r="Y3571" s="352"/>
      <c r="Z3571" s="352"/>
      <c r="AA3571" s="352"/>
      <c r="AB3571" s="352"/>
      <c r="AC3571" s="352"/>
      <c r="AD3571" s="352"/>
      <c r="AE3571" s="352"/>
      <c r="AF3571" s="352"/>
      <c r="AG3571" s="352"/>
      <c r="AH3571" s="352"/>
      <c r="AI3571" s="352"/>
      <c r="AJ3571" s="352"/>
    </row>
    <row r="3572" spans="2:36">
      <c r="B3572" s="352"/>
      <c r="C3572" s="352"/>
      <c r="D3572" s="352"/>
      <c r="E3572" s="352"/>
      <c r="F3572" s="352"/>
      <c r="H3572" s="352"/>
      <c r="J3572" s="352"/>
      <c r="L3572" s="352"/>
      <c r="M3572" s="352"/>
      <c r="N3572" s="352"/>
      <c r="O3572" s="352"/>
      <c r="P3572" s="352"/>
      <c r="Q3572" s="352"/>
      <c r="R3572" s="352"/>
      <c r="S3572" s="352"/>
      <c r="T3572" s="352"/>
      <c r="U3572" s="352"/>
      <c r="V3572" s="352"/>
      <c r="W3572" s="352"/>
      <c r="X3572" s="352"/>
      <c r="Y3572" s="352"/>
      <c r="Z3572" s="352"/>
      <c r="AA3572" s="352"/>
      <c r="AB3572" s="352"/>
      <c r="AC3572" s="352"/>
      <c r="AD3572" s="352"/>
      <c r="AE3572" s="352"/>
      <c r="AF3572" s="352"/>
      <c r="AG3572" s="352"/>
      <c r="AH3572" s="352"/>
      <c r="AI3572" s="352"/>
      <c r="AJ3572" s="352"/>
    </row>
    <row r="3573" spans="2:36">
      <c r="B3573" s="352"/>
      <c r="C3573" s="352"/>
      <c r="D3573" s="352"/>
      <c r="E3573" s="352"/>
      <c r="F3573" s="352"/>
      <c r="H3573" s="352"/>
      <c r="J3573" s="352"/>
      <c r="L3573" s="352"/>
      <c r="M3573" s="352"/>
      <c r="N3573" s="352"/>
      <c r="O3573" s="352"/>
      <c r="P3573" s="352"/>
      <c r="Q3573" s="352"/>
      <c r="R3573" s="352"/>
      <c r="S3573" s="352"/>
      <c r="T3573" s="352"/>
      <c r="U3573" s="352"/>
      <c r="V3573" s="352"/>
      <c r="W3573" s="352"/>
      <c r="X3573" s="352"/>
      <c r="Y3573" s="352"/>
      <c r="Z3573" s="352"/>
      <c r="AA3573" s="352"/>
      <c r="AB3573" s="352"/>
      <c r="AC3573" s="352"/>
      <c r="AD3573" s="352"/>
      <c r="AE3573" s="352"/>
      <c r="AF3573" s="352"/>
      <c r="AG3573" s="352"/>
      <c r="AH3573" s="352"/>
      <c r="AI3573" s="352"/>
      <c r="AJ3573" s="352"/>
    </row>
    <row r="3574" spans="2:36">
      <c r="B3574" s="352"/>
      <c r="C3574" s="352"/>
      <c r="D3574" s="352"/>
      <c r="E3574" s="352"/>
      <c r="F3574" s="352"/>
      <c r="H3574" s="352"/>
      <c r="J3574" s="352"/>
      <c r="L3574" s="352"/>
      <c r="M3574" s="352"/>
      <c r="N3574" s="352"/>
      <c r="O3574" s="352"/>
      <c r="P3574" s="352"/>
      <c r="Q3574" s="352"/>
      <c r="R3574" s="352"/>
      <c r="S3574" s="352"/>
      <c r="T3574" s="352"/>
      <c r="U3574" s="352"/>
      <c r="V3574" s="352"/>
      <c r="W3574" s="352"/>
      <c r="X3574" s="352"/>
      <c r="Y3574" s="352"/>
      <c r="Z3574" s="352"/>
      <c r="AA3574" s="352"/>
      <c r="AB3574" s="352"/>
      <c r="AC3574" s="352"/>
      <c r="AD3574" s="352"/>
      <c r="AE3574" s="352"/>
      <c r="AF3574" s="352"/>
      <c r="AG3574" s="352"/>
      <c r="AH3574" s="352"/>
      <c r="AI3574" s="352"/>
      <c r="AJ3574" s="352"/>
    </row>
    <row r="3575" spans="2:36">
      <c r="B3575" s="352"/>
      <c r="C3575" s="352"/>
      <c r="D3575" s="352"/>
      <c r="E3575" s="352"/>
      <c r="F3575" s="352"/>
      <c r="H3575" s="352"/>
      <c r="J3575" s="352"/>
      <c r="L3575" s="352"/>
      <c r="M3575" s="352"/>
      <c r="N3575" s="352"/>
      <c r="O3575" s="352"/>
      <c r="P3575" s="352"/>
      <c r="Q3575" s="352"/>
      <c r="R3575" s="352"/>
      <c r="S3575" s="352"/>
      <c r="T3575" s="352"/>
      <c r="U3575" s="352"/>
      <c r="V3575" s="352"/>
      <c r="W3575" s="352"/>
      <c r="X3575" s="352"/>
      <c r="Y3575" s="352"/>
      <c r="Z3575" s="352"/>
      <c r="AA3575" s="352"/>
      <c r="AB3575" s="352"/>
      <c r="AC3575" s="352"/>
      <c r="AD3575" s="352"/>
      <c r="AE3575" s="352"/>
      <c r="AF3575" s="352"/>
      <c r="AG3575" s="352"/>
      <c r="AH3575" s="352"/>
      <c r="AI3575" s="352"/>
      <c r="AJ3575" s="352"/>
    </row>
    <row r="3576" spans="2:36">
      <c r="B3576" s="352"/>
      <c r="C3576" s="352"/>
      <c r="D3576" s="352"/>
      <c r="E3576" s="352"/>
      <c r="F3576" s="352"/>
      <c r="H3576" s="352"/>
      <c r="J3576" s="352"/>
      <c r="L3576" s="352"/>
      <c r="M3576" s="352"/>
      <c r="N3576" s="352"/>
      <c r="O3576" s="352"/>
      <c r="P3576" s="352"/>
      <c r="Q3576" s="352"/>
      <c r="R3576" s="352"/>
      <c r="S3576" s="352"/>
      <c r="T3576" s="352"/>
      <c r="U3576" s="352"/>
      <c r="V3576" s="352"/>
      <c r="W3576" s="352"/>
      <c r="X3576" s="352"/>
      <c r="Y3576" s="352"/>
      <c r="Z3576" s="352"/>
      <c r="AA3576" s="352"/>
      <c r="AB3576" s="352"/>
      <c r="AC3576" s="352"/>
      <c r="AD3576" s="352"/>
      <c r="AE3576" s="352"/>
      <c r="AF3576" s="352"/>
      <c r="AG3576" s="352"/>
      <c r="AH3576" s="352"/>
      <c r="AI3576" s="352"/>
      <c r="AJ3576" s="352"/>
    </row>
    <row r="3577" spans="2:36">
      <c r="B3577" s="352"/>
      <c r="C3577" s="352"/>
      <c r="D3577" s="352"/>
      <c r="E3577" s="352"/>
      <c r="F3577" s="352"/>
      <c r="H3577" s="352"/>
      <c r="J3577" s="352"/>
      <c r="L3577" s="352"/>
      <c r="M3577" s="352"/>
      <c r="N3577" s="352"/>
      <c r="O3577" s="352"/>
      <c r="P3577" s="352"/>
      <c r="Q3577" s="352"/>
      <c r="R3577" s="352"/>
      <c r="S3577" s="352"/>
      <c r="T3577" s="352"/>
      <c r="U3577" s="352"/>
      <c r="V3577" s="352"/>
      <c r="W3577" s="352"/>
      <c r="X3577" s="352"/>
      <c r="Y3577" s="352"/>
      <c r="Z3577" s="352"/>
      <c r="AA3577" s="352"/>
      <c r="AB3577" s="352"/>
      <c r="AC3577" s="352"/>
      <c r="AD3577" s="352"/>
      <c r="AE3577" s="352"/>
      <c r="AF3577" s="352"/>
      <c r="AG3577" s="352"/>
      <c r="AH3577" s="352"/>
      <c r="AI3577" s="352"/>
      <c r="AJ3577" s="352"/>
    </row>
    <row r="3578" spans="2:36">
      <c r="B3578" s="352"/>
      <c r="C3578" s="352"/>
      <c r="D3578" s="352"/>
      <c r="E3578" s="352"/>
      <c r="F3578" s="352"/>
      <c r="H3578" s="352"/>
      <c r="J3578" s="352"/>
      <c r="L3578" s="352"/>
      <c r="M3578" s="352"/>
      <c r="N3578" s="352"/>
      <c r="O3578" s="352"/>
      <c r="P3578" s="352"/>
      <c r="Q3578" s="352"/>
      <c r="R3578" s="352"/>
      <c r="S3578" s="352"/>
      <c r="T3578" s="352"/>
      <c r="U3578" s="352"/>
      <c r="V3578" s="352"/>
      <c r="W3578" s="352"/>
      <c r="X3578" s="352"/>
      <c r="Y3578" s="352"/>
      <c r="Z3578" s="352"/>
      <c r="AA3578" s="352"/>
      <c r="AB3578" s="352"/>
      <c r="AC3578" s="352"/>
      <c r="AD3578" s="352"/>
      <c r="AE3578" s="352"/>
      <c r="AF3578" s="352"/>
      <c r="AG3578" s="352"/>
      <c r="AH3578" s="352"/>
      <c r="AI3578" s="352"/>
      <c r="AJ3578" s="352"/>
    </row>
    <row r="3579" spans="2:36">
      <c r="B3579" s="352"/>
      <c r="C3579" s="352"/>
      <c r="D3579" s="352"/>
      <c r="E3579" s="352"/>
      <c r="F3579" s="352"/>
      <c r="H3579" s="352"/>
      <c r="J3579" s="352"/>
      <c r="L3579" s="352"/>
      <c r="M3579" s="352"/>
      <c r="N3579" s="352"/>
      <c r="O3579" s="352"/>
      <c r="P3579" s="352"/>
      <c r="Q3579" s="352"/>
      <c r="R3579" s="352"/>
      <c r="S3579" s="352"/>
      <c r="T3579" s="352"/>
      <c r="U3579" s="352"/>
      <c r="V3579" s="352"/>
      <c r="W3579" s="352"/>
      <c r="X3579" s="352"/>
      <c r="Y3579" s="352"/>
      <c r="Z3579" s="352"/>
      <c r="AA3579" s="352"/>
      <c r="AB3579" s="352"/>
      <c r="AC3579" s="352"/>
      <c r="AD3579" s="352"/>
      <c r="AE3579" s="352"/>
      <c r="AF3579" s="352"/>
      <c r="AG3579" s="352"/>
      <c r="AH3579" s="352"/>
      <c r="AI3579" s="352"/>
      <c r="AJ3579" s="352"/>
    </row>
    <row r="3580" spans="2:36">
      <c r="B3580" s="352"/>
      <c r="C3580" s="352"/>
      <c r="D3580" s="352"/>
      <c r="E3580" s="352"/>
      <c r="F3580" s="352"/>
      <c r="H3580" s="352"/>
      <c r="J3580" s="352"/>
      <c r="L3580" s="352"/>
      <c r="M3580" s="352"/>
      <c r="N3580" s="352"/>
      <c r="O3580" s="352"/>
      <c r="P3580" s="352"/>
      <c r="Q3580" s="352"/>
      <c r="R3580" s="352"/>
      <c r="S3580" s="352"/>
      <c r="T3580" s="352"/>
      <c r="U3580" s="352"/>
      <c r="V3580" s="352"/>
      <c r="W3580" s="352"/>
      <c r="X3580" s="352"/>
      <c r="Y3580" s="352"/>
      <c r="Z3580" s="352"/>
      <c r="AA3580" s="352"/>
      <c r="AB3580" s="352"/>
      <c r="AC3580" s="352"/>
      <c r="AD3580" s="352"/>
      <c r="AE3580" s="352"/>
      <c r="AF3580" s="352"/>
      <c r="AG3580" s="352"/>
      <c r="AH3580" s="352"/>
      <c r="AI3580" s="352"/>
      <c r="AJ3580" s="352"/>
    </row>
    <row r="3581" spans="2:36">
      <c r="B3581" s="352"/>
      <c r="C3581" s="352"/>
      <c r="D3581" s="352"/>
      <c r="E3581" s="352"/>
      <c r="F3581" s="352"/>
      <c r="H3581" s="352"/>
      <c r="J3581" s="352"/>
      <c r="L3581" s="352"/>
      <c r="M3581" s="352"/>
      <c r="N3581" s="352"/>
      <c r="O3581" s="352"/>
      <c r="P3581" s="352"/>
      <c r="Q3581" s="352"/>
      <c r="R3581" s="352"/>
      <c r="S3581" s="352"/>
      <c r="T3581" s="352"/>
      <c r="U3581" s="352"/>
      <c r="V3581" s="352"/>
      <c r="W3581" s="352"/>
      <c r="X3581" s="352"/>
      <c r="Y3581" s="352"/>
      <c r="Z3581" s="352"/>
      <c r="AA3581" s="352"/>
      <c r="AB3581" s="352"/>
      <c r="AC3581" s="352"/>
      <c r="AD3581" s="352"/>
      <c r="AE3581" s="352"/>
      <c r="AF3581" s="352"/>
      <c r="AG3581" s="352"/>
      <c r="AH3581" s="352"/>
      <c r="AI3581" s="352"/>
      <c r="AJ3581" s="352"/>
    </row>
    <row r="3582" spans="2:36">
      <c r="B3582" s="352"/>
      <c r="C3582" s="352"/>
      <c r="D3582" s="352"/>
      <c r="E3582" s="352"/>
      <c r="F3582" s="352"/>
      <c r="H3582" s="352"/>
      <c r="J3582" s="352"/>
      <c r="L3582" s="352"/>
      <c r="M3582" s="352"/>
      <c r="N3582" s="352"/>
      <c r="O3582" s="352"/>
      <c r="P3582" s="352"/>
      <c r="Q3582" s="352"/>
      <c r="R3582" s="352"/>
      <c r="S3582" s="352"/>
      <c r="T3582" s="352"/>
      <c r="U3582" s="352"/>
      <c r="V3582" s="352"/>
      <c r="W3582" s="352"/>
      <c r="X3582" s="352"/>
      <c r="Y3582" s="352"/>
      <c r="Z3582" s="352"/>
      <c r="AA3582" s="352"/>
      <c r="AB3582" s="352"/>
      <c r="AC3582" s="352"/>
      <c r="AD3582" s="352"/>
      <c r="AE3582" s="352"/>
      <c r="AF3582" s="352"/>
      <c r="AG3582" s="352"/>
      <c r="AH3582" s="352"/>
      <c r="AI3582" s="352"/>
      <c r="AJ3582" s="352"/>
    </row>
    <row r="3583" spans="2:36">
      <c r="B3583" s="352"/>
      <c r="C3583" s="352"/>
      <c r="D3583" s="352"/>
      <c r="E3583" s="352"/>
      <c r="F3583" s="352"/>
      <c r="H3583" s="352"/>
      <c r="J3583" s="352"/>
      <c r="L3583" s="352"/>
      <c r="M3583" s="352"/>
      <c r="N3583" s="352"/>
      <c r="O3583" s="352"/>
      <c r="P3583" s="352"/>
      <c r="Q3583" s="352"/>
      <c r="R3583" s="352"/>
      <c r="S3583" s="352"/>
      <c r="T3583" s="352"/>
      <c r="U3583" s="352"/>
      <c r="V3583" s="352"/>
      <c r="W3583" s="352"/>
      <c r="X3583" s="352"/>
      <c r="Y3583" s="352"/>
      <c r="Z3583" s="352"/>
      <c r="AA3583" s="352"/>
      <c r="AB3583" s="352"/>
      <c r="AC3583" s="352"/>
      <c r="AD3583" s="352"/>
      <c r="AE3583" s="352"/>
      <c r="AF3583" s="352"/>
      <c r="AG3583" s="352"/>
      <c r="AH3583" s="352"/>
      <c r="AI3583" s="352"/>
      <c r="AJ3583" s="352"/>
    </row>
    <row r="3584" spans="2:36">
      <c r="B3584" s="352"/>
      <c r="C3584" s="352"/>
      <c r="D3584" s="352"/>
      <c r="E3584" s="352"/>
      <c r="F3584" s="352"/>
      <c r="H3584" s="352"/>
      <c r="J3584" s="352"/>
      <c r="L3584" s="352"/>
      <c r="M3584" s="352"/>
      <c r="N3584" s="352"/>
      <c r="O3584" s="352"/>
      <c r="P3584" s="352"/>
      <c r="Q3584" s="352"/>
      <c r="R3584" s="352"/>
      <c r="S3584" s="352"/>
      <c r="T3584" s="352"/>
      <c r="U3584" s="352"/>
      <c r="V3584" s="352"/>
      <c r="W3584" s="352"/>
      <c r="X3584" s="352"/>
      <c r="Y3584" s="352"/>
      <c r="Z3584" s="352"/>
      <c r="AA3584" s="352"/>
      <c r="AB3584" s="352"/>
      <c r="AC3584" s="352"/>
      <c r="AD3584" s="352"/>
      <c r="AE3584" s="352"/>
      <c r="AF3584" s="352"/>
      <c r="AG3584" s="352"/>
      <c r="AH3584" s="352"/>
      <c r="AI3584" s="352"/>
      <c r="AJ3584" s="352"/>
    </row>
    <row r="3585" spans="2:36">
      <c r="B3585" s="352"/>
      <c r="C3585" s="352"/>
      <c r="D3585" s="352"/>
      <c r="E3585" s="352"/>
      <c r="F3585" s="352"/>
      <c r="H3585" s="352"/>
      <c r="J3585" s="352"/>
      <c r="L3585" s="352"/>
      <c r="M3585" s="352"/>
      <c r="N3585" s="352"/>
      <c r="O3585" s="352"/>
      <c r="P3585" s="352"/>
      <c r="Q3585" s="352"/>
      <c r="R3585" s="352"/>
      <c r="S3585" s="352"/>
      <c r="T3585" s="352"/>
      <c r="U3585" s="352"/>
      <c r="V3585" s="352"/>
      <c r="W3585" s="352"/>
      <c r="X3585" s="352"/>
      <c r="Y3585" s="352"/>
      <c r="Z3585" s="352"/>
      <c r="AA3585" s="352"/>
      <c r="AB3585" s="352"/>
      <c r="AC3585" s="352"/>
      <c r="AD3585" s="352"/>
      <c r="AE3585" s="352"/>
      <c r="AF3585" s="352"/>
      <c r="AG3585" s="352"/>
      <c r="AH3585" s="352"/>
      <c r="AI3585" s="352"/>
      <c r="AJ3585" s="352"/>
    </row>
    <row r="3586" spans="2:36">
      <c r="B3586" s="352"/>
      <c r="C3586" s="352"/>
      <c r="D3586" s="352"/>
      <c r="E3586" s="352"/>
      <c r="F3586" s="352"/>
      <c r="H3586" s="352"/>
      <c r="J3586" s="352"/>
      <c r="L3586" s="352"/>
      <c r="M3586" s="352"/>
      <c r="N3586" s="352"/>
      <c r="O3586" s="352"/>
      <c r="P3586" s="352"/>
      <c r="Q3586" s="352"/>
      <c r="R3586" s="352"/>
      <c r="S3586" s="352"/>
      <c r="T3586" s="352"/>
      <c r="U3586" s="352"/>
      <c r="V3586" s="352"/>
      <c r="W3586" s="352"/>
      <c r="X3586" s="352"/>
      <c r="Y3586" s="352"/>
      <c r="Z3586" s="352"/>
      <c r="AA3586" s="352"/>
      <c r="AB3586" s="352"/>
      <c r="AC3586" s="352"/>
      <c r="AD3586" s="352"/>
      <c r="AE3586" s="352"/>
      <c r="AF3586" s="352"/>
      <c r="AG3586" s="352"/>
      <c r="AH3586" s="352"/>
      <c r="AI3586" s="352"/>
      <c r="AJ3586" s="352"/>
    </row>
    <row r="3587" spans="2:36">
      <c r="B3587" s="352"/>
      <c r="C3587" s="352"/>
      <c r="D3587" s="352"/>
      <c r="E3587" s="352"/>
      <c r="F3587" s="352"/>
      <c r="H3587" s="352"/>
      <c r="J3587" s="352"/>
      <c r="L3587" s="352"/>
      <c r="M3587" s="352"/>
      <c r="N3587" s="352"/>
      <c r="O3587" s="352"/>
      <c r="P3587" s="352"/>
      <c r="Q3587" s="352"/>
      <c r="R3587" s="352"/>
      <c r="S3587" s="352"/>
      <c r="T3587" s="352"/>
      <c r="U3587" s="352"/>
      <c r="V3587" s="352"/>
      <c r="W3587" s="352"/>
      <c r="X3587" s="352"/>
      <c r="Y3587" s="352"/>
      <c r="Z3587" s="352"/>
      <c r="AA3587" s="352"/>
      <c r="AB3587" s="352"/>
      <c r="AC3587" s="352"/>
      <c r="AD3587" s="352"/>
      <c r="AE3587" s="352"/>
      <c r="AF3587" s="352"/>
      <c r="AG3587" s="352"/>
      <c r="AH3587" s="352"/>
      <c r="AI3587" s="352"/>
      <c r="AJ3587" s="352"/>
    </row>
    <row r="3588" spans="2:36">
      <c r="B3588" s="352"/>
      <c r="C3588" s="352"/>
      <c r="D3588" s="352"/>
      <c r="E3588" s="352"/>
      <c r="F3588" s="352"/>
      <c r="H3588" s="352"/>
      <c r="J3588" s="352"/>
      <c r="L3588" s="352"/>
      <c r="M3588" s="352"/>
      <c r="N3588" s="352"/>
      <c r="O3588" s="352"/>
      <c r="P3588" s="352"/>
      <c r="Q3588" s="352"/>
      <c r="R3588" s="352"/>
      <c r="S3588" s="352"/>
      <c r="T3588" s="352"/>
      <c r="U3588" s="352"/>
      <c r="V3588" s="352"/>
      <c r="W3588" s="352"/>
      <c r="X3588" s="352"/>
      <c r="Y3588" s="352"/>
      <c r="Z3588" s="352"/>
      <c r="AA3588" s="352"/>
      <c r="AB3588" s="352"/>
      <c r="AC3588" s="352"/>
      <c r="AD3588" s="352"/>
      <c r="AE3588" s="352"/>
      <c r="AF3588" s="352"/>
      <c r="AG3588" s="352"/>
      <c r="AH3588" s="352"/>
      <c r="AI3588" s="352"/>
      <c r="AJ3588" s="352"/>
    </row>
    <row r="3589" spans="2:36">
      <c r="B3589" s="352"/>
      <c r="C3589" s="352"/>
      <c r="D3589" s="352"/>
      <c r="E3589" s="352"/>
      <c r="F3589" s="352"/>
      <c r="H3589" s="352"/>
      <c r="J3589" s="352"/>
      <c r="L3589" s="352"/>
      <c r="M3589" s="352"/>
      <c r="N3589" s="352"/>
      <c r="O3589" s="352"/>
      <c r="P3589" s="352"/>
      <c r="Q3589" s="352"/>
      <c r="R3589" s="352"/>
      <c r="S3589" s="352"/>
      <c r="T3589" s="352"/>
      <c r="U3589" s="352"/>
      <c r="V3589" s="352"/>
      <c r="W3589" s="352"/>
      <c r="X3589" s="352"/>
      <c r="Y3589" s="352"/>
      <c r="Z3589" s="352"/>
      <c r="AA3589" s="352"/>
      <c r="AB3589" s="352"/>
      <c r="AC3589" s="352"/>
      <c r="AD3589" s="352"/>
      <c r="AE3589" s="352"/>
      <c r="AF3589" s="352"/>
      <c r="AG3589" s="352"/>
      <c r="AH3589" s="352"/>
      <c r="AI3589" s="352"/>
      <c r="AJ3589" s="352"/>
    </row>
    <row r="3590" spans="2:36">
      <c r="B3590" s="352"/>
      <c r="C3590" s="352"/>
      <c r="D3590" s="352"/>
      <c r="E3590" s="352"/>
      <c r="F3590" s="352"/>
      <c r="H3590" s="352"/>
      <c r="J3590" s="352"/>
      <c r="L3590" s="352"/>
      <c r="M3590" s="352"/>
      <c r="N3590" s="352"/>
      <c r="O3590" s="352"/>
      <c r="P3590" s="352"/>
      <c r="Q3590" s="352"/>
      <c r="R3590" s="352"/>
      <c r="S3590" s="352"/>
      <c r="T3590" s="352"/>
      <c r="U3590" s="352"/>
      <c r="V3590" s="352"/>
      <c r="W3590" s="352"/>
      <c r="X3590" s="352"/>
      <c r="Y3590" s="352"/>
      <c r="Z3590" s="352"/>
      <c r="AA3590" s="352"/>
      <c r="AB3590" s="352"/>
      <c r="AC3590" s="352"/>
      <c r="AD3590" s="352"/>
      <c r="AE3590" s="352"/>
      <c r="AF3590" s="352"/>
      <c r="AG3590" s="352"/>
      <c r="AH3590" s="352"/>
      <c r="AI3590" s="352"/>
      <c r="AJ3590" s="352"/>
    </row>
    <row r="3591" spans="2:36">
      <c r="B3591" s="352"/>
      <c r="C3591" s="352"/>
      <c r="D3591" s="352"/>
      <c r="E3591" s="352"/>
      <c r="F3591" s="352"/>
      <c r="H3591" s="352"/>
      <c r="J3591" s="352"/>
      <c r="L3591" s="352"/>
      <c r="M3591" s="352"/>
      <c r="N3591" s="352"/>
      <c r="O3591" s="352"/>
      <c r="P3591" s="352"/>
      <c r="Q3591" s="352"/>
      <c r="R3591" s="352"/>
      <c r="S3591" s="352"/>
      <c r="T3591" s="352"/>
      <c r="U3591" s="352"/>
      <c r="V3591" s="352"/>
      <c r="W3591" s="352"/>
      <c r="X3591" s="352"/>
      <c r="Y3591" s="352"/>
      <c r="Z3591" s="352"/>
      <c r="AA3591" s="352"/>
      <c r="AB3591" s="352"/>
      <c r="AC3591" s="352"/>
      <c r="AD3591" s="352"/>
      <c r="AE3591" s="352"/>
      <c r="AF3591" s="352"/>
      <c r="AG3591" s="352"/>
      <c r="AH3591" s="352"/>
      <c r="AI3591" s="352"/>
      <c r="AJ3591" s="352"/>
    </row>
    <row r="3592" spans="2:36">
      <c r="B3592" s="352"/>
      <c r="C3592" s="352"/>
      <c r="D3592" s="352"/>
      <c r="E3592" s="352"/>
      <c r="F3592" s="352"/>
      <c r="H3592" s="352"/>
      <c r="J3592" s="352"/>
      <c r="L3592" s="352"/>
      <c r="M3592" s="352"/>
      <c r="N3592" s="352"/>
      <c r="O3592" s="352"/>
      <c r="P3592" s="352"/>
      <c r="Q3592" s="352"/>
      <c r="R3592" s="352"/>
      <c r="S3592" s="352"/>
      <c r="T3592" s="352"/>
      <c r="U3592" s="352"/>
      <c r="V3592" s="352"/>
      <c r="W3592" s="352"/>
      <c r="X3592" s="352"/>
      <c r="Y3592" s="352"/>
      <c r="Z3592" s="352"/>
      <c r="AA3592" s="352"/>
      <c r="AB3592" s="352"/>
      <c r="AC3592" s="352"/>
      <c r="AD3592" s="352"/>
      <c r="AE3592" s="352"/>
      <c r="AF3592" s="352"/>
      <c r="AG3592" s="352"/>
      <c r="AH3592" s="352"/>
      <c r="AI3592" s="352"/>
      <c r="AJ3592" s="352"/>
    </row>
    <row r="3593" spans="2:36">
      <c r="B3593" s="352"/>
      <c r="C3593" s="352"/>
      <c r="D3593" s="352"/>
      <c r="E3593" s="352"/>
      <c r="F3593" s="352"/>
      <c r="H3593" s="352"/>
      <c r="J3593" s="352"/>
      <c r="L3593" s="352"/>
      <c r="M3593" s="352"/>
      <c r="N3593" s="352"/>
      <c r="O3593" s="352"/>
      <c r="P3593" s="352"/>
      <c r="Q3593" s="352"/>
      <c r="R3593" s="352"/>
      <c r="S3593" s="352"/>
      <c r="T3593" s="352"/>
      <c r="U3593" s="352"/>
      <c r="V3593" s="352"/>
      <c r="W3593" s="352"/>
      <c r="X3593" s="352"/>
      <c r="Y3593" s="352"/>
      <c r="Z3593" s="352"/>
      <c r="AA3593" s="352"/>
      <c r="AB3593" s="352"/>
      <c r="AC3593" s="352"/>
      <c r="AD3593" s="352"/>
      <c r="AE3593" s="352"/>
      <c r="AF3593" s="352"/>
      <c r="AG3593" s="352"/>
      <c r="AH3593" s="352"/>
      <c r="AI3593" s="352"/>
      <c r="AJ3593" s="352"/>
    </row>
    <row r="3594" spans="2:36">
      <c r="B3594" s="352"/>
      <c r="C3594" s="352"/>
      <c r="D3594" s="352"/>
      <c r="E3594" s="352"/>
      <c r="F3594" s="352"/>
      <c r="H3594" s="352"/>
      <c r="J3594" s="352"/>
      <c r="L3594" s="352"/>
      <c r="M3594" s="352"/>
      <c r="N3594" s="352"/>
      <c r="O3594" s="352"/>
      <c r="P3594" s="352"/>
      <c r="Q3594" s="352"/>
      <c r="R3594" s="352"/>
      <c r="S3594" s="352"/>
      <c r="T3594" s="352"/>
      <c r="U3594" s="352"/>
      <c r="V3594" s="352"/>
      <c r="W3594" s="352"/>
      <c r="X3594" s="352"/>
      <c r="Y3594" s="352"/>
      <c r="Z3594" s="352"/>
      <c r="AA3594" s="352"/>
      <c r="AB3594" s="352"/>
      <c r="AC3594" s="352"/>
      <c r="AD3594" s="352"/>
      <c r="AE3594" s="352"/>
      <c r="AF3594" s="352"/>
      <c r="AG3594" s="352"/>
      <c r="AH3594" s="352"/>
      <c r="AI3594" s="352"/>
      <c r="AJ3594" s="352"/>
    </row>
    <row r="3595" spans="2:36">
      <c r="B3595" s="352"/>
      <c r="C3595" s="352"/>
      <c r="D3595" s="352"/>
      <c r="E3595" s="352"/>
      <c r="F3595" s="352"/>
      <c r="H3595" s="352"/>
      <c r="J3595" s="352"/>
      <c r="L3595" s="352"/>
      <c r="M3595" s="352"/>
      <c r="N3595" s="352"/>
      <c r="O3595" s="352"/>
      <c r="P3595" s="352"/>
      <c r="Q3595" s="352"/>
      <c r="R3595" s="352"/>
      <c r="S3595" s="352"/>
      <c r="T3595" s="352"/>
      <c r="U3595" s="352"/>
      <c r="V3595" s="352"/>
      <c r="W3595" s="352"/>
      <c r="X3595" s="352"/>
      <c r="Y3595" s="352"/>
      <c r="Z3595" s="352"/>
      <c r="AA3595" s="352"/>
      <c r="AB3595" s="352"/>
      <c r="AC3595" s="352"/>
      <c r="AD3595" s="352"/>
      <c r="AE3595" s="352"/>
      <c r="AF3595" s="352"/>
      <c r="AG3595" s="352"/>
      <c r="AH3595" s="352"/>
      <c r="AI3595" s="352"/>
      <c r="AJ3595" s="352"/>
    </row>
    <row r="3596" spans="2:36">
      <c r="B3596" s="352"/>
      <c r="C3596" s="352"/>
      <c r="D3596" s="352"/>
      <c r="E3596" s="352"/>
      <c r="F3596" s="352"/>
      <c r="H3596" s="352"/>
      <c r="J3596" s="352"/>
      <c r="L3596" s="352"/>
      <c r="M3596" s="352"/>
      <c r="N3596" s="352"/>
      <c r="O3596" s="352"/>
      <c r="P3596" s="352"/>
      <c r="Q3596" s="352"/>
      <c r="R3596" s="352"/>
      <c r="S3596" s="352"/>
      <c r="T3596" s="352"/>
      <c r="U3596" s="352"/>
      <c r="V3596" s="352"/>
      <c r="W3596" s="352"/>
      <c r="X3596" s="352"/>
      <c r="Y3596" s="352"/>
      <c r="Z3596" s="352"/>
      <c r="AA3596" s="352"/>
      <c r="AB3596" s="352"/>
      <c r="AC3596" s="352"/>
      <c r="AD3596" s="352"/>
      <c r="AE3596" s="352"/>
      <c r="AF3596" s="352"/>
      <c r="AG3596" s="352"/>
      <c r="AH3596" s="352"/>
      <c r="AI3596" s="352"/>
      <c r="AJ3596" s="352"/>
    </row>
    <row r="3597" spans="2:36">
      <c r="B3597" s="352"/>
      <c r="C3597" s="352"/>
      <c r="D3597" s="352"/>
      <c r="E3597" s="352"/>
      <c r="F3597" s="352"/>
      <c r="H3597" s="352"/>
      <c r="J3597" s="352"/>
      <c r="L3597" s="352"/>
      <c r="M3597" s="352"/>
      <c r="N3597" s="352"/>
      <c r="O3597" s="352"/>
      <c r="P3597" s="352"/>
      <c r="Q3597" s="352"/>
      <c r="R3597" s="352"/>
      <c r="S3597" s="352"/>
      <c r="T3597" s="352"/>
      <c r="U3597" s="352"/>
      <c r="V3597" s="352"/>
      <c r="W3597" s="352"/>
      <c r="X3597" s="352"/>
      <c r="Y3597" s="352"/>
      <c r="Z3597" s="352"/>
      <c r="AA3597" s="352"/>
      <c r="AB3597" s="352"/>
      <c r="AC3597" s="352"/>
      <c r="AD3597" s="352"/>
      <c r="AE3597" s="352"/>
      <c r="AF3597" s="352"/>
      <c r="AG3597" s="352"/>
      <c r="AH3597" s="352"/>
      <c r="AI3597" s="352"/>
      <c r="AJ3597" s="352"/>
    </row>
    <row r="3598" spans="2:36">
      <c r="B3598" s="352"/>
      <c r="C3598" s="352"/>
      <c r="D3598" s="352"/>
      <c r="E3598" s="352"/>
      <c r="F3598" s="352"/>
      <c r="H3598" s="352"/>
      <c r="J3598" s="352"/>
      <c r="L3598" s="352"/>
      <c r="M3598" s="352"/>
      <c r="N3598" s="352"/>
      <c r="O3598" s="352"/>
      <c r="P3598" s="352"/>
      <c r="Q3598" s="352"/>
      <c r="R3598" s="352"/>
      <c r="S3598" s="352"/>
      <c r="T3598" s="352"/>
      <c r="U3598" s="352"/>
      <c r="V3598" s="352"/>
      <c r="W3598" s="352"/>
      <c r="X3598" s="352"/>
      <c r="Y3598" s="352"/>
      <c r="Z3598" s="352"/>
      <c r="AA3598" s="352"/>
      <c r="AB3598" s="352"/>
      <c r="AC3598" s="352"/>
      <c r="AD3598" s="352"/>
      <c r="AE3598" s="352"/>
      <c r="AF3598" s="352"/>
      <c r="AG3598" s="352"/>
      <c r="AH3598" s="352"/>
      <c r="AI3598" s="352"/>
      <c r="AJ3598" s="352"/>
    </row>
    <row r="3599" spans="2:36">
      <c r="B3599" s="352"/>
      <c r="C3599" s="352"/>
      <c r="D3599" s="352"/>
      <c r="E3599" s="352"/>
      <c r="F3599" s="352"/>
      <c r="H3599" s="352"/>
      <c r="J3599" s="352"/>
      <c r="L3599" s="352"/>
      <c r="M3599" s="352"/>
      <c r="N3599" s="352"/>
      <c r="O3599" s="352"/>
      <c r="P3599" s="352"/>
      <c r="Q3599" s="352"/>
      <c r="R3599" s="352"/>
      <c r="S3599" s="352"/>
      <c r="T3599" s="352"/>
      <c r="U3599" s="352"/>
      <c r="V3599" s="352"/>
      <c r="W3599" s="352"/>
      <c r="X3599" s="352"/>
      <c r="Y3599" s="352"/>
      <c r="Z3599" s="352"/>
      <c r="AA3599" s="352"/>
      <c r="AB3599" s="352"/>
      <c r="AC3599" s="352"/>
      <c r="AD3599" s="352"/>
      <c r="AE3599" s="352"/>
      <c r="AF3599" s="352"/>
      <c r="AG3599" s="352"/>
      <c r="AH3599" s="352"/>
      <c r="AI3599" s="352"/>
      <c r="AJ3599" s="352"/>
    </row>
    <row r="3600" spans="2:36">
      <c r="B3600" s="352"/>
      <c r="C3600" s="352"/>
      <c r="D3600" s="352"/>
      <c r="E3600" s="352"/>
      <c r="F3600" s="352"/>
      <c r="H3600" s="352"/>
      <c r="J3600" s="352"/>
      <c r="L3600" s="352"/>
      <c r="M3600" s="352"/>
      <c r="N3600" s="352"/>
      <c r="O3600" s="352"/>
      <c r="P3600" s="352"/>
      <c r="Q3600" s="352"/>
      <c r="R3600" s="352"/>
      <c r="S3600" s="352"/>
      <c r="T3600" s="352"/>
      <c r="U3600" s="352"/>
      <c r="V3600" s="352"/>
      <c r="W3600" s="352"/>
      <c r="X3600" s="352"/>
      <c r="Y3600" s="352"/>
      <c r="Z3600" s="352"/>
      <c r="AA3600" s="352"/>
      <c r="AB3600" s="352"/>
      <c r="AC3600" s="352"/>
      <c r="AD3600" s="352"/>
      <c r="AE3600" s="352"/>
      <c r="AF3600" s="352"/>
      <c r="AG3600" s="352"/>
      <c r="AH3600" s="352"/>
      <c r="AI3600" s="352"/>
      <c r="AJ3600" s="352"/>
    </row>
    <row r="3601" spans="2:36">
      <c r="B3601" s="352"/>
      <c r="C3601" s="352"/>
      <c r="D3601" s="352"/>
      <c r="E3601" s="352"/>
      <c r="F3601" s="352"/>
      <c r="H3601" s="352"/>
      <c r="J3601" s="352"/>
      <c r="L3601" s="352"/>
      <c r="M3601" s="352"/>
      <c r="N3601" s="352"/>
      <c r="O3601" s="352"/>
      <c r="P3601" s="352"/>
      <c r="Q3601" s="352"/>
      <c r="R3601" s="352"/>
      <c r="S3601" s="352"/>
      <c r="T3601" s="352"/>
      <c r="U3601" s="352"/>
      <c r="V3601" s="352"/>
      <c r="W3601" s="352"/>
      <c r="X3601" s="352"/>
      <c r="Y3601" s="352"/>
      <c r="Z3601" s="352"/>
      <c r="AA3601" s="352"/>
      <c r="AB3601" s="352"/>
      <c r="AC3601" s="352"/>
      <c r="AD3601" s="352"/>
      <c r="AE3601" s="352"/>
      <c r="AF3601" s="352"/>
      <c r="AG3601" s="352"/>
      <c r="AH3601" s="352"/>
      <c r="AI3601" s="352"/>
      <c r="AJ3601" s="352"/>
    </row>
    <row r="3602" spans="2:36">
      <c r="B3602" s="352"/>
      <c r="C3602" s="352"/>
      <c r="D3602" s="352"/>
      <c r="E3602" s="352"/>
      <c r="F3602" s="352"/>
      <c r="H3602" s="352"/>
      <c r="J3602" s="352"/>
      <c r="L3602" s="352"/>
      <c r="M3602" s="352"/>
      <c r="N3602" s="352"/>
      <c r="O3602" s="352"/>
      <c r="P3602" s="352"/>
      <c r="Q3602" s="352"/>
      <c r="R3602" s="352"/>
      <c r="S3602" s="352"/>
      <c r="T3602" s="352"/>
      <c r="U3602" s="352"/>
      <c r="V3602" s="352"/>
      <c r="W3602" s="352"/>
      <c r="X3602" s="352"/>
      <c r="Y3602" s="352"/>
      <c r="Z3602" s="352"/>
      <c r="AA3602" s="352"/>
      <c r="AB3602" s="352"/>
      <c r="AC3602" s="352"/>
      <c r="AD3602" s="352"/>
      <c r="AE3602" s="352"/>
      <c r="AF3602" s="352"/>
      <c r="AG3602" s="352"/>
      <c r="AH3602" s="352"/>
      <c r="AI3602" s="352"/>
      <c r="AJ3602" s="352"/>
    </row>
    <row r="3603" spans="2:36">
      <c r="B3603" s="352"/>
      <c r="C3603" s="352"/>
      <c r="D3603" s="352"/>
      <c r="E3603" s="352"/>
      <c r="F3603" s="352"/>
      <c r="H3603" s="352"/>
      <c r="J3603" s="352"/>
      <c r="L3603" s="352"/>
      <c r="M3603" s="352"/>
      <c r="N3603" s="352"/>
      <c r="O3603" s="352"/>
      <c r="P3603" s="352"/>
      <c r="Q3603" s="352"/>
      <c r="R3603" s="352"/>
      <c r="S3603" s="352"/>
      <c r="T3603" s="352"/>
      <c r="U3603" s="352"/>
      <c r="V3603" s="352"/>
      <c r="W3603" s="352"/>
      <c r="X3603" s="352"/>
      <c r="Y3603" s="352"/>
      <c r="Z3603" s="352"/>
      <c r="AA3603" s="352"/>
      <c r="AB3603" s="352"/>
      <c r="AC3603" s="352"/>
      <c r="AD3603" s="352"/>
      <c r="AE3603" s="352"/>
      <c r="AF3603" s="352"/>
      <c r="AG3603" s="352"/>
      <c r="AH3603" s="352"/>
      <c r="AI3603" s="352"/>
      <c r="AJ3603" s="352"/>
    </row>
    <row r="3604" spans="2:36">
      <c r="B3604" s="352"/>
      <c r="C3604" s="352"/>
      <c r="D3604" s="352"/>
      <c r="E3604" s="352"/>
      <c r="F3604" s="352"/>
      <c r="H3604" s="352"/>
      <c r="J3604" s="352"/>
      <c r="L3604" s="352"/>
      <c r="M3604" s="352"/>
      <c r="N3604" s="352"/>
      <c r="O3604" s="352"/>
      <c r="P3604" s="352"/>
      <c r="Q3604" s="352"/>
      <c r="R3604" s="352"/>
      <c r="S3604" s="352"/>
      <c r="T3604" s="352"/>
      <c r="U3604" s="352"/>
      <c r="V3604" s="352"/>
      <c r="W3604" s="352"/>
      <c r="X3604" s="352"/>
      <c r="Y3604" s="352"/>
      <c r="Z3604" s="352"/>
      <c r="AA3604" s="352"/>
      <c r="AB3604" s="352"/>
      <c r="AC3604" s="352"/>
      <c r="AD3604" s="352"/>
      <c r="AE3604" s="352"/>
      <c r="AF3604" s="352"/>
      <c r="AG3604" s="352"/>
      <c r="AH3604" s="352"/>
      <c r="AI3604" s="352"/>
      <c r="AJ3604" s="352"/>
    </row>
    <row r="3605" spans="2:36">
      <c r="B3605" s="352"/>
      <c r="C3605" s="352"/>
      <c r="D3605" s="352"/>
      <c r="E3605" s="352"/>
      <c r="F3605" s="352"/>
      <c r="H3605" s="352"/>
      <c r="J3605" s="352"/>
      <c r="L3605" s="352"/>
      <c r="M3605" s="352"/>
      <c r="N3605" s="352"/>
      <c r="O3605" s="352"/>
      <c r="P3605" s="352"/>
      <c r="Q3605" s="352"/>
      <c r="R3605" s="352"/>
      <c r="S3605" s="352"/>
      <c r="T3605" s="352"/>
      <c r="U3605" s="352"/>
      <c r="V3605" s="352"/>
      <c r="W3605" s="352"/>
      <c r="X3605" s="352"/>
      <c r="Y3605" s="352"/>
      <c r="Z3605" s="352"/>
      <c r="AA3605" s="352"/>
      <c r="AB3605" s="352"/>
      <c r="AC3605" s="352"/>
      <c r="AD3605" s="352"/>
      <c r="AE3605" s="352"/>
      <c r="AF3605" s="352"/>
      <c r="AG3605" s="352"/>
      <c r="AH3605" s="352"/>
      <c r="AI3605" s="352"/>
      <c r="AJ3605" s="352"/>
    </row>
    <row r="3606" spans="2:36">
      <c r="B3606" s="352"/>
      <c r="C3606" s="352"/>
      <c r="D3606" s="352"/>
      <c r="E3606" s="352"/>
      <c r="F3606" s="352"/>
      <c r="H3606" s="352"/>
      <c r="J3606" s="352"/>
      <c r="L3606" s="352"/>
      <c r="M3606" s="352"/>
      <c r="N3606" s="352"/>
      <c r="O3606" s="352"/>
      <c r="P3606" s="352"/>
      <c r="Q3606" s="352"/>
      <c r="R3606" s="352"/>
      <c r="S3606" s="352"/>
      <c r="T3606" s="352"/>
      <c r="U3606" s="352"/>
      <c r="V3606" s="352"/>
      <c r="W3606" s="352"/>
      <c r="X3606" s="352"/>
      <c r="Y3606" s="352"/>
      <c r="Z3606" s="352"/>
      <c r="AA3606" s="352"/>
      <c r="AB3606" s="352"/>
      <c r="AC3606" s="352"/>
      <c r="AD3606" s="352"/>
      <c r="AE3606" s="352"/>
      <c r="AF3606" s="352"/>
      <c r="AG3606" s="352"/>
      <c r="AH3606" s="352"/>
      <c r="AI3606" s="352"/>
      <c r="AJ3606" s="352"/>
    </row>
    <row r="3607" spans="2:36">
      <c r="B3607" s="352"/>
      <c r="C3607" s="352"/>
      <c r="D3607" s="352"/>
      <c r="E3607" s="352"/>
      <c r="F3607" s="352"/>
      <c r="H3607" s="352"/>
      <c r="J3607" s="352"/>
      <c r="L3607" s="352"/>
      <c r="M3607" s="352"/>
      <c r="N3607" s="352"/>
      <c r="O3607" s="352"/>
      <c r="P3607" s="352"/>
      <c r="Q3607" s="352"/>
      <c r="R3607" s="352"/>
      <c r="S3607" s="352"/>
      <c r="T3607" s="352"/>
      <c r="U3607" s="352"/>
      <c r="V3607" s="352"/>
      <c r="W3607" s="352"/>
      <c r="X3607" s="352"/>
      <c r="Y3607" s="352"/>
      <c r="Z3607" s="352"/>
      <c r="AA3607" s="352"/>
      <c r="AB3607" s="352"/>
      <c r="AC3607" s="352"/>
      <c r="AD3607" s="352"/>
      <c r="AE3607" s="352"/>
      <c r="AF3607" s="352"/>
      <c r="AG3607" s="352"/>
      <c r="AH3607" s="352"/>
      <c r="AI3607" s="352"/>
      <c r="AJ3607" s="352"/>
    </row>
    <row r="3608" spans="2:36">
      <c r="B3608" s="352"/>
      <c r="C3608" s="352"/>
      <c r="D3608" s="352"/>
      <c r="E3608" s="352"/>
      <c r="F3608" s="352"/>
      <c r="H3608" s="352"/>
      <c r="J3608" s="352"/>
      <c r="L3608" s="352"/>
      <c r="M3608" s="352"/>
      <c r="N3608" s="352"/>
      <c r="O3608" s="352"/>
      <c r="P3608" s="352"/>
      <c r="Q3608" s="352"/>
      <c r="R3608" s="352"/>
      <c r="S3608" s="352"/>
      <c r="T3608" s="352"/>
      <c r="U3608" s="352"/>
      <c r="V3608" s="352"/>
      <c r="W3608" s="352"/>
      <c r="X3608" s="352"/>
      <c r="Y3608" s="352"/>
      <c r="Z3608" s="352"/>
      <c r="AA3608" s="352"/>
      <c r="AB3608" s="352"/>
      <c r="AC3608" s="352"/>
      <c r="AD3608" s="352"/>
      <c r="AE3608" s="352"/>
      <c r="AF3608" s="352"/>
      <c r="AG3608" s="352"/>
      <c r="AH3608" s="352"/>
      <c r="AI3608" s="352"/>
      <c r="AJ3608" s="352"/>
    </row>
    <row r="3609" spans="2:36">
      <c r="B3609" s="352"/>
      <c r="C3609" s="352"/>
      <c r="D3609" s="352"/>
      <c r="E3609" s="352"/>
      <c r="F3609" s="352"/>
      <c r="H3609" s="352"/>
      <c r="J3609" s="352"/>
      <c r="L3609" s="352"/>
      <c r="M3609" s="352"/>
      <c r="N3609" s="352"/>
      <c r="O3609" s="352"/>
      <c r="P3609" s="352"/>
      <c r="Q3609" s="352"/>
      <c r="R3609" s="352"/>
      <c r="S3609" s="352"/>
      <c r="T3609" s="352"/>
      <c r="U3609" s="352"/>
      <c r="V3609" s="352"/>
      <c r="W3609" s="352"/>
      <c r="X3609" s="352"/>
      <c r="Y3609" s="352"/>
      <c r="Z3609" s="352"/>
      <c r="AA3609" s="352"/>
      <c r="AB3609" s="352"/>
      <c r="AC3609" s="352"/>
      <c r="AD3609" s="352"/>
      <c r="AE3609" s="352"/>
      <c r="AF3609" s="352"/>
      <c r="AG3609" s="352"/>
      <c r="AH3609" s="352"/>
      <c r="AI3609" s="352"/>
      <c r="AJ3609" s="352"/>
    </row>
    <row r="3610" spans="2:36">
      <c r="B3610" s="352"/>
      <c r="C3610" s="352"/>
      <c r="D3610" s="352"/>
      <c r="E3610" s="352"/>
      <c r="F3610" s="352"/>
      <c r="H3610" s="352"/>
      <c r="J3610" s="352"/>
      <c r="L3610" s="352"/>
      <c r="M3610" s="352"/>
      <c r="N3610" s="352"/>
      <c r="O3610" s="352"/>
      <c r="P3610" s="352"/>
      <c r="Q3610" s="352"/>
      <c r="R3610" s="352"/>
      <c r="S3610" s="352"/>
      <c r="T3610" s="352"/>
      <c r="U3610" s="352"/>
      <c r="V3610" s="352"/>
      <c r="W3610" s="352"/>
      <c r="X3610" s="352"/>
      <c r="Y3610" s="352"/>
      <c r="Z3610" s="352"/>
      <c r="AA3610" s="352"/>
      <c r="AB3610" s="352"/>
      <c r="AC3610" s="352"/>
      <c r="AD3610" s="352"/>
      <c r="AE3610" s="352"/>
      <c r="AF3610" s="352"/>
      <c r="AG3610" s="352"/>
      <c r="AH3610" s="352"/>
      <c r="AI3610" s="352"/>
      <c r="AJ3610" s="352"/>
    </row>
    <row r="3611" spans="2:36">
      <c r="B3611" s="352"/>
      <c r="C3611" s="352"/>
      <c r="D3611" s="352"/>
      <c r="E3611" s="352"/>
      <c r="F3611" s="352"/>
      <c r="H3611" s="352"/>
      <c r="J3611" s="352"/>
      <c r="L3611" s="352"/>
      <c r="M3611" s="352"/>
      <c r="N3611" s="352"/>
      <c r="O3611" s="352"/>
      <c r="P3611" s="352"/>
      <c r="Q3611" s="352"/>
      <c r="R3611" s="352"/>
      <c r="S3611" s="352"/>
      <c r="T3611" s="352"/>
      <c r="U3611" s="352"/>
      <c r="V3611" s="352"/>
      <c r="W3611" s="352"/>
      <c r="X3611" s="352"/>
      <c r="Y3611" s="352"/>
      <c r="Z3611" s="352"/>
      <c r="AA3611" s="352"/>
      <c r="AB3611" s="352"/>
      <c r="AC3611" s="352"/>
      <c r="AD3611" s="352"/>
      <c r="AE3611" s="352"/>
      <c r="AF3611" s="352"/>
      <c r="AG3611" s="352"/>
      <c r="AH3611" s="352"/>
      <c r="AI3611" s="352"/>
      <c r="AJ3611" s="352"/>
    </row>
    <row r="3612" spans="2:36">
      <c r="B3612" s="352"/>
      <c r="C3612" s="352"/>
      <c r="D3612" s="352"/>
      <c r="E3612" s="352"/>
      <c r="F3612" s="352"/>
      <c r="H3612" s="352"/>
      <c r="J3612" s="352"/>
      <c r="L3612" s="352"/>
      <c r="M3612" s="352"/>
      <c r="N3612" s="352"/>
      <c r="O3612" s="352"/>
      <c r="P3612" s="352"/>
      <c r="Q3612" s="352"/>
      <c r="R3612" s="352"/>
      <c r="S3612" s="352"/>
      <c r="T3612" s="352"/>
      <c r="U3612" s="352"/>
      <c r="V3612" s="352"/>
      <c r="W3612" s="352"/>
      <c r="X3612" s="352"/>
      <c r="Y3612" s="352"/>
      <c r="Z3612" s="352"/>
      <c r="AA3612" s="352"/>
      <c r="AB3612" s="352"/>
      <c r="AC3612" s="352"/>
      <c r="AD3612" s="352"/>
      <c r="AE3612" s="352"/>
      <c r="AF3612" s="352"/>
      <c r="AG3612" s="352"/>
      <c r="AH3612" s="352"/>
      <c r="AI3612" s="352"/>
      <c r="AJ3612" s="352"/>
    </row>
    <row r="3613" spans="2:36">
      <c r="B3613" s="352"/>
      <c r="C3613" s="352"/>
      <c r="D3613" s="352"/>
      <c r="E3613" s="352"/>
      <c r="F3613" s="352"/>
      <c r="H3613" s="352"/>
      <c r="J3613" s="352"/>
      <c r="L3613" s="352"/>
      <c r="M3613" s="352"/>
      <c r="N3613" s="352"/>
      <c r="O3613" s="352"/>
      <c r="P3613" s="352"/>
      <c r="Q3613" s="352"/>
      <c r="R3613" s="352"/>
      <c r="S3613" s="352"/>
      <c r="T3613" s="352"/>
      <c r="U3613" s="352"/>
      <c r="V3613" s="352"/>
      <c r="W3613" s="352"/>
      <c r="X3613" s="352"/>
      <c r="Y3613" s="352"/>
      <c r="Z3613" s="352"/>
      <c r="AA3613" s="352"/>
      <c r="AB3613" s="352"/>
      <c r="AC3613" s="352"/>
      <c r="AD3613" s="352"/>
      <c r="AE3613" s="352"/>
      <c r="AF3613" s="352"/>
      <c r="AG3613" s="352"/>
      <c r="AH3613" s="352"/>
      <c r="AI3613" s="352"/>
      <c r="AJ3613" s="352"/>
    </row>
    <row r="3614" spans="2:36">
      <c r="B3614" s="352"/>
      <c r="C3614" s="352"/>
      <c r="D3614" s="352"/>
      <c r="E3614" s="352"/>
      <c r="F3614" s="352"/>
      <c r="H3614" s="352"/>
      <c r="J3614" s="352"/>
      <c r="L3614" s="352"/>
      <c r="M3614" s="352"/>
      <c r="N3614" s="352"/>
      <c r="O3614" s="352"/>
      <c r="P3614" s="352"/>
      <c r="Q3614" s="352"/>
      <c r="R3614" s="352"/>
      <c r="S3614" s="352"/>
      <c r="T3614" s="352"/>
      <c r="U3614" s="352"/>
      <c r="V3614" s="352"/>
      <c r="W3614" s="352"/>
      <c r="X3614" s="352"/>
      <c r="Y3614" s="352"/>
      <c r="Z3614" s="352"/>
      <c r="AA3614" s="352"/>
      <c r="AB3614" s="352"/>
      <c r="AC3614" s="352"/>
      <c r="AD3614" s="352"/>
      <c r="AE3614" s="352"/>
      <c r="AF3614" s="352"/>
      <c r="AG3614" s="352"/>
      <c r="AH3614" s="352"/>
      <c r="AI3614" s="352"/>
      <c r="AJ3614" s="352"/>
    </row>
    <row r="3615" spans="2:36">
      <c r="B3615" s="352"/>
      <c r="C3615" s="352"/>
      <c r="D3615" s="352"/>
      <c r="E3615" s="352"/>
      <c r="F3615" s="352"/>
      <c r="H3615" s="352"/>
      <c r="J3615" s="352"/>
      <c r="L3615" s="352"/>
      <c r="M3615" s="352"/>
      <c r="N3615" s="352"/>
      <c r="O3615" s="352"/>
      <c r="P3615" s="352"/>
      <c r="Q3615" s="352"/>
      <c r="R3615" s="352"/>
      <c r="S3615" s="352"/>
      <c r="T3615" s="352"/>
      <c r="U3615" s="352"/>
      <c r="V3615" s="352"/>
      <c r="W3615" s="352"/>
      <c r="X3615" s="352"/>
      <c r="Y3615" s="352"/>
      <c r="Z3615" s="352"/>
      <c r="AA3615" s="352"/>
      <c r="AB3615" s="352"/>
      <c r="AC3615" s="352"/>
      <c r="AD3615" s="352"/>
      <c r="AE3615" s="352"/>
      <c r="AF3615" s="352"/>
      <c r="AG3615" s="352"/>
      <c r="AH3615" s="352"/>
      <c r="AI3615" s="352"/>
      <c r="AJ3615" s="352"/>
    </row>
    <row r="3616" spans="2:36">
      <c r="B3616" s="352"/>
      <c r="C3616" s="352"/>
      <c r="D3616" s="352"/>
      <c r="E3616" s="352"/>
      <c r="F3616" s="352"/>
      <c r="H3616" s="352"/>
      <c r="J3616" s="352"/>
      <c r="L3616" s="352"/>
      <c r="M3616" s="352"/>
      <c r="N3616" s="352"/>
      <c r="O3616" s="352"/>
      <c r="P3616" s="352"/>
      <c r="Q3616" s="352"/>
      <c r="R3616" s="352"/>
      <c r="S3616" s="352"/>
      <c r="T3616" s="352"/>
      <c r="U3616" s="352"/>
      <c r="V3616" s="352"/>
      <c r="W3616" s="352"/>
      <c r="X3616" s="352"/>
      <c r="Y3616" s="352"/>
      <c r="Z3616" s="352"/>
      <c r="AA3616" s="352"/>
      <c r="AB3616" s="352"/>
      <c r="AC3616" s="352"/>
      <c r="AD3616" s="352"/>
      <c r="AE3616" s="352"/>
      <c r="AF3616" s="352"/>
      <c r="AG3616" s="352"/>
      <c r="AH3616" s="352"/>
      <c r="AI3616" s="352"/>
      <c r="AJ3616" s="352"/>
    </row>
    <row r="3617" spans="2:36">
      <c r="B3617" s="352"/>
      <c r="C3617" s="352"/>
      <c r="D3617" s="352"/>
      <c r="E3617" s="352"/>
      <c r="F3617" s="352"/>
      <c r="H3617" s="352"/>
      <c r="J3617" s="352"/>
      <c r="L3617" s="352"/>
      <c r="M3617" s="352"/>
      <c r="N3617" s="352"/>
      <c r="O3617" s="352"/>
      <c r="P3617" s="352"/>
      <c r="Q3617" s="352"/>
      <c r="R3617" s="352"/>
      <c r="S3617" s="352"/>
      <c r="T3617" s="352"/>
      <c r="U3617" s="352"/>
      <c r="V3617" s="352"/>
      <c r="W3617" s="352"/>
      <c r="X3617" s="352"/>
      <c r="Y3617" s="352"/>
      <c r="Z3617" s="352"/>
      <c r="AA3617" s="352"/>
      <c r="AB3617" s="352"/>
      <c r="AC3617" s="352"/>
      <c r="AD3617" s="352"/>
      <c r="AE3617" s="352"/>
      <c r="AF3617" s="352"/>
      <c r="AG3617" s="352"/>
      <c r="AH3617" s="352"/>
      <c r="AI3617" s="352"/>
      <c r="AJ3617" s="352"/>
    </row>
    <row r="3618" spans="2:36">
      <c r="B3618" s="352"/>
      <c r="C3618" s="352"/>
      <c r="D3618" s="352"/>
      <c r="E3618" s="352"/>
      <c r="F3618" s="352"/>
      <c r="H3618" s="352"/>
      <c r="J3618" s="352"/>
      <c r="L3618" s="352"/>
      <c r="M3618" s="352"/>
      <c r="N3618" s="352"/>
      <c r="O3618" s="352"/>
      <c r="P3618" s="352"/>
      <c r="Q3618" s="352"/>
      <c r="R3618" s="352"/>
      <c r="S3618" s="352"/>
      <c r="T3618" s="352"/>
      <c r="U3618" s="352"/>
      <c r="V3618" s="352"/>
      <c r="W3618" s="352"/>
      <c r="X3618" s="352"/>
      <c r="Y3618" s="352"/>
      <c r="Z3618" s="352"/>
      <c r="AA3618" s="352"/>
      <c r="AB3618" s="352"/>
      <c r="AC3618" s="352"/>
      <c r="AD3618" s="352"/>
      <c r="AE3618" s="352"/>
      <c r="AF3618" s="352"/>
      <c r="AG3618" s="352"/>
      <c r="AH3618" s="352"/>
      <c r="AI3618" s="352"/>
      <c r="AJ3618" s="352"/>
    </row>
    <row r="3619" spans="2:36">
      <c r="B3619" s="352"/>
      <c r="C3619" s="352"/>
      <c r="D3619" s="352"/>
      <c r="E3619" s="352"/>
      <c r="F3619" s="352"/>
      <c r="H3619" s="352"/>
      <c r="J3619" s="352"/>
      <c r="L3619" s="352"/>
      <c r="M3619" s="352"/>
      <c r="N3619" s="352"/>
      <c r="O3619" s="352"/>
      <c r="P3619" s="352"/>
      <c r="Q3619" s="352"/>
      <c r="R3619" s="352"/>
      <c r="S3619" s="352"/>
      <c r="T3619" s="352"/>
      <c r="U3619" s="352"/>
      <c r="V3619" s="352"/>
      <c r="W3619" s="352"/>
      <c r="X3619" s="352"/>
      <c r="Y3619" s="352"/>
      <c r="Z3619" s="352"/>
      <c r="AA3619" s="352"/>
      <c r="AB3619" s="352"/>
      <c r="AC3619" s="352"/>
      <c r="AD3619" s="352"/>
      <c r="AE3619" s="352"/>
      <c r="AF3619" s="352"/>
      <c r="AG3619" s="352"/>
      <c r="AH3619" s="352"/>
      <c r="AI3619" s="352"/>
      <c r="AJ3619" s="352"/>
    </row>
    <row r="3620" spans="2:36">
      <c r="B3620" s="352"/>
      <c r="C3620" s="352"/>
      <c r="D3620" s="352"/>
      <c r="E3620" s="352"/>
      <c r="F3620" s="352"/>
      <c r="H3620" s="352"/>
      <c r="J3620" s="352"/>
      <c r="L3620" s="352"/>
      <c r="M3620" s="352"/>
      <c r="N3620" s="352"/>
      <c r="O3620" s="352"/>
      <c r="P3620" s="352"/>
      <c r="Q3620" s="352"/>
      <c r="R3620" s="352"/>
      <c r="S3620" s="352"/>
      <c r="T3620" s="352"/>
      <c r="U3620" s="352"/>
      <c r="V3620" s="352"/>
      <c r="W3620" s="352"/>
      <c r="X3620" s="352"/>
      <c r="Y3620" s="352"/>
      <c r="Z3620" s="352"/>
      <c r="AA3620" s="352"/>
      <c r="AB3620" s="352"/>
      <c r="AC3620" s="352"/>
      <c r="AD3620" s="352"/>
      <c r="AE3620" s="352"/>
      <c r="AF3620" s="352"/>
      <c r="AG3620" s="352"/>
      <c r="AH3620" s="352"/>
      <c r="AI3620" s="352"/>
      <c r="AJ3620" s="352"/>
    </row>
    <row r="3621" spans="2:36">
      <c r="B3621" s="352"/>
      <c r="C3621" s="352"/>
      <c r="D3621" s="352"/>
      <c r="E3621" s="352"/>
      <c r="F3621" s="352"/>
      <c r="H3621" s="352"/>
      <c r="J3621" s="352"/>
      <c r="L3621" s="352"/>
      <c r="M3621" s="352"/>
      <c r="N3621" s="352"/>
      <c r="O3621" s="352"/>
      <c r="P3621" s="352"/>
      <c r="Q3621" s="352"/>
      <c r="R3621" s="352"/>
      <c r="S3621" s="352"/>
      <c r="T3621" s="352"/>
      <c r="U3621" s="352"/>
      <c r="V3621" s="352"/>
      <c r="W3621" s="352"/>
      <c r="X3621" s="352"/>
      <c r="Y3621" s="352"/>
      <c r="Z3621" s="352"/>
      <c r="AA3621" s="352"/>
      <c r="AB3621" s="352"/>
      <c r="AC3621" s="352"/>
      <c r="AD3621" s="352"/>
      <c r="AE3621" s="352"/>
      <c r="AF3621" s="352"/>
      <c r="AG3621" s="352"/>
      <c r="AH3621" s="352"/>
      <c r="AI3621" s="352"/>
      <c r="AJ3621" s="352"/>
    </row>
    <row r="3622" spans="2:36">
      <c r="B3622" s="352"/>
      <c r="C3622" s="352"/>
      <c r="D3622" s="352"/>
      <c r="E3622" s="352"/>
      <c r="F3622" s="352"/>
      <c r="H3622" s="352"/>
      <c r="J3622" s="352"/>
      <c r="L3622" s="352"/>
      <c r="M3622" s="352"/>
      <c r="N3622" s="352"/>
      <c r="O3622" s="352"/>
      <c r="P3622" s="352"/>
      <c r="Q3622" s="352"/>
      <c r="R3622" s="352"/>
      <c r="S3622" s="352"/>
      <c r="T3622" s="352"/>
      <c r="U3622" s="352"/>
      <c r="V3622" s="352"/>
      <c r="W3622" s="352"/>
      <c r="X3622" s="352"/>
      <c r="Y3622" s="352"/>
      <c r="Z3622" s="352"/>
      <c r="AA3622" s="352"/>
      <c r="AB3622" s="352"/>
      <c r="AC3622" s="352"/>
      <c r="AD3622" s="352"/>
      <c r="AE3622" s="352"/>
      <c r="AF3622" s="352"/>
      <c r="AG3622" s="352"/>
      <c r="AH3622" s="352"/>
      <c r="AI3622" s="352"/>
      <c r="AJ3622" s="352"/>
    </row>
    <row r="3623" spans="2:36">
      <c r="B3623" s="352"/>
      <c r="C3623" s="352"/>
      <c r="D3623" s="352"/>
      <c r="E3623" s="352"/>
      <c r="F3623" s="352"/>
      <c r="H3623" s="352"/>
      <c r="J3623" s="352"/>
      <c r="L3623" s="352"/>
      <c r="M3623" s="352"/>
      <c r="N3623" s="352"/>
      <c r="O3623" s="352"/>
      <c r="P3623" s="352"/>
      <c r="Q3623" s="352"/>
      <c r="R3623" s="352"/>
      <c r="S3623" s="352"/>
      <c r="T3623" s="352"/>
      <c r="U3623" s="352"/>
      <c r="V3623" s="352"/>
      <c r="W3623" s="352"/>
      <c r="X3623" s="352"/>
      <c r="Y3623" s="352"/>
      <c r="Z3623" s="352"/>
      <c r="AA3623" s="352"/>
      <c r="AB3623" s="352"/>
      <c r="AC3623" s="352"/>
      <c r="AD3623" s="352"/>
      <c r="AE3623" s="352"/>
      <c r="AF3623" s="352"/>
      <c r="AG3623" s="352"/>
      <c r="AH3623" s="352"/>
      <c r="AI3623" s="352"/>
      <c r="AJ3623" s="352"/>
    </row>
    <row r="3624" spans="2:36">
      <c r="B3624" s="352"/>
      <c r="C3624" s="352"/>
      <c r="D3624" s="352"/>
      <c r="E3624" s="352"/>
      <c r="F3624" s="352"/>
      <c r="H3624" s="352"/>
      <c r="J3624" s="352"/>
      <c r="L3624" s="352"/>
      <c r="M3624" s="352"/>
      <c r="N3624" s="352"/>
      <c r="O3624" s="352"/>
      <c r="P3624" s="352"/>
      <c r="Q3624" s="352"/>
      <c r="R3624" s="352"/>
      <c r="S3624" s="352"/>
      <c r="T3624" s="352"/>
      <c r="U3624" s="352"/>
      <c r="V3624" s="352"/>
      <c r="W3624" s="352"/>
      <c r="X3624" s="352"/>
      <c r="Y3624" s="352"/>
      <c r="Z3624" s="352"/>
      <c r="AA3624" s="352"/>
      <c r="AB3624" s="352"/>
      <c r="AC3624" s="352"/>
      <c r="AD3624" s="352"/>
      <c r="AE3624" s="352"/>
      <c r="AF3624" s="352"/>
      <c r="AG3624" s="352"/>
      <c r="AH3624" s="352"/>
      <c r="AI3624" s="352"/>
      <c r="AJ3624" s="352"/>
    </row>
    <row r="3625" spans="2:36">
      <c r="B3625" s="352"/>
      <c r="C3625" s="352"/>
      <c r="D3625" s="352"/>
      <c r="E3625" s="352"/>
      <c r="F3625" s="352"/>
      <c r="H3625" s="352"/>
      <c r="J3625" s="352"/>
      <c r="L3625" s="352"/>
      <c r="M3625" s="352"/>
      <c r="N3625" s="352"/>
      <c r="O3625" s="352"/>
      <c r="P3625" s="352"/>
      <c r="Q3625" s="352"/>
      <c r="R3625" s="352"/>
      <c r="S3625" s="352"/>
      <c r="T3625" s="352"/>
      <c r="U3625" s="352"/>
      <c r="V3625" s="352"/>
      <c r="W3625" s="352"/>
      <c r="X3625" s="352"/>
      <c r="Y3625" s="352"/>
      <c r="Z3625" s="352"/>
      <c r="AA3625" s="352"/>
      <c r="AB3625" s="352"/>
      <c r="AC3625" s="352"/>
      <c r="AD3625" s="352"/>
      <c r="AE3625" s="352"/>
      <c r="AF3625" s="352"/>
      <c r="AG3625" s="352"/>
      <c r="AH3625" s="352"/>
      <c r="AI3625" s="352"/>
      <c r="AJ3625" s="352"/>
    </row>
    <row r="3626" spans="2:36">
      <c r="B3626" s="352"/>
      <c r="C3626" s="352"/>
      <c r="D3626" s="352"/>
      <c r="E3626" s="352"/>
      <c r="F3626" s="352"/>
      <c r="H3626" s="352"/>
      <c r="J3626" s="352"/>
      <c r="L3626" s="352"/>
      <c r="M3626" s="352"/>
      <c r="N3626" s="352"/>
      <c r="O3626" s="352"/>
      <c r="P3626" s="352"/>
      <c r="Q3626" s="352"/>
      <c r="R3626" s="352"/>
      <c r="S3626" s="352"/>
      <c r="T3626" s="352"/>
      <c r="U3626" s="352"/>
      <c r="V3626" s="352"/>
      <c r="W3626" s="352"/>
      <c r="X3626" s="352"/>
      <c r="Y3626" s="352"/>
      <c r="Z3626" s="352"/>
      <c r="AA3626" s="352"/>
      <c r="AB3626" s="352"/>
      <c r="AC3626" s="352"/>
      <c r="AD3626" s="352"/>
      <c r="AE3626" s="352"/>
      <c r="AF3626" s="352"/>
      <c r="AG3626" s="352"/>
      <c r="AH3626" s="352"/>
      <c r="AI3626" s="352"/>
      <c r="AJ3626" s="352"/>
    </row>
    <row r="3627" spans="2:36">
      <c r="B3627" s="352"/>
      <c r="C3627" s="352"/>
      <c r="D3627" s="352"/>
      <c r="E3627" s="352"/>
      <c r="F3627" s="352"/>
      <c r="H3627" s="352"/>
      <c r="J3627" s="352"/>
      <c r="L3627" s="352"/>
      <c r="M3627" s="352"/>
      <c r="N3627" s="352"/>
      <c r="O3627" s="352"/>
      <c r="P3627" s="352"/>
      <c r="Q3627" s="352"/>
      <c r="R3627" s="352"/>
      <c r="S3627" s="352"/>
      <c r="T3627" s="352"/>
      <c r="U3627" s="352"/>
      <c r="V3627" s="352"/>
      <c r="W3627" s="352"/>
      <c r="X3627" s="352"/>
      <c r="Y3627" s="352"/>
      <c r="Z3627" s="352"/>
      <c r="AA3627" s="352"/>
      <c r="AB3627" s="352"/>
      <c r="AC3627" s="352"/>
      <c r="AD3627" s="352"/>
      <c r="AE3627" s="352"/>
      <c r="AF3627" s="352"/>
      <c r="AG3627" s="352"/>
      <c r="AH3627" s="352"/>
      <c r="AI3627" s="352"/>
      <c r="AJ3627" s="352"/>
    </row>
    <row r="3628" spans="2:36">
      <c r="B3628" s="352"/>
      <c r="C3628" s="352"/>
      <c r="D3628" s="352"/>
      <c r="E3628" s="352"/>
      <c r="F3628" s="352"/>
      <c r="H3628" s="352"/>
      <c r="J3628" s="352"/>
      <c r="L3628" s="352"/>
      <c r="M3628" s="352"/>
      <c r="N3628" s="352"/>
      <c r="O3628" s="352"/>
      <c r="P3628" s="352"/>
      <c r="Q3628" s="352"/>
      <c r="R3628" s="352"/>
      <c r="S3628" s="352"/>
      <c r="T3628" s="352"/>
      <c r="U3628" s="352"/>
      <c r="V3628" s="352"/>
      <c r="W3628" s="352"/>
      <c r="X3628" s="352"/>
      <c r="Y3628" s="352"/>
      <c r="Z3628" s="352"/>
      <c r="AA3628" s="352"/>
      <c r="AB3628" s="352"/>
      <c r="AC3628" s="352"/>
      <c r="AD3628" s="352"/>
      <c r="AE3628" s="352"/>
      <c r="AF3628" s="352"/>
      <c r="AG3628" s="352"/>
      <c r="AH3628" s="352"/>
      <c r="AI3628" s="352"/>
      <c r="AJ3628" s="352"/>
    </row>
    <row r="3629" spans="2:36">
      <c r="B3629" s="352"/>
      <c r="C3629" s="352"/>
      <c r="D3629" s="352"/>
      <c r="E3629" s="352"/>
      <c r="F3629" s="352"/>
      <c r="H3629" s="352"/>
      <c r="J3629" s="352"/>
      <c r="L3629" s="352"/>
      <c r="M3629" s="352"/>
      <c r="N3629" s="352"/>
      <c r="O3629" s="352"/>
      <c r="P3629" s="352"/>
      <c r="Q3629" s="352"/>
      <c r="R3629" s="352"/>
      <c r="S3629" s="352"/>
      <c r="T3629" s="352"/>
      <c r="U3629" s="352"/>
      <c r="V3629" s="352"/>
      <c r="W3629" s="352"/>
      <c r="X3629" s="352"/>
      <c r="Y3629" s="352"/>
      <c r="Z3629" s="352"/>
      <c r="AA3629" s="352"/>
      <c r="AB3629" s="352"/>
      <c r="AC3629" s="352"/>
      <c r="AD3629" s="352"/>
      <c r="AE3629" s="352"/>
      <c r="AF3629" s="352"/>
      <c r="AG3629" s="352"/>
      <c r="AH3629" s="352"/>
      <c r="AI3629" s="352"/>
      <c r="AJ3629" s="352"/>
    </row>
    <row r="3630" spans="2:36">
      <c r="B3630" s="352"/>
      <c r="C3630" s="352"/>
      <c r="D3630" s="352"/>
      <c r="E3630" s="352"/>
      <c r="F3630" s="352"/>
      <c r="H3630" s="352"/>
      <c r="J3630" s="352"/>
      <c r="L3630" s="352"/>
      <c r="M3630" s="352"/>
      <c r="N3630" s="352"/>
      <c r="O3630" s="352"/>
      <c r="P3630" s="352"/>
      <c r="Q3630" s="352"/>
      <c r="R3630" s="352"/>
      <c r="S3630" s="352"/>
      <c r="T3630" s="352"/>
      <c r="U3630" s="352"/>
      <c r="V3630" s="352"/>
      <c r="W3630" s="352"/>
      <c r="X3630" s="352"/>
      <c r="Y3630" s="352"/>
      <c r="Z3630" s="352"/>
      <c r="AA3630" s="352"/>
      <c r="AB3630" s="352"/>
      <c r="AC3630" s="352"/>
      <c r="AD3630" s="352"/>
      <c r="AE3630" s="352"/>
      <c r="AF3630" s="352"/>
      <c r="AG3630" s="352"/>
      <c r="AH3630" s="352"/>
      <c r="AI3630" s="352"/>
      <c r="AJ3630" s="352"/>
    </row>
    <row r="3631" spans="2:36">
      <c r="B3631" s="352"/>
      <c r="C3631" s="352"/>
      <c r="D3631" s="352"/>
      <c r="E3631" s="352"/>
      <c r="F3631" s="352"/>
      <c r="H3631" s="352"/>
      <c r="J3631" s="352"/>
      <c r="L3631" s="352"/>
      <c r="M3631" s="352"/>
      <c r="N3631" s="352"/>
      <c r="O3631" s="352"/>
      <c r="P3631" s="352"/>
      <c r="Q3631" s="352"/>
      <c r="R3631" s="352"/>
      <c r="S3631" s="352"/>
      <c r="T3631" s="352"/>
      <c r="U3631" s="352"/>
      <c r="V3631" s="352"/>
      <c r="W3631" s="352"/>
      <c r="X3631" s="352"/>
      <c r="Y3631" s="352"/>
      <c r="Z3631" s="352"/>
      <c r="AA3631" s="352"/>
      <c r="AB3631" s="352"/>
      <c r="AC3631" s="352"/>
      <c r="AD3631" s="352"/>
      <c r="AE3631" s="352"/>
      <c r="AF3631" s="352"/>
      <c r="AG3631" s="352"/>
      <c r="AH3631" s="352"/>
      <c r="AI3631" s="352"/>
      <c r="AJ3631" s="352"/>
    </row>
    <row r="3632" spans="2:36">
      <c r="B3632" s="352"/>
      <c r="C3632" s="352"/>
      <c r="D3632" s="352"/>
      <c r="E3632" s="352"/>
      <c r="F3632" s="352"/>
      <c r="H3632" s="352"/>
      <c r="J3632" s="352"/>
      <c r="L3632" s="352"/>
      <c r="M3632" s="352"/>
      <c r="N3632" s="352"/>
      <c r="O3632" s="352"/>
      <c r="P3632" s="352"/>
      <c r="Q3632" s="352"/>
      <c r="R3632" s="352"/>
      <c r="S3632" s="352"/>
      <c r="T3632" s="352"/>
      <c r="U3632" s="352"/>
      <c r="V3632" s="352"/>
      <c r="W3632" s="352"/>
      <c r="X3632" s="352"/>
      <c r="Y3632" s="352"/>
      <c r="Z3632" s="352"/>
      <c r="AA3632" s="352"/>
      <c r="AB3632" s="352"/>
      <c r="AC3632" s="352"/>
      <c r="AD3632" s="352"/>
      <c r="AE3632" s="352"/>
      <c r="AF3632" s="352"/>
      <c r="AG3632" s="352"/>
      <c r="AH3632" s="352"/>
      <c r="AI3632" s="352"/>
      <c r="AJ3632" s="352"/>
    </row>
    <row r="3633" spans="2:36">
      <c r="B3633" s="352"/>
      <c r="C3633" s="352"/>
      <c r="D3633" s="352"/>
      <c r="E3633" s="352"/>
      <c r="F3633" s="352"/>
      <c r="H3633" s="352"/>
      <c r="J3633" s="352"/>
      <c r="L3633" s="352"/>
      <c r="M3633" s="352"/>
      <c r="N3633" s="352"/>
      <c r="O3633" s="352"/>
      <c r="P3633" s="352"/>
      <c r="Q3633" s="352"/>
      <c r="R3633" s="352"/>
      <c r="S3633" s="352"/>
      <c r="T3633" s="352"/>
      <c r="U3633" s="352"/>
      <c r="V3633" s="352"/>
      <c r="W3633" s="352"/>
      <c r="X3633" s="352"/>
      <c r="Y3633" s="352"/>
      <c r="Z3633" s="352"/>
      <c r="AA3633" s="352"/>
      <c r="AB3633" s="352"/>
      <c r="AC3633" s="352"/>
      <c r="AD3633" s="352"/>
      <c r="AE3633" s="352"/>
      <c r="AF3633" s="352"/>
      <c r="AG3633" s="352"/>
      <c r="AH3633" s="352"/>
      <c r="AI3633" s="352"/>
      <c r="AJ3633" s="352"/>
    </row>
    <row r="3634" spans="2:36">
      <c r="B3634" s="352"/>
      <c r="C3634" s="352"/>
      <c r="D3634" s="352"/>
      <c r="E3634" s="352"/>
      <c r="F3634" s="352"/>
      <c r="H3634" s="352"/>
      <c r="J3634" s="352"/>
      <c r="L3634" s="352"/>
      <c r="M3634" s="352"/>
      <c r="N3634" s="352"/>
      <c r="O3634" s="352"/>
      <c r="P3634" s="352"/>
      <c r="Q3634" s="352"/>
      <c r="R3634" s="352"/>
      <c r="S3634" s="352"/>
      <c r="T3634" s="352"/>
      <c r="U3634" s="352"/>
      <c r="V3634" s="352"/>
      <c r="W3634" s="352"/>
      <c r="X3634" s="352"/>
      <c r="Y3634" s="352"/>
      <c r="Z3634" s="352"/>
      <c r="AA3634" s="352"/>
      <c r="AB3634" s="352"/>
      <c r="AC3634" s="352"/>
      <c r="AD3634" s="352"/>
      <c r="AE3634" s="352"/>
      <c r="AF3634" s="352"/>
      <c r="AG3634" s="352"/>
      <c r="AH3634" s="352"/>
      <c r="AI3634" s="352"/>
      <c r="AJ3634" s="352"/>
    </row>
    <row r="3635" spans="2:36">
      <c r="B3635" s="352"/>
      <c r="C3635" s="352"/>
      <c r="D3635" s="352"/>
      <c r="E3635" s="352"/>
      <c r="F3635" s="352"/>
      <c r="H3635" s="352"/>
      <c r="J3635" s="352"/>
      <c r="L3635" s="352"/>
      <c r="M3635" s="352"/>
      <c r="N3635" s="352"/>
      <c r="O3635" s="352"/>
      <c r="P3635" s="352"/>
      <c r="Q3635" s="352"/>
      <c r="R3635" s="352"/>
      <c r="S3635" s="352"/>
      <c r="T3635" s="352"/>
      <c r="U3635" s="352"/>
      <c r="V3635" s="352"/>
      <c r="W3635" s="352"/>
      <c r="X3635" s="352"/>
      <c r="Y3635" s="352"/>
      <c r="Z3635" s="352"/>
      <c r="AA3635" s="352"/>
      <c r="AB3635" s="352"/>
      <c r="AC3635" s="352"/>
      <c r="AD3635" s="352"/>
      <c r="AE3635" s="352"/>
      <c r="AF3635" s="352"/>
      <c r="AG3635" s="352"/>
      <c r="AH3635" s="352"/>
      <c r="AI3635" s="352"/>
      <c r="AJ3635" s="352"/>
    </row>
    <row r="3636" spans="2:36">
      <c r="B3636" s="352"/>
      <c r="C3636" s="352"/>
      <c r="D3636" s="352"/>
      <c r="E3636" s="352"/>
      <c r="F3636" s="352"/>
      <c r="H3636" s="352"/>
      <c r="J3636" s="352"/>
      <c r="L3636" s="352"/>
      <c r="M3636" s="352"/>
      <c r="N3636" s="352"/>
      <c r="O3636" s="352"/>
      <c r="P3636" s="352"/>
      <c r="Q3636" s="352"/>
      <c r="R3636" s="352"/>
      <c r="S3636" s="352"/>
      <c r="T3636" s="352"/>
      <c r="U3636" s="352"/>
      <c r="V3636" s="352"/>
      <c r="W3636" s="352"/>
      <c r="X3636" s="352"/>
      <c r="Y3636" s="352"/>
      <c r="Z3636" s="352"/>
      <c r="AA3636" s="352"/>
      <c r="AB3636" s="352"/>
      <c r="AC3636" s="352"/>
      <c r="AD3636" s="352"/>
      <c r="AE3636" s="352"/>
      <c r="AF3636" s="352"/>
      <c r="AG3636" s="352"/>
      <c r="AH3636" s="352"/>
      <c r="AI3636" s="352"/>
      <c r="AJ3636" s="352"/>
    </row>
    <row r="3637" spans="2:36">
      <c r="B3637" s="352"/>
      <c r="C3637" s="352"/>
      <c r="D3637" s="352"/>
      <c r="E3637" s="352"/>
      <c r="F3637" s="352"/>
      <c r="H3637" s="352"/>
      <c r="J3637" s="352"/>
      <c r="L3637" s="352"/>
      <c r="M3637" s="352"/>
      <c r="N3637" s="352"/>
      <c r="O3637" s="352"/>
      <c r="P3637" s="352"/>
      <c r="Q3637" s="352"/>
      <c r="R3637" s="352"/>
      <c r="S3637" s="352"/>
      <c r="T3637" s="352"/>
      <c r="U3637" s="352"/>
      <c r="V3637" s="352"/>
      <c r="W3637" s="352"/>
      <c r="X3637" s="352"/>
      <c r="Y3637" s="352"/>
      <c r="Z3637" s="352"/>
      <c r="AA3637" s="352"/>
      <c r="AB3637" s="352"/>
      <c r="AC3637" s="352"/>
      <c r="AD3637" s="352"/>
      <c r="AE3637" s="352"/>
      <c r="AF3637" s="352"/>
      <c r="AG3637" s="352"/>
      <c r="AH3637" s="352"/>
      <c r="AI3637" s="352"/>
      <c r="AJ3637" s="352"/>
    </row>
    <row r="3638" spans="2:36">
      <c r="B3638" s="352"/>
      <c r="C3638" s="352"/>
      <c r="D3638" s="352"/>
      <c r="E3638" s="352"/>
      <c r="F3638" s="352"/>
      <c r="H3638" s="352"/>
      <c r="J3638" s="352"/>
      <c r="L3638" s="352"/>
      <c r="M3638" s="352"/>
      <c r="N3638" s="352"/>
      <c r="O3638" s="352"/>
      <c r="P3638" s="352"/>
      <c r="Q3638" s="352"/>
      <c r="R3638" s="352"/>
      <c r="S3638" s="352"/>
      <c r="T3638" s="352"/>
      <c r="U3638" s="352"/>
      <c r="V3638" s="352"/>
      <c r="W3638" s="352"/>
      <c r="X3638" s="352"/>
      <c r="Y3638" s="352"/>
      <c r="Z3638" s="352"/>
      <c r="AA3638" s="352"/>
      <c r="AB3638" s="352"/>
      <c r="AC3638" s="352"/>
      <c r="AD3638" s="352"/>
      <c r="AE3638" s="352"/>
      <c r="AF3638" s="352"/>
      <c r="AG3638" s="352"/>
      <c r="AH3638" s="352"/>
      <c r="AI3638" s="352"/>
      <c r="AJ3638" s="352"/>
    </row>
    <row r="3639" spans="2:36">
      <c r="B3639" s="352"/>
      <c r="C3639" s="352"/>
      <c r="D3639" s="352"/>
      <c r="E3639" s="352"/>
      <c r="F3639" s="352"/>
      <c r="H3639" s="352"/>
      <c r="J3639" s="352"/>
      <c r="L3639" s="352"/>
      <c r="M3639" s="352"/>
      <c r="N3639" s="352"/>
      <c r="O3639" s="352"/>
      <c r="P3639" s="352"/>
      <c r="Q3639" s="352"/>
      <c r="R3639" s="352"/>
      <c r="S3639" s="352"/>
      <c r="T3639" s="352"/>
      <c r="U3639" s="352"/>
      <c r="V3639" s="352"/>
      <c r="W3639" s="352"/>
      <c r="X3639" s="352"/>
      <c r="Y3639" s="352"/>
      <c r="Z3639" s="352"/>
      <c r="AA3639" s="352"/>
      <c r="AB3639" s="352"/>
      <c r="AC3639" s="352"/>
      <c r="AD3639" s="352"/>
      <c r="AE3639" s="352"/>
      <c r="AF3639" s="352"/>
      <c r="AG3639" s="352"/>
      <c r="AH3639" s="352"/>
      <c r="AI3639" s="352"/>
      <c r="AJ3639" s="352"/>
    </row>
    <row r="3640" spans="2:36">
      <c r="B3640" s="352"/>
      <c r="C3640" s="352"/>
      <c r="D3640" s="352"/>
      <c r="E3640" s="352"/>
      <c r="F3640" s="352"/>
      <c r="H3640" s="352"/>
      <c r="J3640" s="352"/>
      <c r="L3640" s="352"/>
      <c r="M3640" s="352"/>
      <c r="N3640" s="352"/>
      <c r="O3640" s="352"/>
      <c r="P3640" s="352"/>
      <c r="Q3640" s="352"/>
      <c r="R3640" s="352"/>
      <c r="S3640" s="352"/>
      <c r="T3640" s="352"/>
      <c r="U3640" s="352"/>
      <c r="V3640" s="352"/>
      <c r="W3640" s="352"/>
      <c r="X3640" s="352"/>
      <c r="Y3640" s="352"/>
      <c r="Z3640" s="352"/>
      <c r="AA3640" s="352"/>
      <c r="AB3640" s="352"/>
      <c r="AC3640" s="352"/>
      <c r="AD3640" s="352"/>
      <c r="AE3640" s="352"/>
      <c r="AF3640" s="352"/>
      <c r="AG3640" s="352"/>
      <c r="AH3640" s="352"/>
      <c r="AI3640" s="352"/>
      <c r="AJ3640" s="352"/>
    </row>
    <row r="3641" spans="2:36">
      <c r="B3641" s="352"/>
      <c r="C3641" s="352"/>
      <c r="D3641" s="352"/>
      <c r="E3641" s="352"/>
      <c r="F3641" s="352"/>
      <c r="H3641" s="352"/>
      <c r="J3641" s="352"/>
      <c r="L3641" s="352"/>
      <c r="M3641" s="352"/>
      <c r="N3641" s="352"/>
      <c r="O3641" s="352"/>
      <c r="P3641" s="352"/>
      <c r="Q3641" s="352"/>
      <c r="R3641" s="352"/>
      <c r="S3641" s="352"/>
      <c r="T3641" s="352"/>
      <c r="U3641" s="352"/>
      <c r="V3641" s="352"/>
      <c r="W3641" s="352"/>
      <c r="X3641" s="352"/>
      <c r="Y3641" s="352"/>
      <c r="Z3641" s="352"/>
      <c r="AA3641" s="352"/>
      <c r="AB3641" s="352"/>
      <c r="AC3641" s="352"/>
      <c r="AD3641" s="352"/>
      <c r="AE3641" s="352"/>
      <c r="AF3641" s="352"/>
      <c r="AG3641" s="352"/>
      <c r="AH3641" s="352"/>
      <c r="AI3641" s="352"/>
      <c r="AJ3641" s="352"/>
    </row>
    <row r="3642" spans="2:36">
      <c r="B3642" s="352"/>
      <c r="C3642" s="352"/>
      <c r="D3642" s="352"/>
      <c r="E3642" s="352"/>
      <c r="F3642" s="352"/>
      <c r="H3642" s="352"/>
      <c r="J3642" s="352"/>
      <c r="L3642" s="352"/>
      <c r="M3642" s="352"/>
      <c r="N3642" s="352"/>
      <c r="O3642" s="352"/>
      <c r="P3642" s="352"/>
      <c r="Q3642" s="352"/>
      <c r="R3642" s="352"/>
      <c r="S3642" s="352"/>
      <c r="T3642" s="352"/>
      <c r="U3642" s="352"/>
      <c r="V3642" s="352"/>
      <c r="W3642" s="352"/>
      <c r="X3642" s="352"/>
      <c r="Y3642" s="352"/>
      <c r="Z3642" s="352"/>
      <c r="AA3642" s="352"/>
      <c r="AB3642" s="352"/>
      <c r="AC3642" s="352"/>
      <c r="AD3642" s="352"/>
      <c r="AE3642" s="352"/>
      <c r="AF3642" s="352"/>
      <c r="AG3642" s="352"/>
      <c r="AH3642" s="352"/>
      <c r="AI3642" s="352"/>
      <c r="AJ3642" s="352"/>
    </row>
    <row r="3643" spans="2:36">
      <c r="B3643" s="352"/>
      <c r="C3643" s="352"/>
      <c r="D3643" s="352"/>
      <c r="E3643" s="352"/>
      <c r="F3643" s="352"/>
      <c r="H3643" s="352"/>
      <c r="J3643" s="352"/>
      <c r="L3643" s="352"/>
      <c r="M3643" s="352"/>
      <c r="N3643" s="352"/>
      <c r="O3643" s="352"/>
      <c r="P3643" s="352"/>
      <c r="Q3643" s="352"/>
      <c r="R3643" s="352"/>
      <c r="S3643" s="352"/>
      <c r="T3643" s="352"/>
      <c r="U3643" s="352"/>
      <c r="V3643" s="352"/>
      <c r="W3643" s="352"/>
      <c r="X3643" s="352"/>
      <c r="Y3643" s="352"/>
      <c r="Z3643" s="352"/>
      <c r="AA3643" s="352"/>
      <c r="AB3643" s="352"/>
      <c r="AC3643" s="352"/>
      <c r="AD3643" s="352"/>
      <c r="AE3643" s="352"/>
      <c r="AF3643" s="352"/>
      <c r="AG3643" s="352"/>
      <c r="AH3643" s="352"/>
      <c r="AI3643" s="352"/>
      <c r="AJ3643" s="352"/>
    </row>
    <row r="3644" spans="2:36">
      <c r="B3644" s="352"/>
      <c r="C3644" s="352"/>
      <c r="D3644" s="352"/>
      <c r="E3644" s="352"/>
      <c r="F3644" s="352"/>
      <c r="H3644" s="352"/>
      <c r="J3644" s="352"/>
      <c r="L3644" s="352"/>
      <c r="M3644" s="352"/>
      <c r="N3644" s="352"/>
      <c r="O3644" s="352"/>
      <c r="P3644" s="352"/>
      <c r="Q3644" s="352"/>
      <c r="R3644" s="352"/>
      <c r="S3644" s="352"/>
      <c r="T3644" s="352"/>
      <c r="U3644" s="352"/>
      <c r="V3644" s="352"/>
      <c r="W3644" s="352"/>
      <c r="X3644" s="352"/>
      <c r="Y3644" s="352"/>
      <c r="Z3644" s="352"/>
      <c r="AA3644" s="352"/>
      <c r="AB3644" s="352"/>
      <c r="AC3644" s="352"/>
      <c r="AD3644" s="352"/>
      <c r="AE3644" s="352"/>
      <c r="AF3644" s="352"/>
      <c r="AG3644" s="352"/>
      <c r="AH3644" s="352"/>
      <c r="AI3644" s="352"/>
      <c r="AJ3644" s="352"/>
    </row>
    <row r="3645" spans="2:36">
      <c r="B3645" s="352"/>
      <c r="C3645" s="352"/>
      <c r="D3645" s="352"/>
      <c r="E3645" s="352"/>
      <c r="F3645" s="352"/>
      <c r="H3645" s="352"/>
      <c r="J3645" s="352"/>
      <c r="L3645" s="352"/>
      <c r="M3645" s="352"/>
      <c r="N3645" s="352"/>
      <c r="O3645" s="352"/>
      <c r="P3645" s="352"/>
      <c r="Q3645" s="352"/>
      <c r="R3645" s="352"/>
      <c r="S3645" s="352"/>
      <c r="T3645" s="352"/>
      <c r="U3645" s="352"/>
      <c r="V3645" s="352"/>
      <c r="W3645" s="352"/>
      <c r="X3645" s="352"/>
      <c r="Y3645" s="352"/>
      <c r="Z3645" s="352"/>
      <c r="AA3645" s="352"/>
      <c r="AB3645" s="352"/>
      <c r="AC3645" s="352"/>
      <c r="AD3645" s="352"/>
      <c r="AE3645" s="352"/>
      <c r="AF3645" s="352"/>
      <c r="AG3645" s="352"/>
      <c r="AH3645" s="352"/>
      <c r="AI3645" s="352"/>
      <c r="AJ3645" s="352"/>
    </row>
    <row r="3646" spans="2:36">
      <c r="B3646" s="352"/>
      <c r="C3646" s="352"/>
      <c r="D3646" s="352"/>
      <c r="E3646" s="352"/>
      <c r="F3646" s="352"/>
      <c r="H3646" s="352"/>
      <c r="J3646" s="352"/>
      <c r="L3646" s="352"/>
      <c r="M3646" s="352"/>
      <c r="N3646" s="352"/>
      <c r="O3646" s="352"/>
      <c r="P3646" s="352"/>
      <c r="Q3646" s="352"/>
      <c r="R3646" s="352"/>
      <c r="S3646" s="352"/>
      <c r="T3646" s="352"/>
      <c r="U3646" s="352"/>
      <c r="V3646" s="352"/>
      <c r="W3646" s="352"/>
      <c r="X3646" s="352"/>
      <c r="Y3646" s="352"/>
      <c r="Z3646" s="352"/>
      <c r="AA3646" s="352"/>
      <c r="AB3646" s="352"/>
      <c r="AC3646" s="352"/>
      <c r="AD3646" s="352"/>
      <c r="AE3646" s="352"/>
      <c r="AF3646" s="352"/>
      <c r="AG3646" s="352"/>
      <c r="AH3646" s="352"/>
      <c r="AI3646" s="352"/>
      <c r="AJ3646" s="352"/>
    </row>
    <row r="3647" spans="2:36">
      <c r="B3647" s="352"/>
      <c r="C3647" s="352"/>
      <c r="D3647" s="352"/>
      <c r="E3647" s="352"/>
      <c r="F3647" s="352"/>
      <c r="H3647" s="352"/>
      <c r="J3647" s="352"/>
      <c r="L3647" s="352"/>
      <c r="M3647" s="352"/>
      <c r="N3647" s="352"/>
      <c r="O3647" s="352"/>
      <c r="P3647" s="352"/>
      <c r="Q3647" s="352"/>
      <c r="R3647" s="352"/>
      <c r="S3647" s="352"/>
      <c r="T3647" s="352"/>
      <c r="U3647" s="352"/>
      <c r="V3647" s="352"/>
      <c r="W3647" s="352"/>
      <c r="X3647" s="352"/>
      <c r="Y3647" s="352"/>
      <c r="Z3647" s="352"/>
      <c r="AA3647" s="352"/>
      <c r="AB3647" s="352"/>
      <c r="AC3647" s="352"/>
      <c r="AD3647" s="352"/>
      <c r="AE3647" s="352"/>
      <c r="AF3647" s="352"/>
      <c r="AG3647" s="352"/>
      <c r="AH3647" s="352"/>
      <c r="AI3647" s="352"/>
      <c r="AJ3647" s="352"/>
    </row>
    <row r="3648" spans="2:36">
      <c r="B3648" s="352"/>
      <c r="C3648" s="352"/>
      <c r="D3648" s="352"/>
      <c r="E3648" s="352"/>
      <c r="F3648" s="352"/>
      <c r="H3648" s="352"/>
      <c r="J3648" s="352"/>
      <c r="L3648" s="352"/>
      <c r="M3648" s="352"/>
      <c r="N3648" s="352"/>
      <c r="O3648" s="352"/>
      <c r="P3648" s="352"/>
      <c r="Q3648" s="352"/>
      <c r="R3648" s="352"/>
      <c r="S3648" s="352"/>
      <c r="T3648" s="352"/>
      <c r="U3648" s="352"/>
      <c r="V3648" s="352"/>
      <c r="W3648" s="352"/>
      <c r="X3648" s="352"/>
      <c r="Y3648" s="352"/>
      <c r="Z3648" s="352"/>
      <c r="AA3648" s="352"/>
      <c r="AB3648" s="352"/>
      <c r="AC3648" s="352"/>
      <c r="AD3648" s="352"/>
      <c r="AE3648" s="352"/>
      <c r="AF3648" s="352"/>
      <c r="AG3648" s="352"/>
      <c r="AH3648" s="352"/>
      <c r="AI3648" s="352"/>
      <c r="AJ3648" s="352"/>
    </row>
    <row r="3649" spans="2:36">
      <c r="B3649" s="352"/>
      <c r="C3649" s="352"/>
      <c r="D3649" s="352"/>
      <c r="E3649" s="352"/>
      <c r="F3649" s="352"/>
      <c r="H3649" s="352"/>
      <c r="J3649" s="352"/>
      <c r="L3649" s="352"/>
      <c r="M3649" s="352"/>
      <c r="N3649" s="352"/>
      <c r="O3649" s="352"/>
      <c r="P3649" s="352"/>
      <c r="Q3649" s="352"/>
      <c r="R3649" s="352"/>
      <c r="S3649" s="352"/>
      <c r="T3649" s="352"/>
      <c r="U3649" s="352"/>
      <c r="V3649" s="352"/>
      <c r="W3649" s="352"/>
      <c r="X3649" s="352"/>
      <c r="Y3649" s="352"/>
      <c r="Z3649" s="352"/>
      <c r="AA3649" s="352"/>
      <c r="AB3649" s="352"/>
      <c r="AC3649" s="352"/>
      <c r="AD3649" s="352"/>
      <c r="AE3649" s="352"/>
      <c r="AF3649" s="352"/>
      <c r="AG3649" s="352"/>
      <c r="AH3649" s="352"/>
      <c r="AI3649" s="352"/>
      <c r="AJ3649" s="352"/>
    </row>
    <row r="3650" spans="2:36">
      <c r="B3650" s="352"/>
      <c r="C3650" s="352"/>
      <c r="D3650" s="352"/>
      <c r="E3650" s="352"/>
      <c r="F3650" s="352"/>
      <c r="H3650" s="352"/>
      <c r="J3650" s="352"/>
      <c r="L3650" s="352"/>
      <c r="M3650" s="352"/>
      <c r="N3650" s="352"/>
      <c r="O3650" s="352"/>
      <c r="P3650" s="352"/>
      <c r="Q3650" s="352"/>
      <c r="R3650" s="352"/>
      <c r="S3650" s="352"/>
      <c r="T3650" s="352"/>
      <c r="U3650" s="352"/>
      <c r="V3650" s="352"/>
      <c r="W3650" s="352"/>
      <c r="X3650" s="352"/>
      <c r="Y3650" s="352"/>
      <c r="Z3650" s="352"/>
      <c r="AA3650" s="352"/>
      <c r="AB3650" s="352"/>
      <c r="AC3650" s="352"/>
      <c r="AD3650" s="352"/>
      <c r="AE3650" s="352"/>
      <c r="AF3650" s="352"/>
      <c r="AG3650" s="352"/>
      <c r="AH3650" s="352"/>
      <c r="AI3650" s="352"/>
      <c r="AJ3650" s="352"/>
    </row>
    <row r="3651" spans="2:36">
      <c r="B3651" s="352"/>
      <c r="C3651" s="352"/>
      <c r="D3651" s="352"/>
      <c r="E3651" s="352"/>
      <c r="F3651" s="352"/>
      <c r="H3651" s="352"/>
      <c r="J3651" s="352"/>
      <c r="L3651" s="352"/>
      <c r="M3651" s="352"/>
      <c r="N3651" s="352"/>
      <c r="O3651" s="352"/>
      <c r="P3651" s="352"/>
      <c r="Q3651" s="352"/>
      <c r="R3651" s="352"/>
      <c r="S3651" s="352"/>
      <c r="T3651" s="352"/>
      <c r="U3651" s="352"/>
      <c r="V3651" s="352"/>
      <c r="W3651" s="352"/>
      <c r="X3651" s="352"/>
      <c r="Y3651" s="352"/>
      <c r="Z3651" s="352"/>
      <c r="AA3651" s="352"/>
      <c r="AB3651" s="352"/>
      <c r="AC3651" s="352"/>
      <c r="AD3651" s="352"/>
      <c r="AE3651" s="352"/>
      <c r="AF3651" s="352"/>
      <c r="AG3651" s="352"/>
      <c r="AH3651" s="352"/>
      <c r="AI3651" s="352"/>
      <c r="AJ3651" s="352"/>
    </row>
    <row r="3652" spans="2:36">
      <c r="B3652" s="352"/>
      <c r="C3652" s="352"/>
      <c r="D3652" s="352"/>
      <c r="E3652" s="352"/>
      <c r="F3652" s="352"/>
      <c r="H3652" s="352"/>
      <c r="J3652" s="352"/>
      <c r="L3652" s="352"/>
      <c r="M3652" s="352"/>
      <c r="N3652" s="352"/>
      <c r="O3652" s="352"/>
      <c r="P3652" s="352"/>
      <c r="Q3652" s="352"/>
      <c r="R3652" s="352"/>
      <c r="S3652" s="352"/>
      <c r="T3652" s="352"/>
      <c r="U3652" s="352"/>
      <c r="V3652" s="352"/>
      <c r="W3652" s="352"/>
      <c r="X3652" s="352"/>
      <c r="Y3652" s="352"/>
      <c r="Z3652" s="352"/>
      <c r="AA3652" s="352"/>
      <c r="AB3652" s="352"/>
      <c r="AC3652" s="352"/>
      <c r="AD3652" s="352"/>
      <c r="AE3652" s="352"/>
      <c r="AF3652" s="352"/>
      <c r="AG3652" s="352"/>
      <c r="AH3652" s="352"/>
      <c r="AI3652" s="352"/>
      <c r="AJ3652" s="352"/>
    </row>
    <row r="3653" spans="2:36">
      <c r="B3653" s="352"/>
      <c r="C3653" s="352"/>
      <c r="D3653" s="352"/>
      <c r="E3653" s="352"/>
      <c r="F3653" s="352"/>
      <c r="H3653" s="352"/>
      <c r="J3653" s="352"/>
      <c r="L3653" s="352"/>
      <c r="M3653" s="352"/>
      <c r="N3653" s="352"/>
      <c r="O3653" s="352"/>
      <c r="P3653" s="352"/>
      <c r="Q3653" s="352"/>
      <c r="R3653" s="352"/>
      <c r="S3653" s="352"/>
      <c r="T3653" s="352"/>
      <c r="U3653" s="352"/>
      <c r="V3653" s="352"/>
      <c r="W3653" s="352"/>
      <c r="X3653" s="352"/>
      <c r="Y3653" s="352"/>
      <c r="Z3653" s="352"/>
      <c r="AA3653" s="352"/>
      <c r="AB3653" s="352"/>
      <c r="AC3653" s="352"/>
      <c r="AD3653" s="352"/>
      <c r="AE3653" s="352"/>
      <c r="AF3653" s="352"/>
      <c r="AG3653" s="352"/>
      <c r="AH3653" s="352"/>
      <c r="AI3653" s="352"/>
      <c r="AJ3653" s="352"/>
    </row>
    <row r="3654" spans="2:36">
      <c r="B3654" s="352"/>
      <c r="C3654" s="352"/>
      <c r="D3654" s="352"/>
      <c r="E3654" s="352"/>
      <c r="F3654" s="352"/>
      <c r="H3654" s="352"/>
      <c r="J3654" s="352"/>
      <c r="L3654" s="352"/>
      <c r="M3654" s="352"/>
      <c r="N3654" s="352"/>
      <c r="O3654" s="352"/>
      <c r="P3654" s="352"/>
      <c r="Q3654" s="352"/>
      <c r="R3654" s="352"/>
      <c r="S3654" s="352"/>
      <c r="T3654" s="352"/>
      <c r="U3654" s="352"/>
      <c r="V3654" s="352"/>
      <c r="W3654" s="352"/>
      <c r="X3654" s="352"/>
      <c r="Y3654" s="352"/>
      <c r="Z3654" s="352"/>
      <c r="AA3654" s="352"/>
      <c r="AB3654" s="352"/>
      <c r="AC3654" s="352"/>
      <c r="AD3654" s="352"/>
      <c r="AE3654" s="352"/>
      <c r="AF3654" s="352"/>
      <c r="AG3654" s="352"/>
      <c r="AH3654" s="352"/>
      <c r="AI3654" s="352"/>
      <c r="AJ3654" s="352"/>
    </row>
    <row r="3655" spans="2:36">
      <c r="B3655" s="352"/>
      <c r="C3655" s="352"/>
      <c r="D3655" s="352"/>
      <c r="E3655" s="352"/>
      <c r="F3655" s="352"/>
      <c r="H3655" s="352"/>
      <c r="J3655" s="352"/>
      <c r="L3655" s="352"/>
      <c r="M3655" s="352"/>
      <c r="N3655" s="352"/>
      <c r="O3655" s="352"/>
      <c r="P3655" s="352"/>
      <c r="Q3655" s="352"/>
      <c r="R3655" s="352"/>
      <c r="S3655" s="352"/>
      <c r="T3655" s="352"/>
      <c r="U3655" s="352"/>
      <c r="V3655" s="352"/>
      <c r="W3655" s="352"/>
      <c r="X3655" s="352"/>
      <c r="Y3655" s="352"/>
      <c r="Z3655" s="352"/>
      <c r="AA3655" s="352"/>
      <c r="AB3655" s="352"/>
      <c r="AC3655" s="352"/>
      <c r="AD3655" s="352"/>
      <c r="AE3655" s="352"/>
      <c r="AF3655" s="352"/>
      <c r="AG3655" s="352"/>
      <c r="AH3655" s="352"/>
      <c r="AI3655" s="352"/>
      <c r="AJ3655" s="352"/>
    </row>
    <row r="3656" spans="2:36">
      <c r="B3656" s="352"/>
      <c r="C3656" s="352"/>
      <c r="D3656" s="352"/>
      <c r="E3656" s="352"/>
      <c r="F3656" s="352"/>
      <c r="H3656" s="352"/>
      <c r="J3656" s="352"/>
      <c r="L3656" s="352"/>
      <c r="M3656" s="352"/>
      <c r="N3656" s="352"/>
      <c r="O3656" s="352"/>
      <c r="P3656" s="352"/>
      <c r="Q3656" s="352"/>
      <c r="R3656" s="352"/>
      <c r="S3656" s="352"/>
      <c r="T3656" s="352"/>
      <c r="U3656" s="352"/>
      <c r="V3656" s="352"/>
      <c r="W3656" s="352"/>
      <c r="X3656" s="352"/>
      <c r="Y3656" s="352"/>
      <c r="Z3656" s="352"/>
      <c r="AA3656" s="352"/>
      <c r="AB3656" s="352"/>
      <c r="AC3656" s="352"/>
      <c r="AD3656" s="352"/>
      <c r="AE3656" s="352"/>
      <c r="AF3656" s="352"/>
      <c r="AG3656" s="352"/>
      <c r="AH3656" s="352"/>
      <c r="AI3656" s="352"/>
      <c r="AJ3656" s="352"/>
    </row>
    <row r="3657" spans="2:36">
      <c r="B3657" s="352"/>
      <c r="C3657" s="352"/>
      <c r="D3657" s="352"/>
      <c r="E3657" s="352"/>
      <c r="F3657" s="352"/>
      <c r="H3657" s="352"/>
      <c r="J3657" s="352"/>
      <c r="L3657" s="352"/>
      <c r="M3657" s="352"/>
      <c r="N3657" s="352"/>
      <c r="O3657" s="352"/>
      <c r="P3657" s="352"/>
      <c r="Q3657" s="352"/>
      <c r="R3657" s="352"/>
      <c r="S3657" s="352"/>
      <c r="T3657" s="352"/>
      <c r="U3657" s="352"/>
      <c r="V3657" s="352"/>
      <c r="W3657" s="352"/>
      <c r="X3657" s="352"/>
      <c r="Y3657" s="352"/>
      <c r="Z3657" s="352"/>
      <c r="AA3657" s="352"/>
      <c r="AB3657" s="352"/>
      <c r="AC3657" s="352"/>
      <c r="AD3657" s="352"/>
      <c r="AE3657" s="352"/>
      <c r="AF3657" s="352"/>
      <c r="AG3657" s="352"/>
      <c r="AH3657" s="352"/>
      <c r="AI3657" s="352"/>
      <c r="AJ3657" s="352"/>
    </row>
    <row r="3658" spans="2:36">
      <c r="B3658" s="352"/>
      <c r="C3658" s="352"/>
      <c r="D3658" s="352"/>
      <c r="E3658" s="352"/>
      <c r="F3658" s="352"/>
      <c r="H3658" s="352"/>
      <c r="J3658" s="352"/>
      <c r="L3658" s="352"/>
      <c r="M3658" s="352"/>
      <c r="N3658" s="352"/>
      <c r="O3658" s="352"/>
      <c r="P3658" s="352"/>
      <c r="Q3658" s="352"/>
      <c r="R3658" s="352"/>
      <c r="S3658" s="352"/>
      <c r="T3658" s="352"/>
      <c r="U3658" s="352"/>
      <c r="V3658" s="352"/>
      <c r="W3658" s="352"/>
      <c r="X3658" s="352"/>
      <c r="Y3658" s="352"/>
      <c r="Z3658" s="352"/>
      <c r="AA3658" s="352"/>
      <c r="AB3658" s="352"/>
      <c r="AC3658" s="352"/>
      <c r="AD3658" s="352"/>
      <c r="AE3658" s="352"/>
      <c r="AF3658" s="352"/>
      <c r="AG3658" s="352"/>
      <c r="AH3658" s="352"/>
      <c r="AI3658" s="352"/>
      <c r="AJ3658" s="352"/>
    </row>
    <row r="3659" spans="2:36">
      <c r="B3659" s="352"/>
      <c r="C3659" s="352"/>
      <c r="D3659" s="352"/>
      <c r="E3659" s="352"/>
      <c r="F3659" s="352"/>
      <c r="H3659" s="352"/>
      <c r="J3659" s="352"/>
      <c r="L3659" s="352"/>
      <c r="M3659" s="352"/>
      <c r="N3659" s="352"/>
      <c r="O3659" s="352"/>
      <c r="P3659" s="352"/>
      <c r="Q3659" s="352"/>
      <c r="R3659" s="352"/>
      <c r="S3659" s="352"/>
      <c r="T3659" s="352"/>
      <c r="U3659" s="352"/>
      <c r="V3659" s="352"/>
      <c r="W3659" s="352"/>
      <c r="X3659" s="352"/>
      <c r="Y3659" s="352"/>
      <c r="Z3659" s="352"/>
      <c r="AA3659" s="352"/>
      <c r="AB3659" s="352"/>
      <c r="AC3659" s="352"/>
      <c r="AD3659" s="352"/>
      <c r="AE3659" s="352"/>
      <c r="AF3659" s="352"/>
      <c r="AG3659" s="352"/>
      <c r="AH3659" s="352"/>
      <c r="AI3659" s="352"/>
      <c r="AJ3659" s="352"/>
    </row>
    <row r="3660" spans="2:36">
      <c r="B3660" s="352"/>
      <c r="C3660" s="352"/>
      <c r="D3660" s="352"/>
      <c r="E3660" s="352"/>
      <c r="F3660" s="352"/>
      <c r="H3660" s="352"/>
      <c r="J3660" s="352"/>
      <c r="L3660" s="352"/>
      <c r="M3660" s="352"/>
      <c r="N3660" s="352"/>
      <c r="O3660" s="352"/>
      <c r="P3660" s="352"/>
      <c r="Q3660" s="352"/>
      <c r="R3660" s="352"/>
      <c r="S3660" s="352"/>
      <c r="T3660" s="352"/>
      <c r="U3660" s="352"/>
      <c r="V3660" s="352"/>
      <c r="W3660" s="352"/>
      <c r="X3660" s="352"/>
      <c r="Y3660" s="352"/>
      <c r="Z3660" s="352"/>
      <c r="AA3660" s="352"/>
      <c r="AB3660" s="352"/>
      <c r="AC3660" s="352"/>
      <c r="AD3660" s="352"/>
      <c r="AE3660" s="352"/>
      <c r="AF3660" s="352"/>
      <c r="AG3660" s="352"/>
      <c r="AH3660" s="352"/>
      <c r="AI3660" s="352"/>
      <c r="AJ3660" s="352"/>
    </row>
    <row r="3661" spans="2:36">
      <c r="B3661" s="352"/>
      <c r="C3661" s="352"/>
      <c r="D3661" s="352"/>
      <c r="E3661" s="352"/>
      <c r="F3661" s="352"/>
      <c r="H3661" s="352"/>
      <c r="J3661" s="352"/>
      <c r="L3661" s="352"/>
      <c r="M3661" s="352"/>
      <c r="N3661" s="352"/>
      <c r="O3661" s="352"/>
      <c r="P3661" s="352"/>
      <c r="Q3661" s="352"/>
      <c r="R3661" s="352"/>
      <c r="S3661" s="352"/>
      <c r="T3661" s="352"/>
      <c r="U3661" s="352"/>
      <c r="V3661" s="352"/>
      <c r="W3661" s="352"/>
      <c r="X3661" s="352"/>
      <c r="Y3661" s="352"/>
      <c r="Z3661" s="352"/>
      <c r="AA3661" s="352"/>
      <c r="AB3661" s="352"/>
      <c r="AC3661" s="352"/>
      <c r="AD3661" s="352"/>
      <c r="AE3661" s="352"/>
      <c r="AF3661" s="352"/>
      <c r="AG3661" s="352"/>
      <c r="AH3661" s="352"/>
      <c r="AI3661" s="352"/>
      <c r="AJ3661" s="352"/>
    </row>
    <row r="3662" spans="2:36">
      <c r="B3662" s="352"/>
      <c r="C3662" s="352"/>
      <c r="D3662" s="352"/>
      <c r="E3662" s="352"/>
      <c r="F3662" s="352"/>
      <c r="H3662" s="352"/>
      <c r="J3662" s="352"/>
      <c r="L3662" s="352"/>
      <c r="M3662" s="352"/>
      <c r="N3662" s="352"/>
      <c r="O3662" s="352"/>
      <c r="P3662" s="352"/>
      <c r="Q3662" s="352"/>
      <c r="R3662" s="352"/>
      <c r="S3662" s="352"/>
      <c r="T3662" s="352"/>
      <c r="U3662" s="352"/>
      <c r="V3662" s="352"/>
      <c r="W3662" s="352"/>
      <c r="X3662" s="352"/>
      <c r="Y3662" s="352"/>
      <c r="Z3662" s="352"/>
      <c r="AA3662" s="352"/>
      <c r="AB3662" s="352"/>
      <c r="AC3662" s="352"/>
      <c r="AD3662" s="352"/>
      <c r="AE3662" s="352"/>
      <c r="AF3662" s="352"/>
      <c r="AG3662" s="352"/>
      <c r="AH3662" s="352"/>
      <c r="AI3662" s="352"/>
      <c r="AJ3662" s="352"/>
    </row>
    <row r="3663" spans="2:36">
      <c r="B3663" s="352"/>
      <c r="C3663" s="352"/>
      <c r="D3663" s="352"/>
      <c r="E3663" s="352"/>
      <c r="F3663" s="352"/>
      <c r="H3663" s="352"/>
      <c r="J3663" s="352"/>
      <c r="L3663" s="352"/>
      <c r="M3663" s="352"/>
      <c r="N3663" s="352"/>
      <c r="O3663" s="352"/>
      <c r="P3663" s="352"/>
      <c r="Q3663" s="352"/>
      <c r="R3663" s="352"/>
      <c r="S3663" s="352"/>
      <c r="T3663" s="352"/>
      <c r="U3663" s="352"/>
      <c r="V3663" s="352"/>
      <c r="W3663" s="352"/>
      <c r="X3663" s="352"/>
      <c r="Y3663" s="352"/>
      <c r="Z3663" s="352"/>
      <c r="AA3663" s="352"/>
      <c r="AB3663" s="352"/>
      <c r="AC3663" s="352"/>
      <c r="AD3663" s="352"/>
      <c r="AE3663" s="352"/>
      <c r="AF3663" s="352"/>
      <c r="AG3663" s="352"/>
      <c r="AH3663" s="352"/>
      <c r="AI3663" s="352"/>
      <c r="AJ3663" s="352"/>
    </row>
    <row r="3664" spans="2:36">
      <c r="B3664" s="352"/>
      <c r="C3664" s="352"/>
      <c r="D3664" s="352"/>
      <c r="E3664" s="352"/>
      <c r="F3664" s="352"/>
      <c r="H3664" s="352"/>
      <c r="J3664" s="352"/>
      <c r="L3664" s="352"/>
      <c r="M3664" s="352"/>
      <c r="N3664" s="352"/>
      <c r="O3664" s="352"/>
      <c r="P3664" s="352"/>
      <c r="Q3664" s="352"/>
      <c r="R3664" s="352"/>
      <c r="S3664" s="352"/>
      <c r="T3664" s="352"/>
      <c r="U3664" s="352"/>
      <c r="V3664" s="352"/>
      <c r="W3664" s="352"/>
      <c r="X3664" s="352"/>
      <c r="Y3664" s="352"/>
      <c r="Z3664" s="352"/>
      <c r="AA3664" s="352"/>
      <c r="AB3664" s="352"/>
      <c r="AC3664" s="352"/>
      <c r="AD3664" s="352"/>
      <c r="AE3664" s="352"/>
      <c r="AF3664" s="352"/>
      <c r="AG3664" s="352"/>
      <c r="AH3664" s="352"/>
      <c r="AI3664" s="352"/>
      <c r="AJ3664" s="352"/>
    </row>
    <row r="3665" spans="2:36">
      <c r="B3665" s="352"/>
      <c r="C3665" s="352"/>
      <c r="D3665" s="352"/>
      <c r="E3665" s="352"/>
      <c r="F3665" s="352"/>
      <c r="H3665" s="352"/>
      <c r="J3665" s="352"/>
      <c r="L3665" s="352"/>
      <c r="M3665" s="352"/>
      <c r="N3665" s="352"/>
      <c r="O3665" s="352"/>
      <c r="P3665" s="352"/>
      <c r="Q3665" s="352"/>
      <c r="R3665" s="352"/>
      <c r="S3665" s="352"/>
      <c r="T3665" s="352"/>
      <c r="U3665" s="352"/>
      <c r="V3665" s="352"/>
      <c r="W3665" s="352"/>
      <c r="X3665" s="352"/>
      <c r="Y3665" s="352"/>
      <c r="Z3665" s="352"/>
      <c r="AA3665" s="352"/>
      <c r="AB3665" s="352"/>
      <c r="AC3665" s="352"/>
      <c r="AD3665" s="352"/>
      <c r="AE3665" s="352"/>
      <c r="AF3665" s="352"/>
      <c r="AG3665" s="352"/>
      <c r="AH3665" s="352"/>
      <c r="AI3665" s="352"/>
      <c r="AJ3665" s="352"/>
    </row>
    <row r="3666" spans="2:36">
      <c r="B3666" s="352"/>
      <c r="C3666" s="352"/>
      <c r="D3666" s="352"/>
      <c r="E3666" s="352"/>
      <c r="F3666" s="352"/>
      <c r="H3666" s="352"/>
      <c r="J3666" s="352"/>
      <c r="L3666" s="352"/>
      <c r="M3666" s="352"/>
      <c r="N3666" s="352"/>
      <c r="O3666" s="352"/>
      <c r="P3666" s="352"/>
      <c r="Q3666" s="352"/>
      <c r="R3666" s="352"/>
      <c r="S3666" s="352"/>
      <c r="T3666" s="352"/>
      <c r="U3666" s="352"/>
      <c r="V3666" s="352"/>
      <c r="W3666" s="352"/>
      <c r="X3666" s="352"/>
      <c r="Y3666" s="352"/>
      <c r="Z3666" s="352"/>
      <c r="AA3666" s="352"/>
      <c r="AB3666" s="352"/>
      <c r="AC3666" s="352"/>
      <c r="AD3666" s="352"/>
      <c r="AE3666" s="352"/>
      <c r="AF3666" s="352"/>
      <c r="AG3666" s="352"/>
      <c r="AH3666" s="352"/>
      <c r="AI3666" s="352"/>
      <c r="AJ3666" s="352"/>
    </row>
    <row r="3667" spans="2:36">
      <c r="B3667" s="352"/>
      <c r="C3667" s="352"/>
      <c r="D3667" s="352"/>
      <c r="E3667" s="352"/>
      <c r="F3667" s="352"/>
      <c r="H3667" s="352"/>
      <c r="J3667" s="352"/>
      <c r="L3667" s="352"/>
      <c r="M3667" s="352"/>
      <c r="N3667" s="352"/>
      <c r="O3667" s="352"/>
      <c r="P3667" s="352"/>
      <c r="Q3667" s="352"/>
      <c r="R3667" s="352"/>
      <c r="S3667" s="352"/>
      <c r="T3667" s="352"/>
      <c r="U3667" s="352"/>
      <c r="V3667" s="352"/>
      <c r="W3667" s="352"/>
      <c r="X3667" s="352"/>
      <c r="Y3667" s="352"/>
      <c r="Z3667" s="352"/>
      <c r="AA3667" s="352"/>
      <c r="AB3667" s="352"/>
      <c r="AC3667" s="352"/>
      <c r="AD3667" s="352"/>
      <c r="AE3667" s="352"/>
      <c r="AF3667" s="352"/>
      <c r="AG3667" s="352"/>
      <c r="AH3667" s="352"/>
      <c r="AI3667" s="352"/>
      <c r="AJ3667" s="352"/>
    </row>
    <row r="3668" spans="2:36">
      <c r="B3668" s="352"/>
      <c r="C3668" s="352"/>
      <c r="D3668" s="352"/>
      <c r="E3668" s="352"/>
      <c r="F3668" s="352"/>
      <c r="H3668" s="352"/>
      <c r="J3668" s="352"/>
      <c r="L3668" s="352"/>
      <c r="M3668" s="352"/>
      <c r="N3668" s="352"/>
      <c r="O3668" s="352"/>
      <c r="P3668" s="352"/>
      <c r="Q3668" s="352"/>
      <c r="R3668" s="352"/>
      <c r="S3668" s="352"/>
      <c r="T3668" s="352"/>
      <c r="U3668" s="352"/>
      <c r="V3668" s="352"/>
      <c r="W3668" s="352"/>
      <c r="X3668" s="352"/>
      <c r="Y3668" s="352"/>
      <c r="Z3668" s="352"/>
      <c r="AA3668" s="352"/>
      <c r="AB3668" s="352"/>
      <c r="AC3668" s="352"/>
      <c r="AD3668" s="352"/>
      <c r="AE3668" s="352"/>
      <c r="AF3668" s="352"/>
      <c r="AG3668" s="352"/>
      <c r="AH3668" s="352"/>
      <c r="AI3668" s="352"/>
      <c r="AJ3668" s="352"/>
    </row>
    <row r="3669" spans="2:36">
      <c r="B3669" s="352"/>
      <c r="C3669" s="352"/>
      <c r="D3669" s="352"/>
      <c r="E3669" s="352"/>
      <c r="F3669" s="352"/>
      <c r="H3669" s="352"/>
      <c r="J3669" s="352"/>
      <c r="L3669" s="352"/>
      <c r="M3669" s="352"/>
      <c r="N3669" s="352"/>
      <c r="O3669" s="352"/>
      <c r="P3669" s="352"/>
      <c r="Q3669" s="352"/>
      <c r="R3669" s="352"/>
      <c r="S3669" s="352"/>
      <c r="T3669" s="352"/>
      <c r="U3669" s="352"/>
      <c r="V3669" s="352"/>
      <c r="W3669" s="352"/>
      <c r="X3669" s="352"/>
      <c r="Y3669" s="352"/>
      <c r="Z3669" s="352"/>
      <c r="AA3669" s="352"/>
      <c r="AB3669" s="352"/>
      <c r="AC3669" s="352"/>
      <c r="AD3669" s="352"/>
      <c r="AE3669" s="352"/>
      <c r="AF3669" s="352"/>
      <c r="AG3669" s="352"/>
      <c r="AH3669" s="352"/>
      <c r="AI3669" s="352"/>
      <c r="AJ3669" s="352"/>
    </row>
    <row r="3670" spans="2:36">
      <c r="B3670" s="352"/>
      <c r="C3670" s="352"/>
      <c r="D3670" s="352"/>
      <c r="E3670" s="352"/>
      <c r="F3670" s="352"/>
      <c r="H3670" s="352"/>
      <c r="J3670" s="352"/>
      <c r="L3670" s="352"/>
      <c r="M3670" s="352"/>
      <c r="N3670" s="352"/>
      <c r="O3670" s="352"/>
      <c r="P3670" s="352"/>
      <c r="Q3670" s="352"/>
      <c r="R3670" s="352"/>
      <c r="S3670" s="352"/>
      <c r="T3670" s="352"/>
      <c r="U3670" s="352"/>
      <c r="V3670" s="352"/>
      <c r="W3670" s="352"/>
      <c r="X3670" s="352"/>
      <c r="Y3670" s="352"/>
      <c r="Z3670" s="352"/>
      <c r="AA3670" s="352"/>
      <c r="AB3670" s="352"/>
      <c r="AC3670" s="352"/>
      <c r="AD3670" s="352"/>
      <c r="AE3670" s="352"/>
      <c r="AF3670" s="352"/>
      <c r="AG3670" s="352"/>
      <c r="AH3670" s="352"/>
      <c r="AI3670" s="352"/>
      <c r="AJ3670" s="352"/>
    </row>
    <row r="3671" spans="2:36">
      <c r="B3671" s="352"/>
      <c r="C3671" s="352"/>
      <c r="D3671" s="352"/>
      <c r="E3671" s="352"/>
      <c r="F3671" s="352"/>
      <c r="H3671" s="352"/>
      <c r="J3671" s="352"/>
      <c r="L3671" s="352"/>
      <c r="M3671" s="352"/>
      <c r="N3671" s="352"/>
      <c r="O3671" s="352"/>
      <c r="P3671" s="352"/>
      <c r="Q3671" s="352"/>
      <c r="R3671" s="352"/>
      <c r="S3671" s="352"/>
      <c r="T3671" s="352"/>
      <c r="U3671" s="352"/>
      <c r="V3671" s="352"/>
      <c r="W3671" s="352"/>
      <c r="X3671" s="352"/>
      <c r="Y3671" s="352"/>
      <c r="Z3671" s="352"/>
      <c r="AA3671" s="352"/>
      <c r="AB3671" s="352"/>
      <c r="AC3671" s="352"/>
      <c r="AD3671" s="352"/>
      <c r="AE3671" s="352"/>
      <c r="AF3671" s="352"/>
      <c r="AG3671" s="352"/>
      <c r="AH3671" s="352"/>
      <c r="AI3671" s="352"/>
      <c r="AJ3671" s="352"/>
    </row>
    <row r="3672" spans="2:36">
      <c r="B3672" s="352"/>
      <c r="C3672" s="352"/>
      <c r="D3672" s="352"/>
      <c r="E3672" s="352"/>
      <c r="F3672" s="352"/>
      <c r="H3672" s="352"/>
      <c r="J3672" s="352"/>
      <c r="L3672" s="352"/>
      <c r="M3672" s="352"/>
      <c r="N3672" s="352"/>
      <c r="O3672" s="352"/>
      <c r="P3672" s="352"/>
      <c r="Q3672" s="352"/>
      <c r="R3672" s="352"/>
      <c r="S3672" s="352"/>
      <c r="T3672" s="352"/>
      <c r="U3672" s="352"/>
      <c r="V3672" s="352"/>
      <c r="W3672" s="352"/>
      <c r="X3672" s="352"/>
      <c r="Y3672" s="352"/>
      <c r="Z3672" s="352"/>
      <c r="AA3672" s="352"/>
      <c r="AB3672" s="352"/>
      <c r="AC3672" s="352"/>
      <c r="AD3672" s="352"/>
      <c r="AE3672" s="352"/>
      <c r="AF3672" s="352"/>
      <c r="AG3672" s="352"/>
      <c r="AH3672" s="352"/>
      <c r="AI3672" s="352"/>
      <c r="AJ3672" s="352"/>
    </row>
    <row r="3673" spans="2:36">
      <c r="B3673" s="352"/>
      <c r="C3673" s="352"/>
      <c r="D3673" s="352"/>
      <c r="E3673" s="352"/>
      <c r="F3673" s="352"/>
      <c r="H3673" s="352"/>
      <c r="J3673" s="352"/>
      <c r="L3673" s="352"/>
      <c r="M3673" s="352"/>
      <c r="N3673" s="352"/>
      <c r="O3673" s="352"/>
      <c r="P3673" s="352"/>
      <c r="Q3673" s="352"/>
      <c r="R3673" s="352"/>
      <c r="S3673" s="352"/>
      <c r="T3673" s="352"/>
      <c r="U3673" s="352"/>
      <c r="V3673" s="352"/>
      <c r="W3673" s="352"/>
      <c r="X3673" s="352"/>
      <c r="Y3673" s="352"/>
      <c r="Z3673" s="352"/>
      <c r="AA3673" s="352"/>
      <c r="AB3673" s="352"/>
      <c r="AC3673" s="352"/>
      <c r="AD3673" s="352"/>
      <c r="AE3673" s="352"/>
      <c r="AF3673" s="352"/>
      <c r="AG3673" s="352"/>
      <c r="AH3673" s="352"/>
      <c r="AI3673" s="352"/>
      <c r="AJ3673" s="352"/>
    </row>
    <row r="3674" spans="2:36">
      <c r="B3674" s="352"/>
      <c r="C3674" s="352"/>
      <c r="D3674" s="352"/>
      <c r="E3674" s="352"/>
      <c r="F3674" s="352"/>
      <c r="H3674" s="352"/>
      <c r="J3674" s="352"/>
      <c r="L3674" s="352"/>
      <c r="M3674" s="352"/>
      <c r="N3674" s="352"/>
      <c r="O3674" s="352"/>
      <c r="P3674" s="352"/>
      <c r="Q3674" s="352"/>
      <c r="R3674" s="352"/>
      <c r="S3674" s="352"/>
      <c r="T3674" s="352"/>
      <c r="U3674" s="352"/>
      <c r="V3674" s="352"/>
      <c r="W3674" s="352"/>
      <c r="X3674" s="352"/>
      <c r="Y3674" s="352"/>
      <c r="Z3674" s="352"/>
      <c r="AA3674" s="352"/>
      <c r="AB3674" s="352"/>
      <c r="AC3674" s="352"/>
      <c r="AD3674" s="352"/>
      <c r="AE3674" s="352"/>
      <c r="AF3674" s="352"/>
      <c r="AG3674" s="352"/>
      <c r="AH3674" s="352"/>
      <c r="AI3674" s="352"/>
      <c r="AJ3674" s="352"/>
    </row>
    <row r="3675" spans="2:36">
      <c r="B3675" s="352"/>
      <c r="C3675" s="352"/>
      <c r="D3675" s="352"/>
      <c r="E3675" s="352"/>
      <c r="F3675" s="352"/>
      <c r="H3675" s="352"/>
      <c r="J3675" s="352"/>
      <c r="L3675" s="352"/>
      <c r="M3675" s="352"/>
      <c r="N3675" s="352"/>
      <c r="O3675" s="352"/>
      <c r="P3675" s="352"/>
      <c r="Q3675" s="352"/>
      <c r="R3675" s="352"/>
      <c r="S3675" s="352"/>
      <c r="T3675" s="352"/>
      <c r="U3675" s="352"/>
      <c r="V3675" s="352"/>
      <c r="W3675" s="352"/>
      <c r="X3675" s="352"/>
      <c r="Y3675" s="352"/>
      <c r="Z3675" s="352"/>
      <c r="AA3675" s="352"/>
      <c r="AB3675" s="352"/>
      <c r="AC3675" s="352"/>
      <c r="AD3675" s="352"/>
      <c r="AE3675" s="352"/>
      <c r="AF3675" s="352"/>
      <c r="AG3675" s="352"/>
      <c r="AH3675" s="352"/>
      <c r="AI3675" s="352"/>
      <c r="AJ3675" s="352"/>
    </row>
    <row r="3676" spans="2:36">
      <c r="B3676" s="352"/>
      <c r="C3676" s="352"/>
      <c r="D3676" s="352"/>
      <c r="E3676" s="352"/>
      <c r="F3676" s="352"/>
      <c r="H3676" s="352"/>
      <c r="J3676" s="352"/>
      <c r="L3676" s="352"/>
      <c r="M3676" s="352"/>
      <c r="N3676" s="352"/>
      <c r="O3676" s="352"/>
      <c r="P3676" s="352"/>
      <c r="Q3676" s="352"/>
      <c r="R3676" s="352"/>
      <c r="S3676" s="352"/>
      <c r="T3676" s="352"/>
      <c r="U3676" s="352"/>
      <c r="V3676" s="352"/>
      <c r="W3676" s="352"/>
      <c r="X3676" s="352"/>
      <c r="Y3676" s="352"/>
      <c r="Z3676" s="352"/>
      <c r="AA3676" s="352"/>
      <c r="AB3676" s="352"/>
      <c r="AC3676" s="352"/>
      <c r="AD3676" s="352"/>
      <c r="AE3676" s="352"/>
      <c r="AF3676" s="352"/>
      <c r="AG3676" s="352"/>
      <c r="AH3676" s="352"/>
      <c r="AI3676" s="352"/>
      <c r="AJ3676" s="352"/>
    </row>
    <row r="3677" spans="2:36">
      <c r="B3677" s="352"/>
      <c r="C3677" s="352"/>
      <c r="D3677" s="352"/>
      <c r="E3677" s="352"/>
      <c r="F3677" s="352"/>
      <c r="H3677" s="352"/>
      <c r="J3677" s="352"/>
      <c r="L3677" s="352"/>
      <c r="M3677" s="352"/>
      <c r="N3677" s="352"/>
      <c r="O3677" s="352"/>
      <c r="P3677" s="352"/>
      <c r="Q3677" s="352"/>
      <c r="R3677" s="352"/>
      <c r="S3677" s="352"/>
      <c r="T3677" s="352"/>
      <c r="U3677" s="352"/>
      <c r="V3677" s="352"/>
      <c r="W3677" s="352"/>
      <c r="X3677" s="352"/>
      <c r="Y3677" s="352"/>
      <c r="Z3677" s="352"/>
      <c r="AA3677" s="352"/>
      <c r="AB3677" s="352"/>
      <c r="AC3677" s="352"/>
      <c r="AD3677" s="352"/>
      <c r="AE3677" s="352"/>
      <c r="AF3677" s="352"/>
      <c r="AG3677" s="352"/>
      <c r="AH3677" s="352"/>
      <c r="AI3677" s="352"/>
      <c r="AJ3677" s="352"/>
    </row>
    <row r="3678" spans="2:36">
      <c r="B3678" s="352"/>
      <c r="C3678" s="352"/>
      <c r="D3678" s="352"/>
      <c r="E3678" s="352"/>
      <c r="F3678" s="352"/>
      <c r="H3678" s="352"/>
      <c r="J3678" s="352"/>
      <c r="L3678" s="352"/>
      <c r="M3678" s="352"/>
      <c r="N3678" s="352"/>
      <c r="O3678" s="352"/>
      <c r="P3678" s="352"/>
      <c r="Q3678" s="352"/>
      <c r="R3678" s="352"/>
      <c r="S3678" s="352"/>
      <c r="T3678" s="352"/>
      <c r="U3678" s="352"/>
      <c r="V3678" s="352"/>
      <c r="W3678" s="352"/>
      <c r="X3678" s="352"/>
      <c r="Y3678" s="352"/>
      <c r="Z3678" s="352"/>
      <c r="AA3678" s="352"/>
      <c r="AB3678" s="352"/>
      <c r="AC3678" s="352"/>
      <c r="AD3678" s="352"/>
      <c r="AE3678" s="352"/>
      <c r="AF3678" s="352"/>
      <c r="AG3678" s="352"/>
      <c r="AH3678" s="352"/>
      <c r="AI3678" s="352"/>
      <c r="AJ3678" s="352"/>
    </row>
    <row r="3679" spans="2:36">
      <c r="B3679" s="352"/>
      <c r="C3679" s="352"/>
      <c r="D3679" s="352"/>
      <c r="E3679" s="352"/>
      <c r="F3679" s="352"/>
      <c r="H3679" s="352"/>
      <c r="J3679" s="352"/>
      <c r="L3679" s="352"/>
      <c r="M3679" s="352"/>
      <c r="N3679" s="352"/>
      <c r="O3679" s="352"/>
      <c r="P3679" s="352"/>
      <c r="Q3679" s="352"/>
      <c r="R3679" s="352"/>
      <c r="S3679" s="352"/>
      <c r="T3679" s="352"/>
      <c r="U3679" s="352"/>
      <c r="V3679" s="352"/>
      <c r="W3679" s="352"/>
      <c r="X3679" s="352"/>
      <c r="Y3679" s="352"/>
      <c r="Z3679" s="352"/>
      <c r="AA3679" s="352"/>
      <c r="AB3679" s="352"/>
      <c r="AC3679" s="352"/>
      <c r="AD3679" s="352"/>
      <c r="AE3679" s="352"/>
      <c r="AF3679" s="352"/>
      <c r="AG3679" s="352"/>
      <c r="AH3679" s="352"/>
      <c r="AI3679" s="352"/>
      <c r="AJ3679" s="352"/>
    </row>
    <row r="3680" spans="2:36">
      <c r="B3680" s="352"/>
      <c r="C3680" s="352"/>
      <c r="D3680" s="352"/>
      <c r="E3680" s="352"/>
      <c r="F3680" s="352"/>
      <c r="H3680" s="352"/>
      <c r="J3680" s="352"/>
      <c r="L3680" s="352"/>
      <c r="M3680" s="352"/>
      <c r="N3680" s="352"/>
      <c r="O3680" s="352"/>
      <c r="P3680" s="352"/>
      <c r="Q3680" s="352"/>
      <c r="R3680" s="352"/>
      <c r="S3680" s="352"/>
      <c r="T3680" s="352"/>
      <c r="U3680" s="352"/>
      <c r="V3680" s="352"/>
      <c r="W3680" s="352"/>
      <c r="X3680" s="352"/>
      <c r="Y3680" s="352"/>
      <c r="Z3680" s="352"/>
      <c r="AA3680" s="352"/>
      <c r="AB3680" s="352"/>
      <c r="AC3680" s="352"/>
      <c r="AD3680" s="352"/>
      <c r="AE3680" s="352"/>
      <c r="AF3680" s="352"/>
      <c r="AG3680" s="352"/>
      <c r="AH3680" s="352"/>
      <c r="AI3680" s="352"/>
      <c r="AJ3680" s="352"/>
    </row>
    <row r="3681" spans="2:36">
      <c r="B3681" s="352"/>
      <c r="C3681" s="352"/>
      <c r="D3681" s="352"/>
      <c r="E3681" s="352"/>
      <c r="F3681" s="352"/>
      <c r="H3681" s="352"/>
      <c r="J3681" s="352"/>
      <c r="L3681" s="352"/>
      <c r="M3681" s="352"/>
      <c r="N3681" s="352"/>
      <c r="O3681" s="352"/>
      <c r="P3681" s="352"/>
      <c r="Q3681" s="352"/>
      <c r="R3681" s="352"/>
      <c r="S3681" s="352"/>
      <c r="T3681" s="352"/>
      <c r="U3681" s="352"/>
      <c r="V3681" s="352"/>
      <c r="W3681" s="352"/>
      <c r="X3681" s="352"/>
      <c r="Y3681" s="352"/>
      <c r="Z3681" s="352"/>
      <c r="AA3681" s="352"/>
      <c r="AB3681" s="352"/>
      <c r="AC3681" s="352"/>
      <c r="AD3681" s="352"/>
      <c r="AE3681" s="352"/>
      <c r="AF3681" s="352"/>
      <c r="AG3681" s="352"/>
      <c r="AH3681" s="352"/>
      <c r="AI3681" s="352"/>
      <c r="AJ3681" s="352"/>
    </row>
    <row r="3682" spans="2:36">
      <c r="B3682" s="352"/>
      <c r="C3682" s="352"/>
      <c r="D3682" s="352"/>
      <c r="E3682" s="352"/>
      <c r="F3682" s="352"/>
      <c r="H3682" s="352"/>
      <c r="J3682" s="352"/>
      <c r="L3682" s="352"/>
      <c r="M3682" s="352"/>
      <c r="N3682" s="352"/>
      <c r="O3682" s="352"/>
      <c r="P3682" s="352"/>
      <c r="Q3682" s="352"/>
      <c r="R3682" s="352"/>
      <c r="S3682" s="352"/>
      <c r="T3682" s="352"/>
      <c r="U3682" s="352"/>
      <c r="V3682" s="352"/>
      <c r="W3682" s="352"/>
      <c r="X3682" s="352"/>
      <c r="Y3682" s="352"/>
      <c r="Z3682" s="352"/>
      <c r="AA3682" s="352"/>
      <c r="AB3682" s="352"/>
      <c r="AC3682" s="352"/>
      <c r="AD3682" s="352"/>
      <c r="AE3682" s="352"/>
      <c r="AF3682" s="352"/>
      <c r="AG3682" s="352"/>
      <c r="AH3682" s="352"/>
      <c r="AI3682" s="352"/>
      <c r="AJ3682" s="352"/>
    </row>
    <row r="3683" spans="2:36">
      <c r="B3683" s="352"/>
      <c r="C3683" s="352"/>
      <c r="D3683" s="352"/>
      <c r="E3683" s="352"/>
      <c r="F3683" s="352"/>
      <c r="H3683" s="352"/>
      <c r="J3683" s="352"/>
      <c r="L3683" s="352"/>
      <c r="M3683" s="352"/>
      <c r="N3683" s="352"/>
      <c r="O3683" s="352"/>
      <c r="P3683" s="352"/>
      <c r="Q3683" s="352"/>
      <c r="R3683" s="352"/>
      <c r="S3683" s="352"/>
      <c r="T3683" s="352"/>
      <c r="U3683" s="352"/>
      <c r="V3683" s="352"/>
      <c r="W3683" s="352"/>
      <c r="X3683" s="352"/>
      <c r="Y3683" s="352"/>
      <c r="Z3683" s="352"/>
      <c r="AA3683" s="352"/>
      <c r="AB3683" s="352"/>
      <c r="AC3683" s="352"/>
      <c r="AD3683" s="352"/>
      <c r="AE3683" s="352"/>
      <c r="AF3683" s="352"/>
      <c r="AG3683" s="352"/>
      <c r="AH3683" s="352"/>
      <c r="AI3683" s="352"/>
      <c r="AJ3683" s="352"/>
    </row>
    <row r="3684" spans="2:36">
      <c r="B3684" s="352"/>
      <c r="C3684" s="352"/>
      <c r="D3684" s="352"/>
      <c r="E3684" s="352"/>
      <c r="F3684" s="352"/>
      <c r="H3684" s="352"/>
      <c r="J3684" s="352"/>
      <c r="L3684" s="352"/>
      <c r="M3684" s="352"/>
      <c r="N3684" s="352"/>
      <c r="O3684" s="352"/>
      <c r="P3684" s="352"/>
      <c r="Q3684" s="352"/>
      <c r="R3684" s="352"/>
      <c r="S3684" s="352"/>
      <c r="T3684" s="352"/>
      <c r="U3684" s="352"/>
      <c r="V3684" s="352"/>
      <c r="W3684" s="352"/>
      <c r="X3684" s="352"/>
      <c r="Y3684" s="352"/>
      <c r="Z3684" s="352"/>
      <c r="AA3684" s="352"/>
      <c r="AB3684" s="352"/>
      <c r="AC3684" s="352"/>
      <c r="AD3684" s="352"/>
      <c r="AE3684" s="352"/>
      <c r="AF3684" s="352"/>
      <c r="AG3684" s="352"/>
      <c r="AH3684" s="352"/>
      <c r="AI3684" s="352"/>
      <c r="AJ3684" s="352"/>
    </row>
    <row r="3685" spans="2:36">
      <c r="B3685" s="352"/>
      <c r="C3685" s="352"/>
      <c r="D3685" s="352"/>
      <c r="E3685" s="352"/>
      <c r="F3685" s="352"/>
      <c r="H3685" s="352"/>
      <c r="J3685" s="352"/>
      <c r="L3685" s="352"/>
      <c r="M3685" s="352"/>
      <c r="N3685" s="352"/>
      <c r="O3685" s="352"/>
      <c r="P3685" s="352"/>
      <c r="Q3685" s="352"/>
      <c r="R3685" s="352"/>
      <c r="S3685" s="352"/>
      <c r="T3685" s="352"/>
      <c r="U3685" s="352"/>
      <c r="V3685" s="352"/>
      <c r="W3685" s="352"/>
      <c r="X3685" s="352"/>
      <c r="Y3685" s="352"/>
      <c r="Z3685" s="352"/>
      <c r="AA3685" s="352"/>
      <c r="AB3685" s="352"/>
      <c r="AC3685" s="352"/>
      <c r="AD3685" s="352"/>
      <c r="AE3685" s="352"/>
      <c r="AF3685" s="352"/>
      <c r="AG3685" s="352"/>
      <c r="AH3685" s="352"/>
      <c r="AI3685" s="352"/>
      <c r="AJ3685" s="352"/>
    </row>
    <row r="3686" spans="2:36">
      <c r="B3686" s="352"/>
      <c r="C3686" s="352"/>
      <c r="D3686" s="352"/>
      <c r="E3686" s="352"/>
      <c r="F3686" s="352"/>
      <c r="H3686" s="352"/>
      <c r="J3686" s="352"/>
      <c r="L3686" s="352"/>
      <c r="M3686" s="352"/>
      <c r="N3686" s="352"/>
      <c r="O3686" s="352"/>
      <c r="P3686" s="352"/>
      <c r="Q3686" s="352"/>
      <c r="R3686" s="352"/>
      <c r="S3686" s="352"/>
      <c r="T3686" s="352"/>
      <c r="U3686" s="352"/>
      <c r="V3686" s="352"/>
      <c r="W3686" s="352"/>
      <c r="X3686" s="352"/>
      <c r="Y3686" s="352"/>
      <c r="Z3686" s="352"/>
      <c r="AA3686" s="352"/>
      <c r="AB3686" s="352"/>
      <c r="AC3686" s="352"/>
      <c r="AD3686" s="352"/>
      <c r="AE3686" s="352"/>
      <c r="AF3686" s="352"/>
      <c r="AG3686" s="352"/>
      <c r="AH3686" s="352"/>
      <c r="AI3686" s="352"/>
      <c r="AJ3686" s="352"/>
    </row>
    <row r="3687" spans="2:36">
      <c r="B3687" s="352"/>
      <c r="C3687" s="352"/>
      <c r="D3687" s="352"/>
      <c r="E3687" s="352"/>
      <c r="F3687" s="352"/>
      <c r="H3687" s="352"/>
      <c r="J3687" s="352"/>
      <c r="L3687" s="352"/>
      <c r="M3687" s="352"/>
      <c r="N3687" s="352"/>
      <c r="O3687" s="352"/>
      <c r="P3687" s="352"/>
      <c r="Q3687" s="352"/>
      <c r="R3687" s="352"/>
      <c r="S3687" s="352"/>
      <c r="T3687" s="352"/>
      <c r="U3687" s="352"/>
      <c r="V3687" s="352"/>
      <c r="W3687" s="352"/>
      <c r="X3687" s="352"/>
      <c r="Y3687" s="352"/>
      <c r="Z3687" s="352"/>
      <c r="AA3687" s="352"/>
      <c r="AB3687" s="352"/>
      <c r="AC3687" s="352"/>
      <c r="AD3687" s="352"/>
      <c r="AE3687" s="352"/>
      <c r="AF3687" s="352"/>
      <c r="AG3687" s="352"/>
      <c r="AH3687" s="352"/>
      <c r="AI3687" s="352"/>
      <c r="AJ3687" s="352"/>
    </row>
    <row r="3688" spans="2:36">
      <c r="B3688" s="352"/>
      <c r="C3688" s="352"/>
      <c r="D3688" s="352"/>
      <c r="E3688" s="352"/>
      <c r="F3688" s="352"/>
      <c r="H3688" s="352"/>
      <c r="J3688" s="352"/>
      <c r="L3688" s="352"/>
      <c r="M3688" s="352"/>
      <c r="N3688" s="352"/>
      <c r="O3688" s="352"/>
      <c r="P3688" s="352"/>
      <c r="Q3688" s="352"/>
      <c r="R3688" s="352"/>
      <c r="S3688" s="352"/>
      <c r="T3688" s="352"/>
      <c r="U3688" s="352"/>
      <c r="V3688" s="352"/>
      <c r="W3688" s="352"/>
      <c r="X3688" s="352"/>
      <c r="Y3688" s="352"/>
      <c r="Z3688" s="352"/>
      <c r="AA3688" s="352"/>
      <c r="AB3688" s="352"/>
      <c r="AC3688" s="352"/>
      <c r="AD3688" s="352"/>
      <c r="AE3688" s="352"/>
      <c r="AF3688" s="352"/>
      <c r="AG3688" s="352"/>
      <c r="AH3688" s="352"/>
      <c r="AI3688" s="352"/>
      <c r="AJ3688" s="352"/>
    </row>
    <row r="3689" spans="2:36">
      <c r="B3689" s="352"/>
      <c r="C3689" s="352"/>
      <c r="D3689" s="352"/>
      <c r="E3689" s="352"/>
      <c r="F3689" s="352"/>
      <c r="H3689" s="352"/>
      <c r="J3689" s="352"/>
      <c r="L3689" s="352"/>
      <c r="M3689" s="352"/>
      <c r="N3689" s="352"/>
      <c r="O3689" s="352"/>
      <c r="P3689" s="352"/>
      <c r="Q3689" s="352"/>
      <c r="R3689" s="352"/>
      <c r="S3689" s="352"/>
      <c r="T3689" s="352"/>
      <c r="U3689" s="352"/>
      <c r="V3689" s="352"/>
      <c r="W3689" s="352"/>
      <c r="X3689" s="352"/>
      <c r="Y3689" s="352"/>
      <c r="Z3689" s="352"/>
      <c r="AA3689" s="352"/>
      <c r="AB3689" s="352"/>
      <c r="AC3689" s="352"/>
      <c r="AD3689" s="352"/>
      <c r="AE3689" s="352"/>
      <c r="AF3689" s="352"/>
      <c r="AG3689" s="352"/>
      <c r="AH3689" s="352"/>
      <c r="AI3689" s="352"/>
      <c r="AJ3689" s="352"/>
    </row>
    <row r="3690" spans="2:36">
      <c r="B3690" s="352"/>
      <c r="C3690" s="352"/>
      <c r="D3690" s="352"/>
      <c r="E3690" s="352"/>
      <c r="F3690" s="352"/>
      <c r="H3690" s="352"/>
      <c r="J3690" s="352"/>
      <c r="L3690" s="352"/>
      <c r="M3690" s="352"/>
      <c r="N3690" s="352"/>
      <c r="O3690" s="352"/>
      <c r="P3690" s="352"/>
      <c r="Q3690" s="352"/>
      <c r="R3690" s="352"/>
      <c r="S3690" s="352"/>
      <c r="T3690" s="352"/>
      <c r="U3690" s="352"/>
      <c r="V3690" s="352"/>
      <c r="W3690" s="352"/>
      <c r="X3690" s="352"/>
      <c r="Y3690" s="352"/>
      <c r="Z3690" s="352"/>
      <c r="AA3690" s="352"/>
      <c r="AB3690" s="352"/>
      <c r="AC3690" s="352"/>
      <c r="AD3690" s="352"/>
      <c r="AE3690" s="352"/>
      <c r="AF3690" s="352"/>
      <c r="AG3690" s="352"/>
      <c r="AH3690" s="352"/>
      <c r="AI3690" s="352"/>
      <c r="AJ3690" s="352"/>
    </row>
    <row r="3691" spans="2:36">
      <c r="B3691" s="352"/>
      <c r="C3691" s="352"/>
      <c r="D3691" s="352"/>
      <c r="E3691" s="352"/>
      <c r="F3691" s="352"/>
      <c r="H3691" s="352"/>
      <c r="J3691" s="352"/>
      <c r="L3691" s="352"/>
      <c r="M3691" s="352"/>
      <c r="N3691" s="352"/>
      <c r="O3691" s="352"/>
      <c r="P3691" s="352"/>
      <c r="Q3691" s="352"/>
      <c r="R3691" s="352"/>
      <c r="S3691" s="352"/>
      <c r="T3691" s="352"/>
      <c r="U3691" s="352"/>
      <c r="V3691" s="352"/>
      <c r="W3691" s="352"/>
      <c r="X3691" s="352"/>
      <c r="Y3691" s="352"/>
      <c r="Z3691" s="352"/>
      <c r="AA3691" s="352"/>
      <c r="AB3691" s="352"/>
      <c r="AC3691" s="352"/>
      <c r="AD3691" s="352"/>
      <c r="AE3691" s="352"/>
      <c r="AF3691" s="352"/>
      <c r="AG3691" s="352"/>
      <c r="AH3691" s="352"/>
      <c r="AI3691" s="352"/>
      <c r="AJ3691" s="352"/>
    </row>
    <row r="3692" spans="2:36">
      <c r="B3692" s="352"/>
      <c r="C3692" s="352"/>
      <c r="D3692" s="352"/>
      <c r="E3692" s="352"/>
      <c r="F3692" s="352"/>
      <c r="H3692" s="352"/>
      <c r="J3692" s="352"/>
      <c r="L3692" s="352"/>
      <c r="M3692" s="352"/>
      <c r="N3692" s="352"/>
      <c r="O3692" s="352"/>
      <c r="P3692" s="352"/>
      <c r="Q3692" s="352"/>
      <c r="R3692" s="352"/>
      <c r="S3692" s="352"/>
      <c r="T3692" s="352"/>
      <c r="U3692" s="352"/>
      <c r="V3692" s="352"/>
      <c r="W3692" s="352"/>
      <c r="X3692" s="352"/>
      <c r="Y3692" s="352"/>
      <c r="Z3692" s="352"/>
      <c r="AA3692" s="352"/>
      <c r="AB3692" s="352"/>
      <c r="AC3692" s="352"/>
      <c r="AD3692" s="352"/>
      <c r="AE3692" s="352"/>
      <c r="AF3692" s="352"/>
      <c r="AG3692" s="352"/>
      <c r="AH3692" s="352"/>
      <c r="AI3692" s="352"/>
      <c r="AJ3692" s="352"/>
    </row>
    <row r="3693" spans="2:36">
      <c r="B3693" s="352"/>
      <c r="C3693" s="352"/>
      <c r="D3693" s="352"/>
      <c r="E3693" s="352"/>
      <c r="F3693" s="352"/>
      <c r="H3693" s="352"/>
      <c r="J3693" s="352"/>
      <c r="L3693" s="352"/>
      <c r="M3693" s="352"/>
      <c r="N3693" s="352"/>
      <c r="O3693" s="352"/>
      <c r="P3693" s="352"/>
      <c r="Q3693" s="352"/>
      <c r="R3693" s="352"/>
      <c r="S3693" s="352"/>
      <c r="T3693" s="352"/>
      <c r="U3693" s="352"/>
      <c r="V3693" s="352"/>
      <c r="W3693" s="352"/>
      <c r="X3693" s="352"/>
      <c r="Y3693" s="352"/>
      <c r="Z3693" s="352"/>
      <c r="AA3693" s="352"/>
      <c r="AB3693" s="352"/>
      <c r="AC3693" s="352"/>
      <c r="AD3693" s="352"/>
      <c r="AE3693" s="352"/>
      <c r="AF3693" s="352"/>
      <c r="AG3693" s="352"/>
      <c r="AH3693" s="352"/>
      <c r="AI3693" s="352"/>
      <c r="AJ3693" s="352"/>
    </row>
    <row r="3694" spans="2:36">
      <c r="B3694" s="352"/>
      <c r="C3694" s="352"/>
      <c r="D3694" s="352"/>
      <c r="E3694" s="352"/>
      <c r="F3694" s="352"/>
      <c r="H3694" s="352"/>
      <c r="J3694" s="352"/>
      <c r="L3694" s="352"/>
      <c r="M3694" s="352"/>
      <c r="N3694" s="352"/>
      <c r="O3694" s="352"/>
      <c r="P3694" s="352"/>
      <c r="Q3694" s="352"/>
      <c r="R3694" s="352"/>
      <c r="S3694" s="352"/>
      <c r="T3694" s="352"/>
      <c r="U3694" s="352"/>
      <c r="V3694" s="352"/>
      <c r="W3694" s="352"/>
      <c r="X3694" s="352"/>
      <c r="Y3694" s="352"/>
      <c r="Z3694" s="352"/>
      <c r="AA3694" s="352"/>
      <c r="AB3694" s="352"/>
      <c r="AC3694" s="352"/>
      <c r="AD3694" s="352"/>
      <c r="AE3694" s="352"/>
      <c r="AF3694" s="352"/>
      <c r="AG3694" s="352"/>
      <c r="AH3694" s="352"/>
      <c r="AI3694" s="352"/>
      <c r="AJ3694" s="352"/>
    </row>
    <row r="3695" spans="2:36">
      <c r="B3695" s="352"/>
      <c r="C3695" s="352"/>
      <c r="D3695" s="352"/>
      <c r="E3695" s="352"/>
      <c r="F3695" s="352"/>
      <c r="H3695" s="352"/>
      <c r="J3695" s="352"/>
      <c r="L3695" s="352"/>
      <c r="M3695" s="352"/>
      <c r="N3695" s="352"/>
      <c r="O3695" s="352"/>
      <c r="P3695" s="352"/>
      <c r="Q3695" s="352"/>
      <c r="R3695" s="352"/>
      <c r="S3695" s="352"/>
      <c r="T3695" s="352"/>
      <c r="U3695" s="352"/>
      <c r="V3695" s="352"/>
      <c r="W3695" s="352"/>
      <c r="X3695" s="352"/>
      <c r="Y3695" s="352"/>
      <c r="Z3695" s="352"/>
      <c r="AA3695" s="352"/>
      <c r="AB3695" s="352"/>
      <c r="AC3695" s="352"/>
      <c r="AD3695" s="352"/>
      <c r="AE3695" s="352"/>
      <c r="AF3695" s="352"/>
      <c r="AG3695" s="352"/>
      <c r="AH3695" s="352"/>
      <c r="AI3695" s="352"/>
      <c r="AJ3695" s="352"/>
    </row>
    <row r="3696" spans="2:36">
      <c r="B3696" s="352"/>
      <c r="C3696" s="352"/>
      <c r="D3696" s="352"/>
      <c r="E3696" s="352"/>
      <c r="F3696" s="352"/>
      <c r="H3696" s="352"/>
      <c r="J3696" s="352"/>
      <c r="L3696" s="352"/>
      <c r="M3696" s="352"/>
      <c r="N3696" s="352"/>
      <c r="O3696" s="352"/>
      <c r="P3696" s="352"/>
      <c r="Q3696" s="352"/>
      <c r="R3696" s="352"/>
      <c r="S3696" s="352"/>
      <c r="T3696" s="352"/>
      <c r="U3696" s="352"/>
      <c r="V3696" s="352"/>
      <c r="W3696" s="352"/>
      <c r="X3696" s="352"/>
      <c r="Y3696" s="352"/>
      <c r="Z3696" s="352"/>
      <c r="AA3696" s="352"/>
      <c r="AB3696" s="352"/>
      <c r="AC3696" s="352"/>
      <c r="AD3696" s="352"/>
      <c r="AE3696" s="352"/>
      <c r="AF3696" s="352"/>
      <c r="AG3696" s="352"/>
      <c r="AH3696" s="352"/>
      <c r="AI3696" s="352"/>
      <c r="AJ3696" s="352"/>
    </row>
    <row r="3697" spans="2:36">
      <c r="B3697" s="352"/>
      <c r="C3697" s="352"/>
      <c r="D3697" s="352"/>
      <c r="E3697" s="352"/>
      <c r="F3697" s="352"/>
      <c r="H3697" s="352"/>
      <c r="J3697" s="352"/>
      <c r="L3697" s="352"/>
      <c r="M3697" s="352"/>
      <c r="N3697" s="352"/>
      <c r="O3697" s="352"/>
      <c r="P3697" s="352"/>
      <c r="Q3697" s="352"/>
      <c r="R3697" s="352"/>
      <c r="S3697" s="352"/>
      <c r="T3697" s="352"/>
      <c r="U3697" s="352"/>
      <c r="V3697" s="352"/>
      <c r="W3697" s="352"/>
      <c r="X3697" s="352"/>
      <c r="Y3697" s="352"/>
      <c r="Z3697" s="352"/>
      <c r="AA3697" s="352"/>
      <c r="AB3697" s="352"/>
      <c r="AC3697" s="352"/>
      <c r="AD3697" s="352"/>
      <c r="AE3697" s="352"/>
      <c r="AF3697" s="352"/>
      <c r="AG3697" s="352"/>
      <c r="AH3697" s="352"/>
      <c r="AI3697" s="352"/>
      <c r="AJ3697" s="352"/>
    </row>
    <row r="3698" spans="2:36">
      <c r="B3698" s="352"/>
      <c r="C3698" s="352"/>
      <c r="D3698" s="352"/>
      <c r="E3698" s="352"/>
      <c r="F3698" s="352"/>
      <c r="H3698" s="352"/>
      <c r="J3698" s="352"/>
      <c r="L3698" s="352"/>
      <c r="M3698" s="352"/>
      <c r="N3698" s="352"/>
      <c r="O3698" s="352"/>
      <c r="P3698" s="352"/>
      <c r="Q3698" s="352"/>
      <c r="R3698" s="352"/>
      <c r="S3698" s="352"/>
      <c r="T3698" s="352"/>
      <c r="U3698" s="352"/>
      <c r="V3698" s="352"/>
      <c r="W3698" s="352"/>
      <c r="X3698" s="352"/>
      <c r="Y3698" s="352"/>
      <c r="Z3698" s="352"/>
      <c r="AA3698" s="352"/>
      <c r="AB3698" s="352"/>
      <c r="AC3698" s="352"/>
      <c r="AD3698" s="352"/>
      <c r="AE3698" s="352"/>
      <c r="AF3698" s="352"/>
      <c r="AG3698" s="352"/>
      <c r="AH3698" s="352"/>
      <c r="AI3698" s="352"/>
      <c r="AJ3698" s="352"/>
    </row>
    <row r="3699" spans="2:36">
      <c r="B3699" s="352"/>
      <c r="C3699" s="352"/>
      <c r="D3699" s="352"/>
      <c r="E3699" s="352"/>
      <c r="F3699" s="352"/>
      <c r="H3699" s="352"/>
      <c r="J3699" s="352"/>
      <c r="L3699" s="352"/>
      <c r="M3699" s="352"/>
      <c r="N3699" s="352"/>
      <c r="O3699" s="352"/>
      <c r="P3699" s="352"/>
      <c r="Q3699" s="352"/>
      <c r="R3699" s="352"/>
      <c r="S3699" s="352"/>
      <c r="T3699" s="352"/>
      <c r="U3699" s="352"/>
      <c r="V3699" s="352"/>
      <c r="W3699" s="352"/>
      <c r="X3699" s="352"/>
      <c r="Y3699" s="352"/>
      <c r="Z3699" s="352"/>
      <c r="AA3699" s="352"/>
      <c r="AB3699" s="352"/>
      <c r="AC3699" s="352"/>
      <c r="AD3699" s="352"/>
      <c r="AE3699" s="352"/>
      <c r="AF3699" s="352"/>
      <c r="AG3699" s="352"/>
      <c r="AH3699" s="352"/>
      <c r="AI3699" s="352"/>
      <c r="AJ3699" s="352"/>
    </row>
    <row r="3700" spans="2:36">
      <c r="B3700" s="352"/>
      <c r="C3700" s="352"/>
      <c r="D3700" s="352"/>
      <c r="E3700" s="352"/>
      <c r="F3700" s="352"/>
      <c r="H3700" s="352"/>
      <c r="J3700" s="352"/>
      <c r="L3700" s="352"/>
      <c r="M3700" s="352"/>
      <c r="N3700" s="352"/>
      <c r="O3700" s="352"/>
      <c r="P3700" s="352"/>
      <c r="Q3700" s="352"/>
      <c r="R3700" s="352"/>
      <c r="S3700" s="352"/>
      <c r="T3700" s="352"/>
      <c r="U3700" s="352"/>
      <c r="V3700" s="352"/>
      <c r="W3700" s="352"/>
      <c r="X3700" s="352"/>
      <c r="Y3700" s="352"/>
      <c r="Z3700" s="352"/>
      <c r="AA3700" s="352"/>
      <c r="AB3700" s="352"/>
      <c r="AC3700" s="352"/>
      <c r="AD3700" s="352"/>
      <c r="AE3700" s="352"/>
      <c r="AF3700" s="352"/>
      <c r="AG3700" s="352"/>
      <c r="AH3700" s="352"/>
      <c r="AI3700" s="352"/>
      <c r="AJ3700" s="352"/>
    </row>
    <row r="3701" spans="2:36">
      <c r="B3701" s="352"/>
      <c r="C3701" s="352"/>
      <c r="D3701" s="352"/>
      <c r="E3701" s="352"/>
      <c r="F3701" s="352"/>
      <c r="H3701" s="352"/>
      <c r="J3701" s="352"/>
      <c r="L3701" s="352"/>
      <c r="M3701" s="352"/>
      <c r="N3701" s="352"/>
      <c r="O3701" s="352"/>
      <c r="P3701" s="352"/>
      <c r="Q3701" s="352"/>
      <c r="R3701" s="352"/>
      <c r="S3701" s="352"/>
      <c r="T3701" s="352"/>
      <c r="U3701" s="352"/>
      <c r="V3701" s="352"/>
      <c r="W3701" s="352"/>
      <c r="X3701" s="352"/>
      <c r="Y3701" s="352"/>
      <c r="Z3701" s="352"/>
      <c r="AA3701" s="352"/>
      <c r="AB3701" s="352"/>
      <c r="AC3701" s="352"/>
      <c r="AD3701" s="352"/>
      <c r="AE3701" s="352"/>
      <c r="AF3701" s="352"/>
      <c r="AG3701" s="352"/>
      <c r="AH3701" s="352"/>
      <c r="AI3701" s="352"/>
      <c r="AJ3701" s="352"/>
    </row>
    <row r="3702" spans="2:36">
      <c r="B3702" s="352"/>
      <c r="C3702" s="352"/>
      <c r="D3702" s="352"/>
      <c r="E3702" s="352"/>
      <c r="F3702" s="352"/>
      <c r="H3702" s="352"/>
      <c r="J3702" s="352"/>
      <c r="L3702" s="352"/>
      <c r="M3702" s="352"/>
      <c r="N3702" s="352"/>
      <c r="O3702" s="352"/>
      <c r="P3702" s="352"/>
      <c r="Q3702" s="352"/>
      <c r="R3702" s="352"/>
      <c r="S3702" s="352"/>
      <c r="T3702" s="352"/>
      <c r="U3702" s="352"/>
      <c r="V3702" s="352"/>
      <c r="W3702" s="352"/>
      <c r="X3702" s="352"/>
      <c r="Y3702" s="352"/>
      <c r="Z3702" s="352"/>
      <c r="AA3702" s="352"/>
      <c r="AB3702" s="352"/>
      <c r="AC3702" s="352"/>
      <c r="AD3702" s="352"/>
      <c r="AE3702" s="352"/>
      <c r="AF3702" s="352"/>
      <c r="AG3702" s="352"/>
      <c r="AH3702" s="352"/>
      <c r="AI3702" s="352"/>
      <c r="AJ3702" s="352"/>
    </row>
    <row r="3703" spans="2:36">
      <c r="B3703" s="352"/>
      <c r="C3703" s="352"/>
      <c r="D3703" s="352"/>
      <c r="E3703" s="352"/>
      <c r="F3703" s="352"/>
      <c r="H3703" s="352"/>
      <c r="J3703" s="352"/>
      <c r="L3703" s="352"/>
      <c r="M3703" s="352"/>
      <c r="N3703" s="352"/>
      <c r="O3703" s="352"/>
      <c r="P3703" s="352"/>
      <c r="Q3703" s="352"/>
      <c r="R3703" s="352"/>
      <c r="S3703" s="352"/>
      <c r="T3703" s="352"/>
      <c r="U3703" s="352"/>
      <c r="V3703" s="352"/>
      <c r="W3703" s="352"/>
      <c r="X3703" s="352"/>
      <c r="Y3703" s="352"/>
      <c r="Z3703" s="352"/>
      <c r="AA3703" s="352"/>
      <c r="AB3703" s="352"/>
      <c r="AC3703" s="352"/>
      <c r="AD3703" s="352"/>
      <c r="AE3703" s="352"/>
      <c r="AF3703" s="352"/>
      <c r="AG3703" s="352"/>
      <c r="AH3703" s="352"/>
      <c r="AI3703" s="352"/>
      <c r="AJ3703" s="352"/>
    </row>
    <row r="3704" spans="2:36">
      <c r="B3704" s="352"/>
      <c r="C3704" s="352"/>
      <c r="D3704" s="352"/>
      <c r="E3704" s="352"/>
      <c r="F3704" s="352"/>
      <c r="H3704" s="352"/>
      <c r="J3704" s="352"/>
      <c r="L3704" s="352"/>
      <c r="M3704" s="352"/>
      <c r="N3704" s="352"/>
      <c r="O3704" s="352"/>
      <c r="P3704" s="352"/>
      <c r="Q3704" s="352"/>
      <c r="R3704" s="352"/>
      <c r="S3704" s="352"/>
      <c r="T3704" s="352"/>
      <c r="U3704" s="352"/>
      <c r="V3704" s="352"/>
      <c r="W3704" s="352"/>
      <c r="X3704" s="352"/>
      <c r="Y3704" s="352"/>
      <c r="Z3704" s="352"/>
      <c r="AA3704" s="352"/>
      <c r="AB3704" s="352"/>
      <c r="AC3704" s="352"/>
      <c r="AD3704" s="352"/>
      <c r="AE3704" s="352"/>
      <c r="AF3704" s="352"/>
      <c r="AG3704" s="352"/>
      <c r="AH3704" s="352"/>
      <c r="AI3704" s="352"/>
      <c r="AJ3704" s="352"/>
    </row>
    <row r="3705" spans="2:36">
      <c r="B3705" s="352"/>
      <c r="C3705" s="352"/>
      <c r="D3705" s="352"/>
      <c r="E3705" s="352"/>
      <c r="F3705" s="352"/>
      <c r="H3705" s="352"/>
      <c r="J3705" s="352"/>
      <c r="L3705" s="352"/>
      <c r="M3705" s="352"/>
      <c r="N3705" s="352"/>
      <c r="O3705" s="352"/>
      <c r="P3705" s="352"/>
      <c r="Q3705" s="352"/>
      <c r="R3705" s="352"/>
      <c r="S3705" s="352"/>
      <c r="T3705" s="352"/>
      <c r="U3705" s="352"/>
      <c r="V3705" s="352"/>
      <c r="W3705" s="352"/>
      <c r="X3705" s="352"/>
      <c r="Y3705" s="352"/>
      <c r="Z3705" s="352"/>
      <c r="AA3705" s="352"/>
      <c r="AB3705" s="352"/>
      <c r="AC3705" s="352"/>
      <c r="AD3705" s="352"/>
      <c r="AE3705" s="352"/>
      <c r="AF3705" s="352"/>
      <c r="AG3705" s="352"/>
      <c r="AH3705" s="352"/>
      <c r="AI3705" s="352"/>
      <c r="AJ3705" s="352"/>
    </row>
    <row r="3706" spans="2:36">
      <c r="B3706" s="352"/>
      <c r="C3706" s="352"/>
      <c r="D3706" s="352"/>
      <c r="E3706" s="352"/>
      <c r="F3706" s="352"/>
      <c r="H3706" s="352"/>
      <c r="J3706" s="352"/>
      <c r="L3706" s="352"/>
      <c r="M3706" s="352"/>
      <c r="N3706" s="352"/>
      <c r="O3706" s="352"/>
      <c r="P3706" s="352"/>
      <c r="Q3706" s="352"/>
      <c r="R3706" s="352"/>
      <c r="S3706" s="352"/>
      <c r="T3706" s="352"/>
      <c r="U3706" s="352"/>
      <c r="V3706" s="352"/>
      <c r="W3706" s="352"/>
      <c r="X3706" s="352"/>
      <c r="Y3706" s="352"/>
      <c r="Z3706" s="352"/>
      <c r="AA3706" s="352"/>
      <c r="AB3706" s="352"/>
      <c r="AC3706" s="352"/>
      <c r="AD3706" s="352"/>
      <c r="AE3706" s="352"/>
      <c r="AF3706" s="352"/>
      <c r="AG3706" s="352"/>
      <c r="AH3706" s="352"/>
      <c r="AI3706" s="352"/>
      <c r="AJ3706" s="352"/>
    </row>
    <row r="3707" spans="2:36">
      <c r="B3707" s="352"/>
      <c r="C3707" s="352"/>
      <c r="D3707" s="352"/>
      <c r="E3707" s="352"/>
      <c r="F3707" s="352"/>
      <c r="H3707" s="352"/>
      <c r="J3707" s="352"/>
      <c r="L3707" s="352"/>
      <c r="M3707" s="352"/>
      <c r="N3707" s="352"/>
      <c r="O3707" s="352"/>
      <c r="P3707" s="352"/>
      <c r="Q3707" s="352"/>
      <c r="R3707" s="352"/>
      <c r="S3707" s="352"/>
      <c r="T3707" s="352"/>
      <c r="U3707" s="352"/>
      <c r="V3707" s="352"/>
      <c r="W3707" s="352"/>
      <c r="X3707" s="352"/>
      <c r="Y3707" s="352"/>
      <c r="Z3707" s="352"/>
      <c r="AA3707" s="352"/>
      <c r="AB3707" s="352"/>
      <c r="AC3707" s="352"/>
      <c r="AD3707" s="352"/>
      <c r="AE3707" s="352"/>
      <c r="AF3707" s="352"/>
      <c r="AG3707" s="352"/>
      <c r="AH3707" s="352"/>
      <c r="AI3707" s="352"/>
      <c r="AJ3707" s="352"/>
    </row>
    <row r="3708" spans="2:36">
      <c r="B3708" s="352"/>
      <c r="C3708" s="352"/>
      <c r="D3708" s="352"/>
      <c r="E3708" s="352"/>
      <c r="F3708" s="352"/>
      <c r="H3708" s="352"/>
      <c r="J3708" s="352"/>
      <c r="L3708" s="352"/>
      <c r="M3708" s="352"/>
      <c r="N3708" s="352"/>
      <c r="O3708" s="352"/>
      <c r="P3708" s="352"/>
      <c r="Q3708" s="352"/>
      <c r="R3708" s="352"/>
      <c r="S3708" s="352"/>
      <c r="T3708" s="352"/>
      <c r="U3708" s="352"/>
      <c r="V3708" s="352"/>
      <c r="W3708" s="352"/>
      <c r="X3708" s="352"/>
      <c r="Y3708" s="352"/>
      <c r="Z3708" s="352"/>
      <c r="AA3708" s="352"/>
      <c r="AB3708" s="352"/>
      <c r="AC3708" s="352"/>
      <c r="AD3708" s="352"/>
      <c r="AE3708" s="352"/>
      <c r="AF3708" s="352"/>
      <c r="AG3708" s="352"/>
      <c r="AH3708" s="352"/>
      <c r="AI3708" s="352"/>
      <c r="AJ3708" s="352"/>
    </row>
    <row r="3709" spans="2:36">
      <c r="B3709" s="352"/>
      <c r="C3709" s="352"/>
      <c r="D3709" s="352"/>
      <c r="E3709" s="352"/>
      <c r="F3709" s="352"/>
      <c r="H3709" s="352"/>
      <c r="J3709" s="352"/>
      <c r="L3709" s="352"/>
      <c r="M3709" s="352"/>
      <c r="N3709" s="352"/>
      <c r="O3709" s="352"/>
      <c r="P3709" s="352"/>
      <c r="Q3709" s="352"/>
      <c r="R3709" s="352"/>
      <c r="S3709" s="352"/>
      <c r="T3709" s="352"/>
      <c r="U3709" s="352"/>
      <c r="V3709" s="352"/>
      <c r="W3709" s="352"/>
      <c r="X3709" s="352"/>
      <c r="Y3709" s="352"/>
      <c r="Z3709" s="352"/>
      <c r="AA3709" s="352"/>
      <c r="AB3709" s="352"/>
      <c r="AC3709" s="352"/>
      <c r="AD3709" s="352"/>
      <c r="AE3709" s="352"/>
      <c r="AF3709" s="352"/>
      <c r="AG3709" s="352"/>
      <c r="AH3709" s="352"/>
      <c r="AI3709" s="352"/>
      <c r="AJ3709" s="352"/>
    </row>
    <row r="3710" spans="2:36">
      <c r="B3710" s="352"/>
      <c r="C3710" s="352"/>
      <c r="D3710" s="352"/>
      <c r="E3710" s="352"/>
      <c r="F3710" s="352"/>
      <c r="H3710" s="352"/>
      <c r="J3710" s="352"/>
      <c r="L3710" s="352"/>
      <c r="M3710" s="352"/>
      <c r="N3710" s="352"/>
      <c r="O3710" s="352"/>
      <c r="P3710" s="352"/>
      <c r="Q3710" s="352"/>
      <c r="R3710" s="352"/>
      <c r="S3710" s="352"/>
      <c r="T3710" s="352"/>
      <c r="U3710" s="352"/>
      <c r="V3710" s="352"/>
      <c r="W3710" s="352"/>
      <c r="X3710" s="352"/>
      <c r="Y3710" s="352"/>
      <c r="Z3710" s="352"/>
      <c r="AA3710" s="352"/>
      <c r="AB3710" s="352"/>
      <c r="AC3710" s="352"/>
      <c r="AD3710" s="352"/>
      <c r="AE3710" s="352"/>
      <c r="AF3710" s="352"/>
      <c r="AG3710" s="352"/>
      <c r="AH3710" s="352"/>
      <c r="AI3710" s="352"/>
      <c r="AJ3710" s="352"/>
    </row>
    <row r="3711" spans="2:36">
      <c r="B3711" s="352"/>
      <c r="C3711" s="352"/>
      <c r="D3711" s="352"/>
      <c r="E3711" s="352"/>
      <c r="F3711" s="352"/>
      <c r="H3711" s="352"/>
      <c r="J3711" s="352"/>
      <c r="L3711" s="352"/>
      <c r="M3711" s="352"/>
      <c r="N3711" s="352"/>
      <c r="O3711" s="352"/>
      <c r="P3711" s="352"/>
      <c r="Q3711" s="352"/>
      <c r="R3711" s="352"/>
      <c r="S3711" s="352"/>
      <c r="T3711" s="352"/>
      <c r="U3711" s="352"/>
      <c r="V3711" s="352"/>
      <c r="W3711" s="352"/>
      <c r="X3711" s="352"/>
      <c r="Y3711" s="352"/>
      <c r="Z3711" s="352"/>
      <c r="AA3711" s="352"/>
      <c r="AB3711" s="352"/>
      <c r="AC3711" s="352"/>
      <c r="AD3711" s="352"/>
      <c r="AE3711" s="352"/>
      <c r="AF3711" s="352"/>
      <c r="AG3711" s="352"/>
      <c r="AH3711" s="352"/>
      <c r="AI3711" s="352"/>
      <c r="AJ3711" s="352"/>
    </row>
    <row r="3712" spans="2:36">
      <c r="B3712" s="352"/>
      <c r="C3712" s="352"/>
      <c r="D3712" s="352"/>
      <c r="E3712" s="352"/>
      <c r="F3712" s="352"/>
      <c r="H3712" s="352"/>
      <c r="J3712" s="352"/>
      <c r="L3712" s="352"/>
      <c r="M3712" s="352"/>
      <c r="N3712" s="352"/>
      <c r="O3712" s="352"/>
      <c r="P3712" s="352"/>
      <c r="Q3712" s="352"/>
      <c r="R3712" s="352"/>
      <c r="S3712" s="352"/>
      <c r="T3712" s="352"/>
      <c r="U3712" s="352"/>
      <c r="V3712" s="352"/>
      <c r="W3712" s="352"/>
      <c r="X3712" s="352"/>
      <c r="Y3712" s="352"/>
      <c r="Z3712" s="352"/>
      <c r="AA3712" s="352"/>
      <c r="AB3712" s="352"/>
      <c r="AC3712" s="352"/>
      <c r="AD3712" s="352"/>
      <c r="AE3712" s="352"/>
      <c r="AF3712" s="352"/>
      <c r="AG3712" s="352"/>
      <c r="AH3712" s="352"/>
      <c r="AI3712" s="352"/>
      <c r="AJ3712" s="352"/>
    </row>
    <row r="3713" spans="2:36">
      <c r="B3713" s="352"/>
      <c r="C3713" s="352"/>
      <c r="D3713" s="352"/>
      <c r="E3713" s="352"/>
      <c r="F3713" s="352"/>
      <c r="H3713" s="352"/>
      <c r="J3713" s="352"/>
      <c r="L3713" s="352"/>
      <c r="M3713" s="352"/>
      <c r="N3713" s="352"/>
      <c r="O3713" s="352"/>
      <c r="P3713" s="352"/>
      <c r="Q3713" s="352"/>
      <c r="R3713" s="352"/>
      <c r="S3713" s="352"/>
      <c r="T3713" s="352"/>
      <c r="U3713" s="352"/>
      <c r="V3713" s="352"/>
      <c r="W3713" s="352"/>
      <c r="X3713" s="352"/>
      <c r="Y3713" s="352"/>
      <c r="Z3713" s="352"/>
      <c r="AA3713" s="352"/>
      <c r="AB3713" s="352"/>
      <c r="AC3713" s="352"/>
      <c r="AD3713" s="352"/>
      <c r="AE3713" s="352"/>
      <c r="AF3713" s="352"/>
      <c r="AG3713" s="352"/>
      <c r="AH3713" s="352"/>
      <c r="AI3713" s="352"/>
      <c r="AJ3713" s="352"/>
    </row>
    <row r="3714" spans="2:36">
      <c r="B3714" s="352"/>
      <c r="C3714" s="352"/>
      <c r="D3714" s="352"/>
      <c r="E3714" s="352"/>
      <c r="F3714" s="352"/>
      <c r="H3714" s="352"/>
      <c r="J3714" s="352"/>
      <c r="L3714" s="352"/>
      <c r="M3714" s="352"/>
      <c r="N3714" s="352"/>
      <c r="O3714" s="352"/>
      <c r="P3714" s="352"/>
      <c r="Q3714" s="352"/>
      <c r="R3714" s="352"/>
      <c r="S3714" s="352"/>
      <c r="T3714" s="352"/>
      <c r="U3714" s="352"/>
      <c r="V3714" s="352"/>
      <c r="W3714" s="352"/>
      <c r="X3714" s="352"/>
      <c r="Y3714" s="352"/>
      <c r="Z3714" s="352"/>
      <c r="AA3714" s="352"/>
      <c r="AB3714" s="352"/>
      <c r="AC3714" s="352"/>
      <c r="AD3714" s="352"/>
      <c r="AE3714" s="352"/>
      <c r="AF3714" s="352"/>
      <c r="AG3714" s="352"/>
      <c r="AH3714" s="352"/>
      <c r="AI3714" s="352"/>
      <c r="AJ3714" s="352"/>
    </row>
    <row r="3715" spans="2:36">
      <c r="B3715" s="352"/>
      <c r="C3715" s="352"/>
      <c r="D3715" s="352"/>
      <c r="E3715" s="352"/>
      <c r="F3715" s="352"/>
      <c r="H3715" s="352"/>
      <c r="J3715" s="352"/>
      <c r="L3715" s="352"/>
      <c r="M3715" s="352"/>
      <c r="N3715" s="352"/>
      <c r="O3715" s="352"/>
      <c r="P3715" s="352"/>
      <c r="Q3715" s="352"/>
      <c r="R3715" s="352"/>
      <c r="S3715" s="352"/>
      <c r="T3715" s="352"/>
      <c r="U3715" s="352"/>
      <c r="V3715" s="352"/>
      <c r="W3715" s="352"/>
      <c r="X3715" s="352"/>
      <c r="Y3715" s="352"/>
      <c r="Z3715" s="352"/>
      <c r="AA3715" s="352"/>
      <c r="AB3715" s="352"/>
      <c r="AC3715" s="352"/>
      <c r="AD3715" s="352"/>
      <c r="AE3715" s="352"/>
      <c r="AF3715" s="352"/>
      <c r="AG3715" s="352"/>
      <c r="AH3715" s="352"/>
      <c r="AI3715" s="352"/>
      <c r="AJ3715" s="352"/>
    </row>
    <row r="3716" spans="2:36">
      <c r="B3716" s="352"/>
      <c r="C3716" s="352"/>
      <c r="D3716" s="352"/>
      <c r="E3716" s="352"/>
      <c r="F3716" s="352"/>
      <c r="H3716" s="352"/>
      <c r="J3716" s="352"/>
      <c r="L3716" s="352"/>
      <c r="M3716" s="352"/>
      <c r="N3716" s="352"/>
      <c r="O3716" s="352"/>
      <c r="P3716" s="352"/>
      <c r="Q3716" s="352"/>
      <c r="R3716" s="352"/>
      <c r="S3716" s="352"/>
      <c r="T3716" s="352"/>
      <c r="U3716" s="352"/>
      <c r="V3716" s="352"/>
      <c r="W3716" s="352"/>
      <c r="X3716" s="352"/>
      <c r="Y3716" s="352"/>
      <c r="Z3716" s="352"/>
      <c r="AA3716" s="352"/>
      <c r="AB3716" s="352"/>
      <c r="AC3716" s="352"/>
      <c r="AD3716" s="352"/>
      <c r="AE3716" s="352"/>
      <c r="AF3716" s="352"/>
      <c r="AG3716" s="352"/>
      <c r="AH3716" s="352"/>
      <c r="AI3716" s="352"/>
      <c r="AJ3716" s="352"/>
    </row>
    <row r="3717" spans="2:36">
      <c r="B3717" s="352"/>
      <c r="C3717" s="352"/>
      <c r="D3717" s="352"/>
      <c r="E3717" s="352"/>
      <c r="F3717" s="352"/>
      <c r="H3717" s="352"/>
      <c r="J3717" s="352"/>
      <c r="L3717" s="352"/>
      <c r="M3717" s="352"/>
      <c r="N3717" s="352"/>
      <c r="O3717" s="352"/>
      <c r="P3717" s="352"/>
      <c r="Q3717" s="352"/>
      <c r="R3717" s="352"/>
      <c r="S3717" s="352"/>
      <c r="T3717" s="352"/>
      <c r="U3717" s="352"/>
      <c r="V3717" s="352"/>
      <c r="W3717" s="352"/>
      <c r="X3717" s="352"/>
      <c r="Y3717" s="352"/>
      <c r="Z3717" s="352"/>
      <c r="AA3717" s="352"/>
      <c r="AB3717" s="352"/>
      <c r="AC3717" s="352"/>
      <c r="AD3717" s="352"/>
      <c r="AE3717" s="352"/>
      <c r="AF3717" s="352"/>
      <c r="AG3717" s="352"/>
      <c r="AH3717" s="352"/>
      <c r="AI3717" s="352"/>
      <c r="AJ3717" s="352"/>
    </row>
    <row r="3718" spans="2:36">
      <c r="B3718" s="352"/>
      <c r="C3718" s="352"/>
      <c r="D3718" s="352"/>
      <c r="E3718" s="352"/>
      <c r="F3718" s="352"/>
      <c r="H3718" s="352"/>
      <c r="J3718" s="352"/>
      <c r="L3718" s="352"/>
      <c r="M3718" s="352"/>
      <c r="N3718" s="352"/>
      <c r="O3718" s="352"/>
      <c r="P3718" s="352"/>
      <c r="Q3718" s="352"/>
      <c r="R3718" s="352"/>
      <c r="S3718" s="352"/>
      <c r="T3718" s="352"/>
      <c r="U3718" s="352"/>
      <c r="V3718" s="352"/>
      <c r="W3718" s="352"/>
      <c r="X3718" s="352"/>
      <c r="Y3718" s="352"/>
      <c r="Z3718" s="352"/>
      <c r="AA3718" s="352"/>
      <c r="AB3718" s="352"/>
      <c r="AC3718" s="352"/>
      <c r="AD3718" s="352"/>
      <c r="AE3718" s="352"/>
      <c r="AF3718" s="352"/>
      <c r="AG3718" s="352"/>
      <c r="AH3718" s="352"/>
      <c r="AI3718" s="352"/>
      <c r="AJ3718" s="352"/>
    </row>
    <row r="3719" spans="2:36">
      <c r="B3719" s="352"/>
      <c r="C3719" s="352"/>
      <c r="D3719" s="352"/>
      <c r="E3719" s="352"/>
      <c r="F3719" s="352"/>
      <c r="H3719" s="352"/>
      <c r="J3719" s="352"/>
      <c r="L3719" s="352"/>
      <c r="M3719" s="352"/>
      <c r="N3719" s="352"/>
      <c r="O3719" s="352"/>
      <c r="P3719" s="352"/>
      <c r="Q3719" s="352"/>
      <c r="R3719" s="352"/>
      <c r="S3719" s="352"/>
      <c r="T3719" s="352"/>
      <c r="U3719" s="352"/>
      <c r="V3719" s="352"/>
      <c r="W3719" s="352"/>
      <c r="X3719" s="352"/>
      <c r="Y3719" s="352"/>
      <c r="Z3719" s="352"/>
      <c r="AA3719" s="352"/>
      <c r="AB3719" s="352"/>
      <c r="AC3719" s="352"/>
      <c r="AD3719" s="352"/>
      <c r="AE3719" s="352"/>
      <c r="AF3719" s="352"/>
      <c r="AG3719" s="352"/>
      <c r="AH3719" s="352"/>
      <c r="AI3719" s="352"/>
      <c r="AJ3719" s="352"/>
    </row>
    <row r="3720" spans="2:36">
      <c r="B3720" s="352"/>
      <c r="C3720" s="352"/>
      <c r="D3720" s="352"/>
      <c r="E3720" s="352"/>
      <c r="F3720" s="352"/>
      <c r="H3720" s="352"/>
      <c r="J3720" s="352"/>
      <c r="L3720" s="352"/>
      <c r="M3720" s="352"/>
      <c r="N3720" s="352"/>
      <c r="O3720" s="352"/>
      <c r="P3720" s="352"/>
      <c r="Q3720" s="352"/>
      <c r="R3720" s="352"/>
      <c r="S3720" s="352"/>
      <c r="T3720" s="352"/>
      <c r="U3720" s="352"/>
      <c r="V3720" s="352"/>
      <c r="W3720" s="352"/>
      <c r="X3720" s="352"/>
      <c r="Y3720" s="352"/>
      <c r="Z3720" s="352"/>
      <c r="AA3720" s="352"/>
      <c r="AB3720" s="352"/>
      <c r="AC3720" s="352"/>
      <c r="AD3720" s="352"/>
      <c r="AE3720" s="352"/>
      <c r="AF3720" s="352"/>
      <c r="AG3720" s="352"/>
      <c r="AH3720" s="352"/>
      <c r="AI3720" s="352"/>
      <c r="AJ3720" s="352"/>
    </row>
    <row r="3721" spans="2:36">
      <c r="B3721" s="352"/>
      <c r="C3721" s="352"/>
      <c r="D3721" s="352"/>
      <c r="E3721" s="352"/>
      <c r="F3721" s="352"/>
      <c r="H3721" s="352"/>
      <c r="J3721" s="352"/>
      <c r="L3721" s="352"/>
      <c r="M3721" s="352"/>
      <c r="N3721" s="352"/>
      <c r="O3721" s="352"/>
      <c r="P3721" s="352"/>
      <c r="Q3721" s="352"/>
      <c r="R3721" s="352"/>
      <c r="S3721" s="352"/>
      <c r="T3721" s="352"/>
      <c r="U3721" s="352"/>
      <c r="V3721" s="352"/>
      <c r="W3721" s="352"/>
      <c r="X3721" s="352"/>
      <c r="Y3721" s="352"/>
      <c r="Z3721" s="352"/>
      <c r="AA3721" s="352"/>
      <c r="AB3721" s="352"/>
      <c r="AC3721" s="352"/>
      <c r="AD3721" s="352"/>
      <c r="AE3721" s="352"/>
      <c r="AF3721" s="352"/>
      <c r="AG3721" s="352"/>
      <c r="AH3721" s="352"/>
      <c r="AI3721" s="352"/>
      <c r="AJ3721" s="352"/>
    </row>
    <row r="3722" spans="2:36">
      <c r="B3722" s="352"/>
      <c r="C3722" s="352"/>
      <c r="D3722" s="352"/>
      <c r="E3722" s="352"/>
      <c r="F3722" s="352"/>
      <c r="H3722" s="352"/>
      <c r="J3722" s="352"/>
      <c r="L3722" s="352"/>
      <c r="M3722" s="352"/>
      <c r="N3722" s="352"/>
      <c r="O3722" s="352"/>
      <c r="P3722" s="352"/>
      <c r="Q3722" s="352"/>
      <c r="R3722" s="352"/>
      <c r="S3722" s="352"/>
      <c r="T3722" s="352"/>
      <c r="U3722" s="352"/>
      <c r="V3722" s="352"/>
      <c r="W3722" s="352"/>
      <c r="X3722" s="352"/>
      <c r="Y3722" s="352"/>
      <c r="Z3722" s="352"/>
      <c r="AA3722" s="352"/>
      <c r="AB3722" s="352"/>
      <c r="AC3722" s="352"/>
      <c r="AD3722" s="352"/>
      <c r="AE3722" s="352"/>
      <c r="AF3722" s="352"/>
      <c r="AG3722" s="352"/>
      <c r="AH3722" s="352"/>
      <c r="AI3722" s="352"/>
      <c r="AJ3722" s="352"/>
    </row>
    <row r="3723" spans="2:36">
      <c r="B3723" s="352"/>
      <c r="C3723" s="352"/>
      <c r="D3723" s="352"/>
      <c r="E3723" s="352"/>
      <c r="F3723" s="352"/>
      <c r="H3723" s="352"/>
      <c r="J3723" s="352"/>
      <c r="L3723" s="352"/>
      <c r="M3723" s="352"/>
      <c r="N3723" s="352"/>
      <c r="O3723" s="352"/>
      <c r="P3723" s="352"/>
      <c r="Q3723" s="352"/>
      <c r="R3723" s="352"/>
      <c r="S3723" s="352"/>
      <c r="T3723" s="352"/>
      <c r="U3723" s="352"/>
      <c r="V3723" s="352"/>
      <c r="W3723" s="352"/>
      <c r="X3723" s="352"/>
      <c r="Y3723" s="352"/>
      <c r="Z3723" s="352"/>
      <c r="AA3723" s="352"/>
      <c r="AB3723" s="352"/>
      <c r="AC3723" s="352"/>
      <c r="AD3723" s="352"/>
      <c r="AE3723" s="352"/>
      <c r="AF3723" s="352"/>
      <c r="AG3723" s="352"/>
      <c r="AH3723" s="352"/>
      <c r="AI3723" s="352"/>
      <c r="AJ3723" s="352"/>
    </row>
    <row r="3724" spans="2:36">
      <c r="B3724" s="352"/>
      <c r="C3724" s="352"/>
      <c r="D3724" s="352"/>
      <c r="E3724" s="352"/>
      <c r="F3724" s="352"/>
      <c r="H3724" s="352"/>
      <c r="J3724" s="352"/>
      <c r="L3724" s="352"/>
      <c r="M3724" s="352"/>
      <c r="N3724" s="352"/>
      <c r="O3724" s="352"/>
      <c r="P3724" s="352"/>
      <c r="Q3724" s="352"/>
      <c r="R3724" s="352"/>
      <c r="S3724" s="352"/>
      <c r="T3724" s="352"/>
      <c r="U3724" s="352"/>
      <c r="V3724" s="352"/>
      <c r="W3724" s="352"/>
      <c r="X3724" s="352"/>
      <c r="Y3724" s="352"/>
      <c r="Z3724" s="352"/>
      <c r="AA3724" s="352"/>
      <c r="AB3724" s="352"/>
      <c r="AC3724" s="352"/>
      <c r="AD3724" s="352"/>
      <c r="AE3724" s="352"/>
      <c r="AF3724" s="352"/>
      <c r="AG3724" s="352"/>
      <c r="AH3724" s="352"/>
      <c r="AI3724" s="352"/>
      <c r="AJ3724" s="352"/>
    </row>
    <row r="3725" spans="2:36">
      <c r="B3725" s="352"/>
      <c r="C3725" s="352"/>
      <c r="D3725" s="352"/>
      <c r="E3725" s="352"/>
      <c r="F3725" s="352"/>
      <c r="H3725" s="352"/>
      <c r="J3725" s="352"/>
      <c r="L3725" s="352"/>
      <c r="M3725" s="352"/>
      <c r="N3725" s="352"/>
      <c r="O3725" s="352"/>
      <c r="P3725" s="352"/>
      <c r="Q3725" s="352"/>
      <c r="R3725" s="352"/>
      <c r="S3725" s="352"/>
      <c r="T3725" s="352"/>
      <c r="U3725" s="352"/>
      <c r="V3725" s="352"/>
      <c r="W3725" s="352"/>
      <c r="X3725" s="352"/>
      <c r="Y3725" s="352"/>
      <c r="Z3725" s="352"/>
      <c r="AA3725" s="352"/>
      <c r="AB3725" s="352"/>
      <c r="AC3725" s="352"/>
      <c r="AD3725" s="352"/>
      <c r="AE3725" s="352"/>
      <c r="AF3725" s="352"/>
      <c r="AG3725" s="352"/>
      <c r="AH3725" s="352"/>
      <c r="AI3725" s="352"/>
      <c r="AJ3725" s="352"/>
    </row>
    <row r="3726" spans="2:36">
      <c r="B3726" s="352"/>
      <c r="C3726" s="352"/>
      <c r="D3726" s="352"/>
      <c r="E3726" s="352"/>
      <c r="F3726" s="352"/>
      <c r="H3726" s="352"/>
      <c r="J3726" s="352"/>
      <c r="L3726" s="352"/>
      <c r="M3726" s="352"/>
      <c r="N3726" s="352"/>
      <c r="O3726" s="352"/>
      <c r="P3726" s="352"/>
      <c r="Q3726" s="352"/>
      <c r="R3726" s="352"/>
      <c r="S3726" s="352"/>
      <c r="T3726" s="352"/>
      <c r="U3726" s="352"/>
      <c r="V3726" s="352"/>
      <c r="W3726" s="352"/>
      <c r="X3726" s="352"/>
      <c r="Y3726" s="352"/>
      <c r="Z3726" s="352"/>
      <c r="AA3726" s="352"/>
      <c r="AB3726" s="352"/>
      <c r="AC3726" s="352"/>
      <c r="AD3726" s="352"/>
      <c r="AE3726" s="352"/>
      <c r="AF3726" s="352"/>
      <c r="AG3726" s="352"/>
      <c r="AH3726" s="352"/>
      <c r="AI3726" s="352"/>
      <c r="AJ3726" s="352"/>
    </row>
    <row r="3727" spans="2:36">
      <c r="B3727" s="352"/>
      <c r="C3727" s="352"/>
      <c r="D3727" s="352"/>
      <c r="E3727" s="352"/>
      <c r="F3727" s="352"/>
      <c r="H3727" s="352"/>
      <c r="J3727" s="352"/>
      <c r="L3727" s="352"/>
      <c r="M3727" s="352"/>
      <c r="N3727" s="352"/>
      <c r="O3727" s="352"/>
      <c r="P3727" s="352"/>
      <c r="Q3727" s="352"/>
      <c r="R3727" s="352"/>
      <c r="S3727" s="352"/>
      <c r="T3727" s="352"/>
      <c r="U3727" s="352"/>
      <c r="V3727" s="352"/>
      <c r="W3727" s="352"/>
      <c r="X3727" s="352"/>
      <c r="Y3727" s="352"/>
      <c r="Z3727" s="352"/>
      <c r="AA3727" s="352"/>
      <c r="AB3727" s="352"/>
      <c r="AC3727" s="352"/>
      <c r="AD3727" s="352"/>
      <c r="AE3727" s="352"/>
      <c r="AF3727" s="352"/>
      <c r="AG3727" s="352"/>
      <c r="AH3727" s="352"/>
      <c r="AI3727" s="352"/>
      <c r="AJ3727" s="352"/>
    </row>
    <row r="3728" spans="2:36">
      <c r="B3728" s="352"/>
      <c r="C3728" s="352"/>
      <c r="D3728" s="352"/>
      <c r="E3728" s="352"/>
      <c r="F3728" s="352"/>
      <c r="H3728" s="352"/>
      <c r="J3728" s="352"/>
      <c r="L3728" s="352"/>
      <c r="M3728" s="352"/>
      <c r="N3728" s="352"/>
      <c r="O3728" s="352"/>
      <c r="P3728" s="352"/>
      <c r="Q3728" s="352"/>
      <c r="R3728" s="352"/>
      <c r="S3728" s="352"/>
      <c r="T3728" s="352"/>
      <c r="U3728" s="352"/>
      <c r="V3728" s="352"/>
      <c r="W3728" s="352"/>
      <c r="X3728" s="352"/>
      <c r="Y3728" s="352"/>
      <c r="Z3728" s="352"/>
      <c r="AA3728" s="352"/>
      <c r="AB3728" s="352"/>
      <c r="AC3728" s="352"/>
      <c r="AD3728" s="352"/>
      <c r="AE3728" s="352"/>
      <c r="AF3728" s="352"/>
      <c r="AG3728" s="352"/>
      <c r="AH3728" s="352"/>
      <c r="AI3728" s="352"/>
      <c r="AJ3728" s="352"/>
    </row>
    <row r="3729" spans="2:36">
      <c r="B3729" s="352"/>
      <c r="C3729" s="352"/>
      <c r="D3729" s="352"/>
      <c r="E3729" s="352"/>
      <c r="F3729" s="352"/>
      <c r="H3729" s="352"/>
      <c r="J3729" s="352"/>
      <c r="L3729" s="352"/>
      <c r="M3729" s="352"/>
      <c r="N3729" s="352"/>
      <c r="O3729" s="352"/>
      <c r="P3729" s="352"/>
      <c r="Q3729" s="352"/>
      <c r="R3729" s="352"/>
      <c r="S3729" s="352"/>
      <c r="T3729" s="352"/>
      <c r="U3729" s="352"/>
      <c r="V3729" s="352"/>
      <c r="W3729" s="352"/>
      <c r="X3729" s="352"/>
      <c r="Y3729" s="352"/>
      <c r="Z3729" s="352"/>
      <c r="AA3729" s="352"/>
      <c r="AB3729" s="352"/>
      <c r="AC3729" s="352"/>
      <c r="AD3729" s="352"/>
      <c r="AE3729" s="352"/>
      <c r="AF3729" s="352"/>
      <c r="AG3729" s="352"/>
      <c r="AH3729" s="352"/>
      <c r="AI3729" s="352"/>
      <c r="AJ3729" s="352"/>
    </row>
    <row r="3730" spans="2:36">
      <c r="B3730" s="352"/>
      <c r="C3730" s="352"/>
      <c r="D3730" s="352"/>
      <c r="E3730" s="352"/>
      <c r="F3730" s="352"/>
      <c r="H3730" s="352"/>
      <c r="J3730" s="352"/>
      <c r="L3730" s="352"/>
      <c r="M3730" s="352"/>
      <c r="N3730" s="352"/>
      <c r="O3730" s="352"/>
      <c r="P3730" s="352"/>
      <c r="Q3730" s="352"/>
      <c r="R3730" s="352"/>
      <c r="S3730" s="352"/>
      <c r="T3730" s="352"/>
      <c r="U3730" s="352"/>
      <c r="V3730" s="352"/>
      <c r="W3730" s="352"/>
      <c r="X3730" s="352"/>
      <c r="Y3730" s="352"/>
      <c r="Z3730" s="352"/>
      <c r="AA3730" s="352"/>
      <c r="AB3730" s="352"/>
      <c r="AC3730" s="352"/>
      <c r="AD3730" s="352"/>
      <c r="AE3730" s="352"/>
      <c r="AF3730" s="352"/>
      <c r="AG3730" s="352"/>
      <c r="AH3730" s="352"/>
      <c r="AI3730" s="352"/>
      <c r="AJ3730" s="352"/>
    </row>
    <row r="3731" spans="2:36">
      <c r="B3731" s="352"/>
      <c r="C3731" s="352"/>
      <c r="D3731" s="352"/>
      <c r="E3731" s="352"/>
      <c r="F3731" s="352"/>
      <c r="H3731" s="352"/>
      <c r="J3731" s="352"/>
      <c r="L3731" s="352"/>
      <c r="M3731" s="352"/>
      <c r="N3731" s="352"/>
      <c r="O3731" s="352"/>
      <c r="P3731" s="352"/>
      <c r="Q3731" s="352"/>
      <c r="R3731" s="352"/>
      <c r="S3731" s="352"/>
      <c r="T3731" s="352"/>
      <c r="U3731" s="352"/>
      <c r="V3731" s="352"/>
      <c r="W3731" s="352"/>
      <c r="X3731" s="352"/>
      <c r="Y3731" s="352"/>
      <c r="Z3731" s="352"/>
      <c r="AA3731" s="352"/>
      <c r="AB3731" s="352"/>
      <c r="AC3731" s="352"/>
      <c r="AD3731" s="352"/>
      <c r="AE3731" s="352"/>
      <c r="AF3731" s="352"/>
      <c r="AG3731" s="352"/>
      <c r="AH3731" s="352"/>
      <c r="AI3731" s="352"/>
      <c r="AJ3731" s="352"/>
    </row>
    <row r="3732" spans="2:36">
      <c r="B3732" s="352"/>
      <c r="C3732" s="352"/>
      <c r="D3732" s="352"/>
      <c r="E3732" s="352"/>
      <c r="F3732" s="352"/>
      <c r="H3732" s="352"/>
      <c r="J3732" s="352"/>
      <c r="L3732" s="352"/>
      <c r="M3732" s="352"/>
      <c r="N3732" s="352"/>
      <c r="O3732" s="352"/>
      <c r="P3732" s="352"/>
      <c r="Q3732" s="352"/>
      <c r="R3732" s="352"/>
      <c r="S3732" s="352"/>
      <c r="T3732" s="352"/>
      <c r="U3732" s="352"/>
      <c r="V3732" s="352"/>
      <c r="W3732" s="352"/>
      <c r="X3732" s="352"/>
      <c r="Y3732" s="352"/>
      <c r="Z3732" s="352"/>
      <c r="AA3732" s="352"/>
      <c r="AB3732" s="352"/>
      <c r="AC3732" s="352"/>
      <c r="AD3732" s="352"/>
      <c r="AE3732" s="352"/>
      <c r="AF3732" s="352"/>
      <c r="AG3732" s="352"/>
      <c r="AH3732" s="352"/>
      <c r="AI3732" s="352"/>
      <c r="AJ3732" s="352"/>
    </row>
    <row r="3733" spans="2:36">
      <c r="B3733" s="352"/>
      <c r="C3733" s="352"/>
      <c r="D3733" s="352"/>
      <c r="E3733" s="352"/>
      <c r="F3733" s="352"/>
      <c r="H3733" s="352"/>
      <c r="J3733" s="352"/>
      <c r="L3733" s="352"/>
      <c r="M3733" s="352"/>
      <c r="N3733" s="352"/>
      <c r="O3733" s="352"/>
      <c r="P3733" s="352"/>
      <c r="Q3733" s="352"/>
      <c r="R3733" s="352"/>
      <c r="S3733" s="352"/>
      <c r="T3733" s="352"/>
      <c r="U3733" s="352"/>
      <c r="V3733" s="352"/>
      <c r="W3733" s="352"/>
      <c r="X3733" s="352"/>
      <c r="Y3733" s="352"/>
      <c r="Z3733" s="352"/>
      <c r="AA3733" s="352"/>
      <c r="AB3733" s="352"/>
      <c r="AC3733" s="352"/>
      <c r="AD3733" s="352"/>
      <c r="AE3733" s="352"/>
      <c r="AF3733" s="352"/>
      <c r="AG3733" s="352"/>
      <c r="AH3733" s="352"/>
      <c r="AI3733" s="352"/>
      <c r="AJ3733" s="352"/>
    </row>
    <row r="3734" spans="2:36">
      <c r="B3734" s="352"/>
      <c r="C3734" s="352"/>
      <c r="D3734" s="352"/>
      <c r="E3734" s="352"/>
      <c r="F3734" s="352"/>
      <c r="H3734" s="352"/>
      <c r="J3734" s="352"/>
      <c r="L3734" s="352"/>
      <c r="M3734" s="352"/>
      <c r="N3734" s="352"/>
      <c r="O3734" s="352"/>
      <c r="P3734" s="352"/>
      <c r="Q3734" s="352"/>
      <c r="R3734" s="352"/>
      <c r="S3734" s="352"/>
      <c r="T3734" s="352"/>
      <c r="U3734" s="352"/>
      <c r="V3734" s="352"/>
      <c r="W3734" s="352"/>
      <c r="X3734" s="352"/>
      <c r="Y3734" s="352"/>
      <c r="Z3734" s="352"/>
      <c r="AA3734" s="352"/>
      <c r="AB3734" s="352"/>
      <c r="AC3734" s="352"/>
      <c r="AD3734" s="352"/>
      <c r="AE3734" s="352"/>
      <c r="AF3734" s="352"/>
      <c r="AG3734" s="352"/>
      <c r="AH3734" s="352"/>
      <c r="AI3734" s="352"/>
      <c r="AJ3734" s="352"/>
    </row>
    <row r="3735" spans="2:36">
      <c r="B3735" s="352"/>
      <c r="C3735" s="352"/>
      <c r="D3735" s="352"/>
      <c r="E3735" s="352"/>
      <c r="F3735" s="352"/>
      <c r="H3735" s="352"/>
      <c r="J3735" s="352"/>
      <c r="L3735" s="352"/>
      <c r="M3735" s="352"/>
      <c r="N3735" s="352"/>
      <c r="O3735" s="352"/>
      <c r="P3735" s="352"/>
      <c r="Q3735" s="352"/>
      <c r="R3735" s="352"/>
      <c r="S3735" s="352"/>
      <c r="T3735" s="352"/>
      <c r="U3735" s="352"/>
      <c r="V3735" s="352"/>
      <c r="W3735" s="352"/>
      <c r="X3735" s="352"/>
      <c r="Y3735" s="352"/>
      <c r="Z3735" s="352"/>
      <c r="AA3735" s="352"/>
      <c r="AB3735" s="352"/>
      <c r="AC3735" s="352"/>
      <c r="AD3735" s="352"/>
      <c r="AE3735" s="352"/>
      <c r="AF3735" s="352"/>
      <c r="AG3735" s="352"/>
      <c r="AH3735" s="352"/>
      <c r="AI3735" s="352"/>
      <c r="AJ3735" s="352"/>
    </row>
    <row r="3736" spans="2:36">
      <c r="B3736" s="352"/>
      <c r="C3736" s="352"/>
      <c r="D3736" s="352"/>
      <c r="E3736" s="352"/>
      <c r="F3736" s="352"/>
      <c r="H3736" s="352"/>
      <c r="J3736" s="352"/>
      <c r="L3736" s="352"/>
      <c r="M3736" s="352"/>
      <c r="N3736" s="352"/>
      <c r="O3736" s="352"/>
      <c r="P3736" s="352"/>
      <c r="Q3736" s="352"/>
      <c r="R3736" s="352"/>
      <c r="S3736" s="352"/>
      <c r="T3736" s="352"/>
      <c r="U3736" s="352"/>
      <c r="V3736" s="352"/>
      <c r="W3736" s="352"/>
      <c r="X3736" s="352"/>
      <c r="Y3736" s="352"/>
      <c r="Z3736" s="352"/>
      <c r="AA3736" s="352"/>
      <c r="AB3736" s="352"/>
      <c r="AC3736" s="352"/>
      <c r="AD3736" s="352"/>
      <c r="AE3736" s="352"/>
      <c r="AF3736" s="352"/>
      <c r="AG3736" s="352"/>
      <c r="AH3736" s="352"/>
      <c r="AI3736" s="352"/>
      <c r="AJ3736" s="352"/>
    </row>
    <row r="3737" spans="2:36">
      <c r="B3737" s="352"/>
      <c r="C3737" s="352"/>
      <c r="D3737" s="352"/>
      <c r="E3737" s="352"/>
      <c r="F3737" s="352"/>
      <c r="H3737" s="352"/>
      <c r="J3737" s="352"/>
      <c r="L3737" s="352"/>
      <c r="M3737" s="352"/>
      <c r="N3737" s="352"/>
      <c r="O3737" s="352"/>
      <c r="P3737" s="352"/>
      <c r="Q3737" s="352"/>
      <c r="R3737" s="352"/>
      <c r="S3737" s="352"/>
      <c r="T3737" s="352"/>
      <c r="U3737" s="352"/>
      <c r="V3737" s="352"/>
      <c r="W3737" s="352"/>
      <c r="X3737" s="352"/>
      <c r="Y3737" s="352"/>
      <c r="Z3737" s="352"/>
      <c r="AA3737" s="352"/>
      <c r="AB3737" s="352"/>
      <c r="AC3737" s="352"/>
      <c r="AD3737" s="352"/>
      <c r="AE3737" s="352"/>
      <c r="AF3737" s="352"/>
      <c r="AG3737" s="352"/>
      <c r="AH3737" s="352"/>
      <c r="AI3737" s="352"/>
      <c r="AJ3737" s="352"/>
    </row>
    <row r="3738" spans="2:36">
      <c r="B3738" s="352"/>
      <c r="C3738" s="352"/>
      <c r="D3738" s="352"/>
      <c r="E3738" s="352"/>
      <c r="F3738" s="352"/>
      <c r="H3738" s="352"/>
      <c r="J3738" s="352"/>
      <c r="L3738" s="352"/>
      <c r="M3738" s="352"/>
      <c r="N3738" s="352"/>
      <c r="O3738" s="352"/>
      <c r="P3738" s="352"/>
      <c r="Q3738" s="352"/>
      <c r="R3738" s="352"/>
      <c r="S3738" s="352"/>
      <c r="T3738" s="352"/>
      <c r="U3738" s="352"/>
      <c r="V3738" s="352"/>
      <c r="W3738" s="352"/>
      <c r="X3738" s="352"/>
      <c r="Y3738" s="352"/>
      <c r="Z3738" s="352"/>
      <c r="AA3738" s="352"/>
      <c r="AB3738" s="352"/>
      <c r="AC3738" s="352"/>
      <c r="AD3738" s="352"/>
      <c r="AE3738" s="352"/>
      <c r="AF3738" s="352"/>
      <c r="AG3738" s="352"/>
      <c r="AH3738" s="352"/>
      <c r="AI3738" s="352"/>
      <c r="AJ3738" s="352"/>
    </row>
    <row r="3739" spans="2:36">
      <c r="B3739" s="352"/>
      <c r="C3739" s="352"/>
      <c r="D3739" s="352"/>
      <c r="E3739" s="352"/>
      <c r="F3739" s="352"/>
      <c r="H3739" s="352"/>
      <c r="J3739" s="352"/>
      <c r="L3739" s="352"/>
      <c r="M3739" s="352"/>
      <c r="N3739" s="352"/>
      <c r="O3739" s="352"/>
      <c r="P3739" s="352"/>
      <c r="Q3739" s="352"/>
      <c r="R3739" s="352"/>
      <c r="S3739" s="352"/>
      <c r="T3739" s="352"/>
      <c r="U3739" s="352"/>
      <c r="V3739" s="352"/>
      <c r="W3739" s="352"/>
      <c r="X3739" s="352"/>
      <c r="Y3739" s="352"/>
      <c r="Z3739" s="352"/>
      <c r="AA3739" s="352"/>
      <c r="AB3739" s="352"/>
      <c r="AC3739" s="352"/>
      <c r="AD3739" s="352"/>
      <c r="AE3739" s="352"/>
      <c r="AF3739" s="352"/>
      <c r="AG3739" s="352"/>
      <c r="AH3739" s="352"/>
      <c r="AI3739" s="352"/>
      <c r="AJ3739" s="352"/>
    </row>
    <row r="3740" spans="2:36">
      <c r="B3740" s="352"/>
      <c r="C3740" s="352"/>
      <c r="D3740" s="352"/>
      <c r="E3740" s="352"/>
      <c r="F3740" s="352"/>
      <c r="H3740" s="352"/>
      <c r="J3740" s="352"/>
      <c r="L3740" s="352"/>
      <c r="M3740" s="352"/>
      <c r="N3740" s="352"/>
      <c r="O3740" s="352"/>
      <c r="P3740" s="352"/>
      <c r="Q3740" s="352"/>
      <c r="R3740" s="352"/>
      <c r="S3740" s="352"/>
      <c r="T3740" s="352"/>
      <c r="U3740" s="352"/>
      <c r="V3740" s="352"/>
      <c r="W3740" s="352"/>
      <c r="X3740" s="352"/>
      <c r="Y3740" s="352"/>
      <c r="Z3740" s="352"/>
      <c r="AA3740" s="352"/>
      <c r="AB3740" s="352"/>
      <c r="AC3740" s="352"/>
      <c r="AD3740" s="352"/>
      <c r="AE3740" s="352"/>
      <c r="AF3740" s="352"/>
      <c r="AG3740" s="352"/>
      <c r="AH3740" s="352"/>
      <c r="AI3740" s="352"/>
      <c r="AJ3740" s="352"/>
    </row>
    <row r="3741" spans="2:36">
      <c r="B3741" s="352"/>
      <c r="C3741" s="352"/>
      <c r="D3741" s="352"/>
      <c r="E3741" s="352"/>
      <c r="F3741" s="352"/>
      <c r="H3741" s="352"/>
      <c r="J3741" s="352"/>
      <c r="L3741" s="352"/>
      <c r="M3741" s="352"/>
      <c r="N3741" s="352"/>
      <c r="O3741" s="352"/>
      <c r="P3741" s="352"/>
      <c r="Q3741" s="352"/>
      <c r="R3741" s="352"/>
      <c r="S3741" s="352"/>
      <c r="T3741" s="352"/>
      <c r="U3741" s="352"/>
      <c r="V3741" s="352"/>
      <c r="W3741" s="352"/>
      <c r="X3741" s="352"/>
      <c r="Y3741" s="352"/>
      <c r="Z3741" s="352"/>
      <c r="AA3741" s="352"/>
      <c r="AB3741" s="352"/>
      <c r="AC3741" s="352"/>
      <c r="AD3741" s="352"/>
      <c r="AE3741" s="352"/>
      <c r="AF3741" s="352"/>
      <c r="AG3741" s="352"/>
      <c r="AH3741" s="352"/>
      <c r="AI3741" s="352"/>
      <c r="AJ3741" s="352"/>
    </row>
    <row r="3742" spans="2:36">
      <c r="B3742" s="352"/>
      <c r="C3742" s="352"/>
      <c r="D3742" s="352"/>
      <c r="E3742" s="352"/>
      <c r="F3742" s="352"/>
      <c r="H3742" s="352"/>
      <c r="J3742" s="352"/>
      <c r="L3742" s="352"/>
      <c r="M3742" s="352"/>
      <c r="N3742" s="352"/>
      <c r="O3742" s="352"/>
      <c r="P3742" s="352"/>
      <c r="Q3742" s="352"/>
      <c r="R3742" s="352"/>
      <c r="S3742" s="352"/>
      <c r="T3742" s="352"/>
      <c r="U3742" s="352"/>
      <c r="V3742" s="352"/>
      <c r="W3742" s="352"/>
      <c r="X3742" s="352"/>
      <c r="Y3742" s="352"/>
      <c r="Z3742" s="352"/>
      <c r="AA3742" s="352"/>
      <c r="AB3742" s="352"/>
      <c r="AC3742" s="352"/>
      <c r="AD3742" s="352"/>
      <c r="AE3742" s="352"/>
      <c r="AF3742" s="352"/>
      <c r="AG3742" s="352"/>
      <c r="AH3742" s="352"/>
      <c r="AI3742" s="352"/>
      <c r="AJ3742" s="352"/>
    </row>
    <row r="3743" spans="2:36">
      <c r="B3743" s="352"/>
      <c r="C3743" s="352"/>
      <c r="D3743" s="352"/>
      <c r="E3743" s="352"/>
      <c r="F3743" s="352"/>
      <c r="H3743" s="352"/>
      <c r="J3743" s="352"/>
      <c r="L3743" s="352"/>
      <c r="M3743" s="352"/>
      <c r="N3743" s="352"/>
      <c r="O3743" s="352"/>
      <c r="P3743" s="352"/>
      <c r="Q3743" s="352"/>
      <c r="R3743" s="352"/>
      <c r="S3743" s="352"/>
      <c r="T3743" s="352"/>
      <c r="U3743" s="352"/>
      <c r="V3743" s="352"/>
      <c r="W3743" s="352"/>
      <c r="X3743" s="352"/>
      <c r="Y3743" s="352"/>
      <c r="Z3743" s="352"/>
      <c r="AA3743" s="352"/>
      <c r="AB3743" s="352"/>
      <c r="AC3743" s="352"/>
      <c r="AD3743" s="352"/>
      <c r="AE3743" s="352"/>
      <c r="AF3743" s="352"/>
      <c r="AG3743" s="352"/>
      <c r="AH3743" s="352"/>
      <c r="AI3743" s="352"/>
      <c r="AJ3743" s="352"/>
    </row>
    <row r="3744" spans="2:36">
      <c r="B3744" s="352"/>
      <c r="C3744" s="352"/>
      <c r="D3744" s="352"/>
      <c r="E3744" s="352"/>
      <c r="F3744" s="352"/>
      <c r="H3744" s="352"/>
      <c r="J3744" s="352"/>
      <c r="L3744" s="352"/>
      <c r="M3744" s="352"/>
      <c r="N3744" s="352"/>
      <c r="O3744" s="352"/>
      <c r="P3744" s="352"/>
      <c r="Q3744" s="352"/>
      <c r="R3744" s="352"/>
      <c r="S3744" s="352"/>
      <c r="T3744" s="352"/>
      <c r="U3744" s="352"/>
      <c r="V3744" s="352"/>
      <c r="W3744" s="352"/>
      <c r="X3744" s="352"/>
      <c r="Y3744" s="352"/>
      <c r="Z3744" s="352"/>
      <c r="AA3744" s="352"/>
      <c r="AB3744" s="352"/>
      <c r="AC3744" s="352"/>
      <c r="AD3744" s="352"/>
      <c r="AE3744" s="352"/>
      <c r="AF3744" s="352"/>
      <c r="AG3744" s="352"/>
      <c r="AH3744" s="352"/>
      <c r="AI3744" s="352"/>
      <c r="AJ3744" s="352"/>
    </row>
    <row r="3745" spans="2:36">
      <c r="B3745" s="352"/>
      <c r="C3745" s="352"/>
      <c r="D3745" s="352"/>
      <c r="E3745" s="352"/>
      <c r="F3745" s="352"/>
      <c r="H3745" s="352"/>
      <c r="J3745" s="352"/>
      <c r="L3745" s="352"/>
      <c r="M3745" s="352"/>
      <c r="N3745" s="352"/>
      <c r="O3745" s="352"/>
      <c r="P3745" s="352"/>
      <c r="Q3745" s="352"/>
      <c r="R3745" s="352"/>
      <c r="S3745" s="352"/>
      <c r="T3745" s="352"/>
      <c r="U3745" s="352"/>
      <c r="V3745" s="352"/>
      <c r="W3745" s="352"/>
      <c r="X3745" s="352"/>
      <c r="Y3745" s="352"/>
      <c r="Z3745" s="352"/>
      <c r="AA3745" s="352"/>
      <c r="AB3745" s="352"/>
      <c r="AC3745" s="352"/>
      <c r="AD3745" s="352"/>
      <c r="AE3745" s="352"/>
      <c r="AF3745" s="352"/>
      <c r="AG3745" s="352"/>
      <c r="AH3745" s="352"/>
      <c r="AI3745" s="352"/>
      <c r="AJ3745" s="352"/>
    </row>
    <row r="3746" spans="2:36">
      <c r="B3746" s="352"/>
      <c r="C3746" s="352"/>
      <c r="D3746" s="352"/>
      <c r="E3746" s="352"/>
      <c r="F3746" s="352"/>
      <c r="H3746" s="352"/>
      <c r="J3746" s="352"/>
      <c r="L3746" s="352"/>
      <c r="M3746" s="352"/>
      <c r="N3746" s="352"/>
      <c r="O3746" s="352"/>
      <c r="P3746" s="352"/>
      <c r="Q3746" s="352"/>
      <c r="R3746" s="352"/>
      <c r="S3746" s="352"/>
      <c r="T3746" s="352"/>
      <c r="U3746" s="352"/>
      <c r="V3746" s="352"/>
      <c r="W3746" s="352"/>
      <c r="X3746" s="352"/>
      <c r="Y3746" s="352"/>
      <c r="Z3746" s="352"/>
      <c r="AA3746" s="352"/>
      <c r="AB3746" s="352"/>
      <c r="AC3746" s="352"/>
      <c r="AD3746" s="352"/>
      <c r="AE3746" s="352"/>
      <c r="AF3746" s="352"/>
      <c r="AG3746" s="352"/>
      <c r="AH3746" s="352"/>
      <c r="AI3746" s="352"/>
      <c r="AJ3746" s="352"/>
    </row>
    <row r="3747" spans="2:36">
      <c r="B3747" s="352"/>
      <c r="C3747" s="352"/>
      <c r="D3747" s="352"/>
      <c r="E3747" s="352"/>
      <c r="F3747" s="352"/>
      <c r="H3747" s="352"/>
      <c r="J3747" s="352"/>
      <c r="L3747" s="352"/>
      <c r="M3747" s="352"/>
      <c r="N3747" s="352"/>
      <c r="O3747" s="352"/>
      <c r="P3747" s="352"/>
      <c r="Q3747" s="352"/>
      <c r="R3747" s="352"/>
      <c r="S3747" s="352"/>
      <c r="T3747" s="352"/>
      <c r="U3747" s="352"/>
      <c r="V3747" s="352"/>
      <c r="W3747" s="352"/>
      <c r="X3747" s="352"/>
      <c r="Y3747" s="352"/>
      <c r="Z3747" s="352"/>
      <c r="AA3747" s="352"/>
      <c r="AB3747" s="352"/>
      <c r="AC3747" s="352"/>
      <c r="AD3747" s="352"/>
      <c r="AE3747" s="352"/>
      <c r="AF3747" s="352"/>
      <c r="AG3747" s="352"/>
      <c r="AH3747" s="352"/>
      <c r="AI3747" s="352"/>
      <c r="AJ3747" s="352"/>
    </row>
    <row r="3748" spans="2:36">
      <c r="B3748" s="352"/>
      <c r="C3748" s="352"/>
      <c r="D3748" s="352"/>
      <c r="E3748" s="352"/>
      <c r="F3748" s="352"/>
      <c r="H3748" s="352"/>
      <c r="J3748" s="352"/>
      <c r="L3748" s="352"/>
      <c r="M3748" s="352"/>
      <c r="N3748" s="352"/>
      <c r="O3748" s="352"/>
      <c r="P3748" s="352"/>
      <c r="Q3748" s="352"/>
      <c r="R3748" s="352"/>
      <c r="S3748" s="352"/>
      <c r="T3748" s="352"/>
      <c r="U3748" s="352"/>
      <c r="V3748" s="352"/>
      <c r="W3748" s="352"/>
      <c r="X3748" s="352"/>
      <c r="Y3748" s="352"/>
      <c r="Z3748" s="352"/>
      <c r="AA3748" s="352"/>
      <c r="AB3748" s="352"/>
      <c r="AC3748" s="352"/>
      <c r="AD3748" s="352"/>
      <c r="AE3748" s="352"/>
      <c r="AF3748" s="352"/>
      <c r="AG3748" s="352"/>
      <c r="AH3748" s="352"/>
      <c r="AI3748" s="352"/>
      <c r="AJ3748" s="352"/>
    </row>
    <row r="3749" spans="2:36">
      <c r="B3749" s="352"/>
      <c r="C3749" s="352"/>
      <c r="D3749" s="352"/>
      <c r="E3749" s="352"/>
      <c r="F3749" s="352"/>
      <c r="H3749" s="352"/>
      <c r="J3749" s="352"/>
      <c r="L3749" s="352"/>
      <c r="M3749" s="352"/>
      <c r="N3749" s="352"/>
      <c r="O3749" s="352"/>
      <c r="P3749" s="352"/>
      <c r="Q3749" s="352"/>
      <c r="R3749" s="352"/>
      <c r="S3749" s="352"/>
      <c r="T3749" s="352"/>
      <c r="U3749" s="352"/>
      <c r="V3749" s="352"/>
      <c r="W3749" s="352"/>
      <c r="X3749" s="352"/>
      <c r="Y3749" s="352"/>
      <c r="Z3749" s="352"/>
      <c r="AA3749" s="352"/>
      <c r="AB3749" s="352"/>
      <c r="AC3749" s="352"/>
      <c r="AD3749" s="352"/>
      <c r="AE3749" s="352"/>
      <c r="AF3749" s="352"/>
      <c r="AG3749" s="352"/>
      <c r="AH3749" s="352"/>
      <c r="AI3749" s="352"/>
      <c r="AJ3749" s="352"/>
    </row>
    <row r="3750" spans="2:36">
      <c r="B3750" s="352"/>
      <c r="C3750" s="352"/>
      <c r="D3750" s="352"/>
      <c r="E3750" s="352"/>
      <c r="F3750" s="352"/>
      <c r="H3750" s="352"/>
      <c r="J3750" s="352"/>
      <c r="L3750" s="352"/>
      <c r="M3750" s="352"/>
      <c r="N3750" s="352"/>
      <c r="O3750" s="352"/>
      <c r="P3750" s="352"/>
      <c r="Q3750" s="352"/>
      <c r="R3750" s="352"/>
      <c r="S3750" s="352"/>
      <c r="T3750" s="352"/>
      <c r="U3750" s="352"/>
      <c r="V3750" s="352"/>
      <c r="W3750" s="352"/>
      <c r="X3750" s="352"/>
      <c r="Y3750" s="352"/>
      <c r="Z3750" s="352"/>
      <c r="AA3750" s="352"/>
      <c r="AB3750" s="352"/>
      <c r="AC3750" s="352"/>
      <c r="AD3750" s="352"/>
      <c r="AE3750" s="352"/>
      <c r="AF3750" s="352"/>
      <c r="AG3750" s="352"/>
      <c r="AH3750" s="352"/>
      <c r="AI3750" s="352"/>
      <c r="AJ3750" s="352"/>
    </row>
    <row r="3751" spans="2:36">
      <c r="B3751" s="352"/>
      <c r="C3751" s="352"/>
      <c r="D3751" s="352"/>
      <c r="E3751" s="352"/>
      <c r="F3751" s="352"/>
      <c r="H3751" s="352"/>
      <c r="J3751" s="352"/>
      <c r="L3751" s="352"/>
      <c r="M3751" s="352"/>
      <c r="N3751" s="352"/>
      <c r="O3751" s="352"/>
      <c r="P3751" s="352"/>
      <c r="Q3751" s="352"/>
      <c r="R3751" s="352"/>
      <c r="S3751" s="352"/>
      <c r="T3751" s="352"/>
      <c r="U3751" s="352"/>
      <c r="V3751" s="352"/>
      <c r="W3751" s="352"/>
      <c r="X3751" s="352"/>
      <c r="Y3751" s="352"/>
      <c r="Z3751" s="352"/>
      <c r="AA3751" s="352"/>
      <c r="AB3751" s="352"/>
      <c r="AC3751" s="352"/>
      <c r="AD3751" s="352"/>
      <c r="AE3751" s="352"/>
      <c r="AF3751" s="352"/>
      <c r="AG3751" s="352"/>
      <c r="AH3751" s="352"/>
      <c r="AI3751" s="352"/>
      <c r="AJ3751" s="352"/>
    </row>
    <row r="3752" spans="2:36">
      <c r="B3752" s="352"/>
      <c r="C3752" s="352"/>
      <c r="D3752" s="352"/>
      <c r="E3752" s="352"/>
      <c r="F3752" s="352"/>
      <c r="H3752" s="352"/>
      <c r="J3752" s="352"/>
      <c r="L3752" s="352"/>
      <c r="M3752" s="352"/>
      <c r="N3752" s="352"/>
      <c r="O3752" s="352"/>
      <c r="P3752" s="352"/>
      <c r="Q3752" s="352"/>
      <c r="R3752" s="352"/>
      <c r="S3752" s="352"/>
      <c r="T3752" s="352"/>
      <c r="U3752" s="352"/>
      <c r="V3752" s="352"/>
      <c r="W3752" s="352"/>
      <c r="X3752" s="352"/>
      <c r="Y3752" s="352"/>
      <c r="Z3752" s="352"/>
      <c r="AA3752" s="352"/>
      <c r="AB3752" s="352"/>
      <c r="AC3752" s="352"/>
      <c r="AD3752" s="352"/>
      <c r="AE3752" s="352"/>
      <c r="AF3752" s="352"/>
      <c r="AG3752" s="352"/>
      <c r="AH3752" s="352"/>
      <c r="AI3752" s="352"/>
      <c r="AJ3752" s="352"/>
    </row>
    <row r="3753" spans="2:36">
      <c r="B3753" s="352"/>
      <c r="C3753" s="352"/>
      <c r="D3753" s="352"/>
      <c r="E3753" s="352"/>
      <c r="F3753" s="352"/>
      <c r="H3753" s="352"/>
      <c r="J3753" s="352"/>
      <c r="L3753" s="352"/>
      <c r="M3753" s="352"/>
      <c r="N3753" s="352"/>
      <c r="O3753" s="352"/>
      <c r="P3753" s="352"/>
      <c r="Q3753" s="352"/>
      <c r="R3753" s="352"/>
      <c r="S3753" s="352"/>
      <c r="T3753" s="352"/>
      <c r="U3753" s="352"/>
      <c r="V3753" s="352"/>
      <c r="W3753" s="352"/>
      <c r="X3753" s="352"/>
      <c r="Y3753" s="352"/>
      <c r="Z3753" s="352"/>
      <c r="AA3753" s="352"/>
      <c r="AB3753" s="352"/>
      <c r="AC3753" s="352"/>
      <c r="AD3753" s="352"/>
      <c r="AE3753" s="352"/>
      <c r="AF3753" s="352"/>
      <c r="AG3753" s="352"/>
      <c r="AH3753" s="352"/>
      <c r="AI3753" s="352"/>
      <c r="AJ3753" s="352"/>
    </row>
    <row r="3754" spans="2:36">
      <c r="B3754" s="352"/>
      <c r="C3754" s="352"/>
      <c r="D3754" s="352"/>
      <c r="E3754" s="352"/>
      <c r="F3754" s="352"/>
      <c r="H3754" s="352"/>
      <c r="J3754" s="352"/>
      <c r="L3754" s="352"/>
      <c r="M3754" s="352"/>
      <c r="N3754" s="352"/>
      <c r="O3754" s="352"/>
      <c r="P3754" s="352"/>
      <c r="Q3754" s="352"/>
      <c r="R3754" s="352"/>
      <c r="S3754" s="352"/>
      <c r="T3754" s="352"/>
      <c r="U3754" s="352"/>
      <c r="V3754" s="352"/>
      <c r="W3754" s="352"/>
      <c r="X3754" s="352"/>
      <c r="Y3754" s="352"/>
      <c r="Z3754" s="352"/>
      <c r="AA3754" s="352"/>
      <c r="AB3754" s="352"/>
      <c r="AC3754" s="352"/>
      <c r="AD3754" s="352"/>
      <c r="AE3754" s="352"/>
      <c r="AF3754" s="352"/>
      <c r="AG3754" s="352"/>
      <c r="AH3754" s="352"/>
      <c r="AI3754" s="352"/>
      <c r="AJ3754" s="352"/>
    </row>
    <row r="3755" spans="2:36">
      <c r="B3755" s="352"/>
      <c r="C3755" s="352"/>
      <c r="D3755" s="352"/>
      <c r="E3755" s="352"/>
      <c r="F3755" s="352"/>
      <c r="H3755" s="352"/>
      <c r="J3755" s="352"/>
      <c r="L3755" s="352"/>
      <c r="M3755" s="352"/>
      <c r="N3755" s="352"/>
      <c r="O3755" s="352"/>
      <c r="P3755" s="352"/>
      <c r="Q3755" s="352"/>
      <c r="R3755" s="352"/>
      <c r="S3755" s="352"/>
      <c r="T3755" s="352"/>
      <c r="U3755" s="352"/>
      <c r="V3755" s="352"/>
      <c r="W3755" s="352"/>
      <c r="X3755" s="352"/>
      <c r="Y3755" s="352"/>
      <c r="Z3755" s="352"/>
      <c r="AA3755" s="352"/>
      <c r="AB3755" s="352"/>
      <c r="AC3755" s="352"/>
      <c r="AD3755" s="352"/>
      <c r="AE3755" s="352"/>
      <c r="AF3755" s="352"/>
      <c r="AG3755" s="352"/>
      <c r="AH3755" s="352"/>
      <c r="AI3755" s="352"/>
      <c r="AJ3755" s="352"/>
    </row>
    <row r="3756" spans="2:36">
      <c r="B3756" s="352"/>
      <c r="C3756" s="352"/>
      <c r="D3756" s="352"/>
      <c r="E3756" s="352"/>
      <c r="F3756" s="352"/>
      <c r="H3756" s="352"/>
      <c r="J3756" s="352"/>
      <c r="L3756" s="352"/>
      <c r="M3756" s="352"/>
      <c r="N3756" s="352"/>
      <c r="O3756" s="352"/>
      <c r="P3756" s="352"/>
      <c r="Q3756" s="352"/>
      <c r="R3756" s="352"/>
      <c r="S3756" s="352"/>
      <c r="T3756" s="352"/>
      <c r="U3756" s="352"/>
      <c r="V3756" s="352"/>
      <c r="W3756" s="352"/>
      <c r="X3756" s="352"/>
      <c r="Y3756" s="352"/>
      <c r="Z3756" s="352"/>
      <c r="AA3756" s="352"/>
      <c r="AB3756" s="352"/>
      <c r="AC3756" s="352"/>
      <c r="AD3756" s="352"/>
      <c r="AE3756" s="352"/>
      <c r="AF3756" s="352"/>
      <c r="AG3756" s="352"/>
      <c r="AH3756" s="352"/>
      <c r="AI3756" s="352"/>
      <c r="AJ3756" s="352"/>
    </row>
    <row r="3757" spans="2:36">
      <c r="B3757" s="352"/>
      <c r="C3757" s="352"/>
      <c r="D3757" s="352"/>
      <c r="E3757" s="352"/>
      <c r="F3757" s="352"/>
      <c r="H3757" s="352"/>
      <c r="J3757" s="352"/>
      <c r="L3757" s="352"/>
      <c r="M3757" s="352"/>
      <c r="N3757" s="352"/>
      <c r="O3757" s="352"/>
      <c r="P3757" s="352"/>
      <c r="Q3757" s="352"/>
      <c r="R3757" s="352"/>
      <c r="S3757" s="352"/>
      <c r="T3757" s="352"/>
      <c r="U3757" s="352"/>
      <c r="V3757" s="352"/>
      <c r="W3757" s="352"/>
      <c r="X3757" s="352"/>
      <c r="Y3757" s="352"/>
      <c r="Z3757" s="352"/>
      <c r="AA3757" s="352"/>
      <c r="AB3757" s="352"/>
      <c r="AC3757" s="352"/>
      <c r="AD3757" s="352"/>
      <c r="AE3757" s="352"/>
      <c r="AF3757" s="352"/>
      <c r="AG3757" s="352"/>
      <c r="AH3757" s="352"/>
      <c r="AI3757" s="352"/>
      <c r="AJ3757" s="352"/>
    </row>
    <row r="3758" spans="2:36">
      <c r="B3758" s="352"/>
      <c r="C3758" s="352"/>
      <c r="D3758" s="352"/>
      <c r="E3758" s="352"/>
      <c r="F3758" s="352"/>
      <c r="H3758" s="352"/>
      <c r="J3758" s="352"/>
      <c r="L3758" s="352"/>
      <c r="M3758" s="352"/>
      <c r="N3758" s="352"/>
      <c r="O3758" s="352"/>
      <c r="P3758" s="352"/>
      <c r="Q3758" s="352"/>
      <c r="R3758" s="352"/>
      <c r="S3758" s="352"/>
      <c r="T3758" s="352"/>
      <c r="U3758" s="352"/>
      <c r="V3758" s="352"/>
      <c r="W3758" s="352"/>
      <c r="X3758" s="352"/>
      <c r="Y3758" s="352"/>
      <c r="Z3758" s="352"/>
      <c r="AA3758" s="352"/>
      <c r="AB3758" s="352"/>
      <c r="AC3758" s="352"/>
      <c r="AD3758" s="352"/>
      <c r="AE3758" s="352"/>
      <c r="AF3758" s="352"/>
      <c r="AG3758" s="352"/>
      <c r="AH3758" s="352"/>
      <c r="AI3758" s="352"/>
      <c r="AJ3758" s="352"/>
    </row>
    <row r="3759" spans="2:36">
      <c r="B3759" s="352"/>
      <c r="C3759" s="352"/>
      <c r="D3759" s="352"/>
      <c r="E3759" s="352"/>
      <c r="F3759" s="352"/>
      <c r="H3759" s="352"/>
      <c r="J3759" s="352"/>
      <c r="L3759" s="352"/>
      <c r="M3759" s="352"/>
      <c r="N3759" s="352"/>
      <c r="O3759" s="352"/>
      <c r="P3759" s="352"/>
      <c r="Q3759" s="352"/>
      <c r="R3759" s="352"/>
      <c r="S3759" s="352"/>
      <c r="T3759" s="352"/>
      <c r="U3759" s="352"/>
      <c r="V3759" s="352"/>
      <c r="W3759" s="352"/>
      <c r="X3759" s="352"/>
      <c r="Y3759" s="352"/>
      <c r="Z3759" s="352"/>
      <c r="AA3759" s="352"/>
      <c r="AB3759" s="352"/>
      <c r="AC3759" s="352"/>
      <c r="AD3759" s="352"/>
      <c r="AE3759" s="352"/>
      <c r="AF3759" s="352"/>
      <c r="AG3759" s="352"/>
      <c r="AH3759" s="352"/>
      <c r="AI3759" s="352"/>
      <c r="AJ3759" s="352"/>
    </row>
    <row r="3760" spans="2:36">
      <c r="B3760" s="352"/>
      <c r="C3760" s="352"/>
      <c r="D3760" s="352"/>
      <c r="E3760" s="352"/>
      <c r="F3760" s="352"/>
      <c r="H3760" s="352"/>
      <c r="J3760" s="352"/>
      <c r="L3760" s="352"/>
      <c r="M3760" s="352"/>
      <c r="N3760" s="352"/>
      <c r="O3760" s="352"/>
      <c r="P3760" s="352"/>
      <c r="Q3760" s="352"/>
      <c r="R3760" s="352"/>
      <c r="S3760" s="352"/>
      <c r="T3760" s="352"/>
      <c r="U3760" s="352"/>
      <c r="V3760" s="352"/>
      <c r="W3760" s="352"/>
      <c r="X3760" s="352"/>
      <c r="Y3760" s="352"/>
      <c r="Z3760" s="352"/>
      <c r="AA3760" s="352"/>
      <c r="AB3760" s="352"/>
      <c r="AC3760" s="352"/>
      <c r="AD3760" s="352"/>
      <c r="AE3760" s="352"/>
      <c r="AF3760" s="352"/>
      <c r="AG3760" s="352"/>
      <c r="AH3760" s="352"/>
      <c r="AI3760" s="352"/>
      <c r="AJ3760" s="352"/>
    </row>
    <row r="3761" spans="2:36">
      <c r="B3761" s="352"/>
      <c r="C3761" s="352"/>
      <c r="D3761" s="352"/>
      <c r="E3761" s="352"/>
      <c r="F3761" s="352"/>
      <c r="H3761" s="352"/>
      <c r="J3761" s="352"/>
      <c r="L3761" s="352"/>
      <c r="M3761" s="352"/>
      <c r="N3761" s="352"/>
      <c r="O3761" s="352"/>
      <c r="P3761" s="352"/>
      <c r="Q3761" s="352"/>
      <c r="R3761" s="352"/>
      <c r="S3761" s="352"/>
      <c r="T3761" s="352"/>
      <c r="U3761" s="352"/>
      <c r="V3761" s="352"/>
      <c r="W3761" s="352"/>
      <c r="X3761" s="352"/>
      <c r="Y3761" s="352"/>
      <c r="Z3761" s="352"/>
      <c r="AA3761" s="352"/>
      <c r="AB3761" s="352"/>
      <c r="AC3761" s="352"/>
      <c r="AD3761" s="352"/>
      <c r="AE3761" s="352"/>
      <c r="AF3761" s="352"/>
      <c r="AG3761" s="352"/>
      <c r="AH3761" s="352"/>
      <c r="AI3761" s="352"/>
      <c r="AJ3761" s="352"/>
    </row>
    <row r="3762" spans="2:36">
      <c r="B3762" s="352"/>
      <c r="C3762" s="352"/>
      <c r="D3762" s="352"/>
      <c r="E3762" s="352"/>
      <c r="F3762" s="352"/>
      <c r="H3762" s="352"/>
      <c r="J3762" s="352"/>
      <c r="L3762" s="352"/>
      <c r="M3762" s="352"/>
      <c r="N3762" s="352"/>
      <c r="O3762" s="352"/>
      <c r="P3762" s="352"/>
      <c r="Q3762" s="352"/>
      <c r="R3762" s="352"/>
      <c r="S3762" s="352"/>
      <c r="T3762" s="352"/>
      <c r="U3762" s="352"/>
      <c r="V3762" s="352"/>
      <c r="W3762" s="352"/>
      <c r="X3762" s="352"/>
      <c r="Y3762" s="352"/>
      <c r="Z3762" s="352"/>
      <c r="AA3762" s="352"/>
      <c r="AB3762" s="352"/>
      <c r="AC3762" s="352"/>
      <c r="AD3762" s="352"/>
      <c r="AE3762" s="352"/>
      <c r="AF3762" s="352"/>
      <c r="AG3762" s="352"/>
      <c r="AH3762" s="352"/>
      <c r="AI3762" s="352"/>
      <c r="AJ3762" s="352"/>
    </row>
    <row r="3763" spans="2:36">
      <c r="B3763" s="352"/>
      <c r="C3763" s="352"/>
      <c r="D3763" s="352"/>
      <c r="E3763" s="352"/>
      <c r="F3763" s="352"/>
      <c r="H3763" s="352"/>
      <c r="J3763" s="352"/>
      <c r="L3763" s="352"/>
      <c r="M3763" s="352"/>
      <c r="N3763" s="352"/>
      <c r="O3763" s="352"/>
      <c r="P3763" s="352"/>
      <c r="Q3763" s="352"/>
      <c r="R3763" s="352"/>
      <c r="S3763" s="352"/>
      <c r="T3763" s="352"/>
      <c r="U3763" s="352"/>
      <c r="V3763" s="352"/>
      <c r="W3763" s="352"/>
      <c r="X3763" s="352"/>
      <c r="Y3763" s="352"/>
      <c r="Z3763" s="352"/>
      <c r="AA3763" s="352"/>
      <c r="AB3763" s="352"/>
      <c r="AC3763" s="352"/>
      <c r="AD3763" s="352"/>
      <c r="AE3763" s="352"/>
      <c r="AF3763" s="352"/>
      <c r="AG3763" s="352"/>
      <c r="AH3763" s="352"/>
      <c r="AI3763" s="352"/>
      <c r="AJ3763" s="352"/>
    </row>
    <row r="3764" spans="2:36">
      <c r="B3764" s="352"/>
      <c r="C3764" s="352"/>
      <c r="D3764" s="352"/>
      <c r="E3764" s="352"/>
      <c r="F3764" s="352"/>
      <c r="H3764" s="352"/>
      <c r="J3764" s="352"/>
      <c r="L3764" s="352"/>
      <c r="M3764" s="352"/>
      <c r="N3764" s="352"/>
      <c r="O3764" s="352"/>
      <c r="P3764" s="352"/>
      <c r="Q3764" s="352"/>
      <c r="R3764" s="352"/>
      <c r="S3764" s="352"/>
      <c r="T3764" s="352"/>
      <c r="U3764" s="352"/>
      <c r="V3764" s="352"/>
      <c r="W3764" s="352"/>
      <c r="X3764" s="352"/>
      <c r="Y3764" s="352"/>
      <c r="Z3764" s="352"/>
      <c r="AA3764" s="352"/>
      <c r="AB3764" s="352"/>
      <c r="AC3764" s="352"/>
      <c r="AD3764" s="352"/>
      <c r="AE3764" s="352"/>
      <c r="AF3764" s="352"/>
      <c r="AG3764" s="352"/>
      <c r="AH3764" s="352"/>
      <c r="AI3764" s="352"/>
      <c r="AJ3764" s="352"/>
    </row>
    <row r="3765" spans="2:36">
      <c r="B3765" s="352"/>
      <c r="C3765" s="352"/>
      <c r="D3765" s="352"/>
      <c r="E3765" s="352"/>
      <c r="F3765" s="352"/>
      <c r="H3765" s="352"/>
      <c r="J3765" s="352"/>
      <c r="L3765" s="352"/>
      <c r="M3765" s="352"/>
      <c r="N3765" s="352"/>
      <c r="O3765" s="352"/>
      <c r="P3765" s="352"/>
      <c r="Q3765" s="352"/>
      <c r="R3765" s="352"/>
      <c r="S3765" s="352"/>
      <c r="T3765" s="352"/>
      <c r="U3765" s="352"/>
      <c r="V3765" s="352"/>
      <c r="W3765" s="352"/>
      <c r="X3765" s="352"/>
      <c r="Y3765" s="352"/>
      <c r="Z3765" s="352"/>
      <c r="AA3765" s="352"/>
      <c r="AB3765" s="352"/>
      <c r="AC3765" s="352"/>
      <c r="AD3765" s="352"/>
      <c r="AE3765" s="352"/>
      <c r="AF3765" s="352"/>
      <c r="AG3765" s="352"/>
      <c r="AH3765" s="352"/>
      <c r="AI3765" s="352"/>
      <c r="AJ3765" s="352"/>
    </row>
    <row r="3766" spans="2:36">
      <c r="B3766" s="352"/>
      <c r="C3766" s="352"/>
      <c r="D3766" s="352"/>
      <c r="E3766" s="352"/>
      <c r="F3766" s="352"/>
      <c r="H3766" s="352"/>
      <c r="J3766" s="352"/>
      <c r="L3766" s="352"/>
      <c r="M3766" s="352"/>
      <c r="N3766" s="352"/>
      <c r="O3766" s="352"/>
      <c r="P3766" s="352"/>
      <c r="Q3766" s="352"/>
      <c r="R3766" s="352"/>
      <c r="S3766" s="352"/>
      <c r="T3766" s="352"/>
      <c r="U3766" s="352"/>
      <c r="V3766" s="352"/>
      <c r="W3766" s="352"/>
      <c r="X3766" s="352"/>
      <c r="Y3766" s="352"/>
      <c r="Z3766" s="352"/>
      <c r="AA3766" s="352"/>
      <c r="AB3766" s="352"/>
      <c r="AC3766" s="352"/>
      <c r="AD3766" s="352"/>
      <c r="AE3766" s="352"/>
      <c r="AF3766" s="352"/>
      <c r="AG3766" s="352"/>
      <c r="AH3766" s="352"/>
      <c r="AI3766" s="352"/>
      <c r="AJ3766" s="352"/>
    </row>
    <row r="3767" spans="2:36">
      <c r="B3767" s="352"/>
      <c r="C3767" s="352"/>
      <c r="D3767" s="352"/>
      <c r="E3767" s="352"/>
      <c r="F3767" s="352"/>
      <c r="H3767" s="352"/>
      <c r="J3767" s="352"/>
      <c r="L3767" s="352"/>
      <c r="M3767" s="352"/>
      <c r="N3767" s="352"/>
      <c r="O3767" s="352"/>
      <c r="P3767" s="352"/>
      <c r="Q3767" s="352"/>
      <c r="R3767" s="352"/>
      <c r="S3767" s="352"/>
      <c r="T3767" s="352"/>
      <c r="U3767" s="352"/>
      <c r="V3767" s="352"/>
      <c r="W3767" s="352"/>
      <c r="X3767" s="352"/>
      <c r="Y3767" s="352"/>
      <c r="Z3767" s="352"/>
      <c r="AA3767" s="352"/>
      <c r="AB3767" s="352"/>
      <c r="AC3767" s="352"/>
      <c r="AD3767" s="352"/>
      <c r="AE3767" s="352"/>
      <c r="AF3767" s="352"/>
      <c r="AG3767" s="352"/>
      <c r="AH3767" s="352"/>
      <c r="AI3767" s="352"/>
      <c r="AJ3767" s="352"/>
    </row>
    <row r="3768" spans="2:36">
      <c r="B3768" s="352"/>
      <c r="C3768" s="352"/>
      <c r="D3768" s="352"/>
      <c r="E3768" s="352"/>
      <c r="F3768" s="352"/>
      <c r="H3768" s="352"/>
      <c r="J3768" s="352"/>
      <c r="L3768" s="352"/>
      <c r="M3768" s="352"/>
      <c r="N3768" s="352"/>
      <c r="O3768" s="352"/>
      <c r="P3768" s="352"/>
      <c r="Q3768" s="352"/>
      <c r="R3768" s="352"/>
      <c r="S3768" s="352"/>
      <c r="T3768" s="352"/>
      <c r="U3768" s="352"/>
      <c r="V3768" s="352"/>
      <c r="W3768" s="352"/>
      <c r="X3768" s="352"/>
      <c r="Y3768" s="352"/>
      <c r="Z3768" s="352"/>
      <c r="AA3768" s="352"/>
      <c r="AB3768" s="352"/>
      <c r="AC3768" s="352"/>
      <c r="AD3768" s="352"/>
      <c r="AE3768" s="352"/>
      <c r="AF3768" s="352"/>
      <c r="AG3768" s="352"/>
      <c r="AH3768" s="352"/>
      <c r="AI3768" s="352"/>
      <c r="AJ3768" s="352"/>
    </row>
    <row r="3769" spans="2:36">
      <c r="B3769" s="352"/>
      <c r="C3769" s="352"/>
      <c r="D3769" s="352"/>
      <c r="E3769" s="352"/>
      <c r="F3769" s="352"/>
      <c r="H3769" s="352"/>
      <c r="J3769" s="352"/>
      <c r="L3769" s="352"/>
      <c r="M3769" s="352"/>
      <c r="N3769" s="352"/>
      <c r="O3769" s="352"/>
      <c r="P3769" s="352"/>
      <c r="Q3769" s="352"/>
      <c r="R3769" s="352"/>
      <c r="S3769" s="352"/>
      <c r="T3769" s="352"/>
      <c r="U3769" s="352"/>
      <c r="V3769" s="352"/>
      <c r="W3769" s="352"/>
      <c r="X3769" s="352"/>
      <c r="Y3769" s="352"/>
      <c r="Z3769" s="352"/>
      <c r="AA3769" s="352"/>
      <c r="AB3769" s="352"/>
      <c r="AC3769" s="352"/>
      <c r="AD3769" s="352"/>
      <c r="AE3769" s="352"/>
      <c r="AF3769" s="352"/>
      <c r="AG3769" s="352"/>
      <c r="AH3769" s="352"/>
      <c r="AI3769" s="352"/>
      <c r="AJ3769" s="352"/>
    </row>
    <row r="3770" spans="2:36">
      <c r="B3770" s="352"/>
      <c r="C3770" s="352"/>
      <c r="D3770" s="352"/>
      <c r="E3770" s="352"/>
      <c r="F3770" s="352"/>
      <c r="H3770" s="352"/>
      <c r="J3770" s="352"/>
      <c r="L3770" s="352"/>
      <c r="M3770" s="352"/>
      <c r="N3770" s="352"/>
      <c r="O3770" s="352"/>
      <c r="P3770" s="352"/>
      <c r="Q3770" s="352"/>
      <c r="R3770" s="352"/>
      <c r="S3770" s="352"/>
      <c r="T3770" s="352"/>
      <c r="U3770" s="352"/>
      <c r="V3770" s="352"/>
      <c r="W3770" s="352"/>
      <c r="X3770" s="352"/>
      <c r="Y3770" s="352"/>
      <c r="Z3770" s="352"/>
      <c r="AA3770" s="352"/>
      <c r="AB3770" s="352"/>
      <c r="AC3770" s="352"/>
      <c r="AD3770" s="352"/>
      <c r="AE3770" s="352"/>
      <c r="AF3770" s="352"/>
      <c r="AG3770" s="352"/>
      <c r="AH3770" s="352"/>
      <c r="AI3770" s="352"/>
      <c r="AJ3770" s="352"/>
    </row>
    <row r="3771" spans="2:36">
      <c r="B3771" s="352"/>
      <c r="C3771" s="352"/>
      <c r="D3771" s="352"/>
      <c r="E3771" s="352"/>
      <c r="F3771" s="352"/>
      <c r="H3771" s="352"/>
      <c r="J3771" s="352"/>
      <c r="L3771" s="352"/>
      <c r="M3771" s="352"/>
      <c r="N3771" s="352"/>
      <c r="O3771" s="352"/>
      <c r="P3771" s="352"/>
      <c r="Q3771" s="352"/>
      <c r="R3771" s="352"/>
      <c r="S3771" s="352"/>
      <c r="T3771" s="352"/>
      <c r="U3771" s="352"/>
      <c r="V3771" s="352"/>
      <c r="W3771" s="352"/>
      <c r="X3771" s="352"/>
      <c r="Y3771" s="352"/>
      <c r="Z3771" s="352"/>
      <c r="AA3771" s="352"/>
      <c r="AB3771" s="352"/>
      <c r="AC3771" s="352"/>
      <c r="AD3771" s="352"/>
      <c r="AE3771" s="352"/>
      <c r="AF3771" s="352"/>
      <c r="AG3771" s="352"/>
      <c r="AH3771" s="352"/>
      <c r="AI3771" s="352"/>
      <c r="AJ3771" s="352"/>
    </row>
    <row r="3772" spans="2:36">
      <c r="B3772" s="352"/>
      <c r="C3772" s="352"/>
      <c r="D3772" s="352"/>
      <c r="E3772" s="352"/>
      <c r="F3772" s="352"/>
      <c r="H3772" s="352"/>
      <c r="J3772" s="352"/>
      <c r="L3772" s="352"/>
      <c r="M3772" s="352"/>
      <c r="N3772" s="352"/>
      <c r="O3772" s="352"/>
      <c r="P3772" s="352"/>
      <c r="Q3772" s="352"/>
      <c r="R3772" s="352"/>
      <c r="S3772" s="352"/>
      <c r="T3772" s="352"/>
      <c r="U3772" s="352"/>
      <c r="V3772" s="352"/>
      <c r="W3772" s="352"/>
      <c r="X3772" s="352"/>
      <c r="Y3772" s="352"/>
      <c r="Z3772" s="352"/>
      <c r="AA3772" s="352"/>
      <c r="AB3772" s="352"/>
      <c r="AC3772" s="352"/>
      <c r="AD3772" s="352"/>
      <c r="AE3772" s="352"/>
      <c r="AF3772" s="352"/>
      <c r="AG3772" s="352"/>
      <c r="AH3772" s="352"/>
      <c r="AI3772" s="352"/>
      <c r="AJ3772" s="352"/>
    </row>
    <row r="3773" spans="2:36">
      <c r="B3773" s="352"/>
      <c r="C3773" s="352"/>
      <c r="D3773" s="352"/>
      <c r="E3773" s="352"/>
      <c r="F3773" s="352"/>
      <c r="H3773" s="352"/>
      <c r="J3773" s="352"/>
      <c r="L3773" s="352"/>
      <c r="M3773" s="352"/>
      <c r="N3773" s="352"/>
      <c r="O3773" s="352"/>
      <c r="P3773" s="352"/>
      <c r="Q3773" s="352"/>
      <c r="R3773" s="352"/>
      <c r="S3773" s="352"/>
      <c r="T3773" s="352"/>
      <c r="U3773" s="352"/>
      <c r="V3773" s="352"/>
      <c r="W3773" s="352"/>
      <c r="X3773" s="352"/>
      <c r="Y3773" s="352"/>
      <c r="Z3773" s="352"/>
      <c r="AA3773" s="352"/>
      <c r="AB3773" s="352"/>
      <c r="AC3773" s="352"/>
      <c r="AD3773" s="352"/>
      <c r="AE3773" s="352"/>
      <c r="AF3773" s="352"/>
      <c r="AG3773" s="352"/>
      <c r="AH3773" s="352"/>
      <c r="AI3773" s="352"/>
      <c r="AJ3773" s="352"/>
    </row>
    <row r="3774" spans="2:36">
      <c r="B3774" s="352"/>
      <c r="C3774" s="352"/>
      <c r="D3774" s="352"/>
      <c r="E3774" s="352"/>
      <c r="F3774" s="352"/>
      <c r="H3774" s="352"/>
      <c r="J3774" s="352"/>
      <c r="L3774" s="352"/>
      <c r="M3774" s="352"/>
      <c r="N3774" s="352"/>
      <c r="O3774" s="352"/>
      <c r="P3774" s="352"/>
      <c r="Q3774" s="352"/>
      <c r="R3774" s="352"/>
      <c r="S3774" s="352"/>
      <c r="T3774" s="352"/>
      <c r="U3774" s="352"/>
      <c r="V3774" s="352"/>
      <c r="W3774" s="352"/>
      <c r="X3774" s="352"/>
      <c r="Y3774" s="352"/>
      <c r="Z3774" s="352"/>
      <c r="AA3774" s="352"/>
      <c r="AB3774" s="352"/>
      <c r="AC3774" s="352"/>
      <c r="AD3774" s="352"/>
      <c r="AE3774" s="352"/>
      <c r="AF3774" s="352"/>
      <c r="AG3774" s="352"/>
      <c r="AH3774" s="352"/>
      <c r="AI3774" s="352"/>
      <c r="AJ3774" s="352"/>
    </row>
    <row r="3775" spans="2:36">
      <c r="B3775" s="352"/>
      <c r="C3775" s="352"/>
      <c r="D3775" s="352"/>
      <c r="E3775" s="352"/>
      <c r="F3775" s="352"/>
      <c r="H3775" s="352"/>
      <c r="J3775" s="352"/>
      <c r="L3775" s="352"/>
      <c r="M3775" s="352"/>
      <c r="N3775" s="352"/>
      <c r="O3775" s="352"/>
      <c r="P3775" s="352"/>
      <c r="Q3775" s="352"/>
      <c r="R3775" s="352"/>
      <c r="S3775" s="352"/>
      <c r="T3775" s="352"/>
      <c r="U3775" s="352"/>
      <c r="V3775" s="352"/>
      <c r="W3775" s="352"/>
      <c r="X3775" s="352"/>
      <c r="Y3775" s="352"/>
      <c r="Z3775" s="352"/>
      <c r="AA3775" s="352"/>
      <c r="AB3775" s="352"/>
      <c r="AC3775" s="352"/>
      <c r="AD3775" s="352"/>
      <c r="AE3775" s="352"/>
      <c r="AF3775" s="352"/>
      <c r="AG3775" s="352"/>
      <c r="AH3775" s="352"/>
      <c r="AI3775" s="352"/>
      <c r="AJ3775" s="352"/>
    </row>
    <row r="3776" spans="2:36">
      <c r="B3776" s="352"/>
      <c r="C3776" s="352"/>
      <c r="D3776" s="352"/>
      <c r="E3776" s="352"/>
      <c r="F3776" s="352"/>
      <c r="H3776" s="352"/>
      <c r="J3776" s="352"/>
      <c r="L3776" s="352"/>
      <c r="M3776" s="352"/>
      <c r="N3776" s="352"/>
      <c r="O3776" s="352"/>
      <c r="P3776" s="352"/>
      <c r="Q3776" s="352"/>
      <c r="R3776" s="352"/>
      <c r="S3776" s="352"/>
      <c r="T3776" s="352"/>
      <c r="U3776" s="352"/>
      <c r="V3776" s="352"/>
      <c r="W3776" s="352"/>
      <c r="X3776" s="352"/>
      <c r="Y3776" s="352"/>
      <c r="Z3776" s="352"/>
      <c r="AA3776" s="352"/>
      <c r="AB3776" s="352"/>
      <c r="AC3776" s="352"/>
      <c r="AD3776" s="352"/>
      <c r="AE3776" s="352"/>
      <c r="AF3776" s="352"/>
      <c r="AG3776" s="352"/>
      <c r="AH3776" s="352"/>
      <c r="AI3776" s="352"/>
      <c r="AJ3776" s="352"/>
    </row>
    <row r="3777" spans="2:36">
      <c r="B3777" s="352"/>
      <c r="C3777" s="352"/>
      <c r="D3777" s="352"/>
      <c r="E3777" s="352"/>
      <c r="F3777" s="352"/>
      <c r="H3777" s="352"/>
      <c r="J3777" s="352"/>
      <c r="L3777" s="352"/>
      <c r="M3777" s="352"/>
      <c r="N3777" s="352"/>
      <c r="O3777" s="352"/>
      <c r="P3777" s="352"/>
      <c r="Q3777" s="352"/>
      <c r="R3777" s="352"/>
      <c r="S3777" s="352"/>
      <c r="T3777" s="352"/>
      <c r="U3777" s="352"/>
      <c r="V3777" s="352"/>
      <c r="W3777" s="352"/>
      <c r="X3777" s="352"/>
      <c r="Y3777" s="352"/>
      <c r="Z3777" s="352"/>
      <c r="AA3777" s="352"/>
      <c r="AB3777" s="352"/>
      <c r="AC3777" s="352"/>
      <c r="AD3777" s="352"/>
      <c r="AE3777" s="352"/>
      <c r="AF3777" s="352"/>
      <c r="AG3777" s="352"/>
      <c r="AH3777" s="352"/>
      <c r="AI3777" s="352"/>
      <c r="AJ3777" s="352"/>
    </row>
    <row r="3778" spans="2:36">
      <c r="B3778" s="352"/>
      <c r="C3778" s="352"/>
      <c r="D3778" s="352"/>
      <c r="E3778" s="352"/>
      <c r="F3778" s="352"/>
      <c r="H3778" s="352"/>
      <c r="J3778" s="352"/>
      <c r="L3778" s="352"/>
      <c r="M3778" s="352"/>
      <c r="N3778" s="352"/>
      <c r="O3778" s="352"/>
      <c r="P3778" s="352"/>
      <c r="Q3778" s="352"/>
      <c r="R3778" s="352"/>
      <c r="S3778" s="352"/>
      <c r="T3778" s="352"/>
      <c r="U3778" s="352"/>
      <c r="V3778" s="352"/>
      <c r="W3778" s="352"/>
      <c r="X3778" s="352"/>
      <c r="Y3778" s="352"/>
      <c r="Z3778" s="352"/>
      <c r="AA3778" s="352"/>
      <c r="AB3778" s="352"/>
      <c r="AC3778" s="352"/>
      <c r="AD3778" s="352"/>
      <c r="AE3778" s="352"/>
      <c r="AF3778" s="352"/>
      <c r="AG3778" s="352"/>
      <c r="AH3778" s="352"/>
      <c r="AI3778" s="352"/>
      <c r="AJ3778" s="352"/>
    </row>
    <row r="3779" spans="2:36">
      <c r="B3779" s="352"/>
      <c r="C3779" s="352"/>
      <c r="D3779" s="352"/>
      <c r="E3779" s="352"/>
      <c r="F3779" s="352"/>
      <c r="H3779" s="352"/>
      <c r="J3779" s="352"/>
      <c r="L3779" s="352"/>
      <c r="M3779" s="352"/>
      <c r="N3779" s="352"/>
      <c r="O3779" s="352"/>
      <c r="P3779" s="352"/>
      <c r="Q3779" s="352"/>
      <c r="R3779" s="352"/>
      <c r="S3779" s="352"/>
      <c r="T3779" s="352"/>
      <c r="U3779" s="352"/>
      <c r="V3779" s="352"/>
      <c r="W3779" s="352"/>
      <c r="X3779" s="352"/>
      <c r="Y3779" s="352"/>
      <c r="Z3779" s="352"/>
      <c r="AA3779" s="352"/>
      <c r="AB3779" s="352"/>
      <c r="AC3779" s="352"/>
      <c r="AD3779" s="352"/>
      <c r="AE3779" s="352"/>
      <c r="AF3779" s="352"/>
      <c r="AG3779" s="352"/>
      <c r="AH3779" s="352"/>
      <c r="AI3779" s="352"/>
      <c r="AJ3779" s="352"/>
    </row>
    <row r="3780" spans="2:36">
      <c r="B3780" s="352"/>
      <c r="C3780" s="352"/>
      <c r="D3780" s="352"/>
      <c r="E3780" s="352"/>
      <c r="F3780" s="352"/>
      <c r="H3780" s="352"/>
      <c r="J3780" s="352"/>
      <c r="L3780" s="352"/>
      <c r="M3780" s="352"/>
      <c r="N3780" s="352"/>
      <c r="O3780" s="352"/>
      <c r="P3780" s="352"/>
      <c r="Q3780" s="352"/>
      <c r="R3780" s="352"/>
      <c r="S3780" s="352"/>
      <c r="T3780" s="352"/>
      <c r="U3780" s="352"/>
      <c r="V3780" s="352"/>
      <c r="W3780" s="352"/>
      <c r="X3780" s="352"/>
      <c r="Y3780" s="352"/>
      <c r="Z3780" s="352"/>
      <c r="AA3780" s="352"/>
      <c r="AB3780" s="352"/>
      <c r="AC3780" s="352"/>
      <c r="AD3780" s="352"/>
      <c r="AE3780" s="352"/>
      <c r="AF3780" s="352"/>
      <c r="AG3780" s="352"/>
      <c r="AH3780" s="352"/>
      <c r="AI3780" s="352"/>
      <c r="AJ3780" s="352"/>
    </row>
    <row r="3781" spans="2:36">
      <c r="B3781" s="352"/>
      <c r="C3781" s="352"/>
      <c r="D3781" s="352"/>
      <c r="E3781" s="352"/>
      <c r="F3781" s="352"/>
      <c r="H3781" s="352"/>
      <c r="J3781" s="352"/>
      <c r="L3781" s="352"/>
      <c r="M3781" s="352"/>
      <c r="N3781" s="352"/>
      <c r="O3781" s="352"/>
      <c r="P3781" s="352"/>
      <c r="Q3781" s="352"/>
      <c r="R3781" s="352"/>
      <c r="S3781" s="352"/>
      <c r="T3781" s="352"/>
      <c r="U3781" s="352"/>
      <c r="V3781" s="352"/>
      <c r="W3781" s="352"/>
      <c r="X3781" s="352"/>
      <c r="Y3781" s="352"/>
      <c r="Z3781" s="352"/>
      <c r="AA3781" s="352"/>
      <c r="AB3781" s="352"/>
      <c r="AC3781" s="352"/>
      <c r="AD3781" s="352"/>
      <c r="AE3781" s="352"/>
      <c r="AF3781" s="352"/>
      <c r="AG3781" s="352"/>
      <c r="AH3781" s="352"/>
      <c r="AI3781" s="352"/>
      <c r="AJ3781" s="352"/>
    </row>
    <row r="3782" spans="2:36">
      <c r="B3782" s="352"/>
      <c r="C3782" s="352"/>
      <c r="D3782" s="352"/>
      <c r="E3782" s="352"/>
      <c r="F3782" s="352"/>
      <c r="H3782" s="352"/>
      <c r="J3782" s="352"/>
      <c r="L3782" s="352"/>
      <c r="M3782" s="352"/>
      <c r="N3782" s="352"/>
      <c r="O3782" s="352"/>
      <c r="P3782" s="352"/>
      <c r="Q3782" s="352"/>
      <c r="R3782" s="352"/>
      <c r="S3782" s="352"/>
      <c r="T3782" s="352"/>
      <c r="U3782" s="352"/>
      <c r="V3782" s="352"/>
      <c r="W3782" s="352"/>
      <c r="X3782" s="352"/>
      <c r="Y3782" s="352"/>
      <c r="Z3782" s="352"/>
      <c r="AA3782" s="352"/>
      <c r="AB3782" s="352"/>
      <c r="AC3782" s="352"/>
      <c r="AD3782" s="352"/>
      <c r="AE3782" s="352"/>
      <c r="AF3782" s="352"/>
      <c r="AG3782" s="352"/>
      <c r="AH3782" s="352"/>
      <c r="AI3782" s="352"/>
      <c r="AJ3782" s="352"/>
    </row>
    <row r="3783" spans="2:36">
      <c r="B3783" s="352"/>
      <c r="C3783" s="352"/>
      <c r="D3783" s="352"/>
      <c r="E3783" s="352"/>
      <c r="F3783" s="352"/>
      <c r="H3783" s="352"/>
      <c r="J3783" s="352"/>
      <c r="L3783" s="352"/>
      <c r="M3783" s="352"/>
      <c r="N3783" s="352"/>
      <c r="O3783" s="352"/>
      <c r="P3783" s="352"/>
      <c r="Q3783" s="352"/>
      <c r="R3783" s="352"/>
      <c r="S3783" s="352"/>
      <c r="T3783" s="352"/>
      <c r="U3783" s="352"/>
      <c r="V3783" s="352"/>
      <c r="W3783" s="352"/>
      <c r="X3783" s="352"/>
      <c r="Y3783" s="352"/>
      <c r="Z3783" s="352"/>
      <c r="AA3783" s="352"/>
      <c r="AB3783" s="352"/>
      <c r="AC3783" s="352"/>
      <c r="AD3783" s="352"/>
      <c r="AE3783" s="352"/>
      <c r="AF3783" s="352"/>
      <c r="AG3783" s="352"/>
      <c r="AH3783" s="352"/>
      <c r="AI3783" s="352"/>
      <c r="AJ3783" s="352"/>
    </row>
    <row r="3784" spans="2:36">
      <c r="B3784" s="352"/>
      <c r="C3784" s="352"/>
      <c r="D3784" s="352"/>
      <c r="E3784" s="352"/>
      <c r="F3784" s="352"/>
      <c r="H3784" s="352"/>
      <c r="J3784" s="352"/>
      <c r="L3784" s="352"/>
      <c r="M3784" s="352"/>
      <c r="N3784" s="352"/>
      <c r="O3784" s="352"/>
      <c r="P3784" s="352"/>
      <c r="Q3784" s="352"/>
      <c r="R3784" s="352"/>
      <c r="S3784" s="352"/>
      <c r="T3784" s="352"/>
      <c r="U3784" s="352"/>
      <c r="V3784" s="352"/>
      <c r="W3784" s="352"/>
      <c r="X3784" s="352"/>
      <c r="Y3784" s="352"/>
      <c r="Z3784" s="352"/>
      <c r="AA3784" s="352"/>
      <c r="AB3784" s="352"/>
      <c r="AC3784" s="352"/>
      <c r="AD3784" s="352"/>
      <c r="AE3784" s="352"/>
      <c r="AF3784" s="352"/>
      <c r="AG3784" s="352"/>
      <c r="AH3784" s="352"/>
      <c r="AI3784" s="352"/>
      <c r="AJ3784" s="352"/>
    </row>
    <row r="3785" spans="2:36">
      <c r="B3785" s="352"/>
      <c r="C3785" s="352"/>
      <c r="D3785" s="352"/>
      <c r="E3785" s="352"/>
      <c r="F3785" s="352"/>
      <c r="H3785" s="352"/>
      <c r="J3785" s="352"/>
      <c r="L3785" s="352"/>
      <c r="M3785" s="352"/>
      <c r="N3785" s="352"/>
      <c r="O3785" s="352"/>
      <c r="P3785" s="352"/>
      <c r="Q3785" s="352"/>
      <c r="R3785" s="352"/>
      <c r="S3785" s="352"/>
      <c r="T3785" s="352"/>
      <c r="U3785" s="352"/>
      <c r="V3785" s="352"/>
      <c r="W3785" s="352"/>
      <c r="X3785" s="352"/>
      <c r="Y3785" s="352"/>
      <c r="Z3785" s="352"/>
      <c r="AA3785" s="352"/>
      <c r="AB3785" s="352"/>
      <c r="AC3785" s="352"/>
      <c r="AD3785" s="352"/>
      <c r="AE3785" s="352"/>
      <c r="AF3785" s="352"/>
      <c r="AG3785" s="352"/>
      <c r="AH3785" s="352"/>
      <c r="AI3785" s="352"/>
      <c r="AJ3785" s="352"/>
    </row>
    <row r="3786" spans="2:36">
      <c r="B3786" s="352"/>
      <c r="C3786" s="352"/>
      <c r="D3786" s="352"/>
      <c r="E3786" s="352"/>
      <c r="F3786" s="352"/>
      <c r="H3786" s="352"/>
      <c r="J3786" s="352"/>
      <c r="L3786" s="352"/>
      <c r="M3786" s="352"/>
      <c r="N3786" s="352"/>
      <c r="O3786" s="352"/>
      <c r="P3786" s="352"/>
      <c r="Q3786" s="352"/>
      <c r="R3786" s="352"/>
      <c r="S3786" s="352"/>
      <c r="T3786" s="352"/>
      <c r="U3786" s="352"/>
      <c r="V3786" s="352"/>
      <c r="W3786" s="352"/>
      <c r="X3786" s="352"/>
      <c r="Y3786" s="352"/>
      <c r="Z3786" s="352"/>
      <c r="AA3786" s="352"/>
      <c r="AB3786" s="352"/>
      <c r="AC3786" s="352"/>
      <c r="AD3786" s="352"/>
      <c r="AE3786" s="352"/>
      <c r="AF3786" s="352"/>
      <c r="AG3786" s="352"/>
      <c r="AH3786" s="352"/>
      <c r="AI3786" s="352"/>
      <c r="AJ3786" s="352"/>
    </row>
    <row r="3787" spans="2:36">
      <c r="B3787" s="352"/>
      <c r="C3787" s="352"/>
      <c r="D3787" s="352"/>
      <c r="E3787" s="352"/>
      <c r="F3787" s="352"/>
      <c r="H3787" s="352"/>
      <c r="J3787" s="352"/>
      <c r="L3787" s="352"/>
      <c r="M3787" s="352"/>
      <c r="N3787" s="352"/>
      <c r="O3787" s="352"/>
      <c r="P3787" s="352"/>
      <c r="Q3787" s="352"/>
      <c r="R3787" s="352"/>
      <c r="S3787" s="352"/>
      <c r="T3787" s="352"/>
      <c r="U3787" s="352"/>
      <c r="V3787" s="352"/>
      <c r="W3787" s="352"/>
      <c r="X3787" s="352"/>
      <c r="Y3787" s="352"/>
      <c r="Z3787" s="352"/>
      <c r="AA3787" s="352"/>
      <c r="AB3787" s="352"/>
      <c r="AC3787" s="352"/>
      <c r="AD3787" s="352"/>
      <c r="AE3787" s="352"/>
      <c r="AF3787" s="352"/>
      <c r="AG3787" s="352"/>
      <c r="AH3787" s="352"/>
      <c r="AI3787" s="352"/>
      <c r="AJ3787" s="352"/>
    </row>
    <row r="3788" spans="2:36">
      <c r="B3788" s="352"/>
      <c r="C3788" s="352"/>
      <c r="D3788" s="352"/>
      <c r="E3788" s="352"/>
      <c r="F3788" s="352"/>
      <c r="H3788" s="352"/>
      <c r="J3788" s="352"/>
      <c r="L3788" s="352"/>
      <c r="M3788" s="352"/>
      <c r="N3788" s="352"/>
      <c r="O3788" s="352"/>
      <c r="P3788" s="352"/>
      <c r="Q3788" s="352"/>
      <c r="R3788" s="352"/>
      <c r="S3788" s="352"/>
      <c r="T3788" s="352"/>
      <c r="U3788" s="352"/>
      <c r="V3788" s="352"/>
      <c r="W3788" s="352"/>
      <c r="X3788" s="352"/>
      <c r="Y3788" s="352"/>
      <c r="Z3788" s="352"/>
      <c r="AA3788" s="352"/>
      <c r="AB3788" s="352"/>
      <c r="AC3788" s="352"/>
      <c r="AD3788" s="352"/>
      <c r="AE3788" s="352"/>
      <c r="AF3788" s="352"/>
      <c r="AG3788" s="352"/>
      <c r="AH3788" s="352"/>
      <c r="AI3788" s="352"/>
      <c r="AJ3788" s="352"/>
    </row>
    <row r="3789" spans="2:36">
      <c r="B3789" s="352"/>
      <c r="C3789" s="352"/>
      <c r="D3789" s="352"/>
      <c r="E3789" s="352"/>
      <c r="F3789" s="352"/>
      <c r="H3789" s="352"/>
      <c r="J3789" s="352"/>
      <c r="L3789" s="352"/>
      <c r="M3789" s="352"/>
      <c r="N3789" s="352"/>
      <c r="O3789" s="352"/>
      <c r="P3789" s="352"/>
      <c r="Q3789" s="352"/>
      <c r="R3789" s="352"/>
      <c r="S3789" s="352"/>
      <c r="T3789" s="352"/>
      <c r="U3789" s="352"/>
      <c r="V3789" s="352"/>
      <c r="W3789" s="352"/>
      <c r="X3789" s="352"/>
      <c r="Y3789" s="352"/>
      <c r="Z3789" s="352"/>
      <c r="AA3789" s="352"/>
      <c r="AB3789" s="352"/>
      <c r="AC3789" s="352"/>
      <c r="AD3789" s="352"/>
      <c r="AE3789" s="352"/>
      <c r="AF3789" s="352"/>
      <c r="AG3789" s="352"/>
      <c r="AH3789" s="352"/>
      <c r="AI3789" s="352"/>
      <c r="AJ3789" s="352"/>
    </row>
    <row r="3790" spans="2:36">
      <c r="B3790" s="352"/>
      <c r="C3790" s="352"/>
      <c r="D3790" s="352"/>
      <c r="E3790" s="352"/>
      <c r="F3790" s="352"/>
      <c r="H3790" s="352"/>
      <c r="J3790" s="352"/>
      <c r="L3790" s="352"/>
      <c r="M3790" s="352"/>
      <c r="N3790" s="352"/>
      <c r="O3790" s="352"/>
      <c r="P3790" s="352"/>
      <c r="Q3790" s="352"/>
      <c r="R3790" s="352"/>
      <c r="S3790" s="352"/>
      <c r="T3790" s="352"/>
      <c r="U3790" s="352"/>
      <c r="V3790" s="352"/>
      <c r="W3790" s="352"/>
      <c r="X3790" s="352"/>
      <c r="Y3790" s="352"/>
      <c r="Z3790" s="352"/>
      <c r="AA3790" s="352"/>
      <c r="AB3790" s="352"/>
      <c r="AC3790" s="352"/>
      <c r="AD3790" s="352"/>
      <c r="AE3790" s="352"/>
      <c r="AF3790" s="352"/>
      <c r="AG3790" s="352"/>
      <c r="AH3790" s="352"/>
      <c r="AI3790" s="352"/>
      <c r="AJ3790" s="352"/>
    </row>
    <row r="3791" spans="2:36">
      <c r="B3791" s="352"/>
      <c r="C3791" s="352"/>
      <c r="D3791" s="352"/>
      <c r="E3791" s="352"/>
      <c r="F3791" s="352"/>
      <c r="H3791" s="352"/>
      <c r="J3791" s="352"/>
      <c r="L3791" s="352"/>
      <c r="M3791" s="352"/>
      <c r="N3791" s="352"/>
      <c r="O3791" s="352"/>
      <c r="P3791" s="352"/>
      <c r="Q3791" s="352"/>
      <c r="R3791" s="352"/>
      <c r="S3791" s="352"/>
      <c r="T3791" s="352"/>
      <c r="U3791" s="352"/>
      <c r="V3791" s="352"/>
      <c r="W3791" s="352"/>
      <c r="X3791" s="352"/>
      <c r="Y3791" s="352"/>
      <c r="Z3791" s="352"/>
      <c r="AA3791" s="352"/>
      <c r="AB3791" s="352"/>
      <c r="AC3791" s="352"/>
      <c r="AD3791" s="352"/>
      <c r="AE3791" s="352"/>
      <c r="AF3791" s="352"/>
      <c r="AG3791" s="352"/>
      <c r="AH3791" s="352"/>
      <c r="AI3791" s="352"/>
      <c r="AJ3791" s="352"/>
    </row>
    <row r="3792" spans="2:36">
      <c r="B3792" s="352"/>
      <c r="C3792" s="352"/>
      <c r="D3792" s="352"/>
      <c r="E3792" s="352"/>
      <c r="F3792" s="352"/>
      <c r="H3792" s="352"/>
      <c r="J3792" s="352"/>
      <c r="L3792" s="352"/>
      <c r="M3792" s="352"/>
      <c r="N3792" s="352"/>
      <c r="O3792" s="352"/>
      <c r="P3792" s="352"/>
      <c r="Q3792" s="352"/>
      <c r="R3792" s="352"/>
      <c r="S3792" s="352"/>
      <c r="T3792" s="352"/>
      <c r="U3792" s="352"/>
      <c r="V3792" s="352"/>
      <c r="W3792" s="352"/>
      <c r="X3792" s="352"/>
      <c r="Y3792" s="352"/>
      <c r="Z3792" s="352"/>
      <c r="AA3792" s="352"/>
      <c r="AB3792" s="352"/>
      <c r="AC3792" s="352"/>
      <c r="AD3792" s="352"/>
      <c r="AE3792" s="352"/>
      <c r="AF3792" s="352"/>
      <c r="AG3792" s="352"/>
      <c r="AH3792" s="352"/>
      <c r="AI3792" s="352"/>
      <c r="AJ3792" s="352"/>
    </row>
    <row r="3793" spans="2:36">
      <c r="B3793" s="352"/>
      <c r="C3793" s="352"/>
      <c r="D3793" s="352"/>
      <c r="E3793" s="352"/>
      <c r="F3793" s="352"/>
      <c r="H3793" s="352"/>
      <c r="J3793" s="352"/>
      <c r="L3793" s="352"/>
      <c r="M3793" s="352"/>
      <c r="N3793" s="352"/>
      <c r="O3793" s="352"/>
      <c r="P3793" s="352"/>
      <c r="Q3793" s="352"/>
      <c r="R3793" s="352"/>
      <c r="S3793" s="352"/>
      <c r="T3793" s="352"/>
      <c r="U3793" s="352"/>
      <c r="V3793" s="352"/>
      <c r="W3793" s="352"/>
      <c r="X3793" s="352"/>
      <c r="Y3793" s="352"/>
      <c r="Z3793" s="352"/>
      <c r="AA3793" s="352"/>
      <c r="AB3793" s="352"/>
      <c r="AC3793" s="352"/>
      <c r="AD3793" s="352"/>
      <c r="AE3793" s="352"/>
      <c r="AF3793" s="352"/>
      <c r="AG3793" s="352"/>
      <c r="AH3793" s="352"/>
      <c r="AI3793" s="352"/>
      <c r="AJ3793" s="352"/>
    </row>
    <row r="3794" spans="2:36">
      <c r="B3794" s="352"/>
      <c r="C3794" s="352"/>
      <c r="D3794" s="352"/>
      <c r="E3794" s="352"/>
      <c r="F3794" s="352"/>
      <c r="H3794" s="352"/>
      <c r="J3794" s="352"/>
      <c r="L3794" s="352"/>
      <c r="M3794" s="352"/>
      <c r="N3794" s="352"/>
      <c r="O3794" s="352"/>
      <c r="P3794" s="352"/>
      <c r="Q3794" s="352"/>
      <c r="R3794" s="352"/>
      <c r="S3794" s="352"/>
      <c r="T3794" s="352"/>
      <c r="U3794" s="352"/>
      <c r="V3794" s="352"/>
      <c r="W3794" s="352"/>
      <c r="X3794" s="352"/>
      <c r="Y3794" s="352"/>
      <c r="Z3794" s="352"/>
      <c r="AA3794" s="352"/>
      <c r="AB3794" s="352"/>
      <c r="AC3794" s="352"/>
      <c r="AD3794" s="352"/>
      <c r="AE3794" s="352"/>
      <c r="AF3794" s="352"/>
      <c r="AG3794" s="352"/>
      <c r="AH3794" s="352"/>
      <c r="AI3794" s="352"/>
      <c r="AJ3794" s="352"/>
    </row>
    <row r="3795" spans="2:36">
      <c r="B3795" s="352"/>
      <c r="C3795" s="352"/>
      <c r="D3795" s="352"/>
      <c r="E3795" s="352"/>
      <c r="F3795" s="352"/>
      <c r="H3795" s="352"/>
      <c r="J3795" s="352"/>
      <c r="L3795" s="352"/>
      <c r="M3795" s="352"/>
      <c r="N3795" s="352"/>
      <c r="O3795" s="352"/>
      <c r="P3795" s="352"/>
      <c r="Q3795" s="352"/>
      <c r="R3795" s="352"/>
      <c r="S3795" s="352"/>
      <c r="T3795" s="352"/>
      <c r="U3795" s="352"/>
      <c r="V3795" s="352"/>
      <c r="W3795" s="352"/>
      <c r="X3795" s="352"/>
      <c r="Y3795" s="352"/>
      <c r="Z3795" s="352"/>
      <c r="AA3795" s="352"/>
      <c r="AB3795" s="352"/>
      <c r="AC3795" s="352"/>
      <c r="AD3795" s="352"/>
      <c r="AE3795" s="352"/>
      <c r="AF3795" s="352"/>
      <c r="AG3795" s="352"/>
      <c r="AH3795" s="352"/>
      <c r="AI3795" s="352"/>
      <c r="AJ3795" s="352"/>
    </row>
    <row r="3796" spans="2:36">
      <c r="B3796" s="352"/>
      <c r="C3796" s="352"/>
      <c r="D3796" s="352"/>
      <c r="E3796" s="352"/>
      <c r="F3796" s="352"/>
      <c r="H3796" s="352"/>
      <c r="J3796" s="352"/>
      <c r="L3796" s="352"/>
      <c r="M3796" s="352"/>
      <c r="N3796" s="352"/>
      <c r="O3796" s="352"/>
      <c r="P3796" s="352"/>
      <c r="Q3796" s="352"/>
      <c r="R3796" s="352"/>
      <c r="S3796" s="352"/>
      <c r="T3796" s="352"/>
      <c r="U3796" s="352"/>
      <c r="V3796" s="352"/>
      <c r="W3796" s="352"/>
      <c r="X3796" s="352"/>
      <c r="Y3796" s="352"/>
      <c r="Z3796" s="352"/>
      <c r="AA3796" s="352"/>
      <c r="AB3796" s="352"/>
      <c r="AC3796" s="352"/>
      <c r="AD3796" s="352"/>
      <c r="AE3796" s="352"/>
      <c r="AF3796" s="352"/>
      <c r="AG3796" s="352"/>
      <c r="AH3796" s="352"/>
      <c r="AI3796" s="352"/>
      <c r="AJ3796" s="352"/>
    </row>
    <row r="3797" spans="2:36">
      <c r="B3797" s="352"/>
      <c r="C3797" s="352"/>
      <c r="D3797" s="352"/>
      <c r="E3797" s="352"/>
      <c r="F3797" s="352"/>
      <c r="H3797" s="352"/>
      <c r="J3797" s="352"/>
      <c r="L3797" s="352"/>
      <c r="M3797" s="352"/>
      <c r="N3797" s="352"/>
      <c r="O3797" s="352"/>
      <c r="P3797" s="352"/>
      <c r="Q3797" s="352"/>
      <c r="R3797" s="352"/>
      <c r="S3797" s="352"/>
      <c r="T3797" s="352"/>
      <c r="U3797" s="352"/>
      <c r="V3797" s="352"/>
      <c r="W3797" s="352"/>
      <c r="X3797" s="352"/>
      <c r="Y3797" s="352"/>
      <c r="Z3797" s="352"/>
      <c r="AA3797" s="352"/>
      <c r="AB3797" s="352"/>
      <c r="AC3797" s="352"/>
      <c r="AD3797" s="352"/>
      <c r="AE3797" s="352"/>
      <c r="AF3797" s="352"/>
      <c r="AG3797" s="352"/>
      <c r="AH3797" s="352"/>
      <c r="AI3797" s="352"/>
      <c r="AJ3797" s="352"/>
    </row>
    <row r="3798" spans="2:36">
      <c r="B3798" s="352"/>
      <c r="C3798" s="352"/>
      <c r="D3798" s="352"/>
      <c r="E3798" s="352"/>
      <c r="F3798" s="352"/>
      <c r="H3798" s="352"/>
      <c r="J3798" s="352"/>
      <c r="L3798" s="352"/>
      <c r="M3798" s="352"/>
      <c r="N3798" s="352"/>
      <c r="O3798" s="352"/>
      <c r="P3798" s="352"/>
      <c r="Q3798" s="352"/>
      <c r="R3798" s="352"/>
      <c r="S3798" s="352"/>
      <c r="T3798" s="352"/>
      <c r="U3798" s="352"/>
      <c r="V3798" s="352"/>
      <c r="W3798" s="352"/>
      <c r="X3798" s="352"/>
      <c r="Y3798" s="352"/>
      <c r="Z3798" s="352"/>
      <c r="AA3798" s="352"/>
      <c r="AB3798" s="352"/>
      <c r="AC3798" s="352"/>
      <c r="AD3798" s="352"/>
      <c r="AE3798" s="352"/>
      <c r="AF3798" s="352"/>
      <c r="AG3798" s="352"/>
      <c r="AH3798" s="352"/>
      <c r="AI3798" s="352"/>
      <c r="AJ3798" s="352"/>
    </row>
    <row r="3799" spans="2:36">
      <c r="B3799" s="352"/>
      <c r="C3799" s="352"/>
      <c r="D3799" s="352"/>
      <c r="E3799" s="352"/>
      <c r="F3799" s="352"/>
      <c r="H3799" s="352"/>
      <c r="J3799" s="352"/>
      <c r="L3799" s="352"/>
      <c r="M3799" s="352"/>
      <c r="N3799" s="352"/>
      <c r="O3799" s="352"/>
      <c r="P3799" s="352"/>
      <c r="Q3799" s="352"/>
      <c r="R3799" s="352"/>
      <c r="S3799" s="352"/>
      <c r="T3799" s="352"/>
      <c r="U3799" s="352"/>
      <c r="V3799" s="352"/>
      <c r="W3799" s="352"/>
      <c r="X3799" s="352"/>
      <c r="Y3799" s="352"/>
      <c r="Z3799" s="352"/>
      <c r="AA3799" s="352"/>
      <c r="AB3799" s="352"/>
      <c r="AC3799" s="352"/>
      <c r="AD3799" s="352"/>
      <c r="AE3799" s="352"/>
      <c r="AF3799" s="352"/>
      <c r="AG3799" s="352"/>
      <c r="AH3799" s="352"/>
      <c r="AI3799" s="352"/>
      <c r="AJ3799" s="352"/>
    </row>
    <row r="3800" spans="2:36">
      <c r="B3800" s="352"/>
      <c r="C3800" s="352"/>
      <c r="D3800" s="352"/>
      <c r="E3800" s="352"/>
      <c r="F3800" s="352"/>
      <c r="H3800" s="352"/>
      <c r="J3800" s="352"/>
      <c r="L3800" s="352"/>
      <c r="M3800" s="352"/>
      <c r="N3800" s="352"/>
      <c r="O3800" s="352"/>
      <c r="P3800" s="352"/>
      <c r="Q3800" s="352"/>
      <c r="R3800" s="352"/>
      <c r="S3800" s="352"/>
      <c r="T3800" s="352"/>
      <c r="U3800" s="352"/>
      <c r="V3800" s="352"/>
      <c r="W3800" s="352"/>
      <c r="X3800" s="352"/>
      <c r="Y3800" s="352"/>
      <c r="Z3800" s="352"/>
      <c r="AA3800" s="352"/>
      <c r="AB3800" s="352"/>
      <c r="AC3800" s="352"/>
      <c r="AD3800" s="352"/>
      <c r="AE3800" s="352"/>
      <c r="AF3800" s="352"/>
      <c r="AG3800" s="352"/>
      <c r="AH3800" s="352"/>
      <c r="AI3800" s="352"/>
      <c r="AJ3800" s="352"/>
    </row>
    <row r="3801" spans="2:36">
      <c r="B3801" s="352"/>
      <c r="C3801" s="352"/>
      <c r="D3801" s="352"/>
      <c r="E3801" s="352"/>
      <c r="F3801" s="352"/>
      <c r="H3801" s="352"/>
      <c r="J3801" s="352"/>
      <c r="L3801" s="352"/>
      <c r="M3801" s="352"/>
      <c r="N3801" s="352"/>
      <c r="O3801" s="352"/>
      <c r="P3801" s="352"/>
      <c r="Q3801" s="352"/>
      <c r="R3801" s="352"/>
      <c r="S3801" s="352"/>
      <c r="T3801" s="352"/>
      <c r="U3801" s="352"/>
      <c r="V3801" s="352"/>
      <c r="W3801" s="352"/>
      <c r="X3801" s="352"/>
      <c r="Y3801" s="352"/>
      <c r="Z3801" s="352"/>
      <c r="AA3801" s="352"/>
      <c r="AB3801" s="352"/>
      <c r="AC3801" s="352"/>
      <c r="AD3801" s="352"/>
      <c r="AE3801" s="352"/>
      <c r="AF3801" s="352"/>
      <c r="AG3801" s="352"/>
      <c r="AH3801" s="352"/>
      <c r="AI3801" s="352"/>
      <c r="AJ3801" s="352"/>
    </row>
    <row r="3802" spans="2:36">
      <c r="B3802" s="352"/>
      <c r="C3802" s="352"/>
      <c r="D3802" s="352"/>
      <c r="E3802" s="352"/>
      <c r="F3802" s="352"/>
      <c r="H3802" s="352"/>
      <c r="J3802" s="352"/>
      <c r="L3802" s="352"/>
      <c r="M3802" s="352"/>
      <c r="N3802" s="352"/>
      <c r="O3802" s="352"/>
      <c r="P3802" s="352"/>
      <c r="Q3802" s="352"/>
      <c r="R3802" s="352"/>
      <c r="S3802" s="352"/>
      <c r="T3802" s="352"/>
      <c r="U3802" s="352"/>
      <c r="V3802" s="352"/>
      <c r="W3802" s="352"/>
      <c r="X3802" s="352"/>
      <c r="Y3802" s="352"/>
      <c r="Z3802" s="352"/>
      <c r="AA3802" s="352"/>
      <c r="AB3802" s="352"/>
      <c r="AC3802" s="352"/>
      <c r="AD3802" s="352"/>
      <c r="AE3802" s="352"/>
      <c r="AF3802" s="352"/>
      <c r="AG3802" s="352"/>
      <c r="AH3802" s="352"/>
      <c r="AI3802" s="352"/>
      <c r="AJ3802" s="352"/>
    </row>
    <row r="3803" spans="2:36">
      <c r="B3803" s="352"/>
      <c r="C3803" s="352"/>
      <c r="D3803" s="352"/>
      <c r="E3803" s="352"/>
      <c r="F3803" s="352"/>
      <c r="H3803" s="352"/>
      <c r="J3803" s="352"/>
      <c r="L3803" s="352"/>
      <c r="M3803" s="352"/>
      <c r="N3803" s="352"/>
      <c r="O3803" s="352"/>
      <c r="P3803" s="352"/>
      <c r="Q3803" s="352"/>
      <c r="R3803" s="352"/>
      <c r="S3803" s="352"/>
      <c r="T3803" s="352"/>
      <c r="U3803" s="352"/>
      <c r="V3803" s="352"/>
      <c r="W3803" s="352"/>
      <c r="X3803" s="352"/>
      <c r="Y3803" s="352"/>
      <c r="Z3803" s="352"/>
      <c r="AA3803" s="352"/>
      <c r="AB3803" s="352"/>
      <c r="AC3803" s="352"/>
      <c r="AD3803" s="352"/>
      <c r="AE3803" s="352"/>
      <c r="AF3803" s="352"/>
      <c r="AG3803" s="352"/>
      <c r="AH3803" s="352"/>
      <c r="AI3803" s="352"/>
      <c r="AJ3803" s="352"/>
    </row>
    <row r="3804" spans="2:36">
      <c r="B3804" s="352"/>
      <c r="C3804" s="352"/>
      <c r="D3804" s="352"/>
      <c r="E3804" s="352"/>
      <c r="F3804" s="352"/>
      <c r="H3804" s="352"/>
      <c r="J3804" s="352"/>
      <c r="L3804" s="352"/>
      <c r="M3804" s="352"/>
      <c r="N3804" s="352"/>
      <c r="O3804" s="352"/>
      <c r="P3804" s="352"/>
      <c r="Q3804" s="352"/>
      <c r="R3804" s="352"/>
      <c r="S3804" s="352"/>
      <c r="T3804" s="352"/>
      <c r="U3804" s="352"/>
      <c r="V3804" s="352"/>
      <c r="W3804" s="352"/>
      <c r="X3804" s="352"/>
      <c r="Y3804" s="352"/>
      <c r="Z3804" s="352"/>
      <c r="AA3804" s="352"/>
      <c r="AB3804" s="352"/>
      <c r="AC3804" s="352"/>
      <c r="AD3804" s="352"/>
      <c r="AE3804" s="352"/>
      <c r="AF3804" s="352"/>
      <c r="AG3804" s="352"/>
      <c r="AH3804" s="352"/>
      <c r="AI3804" s="352"/>
      <c r="AJ3804" s="352"/>
    </row>
    <row r="3805" spans="2:36">
      <c r="B3805" s="352"/>
      <c r="C3805" s="352"/>
      <c r="D3805" s="352"/>
      <c r="E3805" s="352"/>
      <c r="F3805" s="352"/>
      <c r="H3805" s="352"/>
      <c r="J3805" s="352"/>
      <c r="L3805" s="352"/>
      <c r="M3805" s="352"/>
      <c r="N3805" s="352"/>
      <c r="O3805" s="352"/>
      <c r="P3805" s="352"/>
      <c r="Q3805" s="352"/>
      <c r="R3805" s="352"/>
      <c r="S3805" s="352"/>
      <c r="T3805" s="352"/>
      <c r="U3805" s="352"/>
      <c r="V3805" s="352"/>
      <c r="W3805" s="352"/>
      <c r="X3805" s="352"/>
      <c r="Y3805" s="352"/>
      <c r="Z3805" s="352"/>
      <c r="AA3805" s="352"/>
      <c r="AB3805" s="352"/>
      <c r="AC3805" s="352"/>
      <c r="AD3805" s="352"/>
      <c r="AE3805" s="352"/>
      <c r="AF3805" s="352"/>
      <c r="AG3805" s="352"/>
      <c r="AH3805" s="352"/>
      <c r="AI3805" s="352"/>
      <c r="AJ3805" s="352"/>
    </row>
    <row r="3806" spans="2:36">
      <c r="B3806" s="352"/>
      <c r="C3806" s="352"/>
      <c r="D3806" s="352"/>
      <c r="E3806" s="352"/>
      <c r="F3806" s="352"/>
      <c r="H3806" s="352"/>
      <c r="J3806" s="352"/>
      <c r="L3806" s="352"/>
      <c r="M3806" s="352"/>
      <c r="N3806" s="352"/>
      <c r="O3806" s="352"/>
      <c r="P3806" s="352"/>
      <c r="Q3806" s="352"/>
      <c r="R3806" s="352"/>
      <c r="S3806" s="352"/>
      <c r="T3806" s="352"/>
      <c r="U3806" s="352"/>
      <c r="V3806" s="352"/>
      <c r="W3806" s="352"/>
      <c r="X3806" s="352"/>
      <c r="Y3806" s="352"/>
      <c r="Z3806" s="352"/>
      <c r="AA3806" s="352"/>
      <c r="AB3806" s="352"/>
      <c r="AC3806" s="352"/>
      <c r="AD3806" s="352"/>
      <c r="AE3806" s="352"/>
      <c r="AF3806" s="352"/>
      <c r="AG3806" s="352"/>
      <c r="AH3806" s="352"/>
      <c r="AI3806" s="352"/>
      <c r="AJ3806" s="352"/>
    </row>
    <row r="3807" spans="2:36">
      <c r="B3807" s="352"/>
      <c r="C3807" s="352"/>
      <c r="D3807" s="352"/>
      <c r="E3807" s="352"/>
      <c r="F3807" s="352"/>
      <c r="H3807" s="352"/>
      <c r="J3807" s="352"/>
      <c r="L3807" s="352"/>
      <c r="M3807" s="352"/>
      <c r="N3807" s="352"/>
      <c r="O3807" s="352"/>
      <c r="P3807" s="352"/>
      <c r="Q3807" s="352"/>
      <c r="R3807" s="352"/>
      <c r="S3807" s="352"/>
      <c r="T3807" s="352"/>
      <c r="U3807" s="352"/>
      <c r="V3807" s="352"/>
      <c r="W3807" s="352"/>
      <c r="X3807" s="352"/>
      <c r="Y3807" s="352"/>
      <c r="Z3807" s="352"/>
      <c r="AA3807" s="352"/>
      <c r="AB3807" s="352"/>
      <c r="AC3807" s="352"/>
      <c r="AD3807" s="352"/>
      <c r="AE3807" s="352"/>
      <c r="AF3807" s="352"/>
      <c r="AG3807" s="352"/>
      <c r="AH3807" s="352"/>
      <c r="AI3807" s="352"/>
      <c r="AJ3807" s="352"/>
    </row>
    <row r="3808" spans="2:36">
      <c r="B3808" s="352"/>
      <c r="C3808" s="352"/>
      <c r="D3808" s="352"/>
      <c r="E3808" s="352"/>
      <c r="F3808" s="352"/>
      <c r="H3808" s="352"/>
      <c r="J3808" s="352"/>
      <c r="L3808" s="352"/>
      <c r="M3808" s="352"/>
      <c r="N3808" s="352"/>
      <c r="O3808" s="352"/>
      <c r="P3808" s="352"/>
      <c r="Q3808" s="352"/>
      <c r="R3808" s="352"/>
      <c r="S3808" s="352"/>
      <c r="T3808" s="352"/>
      <c r="U3808" s="352"/>
      <c r="V3808" s="352"/>
      <c r="W3808" s="352"/>
      <c r="X3808" s="352"/>
      <c r="Y3808" s="352"/>
      <c r="Z3808" s="352"/>
      <c r="AA3808" s="352"/>
      <c r="AB3808" s="352"/>
      <c r="AC3808" s="352"/>
      <c r="AD3808" s="352"/>
      <c r="AE3808" s="352"/>
      <c r="AF3808" s="352"/>
      <c r="AG3808" s="352"/>
      <c r="AH3808" s="352"/>
      <c r="AI3808" s="352"/>
      <c r="AJ3808" s="352"/>
    </row>
    <row r="3809" spans="2:36">
      <c r="B3809" s="352"/>
      <c r="C3809" s="352"/>
      <c r="D3809" s="352"/>
      <c r="E3809" s="352"/>
      <c r="F3809" s="352"/>
      <c r="H3809" s="352"/>
      <c r="J3809" s="352"/>
      <c r="L3809" s="352"/>
      <c r="M3809" s="352"/>
      <c r="N3809" s="352"/>
      <c r="O3809" s="352"/>
      <c r="P3809" s="352"/>
      <c r="Q3809" s="352"/>
      <c r="R3809" s="352"/>
      <c r="S3809" s="352"/>
      <c r="T3809" s="352"/>
      <c r="U3809" s="352"/>
      <c r="V3809" s="352"/>
      <c r="W3809" s="352"/>
      <c r="X3809" s="352"/>
      <c r="Y3809" s="352"/>
      <c r="Z3809" s="352"/>
      <c r="AA3809" s="352"/>
      <c r="AB3809" s="352"/>
      <c r="AC3809" s="352"/>
      <c r="AD3809" s="352"/>
      <c r="AE3809" s="352"/>
      <c r="AF3809" s="352"/>
      <c r="AG3809" s="352"/>
      <c r="AH3809" s="352"/>
      <c r="AI3809" s="352"/>
      <c r="AJ3809" s="352"/>
    </row>
    <row r="3810" spans="2:36">
      <c r="B3810" s="352"/>
      <c r="C3810" s="352"/>
      <c r="D3810" s="352"/>
      <c r="E3810" s="352"/>
      <c r="F3810" s="352"/>
      <c r="H3810" s="352"/>
      <c r="J3810" s="352"/>
      <c r="L3810" s="352"/>
      <c r="M3810" s="352"/>
      <c r="N3810" s="352"/>
      <c r="O3810" s="352"/>
      <c r="P3810" s="352"/>
      <c r="Q3810" s="352"/>
      <c r="R3810" s="352"/>
      <c r="S3810" s="352"/>
      <c r="T3810" s="352"/>
      <c r="U3810" s="352"/>
      <c r="V3810" s="352"/>
      <c r="W3810" s="352"/>
      <c r="X3810" s="352"/>
      <c r="Y3810" s="352"/>
      <c r="Z3810" s="352"/>
      <c r="AA3810" s="352"/>
      <c r="AB3810" s="352"/>
      <c r="AC3810" s="352"/>
      <c r="AD3810" s="352"/>
      <c r="AE3810" s="352"/>
      <c r="AF3810" s="352"/>
      <c r="AG3810" s="352"/>
      <c r="AH3810" s="352"/>
      <c r="AI3810" s="352"/>
      <c r="AJ3810" s="352"/>
    </row>
    <row r="3811" spans="2:36">
      <c r="B3811" s="352"/>
      <c r="C3811" s="352"/>
      <c r="D3811" s="352"/>
      <c r="E3811" s="352"/>
      <c r="F3811" s="352"/>
      <c r="H3811" s="352"/>
      <c r="J3811" s="352"/>
      <c r="L3811" s="352"/>
      <c r="M3811" s="352"/>
      <c r="N3811" s="352"/>
      <c r="O3811" s="352"/>
      <c r="P3811" s="352"/>
      <c r="Q3811" s="352"/>
      <c r="R3811" s="352"/>
      <c r="S3811" s="352"/>
      <c r="T3811" s="352"/>
      <c r="U3811" s="352"/>
      <c r="V3811" s="352"/>
      <c r="W3811" s="352"/>
      <c r="X3811" s="352"/>
      <c r="Y3811" s="352"/>
      <c r="Z3811" s="352"/>
      <c r="AA3811" s="352"/>
      <c r="AB3811" s="352"/>
      <c r="AC3811" s="352"/>
      <c r="AD3811" s="352"/>
      <c r="AE3811" s="352"/>
      <c r="AF3811" s="352"/>
      <c r="AG3811" s="352"/>
      <c r="AH3811" s="352"/>
      <c r="AI3811" s="352"/>
      <c r="AJ3811" s="352"/>
    </row>
    <row r="3812" spans="2:36">
      <c r="B3812" s="352"/>
      <c r="C3812" s="352"/>
      <c r="D3812" s="352"/>
      <c r="E3812" s="352"/>
      <c r="F3812" s="352"/>
      <c r="H3812" s="352"/>
      <c r="J3812" s="352"/>
      <c r="L3812" s="352"/>
      <c r="M3812" s="352"/>
      <c r="N3812" s="352"/>
      <c r="O3812" s="352"/>
      <c r="P3812" s="352"/>
      <c r="Q3812" s="352"/>
      <c r="R3812" s="352"/>
      <c r="S3812" s="352"/>
      <c r="T3812" s="352"/>
      <c r="U3812" s="352"/>
      <c r="V3812" s="352"/>
      <c r="W3812" s="352"/>
      <c r="X3812" s="352"/>
      <c r="Y3812" s="352"/>
      <c r="Z3812" s="352"/>
      <c r="AA3812" s="352"/>
      <c r="AB3812" s="352"/>
      <c r="AC3812" s="352"/>
      <c r="AD3812" s="352"/>
      <c r="AE3812" s="352"/>
      <c r="AF3812" s="352"/>
      <c r="AG3812" s="352"/>
      <c r="AH3812" s="352"/>
      <c r="AI3812" s="352"/>
      <c r="AJ3812" s="352"/>
    </row>
    <row r="3813" spans="2:36">
      <c r="B3813" s="352"/>
      <c r="C3813" s="352"/>
      <c r="D3813" s="352"/>
      <c r="E3813" s="352"/>
      <c r="F3813" s="352"/>
      <c r="H3813" s="352"/>
      <c r="J3813" s="352"/>
      <c r="L3813" s="352"/>
      <c r="M3813" s="352"/>
      <c r="N3813" s="352"/>
      <c r="O3813" s="352"/>
      <c r="P3813" s="352"/>
      <c r="Q3813" s="352"/>
      <c r="R3813" s="352"/>
      <c r="S3813" s="352"/>
      <c r="T3813" s="352"/>
      <c r="U3813" s="352"/>
      <c r="V3813" s="352"/>
      <c r="W3813" s="352"/>
      <c r="X3813" s="352"/>
      <c r="Y3813" s="352"/>
      <c r="Z3813" s="352"/>
      <c r="AA3813" s="352"/>
      <c r="AB3813" s="352"/>
      <c r="AC3813" s="352"/>
      <c r="AD3813" s="352"/>
      <c r="AE3813" s="352"/>
      <c r="AF3813" s="352"/>
      <c r="AG3813" s="352"/>
      <c r="AH3813" s="352"/>
      <c r="AI3813" s="352"/>
      <c r="AJ3813" s="352"/>
    </row>
    <row r="3814" spans="2:36">
      <c r="B3814" s="352"/>
      <c r="C3814" s="352"/>
      <c r="D3814" s="352"/>
      <c r="E3814" s="352"/>
      <c r="F3814" s="352"/>
      <c r="H3814" s="352"/>
      <c r="J3814" s="352"/>
      <c r="L3814" s="352"/>
      <c r="M3814" s="352"/>
      <c r="N3814" s="352"/>
      <c r="O3814" s="352"/>
      <c r="P3814" s="352"/>
      <c r="Q3814" s="352"/>
      <c r="R3814" s="352"/>
      <c r="S3814" s="352"/>
      <c r="T3814" s="352"/>
      <c r="U3814" s="352"/>
      <c r="V3814" s="352"/>
      <c r="W3814" s="352"/>
      <c r="X3814" s="352"/>
      <c r="Y3814" s="352"/>
      <c r="Z3814" s="352"/>
      <c r="AA3814" s="352"/>
      <c r="AB3814" s="352"/>
      <c r="AC3814" s="352"/>
      <c r="AD3814" s="352"/>
      <c r="AE3814" s="352"/>
      <c r="AF3814" s="352"/>
      <c r="AG3814" s="352"/>
      <c r="AH3814" s="352"/>
      <c r="AI3814" s="352"/>
      <c r="AJ3814" s="352"/>
    </row>
    <row r="3815" spans="2:36">
      <c r="B3815" s="352"/>
      <c r="C3815" s="352"/>
      <c r="D3815" s="352"/>
      <c r="E3815" s="352"/>
      <c r="F3815" s="352"/>
      <c r="H3815" s="352"/>
      <c r="J3815" s="352"/>
      <c r="L3815" s="352"/>
      <c r="M3815" s="352"/>
      <c r="N3815" s="352"/>
      <c r="O3815" s="352"/>
      <c r="P3815" s="352"/>
      <c r="Q3815" s="352"/>
      <c r="R3815" s="352"/>
      <c r="S3815" s="352"/>
      <c r="T3815" s="352"/>
      <c r="U3815" s="352"/>
      <c r="V3815" s="352"/>
      <c r="W3815" s="352"/>
      <c r="X3815" s="352"/>
      <c r="Y3815" s="352"/>
      <c r="Z3815" s="352"/>
      <c r="AA3815" s="352"/>
      <c r="AB3815" s="352"/>
      <c r="AC3815" s="352"/>
      <c r="AD3815" s="352"/>
      <c r="AE3815" s="352"/>
      <c r="AF3815" s="352"/>
      <c r="AG3815" s="352"/>
      <c r="AH3815" s="352"/>
      <c r="AI3815" s="352"/>
      <c r="AJ3815" s="352"/>
    </row>
    <row r="3816" spans="2:36">
      <c r="B3816" s="352"/>
      <c r="C3816" s="352"/>
      <c r="D3816" s="352"/>
      <c r="E3816" s="352"/>
      <c r="F3816" s="352"/>
      <c r="H3816" s="352"/>
      <c r="J3816" s="352"/>
      <c r="L3816" s="352"/>
      <c r="M3816" s="352"/>
      <c r="N3816" s="352"/>
      <c r="O3816" s="352"/>
      <c r="P3816" s="352"/>
      <c r="Q3816" s="352"/>
      <c r="R3816" s="352"/>
      <c r="S3816" s="352"/>
      <c r="T3816" s="352"/>
      <c r="U3816" s="352"/>
      <c r="V3816" s="352"/>
      <c r="W3816" s="352"/>
      <c r="X3816" s="352"/>
      <c r="Y3816" s="352"/>
      <c r="Z3816" s="352"/>
      <c r="AA3816" s="352"/>
      <c r="AB3816" s="352"/>
      <c r="AC3816" s="352"/>
      <c r="AD3816" s="352"/>
      <c r="AE3816" s="352"/>
      <c r="AF3816" s="352"/>
      <c r="AG3816" s="352"/>
      <c r="AH3816" s="352"/>
      <c r="AI3816" s="352"/>
      <c r="AJ3816" s="352"/>
    </row>
    <row r="3817" spans="2:36">
      <c r="B3817" s="352"/>
      <c r="C3817" s="352"/>
      <c r="D3817" s="352"/>
      <c r="E3817" s="352"/>
      <c r="F3817" s="352"/>
      <c r="H3817" s="352"/>
      <c r="J3817" s="352"/>
      <c r="L3817" s="352"/>
      <c r="M3817" s="352"/>
      <c r="N3817" s="352"/>
      <c r="O3817" s="352"/>
      <c r="P3817" s="352"/>
      <c r="Q3817" s="352"/>
      <c r="R3817" s="352"/>
      <c r="S3817" s="352"/>
      <c r="T3817" s="352"/>
      <c r="U3817" s="352"/>
      <c r="V3817" s="352"/>
      <c r="W3817" s="352"/>
      <c r="X3817" s="352"/>
      <c r="Y3817" s="352"/>
      <c r="Z3817" s="352"/>
      <c r="AA3817" s="352"/>
      <c r="AB3817" s="352"/>
      <c r="AC3817" s="352"/>
      <c r="AD3817" s="352"/>
      <c r="AE3817" s="352"/>
      <c r="AF3817" s="352"/>
      <c r="AG3817" s="352"/>
      <c r="AH3817" s="352"/>
      <c r="AI3817" s="352"/>
      <c r="AJ3817" s="352"/>
    </row>
    <row r="3818" spans="2:36">
      <c r="B3818" s="352"/>
      <c r="C3818" s="352"/>
      <c r="D3818" s="352"/>
      <c r="E3818" s="352"/>
      <c r="F3818" s="352"/>
      <c r="H3818" s="352"/>
      <c r="J3818" s="352"/>
      <c r="L3818" s="352"/>
      <c r="M3818" s="352"/>
      <c r="N3818" s="352"/>
      <c r="O3818" s="352"/>
      <c r="P3818" s="352"/>
      <c r="Q3818" s="352"/>
      <c r="R3818" s="352"/>
      <c r="S3818" s="352"/>
      <c r="T3818" s="352"/>
      <c r="U3818" s="352"/>
      <c r="V3818" s="352"/>
      <c r="W3818" s="352"/>
      <c r="X3818" s="352"/>
      <c r="Y3818" s="352"/>
      <c r="Z3818" s="352"/>
      <c r="AA3818" s="352"/>
      <c r="AB3818" s="352"/>
      <c r="AC3818" s="352"/>
      <c r="AD3818" s="352"/>
      <c r="AE3818" s="352"/>
      <c r="AF3818" s="352"/>
      <c r="AG3818" s="352"/>
      <c r="AH3818" s="352"/>
      <c r="AI3818" s="352"/>
      <c r="AJ3818" s="352"/>
    </row>
    <row r="3819" spans="2:36">
      <c r="B3819" s="352"/>
      <c r="C3819" s="352"/>
      <c r="D3819" s="352"/>
      <c r="E3819" s="352"/>
      <c r="F3819" s="352"/>
      <c r="H3819" s="352"/>
      <c r="J3819" s="352"/>
      <c r="L3819" s="352"/>
      <c r="M3819" s="352"/>
      <c r="N3819" s="352"/>
      <c r="O3819" s="352"/>
      <c r="P3819" s="352"/>
      <c r="Q3819" s="352"/>
      <c r="R3819" s="352"/>
      <c r="S3819" s="352"/>
      <c r="T3819" s="352"/>
      <c r="U3819" s="352"/>
      <c r="V3819" s="352"/>
      <c r="W3819" s="352"/>
      <c r="X3819" s="352"/>
      <c r="Y3819" s="352"/>
      <c r="Z3819" s="352"/>
      <c r="AA3819" s="352"/>
      <c r="AB3819" s="352"/>
      <c r="AC3819" s="352"/>
      <c r="AD3819" s="352"/>
      <c r="AE3819" s="352"/>
      <c r="AF3819" s="352"/>
      <c r="AG3819" s="352"/>
      <c r="AH3819" s="352"/>
      <c r="AI3819" s="352"/>
      <c r="AJ3819" s="352"/>
    </row>
    <row r="3820" spans="2:36">
      <c r="B3820" s="352"/>
      <c r="C3820" s="352"/>
      <c r="D3820" s="352"/>
      <c r="E3820" s="352"/>
      <c r="F3820" s="352"/>
      <c r="H3820" s="352"/>
      <c r="J3820" s="352"/>
      <c r="L3820" s="352"/>
      <c r="M3820" s="352"/>
      <c r="N3820" s="352"/>
      <c r="O3820" s="352"/>
      <c r="P3820" s="352"/>
      <c r="Q3820" s="352"/>
      <c r="R3820" s="352"/>
      <c r="S3820" s="352"/>
      <c r="T3820" s="352"/>
      <c r="U3820" s="352"/>
      <c r="V3820" s="352"/>
      <c r="W3820" s="352"/>
      <c r="X3820" s="352"/>
      <c r="Y3820" s="352"/>
      <c r="Z3820" s="352"/>
      <c r="AA3820" s="352"/>
      <c r="AB3820" s="352"/>
      <c r="AC3820" s="352"/>
      <c r="AD3820" s="352"/>
      <c r="AE3820" s="352"/>
      <c r="AF3820" s="352"/>
      <c r="AG3820" s="352"/>
      <c r="AH3820" s="352"/>
      <c r="AI3820" s="352"/>
      <c r="AJ3820" s="352"/>
    </row>
    <row r="3821" spans="2:36">
      <c r="B3821" s="352"/>
      <c r="C3821" s="352"/>
      <c r="D3821" s="352"/>
      <c r="E3821" s="352"/>
      <c r="F3821" s="352"/>
      <c r="H3821" s="352"/>
      <c r="J3821" s="352"/>
      <c r="L3821" s="352"/>
      <c r="M3821" s="352"/>
      <c r="N3821" s="352"/>
      <c r="O3821" s="352"/>
      <c r="P3821" s="352"/>
      <c r="Q3821" s="352"/>
      <c r="R3821" s="352"/>
      <c r="S3821" s="352"/>
      <c r="T3821" s="352"/>
      <c r="U3821" s="352"/>
      <c r="V3821" s="352"/>
      <c r="W3821" s="352"/>
      <c r="X3821" s="352"/>
      <c r="Y3821" s="352"/>
      <c r="Z3821" s="352"/>
      <c r="AA3821" s="352"/>
      <c r="AB3821" s="352"/>
      <c r="AC3821" s="352"/>
      <c r="AD3821" s="352"/>
      <c r="AE3821" s="352"/>
      <c r="AF3821" s="352"/>
      <c r="AG3821" s="352"/>
      <c r="AH3821" s="352"/>
      <c r="AI3821" s="352"/>
      <c r="AJ3821" s="352"/>
    </row>
    <row r="3822" spans="2:36">
      <c r="B3822" s="352"/>
      <c r="C3822" s="352"/>
      <c r="D3822" s="352"/>
      <c r="E3822" s="352"/>
      <c r="F3822" s="352"/>
      <c r="H3822" s="352"/>
      <c r="J3822" s="352"/>
      <c r="L3822" s="352"/>
      <c r="M3822" s="352"/>
      <c r="N3822" s="352"/>
      <c r="O3822" s="352"/>
      <c r="P3822" s="352"/>
      <c r="Q3822" s="352"/>
      <c r="R3822" s="352"/>
      <c r="S3822" s="352"/>
      <c r="T3822" s="352"/>
      <c r="U3822" s="352"/>
      <c r="V3822" s="352"/>
      <c r="W3822" s="352"/>
      <c r="X3822" s="352"/>
      <c r="Y3822" s="352"/>
      <c r="Z3822" s="352"/>
      <c r="AA3822" s="352"/>
      <c r="AB3822" s="352"/>
      <c r="AC3822" s="352"/>
      <c r="AD3822" s="352"/>
      <c r="AE3822" s="352"/>
      <c r="AF3822" s="352"/>
      <c r="AG3822" s="352"/>
      <c r="AH3822" s="352"/>
      <c r="AI3822" s="352"/>
      <c r="AJ3822" s="352"/>
    </row>
    <row r="3823" spans="2:36">
      <c r="B3823" s="352"/>
      <c r="C3823" s="352"/>
      <c r="D3823" s="352"/>
      <c r="E3823" s="352"/>
      <c r="F3823" s="352"/>
      <c r="H3823" s="352"/>
      <c r="J3823" s="352"/>
      <c r="L3823" s="352"/>
      <c r="M3823" s="352"/>
      <c r="N3823" s="352"/>
      <c r="O3823" s="352"/>
      <c r="P3823" s="352"/>
      <c r="Q3823" s="352"/>
      <c r="R3823" s="352"/>
      <c r="S3823" s="352"/>
      <c r="T3823" s="352"/>
      <c r="U3823" s="352"/>
      <c r="V3823" s="352"/>
      <c r="W3823" s="352"/>
      <c r="X3823" s="352"/>
      <c r="Y3823" s="352"/>
      <c r="Z3823" s="352"/>
      <c r="AA3823" s="352"/>
      <c r="AB3823" s="352"/>
      <c r="AC3823" s="352"/>
      <c r="AD3823" s="352"/>
      <c r="AE3823" s="352"/>
      <c r="AF3823" s="352"/>
      <c r="AG3823" s="352"/>
      <c r="AH3823" s="352"/>
      <c r="AI3823" s="352"/>
      <c r="AJ3823" s="352"/>
    </row>
    <row r="3824" spans="2:36">
      <c r="B3824" s="352"/>
      <c r="C3824" s="352"/>
      <c r="D3824" s="352"/>
      <c r="E3824" s="352"/>
      <c r="F3824" s="352"/>
      <c r="H3824" s="352"/>
      <c r="J3824" s="352"/>
      <c r="L3824" s="352"/>
      <c r="M3824" s="352"/>
      <c r="N3824" s="352"/>
      <c r="O3824" s="352"/>
      <c r="P3824" s="352"/>
      <c r="Q3824" s="352"/>
      <c r="R3824" s="352"/>
      <c r="S3824" s="352"/>
      <c r="T3824" s="352"/>
      <c r="U3824" s="352"/>
      <c r="V3824" s="352"/>
      <c r="W3824" s="352"/>
      <c r="X3824" s="352"/>
      <c r="Y3824" s="352"/>
      <c r="Z3824" s="352"/>
      <c r="AA3824" s="352"/>
      <c r="AB3824" s="352"/>
      <c r="AC3824" s="352"/>
      <c r="AD3824" s="352"/>
      <c r="AE3824" s="352"/>
      <c r="AF3824" s="352"/>
      <c r="AG3824" s="352"/>
      <c r="AH3824" s="352"/>
      <c r="AI3824" s="352"/>
      <c r="AJ3824" s="352"/>
    </row>
    <row r="3825" spans="2:36">
      <c r="B3825" s="352"/>
      <c r="C3825" s="352"/>
      <c r="D3825" s="352"/>
      <c r="E3825" s="352"/>
      <c r="F3825" s="352"/>
      <c r="H3825" s="352"/>
      <c r="J3825" s="352"/>
      <c r="L3825" s="352"/>
      <c r="M3825" s="352"/>
      <c r="N3825" s="352"/>
      <c r="O3825" s="352"/>
      <c r="P3825" s="352"/>
      <c r="Q3825" s="352"/>
      <c r="R3825" s="352"/>
      <c r="S3825" s="352"/>
      <c r="T3825" s="352"/>
      <c r="U3825" s="352"/>
      <c r="V3825" s="352"/>
      <c r="W3825" s="352"/>
      <c r="X3825" s="352"/>
      <c r="Y3825" s="352"/>
      <c r="Z3825" s="352"/>
      <c r="AA3825" s="352"/>
      <c r="AB3825" s="352"/>
      <c r="AC3825" s="352"/>
      <c r="AD3825" s="352"/>
      <c r="AE3825" s="352"/>
      <c r="AF3825" s="352"/>
      <c r="AG3825" s="352"/>
      <c r="AH3825" s="352"/>
      <c r="AI3825" s="352"/>
      <c r="AJ3825" s="352"/>
    </row>
    <row r="3826" spans="2:36">
      <c r="B3826" s="352"/>
      <c r="C3826" s="352"/>
      <c r="D3826" s="352"/>
      <c r="E3826" s="352"/>
      <c r="F3826" s="352"/>
      <c r="H3826" s="352"/>
      <c r="J3826" s="352"/>
      <c r="L3826" s="352"/>
      <c r="M3826" s="352"/>
      <c r="N3826" s="352"/>
      <c r="O3826" s="352"/>
      <c r="P3826" s="352"/>
      <c r="Q3826" s="352"/>
      <c r="R3826" s="352"/>
      <c r="S3826" s="352"/>
      <c r="T3826" s="352"/>
      <c r="U3826" s="352"/>
      <c r="V3826" s="352"/>
      <c r="W3826" s="352"/>
      <c r="X3826" s="352"/>
      <c r="Y3826" s="352"/>
      <c r="Z3826" s="352"/>
      <c r="AA3826" s="352"/>
      <c r="AB3826" s="352"/>
      <c r="AC3826" s="352"/>
      <c r="AD3826" s="352"/>
      <c r="AE3826" s="352"/>
      <c r="AF3826" s="352"/>
      <c r="AG3826" s="352"/>
      <c r="AH3826" s="352"/>
      <c r="AI3826" s="352"/>
      <c r="AJ3826" s="352"/>
    </row>
    <row r="3827" spans="2:36">
      <c r="B3827" s="352"/>
      <c r="C3827" s="352"/>
      <c r="D3827" s="352"/>
      <c r="E3827" s="352"/>
      <c r="F3827" s="352"/>
      <c r="H3827" s="352"/>
      <c r="J3827" s="352"/>
      <c r="L3827" s="352"/>
      <c r="M3827" s="352"/>
      <c r="N3827" s="352"/>
      <c r="O3827" s="352"/>
      <c r="P3827" s="352"/>
      <c r="Q3827" s="352"/>
      <c r="R3827" s="352"/>
      <c r="S3827" s="352"/>
      <c r="T3827" s="352"/>
      <c r="U3827" s="352"/>
      <c r="V3827" s="352"/>
      <c r="W3827" s="352"/>
      <c r="X3827" s="352"/>
      <c r="Y3827" s="352"/>
      <c r="Z3827" s="352"/>
      <c r="AA3827" s="352"/>
      <c r="AB3827" s="352"/>
      <c r="AC3827" s="352"/>
      <c r="AD3827" s="352"/>
      <c r="AE3827" s="352"/>
      <c r="AF3827" s="352"/>
      <c r="AG3827" s="352"/>
      <c r="AH3827" s="352"/>
      <c r="AI3827" s="352"/>
      <c r="AJ3827" s="352"/>
    </row>
    <row r="3828" spans="2:36">
      <c r="B3828" s="352"/>
      <c r="C3828" s="352"/>
      <c r="D3828" s="352"/>
      <c r="E3828" s="352"/>
      <c r="F3828" s="352"/>
      <c r="H3828" s="352"/>
      <c r="J3828" s="352"/>
      <c r="L3828" s="352"/>
      <c r="M3828" s="352"/>
      <c r="N3828" s="352"/>
      <c r="O3828" s="352"/>
      <c r="P3828" s="352"/>
      <c r="Q3828" s="352"/>
      <c r="R3828" s="352"/>
      <c r="S3828" s="352"/>
      <c r="T3828" s="352"/>
      <c r="U3828" s="352"/>
      <c r="V3828" s="352"/>
      <c r="W3828" s="352"/>
      <c r="X3828" s="352"/>
      <c r="Y3828" s="352"/>
      <c r="Z3828" s="352"/>
      <c r="AA3828" s="352"/>
      <c r="AB3828" s="352"/>
      <c r="AC3828" s="352"/>
      <c r="AD3828" s="352"/>
      <c r="AE3828" s="352"/>
      <c r="AF3828" s="352"/>
      <c r="AG3828" s="352"/>
      <c r="AH3828" s="352"/>
      <c r="AI3828" s="352"/>
      <c r="AJ3828" s="352"/>
    </row>
    <row r="3829" spans="2:36">
      <c r="B3829" s="352"/>
      <c r="C3829" s="352"/>
      <c r="D3829" s="352"/>
      <c r="E3829" s="352"/>
      <c r="F3829" s="352"/>
      <c r="H3829" s="352"/>
      <c r="J3829" s="352"/>
      <c r="L3829" s="352"/>
      <c r="M3829" s="352"/>
      <c r="N3829" s="352"/>
      <c r="O3829" s="352"/>
      <c r="P3829" s="352"/>
      <c r="Q3829" s="352"/>
      <c r="R3829" s="352"/>
      <c r="S3829" s="352"/>
      <c r="T3829" s="352"/>
      <c r="U3829" s="352"/>
      <c r="V3829" s="352"/>
      <c r="W3829" s="352"/>
      <c r="X3829" s="352"/>
      <c r="Y3829" s="352"/>
      <c r="Z3829" s="352"/>
      <c r="AA3829" s="352"/>
      <c r="AB3829" s="352"/>
      <c r="AC3829" s="352"/>
      <c r="AD3829" s="352"/>
      <c r="AE3829" s="352"/>
      <c r="AF3829" s="352"/>
      <c r="AG3829" s="352"/>
      <c r="AH3829" s="352"/>
      <c r="AI3829" s="352"/>
      <c r="AJ3829" s="352"/>
    </row>
    <row r="3830" spans="2:36">
      <c r="B3830" s="352"/>
      <c r="C3830" s="352"/>
      <c r="D3830" s="352"/>
      <c r="E3830" s="352"/>
      <c r="F3830" s="352"/>
      <c r="H3830" s="352"/>
      <c r="J3830" s="352"/>
      <c r="L3830" s="352"/>
      <c r="M3830" s="352"/>
      <c r="N3830" s="352"/>
      <c r="O3830" s="352"/>
      <c r="P3830" s="352"/>
      <c r="Q3830" s="352"/>
      <c r="R3830" s="352"/>
      <c r="S3830" s="352"/>
      <c r="T3830" s="352"/>
      <c r="U3830" s="352"/>
      <c r="V3830" s="352"/>
      <c r="W3830" s="352"/>
      <c r="X3830" s="352"/>
      <c r="Y3830" s="352"/>
      <c r="Z3830" s="352"/>
      <c r="AA3830" s="352"/>
      <c r="AB3830" s="352"/>
      <c r="AC3830" s="352"/>
      <c r="AD3830" s="352"/>
      <c r="AE3830" s="352"/>
      <c r="AF3830" s="352"/>
      <c r="AG3830" s="352"/>
      <c r="AH3830" s="352"/>
      <c r="AI3830" s="352"/>
      <c r="AJ3830" s="352"/>
    </row>
    <row r="3831" spans="2:36">
      <c r="B3831" s="352"/>
      <c r="C3831" s="352"/>
      <c r="D3831" s="352"/>
      <c r="E3831" s="352"/>
      <c r="F3831" s="352"/>
      <c r="H3831" s="352"/>
      <c r="J3831" s="352"/>
      <c r="L3831" s="352"/>
      <c r="M3831" s="352"/>
      <c r="N3831" s="352"/>
      <c r="O3831" s="352"/>
      <c r="P3831" s="352"/>
      <c r="Q3831" s="352"/>
      <c r="R3831" s="352"/>
      <c r="S3831" s="352"/>
      <c r="T3831" s="352"/>
      <c r="U3831" s="352"/>
      <c r="V3831" s="352"/>
      <c r="W3831" s="352"/>
      <c r="X3831" s="352"/>
      <c r="Y3831" s="352"/>
      <c r="Z3831" s="352"/>
      <c r="AA3831" s="352"/>
      <c r="AB3831" s="352"/>
      <c r="AC3831" s="352"/>
      <c r="AD3831" s="352"/>
      <c r="AE3831" s="352"/>
      <c r="AF3831" s="352"/>
      <c r="AG3831" s="352"/>
      <c r="AH3831" s="352"/>
      <c r="AI3831" s="352"/>
      <c r="AJ3831" s="352"/>
    </row>
    <row r="3832" spans="2:36">
      <c r="B3832" s="352"/>
      <c r="C3832" s="352"/>
      <c r="D3832" s="352"/>
      <c r="E3832" s="352"/>
      <c r="F3832" s="352"/>
      <c r="H3832" s="352"/>
      <c r="J3832" s="352"/>
      <c r="L3832" s="352"/>
      <c r="M3832" s="352"/>
      <c r="N3832" s="352"/>
      <c r="O3832" s="352"/>
      <c r="P3832" s="352"/>
      <c r="Q3832" s="352"/>
      <c r="R3832" s="352"/>
      <c r="S3832" s="352"/>
      <c r="T3832" s="352"/>
      <c r="U3832" s="352"/>
      <c r="V3832" s="352"/>
      <c r="W3832" s="352"/>
      <c r="X3832" s="352"/>
      <c r="Y3832" s="352"/>
      <c r="Z3832" s="352"/>
      <c r="AA3832" s="352"/>
      <c r="AB3832" s="352"/>
      <c r="AC3832" s="352"/>
      <c r="AD3832" s="352"/>
      <c r="AE3832" s="352"/>
      <c r="AF3832" s="352"/>
      <c r="AG3832" s="352"/>
      <c r="AH3832" s="352"/>
      <c r="AI3832" s="352"/>
      <c r="AJ3832" s="352"/>
    </row>
    <row r="3833" spans="2:36">
      <c r="B3833" s="352"/>
      <c r="C3833" s="352"/>
      <c r="D3833" s="352"/>
      <c r="E3833" s="352"/>
      <c r="F3833" s="352"/>
      <c r="H3833" s="352"/>
      <c r="J3833" s="352"/>
      <c r="L3833" s="352"/>
      <c r="M3833" s="352"/>
      <c r="N3833" s="352"/>
      <c r="O3833" s="352"/>
      <c r="P3833" s="352"/>
      <c r="Q3833" s="352"/>
      <c r="R3833" s="352"/>
      <c r="S3833" s="352"/>
      <c r="T3833" s="352"/>
      <c r="U3833" s="352"/>
      <c r="V3833" s="352"/>
      <c r="W3833" s="352"/>
      <c r="X3833" s="352"/>
      <c r="Y3833" s="352"/>
      <c r="Z3833" s="352"/>
      <c r="AA3833" s="352"/>
      <c r="AB3833" s="352"/>
      <c r="AC3833" s="352"/>
      <c r="AD3833" s="352"/>
      <c r="AE3833" s="352"/>
      <c r="AF3833" s="352"/>
      <c r="AG3833" s="352"/>
      <c r="AH3833" s="352"/>
      <c r="AI3833" s="352"/>
      <c r="AJ3833" s="352"/>
    </row>
    <row r="3834" spans="2:36">
      <c r="B3834" s="352"/>
      <c r="C3834" s="352"/>
      <c r="D3834" s="352"/>
      <c r="E3834" s="352"/>
      <c r="F3834" s="352"/>
      <c r="H3834" s="352"/>
      <c r="J3834" s="352"/>
      <c r="L3834" s="352"/>
      <c r="M3834" s="352"/>
      <c r="N3834" s="352"/>
      <c r="O3834" s="352"/>
      <c r="P3834" s="352"/>
      <c r="Q3834" s="352"/>
      <c r="R3834" s="352"/>
      <c r="S3834" s="352"/>
      <c r="T3834" s="352"/>
      <c r="U3834" s="352"/>
      <c r="V3834" s="352"/>
      <c r="W3834" s="352"/>
      <c r="X3834" s="352"/>
      <c r="Y3834" s="352"/>
      <c r="Z3834" s="352"/>
      <c r="AA3834" s="352"/>
      <c r="AB3834" s="352"/>
      <c r="AC3834" s="352"/>
      <c r="AD3834" s="352"/>
      <c r="AE3834" s="352"/>
      <c r="AF3834" s="352"/>
      <c r="AG3834" s="352"/>
      <c r="AH3834" s="352"/>
      <c r="AI3834" s="352"/>
      <c r="AJ3834" s="352"/>
    </row>
    <row r="3835" spans="2:36">
      <c r="B3835" s="352"/>
      <c r="C3835" s="352"/>
      <c r="D3835" s="352"/>
      <c r="E3835" s="352"/>
      <c r="F3835" s="352"/>
      <c r="H3835" s="352"/>
      <c r="J3835" s="352"/>
      <c r="L3835" s="352"/>
      <c r="M3835" s="352"/>
      <c r="N3835" s="352"/>
      <c r="O3835" s="352"/>
      <c r="P3835" s="352"/>
      <c r="Q3835" s="352"/>
      <c r="R3835" s="352"/>
      <c r="S3835" s="352"/>
      <c r="T3835" s="352"/>
      <c r="U3835" s="352"/>
      <c r="V3835" s="352"/>
      <c r="W3835" s="352"/>
      <c r="X3835" s="352"/>
      <c r="Y3835" s="352"/>
      <c r="Z3835" s="352"/>
      <c r="AA3835" s="352"/>
      <c r="AB3835" s="352"/>
      <c r="AC3835" s="352"/>
      <c r="AD3835" s="352"/>
      <c r="AE3835" s="352"/>
      <c r="AF3835" s="352"/>
      <c r="AG3835" s="352"/>
      <c r="AH3835" s="352"/>
      <c r="AI3835" s="352"/>
      <c r="AJ3835" s="352"/>
    </row>
    <row r="3836" spans="2:36">
      <c r="B3836" s="352"/>
      <c r="C3836" s="352"/>
      <c r="D3836" s="352"/>
      <c r="E3836" s="352"/>
      <c r="F3836" s="352"/>
      <c r="H3836" s="352"/>
      <c r="J3836" s="352"/>
      <c r="L3836" s="352"/>
      <c r="M3836" s="352"/>
      <c r="N3836" s="352"/>
      <c r="O3836" s="352"/>
      <c r="P3836" s="352"/>
      <c r="Q3836" s="352"/>
      <c r="R3836" s="352"/>
      <c r="S3836" s="352"/>
      <c r="T3836" s="352"/>
      <c r="U3836" s="352"/>
      <c r="V3836" s="352"/>
      <c r="W3836" s="352"/>
      <c r="X3836" s="352"/>
      <c r="Y3836" s="352"/>
      <c r="Z3836" s="352"/>
      <c r="AA3836" s="352"/>
      <c r="AB3836" s="352"/>
      <c r="AC3836" s="352"/>
      <c r="AD3836" s="352"/>
      <c r="AE3836" s="352"/>
      <c r="AF3836" s="352"/>
      <c r="AG3836" s="352"/>
      <c r="AH3836" s="352"/>
      <c r="AI3836" s="352"/>
      <c r="AJ3836" s="352"/>
    </row>
    <row r="3837" spans="2:36">
      <c r="B3837" s="352"/>
      <c r="C3837" s="352"/>
      <c r="D3837" s="352"/>
      <c r="E3837" s="352"/>
      <c r="F3837" s="352"/>
      <c r="H3837" s="352"/>
      <c r="J3837" s="352"/>
      <c r="L3837" s="352"/>
      <c r="M3837" s="352"/>
      <c r="N3837" s="352"/>
      <c r="O3837" s="352"/>
      <c r="P3837" s="352"/>
      <c r="Q3837" s="352"/>
      <c r="R3837" s="352"/>
      <c r="S3837" s="352"/>
      <c r="T3837" s="352"/>
      <c r="U3837" s="352"/>
      <c r="V3837" s="352"/>
      <c r="W3837" s="352"/>
      <c r="X3837" s="352"/>
      <c r="Y3837" s="352"/>
      <c r="Z3837" s="352"/>
      <c r="AA3837" s="352"/>
      <c r="AB3837" s="352"/>
      <c r="AC3837" s="352"/>
      <c r="AD3837" s="352"/>
      <c r="AE3837" s="352"/>
      <c r="AF3837" s="352"/>
      <c r="AG3837" s="352"/>
      <c r="AH3837" s="352"/>
      <c r="AI3837" s="352"/>
      <c r="AJ3837" s="352"/>
    </row>
    <row r="3838" spans="2:36">
      <c r="B3838" s="352"/>
      <c r="C3838" s="352"/>
      <c r="D3838" s="352"/>
      <c r="E3838" s="352"/>
      <c r="F3838" s="352"/>
      <c r="H3838" s="352"/>
      <c r="J3838" s="352"/>
      <c r="L3838" s="352"/>
      <c r="M3838" s="352"/>
      <c r="N3838" s="352"/>
      <c r="O3838" s="352"/>
      <c r="P3838" s="352"/>
      <c r="Q3838" s="352"/>
      <c r="R3838" s="352"/>
      <c r="S3838" s="352"/>
      <c r="T3838" s="352"/>
      <c r="U3838" s="352"/>
      <c r="V3838" s="352"/>
      <c r="W3838" s="352"/>
      <c r="X3838" s="352"/>
      <c r="Y3838" s="352"/>
      <c r="Z3838" s="352"/>
      <c r="AA3838" s="352"/>
      <c r="AB3838" s="352"/>
      <c r="AC3838" s="352"/>
      <c r="AD3838" s="352"/>
      <c r="AE3838" s="352"/>
      <c r="AF3838" s="352"/>
      <c r="AG3838" s="352"/>
      <c r="AH3838" s="352"/>
      <c r="AI3838" s="352"/>
      <c r="AJ3838" s="352"/>
    </row>
    <row r="3839" spans="2:36">
      <c r="B3839" s="352"/>
      <c r="C3839" s="352"/>
      <c r="D3839" s="352"/>
      <c r="E3839" s="352"/>
      <c r="F3839" s="352"/>
      <c r="H3839" s="352"/>
      <c r="J3839" s="352"/>
      <c r="L3839" s="352"/>
      <c r="M3839" s="352"/>
      <c r="N3839" s="352"/>
      <c r="O3839" s="352"/>
      <c r="P3839" s="352"/>
      <c r="Q3839" s="352"/>
      <c r="R3839" s="352"/>
      <c r="S3839" s="352"/>
      <c r="T3839" s="352"/>
      <c r="U3839" s="352"/>
      <c r="V3839" s="352"/>
      <c r="W3839" s="352"/>
      <c r="X3839" s="352"/>
      <c r="Y3839" s="352"/>
      <c r="Z3839" s="352"/>
      <c r="AA3839" s="352"/>
      <c r="AB3839" s="352"/>
      <c r="AC3839" s="352"/>
      <c r="AD3839" s="352"/>
      <c r="AE3839" s="352"/>
      <c r="AF3839" s="352"/>
      <c r="AG3839" s="352"/>
      <c r="AH3839" s="352"/>
      <c r="AI3839" s="352"/>
      <c r="AJ3839" s="352"/>
    </row>
    <row r="3840" spans="2:36">
      <c r="B3840" s="352"/>
      <c r="C3840" s="352"/>
      <c r="D3840" s="352"/>
      <c r="E3840" s="352"/>
      <c r="F3840" s="352"/>
      <c r="H3840" s="352"/>
      <c r="J3840" s="352"/>
      <c r="L3840" s="352"/>
      <c r="M3840" s="352"/>
      <c r="N3840" s="352"/>
      <c r="O3840" s="352"/>
      <c r="P3840" s="352"/>
      <c r="Q3840" s="352"/>
      <c r="R3840" s="352"/>
      <c r="S3840" s="352"/>
      <c r="T3840" s="352"/>
      <c r="U3840" s="352"/>
      <c r="V3840" s="352"/>
      <c r="W3840" s="352"/>
      <c r="X3840" s="352"/>
      <c r="Y3840" s="352"/>
      <c r="Z3840" s="352"/>
      <c r="AA3840" s="352"/>
      <c r="AB3840" s="352"/>
      <c r="AC3840" s="352"/>
      <c r="AD3840" s="352"/>
      <c r="AE3840" s="352"/>
      <c r="AF3840" s="352"/>
      <c r="AG3840" s="352"/>
      <c r="AH3840" s="352"/>
      <c r="AI3840" s="352"/>
      <c r="AJ3840" s="352"/>
    </row>
    <row r="3841" spans="2:36">
      <c r="B3841" s="352"/>
      <c r="C3841" s="352"/>
      <c r="D3841" s="352"/>
      <c r="E3841" s="352"/>
      <c r="F3841" s="352"/>
      <c r="H3841" s="352"/>
      <c r="J3841" s="352"/>
      <c r="L3841" s="352"/>
      <c r="M3841" s="352"/>
      <c r="N3841" s="352"/>
      <c r="O3841" s="352"/>
      <c r="P3841" s="352"/>
      <c r="Q3841" s="352"/>
      <c r="R3841" s="352"/>
      <c r="S3841" s="352"/>
      <c r="T3841" s="352"/>
      <c r="U3841" s="352"/>
      <c r="V3841" s="352"/>
      <c r="W3841" s="352"/>
      <c r="X3841" s="352"/>
      <c r="Y3841" s="352"/>
      <c r="Z3841" s="352"/>
      <c r="AA3841" s="352"/>
      <c r="AB3841" s="352"/>
      <c r="AC3841" s="352"/>
      <c r="AD3841" s="352"/>
      <c r="AE3841" s="352"/>
      <c r="AF3841" s="352"/>
      <c r="AG3841" s="352"/>
      <c r="AH3841" s="352"/>
      <c r="AI3841" s="352"/>
      <c r="AJ3841" s="352"/>
    </row>
    <row r="3842" spans="2:36">
      <c r="B3842" s="352"/>
      <c r="C3842" s="352"/>
      <c r="D3842" s="352"/>
      <c r="E3842" s="352"/>
      <c r="F3842" s="352"/>
      <c r="H3842" s="352"/>
      <c r="J3842" s="352"/>
      <c r="L3842" s="352"/>
      <c r="M3842" s="352"/>
      <c r="N3842" s="352"/>
      <c r="O3842" s="352"/>
      <c r="P3842" s="352"/>
      <c r="Q3842" s="352"/>
      <c r="R3842" s="352"/>
      <c r="S3842" s="352"/>
      <c r="T3842" s="352"/>
      <c r="U3842" s="352"/>
      <c r="V3842" s="352"/>
      <c r="W3842" s="352"/>
      <c r="X3842" s="352"/>
      <c r="Y3842" s="352"/>
      <c r="Z3842" s="352"/>
      <c r="AA3842" s="352"/>
      <c r="AB3842" s="352"/>
      <c r="AC3842" s="352"/>
      <c r="AD3842" s="352"/>
      <c r="AE3842" s="352"/>
      <c r="AF3842" s="352"/>
      <c r="AG3842" s="352"/>
      <c r="AH3842" s="352"/>
      <c r="AI3842" s="352"/>
      <c r="AJ3842" s="352"/>
    </row>
    <row r="3843" spans="2:36">
      <c r="B3843" s="352"/>
      <c r="C3843" s="352"/>
      <c r="D3843" s="352"/>
      <c r="E3843" s="352"/>
      <c r="F3843" s="352"/>
      <c r="H3843" s="352"/>
      <c r="J3843" s="352"/>
      <c r="L3843" s="352"/>
      <c r="M3843" s="352"/>
      <c r="N3843" s="352"/>
      <c r="O3843" s="352"/>
      <c r="P3843" s="352"/>
      <c r="Q3843" s="352"/>
      <c r="R3843" s="352"/>
      <c r="S3843" s="352"/>
      <c r="T3843" s="352"/>
      <c r="U3843" s="352"/>
      <c r="V3843" s="352"/>
      <c r="W3843" s="352"/>
      <c r="X3843" s="352"/>
      <c r="Y3843" s="352"/>
      <c r="Z3843" s="352"/>
      <c r="AA3843" s="352"/>
      <c r="AB3843" s="352"/>
      <c r="AC3843" s="352"/>
      <c r="AD3843" s="352"/>
      <c r="AE3843" s="352"/>
      <c r="AF3843" s="352"/>
      <c r="AG3843" s="352"/>
      <c r="AH3843" s="352"/>
      <c r="AI3843" s="352"/>
      <c r="AJ3843" s="352"/>
    </row>
    <row r="3844" spans="2:36">
      <c r="B3844" s="352"/>
      <c r="C3844" s="352"/>
      <c r="D3844" s="352"/>
      <c r="E3844" s="352"/>
      <c r="F3844" s="352"/>
      <c r="H3844" s="352"/>
      <c r="J3844" s="352"/>
      <c r="L3844" s="352"/>
      <c r="M3844" s="352"/>
      <c r="N3844" s="352"/>
      <c r="O3844" s="352"/>
      <c r="P3844" s="352"/>
      <c r="Q3844" s="352"/>
      <c r="R3844" s="352"/>
      <c r="S3844" s="352"/>
      <c r="T3844" s="352"/>
      <c r="U3844" s="352"/>
      <c r="V3844" s="352"/>
      <c r="W3844" s="352"/>
      <c r="X3844" s="352"/>
      <c r="Y3844" s="352"/>
      <c r="Z3844" s="352"/>
      <c r="AA3844" s="352"/>
      <c r="AB3844" s="352"/>
      <c r="AC3844" s="352"/>
      <c r="AD3844" s="352"/>
      <c r="AE3844" s="352"/>
      <c r="AF3844" s="352"/>
      <c r="AG3844" s="352"/>
      <c r="AH3844" s="352"/>
      <c r="AI3844" s="352"/>
      <c r="AJ3844" s="352"/>
    </row>
    <row r="3845" spans="2:36">
      <c r="B3845" s="352"/>
      <c r="C3845" s="352"/>
      <c r="D3845" s="352"/>
      <c r="E3845" s="352"/>
      <c r="F3845" s="352"/>
      <c r="H3845" s="352"/>
      <c r="J3845" s="352"/>
      <c r="L3845" s="352"/>
      <c r="M3845" s="352"/>
      <c r="N3845" s="352"/>
      <c r="O3845" s="352"/>
      <c r="P3845" s="352"/>
      <c r="Q3845" s="352"/>
      <c r="R3845" s="352"/>
      <c r="S3845" s="352"/>
      <c r="T3845" s="352"/>
      <c r="U3845" s="352"/>
      <c r="V3845" s="352"/>
      <c r="W3845" s="352"/>
      <c r="X3845" s="352"/>
      <c r="Y3845" s="352"/>
      <c r="Z3845" s="352"/>
      <c r="AA3845" s="352"/>
      <c r="AB3845" s="352"/>
      <c r="AC3845" s="352"/>
      <c r="AD3845" s="352"/>
      <c r="AE3845" s="352"/>
      <c r="AF3845" s="352"/>
      <c r="AG3845" s="352"/>
      <c r="AH3845" s="352"/>
      <c r="AI3845" s="352"/>
      <c r="AJ3845" s="352"/>
    </row>
    <row r="3846" spans="2:36">
      <c r="B3846" s="352"/>
      <c r="C3846" s="352"/>
      <c r="D3846" s="352"/>
      <c r="E3846" s="352"/>
      <c r="F3846" s="352"/>
      <c r="H3846" s="352"/>
      <c r="J3846" s="352"/>
      <c r="L3846" s="352"/>
      <c r="M3846" s="352"/>
      <c r="N3846" s="352"/>
      <c r="O3846" s="352"/>
      <c r="P3846" s="352"/>
      <c r="Q3846" s="352"/>
      <c r="R3846" s="352"/>
      <c r="S3846" s="352"/>
      <c r="T3846" s="352"/>
      <c r="U3846" s="352"/>
      <c r="V3846" s="352"/>
      <c r="W3846" s="352"/>
      <c r="X3846" s="352"/>
      <c r="Y3846" s="352"/>
      <c r="Z3846" s="352"/>
      <c r="AA3846" s="352"/>
      <c r="AB3846" s="352"/>
      <c r="AC3846" s="352"/>
      <c r="AD3846" s="352"/>
      <c r="AE3846" s="352"/>
      <c r="AF3846" s="352"/>
      <c r="AG3846" s="352"/>
      <c r="AH3846" s="352"/>
      <c r="AI3846" s="352"/>
      <c r="AJ3846" s="352"/>
    </row>
    <row r="3847" spans="2:36">
      <c r="B3847" s="352"/>
      <c r="C3847" s="352"/>
      <c r="D3847" s="352"/>
      <c r="E3847" s="352"/>
      <c r="F3847" s="352"/>
      <c r="H3847" s="352"/>
      <c r="J3847" s="352"/>
      <c r="L3847" s="352"/>
      <c r="M3847" s="352"/>
      <c r="N3847" s="352"/>
      <c r="O3847" s="352"/>
      <c r="P3847" s="352"/>
      <c r="Q3847" s="352"/>
      <c r="R3847" s="352"/>
      <c r="S3847" s="352"/>
      <c r="T3847" s="352"/>
      <c r="U3847" s="352"/>
      <c r="V3847" s="352"/>
      <c r="W3847" s="352"/>
      <c r="X3847" s="352"/>
      <c r="Y3847" s="352"/>
      <c r="Z3847" s="352"/>
      <c r="AA3847" s="352"/>
      <c r="AB3847" s="352"/>
      <c r="AC3847" s="352"/>
      <c r="AD3847" s="352"/>
      <c r="AE3847" s="352"/>
      <c r="AF3847" s="352"/>
      <c r="AG3847" s="352"/>
      <c r="AH3847" s="352"/>
      <c r="AI3847" s="352"/>
      <c r="AJ3847" s="352"/>
    </row>
    <row r="3848" spans="2:36">
      <c r="B3848" s="352"/>
      <c r="C3848" s="352"/>
      <c r="D3848" s="352"/>
      <c r="E3848" s="352"/>
      <c r="F3848" s="352"/>
      <c r="H3848" s="352"/>
      <c r="J3848" s="352"/>
      <c r="L3848" s="352"/>
      <c r="M3848" s="352"/>
      <c r="N3848" s="352"/>
      <c r="O3848" s="352"/>
      <c r="P3848" s="352"/>
      <c r="Q3848" s="352"/>
      <c r="R3848" s="352"/>
      <c r="S3848" s="352"/>
      <c r="T3848" s="352"/>
      <c r="U3848" s="352"/>
      <c r="V3848" s="352"/>
      <c r="W3848" s="352"/>
      <c r="X3848" s="352"/>
      <c r="Y3848" s="352"/>
      <c r="Z3848" s="352"/>
      <c r="AA3848" s="352"/>
      <c r="AB3848" s="352"/>
      <c r="AC3848" s="352"/>
      <c r="AD3848" s="352"/>
      <c r="AE3848" s="352"/>
      <c r="AF3848" s="352"/>
      <c r="AG3848" s="352"/>
      <c r="AH3848" s="352"/>
      <c r="AI3848" s="352"/>
      <c r="AJ3848" s="352"/>
    </row>
    <row r="3849" spans="2:36">
      <c r="B3849" s="352"/>
      <c r="C3849" s="352"/>
      <c r="D3849" s="352"/>
      <c r="E3849" s="352"/>
      <c r="F3849" s="352"/>
      <c r="H3849" s="352"/>
      <c r="J3849" s="352"/>
      <c r="L3849" s="352"/>
      <c r="M3849" s="352"/>
      <c r="N3849" s="352"/>
      <c r="O3849" s="352"/>
      <c r="P3849" s="352"/>
      <c r="Q3849" s="352"/>
      <c r="R3849" s="352"/>
      <c r="S3849" s="352"/>
      <c r="T3849" s="352"/>
      <c r="U3849" s="352"/>
      <c r="V3849" s="352"/>
      <c r="W3849" s="352"/>
      <c r="X3849" s="352"/>
      <c r="Y3849" s="352"/>
      <c r="Z3849" s="352"/>
      <c r="AA3849" s="352"/>
      <c r="AB3849" s="352"/>
      <c r="AC3849" s="352"/>
      <c r="AD3849" s="352"/>
      <c r="AE3849" s="352"/>
      <c r="AF3849" s="352"/>
      <c r="AG3849" s="352"/>
      <c r="AH3849" s="352"/>
      <c r="AI3849" s="352"/>
      <c r="AJ3849" s="352"/>
    </row>
    <row r="3850" spans="2:36">
      <c r="B3850" s="352"/>
      <c r="C3850" s="352"/>
      <c r="D3850" s="352"/>
      <c r="E3850" s="352"/>
      <c r="F3850" s="352"/>
      <c r="H3850" s="352"/>
      <c r="J3850" s="352"/>
      <c r="L3850" s="352"/>
      <c r="M3850" s="352"/>
      <c r="N3850" s="352"/>
      <c r="O3850" s="352"/>
      <c r="P3850" s="352"/>
      <c r="Q3850" s="352"/>
      <c r="R3850" s="352"/>
      <c r="S3850" s="352"/>
      <c r="T3850" s="352"/>
      <c r="U3850" s="352"/>
      <c r="V3850" s="352"/>
      <c r="W3850" s="352"/>
      <c r="X3850" s="352"/>
      <c r="Y3850" s="352"/>
      <c r="Z3850" s="352"/>
      <c r="AA3850" s="352"/>
      <c r="AB3850" s="352"/>
      <c r="AC3850" s="352"/>
      <c r="AD3850" s="352"/>
      <c r="AE3850" s="352"/>
      <c r="AF3850" s="352"/>
      <c r="AG3850" s="352"/>
      <c r="AH3850" s="352"/>
      <c r="AI3850" s="352"/>
      <c r="AJ3850" s="352"/>
    </row>
    <row r="3851" spans="2:36">
      <c r="B3851" s="352"/>
      <c r="C3851" s="352"/>
      <c r="D3851" s="352"/>
      <c r="E3851" s="352"/>
      <c r="F3851" s="352"/>
      <c r="H3851" s="352"/>
      <c r="J3851" s="352"/>
      <c r="L3851" s="352"/>
      <c r="M3851" s="352"/>
      <c r="N3851" s="352"/>
      <c r="O3851" s="352"/>
      <c r="P3851" s="352"/>
      <c r="Q3851" s="352"/>
      <c r="R3851" s="352"/>
      <c r="S3851" s="352"/>
      <c r="T3851" s="352"/>
      <c r="U3851" s="352"/>
      <c r="V3851" s="352"/>
      <c r="W3851" s="352"/>
      <c r="X3851" s="352"/>
      <c r="Y3851" s="352"/>
      <c r="Z3851" s="352"/>
      <c r="AA3851" s="352"/>
      <c r="AB3851" s="352"/>
      <c r="AC3851" s="352"/>
      <c r="AD3851" s="352"/>
      <c r="AE3851" s="352"/>
      <c r="AF3851" s="352"/>
      <c r="AG3851" s="352"/>
      <c r="AH3851" s="352"/>
      <c r="AI3851" s="352"/>
      <c r="AJ3851" s="352"/>
    </row>
    <row r="3852" spans="2:36">
      <c r="B3852" s="352"/>
      <c r="C3852" s="352"/>
      <c r="D3852" s="352"/>
      <c r="E3852" s="352"/>
      <c r="F3852" s="352"/>
      <c r="H3852" s="352"/>
      <c r="J3852" s="352"/>
      <c r="L3852" s="352"/>
      <c r="M3852" s="352"/>
      <c r="N3852" s="352"/>
      <c r="O3852" s="352"/>
      <c r="P3852" s="352"/>
      <c r="Q3852" s="352"/>
      <c r="R3852" s="352"/>
      <c r="S3852" s="352"/>
      <c r="T3852" s="352"/>
      <c r="U3852" s="352"/>
      <c r="V3852" s="352"/>
      <c r="W3852" s="352"/>
      <c r="X3852" s="352"/>
      <c r="Y3852" s="352"/>
      <c r="Z3852" s="352"/>
      <c r="AA3852" s="352"/>
      <c r="AB3852" s="352"/>
      <c r="AC3852" s="352"/>
      <c r="AD3852" s="352"/>
      <c r="AE3852" s="352"/>
      <c r="AF3852" s="352"/>
      <c r="AG3852" s="352"/>
      <c r="AH3852" s="352"/>
      <c r="AI3852" s="352"/>
      <c r="AJ3852" s="352"/>
    </row>
    <row r="3853" spans="2:36">
      <c r="B3853" s="352"/>
      <c r="C3853" s="352"/>
      <c r="D3853" s="352"/>
      <c r="E3853" s="352"/>
      <c r="F3853" s="352"/>
      <c r="H3853" s="352"/>
      <c r="J3853" s="352"/>
      <c r="L3853" s="352"/>
      <c r="M3853" s="352"/>
      <c r="N3853" s="352"/>
      <c r="O3853" s="352"/>
      <c r="P3853" s="352"/>
      <c r="Q3853" s="352"/>
      <c r="R3853" s="352"/>
      <c r="S3853" s="352"/>
      <c r="T3853" s="352"/>
      <c r="U3853" s="352"/>
      <c r="V3853" s="352"/>
      <c r="W3853" s="352"/>
      <c r="X3853" s="352"/>
      <c r="Y3853" s="352"/>
      <c r="Z3853" s="352"/>
      <c r="AA3853" s="352"/>
      <c r="AB3853" s="352"/>
      <c r="AC3853" s="352"/>
      <c r="AD3853" s="352"/>
      <c r="AE3853" s="352"/>
      <c r="AF3853" s="352"/>
      <c r="AG3853" s="352"/>
      <c r="AH3853" s="352"/>
      <c r="AI3853" s="352"/>
      <c r="AJ3853" s="352"/>
    </row>
    <row r="3854" spans="2:36">
      <c r="B3854" s="352"/>
      <c r="C3854" s="352"/>
      <c r="D3854" s="352"/>
      <c r="E3854" s="352"/>
      <c r="F3854" s="352"/>
      <c r="H3854" s="352"/>
      <c r="J3854" s="352"/>
      <c r="L3854" s="352"/>
      <c r="M3854" s="352"/>
      <c r="N3854" s="352"/>
      <c r="O3854" s="352"/>
      <c r="P3854" s="352"/>
      <c r="Q3854" s="352"/>
      <c r="R3854" s="352"/>
      <c r="S3854" s="352"/>
      <c r="T3854" s="352"/>
      <c r="U3854" s="352"/>
      <c r="V3854" s="352"/>
      <c r="W3854" s="352"/>
      <c r="X3854" s="352"/>
      <c r="Y3854" s="352"/>
      <c r="Z3854" s="352"/>
      <c r="AA3854" s="352"/>
      <c r="AB3854" s="352"/>
      <c r="AC3854" s="352"/>
      <c r="AD3854" s="352"/>
      <c r="AE3854" s="352"/>
      <c r="AF3854" s="352"/>
      <c r="AG3854" s="352"/>
      <c r="AH3854" s="352"/>
      <c r="AI3854" s="352"/>
      <c r="AJ3854" s="352"/>
    </row>
    <row r="3855" spans="2:36">
      <c r="B3855" s="352"/>
      <c r="C3855" s="352"/>
      <c r="D3855" s="352"/>
      <c r="E3855" s="352"/>
      <c r="F3855" s="352"/>
      <c r="H3855" s="352"/>
      <c r="J3855" s="352"/>
      <c r="L3855" s="352"/>
      <c r="M3855" s="352"/>
      <c r="N3855" s="352"/>
      <c r="O3855" s="352"/>
      <c r="P3855" s="352"/>
      <c r="Q3855" s="352"/>
      <c r="R3855" s="352"/>
      <c r="S3855" s="352"/>
      <c r="T3855" s="352"/>
      <c r="U3855" s="352"/>
      <c r="V3855" s="352"/>
      <c r="W3855" s="352"/>
      <c r="X3855" s="352"/>
      <c r="Y3855" s="352"/>
      <c r="Z3855" s="352"/>
      <c r="AA3855" s="352"/>
      <c r="AB3855" s="352"/>
      <c r="AC3855" s="352"/>
      <c r="AD3855" s="352"/>
      <c r="AE3855" s="352"/>
      <c r="AF3855" s="352"/>
      <c r="AG3855" s="352"/>
      <c r="AH3855" s="352"/>
      <c r="AI3855" s="352"/>
      <c r="AJ3855" s="352"/>
    </row>
    <row r="3856" spans="2:36">
      <c r="B3856" s="352"/>
      <c r="C3856" s="352"/>
      <c r="D3856" s="352"/>
      <c r="E3856" s="352"/>
      <c r="F3856" s="352"/>
      <c r="H3856" s="352"/>
      <c r="J3856" s="352"/>
      <c r="L3856" s="352"/>
      <c r="M3856" s="352"/>
      <c r="N3856" s="352"/>
      <c r="O3856" s="352"/>
      <c r="P3856" s="352"/>
      <c r="Q3856" s="352"/>
      <c r="R3856" s="352"/>
      <c r="S3856" s="352"/>
      <c r="T3856" s="352"/>
      <c r="U3856" s="352"/>
      <c r="V3856" s="352"/>
      <c r="W3856" s="352"/>
      <c r="X3856" s="352"/>
      <c r="Y3856" s="352"/>
      <c r="Z3856" s="352"/>
      <c r="AA3856" s="352"/>
      <c r="AB3856" s="352"/>
      <c r="AC3856" s="352"/>
      <c r="AD3856" s="352"/>
      <c r="AE3856" s="352"/>
      <c r="AF3856" s="352"/>
      <c r="AG3856" s="352"/>
      <c r="AH3856" s="352"/>
      <c r="AI3856" s="352"/>
      <c r="AJ3856" s="352"/>
    </row>
    <row r="3857" spans="2:36">
      <c r="B3857" s="352"/>
      <c r="C3857" s="352"/>
      <c r="D3857" s="352"/>
      <c r="E3857" s="352"/>
      <c r="F3857" s="352"/>
      <c r="H3857" s="352"/>
      <c r="J3857" s="352"/>
      <c r="L3857" s="352"/>
      <c r="M3857" s="352"/>
      <c r="N3857" s="352"/>
      <c r="O3857" s="352"/>
      <c r="P3857" s="352"/>
      <c r="Q3857" s="352"/>
      <c r="R3857" s="352"/>
      <c r="S3857" s="352"/>
      <c r="T3857" s="352"/>
      <c r="U3857" s="352"/>
      <c r="V3857" s="352"/>
      <c r="W3857" s="352"/>
      <c r="X3857" s="352"/>
      <c r="Y3857" s="352"/>
      <c r="Z3857" s="352"/>
      <c r="AA3857" s="352"/>
      <c r="AB3857" s="352"/>
      <c r="AC3857" s="352"/>
      <c r="AD3857" s="352"/>
      <c r="AE3857" s="352"/>
      <c r="AF3857" s="352"/>
      <c r="AG3857" s="352"/>
      <c r="AH3857" s="352"/>
      <c r="AI3857" s="352"/>
      <c r="AJ3857" s="352"/>
    </row>
    <row r="3858" spans="2:36">
      <c r="B3858" s="352"/>
      <c r="C3858" s="352"/>
      <c r="D3858" s="352"/>
      <c r="E3858" s="352"/>
      <c r="F3858" s="352"/>
      <c r="H3858" s="352"/>
      <c r="J3858" s="352"/>
      <c r="L3858" s="352"/>
      <c r="M3858" s="352"/>
      <c r="N3858" s="352"/>
      <c r="O3858" s="352"/>
      <c r="P3858" s="352"/>
      <c r="Q3858" s="352"/>
      <c r="R3858" s="352"/>
      <c r="S3858" s="352"/>
      <c r="T3858" s="352"/>
      <c r="U3858" s="352"/>
      <c r="V3858" s="352"/>
      <c r="W3858" s="352"/>
      <c r="X3858" s="352"/>
      <c r="Y3858" s="352"/>
      <c r="Z3858" s="352"/>
      <c r="AA3858" s="352"/>
      <c r="AB3858" s="352"/>
      <c r="AC3858" s="352"/>
      <c r="AD3858" s="352"/>
      <c r="AE3858" s="352"/>
      <c r="AF3858" s="352"/>
      <c r="AG3858" s="352"/>
      <c r="AH3858" s="352"/>
      <c r="AI3858" s="352"/>
      <c r="AJ3858" s="352"/>
    </row>
    <row r="3859" spans="2:36">
      <c r="B3859" s="352"/>
      <c r="C3859" s="352"/>
      <c r="D3859" s="352"/>
      <c r="E3859" s="352"/>
      <c r="F3859" s="352"/>
      <c r="H3859" s="352"/>
      <c r="J3859" s="352"/>
      <c r="L3859" s="352"/>
      <c r="M3859" s="352"/>
      <c r="N3859" s="352"/>
      <c r="O3859" s="352"/>
      <c r="P3859" s="352"/>
      <c r="Q3859" s="352"/>
      <c r="R3859" s="352"/>
      <c r="S3859" s="352"/>
      <c r="T3859" s="352"/>
      <c r="U3859" s="352"/>
      <c r="V3859" s="352"/>
      <c r="W3859" s="352"/>
      <c r="X3859" s="352"/>
      <c r="Y3859" s="352"/>
      <c r="Z3859" s="352"/>
      <c r="AA3859" s="352"/>
      <c r="AB3859" s="352"/>
      <c r="AC3859" s="352"/>
      <c r="AD3859" s="352"/>
      <c r="AE3859" s="352"/>
      <c r="AF3859" s="352"/>
      <c r="AG3859" s="352"/>
      <c r="AH3859" s="352"/>
      <c r="AI3859" s="352"/>
      <c r="AJ3859" s="352"/>
    </row>
    <row r="3860" spans="2:36">
      <c r="B3860" s="352"/>
      <c r="C3860" s="352"/>
      <c r="D3860" s="352"/>
      <c r="E3860" s="352"/>
      <c r="F3860" s="352"/>
      <c r="H3860" s="352"/>
      <c r="J3860" s="352"/>
      <c r="L3860" s="352"/>
      <c r="M3860" s="352"/>
      <c r="N3860" s="352"/>
      <c r="O3860" s="352"/>
      <c r="P3860" s="352"/>
      <c r="Q3860" s="352"/>
      <c r="R3860" s="352"/>
      <c r="S3860" s="352"/>
      <c r="T3860" s="352"/>
      <c r="U3860" s="352"/>
      <c r="V3860" s="352"/>
      <c r="W3860" s="352"/>
      <c r="X3860" s="352"/>
      <c r="Y3860" s="352"/>
      <c r="Z3860" s="352"/>
      <c r="AA3860" s="352"/>
      <c r="AB3860" s="352"/>
      <c r="AC3860" s="352"/>
      <c r="AD3860" s="352"/>
      <c r="AE3860" s="352"/>
      <c r="AF3860" s="352"/>
      <c r="AG3860" s="352"/>
      <c r="AH3860" s="352"/>
      <c r="AI3860" s="352"/>
      <c r="AJ3860" s="352"/>
    </row>
    <row r="3861" spans="2:36">
      <c r="B3861" s="352"/>
      <c r="C3861" s="352"/>
      <c r="D3861" s="352"/>
      <c r="E3861" s="352"/>
      <c r="F3861" s="352"/>
      <c r="H3861" s="352"/>
      <c r="J3861" s="352"/>
      <c r="L3861" s="352"/>
      <c r="M3861" s="352"/>
      <c r="N3861" s="352"/>
      <c r="O3861" s="352"/>
      <c r="P3861" s="352"/>
      <c r="Q3861" s="352"/>
      <c r="R3861" s="352"/>
      <c r="S3861" s="352"/>
      <c r="T3861" s="352"/>
      <c r="U3861" s="352"/>
      <c r="V3861" s="352"/>
      <c r="W3861" s="352"/>
      <c r="X3861" s="352"/>
      <c r="Y3861" s="352"/>
      <c r="Z3861" s="352"/>
      <c r="AA3861" s="352"/>
      <c r="AB3861" s="352"/>
      <c r="AC3861" s="352"/>
      <c r="AD3861" s="352"/>
      <c r="AE3861" s="352"/>
      <c r="AF3861" s="352"/>
      <c r="AG3861" s="352"/>
      <c r="AH3861" s="352"/>
      <c r="AI3861" s="352"/>
      <c r="AJ3861" s="352"/>
    </row>
    <row r="3862" spans="2:36">
      <c r="B3862" s="352"/>
      <c r="C3862" s="352"/>
      <c r="D3862" s="352"/>
      <c r="E3862" s="352"/>
      <c r="F3862" s="352"/>
      <c r="H3862" s="352"/>
      <c r="J3862" s="352"/>
      <c r="L3862" s="352"/>
      <c r="M3862" s="352"/>
      <c r="N3862" s="352"/>
      <c r="O3862" s="352"/>
      <c r="P3862" s="352"/>
      <c r="Q3862" s="352"/>
      <c r="R3862" s="352"/>
      <c r="S3862" s="352"/>
      <c r="T3862" s="352"/>
      <c r="U3862" s="352"/>
      <c r="V3862" s="352"/>
      <c r="W3862" s="352"/>
      <c r="X3862" s="352"/>
      <c r="Y3862" s="352"/>
      <c r="Z3862" s="352"/>
      <c r="AA3862" s="352"/>
      <c r="AB3862" s="352"/>
      <c r="AC3862" s="352"/>
      <c r="AD3862" s="352"/>
      <c r="AE3862" s="352"/>
      <c r="AF3862" s="352"/>
      <c r="AG3862" s="352"/>
      <c r="AH3862" s="352"/>
      <c r="AI3862" s="352"/>
      <c r="AJ3862" s="352"/>
    </row>
    <row r="3863" spans="2:36">
      <c r="B3863" s="352"/>
      <c r="C3863" s="352"/>
      <c r="D3863" s="352"/>
      <c r="E3863" s="352"/>
      <c r="F3863" s="352"/>
      <c r="H3863" s="352"/>
      <c r="J3863" s="352"/>
      <c r="L3863" s="352"/>
      <c r="M3863" s="352"/>
      <c r="N3863" s="352"/>
      <c r="O3863" s="352"/>
      <c r="P3863" s="352"/>
      <c r="Q3863" s="352"/>
      <c r="R3863" s="352"/>
      <c r="S3863" s="352"/>
      <c r="T3863" s="352"/>
      <c r="U3863" s="352"/>
      <c r="V3863" s="352"/>
      <c r="W3863" s="352"/>
      <c r="X3863" s="352"/>
      <c r="Y3863" s="352"/>
      <c r="Z3863" s="352"/>
      <c r="AA3863" s="352"/>
      <c r="AB3863" s="352"/>
      <c r="AC3863" s="352"/>
      <c r="AD3863" s="352"/>
      <c r="AE3863" s="352"/>
      <c r="AF3863" s="352"/>
      <c r="AG3863" s="352"/>
      <c r="AH3863" s="352"/>
      <c r="AI3863" s="352"/>
      <c r="AJ3863" s="352"/>
    </row>
    <row r="3864" spans="2:36">
      <c r="B3864" s="352"/>
      <c r="C3864" s="352"/>
      <c r="D3864" s="352"/>
      <c r="E3864" s="352"/>
      <c r="F3864" s="352"/>
      <c r="H3864" s="352"/>
      <c r="J3864" s="352"/>
      <c r="L3864" s="352"/>
      <c r="M3864" s="352"/>
      <c r="N3864" s="352"/>
      <c r="O3864" s="352"/>
      <c r="P3864" s="352"/>
      <c r="Q3864" s="352"/>
      <c r="R3864" s="352"/>
      <c r="S3864" s="352"/>
      <c r="T3864" s="352"/>
      <c r="U3864" s="352"/>
      <c r="V3864" s="352"/>
      <c r="W3864" s="352"/>
      <c r="X3864" s="352"/>
      <c r="Y3864" s="352"/>
      <c r="Z3864" s="352"/>
      <c r="AA3864" s="352"/>
      <c r="AB3864" s="352"/>
      <c r="AC3864" s="352"/>
      <c r="AD3864" s="352"/>
      <c r="AE3864" s="352"/>
      <c r="AF3864" s="352"/>
      <c r="AG3864" s="352"/>
      <c r="AH3864" s="352"/>
      <c r="AI3864" s="352"/>
      <c r="AJ3864" s="352"/>
    </row>
    <row r="3865" spans="2:36">
      <c r="B3865" s="352"/>
      <c r="C3865" s="352"/>
      <c r="D3865" s="352"/>
      <c r="E3865" s="352"/>
      <c r="F3865" s="352"/>
      <c r="H3865" s="352"/>
      <c r="J3865" s="352"/>
      <c r="L3865" s="352"/>
      <c r="M3865" s="352"/>
      <c r="N3865" s="352"/>
      <c r="O3865" s="352"/>
      <c r="P3865" s="352"/>
      <c r="Q3865" s="352"/>
      <c r="R3865" s="352"/>
      <c r="S3865" s="352"/>
      <c r="T3865" s="352"/>
      <c r="U3865" s="352"/>
      <c r="V3865" s="352"/>
      <c r="W3865" s="352"/>
      <c r="X3865" s="352"/>
      <c r="Y3865" s="352"/>
      <c r="Z3865" s="352"/>
      <c r="AA3865" s="352"/>
      <c r="AB3865" s="352"/>
      <c r="AC3865" s="352"/>
      <c r="AD3865" s="352"/>
      <c r="AE3865" s="352"/>
      <c r="AF3865" s="352"/>
      <c r="AG3865" s="352"/>
      <c r="AH3865" s="352"/>
      <c r="AI3865" s="352"/>
      <c r="AJ3865" s="352"/>
    </row>
    <row r="3866" spans="2:36">
      <c r="B3866" s="352"/>
      <c r="C3866" s="352"/>
      <c r="D3866" s="352"/>
      <c r="E3866" s="352"/>
      <c r="F3866" s="352"/>
      <c r="H3866" s="352"/>
      <c r="J3866" s="352"/>
      <c r="L3866" s="352"/>
      <c r="M3866" s="352"/>
      <c r="N3866" s="352"/>
      <c r="O3866" s="352"/>
      <c r="P3866" s="352"/>
      <c r="Q3866" s="352"/>
      <c r="R3866" s="352"/>
      <c r="S3866" s="352"/>
      <c r="T3866" s="352"/>
      <c r="U3866" s="352"/>
      <c r="V3866" s="352"/>
      <c r="W3866" s="352"/>
      <c r="X3866" s="352"/>
      <c r="Y3866" s="352"/>
      <c r="Z3866" s="352"/>
      <c r="AA3866" s="352"/>
      <c r="AB3866" s="352"/>
      <c r="AC3866" s="352"/>
      <c r="AD3866" s="352"/>
      <c r="AE3866" s="352"/>
      <c r="AF3866" s="352"/>
      <c r="AG3866" s="352"/>
      <c r="AH3866" s="352"/>
      <c r="AI3866" s="352"/>
      <c r="AJ3866" s="352"/>
    </row>
    <row r="3867" spans="2:36">
      <c r="B3867" s="352"/>
      <c r="C3867" s="352"/>
      <c r="D3867" s="352"/>
      <c r="E3867" s="352"/>
      <c r="F3867" s="352"/>
      <c r="H3867" s="352"/>
      <c r="J3867" s="352"/>
      <c r="L3867" s="352"/>
      <c r="M3867" s="352"/>
      <c r="N3867" s="352"/>
      <c r="O3867" s="352"/>
      <c r="P3867" s="352"/>
      <c r="Q3867" s="352"/>
      <c r="R3867" s="352"/>
      <c r="S3867" s="352"/>
      <c r="T3867" s="352"/>
      <c r="U3867" s="352"/>
      <c r="V3867" s="352"/>
      <c r="W3867" s="352"/>
      <c r="X3867" s="352"/>
      <c r="Y3867" s="352"/>
      <c r="Z3867" s="352"/>
      <c r="AA3867" s="352"/>
      <c r="AB3867" s="352"/>
      <c r="AC3867" s="352"/>
      <c r="AD3867" s="352"/>
      <c r="AE3867" s="352"/>
      <c r="AF3867" s="352"/>
      <c r="AG3867" s="352"/>
      <c r="AH3867" s="352"/>
      <c r="AI3867" s="352"/>
      <c r="AJ3867" s="352"/>
    </row>
    <row r="3868" spans="2:36">
      <c r="B3868" s="352"/>
      <c r="C3868" s="352"/>
      <c r="D3868" s="352"/>
      <c r="E3868" s="352"/>
      <c r="F3868" s="352"/>
      <c r="H3868" s="352"/>
      <c r="J3868" s="352"/>
      <c r="L3868" s="352"/>
      <c r="M3868" s="352"/>
      <c r="N3868" s="352"/>
      <c r="O3868" s="352"/>
      <c r="P3868" s="352"/>
      <c r="Q3868" s="352"/>
      <c r="R3868" s="352"/>
      <c r="S3868" s="352"/>
      <c r="T3868" s="352"/>
      <c r="U3868" s="352"/>
      <c r="V3868" s="352"/>
      <c r="W3868" s="352"/>
      <c r="X3868" s="352"/>
      <c r="Y3868" s="352"/>
      <c r="Z3868" s="352"/>
      <c r="AA3868" s="352"/>
      <c r="AB3868" s="352"/>
      <c r="AC3868" s="352"/>
      <c r="AD3868" s="352"/>
      <c r="AE3868" s="352"/>
      <c r="AF3868" s="352"/>
      <c r="AG3868" s="352"/>
      <c r="AH3868" s="352"/>
      <c r="AI3868" s="352"/>
      <c r="AJ3868" s="352"/>
    </row>
    <row r="3869" spans="2:36">
      <c r="B3869" s="352"/>
      <c r="C3869" s="352"/>
      <c r="D3869" s="352"/>
      <c r="E3869" s="352"/>
      <c r="F3869" s="352"/>
      <c r="H3869" s="352"/>
      <c r="J3869" s="352"/>
      <c r="L3869" s="352"/>
      <c r="M3869" s="352"/>
      <c r="N3869" s="352"/>
      <c r="O3869" s="352"/>
      <c r="P3869" s="352"/>
      <c r="Q3869" s="352"/>
      <c r="R3869" s="352"/>
      <c r="S3869" s="352"/>
      <c r="T3869" s="352"/>
      <c r="U3869" s="352"/>
      <c r="V3869" s="352"/>
      <c r="W3869" s="352"/>
      <c r="X3869" s="352"/>
      <c r="Y3869" s="352"/>
      <c r="Z3869" s="352"/>
      <c r="AA3869" s="352"/>
      <c r="AB3869" s="352"/>
      <c r="AC3869" s="352"/>
      <c r="AD3869" s="352"/>
      <c r="AE3869" s="352"/>
      <c r="AF3869" s="352"/>
      <c r="AG3869" s="352"/>
      <c r="AH3869" s="352"/>
      <c r="AI3869" s="352"/>
      <c r="AJ3869" s="352"/>
    </row>
    <row r="3870" spans="2:36">
      <c r="B3870" s="352"/>
      <c r="C3870" s="352"/>
      <c r="D3870" s="352"/>
      <c r="E3870" s="352"/>
      <c r="F3870" s="352"/>
      <c r="H3870" s="352"/>
      <c r="J3870" s="352"/>
      <c r="L3870" s="352"/>
      <c r="M3870" s="352"/>
      <c r="N3870" s="352"/>
      <c r="O3870" s="352"/>
      <c r="P3870" s="352"/>
      <c r="Q3870" s="352"/>
      <c r="R3870" s="352"/>
      <c r="S3870" s="352"/>
      <c r="T3870" s="352"/>
      <c r="U3870" s="352"/>
      <c r="V3870" s="352"/>
      <c r="W3870" s="352"/>
      <c r="X3870" s="352"/>
      <c r="Y3870" s="352"/>
      <c r="Z3870" s="352"/>
      <c r="AA3870" s="352"/>
      <c r="AB3870" s="352"/>
      <c r="AC3870" s="352"/>
      <c r="AD3870" s="352"/>
      <c r="AE3870" s="352"/>
      <c r="AF3870" s="352"/>
      <c r="AG3870" s="352"/>
      <c r="AH3870" s="352"/>
      <c r="AI3870" s="352"/>
      <c r="AJ3870" s="352"/>
    </row>
    <row r="3871" spans="2:36">
      <c r="B3871" s="352"/>
      <c r="C3871" s="352"/>
      <c r="D3871" s="352"/>
      <c r="E3871" s="352"/>
      <c r="F3871" s="352"/>
      <c r="H3871" s="352"/>
      <c r="J3871" s="352"/>
      <c r="L3871" s="352"/>
      <c r="M3871" s="352"/>
      <c r="N3871" s="352"/>
      <c r="O3871" s="352"/>
      <c r="P3871" s="352"/>
      <c r="Q3871" s="352"/>
      <c r="R3871" s="352"/>
      <c r="S3871" s="352"/>
      <c r="T3871" s="352"/>
      <c r="U3871" s="352"/>
      <c r="V3871" s="352"/>
      <c r="W3871" s="352"/>
      <c r="X3871" s="352"/>
      <c r="Y3871" s="352"/>
      <c r="Z3871" s="352"/>
      <c r="AA3871" s="352"/>
      <c r="AB3871" s="352"/>
      <c r="AC3871" s="352"/>
      <c r="AD3871" s="352"/>
      <c r="AE3871" s="352"/>
      <c r="AF3871" s="352"/>
      <c r="AG3871" s="352"/>
      <c r="AH3871" s="352"/>
      <c r="AI3871" s="352"/>
      <c r="AJ3871" s="352"/>
    </row>
    <row r="3872" spans="2:36">
      <c r="B3872" s="352"/>
      <c r="C3872" s="352"/>
      <c r="D3872" s="352"/>
      <c r="E3872" s="352"/>
      <c r="F3872" s="352"/>
      <c r="H3872" s="352"/>
      <c r="J3872" s="352"/>
      <c r="L3872" s="352"/>
      <c r="M3872" s="352"/>
      <c r="N3872" s="352"/>
      <c r="O3872" s="352"/>
      <c r="P3872" s="352"/>
      <c r="Q3872" s="352"/>
      <c r="R3872" s="352"/>
      <c r="S3872" s="352"/>
      <c r="T3872" s="352"/>
      <c r="U3872" s="352"/>
      <c r="V3872" s="352"/>
      <c r="W3872" s="352"/>
      <c r="X3872" s="352"/>
      <c r="Y3872" s="352"/>
      <c r="Z3872" s="352"/>
      <c r="AA3872" s="352"/>
      <c r="AB3872" s="352"/>
      <c r="AC3872" s="352"/>
      <c r="AD3872" s="352"/>
      <c r="AE3872" s="352"/>
      <c r="AF3872" s="352"/>
      <c r="AG3872" s="352"/>
      <c r="AH3872" s="352"/>
      <c r="AI3872" s="352"/>
      <c r="AJ3872" s="352"/>
    </row>
    <row r="3873" spans="2:36">
      <c r="B3873" s="352"/>
      <c r="C3873" s="352"/>
      <c r="D3873" s="352"/>
      <c r="E3873" s="352"/>
      <c r="F3873" s="352"/>
      <c r="H3873" s="352"/>
      <c r="J3873" s="352"/>
      <c r="L3873" s="352"/>
      <c r="M3873" s="352"/>
      <c r="N3873" s="352"/>
      <c r="O3873" s="352"/>
      <c r="P3873" s="352"/>
      <c r="Q3873" s="352"/>
      <c r="R3873" s="352"/>
      <c r="S3873" s="352"/>
      <c r="T3873" s="352"/>
      <c r="U3873" s="352"/>
      <c r="V3873" s="352"/>
      <c r="W3873" s="352"/>
      <c r="X3873" s="352"/>
      <c r="Y3873" s="352"/>
      <c r="Z3873" s="352"/>
      <c r="AA3873" s="352"/>
      <c r="AB3873" s="352"/>
      <c r="AC3873" s="352"/>
      <c r="AD3873" s="352"/>
      <c r="AE3873" s="352"/>
      <c r="AF3873" s="352"/>
      <c r="AG3873" s="352"/>
      <c r="AH3873" s="352"/>
      <c r="AI3873" s="352"/>
      <c r="AJ3873" s="352"/>
    </row>
    <row r="3874" spans="2:36">
      <c r="B3874" s="352"/>
      <c r="C3874" s="352"/>
      <c r="D3874" s="352"/>
      <c r="E3874" s="352"/>
      <c r="F3874" s="352"/>
      <c r="H3874" s="352"/>
      <c r="J3874" s="352"/>
      <c r="L3874" s="352"/>
      <c r="M3874" s="352"/>
      <c r="N3874" s="352"/>
      <c r="O3874" s="352"/>
      <c r="P3874" s="352"/>
      <c r="Q3874" s="352"/>
      <c r="R3874" s="352"/>
      <c r="S3874" s="352"/>
      <c r="T3874" s="352"/>
      <c r="U3874" s="352"/>
      <c r="V3874" s="352"/>
      <c r="W3874" s="352"/>
      <c r="X3874" s="352"/>
      <c r="Y3874" s="352"/>
      <c r="Z3874" s="352"/>
      <c r="AA3874" s="352"/>
      <c r="AB3874" s="352"/>
      <c r="AC3874" s="352"/>
      <c r="AD3874" s="352"/>
      <c r="AE3874" s="352"/>
      <c r="AF3874" s="352"/>
      <c r="AG3874" s="352"/>
      <c r="AH3874" s="352"/>
      <c r="AI3874" s="352"/>
      <c r="AJ3874" s="352"/>
    </row>
    <row r="3875" spans="2:36">
      <c r="B3875" s="352"/>
      <c r="C3875" s="352"/>
      <c r="D3875" s="352"/>
      <c r="E3875" s="352"/>
      <c r="F3875" s="352"/>
      <c r="H3875" s="352"/>
      <c r="J3875" s="352"/>
      <c r="L3875" s="352"/>
      <c r="M3875" s="352"/>
      <c r="N3875" s="352"/>
      <c r="O3875" s="352"/>
      <c r="P3875" s="352"/>
      <c r="Q3875" s="352"/>
      <c r="R3875" s="352"/>
      <c r="S3875" s="352"/>
      <c r="T3875" s="352"/>
      <c r="U3875" s="352"/>
      <c r="V3875" s="352"/>
      <c r="W3875" s="352"/>
      <c r="X3875" s="352"/>
      <c r="Y3875" s="352"/>
      <c r="Z3875" s="352"/>
      <c r="AA3875" s="352"/>
      <c r="AB3875" s="352"/>
      <c r="AC3875" s="352"/>
      <c r="AD3875" s="352"/>
      <c r="AE3875" s="352"/>
      <c r="AF3875" s="352"/>
      <c r="AG3875" s="352"/>
      <c r="AH3875" s="352"/>
      <c r="AI3875" s="352"/>
      <c r="AJ3875" s="352"/>
    </row>
    <row r="3876" spans="2:36">
      <c r="B3876" s="352"/>
      <c r="C3876" s="352"/>
      <c r="D3876" s="352"/>
      <c r="E3876" s="352"/>
      <c r="F3876" s="352"/>
      <c r="H3876" s="352"/>
      <c r="J3876" s="352"/>
      <c r="L3876" s="352"/>
      <c r="M3876" s="352"/>
      <c r="N3876" s="352"/>
      <c r="O3876" s="352"/>
      <c r="P3876" s="352"/>
      <c r="Q3876" s="352"/>
      <c r="R3876" s="352"/>
      <c r="S3876" s="352"/>
      <c r="T3876" s="352"/>
      <c r="U3876" s="352"/>
      <c r="V3876" s="352"/>
      <c r="W3876" s="352"/>
      <c r="X3876" s="352"/>
      <c r="Y3876" s="352"/>
      <c r="Z3876" s="352"/>
      <c r="AA3876" s="352"/>
      <c r="AB3876" s="352"/>
      <c r="AC3876" s="352"/>
      <c r="AD3876" s="352"/>
      <c r="AE3876" s="352"/>
      <c r="AF3876" s="352"/>
      <c r="AG3876" s="352"/>
      <c r="AH3876" s="352"/>
      <c r="AI3876" s="352"/>
      <c r="AJ3876" s="352"/>
    </row>
    <row r="3877" spans="2:36">
      <c r="B3877" s="352"/>
      <c r="C3877" s="352"/>
      <c r="D3877" s="352"/>
      <c r="E3877" s="352"/>
      <c r="F3877" s="352"/>
      <c r="H3877" s="352"/>
      <c r="J3877" s="352"/>
      <c r="L3877" s="352"/>
      <c r="M3877" s="352"/>
      <c r="N3877" s="352"/>
      <c r="O3877" s="352"/>
      <c r="P3877" s="352"/>
      <c r="Q3877" s="352"/>
      <c r="R3877" s="352"/>
      <c r="S3877" s="352"/>
      <c r="T3877" s="352"/>
      <c r="U3877" s="352"/>
      <c r="V3877" s="352"/>
      <c r="W3877" s="352"/>
      <c r="X3877" s="352"/>
      <c r="Y3877" s="352"/>
      <c r="Z3877" s="352"/>
      <c r="AA3877" s="352"/>
      <c r="AB3877" s="352"/>
      <c r="AC3877" s="352"/>
      <c r="AD3877" s="352"/>
      <c r="AE3877" s="352"/>
      <c r="AF3877" s="352"/>
      <c r="AG3877" s="352"/>
      <c r="AH3877" s="352"/>
      <c r="AI3877" s="352"/>
      <c r="AJ3877" s="352"/>
    </row>
    <row r="3878" spans="2:36">
      <c r="B3878" s="352"/>
      <c r="C3878" s="352"/>
      <c r="D3878" s="352"/>
      <c r="E3878" s="352"/>
      <c r="F3878" s="352"/>
      <c r="H3878" s="352"/>
      <c r="J3878" s="352"/>
      <c r="L3878" s="352"/>
      <c r="M3878" s="352"/>
      <c r="N3878" s="352"/>
      <c r="O3878" s="352"/>
      <c r="P3878" s="352"/>
      <c r="Q3878" s="352"/>
      <c r="R3878" s="352"/>
      <c r="S3878" s="352"/>
      <c r="T3878" s="352"/>
      <c r="U3878" s="352"/>
      <c r="V3878" s="352"/>
      <c r="W3878" s="352"/>
      <c r="X3878" s="352"/>
      <c r="Y3878" s="352"/>
      <c r="Z3878" s="352"/>
      <c r="AA3878" s="352"/>
      <c r="AB3878" s="352"/>
      <c r="AC3878" s="352"/>
      <c r="AD3878" s="352"/>
      <c r="AE3878" s="352"/>
      <c r="AF3878" s="352"/>
      <c r="AG3878" s="352"/>
      <c r="AH3878" s="352"/>
      <c r="AI3878" s="352"/>
      <c r="AJ3878" s="352"/>
    </row>
    <row r="3879" spans="2:36">
      <c r="B3879" s="352"/>
      <c r="C3879" s="352"/>
      <c r="D3879" s="352"/>
      <c r="E3879" s="352"/>
      <c r="F3879" s="352"/>
      <c r="H3879" s="352"/>
      <c r="J3879" s="352"/>
      <c r="L3879" s="352"/>
      <c r="M3879" s="352"/>
      <c r="N3879" s="352"/>
      <c r="O3879" s="352"/>
      <c r="P3879" s="352"/>
      <c r="Q3879" s="352"/>
      <c r="R3879" s="352"/>
      <c r="S3879" s="352"/>
      <c r="T3879" s="352"/>
      <c r="U3879" s="352"/>
      <c r="V3879" s="352"/>
      <c r="W3879" s="352"/>
      <c r="X3879" s="352"/>
      <c r="Y3879" s="352"/>
      <c r="Z3879" s="352"/>
      <c r="AA3879" s="352"/>
      <c r="AB3879" s="352"/>
      <c r="AC3879" s="352"/>
      <c r="AD3879" s="352"/>
      <c r="AE3879" s="352"/>
      <c r="AF3879" s="352"/>
      <c r="AG3879" s="352"/>
      <c r="AH3879" s="352"/>
      <c r="AI3879" s="352"/>
      <c r="AJ3879" s="352"/>
    </row>
    <row r="3880" spans="2:36">
      <c r="B3880" s="352"/>
      <c r="C3880" s="352"/>
      <c r="D3880" s="352"/>
      <c r="E3880" s="352"/>
      <c r="F3880" s="352"/>
      <c r="H3880" s="352"/>
      <c r="J3880" s="352"/>
      <c r="L3880" s="352"/>
      <c r="M3880" s="352"/>
      <c r="N3880" s="352"/>
      <c r="O3880" s="352"/>
      <c r="P3880" s="352"/>
      <c r="Q3880" s="352"/>
      <c r="R3880" s="352"/>
      <c r="S3880" s="352"/>
      <c r="T3880" s="352"/>
      <c r="U3880" s="352"/>
      <c r="V3880" s="352"/>
      <c r="W3880" s="352"/>
      <c r="X3880" s="352"/>
      <c r="Y3880" s="352"/>
      <c r="Z3880" s="352"/>
      <c r="AA3880" s="352"/>
      <c r="AB3880" s="352"/>
      <c r="AC3880" s="352"/>
      <c r="AD3880" s="352"/>
      <c r="AE3880" s="352"/>
      <c r="AF3880" s="352"/>
      <c r="AG3880" s="352"/>
      <c r="AH3880" s="352"/>
      <c r="AI3880" s="352"/>
      <c r="AJ3880" s="352"/>
    </row>
    <row r="3881" spans="2:36">
      <c r="B3881" s="352"/>
      <c r="C3881" s="352"/>
      <c r="D3881" s="352"/>
      <c r="E3881" s="352"/>
      <c r="F3881" s="352"/>
      <c r="H3881" s="352"/>
      <c r="J3881" s="352"/>
      <c r="L3881" s="352"/>
      <c r="M3881" s="352"/>
      <c r="N3881" s="352"/>
      <c r="O3881" s="352"/>
      <c r="P3881" s="352"/>
      <c r="Q3881" s="352"/>
      <c r="R3881" s="352"/>
      <c r="S3881" s="352"/>
      <c r="T3881" s="352"/>
      <c r="U3881" s="352"/>
      <c r="V3881" s="352"/>
      <c r="W3881" s="352"/>
      <c r="X3881" s="352"/>
      <c r="Y3881" s="352"/>
      <c r="Z3881" s="352"/>
      <c r="AA3881" s="352"/>
      <c r="AB3881" s="352"/>
      <c r="AC3881" s="352"/>
      <c r="AD3881" s="352"/>
      <c r="AE3881" s="352"/>
      <c r="AF3881" s="352"/>
      <c r="AG3881" s="352"/>
      <c r="AH3881" s="352"/>
      <c r="AI3881" s="352"/>
      <c r="AJ3881" s="352"/>
    </row>
    <row r="3882" spans="2:36">
      <c r="B3882" s="352"/>
      <c r="C3882" s="352"/>
      <c r="D3882" s="352"/>
      <c r="E3882" s="352"/>
      <c r="F3882" s="352"/>
      <c r="H3882" s="352"/>
      <c r="J3882" s="352"/>
      <c r="L3882" s="352"/>
      <c r="M3882" s="352"/>
      <c r="N3882" s="352"/>
      <c r="O3882" s="352"/>
      <c r="P3882" s="352"/>
      <c r="Q3882" s="352"/>
      <c r="R3882" s="352"/>
      <c r="S3882" s="352"/>
      <c r="T3882" s="352"/>
      <c r="U3882" s="352"/>
      <c r="V3882" s="352"/>
      <c r="W3882" s="352"/>
      <c r="X3882" s="352"/>
      <c r="Y3882" s="352"/>
      <c r="Z3882" s="352"/>
      <c r="AA3882" s="352"/>
      <c r="AB3882" s="352"/>
      <c r="AC3882" s="352"/>
      <c r="AD3882" s="352"/>
      <c r="AE3882" s="352"/>
      <c r="AF3882" s="352"/>
      <c r="AG3882" s="352"/>
      <c r="AH3882" s="352"/>
      <c r="AI3882" s="352"/>
      <c r="AJ3882" s="352"/>
    </row>
    <row r="3883" spans="2:36">
      <c r="B3883" s="352"/>
      <c r="C3883" s="352"/>
      <c r="D3883" s="352"/>
      <c r="E3883" s="352"/>
      <c r="F3883" s="352"/>
      <c r="H3883" s="352"/>
      <c r="J3883" s="352"/>
      <c r="L3883" s="352"/>
      <c r="M3883" s="352"/>
      <c r="N3883" s="352"/>
      <c r="O3883" s="352"/>
      <c r="P3883" s="352"/>
      <c r="Q3883" s="352"/>
      <c r="R3883" s="352"/>
      <c r="S3883" s="352"/>
      <c r="T3883" s="352"/>
      <c r="U3883" s="352"/>
      <c r="V3883" s="352"/>
      <c r="W3883" s="352"/>
      <c r="X3883" s="352"/>
      <c r="Y3883" s="352"/>
      <c r="Z3883" s="352"/>
      <c r="AA3883" s="352"/>
      <c r="AB3883" s="352"/>
      <c r="AC3883" s="352"/>
      <c r="AD3883" s="352"/>
      <c r="AE3883" s="352"/>
      <c r="AF3883" s="352"/>
      <c r="AG3883" s="352"/>
      <c r="AH3883" s="352"/>
      <c r="AI3883" s="352"/>
      <c r="AJ3883" s="352"/>
    </row>
    <row r="3884" spans="2:36">
      <c r="B3884" s="352"/>
      <c r="C3884" s="352"/>
      <c r="D3884" s="352"/>
      <c r="E3884" s="352"/>
      <c r="F3884" s="352"/>
      <c r="H3884" s="352"/>
      <c r="J3884" s="352"/>
      <c r="L3884" s="352"/>
      <c r="M3884" s="352"/>
      <c r="N3884" s="352"/>
      <c r="O3884" s="352"/>
      <c r="P3884" s="352"/>
      <c r="Q3884" s="352"/>
      <c r="R3884" s="352"/>
      <c r="S3884" s="352"/>
      <c r="T3884" s="352"/>
      <c r="U3884" s="352"/>
      <c r="V3884" s="352"/>
      <c r="W3884" s="352"/>
      <c r="X3884" s="352"/>
      <c r="Y3884" s="352"/>
      <c r="Z3884" s="352"/>
      <c r="AA3884" s="352"/>
      <c r="AB3884" s="352"/>
      <c r="AC3884" s="352"/>
      <c r="AD3884" s="352"/>
      <c r="AE3884" s="352"/>
      <c r="AF3884" s="352"/>
      <c r="AG3884" s="352"/>
      <c r="AH3884" s="352"/>
      <c r="AI3884" s="352"/>
      <c r="AJ3884" s="352"/>
    </row>
    <row r="3885" spans="2:36">
      <c r="B3885" s="352"/>
      <c r="C3885" s="352"/>
      <c r="D3885" s="352"/>
      <c r="E3885" s="352"/>
      <c r="F3885" s="352"/>
      <c r="H3885" s="352"/>
      <c r="J3885" s="352"/>
      <c r="L3885" s="352"/>
      <c r="M3885" s="352"/>
      <c r="N3885" s="352"/>
      <c r="O3885" s="352"/>
      <c r="P3885" s="352"/>
      <c r="Q3885" s="352"/>
      <c r="R3885" s="352"/>
      <c r="S3885" s="352"/>
      <c r="T3885" s="352"/>
      <c r="U3885" s="352"/>
      <c r="V3885" s="352"/>
      <c r="W3885" s="352"/>
      <c r="X3885" s="352"/>
      <c r="Y3885" s="352"/>
      <c r="Z3885" s="352"/>
      <c r="AA3885" s="352"/>
      <c r="AB3885" s="352"/>
      <c r="AC3885" s="352"/>
      <c r="AD3885" s="352"/>
      <c r="AE3885" s="352"/>
      <c r="AF3885" s="352"/>
      <c r="AG3885" s="352"/>
      <c r="AH3885" s="352"/>
      <c r="AI3885" s="352"/>
      <c r="AJ3885" s="352"/>
    </row>
    <row r="3886" spans="2:36">
      <c r="B3886" s="352"/>
      <c r="C3886" s="352"/>
      <c r="D3886" s="352"/>
      <c r="E3886" s="352"/>
      <c r="F3886" s="352"/>
      <c r="H3886" s="352"/>
      <c r="J3886" s="352"/>
      <c r="L3886" s="352"/>
      <c r="M3886" s="352"/>
      <c r="N3886" s="352"/>
      <c r="O3886" s="352"/>
      <c r="P3886" s="352"/>
      <c r="Q3886" s="352"/>
      <c r="R3886" s="352"/>
      <c r="S3886" s="352"/>
      <c r="T3886" s="352"/>
      <c r="U3886" s="352"/>
      <c r="V3886" s="352"/>
      <c r="W3886" s="352"/>
      <c r="X3886" s="352"/>
      <c r="Y3886" s="352"/>
      <c r="Z3886" s="352"/>
      <c r="AA3886" s="352"/>
      <c r="AB3886" s="352"/>
      <c r="AC3886" s="352"/>
      <c r="AD3886" s="352"/>
      <c r="AE3886" s="352"/>
      <c r="AF3886" s="352"/>
      <c r="AG3886" s="352"/>
      <c r="AH3886" s="352"/>
      <c r="AI3886" s="352"/>
      <c r="AJ3886" s="352"/>
    </row>
    <row r="3887" spans="2:36">
      <c r="B3887" s="352"/>
      <c r="C3887" s="352"/>
      <c r="D3887" s="352"/>
      <c r="E3887" s="352"/>
      <c r="F3887" s="352"/>
      <c r="H3887" s="352"/>
      <c r="J3887" s="352"/>
      <c r="L3887" s="352"/>
      <c r="M3887" s="352"/>
      <c r="N3887" s="352"/>
      <c r="O3887" s="352"/>
      <c r="P3887" s="352"/>
      <c r="Q3887" s="352"/>
      <c r="R3887" s="352"/>
      <c r="S3887" s="352"/>
      <c r="T3887" s="352"/>
      <c r="U3887" s="352"/>
      <c r="V3887" s="352"/>
      <c r="W3887" s="352"/>
      <c r="X3887" s="352"/>
      <c r="Y3887" s="352"/>
      <c r="Z3887" s="352"/>
      <c r="AA3887" s="352"/>
      <c r="AB3887" s="352"/>
      <c r="AC3887" s="352"/>
      <c r="AD3887" s="352"/>
      <c r="AE3887" s="352"/>
      <c r="AF3887" s="352"/>
      <c r="AG3887" s="352"/>
      <c r="AH3887" s="352"/>
      <c r="AI3887" s="352"/>
      <c r="AJ3887" s="352"/>
    </row>
    <row r="3888" spans="2:36">
      <c r="B3888" s="352"/>
      <c r="C3888" s="352"/>
      <c r="D3888" s="352"/>
      <c r="E3888" s="352"/>
      <c r="F3888" s="352"/>
      <c r="H3888" s="352"/>
      <c r="J3888" s="352"/>
      <c r="L3888" s="352"/>
      <c r="M3888" s="352"/>
      <c r="N3888" s="352"/>
      <c r="O3888" s="352"/>
      <c r="P3888" s="352"/>
      <c r="Q3888" s="352"/>
      <c r="R3888" s="352"/>
      <c r="S3888" s="352"/>
      <c r="T3888" s="352"/>
      <c r="U3888" s="352"/>
      <c r="V3888" s="352"/>
      <c r="W3888" s="352"/>
      <c r="X3888" s="352"/>
      <c r="Y3888" s="352"/>
      <c r="Z3888" s="352"/>
      <c r="AA3888" s="352"/>
      <c r="AB3888" s="352"/>
      <c r="AC3888" s="352"/>
      <c r="AD3888" s="352"/>
      <c r="AE3888" s="352"/>
      <c r="AF3888" s="352"/>
      <c r="AG3888" s="352"/>
      <c r="AH3888" s="352"/>
      <c r="AI3888" s="352"/>
      <c r="AJ3888" s="352"/>
    </row>
    <row r="3889" spans="2:36">
      <c r="B3889" s="352"/>
      <c r="C3889" s="352"/>
      <c r="D3889" s="352"/>
      <c r="E3889" s="352"/>
      <c r="F3889" s="352"/>
      <c r="H3889" s="352"/>
      <c r="J3889" s="352"/>
      <c r="L3889" s="352"/>
      <c r="M3889" s="352"/>
      <c r="N3889" s="352"/>
      <c r="O3889" s="352"/>
      <c r="P3889" s="352"/>
      <c r="Q3889" s="352"/>
      <c r="R3889" s="352"/>
      <c r="S3889" s="352"/>
      <c r="T3889" s="352"/>
      <c r="U3889" s="352"/>
      <c r="V3889" s="352"/>
      <c r="W3889" s="352"/>
      <c r="X3889" s="352"/>
      <c r="Y3889" s="352"/>
      <c r="Z3889" s="352"/>
      <c r="AA3889" s="352"/>
      <c r="AB3889" s="352"/>
      <c r="AC3889" s="352"/>
      <c r="AD3889" s="352"/>
      <c r="AE3889" s="352"/>
      <c r="AF3889" s="352"/>
      <c r="AG3889" s="352"/>
      <c r="AH3889" s="352"/>
      <c r="AI3889" s="352"/>
      <c r="AJ3889" s="352"/>
    </row>
    <row r="3890" spans="2:36">
      <c r="B3890" s="352"/>
      <c r="C3890" s="352"/>
      <c r="D3890" s="352"/>
      <c r="E3890" s="352"/>
      <c r="F3890" s="352"/>
      <c r="H3890" s="352"/>
      <c r="J3890" s="352"/>
      <c r="L3890" s="352"/>
      <c r="M3890" s="352"/>
      <c r="N3890" s="352"/>
      <c r="O3890" s="352"/>
      <c r="P3890" s="352"/>
      <c r="Q3890" s="352"/>
      <c r="R3890" s="352"/>
      <c r="S3890" s="352"/>
      <c r="T3890" s="352"/>
      <c r="U3890" s="352"/>
      <c r="V3890" s="352"/>
      <c r="W3890" s="352"/>
      <c r="X3890" s="352"/>
      <c r="Y3890" s="352"/>
      <c r="Z3890" s="352"/>
      <c r="AA3890" s="352"/>
      <c r="AB3890" s="352"/>
      <c r="AC3890" s="352"/>
      <c r="AD3890" s="352"/>
      <c r="AE3890" s="352"/>
      <c r="AF3890" s="352"/>
      <c r="AG3890" s="352"/>
      <c r="AH3890" s="352"/>
      <c r="AI3890" s="352"/>
      <c r="AJ3890" s="352"/>
    </row>
    <row r="3891" spans="2:36">
      <c r="B3891" s="352"/>
      <c r="C3891" s="352"/>
      <c r="D3891" s="352"/>
      <c r="E3891" s="352"/>
      <c r="F3891" s="352"/>
      <c r="H3891" s="352"/>
      <c r="J3891" s="352"/>
      <c r="L3891" s="352"/>
      <c r="M3891" s="352"/>
      <c r="N3891" s="352"/>
      <c r="O3891" s="352"/>
      <c r="P3891" s="352"/>
      <c r="Q3891" s="352"/>
      <c r="R3891" s="352"/>
      <c r="S3891" s="352"/>
      <c r="T3891" s="352"/>
      <c r="U3891" s="352"/>
      <c r="V3891" s="352"/>
      <c r="W3891" s="352"/>
      <c r="X3891" s="352"/>
      <c r="Y3891" s="352"/>
      <c r="Z3891" s="352"/>
      <c r="AA3891" s="352"/>
      <c r="AB3891" s="352"/>
      <c r="AC3891" s="352"/>
      <c r="AD3891" s="352"/>
      <c r="AE3891" s="352"/>
      <c r="AF3891" s="352"/>
      <c r="AG3891" s="352"/>
      <c r="AH3891" s="352"/>
      <c r="AI3891" s="352"/>
      <c r="AJ3891" s="352"/>
    </row>
    <row r="3892" spans="2:36">
      <c r="B3892" s="352"/>
      <c r="C3892" s="352"/>
      <c r="D3892" s="352"/>
      <c r="E3892" s="352"/>
      <c r="F3892" s="352"/>
      <c r="H3892" s="352"/>
      <c r="J3892" s="352"/>
      <c r="L3892" s="352"/>
      <c r="M3892" s="352"/>
      <c r="N3892" s="352"/>
      <c r="O3892" s="352"/>
      <c r="P3892" s="352"/>
      <c r="Q3892" s="352"/>
      <c r="R3892" s="352"/>
      <c r="S3892" s="352"/>
      <c r="T3892" s="352"/>
      <c r="U3892" s="352"/>
      <c r="V3892" s="352"/>
      <c r="W3892" s="352"/>
      <c r="X3892" s="352"/>
      <c r="Y3892" s="352"/>
      <c r="Z3892" s="352"/>
      <c r="AA3892" s="352"/>
      <c r="AB3892" s="352"/>
      <c r="AC3892" s="352"/>
      <c r="AD3892" s="352"/>
      <c r="AE3892" s="352"/>
      <c r="AF3892" s="352"/>
      <c r="AG3892" s="352"/>
      <c r="AH3892" s="352"/>
      <c r="AI3892" s="352"/>
      <c r="AJ3892" s="352"/>
    </row>
    <row r="3893" spans="2:36">
      <c r="B3893" s="352"/>
      <c r="C3893" s="352"/>
      <c r="D3893" s="352"/>
      <c r="E3893" s="352"/>
      <c r="F3893" s="352"/>
      <c r="H3893" s="352"/>
      <c r="J3893" s="352"/>
      <c r="L3893" s="352"/>
      <c r="M3893" s="352"/>
      <c r="N3893" s="352"/>
      <c r="O3893" s="352"/>
      <c r="P3893" s="352"/>
      <c r="Q3893" s="352"/>
      <c r="R3893" s="352"/>
      <c r="S3893" s="352"/>
      <c r="T3893" s="352"/>
      <c r="U3893" s="352"/>
      <c r="V3893" s="352"/>
      <c r="W3893" s="352"/>
      <c r="X3893" s="352"/>
      <c r="Y3893" s="352"/>
      <c r="Z3893" s="352"/>
      <c r="AA3893" s="352"/>
      <c r="AB3893" s="352"/>
      <c r="AC3893" s="352"/>
      <c r="AD3893" s="352"/>
      <c r="AE3893" s="352"/>
      <c r="AF3893" s="352"/>
      <c r="AG3893" s="352"/>
      <c r="AH3893" s="352"/>
      <c r="AI3893" s="352"/>
      <c r="AJ3893" s="352"/>
    </row>
    <row r="3894" spans="2:36">
      <c r="B3894" s="352"/>
      <c r="C3894" s="352"/>
      <c r="D3894" s="352"/>
      <c r="E3894" s="352"/>
      <c r="F3894" s="352"/>
      <c r="H3894" s="352"/>
      <c r="J3894" s="352"/>
      <c r="L3894" s="352"/>
      <c r="M3894" s="352"/>
      <c r="N3894" s="352"/>
      <c r="O3894" s="352"/>
      <c r="P3894" s="352"/>
      <c r="Q3894" s="352"/>
      <c r="R3894" s="352"/>
      <c r="S3894" s="352"/>
      <c r="T3894" s="352"/>
      <c r="U3894" s="352"/>
      <c r="V3894" s="352"/>
      <c r="W3894" s="352"/>
      <c r="X3894" s="352"/>
      <c r="Y3894" s="352"/>
      <c r="Z3894" s="352"/>
      <c r="AA3894" s="352"/>
      <c r="AB3894" s="352"/>
      <c r="AC3894" s="352"/>
      <c r="AD3894" s="352"/>
      <c r="AE3894" s="352"/>
      <c r="AF3894" s="352"/>
      <c r="AG3894" s="352"/>
      <c r="AH3894" s="352"/>
      <c r="AI3894" s="352"/>
      <c r="AJ3894" s="352"/>
    </row>
    <row r="3895" spans="2:36">
      <c r="B3895" s="352"/>
      <c r="C3895" s="352"/>
      <c r="D3895" s="352"/>
      <c r="E3895" s="352"/>
      <c r="F3895" s="352"/>
      <c r="H3895" s="352"/>
      <c r="J3895" s="352"/>
      <c r="L3895" s="352"/>
      <c r="M3895" s="352"/>
      <c r="N3895" s="352"/>
      <c r="O3895" s="352"/>
      <c r="P3895" s="352"/>
      <c r="Q3895" s="352"/>
      <c r="R3895" s="352"/>
      <c r="S3895" s="352"/>
      <c r="T3895" s="352"/>
      <c r="U3895" s="352"/>
      <c r="V3895" s="352"/>
      <c r="W3895" s="352"/>
      <c r="X3895" s="352"/>
      <c r="Y3895" s="352"/>
      <c r="Z3895" s="352"/>
      <c r="AA3895" s="352"/>
      <c r="AB3895" s="352"/>
      <c r="AC3895" s="352"/>
      <c r="AD3895" s="352"/>
      <c r="AE3895" s="352"/>
      <c r="AF3895" s="352"/>
      <c r="AG3895" s="352"/>
      <c r="AH3895" s="352"/>
      <c r="AI3895" s="352"/>
      <c r="AJ3895" s="352"/>
    </row>
    <row r="3896" spans="2:36">
      <c r="B3896" s="352"/>
      <c r="C3896" s="352"/>
      <c r="D3896" s="352"/>
      <c r="E3896" s="352"/>
      <c r="F3896" s="352"/>
      <c r="H3896" s="352"/>
      <c r="J3896" s="352"/>
      <c r="L3896" s="352"/>
      <c r="M3896" s="352"/>
      <c r="N3896" s="352"/>
      <c r="O3896" s="352"/>
      <c r="P3896" s="352"/>
      <c r="Q3896" s="352"/>
      <c r="R3896" s="352"/>
      <c r="S3896" s="352"/>
      <c r="T3896" s="352"/>
      <c r="U3896" s="352"/>
      <c r="V3896" s="352"/>
      <c r="W3896" s="352"/>
      <c r="X3896" s="352"/>
      <c r="Y3896" s="352"/>
      <c r="Z3896" s="352"/>
      <c r="AA3896" s="352"/>
      <c r="AB3896" s="352"/>
      <c r="AC3896" s="352"/>
      <c r="AD3896" s="352"/>
      <c r="AE3896" s="352"/>
      <c r="AF3896" s="352"/>
      <c r="AG3896" s="352"/>
      <c r="AH3896" s="352"/>
      <c r="AI3896" s="352"/>
      <c r="AJ3896" s="352"/>
    </row>
    <row r="3897" spans="2:36">
      <c r="B3897" s="352"/>
      <c r="C3897" s="352"/>
      <c r="D3897" s="352"/>
      <c r="E3897" s="352"/>
      <c r="F3897" s="352"/>
      <c r="H3897" s="352"/>
      <c r="J3897" s="352"/>
      <c r="L3897" s="352"/>
      <c r="M3897" s="352"/>
      <c r="N3897" s="352"/>
      <c r="O3897" s="352"/>
      <c r="P3897" s="352"/>
      <c r="Q3897" s="352"/>
      <c r="R3897" s="352"/>
      <c r="S3897" s="352"/>
      <c r="T3897" s="352"/>
      <c r="U3897" s="352"/>
      <c r="V3897" s="352"/>
      <c r="W3897" s="352"/>
      <c r="X3897" s="352"/>
      <c r="Y3897" s="352"/>
      <c r="Z3897" s="352"/>
      <c r="AA3897" s="352"/>
      <c r="AB3897" s="352"/>
      <c r="AC3897" s="352"/>
      <c r="AD3897" s="352"/>
      <c r="AE3897" s="352"/>
      <c r="AF3897" s="352"/>
      <c r="AG3897" s="352"/>
      <c r="AH3897" s="352"/>
      <c r="AI3897" s="352"/>
      <c r="AJ3897" s="352"/>
    </row>
    <row r="3898" spans="2:36">
      <c r="B3898" s="352"/>
      <c r="C3898" s="352"/>
      <c r="D3898" s="352"/>
      <c r="E3898" s="352"/>
      <c r="F3898" s="352"/>
      <c r="H3898" s="352"/>
      <c r="J3898" s="352"/>
      <c r="L3898" s="352"/>
      <c r="M3898" s="352"/>
      <c r="N3898" s="352"/>
      <c r="O3898" s="352"/>
      <c r="P3898" s="352"/>
      <c r="Q3898" s="352"/>
      <c r="R3898" s="352"/>
      <c r="S3898" s="352"/>
      <c r="T3898" s="352"/>
      <c r="U3898" s="352"/>
      <c r="V3898" s="352"/>
      <c r="W3898" s="352"/>
      <c r="X3898" s="352"/>
      <c r="Y3898" s="352"/>
      <c r="Z3898" s="352"/>
      <c r="AA3898" s="352"/>
      <c r="AB3898" s="352"/>
      <c r="AC3898" s="352"/>
      <c r="AD3898" s="352"/>
      <c r="AE3898" s="352"/>
      <c r="AF3898" s="352"/>
      <c r="AG3898" s="352"/>
      <c r="AH3898" s="352"/>
      <c r="AI3898" s="352"/>
      <c r="AJ3898" s="352"/>
    </row>
    <row r="3899" spans="2:36">
      <c r="B3899" s="352"/>
      <c r="C3899" s="352"/>
      <c r="D3899" s="352"/>
      <c r="E3899" s="352"/>
      <c r="F3899" s="352"/>
      <c r="H3899" s="352"/>
      <c r="J3899" s="352"/>
      <c r="L3899" s="352"/>
      <c r="M3899" s="352"/>
      <c r="N3899" s="352"/>
      <c r="O3899" s="352"/>
      <c r="P3899" s="352"/>
      <c r="Q3899" s="352"/>
      <c r="R3899" s="352"/>
      <c r="S3899" s="352"/>
      <c r="T3899" s="352"/>
      <c r="U3899" s="352"/>
      <c r="V3899" s="352"/>
      <c r="W3899" s="352"/>
      <c r="X3899" s="352"/>
      <c r="Y3899" s="352"/>
      <c r="Z3899" s="352"/>
      <c r="AA3899" s="352"/>
      <c r="AB3899" s="352"/>
      <c r="AC3899" s="352"/>
      <c r="AD3899" s="352"/>
      <c r="AE3899" s="352"/>
      <c r="AF3899" s="352"/>
      <c r="AG3899" s="352"/>
      <c r="AH3899" s="352"/>
      <c r="AI3899" s="352"/>
      <c r="AJ3899" s="352"/>
    </row>
    <row r="3900" spans="2:36">
      <c r="B3900" s="352"/>
      <c r="C3900" s="352"/>
      <c r="D3900" s="352"/>
      <c r="E3900" s="352"/>
      <c r="F3900" s="352"/>
      <c r="H3900" s="352"/>
      <c r="J3900" s="352"/>
      <c r="L3900" s="352"/>
      <c r="M3900" s="352"/>
      <c r="N3900" s="352"/>
      <c r="O3900" s="352"/>
      <c r="P3900" s="352"/>
      <c r="Q3900" s="352"/>
      <c r="R3900" s="352"/>
      <c r="S3900" s="352"/>
      <c r="T3900" s="352"/>
      <c r="U3900" s="352"/>
      <c r="V3900" s="352"/>
      <c r="W3900" s="352"/>
      <c r="X3900" s="352"/>
      <c r="Y3900" s="352"/>
      <c r="Z3900" s="352"/>
      <c r="AA3900" s="352"/>
      <c r="AB3900" s="352"/>
      <c r="AC3900" s="352"/>
      <c r="AD3900" s="352"/>
      <c r="AE3900" s="352"/>
      <c r="AF3900" s="352"/>
      <c r="AG3900" s="352"/>
      <c r="AH3900" s="352"/>
      <c r="AI3900" s="352"/>
      <c r="AJ3900" s="352"/>
    </row>
    <row r="3901" spans="2:36">
      <c r="B3901" s="352"/>
      <c r="C3901" s="352"/>
      <c r="D3901" s="352"/>
      <c r="E3901" s="352"/>
      <c r="F3901" s="352"/>
      <c r="H3901" s="352"/>
      <c r="J3901" s="352"/>
      <c r="L3901" s="352"/>
      <c r="M3901" s="352"/>
      <c r="N3901" s="352"/>
      <c r="O3901" s="352"/>
      <c r="P3901" s="352"/>
      <c r="Q3901" s="352"/>
      <c r="R3901" s="352"/>
      <c r="S3901" s="352"/>
      <c r="T3901" s="352"/>
      <c r="U3901" s="352"/>
      <c r="V3901" s="352"/>
      <c r="W3901" s="352"/>
      <c r="X3901" s="352"/>
      <c r="Y3901" s="352"/>
      <c r="Z3901" s="352"/>
      <c r="AA3901" s="352"/>
      <c r="AB3901" s="352"/>
      <c r="AC3901" s="352"/>
      <c r="AD3901" s="352"/>
      <c r="AE3901" s="352"/>
      <c r="AF3901" s="352"/>
      <c r="AG3901" s="352"/>
      <c r="AH3901" s="352"/>
      <c r="AI3901" s="352"/>
      <c r="AJ3901" s="352"/>
    </row>
    <row r="3902" spans="2:36">
      <c r="B3902" s="352"/>
      <c r="C3902" s="352"/>
      <c r="D3902" s="352"/>
      <c r="E3902" s="352"/>
      <c r="F3902" s="352"/>
      <c r="H3902" s="352"/>
      <c r="J3902" s="352"/>
      <c r="L3902" s="352"/>
      <c r="M3902" s="352"/>
      <c r="N3902" s="352"/>
      <c r="O3902" s="352"/>
      <c r="P3902" s="352"/>
      <c r="Q3902" s="352"/>
      <c r="R3902" s="352"/>
      <c r="S3902" s="352"/>
      <c r="T3902" s="352"/>
      <c r="U3902" s="352"/>
      <c r="V3902" s="352"/>
      <c r="W3902" s="352"/>
      <c r="X3902" s="352"/>
      <c r="Y3902" s="352"/>
      <c r="Z3902" s="352"/>
      <c r="AA3902" s="352"/>
      <c r="AB3902" s="352"/>
      <c r="AC3902" s="352"/>
      <c r="AD3902" s="352"/>
      <c r="AE3902" s="352"/>
      <c r="AF3902" s="352"/>
      <c r="AG3902" s="352"/>
      <c r="AH3902" s="352"/>
      <c r="AI3902" s="352"/>
      <c r="AJ3902" s="352"/>
    </row>
    <row r="3903" spans="2:36">
      <c r="B3903" s="352"/>
      <c r="C3903" s="352"/>
      <c r="D3903" s="352"/>
      <c r="E3903" s="352"/>
      <c r="F3903" s="352"/>
      <c r="H3903" s="352"/>
      <c r="J3903" s="352"/>
      <c r="L3903" s="352"/>
      <c r="M3903" s="352"/>
      <c r="N3903" s="352"/>
      <c r="O3903" s="352"/>
      <c r="P3903" s="352"/>
      <c r="Q3903" s="352"/>
      <c r="R3903" s="352"/>
      <c r="S3903" s="352"/>
      <c r="T3903" s="352"/>
      <c r="U3903" s="352"/>
      <c r="V3903" s="352"/>
      <c r="W3903" s="352"/>
      <c r="X3903" s="352"/>
      <c r="Y3903" s="352"/>
      <c r="Z3903" s="352"/>
      <c r="AA3903" s="352"/>
      <c r="AB3903" s="352"/>
      <c r="AC3903" s="352"/>
      <c r="AD3903" s="352"/>
      <c r="AE3903" s="352"/>
      <c r="AF3903" s="352"/>
      <c r="AG3903" s="352"/>
      <c r="AH3903" s="352"/>
      <c r="AI3903" s="352"/>
      <c r="AJ3903" s="352"/>
    </row>
    <row r="3904" spans="2:36">
      <c r="B3904" s="352"/>
      <c r="C3904" s="352"/>
      <c r="D3904" s="352"/>
      <c r="E3904" s="352"/>
      <c r="F3904" s="352"/>
      <c r="H3904" s="352"/>
      <c r="J3904" s="352"/>
      <c r="L3904" s="352"/>
      <c r="M3904" s="352"/>
      <c r="N3904" s="352"/>
      <c r="O3904" s="352"/>
      <c r="P3904" s="352"/>
      <c r="Q3904" s="352"/>
      <c r="R3904" s="352"/>
      <c r="S3904" s="352"/>
      <c r="T3904" s="352"/>
      <c r="U3904" s="352"/>
      <c r="V3904" s="352"/>
      <c r="W3904" s="352"/>
      <c r="X3904" s="352"/>
      <c r="Y3904" s="352"/>
      <c r="Z3904" s="352"/>
      <c r="AA3904" s="352"/>
      <c r="AB3904" s="352"/>
      <c r="AC3904" s="352"/>
      <c r="AD3904" s="352"/>
      <c r="AE3904" s="352"/>
      <c r="AF3904" s="352"/>
      <c r="AG3904" s="352"/>
      <c r="AH3904" s="352"/>
      <c r="AI3904" s="352"/>
      <c r="AJ3904" s="352"/>
    </row>
    <row r="3905" spans="2:36">
      <c r="B3905" s="352"/>
      <c r="C3905" s="352"/>
      <c r="D3905" s="352"/>
      <c r="E3905" s="352"/>
      <c r="F3905" s="352"/>
      <c r="H3905" s="352"/>
      <c r="J3905" s="352"/>
      <c r="L3905" s="352"/>
      <c r="M3905" s="352"/>
      <c r="N3905" s="352"/>
      <c r="O3905" s="352"/>
      <c r="P3905" s="352"/>
      <c r="Q3905" s="352"/>
      <c r="R3905" s="352"/>
      <c r="S3905" s="352"/>
      <c r="T3905" s="352"/>
      <c r="U3905" s="352"/>
      <c r="V3905" s="352"/>
      <c r="W3905" s="352"/>
      <c r="X3905" s="352"/>
      <c r="Y3905" s="352"/>
      <c r="Z3905" s="352"/>
      <c r="AA3905" s="352"/>
      <c r="AB3905" s="352"/>
      <c r="AC3905" s="352"/>
      <c r="AD3905" s="352"/>
      <c r="AE3905" s="352"/>
      <c r="AF3905" s="352"/>
      <c r="AG3905" s="352"/>
      <c r="AH3905" s="352"/>
      <c r="AI3905" s="352"/>
      <c r="AJ3905" s="352"/>
    </row>
    <row r="3906" spans="2:36">
      <c r="B3906" s="352"/>
      <c r="C3906" s="352"/>
      <c r="D3906" s="352"/>
      <c r="E3906" s="352"/>
      <c r="F3906" s="352"/>
      <c r="H3906" s="352"/>
      <c r="J3906" s="352"/>
      <c r="L3906" s="352"/>
      <c r="M3906" s="352"/>
      <c r="N3906" s="352"/>
      <c r="O3906" s="352"/>
      <c r="P3906" s="352"/>
      <c r="Q3906" s="352"/>
      <c r="R3906" s="352"/>
      <c r="S3906" s="352"/>
      <c r="T3906" s="352"/>
      <c r="U3906" s="352"/>
      <c r="V3906" s="352"/>
      <c r="W3906" s="352"/>
      <c r="X3906" s="352"/>
      <c r="Y3906" s="352"/>
      <c r="Z3906" s="352"/>
      <c r="AA3906" s="352"/>
      <c r="AB3906" s="352"/>
      <c r="AC3906" s="352"/>
      <c r="AD3906" s="352"/>
      <c r="AE3906" s="352"/>
      <c r="AF3906" s="352"/>
      <c r="AG3906" s="352"/>
      <c r="AH3906" s="352"/>
      <c r="AI3906" s="352"/>
      <c r="AJ3906" s="352"/>
    </row>
    <row r="3907" spans="2:36">
      <c r="B3907" s="352"/>
      <c r="C3907" s="352"/>
      <c r="D3907" s="352"/>
      <c r="E3907" s="352"/>
      <c r="F3907" s="352"/>
      <c r="H3907" s="352"/>
      <c r="J3907" s="352"/>
      <c r="L3907" s="352"/>
      <c r="M3907" s="352"/>
      <c r="N3907" s="352"/>
      <c r="O3907" s="352"/>
      <c r="P3907" s="352"/>
      <c r="Q3907" s="352"/>
      <c r="R3907" s="352"/>
      <c r="S3907" s="352"/>
      <c r="T3907" s="352"/>
      <c r="U3907" s="352"/>
      <c r="V3907" s="352"/>
      <c r="W3907" s="352"/>
      <c r="X3907" s="352"/>
      <c r="Y3907" s="352"/>
      <c r="Z3907" s="352"/>
      <c r="AA3907" s="352"/>
      <c r="AB3907" s="352"/>
      <c r="AC3907" s="352"/>
      <c r="AD3907" s="352"/>
      <c r="AE3907" s="352"/>
      <c r="AF3907" s="352"/>
      <c r="AG3907" s="352"/>
      <c r="AH3907" s="352"/>
      <c r="AI3907" s="352"/>
      <c r="AJ3907" s="352"/>
    </row>
    <row r="3908" spans="2:36">
      <c r="B3908" s="352"/>
      <c r="C3908" s="352"/>
      <c r="D3908" s="352"/>
      <c r="E3908" s="352"/>
      <c r="F3908" s="352"/>
      <c r="H3908" s="352"/>
      <c r="J3908" s="352"/>
      <c r="L3908" s="352"/>
      <c r="M3908" s="352"/>
      <c r="N3908" s="352"/>
      <c r="O3908" s="352"/>
      <c r="P3908" s="352"/>
      <c r="Q3908" s="352"/>
      <c r="R3908" s="352"/>
      <c r="S3908" s="352"/>
      <c r="T3908" s="352"/>
      <c r="U3908" s="352"/>
      <c r="V3908" s="352"/>
      <c r="W3908" s="352"/>
      <c r="X3908" s="352"/>
      <c r="Y3908" s="352"/>
      <c r="Z3908" s="352"/>
      <c r="AA3908" s="352"/>
      <c r="AB3908" s="352"/>
      <c r="AC3908" s="352"/>
      <c r="AD3908" s="352"/>
      <c r="AE3908" s="352"/>
      <c r="AF3908" s="352"/>
      <c r="AG3908" s="352"/>
      <c r="AH3908" s="352"/>
      <c r="AI3908" s="352"/>
      <c r="AJ3908" s="352"/>
    </row>
    <row r="3909" spans="2:36">
      <c r="B3909" s="352"/>
      <c r="C3909" s="352"/>
      <c r="D3909" s="352"/>
      <c r="E3909" s="352"/>
      <c r="F3909" s="352"/>
      <c r="H3909" s="352"/>
      <c r="J3909" s="352"/>
      <c r="L3909" s="352"/>
      <c r="M3909" s="352"/>
      <c r="N3909" s="352"/>
      <c r="O3909" s="352"/>
      <c r="P3909" s="352"/>
      <c r="Q3909" s="352"/>
      <c r="R3909" s="352"/>
      <c r="S3909" s="352"/>
      <c r="T3909" s="352"/>
      <c r="U3909" s="352"/>
      <c r="V3909" s="352"/>
      <c r="W3909" s="352"/>
      <c r="X3909" s="352"/>
      <c r="Y3909" s="352"/>
      <c r="Z3909" s="352"/>
      <c r="AA3909" s="352"/>
      <c r="AB3909" s="352"/>
      <c r="AC3909" s="352"/>
      <c r="AD3909" s="352"/>
      <c r="AE3909" s="352"/>
      <c r="AF3909" s="352"/>
      <c r="AG3909" s="352"/>
      <c r="AH3909" s="352"/>
      <c r="AI3909" s="352"/>
      <c r="AJ3909" s="352"/>
    </row>
    <row r="3910" spans="2:36">
      <c r="B3910" s="352"/>
      <c r="C3910" s="352"/>
      <c r="D3910" s="352"/>
      <c r="E3910" s="352"/>
      <c r="F3910" s="352"/>
      <c r="H3910" s="352"/>
      <c r="J3910" s="352"/>
      <c r="L3910" s="352"/>
      <c r="M3910" s="352"/>
      <c r="N3910" s="352"/>
      <c r="O3910" s="352"/>
      <c r="P3910" s="352"/>
      <c r="Q3910" s="352"/>
      <c r="R3910" s="352"/>
      <c r="S3910" s="352"/>
      <c r="T3910" s="352"/>
      <c r="U3910" s="352"/>
      <c r="V3910" s="352"/>
      <c r="W3910" s="352"/>
      <c r="X3910" s="352"/>
      <c r="Y3910" s="352"/>
      <c r="Z3910" s="352"/>
      <c r="AA3910" s="352"/>
      <c r="AB3910" s="352"/>
      <c r="AC3910" s="352"/>
      <c r="AD3910" s="352"/>
      <c r="AE3910" s="352"/>
      <c r="AF3910" s="352"/>
      <c r="AG3910" s="352"/>
      <c r="AH3910" s="352"/>
      <c r="AI3910" s="352"/>
      <c r="AJ3910" s="352"/>
    </row>
    <row r="3911" spans="2:36">
      <c r="B3911" s="352"/>
      <c r="C3911" s="352"/>
      <c r="D3911" s="352"/>
      <c r="E3911" s="352"/>
      <c r="F3911" s="352"/>
      <c r="H3911" s="352"/>
      <c r="J3911" s="352"/>
      <c r="L3911" s="352"/>
      <c r="M3911" s="352"/>
      <c r="N3911" s="352"/>
      <c r="O3911" s="352"/>
      <c r="P3911" s="352"/>
      <c r="Q3911" s="352"/>
      <c r="R3911" s="352"/>
      <c r="S3911" s="352"/>
      <c r="T3911" s="352"/>
      <c r="U3911" s="352"/>
      <c r="V3911" s="352"/>
      <c r="W3911" s="352"/>
      <c r="X3911" s="352"/>
      <c r="Y3911" s="352"/>
      <c r="Z3911" s="352"/>
      <c r="AA3911" s="352"/>
      <c r="AB3911" s="352"/>
      <c r="AC3911" s="352"/>
      <c r="AD3911" s="352"/>
      <c r="AE3911" s="352"/>
      <c r="AF3911" s="352"/>
      <c r="AG3911" s="352"/>
      <c r="AH3911" s="352"/>
      <c r="AI3911" s="352"/>
      <c r="AJ3911" s="352"/>
    </row>
    <row r="3912" spans="2:36">
      <c r="B3912" s="352"/>
      <c r="C3912" s="352"/>
      <c r="D3912" s="352"/>
      <c r="E3912" s="352"/>
      <c r="F3912" s="352"/>
      <c r="H3912" s="352"/>
      <c r="J3912" s="352"/>
      <c r="L3912" s="352"/>
      <c r="M3912" s="352"/>
      <c r="N3912" s="352"/>
      <c r="O3912" s="352"/>
      <c r="P3912" s="352"/>
      <c r="Q3912" s="352"/>
      <c r="R3912" s="352"/>
      <c r="S3912" s="352"/>
      <c r="T3912" s="352"/>
      <c r="U3912" s="352"/>
      <c r="V3912" s="352"/>
      <c r="W3912" s="352"/>
      <c r="X3912" s="352"/>
      <c r="Y3912" s="352"/>
      <c r="Z3912" s="352"/>
      <c r="AA3912" s="352"/>
      <c r="AB3912" s="352"/>
      <c r="AC3912" s="352"/>
      <c r="AD3912" s="352"/>
      <c r="AE3912" s="352"/>
      <c r="AF3912" s="352"/>
      <c r="AG3912" s="352"/>
      <c r="AH3912" s="352"/>
      <c r="AI3912" s="352"/>
      <c r="AJ3912" s="352"/>
    </row>
    <row r="3913" spans="2:36">
      <c r="B3913" s="352"/>
      <c r="C3913" s="352"/>
      <c r="D3913" s="352"/>
      <c r="E3913" s="352"/>
      <c r="F3913" s="352"/>
      <c r="H3913" s="352"/>
      <c r="J3913" s="352"/>
      <c r="L3913" s="352"/>
      <c r="M3913" s="352"/>
      <c r="N3913" s="352"/>
      <c r="O3913" s="352"/>
      <c r="P3913" s="352"/>
      <c r="Q3913" s="352"/>
      <c r="R3913" s="352"/>
      <c r="S3913" s="352"/>
      <c r="T3913" s="352"/>
      <c r="U3913" s="352"/>
      <c r="V3913" s="352"/>
      <c r="W3913" s="352"/>
      <c r="X3913" s="352"/>
      <c r="Y3913" s="352"/>
      <c r="Z3913" s="352"/>
      <c r="AA3913" s="352"/>
      <c r="AB3913" s="352"/>
      <c r="AC3913" s="352"/>
      <c r="AD3913" s="352"/>
      <c r="AE3913" s="352"/>
      <c r="AF3913" s="352"/>
      <c r="AG3913" s="352"/>
      <c r="AH3913" s="352"/>
      <c r="AI3913" s="352"/>
      <c r="AJ3913" s="352"/>
    </row>
    <row r="3914" spans="2:36">
      <c r="B3914" s="352"/>
      <c r="C3914" s="352"/>
      <c r="D3914" s="352"/>
      <c r="E3914" s="352"/>
      <c r="F3914" s="352"/>
      <c r="H3914" s="352"/>
      <c r="J3914" s="352"/>
      <c r="L3914" s="352"/>
      <c r="M3914" s="352"/>
      <c r="N3914" s="352"/>
      <c r="O3914" s="352"/>
      <c r="P3914" s="352"/>
      <c r="Q3914" s="352"/>
      <c r="R3914" s="352"/>
      <c r="S3914" s="352"/>
      <c r="T3914" s="352"/>
      <c r="U3914" s="352"/>
      <c r="V3914" s="352"/>
      <c r="W3914" s="352"/>
      <c r="X3914" s="352"/>
      <c r="Y3914" s="352"/>
      <c r="Z3914" s="352"/>
      <c r="AA3914" s="352"/>
      <c r="AB3914" s="352"/>
      <c r="AC3914" s="352"/>
      <c r="AD3914" s="352"/>
      <c r="AE3914" s="352"/>
      <c r="AF3914" s="352"/>
      <c r="AG3914" s="352"/>
      <c r="AH3914" s="352"/>
      <c r="AI3914" s="352"/>
      <c r="AJ3914" s="352"/>
    </row>
    <row r="3915" spans="2:36">
      <c r="B3915" s="352"/>
      <c r="C3915" s="352"/>
      <c r="D3915" s="352"/>
      <c r="E3915" s="352"/>
      <c r="F3915" s="352"/>
      <c r="H3915" s="352"/>
      <c r="J3915" s="352"/>
      <c r="L3915" s="352"/>
      <c r="M3915" s="352"/>
      <c r="N3915" s="352"/>
      <c r="O3915" s="352"/>
      <c r="P3915" s="352"/>
      <c r="Q3915" s="352"/>
      <c r="R3915" s="352"/>
      <c r="S3915" s="352"/>
      <c r="T3915" s="352"/>
      <c r="U3915" s="352"/>
      <c r="V3915" s="352"/>
      <c r="W3915" s="352"/>
      <c r="X3915" s="352"/>
      <c r="Y3915" s="352"/>
      <c r="Z3915" s="352"/>
      <c r="AA3915" s="352"/>
      <c r="AB3915" s="352"/>
      <c r="AC3915" s="352"/>
      <c r="AD3915" s="352"/>
      <c r="AE3915" s="352"/>
      <c r="AF3915" s="352"/>
      <c r="AG3915" s="352"/>
      <c r="AH3915" s="352"/>
      <c r="AI3915" s="352"/>
      <c r="AJ3915" s="352"/>
    </row>
    <row r="3916" spans="2:36">
      <c r="B3916" s="352"/>
      <c r="C3916" s="352"/>
      <c r="D3916" s="352"/>
      <c r="E3916" s="352"/>
      <c r="F3916" s="352"/>
      <c r="H3916" s="352"/>
      <c r="J3916" s="352"/>
      <c r="L3916" s="352"/>
      <c r="M3916" s="352"/>
      <c r="N3916" s="352"/>
      <c r="O3916" s="352"/>
      <c r="P3916" s="352"/>
      <c r="Q3916" s="352"/>
      <c r="R3916" s="352"/>
      <c r="S3916" s="352"/>
      <c r="T3916" s="352"/>
      <c r="U3916" s="352"/>
      <c r="V3916" s="352"/>
      <c r="W3916" s="352"/>
      <c r="X3916" s="352"/>
      <c r="Y3916" s="352"/>
      <c r="Z3916" s="352"/>
      <c r="AA3916" s="352"/>
      <c r="AB3916" s="352"/>
      <c r="AC3916" s="352"/>
      <c r="AD3916" s="352"/>
      <c r="AE3916" s="352"/>
      <c r="AF3916" s="352"/>
      <c r="AG3916" s="352"/>
      <c r="AH3916" s="352"/>
      <c r="AI3916" s="352"/>
      <c r="AJ3916" s="352"/>
    </row>
    <row r="3917" spans="2:36">
      <c r="B3917" s="352"/>
      <c r="C3917" s="352"/>
      <c r="D3917" s="352"/>
      <c r="E3917" s="352"/>
      <c r="F3917" s="352"/>
      <c r="H3917" s="352"/>
      <c r="J3917" s="352"/>
      <c r="L3917" s="352"/>
      <c r="M3917" s="352"/>
      <c r="N3917" s="352"/>
      <c r="O3917" s="352"/>
      <c r="P3917" s="352"/>
      <c r="Q3917" s="352"/>
      <c r="R3917" s="352"/>
      <c r="S3917" s="352"/>
      <c r="T3917" s="352"/>
      <c r="U3917" s="352"/>
      <c r="V3917" s="352"/>
      <c r="W3917" s="352"/>
      <c r="X3917" s="352"/>
      <c r="Y3917" s="352"/>
      <c r="Z3917" s="352"/>
      <c r="AA3917" s="352"/>
      <c r="AB3917" s="352"/>
      <c r="AC3917" s="352"/>
      <c r="AD3917" s="352"/>
      <c r="AE3917" s="352"/>
      <c r="AF3917" s="352"/>
      <c r="AG3917" s="352"/>
      <c r="AH3917" s="352"/>
      <c r="AI3917" s="352"/>
      <c r="AJ3917" s="352"/>
    </row>
    <row r="3918" spans="2:36">
      <c r="B3918" s="352"/>
      <c r="C3918" s="352"/>
      <c r="D3918" s="352"/>
      <c r="E3918" s="352"/>
      <c r="F3918" s="352"/>
      <c r="H3918" s="352"/>
      <c r="J3918" s="352"/>
      <c r="L3918" s="352"/>
      <c r="M3918" s="352"/>
      <c r="N3918" s="352"/>
      <c r="O3918" s="352"/>
      <c r="P3918" s="352"/>
      <c r="Q3918" s="352"/>
      <c r="R3918" s="352"/>
      <c r="S3918" s="352"/>
      <c r="T3918" s="352"/>
      <c r="U3918" s="352"/>
      <c r="V3918" s="352"/>
      <c r="W3918" s="352"/>
      <c r="X3918" s="352"/>
      <c r="Y3918" s="352"/>
      <c r="Z3918" s="352"/>
      <c r="AA3918" s="352"/>
      <c r="AB3918" s="352"/>
      <c r="AC3918" s="352"/>
      <c r="AD3918" s="352"/>
      <c r="AE3918" s="352"/>
      <c r="AF3918" s="352"/>
      <c r="AG3918" s="352"/>
      <c r="AH3918" s="352"/>
      <c r="AI3918" s="352"/>
      <c r="AJ3918" s="352"/>
    </row>
    <row r="3919" spans="2:36">
      <c r="B3919" s="352"/>
      <c r="C3919" s="352"/>
      <c r="D3919" s="352"/>
      <c r="E3919" s="352"/>
      <c r="F3919" s="352"/>
      <c r="H3919" s="352"/>
      <c r="J3919" s="352"/>
      <c r="L3919" s="352"/>
      <c r="M3919" s="352"/>
      <c r="N3919" s="352"/>
      <c r="O3919" s="352"/>
      <c r="P3919" s="352"/>
      <c r="Q3919" s="352"/>
      <c r="R3919" s="352"/>
      <c r="S3919" s="352"/>
      <c r="T3919" s="352"/>
      <c r="U3919" s="352"/>
      <c r="V3919" s="352"/>
      <c r="W3919" s="352"/>
      <c r="X3919" s="352"/>
      <c r="Y3919" s="352"/>
      <c r="Z3919" s="352"/>
      <c r="AA3919" s="352"/>
      <c r="AB3919" s="352"/>
      <c r="AC3919" s="352"/>
      <c r="AD3919" s="352"/>
      <c r="AE3919" s="352"/>
      <c r="AF3919" s="352"/>
      <c r="AG3919" s="352"/>
      <c r="AH3919" s="352"/>
      <c r="AI3919" s="352"/>
      <c r="AJ3919" s="352"/>
    </row>
    <row r="3920" spans="2:36">
      <c r="B3920" s="352"/>
      <c r="C3920" s="352"/>
      <c r="D3920" s="352"/>
      <c r="E3920" s="352"/>
      <c r="F3920" s="352"/>
      <c r="H3920" s="352"/>
      <c r="J3920" s="352"/>
      <c r="L3920" s="352"/>
      <c r="M3920" s="352"/>
      <c r="N3920" s="352"/>
      <c r="O3920" s="352"/>
      <c r="P3920" s="352"/>
      <c r="Q3920" s="352"/>
      <c r="R3920" s="352"/>
      <c r="S3920" s="352"/>
      <c r="T3920" s="352"/>
      <c r="U3920" s="352"/>
      <c r="V3920" s="352"/>
      <c r="W3920" s="352"/>
      <c r="X3920" s="352"/>
      <c r="Y3920" s="352"/>
      <c r="Z3920" s="352"/>
      <c r="AA3920" s="352"/>
      <c r="AB3920" s="352"/>
      <c r="AC3920" s="352"/>
      <c r="AD3920" s="352"/>
      <c r="AE3920" s="352"/>
      <c r="AF3920" s="352"/>
      <c r="AG3920" s="352"/>
      <c r="AH3920" s="352"/>
      <c r="AI3920" s="352"/>
      <c r="AJ3920" s="352"/>
    </row>
    <row r="3921" spans="2:36">
      <c r="B3921" s="352"/>
      <c r="C3921" s="352"/>
      <c r="D3921" s="352"/>
      <c r="E3921" s="352"/>
      <c r="F3921" s="352"/>
      <c r="H3921" s="352"/>
      <c r="J3921" s="352"/>
      <c r="L3921" s="352"/>
      <c r="M3921" s="352"/>
      <c r="N3921" s="352"/>
      <c r="O3921" s="352"/>
      <c r="P3921" s="352"/>
      <c r="Q3921" s="352"/>
      <c r="R3921" s="352"/>
      <c r="S3921" s="352"/>
      <c r="T3921" s="352"/>
      <c r="U3921" s="352"/>
      <c r="V3921" s="352"/>
      <c r="W3921" s="352"/>
      <c r="X3921" s="352"/>
      <c r="Y3921" s="352"/>
      <c r="Z3921" s="352"/>
      <c r="AA3921" s="352"/>
      <c r="AB3921" s="352"/>
      <c r="AC3921" s="352"/>
      <c r="AD3921" s="352"/>
      <c r="AE3921" s="352"/>
      <c r="AF3921" s="352"/>
      <c r="AG3921" s="352"/>
      <c r="AH3921" s="352"/>
      <c r="AI3921" s="352"/>
      <c r="AJ3921" s="352"/>
    </row>
    <row r="3922" spans="2:36">
      <c r="B3922" s="352"/>
      <c r="C3922" s="352"/>
      <c r="D3922" s="352"/>
      <c r="E3922" s="352"/>
      <c r="F3922" s="352"/>
      <c r="H3922" s="352"/>
      <c r="J3922" s="352"/>
      <c r="L3922" s="352"/>
      <c r="M3922" s="352"/>
      <c r="N3922" s="352"/>
      <c r="O3922" s="352"/>
      <c r="P3922" s="352"/>
      <c r="Q3922" s="352"/>
      <c r="R3922" s="352"/>
      <c r="S3922" s="352"/>
      <c r="T3922" s="352"/>
      <c r="U3922" s="352"/>
      <c r="V3922" s="352"/>
      <c r="W3922" s="352"/>
      <c r="X3922" s="352"/>
      <c r="Y3922" s="352"/>
      <c r="Z3922" s="352"/>
      <c r="AA3922" s="352"/>
      <c r="AB3922" s="352"/>
      <c r="AC3922" s="352"/>
      <c r="AD3922" s="352"/>
      <c r="AE3922" s="352"/>
      <c r="AF3922" s="352"/>
      <c r="AG3922" s="352"/>
      <c r="AH3922" s="352"/>
      <c r="AI3922" s="352"/>
      <c r="AJ3922" s="352"/>
    </row>
    <row r="3923" spans="2:36">
      <c r="B3923" s="352"/>
      <c r="C3923" s="352"/>
      <c r="D3923" s="352"/>
      <c r="E3923" s="352"/>
      <c r="F3923" s="352"/>
      <c r="H3923" s="352"/>
      <c r="J3923" s="352"/>
      <c r="L3923" s="352"/>
      <c r="M3923" s="352"/>
      <c r="N3923" s="352"/>
      <c r="O3923" s="352"/>
      <c r="P3923" s="352"/>
      <c r="Q3923" s="352"/>
      <c r="R3923" s="352"/>
      <c r="S3923" s="352"/>
      <c r="T3923" s="352"/>
      <c r="U3923" s="352"/>
      <c r="V3923" s="352"/>
      <c r="W3923" s="352"/>
      <c r="X3923" s="352"/>
      <c r="Y3923" s="352"/>
      <c r="Z3923" s="352"/>
      <c r="AA3923" s="352"/>
      <c r="AB3923" s="352"/>
      <c r="AC3923" s="352"/>
      <c r="AD3923" s="352"/>
      <c r="AE3923" s="352"/>
      <c r="AF3923" s="352"/>
      <c r="AG3923" s="352"/>
      <c r="AH3923" s="352"/>
      <c r="AI3923" s="352"/>
      <c r="AJ3923" s="352"/>
    </row>
    <row r="3924" spans="2:36">
      <c r="B3924" s="352"/>
      <c r="C3924" s="352"/>
      <c r="D3924" s="352"/>
      <c r="E3924" s="352"/>
      <c r="F3924" s="352"/>
      <c r="H3924" s="352"/>
      <c r="J3924" s="352"/>
      <c r="L3924" s="352"/>
      <c r="M3924" s="352"/>
      <c r="N3924" s="352"/>
      <c r="O3924" s="352"/>
      <c r="P3924" s="352"/>
      <c r="Q3924" s="352"/>
      <c r="R3924" s="352"/>
      <c r="S3924" s="352"/>
      <c r="T3924" s="352"/>
      <c r="U3924" s="352"/>
      <c r="V3924" s="352"/>
      <c r="W3924" s="352"/>
      <c r="X3924" s="352"/>
      <c r="Y3924" s="352"/>
      <c r="Z3924" s="352"/>
      <c r="AA3924" s="352"/>
      <c r="AB3924" s="352"/>
      <c r="AC3924" s="352"/>
      <c r="AD3924" s="352"/>
      <c r="AE3924" s="352"/>
      <c r="AF3924" s="352"/>
      <c r="AG3924" s="352"/>
      <c r="AH3924" s="352"/>
      <c r="AI3924" s="352"/>
      <c r="AJ3924" s="352"/>
    </row>
    <row r="3925" spans="2:36">
      <c r="B3925" s="352"/>
      <c r="C3925" s="352"/>
      <c r="D3925" s="352"/>
      <c r="E3925" s="352"/>
      <c r="F3925" s="352"/>
      <c r="H3925" s="352"/>
      <c r="J3925" s="352"/>
      <c r="L3925" s="352"/>
      <c r="M3925" s="352"/>
      <c r="N3925" s="352"/>
      <c r="O3925" s="352"/>
      <c r="P3925" s="352"/>
      <c r="Q3925" s="352"/>
      <c r="R3925" s="352"/>
      <c r="S3925" s="352"/>
      <c r="T3925" s="352"/>
      <c r="U3925" s="352"/>
      <c r="V3925" s="352"/>
      <c r="W3925" s="352"/>
      <c r="X3925" s="352"/>
      <c r="Y3925" s="352"/>
      <c r="Z3925" s="352"/>
      <c r="AA3925" s="352"/>
      <c r="AB3925" s="352"/>
      <c r="AC3925" s="352"/>
      <c r="AD3925" s="352"/>
      <c r="AE3925" s="352"/>
      <c r="AF3925" s="352"/>
      <c r="AG3925" s="352"/>
      <c r="AH3925" s="352"/>
      <c r="AI3925" s="352"/>
      <c r="AJ3925" s="352"/>
    </row>
    <row r="3926" spans="2:36">
      <c r="B3926" s="352"/>
      <c r="C3926" s="352"/>
      <c r="D3926" s="352"/>
      <c r="E3926" s="352"/>
      <c r="F3926" s="352"/>
      <c r="H3926" s="352"/>
      <c r="J3926" s="352"/>
      <c r="L3926" s="352"/>
      <c r="M3926" s="352"/>
      <c r="N3926" s="352"/>
      <c r="O3926" s="352"/>
      <c r="P3926" s="352"/>
      <c r="Q3926" s="352"/>
      <c r="R3926" s="352"/>
      <c r="S3926" s="352"/>
      <c r="T3926" s="352"/>
      <c r="U3926" s="352"/>
      <c r="V3926" s="352"/>
      <c r="W3926" s="352"/>
      <c r="X3926" s="352"/>
      <c r="Y3926" s="352"/>
      <c r="Z3926" s="352"/>
      <c r="AA3926" s="352"/>
      <c r="AB3926" s="352"/>
      <c r="AC3926" s="352"/>
      <c r="AD3926" s="352"/>
      <c r="AE3926" s="352"/>
      <c r="AF3926" s="352"/>
      <c r="AG3926" s="352"/>
      <c r="AH3926" s="352"/>
      <c r="AI3926" s="352"/>
      <c r="AJ3926" s="352"/>
    </row>
    <row r="3927" spans="2:36">
      <c r="B3927" s="352"/>
      <c r="C3927" s="352"/>
      <c r="D3927" s="352"/>
      <c r="E3927" s="352"/>
      <c r="F3927" s="352"/>
      <c r="H3927" s="352"/>
      <c r="J3927" s="352"/>
      <c r="L3927" s="352"/>
      <c r="M3927" s="352"/>
      <c r="N3927" s="352"/>
      <c r="O3927" s="352"/>
      <c r="P3927" s="352"/>
      <c r="Q3927" s="352"/>
      <c r="R3927" s="352"/>
      <c r="S3927" s="352"/>
      <c r="T3927" s="352"/>
      <c r="U3927" s="352"/>
      <c r="V3927" s="352"/>
      <c r="W3927" s="352"/>
      <c r="X3927" s="352"/>
      <c r="Y3927" s="352"/>
      <c r="Z3927" s="352"/>
      <c r="AA3927" s="352"/>
      <c r="AB3927" s="352"/>
      <c r="AC3927" s="352"/>
      <c r="AD3927" s="352"/>
      <c r="AE3927" s="352"/>
      <c r="AF3927" s="352"/>
      <c r="AG3927" s="352"/>
      <c r="AH3927" s="352"/>
      <c r="AI3927" s="352"/>
      <c r="AJ3927" s="352"/>
    </row>
    <row r="3928" spans="2:36">
      <c r="B3928" s="352"/>
      <c r="C3928" s="352"/>
      <c r="D3928" s="352"/>
      <c r="E3928" s="352"/>
      <c r="F3928" s="352"/>
      <c r="H3928" s="352"/>
      <c r="J3928" s="352"/>
      <c r="L3928" s="352"/>
      <c r="M3928" s="352"/>
      <c r="N3928" s="352"/>
      <c r="O3928" s="352"/>
      <c r="P3928" s="352"/>
      <c r="Q3928" s="352"/>
      <c r="R3928" s="352"/>
      <c r="S3928" s="352"/>
      <c r="T3928" s="352"/>
      <c r="U3928" s="352"/>
      <c r="V3928" s="352"/>
      <c r="W3928" s="352"/>
      <c r="X3928" s="352"/>
      <c r="Y3928" s="352"/>
      <c r="Z3928" s="352"/>
      <c r="AA3928" s="352"/>
      <c r="AB3928" s="352"/>
      <c r="AC3928" s="352"/>
      <c r="AD3928" s="352"/>
      <c r="AE3928" s="352"/>
      <c r="AF3928" s="352"/>
      <c r="AG3928" s="352"/>
      <c r="AH3928" s="352"/>
      <c r="AI3928" s="352"/>
      <c r="AJ3928" s="352"/>
    </row>
    <row r="3929" spans="2:36">
      <c r="B3929" s="352"/>
      <c r="C3929" s="352"/>
      <c r="D3929" s="352"/>
      <c r="E3929" s="352"/>
      <c r="F3929" s="352"/>
      <c r="H3929" s="352"/>
      <c r="J3929" s="352"/>
      <c r="L3929" s="352"/>
      <c r="M3929" s="352"/>
      <c r="N3929" s="352"/>
      <c r="O3929" s="352"/>
      <c r="P3929" s="352"/>
      <c r="Q3929" s="352"/>
      <c r="R3929" s="352"/>
      <c r="S3929" s="352"/>
      <c r="T3929" s="352"/>
      <c r="U3929" s="352"/>
      <c r="V3929" s="352"/>
      <c r="W3929" s="352"/>
      <c r="X3929" s="352"/>
      <c r="Y3929" s="352"/>
      <c r="Z3929" s="352"/>
      <c r="AA3929" s="352"/>
      <c r="AB3929" s="352"/>
      <c r="AC3929" s="352"/>
      <c r="AD3929" s="352"/>
      <c r="AE3929" s="352"/>
      <c r="AF3929" s="352"/>
      <c r="AG3929" s="352"/>
      <c r="AH3929" s="352"/>
      <c r="AI3929" s="352"/>
      <c r="AJ3929" s="352"/>
    </row>
    <row r="3930" spans="2:36">
      <c r="B3930" s="352"/>
      <c r="C3930" s="352"/>
      <c r="D3930" s="352"/>
      <c r="E3930" s="352"/>
      <c r="F3930" s="352"/>
      <c r="H3930" s="352"/>
      <c r="J3930" s="352"/>
      <c r="L3930" s="352"/>
      <c r="M3930" s="352"/>
      <c r="N3930" s="352"/>
      <c r="O3930" s="352"/>
      <c r="P3930" s="352"/>
      <c r="Q3930" s="352"/>
      <c r="R3930" s="352"/>
      <c r="S3930" s="352"/>
      <c r="T3930" s="352"/>
      <c r="U3930" s="352"/>
      <c r="V3930" s="352"/>
      <c r="W3930" s="352"/>
      <c r="X3930" s="352"/>
      <c r="Y3930" s="352"/>
      <c r="Z3930" s="352"/>
      <c r="AA3930" s="352"/>
      <c r="AB3930" s="352"/>
      <c r="AC3930" s="352"/>
      <c r="AD3930" s="352"/>
      <c r="AE3930" s="352"/>
      <c r="AF3930" s="352"/>
      <c r="AG3930" s="352"/>
      <c r="AH3930" s="352"/>
      <c r="AI3930" s="352"/>
      <c r="AJ3930" s="352"/>
    </row>
    <row r="3931" spans="2:36">
      <c r="B3931" s="352"/>
      <c r="C3931" s="352"/>
      <c r="D3931" s="352"/>
      <c r="E3931" s="352"/>
      <c r="F3931" s="352"/>
      <c r="H3931" s="352"/>
      <c r="J3931" s="352"/>
      <c r="L3931" s="352"/>
      <c r="M3931" s="352"/>
      <c r="N3931" s="352"/>
      <c r="O3931" s="352"/>
      <c r="P3931" s="352"/>
      <c r="Q3931" s="352"/>
      <c r="R3931" s="352"/>
      <c r="S3931" s="352"/>
      <c r="T3931" s="352"/>
      <c r="U3931" s="352"/>
      <c r="V3931" s="352"/>
      <c r="W3931" s="352"/>
      <c r="X3931" s="352"/>
      <c r="Y3931" s="352"/>
      <c r="Z3931" s="352"/>
      <c r="AA3931" s="352"/>
      <c r="AB3931" s="352"/>
      <c r="AC3931" s="352"/>
      <c r="AD3931" s="352"/>
      <c r="AE3931" s="352"/>
      <c r="AF3931" s="352"/>
      <c r="AG3931" s="352"/>
      <c r="AH3931" s="352"/>
      <c r="AI3931" s="352"/>
      <c r="AJ3931" s="352"/>
    </row>
    <row r="3932" spans="2:36">
      <c r="B3932" s="352"/>
      <c r="C3932" s="352"/>
      <c r="D3932" s="352"/>
      <c r="E3932" s="352"/>
      <c r="F3932" s="352"/>
      <c r="H3932" s="352"/>
      <c r="J3932" s="352"/>
      <c r="L3932" s="352"/>
      <c r="M3932" s="352"/>
      <c r="N3932" s="352"/>
      <c r="O3932" s="352"/>
      <c r="P3932" s="352"/>
      <c r="Q3932" s="352"/>
      <c r="R3932" s="352"/>
      <c r="S3932" s="352"/>
      <c r="T3932" s="352"/>
      <c r="U3932" s="352"/>
      <c r="V3932" s="352"/>
      <c r="W3932" s="352"/>
      <c r="X3932" s="352"/>
      <c r="Y3932" s="352"/>
      <c r="Z3932" s="352"/>
      <c r="AA3932" s="352"/>
      <c r="AB3932" s="352"/>
      <c r="AC3932" s="352"/>
      <c r="AD3932" s="352"/>
      <c r="AE3932" s="352"/>
      <c r="AF3932" s="352"/>
      <c r="AG3932" s="352"/>
      <c r="AH3932" s="352"/>
      <c r="AI3932" s="352"/>
      <c r="AJ3932" s="352"/>
    </row>
    <row r="3933" spans="2:36">
      <c r="B3933" s="352"/>
      <c r="C3933" s="352"/>
      <c r="D3933" s="352"/>
      <c r="E3933" s="352"/>
      <c r="F3933" s="352"/>
      <c r="H3933" s="352"/>
      <c r="J3933" s="352"/>
      <c r="L3933" s="352"/>
      <c r="M3933" s="352"/>
      <c r="N3933" s="352"/>
      <c r="O3933" s="352"/>
      <c r="P3933" s="352"/>
      <c r="Q3933" s="352"/>
      <c r="R3933" s="352"/>
      <c r="S3933" s="352"/>
      <c r="T3933" s="352"/>
      <c r="U3933" s="352"/>
      <c r="V3933" s="352"/>
      <c r="W3933" s="352"/>
      <c r="X3933" s="352"/>
      <c r="Y3933" s="352"/>
      <c r="Z3933" s="352"/>
      <c r="AA3933" s="352"/>
      <c r="AB3933" s="352"/>
      <c r="AC3933" s="352"/>
      <c r="AD3933" s="352"/>
      <c r="AE3933" s="352"/>
      <c r="AF3933" s="352"/>
      <c r="AG3933" s="352"/>
      <c r="AH3933" s="352"/>
      <c r="AI3933" s="352"/>
      <c r="AJ3933" s="352"/>
    </row>
    <row r="3934" spans="2:36">
      <c r="B3934" s="352"/>
      <c r="C3934" s="352"/>
      <c r="D3934" s="352"/>
      <c r="E3934" s="352"/>
      <c r="F3934" s="352"/>
      <c r="H3934" s="352"/>
      <c r="J3934" s="352"/>
      <c r="L3934" s="352"/>
      <c r="M3934" s="352"/>
      <c r="N3934" s="352"/>
      <c r="O3934" s="352"/>
      <c r="P3934" s="352"/>
      <c r="Q3934" s="352"/>
      <c r="R3934" s="352"/>
      <c r="S3934" s="352"/>
      <c r="T3934" s="352"/>
      <c r="U3934" s="352"/>
      <c r="V3934" s="352"/>
      <c r="W3934" s="352"/>
      <c r="X3934" s="352"/>
      <c r="Y3934" s="352"/>
      <c r="Z3934" s="352"/>
      <c r="AA3934" s="352"/>
      <c r="AB3934" s="352"/>
      <c r="AC3934" s="352"/>
      <c r="AD3934" s="352"/>
      <c r="AE3934" s="352"/>
      <c r="AF3934" s="352"/>
      <c r="AG3934" s="352"/>
      <c r="AH3934" s="352"/>
      <c r="AI3934" s="352"/>
      <c r="AJ3934" s="352"/>
    </row>
    <row r="3935" spans="2:36">
      <c r="B3935" s="352"/>
      <c r="C3935" s="352"/>
      <c r="D3935" s="352"/>
      <c r="E3935" s="352"/>
      <c r="F3935" s="352"/>
      <c r="H3935" s="352"/>
      <c r="J3935" s="352"/>
      <c r="L3935" s="352"/>
      <c r="M3935" s="352"/>
      <c r="N3935" s="352"/>
      <c r="O3935" s="352"/>
      <c r="P3935" s="352"/>
      <c r="Q3935" s="352"/>
      <c r="R3935" s="352"/>
      <c r="S3935" s="352"/>
      <c r="T3935" s="352"/>
      <c r="U3935" s="352"/>
      <c r="V3935" s="352"/>
      <c r="W3935" s="352"/>
      <c r="X3935" s="352"/>
      <c r="Y3935" s="352"/>
      <c r="Z3935" s="352"/>
      <c r="AA3935" s="352"/>
      <c r="AB3935" s="352"/>
      <c r="AC3935" s="352"/>
      <c r="AD3935" s="352"/>
      <c r="AE3935" s="352"/>
      <c r="AF3935" s="352"/>
      <c r="AG3935" s="352"/>
      <c r="AH3935" s="352"/>
      <c r="AI3935" s="352"/>
      <c r="AJ3935" s="352"/>
    </row>
    <row r="3936" spans="2:36">
      <c r="B3936" s="352"/>
      <c r="C3936" s="352"/>
      <c r="D3936" s="352"/>
      <c r="E3936" s="352"/>
      <c r="F3936" s="352"/>
      <c r="H3936" s="352"/>
      <c r="J3936" s="352"/>
      <c r="L3936" s="352"/>
      <c r="M3936" s="352"/>
      <c r="N3936" s="352"/>
      <c r="O3936" s="352"/>
      <c r="P3936" s="352"/>
      <c r="Q3936" s="352"/>
      <c r="R3936" s="352"/>
      <c r="S3936" s="352"/>
      <c r="T3936" s="352"/>
      <c r="U3936" s="352"/>
      <c r="V3936" s="352"/>
      <c r="W3936" s="352"/>
      <c r="X3936" s="352"/>
      <c r="Y3936" s="352"/>
      <c r="Z3936" s="352"/>
      <c r="AA3936" s="352"/>
      <c r="AB3936" s="352"/>
      <c r="AC3936" s="352"/>
      <c r="AD3936" s="352"/>
      <c r="AE3936" s="352"/>
      <c r="AF3936" s="352"/>
      <c r="AG3936" s="352"/>
      <c r="AH3936" s="352"/>
      <c r="AI3936" s="352"/>
      <c r="AJ3936" s="352"/>
    </row>
    <row r="3937" spans="2:36">
      <c r="B3937" s="352"/>
      <c r="C3937" s="352"/>
      <c r="D3937" s="352"/>
      <c r="E3937" s="352"/>
      <c r="F3937" s="352"/>
      <c r="H3937" s="352"/>
      <c r="J3937" s="352"/>
      <c r="L3937" s="352"/>
      <c r="M3937" s="352"/>
      <c r="N3937" s="352"/>
      <c r="O3937" s="352"/>
      <c r="P3937" s="352"/>
      <c r="Q3937" s="352"/>
      <c r="R3937" s="352"/>
      <c r="S3937" s="352"/>
      <c r="T3937" s="352"/>
      <c r="U3937" s="352"/>
      <c r="V3937" s="352"/>
      <c r="W3937" s="352"/>
      <c r="X3937" s="352"/>
      <c r="Y3937" s="352"/>
      <c r="Z3937" s="352"/>
      <c r="AA3937" s="352"/>
      <c r="AB3937" s="352"/>
      <c r="AC3937" s="352"/>
      <c r="AD3937" s="352"/>
      <c r="AE3937" s="352"/>
      <c r="AF3937" s="352"/>
      <c r="AG3937" s="352"/>
      <c r="AH3937" s="352"/>
      <c r="AI3937" s="352"/>
      <c r="AJ3937" s="352"/>
    </row>
    <row r="3938" spans="2:36">
      <c r="B3938" s="352"/>
      <c r="C3938" s="352"/>
      <c r="D3938" s="352"/>
      <c r="E3938" s="352"/>
      <c r="F3938" s="352"/>
      <c r="H3938" s="352"/>
      <c r="J3938" s="352"/>
      <c r="L3938" s="352"/>
      <c r="M3938" s="352"/>
      <c r="N3938" s="352"/>
      <c r="O3938" s="352"/>
      <c r="P3938" s="352"/>
      <c r="Q3938" s="352"/>
      <c r="R3938" s="352"/>
      <c r="S3938" s="352"/>
      <c r="T3938" s="352"/>
      <c r="U3938" s="352"/>
      <c r="V3938" s="352"/>
      <c r="W3938" s="352"/>
      <c r="X3938" s="352"/>
      <c r="Y3938" s="352"/>
      <c r="Z3938" s="352"/>
      <c r="AA3938" s="352"/>
      <c r="AB3938" s="352"/>
      <c r="AC3938" s="352"/>
      <c r="AD3938" s="352"/>
      <c r="AE3938" s="352"/>
      <c r="AF3938" s="352"/>
      <c r="AG3938" s="352"/>
      <c r="AH3938" s="352"/>
      <c r="AI3938" s="352"/>
      <c r="AJ3938" s="352"/>
    </row>
    <row r="3939" spans="2:36">
      <c r="B3939" s="352"/>
      <c r="C3939" s="352"/>
      <c r="D3939" s="352"/>
      <c r="E3939" s="352"/>
      <c r="F3939" s="352"/>
      <c r="H3939" s="352"/>
      <c r="J3939" s="352"/>
      <c r="L3939" s="352"/>
      <c r="M3939" s="352"/>
      <c r="N3939" s="352"/>
      <c r="O3939" s="352"/>
      <c r="P3939" s="352"/>
      <c r="Q3939" s="352"/>
      <c r="R3939" s="352"/>
      <c r="S3939" s="352"/>
      <c r="T3939" s="352"/>
      <c r="U3939" s="352"/>
      <c r="V3939" s="352"/>
      <c r="W3939" s="352"/>
      <c r="X3939" s="352"/>
      <c r="Y3939" s="352"/>
      <c r="Z3939" s="352"/>
      <c r="AA3939" s="352"/>
      <c r="AB3939" s="352"/>
      <c r="AC3939" s="352"/>
      <c r="AD3939" s="352"/>
      <c r="AE3939" s="352"/>
      <c r="AF3939" s="352"/>
      <c r="AG3939" s="352"/>
      <c r="AH3939" s="352"/>
      <c r="AI3939" s="352"/>
      <c r="AJ3939" s="352"/>
    </row>
    <row r="3940" spans="2:36">
      <c r="B3940" s="352"/>
      <c r="C3940" s="352"/>
      <c r="D3940" s="352"/>
      <c r="E3940" s="352"/>
      <c r="F3940" s="352"/>
      <c r="H3940" s="352"/>
      <c r="J3940" s="352"/>
      <c r="L3940" s="352"/>
      <c r="M3940" s="352"/>
      <c r="N3940" s="352"/>
      <c r="O3940" s="352"/>
      <c r="P3940" s="352"/>
      <c r="Q3940" s="352"/>
      <c r="R3940" s="352"/>
      <c r="S3940" s="352"/>
      <c r="T3940" s="352"/>
      <c r="U3940" s="352"/>
      <c r="V3940" s="352"/>
      <c r="W3940" s="352"/>
      <c r="X3940" s="352"/>
      <c r="Y3940" s="352"/>
      <c r="Z3940" s="352"/>
      <c r="AA3940" s="352"/>
      <c r="AB3940" s="352"/>
      <c r="AC3940" s="352"/>
      <c r="AD3940" s="352"/>
      <c r="AE3940" s="352"/>
      <c r="AF3940" s="352"/>
      <c r="AG3940" s="352"/>
      <c r="AH3940" s="352"/>
      <c r="AI3940" s="352"/>
      <c r="AJ3940" s="352"/>
    </row>
    <row r="3941" spans="2:36">
      <c r="B3941" s="352"/>
      <c r="C3941" s="352"/>
      <c r="D3941" s="352"/>
      <c r="E3941" s="352"/>
      <c r="F3941" s="352"/>
      <c r="H3941" s="352"/>
      <c r="J3941" s="352"/>
      <c r="L3941" s="352"/>
      <c r="M3941" s="352"/>
      <c r="N3941" s="352"/>
      <c r="O3941" s="352"/>
      <c r="P3941" s="352"/>
      <c r="Q3941" s="352"/>
      <c r="R3941" s="352"/>
      <c r="S3941" s="352"/>
      <c r="T3941" s="352"/>
      <c r="U3941" s="352"/>
      <c r="V3941" s="352"/>
      <c r="W3941" s="352"/>
      <c r="X3941" s="352"/>
      <c r="Y3941" s="352"/>
      <c r="Z3941" s="352"/>
      <c r="AA3941" s="352"/>
      <c r="AB3941" s="352"/>
      <c r="AC3941" s="352"/>
      <c r="AD3941" s="352"/>
      <c r="AE3941" s="352"/>
      <c r="AF3941" s="352"/>
      <c r="AG3941" s="352"/>
      <c r="AH3941" s="352"/>
      <c r="AI3941" s="352"/>
      <c r="AJ3941" s="352"/>
    </row>
    <row r="3942" spans="2:36">
      <c r="B3942" s="352"/>
      <c r="C3942" s="352"/>
      <c r="D3942" s="352"/>
      <c r="E3942" s="352"/>
      <c r="F3942" s="352"/>
      <c r="H3942" s="352"/>
      <c r="J3942" s="352"/>
      <c r="L3942" s="352"/>
      <c r="M3942" s="352"/>
      <c r="N3942" s="352"/>
      <c r="O3942" s="352"/>
      <c r="P3942" s="352"/>
      <c r="Q3942" s="352"/>
      <c r="R3942" s="352"/>
      <c r="S3942" s="352"/>
      <c r="T3942" s="352"/>
      <c r="U3942" s="352"/>
      <c r="V3942" s="352"/>
      <c r="W3942" s="352"/>
      <c r="X3942" s="352"/>
      <c r="Y3942" s="352"/>
      <c r="Z3942" s="352"/>
      <c r="AA3942" s="352"/>
      <c r="AB3942" s="352"/>
      <c r="AC3942" s="352"/>
      <c r="AD3942" s="352"/>
      <c r="AE3942" s="352"/>
      <c r="AF3942" s="352"/>
      <c r="AG3942" s="352"/>
      <c r="AH3942" s="352"/>
      <c r="AI3942" s="352"/>
      <c r="AJ3942" s="352"/>
    </row>
    <row r="3943" spans="2:36">
      <c r="B3943" s="352"/>
      <c r="C3943" s="352"/>
      <c r="D3943" s="352"/>
      <c r="E3943" s="352"/>
      <c r="F3943" s="352"/>
      <c r="H3943" s="352"/>
      <c r="J3943" s="352"/>
      <c r="L3943" s="352"/>
      <c r="M3943" s="352"/>
      <c r="N3943" s="352"/>
      <c r="O3943" s="352"/>
      <c r="P3943" s="352"/>
      <c r="Q3943" s="352"/>
      <c r="R3943" s="352"/>
      <c r="S3943" s="352"/>
      <c r="T3943" s="352"/>
      <c r="U3943" s="352"/>
      <c r="V3943" s="352"/>
      <c r="W3943" s="352"/>
      <c r="X3943" s="352"/>
      <c r="Y3943" s="352"/>
      <c r="Z3943" s="352"/>
      <c r="AA3943" s="352"/>
      <c r="AB3943" s="352"/>
      <c r="AC3943" s="352"/>
      <c r="AD3943" s="352"/>
      <c r="AE3943" s="352"/>
      <c r="AF3943" s="352"/>
      <c r="AG3943" s="352"/>
      <c r="AH3943" s="352"/>
      <c r="AI3943" s="352"/>
      <c r="AJ3943" s="352"/>
    </row>
    <row r="3944" spans="2:36">
      <c r="B3944" s="352"/>
      <c r="C3944" s="352"/>
      <c r="D3944" s="352"/>
      <c r="E3944" s="352"/>
      <c r="F3944" s="352"/>
      <c r="H3944" s="352"/>
      <c r="J3944" s="352"/>
      <c r="L3944" s="352"/>
      <c r="M3944" s="352"/>
      <c r="N3944" s="352"/>
      <c r="O3944" s="352"/>
      <c r="P3944" s="352"/>
      <c r="Q3944" s="352"/>
      <c r="R3944" s="352"/>
      <c r="S3944" s="352"/>
      <c r="T3944" s="352"/>
      <c r="U3944" s="352"/>
      <c r="V3944" s="352"/>
      <c r="W3944" s="352"/>
      <c r="X3944" s="352"/>
      <c r="Y3944" s="352"/>
      <c r="Z3944" s="352"/>
      <c r="AA3944" s="352"/>
      <c r="AB3944" s="352"/>
      <c r="AC3944" s="352"/>
      <c r="AD3944" s="352"/>
      <c r="AE3944" s="352"/>
      <c r="AF3944" s="352"/>
      <c r="AG3944" s="352"/>
      <c r="AH3944" s="352"/>
      <c r="AI3944" s="352"/>
      <c r="AJ3944" s="352"/>
    </row>
    <row r="3945" spans="2:36">
      <c r="B3945" s="352"/>
      <c r="C3945" s="352"/>
      <c r="D3945" s="352"/>
      <c r="E3945" s="352"/>
      <c r="F3945" s="352"/>
      <c r="H3945" s="352"/>
      <c r="J3945" s="352"/>
      <c r="L3945" s="352"/>
      <c r="M3945" s="352"/>
      <c r="N3945" s="352"/>
      <c r="O3945" s="352"/>
      <c r="P3945" s="352"/>
      <c r="Q3945" s="352"/>
      <c r="R3945" s="352"/>
      <c r="S3945" s="352"/>
      <c r="T3945" s="352"/>
      <c r="U3945" s="352"/>
      <c r="V3945" s="352"/>
      <c r="W3945" s="352"/>
      <c r="X3945" s="352"/>
      <c r="Y3945" s="352"/>
      <c r="Z3945" s="352"/>
      <c r="AA3945" s="352"/>
      <c r="AB3945" s="352"/>
      <c r="AC3945" s="352"/>
      <c r="AD3945" s="352"/>
      <c r="AE3945" s="352"/>
      <c r="AF3945" s="352"/>
      <c r="AG3945" s="352"/>
      <c r="AH3945" s="352"/>
      <c r="AI3945" s="352"/>
      <c r="AJ3945" s="352"/>
    </row>
    <row r="3946" spans="2:36">
      <c r="B3946" s="352"/>
      <c r="C3946" s="352"/>
      <c r="D3946" s="352"/>
      <c r="E3946" s="352"/>
      <c r="F3946" s="352"/>
      <c r="H3946" s="352"/>
      <c r="J3946" s="352"/>
      <c r="L3946" s="352"/>
      <c r="M3946" s="352"/>
      <c r="N3946" s="352"/>
      <c r="O3946" s="352"/>
      <c r="P3946" s="352"/>
      <c r="Q3946" s="352"/>
      <c r="R3946" s="352"/>
      <c r="S3946" s="352"/>
      <c r="T3946" s="352"/>
      <c r="U3946" s="352"/>
      <c r="V3946" s="352"/>
      <c r="W3946" s="352"/>
      <c r="X3946" s="352"/>
      <c r="Y3946" s="352"/>
      <c r="Z3946" s="352"/>
      <c r="AA3946" s="352"/>
      <c r="AB3946" s="352"/>
      <c r="AC3946" s="352"/>
      <c r="AD3946" s="352"/>
      <c r="AE3946" s="352"/>
      <c r="AF3946" s="352"/>
      <c r="AG3946" s="352"/>
      <c r="AH3946" s="352"/>
      <c r="AI3946" s="352"/>
      <c r="AJ3946" s="352"/>
    </row>
    <row r="3947" spans="2:36">
      <c r="B3947" s="352"/>
      <c r="C3947" s="352"/>
      <c r="D3947" s="352"/>
      <c r="E3947" s="352"/>
      <c r="F3947" s="352"/>
      <c r="H3947" s="352"/>
      <c r="J3947" s="352"/>
      <c r="L3947" s="352"/>
      <c r="M3947" s="352"/>
      <c r="N3947" s="352"/>
      <c r="O3947" s="352"/>
      <c r="P3947" s="352"/>
      <c r="Q3947" s="352"/>
      <c r="R3947" s="352"/>
      <c r="S3947" s="352"/>
      <c r="T3947" s="352"/>
      <c r="U3947" s="352"/>
      <c r="V3947" s="352"/>
      <c r="W3947" s="352"/>
      <c r="X3947" s="352"/>
      <c r="Y3947" s="352"/>
      <c r="Z3947" s="352"/>
      <c r="AA3947" s="352"/>
      <c r="AB3947" s="352"/>
      <c r="AC3947" s="352"/>
      <c r="AD3947" s="352"/>
      <c r="AE3947" s="352"/>
      <c r="AF3947" s="352"/>
      <c r="AG3947" s="352"/>
      <c r="AH3947" s="352"/>
      <c r="AI3947" s="352"/>
      <c r="AJ3947" s="352"/>
    </row>
    <row r="3948" spans="2:36">
      <c r="B3948" s="352"/>
      <c r="C3948" s="352"/>
      <c r="D3948" s="352"/>
      <c r="E3948" s="352"/>
      <c r="F3948" s="352"/>
      <c r="H3948" s="352"/>
      <c r="J3948" s="352"/>
      <c r="L3948" s="352"/>
      <c r="M3948" s="352"/>
      <c r="N3948" s="352"/>
      <c r="O3948" s="352"/>
      <c r="P3948" s="352"/>
      <c r="Q3948" s="352"/>
      <c r="R3948" s="352"/>
      <c r="S3948" s="352"/>
      <c r="T3948" s="352"/>
      <c r="U3948" s="352"/>
      <c r="V3948" s="352"/>
      <c r="W3948" s="352"/>
      <c r="X3948" s="352"/>
      <c r="Y3948" s="352"/>
      <c r="Z3948" s="352"/>
      <c r="AA3948" s="352"/>
      <c r="AB3948" s="352"/>
      <c r="AC3948" s="352"/>
      <c r="AD3948" s="352"/>
      <c r="AE3948" s="352"/>
      <c r="AF3948" s="352"/>
      <c r="AG3948" s="352"/>
      <c r="AH3948" s="352"/>
      <c r="AI3948" s="352"/>
      <c r="AJ3948" s="352"/>
    </row>
    <row r="3949" spans="2:36">
      <c r="B3949" s="352"/>
      <c r="C3949" s="352"/>
      <c r="D3949" s="352"/>
      <c r="E3949" s="352"/>
      <c r="F3949" s="352"/>
      <c r="H3949" s="352"/>
      <c r="J3949" s="352"/>
      <c r="L3949" s="352"/>
      <c r="M3949" s="352"/>
      <c r="N3949" s="352"/>
      <c r="O3949" s="352"/>
      <c r="P3949" s="352"/>
      <c r="Q3949" s="352"/>
      <c r="R3949" s="352"/>
      <c r="S3949" s="352"/>
      <c r="T3949" s="352"/>
      <c r="U3949" s="352"/>
      <c r="V3949" s="352"/>
      <c r="W3949" s="352"/>
      <c r="X3949" s="352"/>
      <c r="Y3949" s="352"/>
      <c r="Z3949" s="352"/>
      <c r="AA3949" s="352"/>
      <c r="AB3949" s="352"/>
      <c r="AC3949" s="352"/>
      <c r="AD3949" s="352"/>
      <c r="AE3949" s="352"/>
      <c r="AF3949" s="352"/>
      <c r="AG3949" s="352"/>
      <c r="AH3949" s="352"/>
      <c r="AI3949" s="352"/>
      <c r="AJ3949" s="352"/>
    </row>
    <row r="3950" spans="2:36">
      <c r="B3950" s="352"/>
      <c r="C3950" s="352"/>
      <c r="D3950" s="352"/>
      <c r="E3950" s="352"/>
      <c r="F3950" s="352"/>
      <c r="H3950" s="352"/>
      <c r="J3950" s="352"/>
      <c r="L3950" s="352"/>
      <c r="M3950" s="352"/>
      <c r="N3950" s="352"/>
      <c r="O3950" s="352"/>
      <c r="P3950" s="352"/>
      <c r="Q3950" s="352"/>
      <c r="R3950" s="352"/>
      <c r="S3950" s="352"/>
      <c r="T3950" s="352"/>
      <c r="U3950" s="352"/>
      <c r="V3950" s="352"/>
      <c r="W3950" s="352"/>
      <c r="X3950" s="352"/>
      <c r="Y3950" s="352"/>
      <c r="Z3950" s="352"/>
      <c r="AA3950" s="352"/>
      <c r="AB3950" s="352"/>
      <c r="AC3950" s="352"/>
      <c r="AD3950" s="352"/>
      <c r="AE3950" s="352"/>
      <c r="AF3950" s="352"/>
      <c r="AG3950" s="352"/>
      <c r="AH3950" s="352"/>
      <c r="AI3950" s="352"/>
      <c r="AJ3950" s="352"/>
    </row>
    <row r="3951" spans="2:36">
      <c r="B3951" s="352"/>
      <c r="C3951" s="352"/>
      <c r="D3951" s="352"/>
      <c r="E3951" s="352"/>
      <c r="F3951" s="352"/>
      <c r="H3951" s="352"/>
      <c r="J3951" s="352"/>
      <c r="L3951" s="352"/>
      <c r="M3951" s="352"/>
      <c r="N3951" s="352"/>
      <c r="O3951" s="352"/>
      <c r="P3951" s="352"/>
      <c r="Q3951" s="352"/>
      <c r="R3951" s="352"/>
      <c r="S3951" s="352"/>
      <c r="T3951" s="352"/>
      <c r="U3951" s="352"/>
      <c r="V3951" s="352"/>
      <c r="W3951" s="352"/>
      <c r="X3951" s="352"/>
      <c r="Y3951" s="352"/>
      <c r="Z3951" s="352"/>
      <c r="AA3951" s="352"/>
      <c r="AB3951" s="352"/>
      <c r="AC3951" s="352"/>
      <c r="AD3951" s="352"/>
      <c r="AE3951" s="352"/>
      <c r="AF3951" s="352"/>
      <c r="AG3951" s="352"/>
      <c r="AH3951" s="352"/>
      <c r="AI3951" s="352"/>
      <c r="AJ3951" s="352"/>
    </row>
    <row r="3952" spans="2:36">
      <c r="B3952" s="352"/>
      <c r="C3952" s="352"/>
      <c r="D3952" s="352"/>
      <c r="E3952" s="352"/>
      <c r="F3952" s="352"/>
      <c r="H3952" s="352"/>
      <c r="J3952" s="352"/>
      <c r="L3952" s="352"/>
      <c r="M3952" s="352"/>
      <c r="N3952" s="352"/>
      <c r="O3952" s="352"/>
      <c r="P3952" s="352"/>
      <c r="Q3952" s="352"/>
      <c r="R3952" s="352"/>
      <c r="S3952" s="352"/>
      <c r="T3952" s="352"/>
      <c r="U3952" s="352"/>
      <c r="V3952" s="352"/>
      <c r="W3952" s="352"/>
      <c r="X3952" s="352"/>
      <c r="Y3952" s="352"/>
      <c r="Z3952" s="352"/>
      <c r="AA3952" s="352"/>
      <c r="AB3952" s="352"/>
      <c r="AC3952" s="352"/>
      <c r="AD3952" s="352"/>
      <c r="AE3952" s="352"/>
      <c r="AF3952" s="352"/>
      <c r="AG3952" s="352"/>
      <c r="AH3952" s="352"/>
      <c r="AI3952" s="352"/>
      <c r="AJ3952" s="352"/>
    </row>
    <row r="3953" spans="2:36">
      <c r="B3953" s="352"/>
      <c r="C3953" s="352"/>
      <c r="D3953" s="352"/>
      <c r="E3953" s="352"/>
      <c r="F3953" s="352"/>
      <c r="H3953" s="352"/>
      <c r="J3953" s="352"/>
      <c r="L3953" s="352"/>
      <c r="M3953" s="352"/>
      <c r="N3953" s="352"/>
      <c r="O3953" s="352"/>
      <c r="P3953" s="352"/>
      <c r="Q3953" s="352"/>
      <c r="R3953" s="352"/>
      <c r="S3953" s="352"/>
      <c r="T3953" s="352"/>
      <c r="U3953" s="352"/>
      <c r="V3953" s="352"/>
      <c r="W3953" s="352"/>
      <c r="X3953" s="352"/>
      <c r="Y3953" s="352"/>
      <c r="Z3953" s="352"/>
      <c r="AA3953" s="352"/>
      <c r="AB3953" s="352"/>
      <c r="AC3953" s="352"/>
      <c r="AD3953" s="352"/>
      <c r="AE3953" s="352"/>
      <c r="AF3953" s="352"/>
      <c r="AG3953" s="352"/>
      <c r="AH3953" s="352"/>
      <c r="AI3953" s="352"/>
      <c r="AJ3953" s="352"/>
    </row>
    <row r="3954" spans="2:36">
      <c r="B3954" s="352"/>
      <c r="C3954" s="352"/>
      <c r="D3954" s="352"/>
      <c r="E3954" s="352"/>
      <c r="F3954" s="352"/>
      <c r="H3954" s="352"/>
      <c r="J3954" s="352"/>
      <c r="L3954" s="352"/>
      <c r="M3954" s="352"/>
      <c r="N3954" s="352"/>
      <c r="O3954" s="352"/>
      <c r="P3954" s="352"/>
      <c r="Q3954" s="352"/>
      <c r="R3954" s="352"/>
      <c r="S3954" s="352"/>
      <c r="T3954" s="352"/>
      <c r="U3954" s="352"/>
      <c r="V3954" s="352"/>
      <c r="W3954" s="352"/>
      <c r="X3954" s="352"/>
      <c r="Y3954" s="352"/>
      <c r="Z3954" s="352"/>
      <c r="AA3954" s="352"/>
      <c r="AB3954" s="352"/>
      <c r="AC3954" s="352"/>
      <c r="AD3954" s="352"/>
      <c r="AE3954" s="352"/>
      <c r="AF3954" s="352"/>
      <c r="AG3954" s="352"/>
      <c r="AH3954" s="352"/>
      <c r="AI3954" s="352"/>
      <c r="AJ3954" s="352"/>
    </row>
    <row r="3955" spans="2:36">
      <c r="B3955" s="352"/>
      <c r="C3955" s="352"/>
      <c r="D3955" s="352"/>
      <c r="E3955" s="352"/>
      <c r="F3955" s="352"/>
      <c r="H3955" s="352"/>
      <c r="J3955" s="352"/>
      <c r="L3955" s="352"/>
      <c r="M3955" s="352"/>
      <c r="N3955" s="352"/>
      <c r="O3955" s="352"/>
      <c r="P3955" s="352"/>
      <c r="Q3955" s="352"/>
      <c r="R3955" s="352"/>
      <c r="S3955" s="352"/>
      <c r="T3955" s="352"/>
      <c r="U3955" s="352"/>
      <c r="V3955" s="352"/>
      <c r="W3955" s="352"/>
      <c r="X3955" s="352"/>
      <c r="Y3955" s="352"/>
      <c r="Z3955" s="352"/>
      <c r="AA3955" s="352"/>
      <c r="AB3955" s="352"/>
      <c r="AC3955" s="352"/>
      <c r="AD3955" s="352"/>
      <c r="AE3955" s="352"/>
      <c r="AF3955" s="352"/>
      <c r="AG3955" s="352"/>
      <c r="AH3955" s="352"/>
      <c r="AI3955" s="352"/>
      <c r="AJ3955" s="352"/>
    </row>
    <row r="3956" spans="2:36">
      <c r="B3956" s="352"/>
      <c r="C3956" s="352"/>
      <c r="D3956" s="352"/>
      <c r="E3956" s="352"/>
      <c r="F3956" s="352"/>
      <c r="H3956" s="352"/>
      <c r="J3956" s="352"/>
      <c r="L3956" s="352"/>
      <c r="M3956" s="352"/>
      <c r="N3956" s="352"/>
      <c r="O3956" s="352"/>
      <c r="P3956" s="352"/>
      <c r="Q3956" s="352"/>
      <c r="R3956" s="352"/>
      <c r="S3956" s="352"/>
      <c r="T3956" s="352"/>
      <c r="U3956" s="352"/>
      <c r="V3956" s="352"/>
      <c r="W3956" s="352"/>
      <c r="X3956" s="352"/>
      <c r="Y3956" s="352"/>
      <c r="Z3956" s="352"/>
      <c r="AA3956" s="352"/>
      <c r="AB3956" s="352"/>
      <c r="AC3956" s="352"/>
      <c r="AD3956" s="352"/>
      <c r="AE3956" s="352"/>
      <c r="AF3956" s="352"/>
      <c r="AG3956" s="352"/>
      <c r="AH3956" s="352"/>
      <c r="AI3956" s="352"/>
      <c r="AJ3956" s="352"/>
    </row>
    <row r="3957" spans="2:36">
      <c r="B3957" s="352"/>
      <c r="C3957" s="352"/>
      <c r="D3957" s="352"/>
      <c r="E3957" s="352"/>
      <c r="F3957" s="352"/>
      <c r="H3957" s="352"/>
      <c r="J3957" s="352"/>
      <c r="L3957" s="352"/>
      <c r="M3957" s="352"/>
      <c r="N3957" s="352"/>
      <c r="O3957" s="352"/>
      <c r="P3957" s="352"/>
      <c r="Q3957" s="352"/>
      <c r="R3957" s="352"/>
      <c r="S3957" s="352"/>
      <c r="T3957" s="352"/>
      <c r="U3957" s="352"/>
      <c r="V3957" s="352"/>
      <c r="W3957" s="352"/>
      <c r="X3957" s="352"/>
      <c r="Y3957" s="352"/>
      <c r="Z3957" s="352"/>
      <c r="AA3957" s="352"/>
      <c r="AB3957" s="352"/>
      <c r="AC3957" s="352"/>
      <c r="AD3957" s="352"/>
      <c r="AE3957" s="352"/>
      <c r="AF3957" s="352"/>
      <c r="AG3957" s="352"/>
      <c r="AH3957" s="352"/>
      <c r="AI3957" s="352"/>
      <c r="AJ3957" s="352"/>
    </row>
    <row r="3958" spans="2:36">
      <c r="B3958" s="352"/>
      <c r="C3958" s="352"/>
      <c r="D3958" s="352"/>
      <c r="E3958" s="352"/>
      <c r="F3958" s="352"/>
      <c r="H3958" s="352"/>
      <c r="J3958" s="352"/>
      <c r="L3958" s="352"/>
      <c r="M3958" s="352"/>
      <c r="N3958" s="352"/>
      <c r="O3958" s="352"/>
      <c r="P3958" s="352"/>
      <c r="Q3958" s="352"/>
      <c r="R3958" s="352"/>
      <c r="S3958" s="352"/>
      <c r="T3958" s="352"/>
      <c r="U3958" s="352"/>
      <c r="V3958" s="352"/>
      <c r="W3958" s="352"/>
      <c r="X3958" s="352"/>
      <c r="Y3958" s="352"/>
      <c r="Z3958" s="352"/>
      <c r="AA3958" s="352"/>
      <c r="AB3958" s="352"/>
      <c r="AC3958" s="352"/>
      <c r="AD3958" s="352"/>
      <c r="AE3958" s="352"/>
      <c r="AF3958" s="352"/>
      <c r="AG3958" s="352"/>
      <c r="AH3958" s="352"/>
      <c r="AI3958" s="352"/>
      <c r="AJ3958" s="352"/>
    </row>
    <row r="3959" spans="2:36">
      <c r="B3959" s="352"/>
      <c r="C3959" s="352"/>
      <c r="D3959" s="352"/>
      <c r="E3959" s="352"/>
      <c r="F3959" s="352"/>
      <c r="H3959" s="352"/>
      <c r="J3959" s="352"/>
      <c r="L3959" s="352"/>
      <c r="M3959" s="352"/>
      <c r="N3959" s="352"/>
      <c r="O3959" s="352"/>
      <c r="P3959" s="352"/>
      <c r="Q3959" s="352"/>
      <c r="R3959" s="352"/>
      <c r="S3959" s="352"/>
      <c r="T3959" s="352"/>
      <c r="U3959" s="352"/>
      <c r="V3959" s="352"/>
      <c r="W3959" s="352"/>
      <c r="X3959" s="352"/>
      <c r="Y3959" s="352"/>
      <c r="Z3959" s="352"/>
      <c r="AA3959" s="352"/>
      <c r="AB3959" s="352"/>
      <c r="AC3959" s="352"/>
      <c r="AD3959" s="352"/>
      <c r="AE3959" s="352"/>
      <c r="AF3959" s="352"/>
      <c r="AG3959" s="352"/>
      <c r="AH3959" s="352"/>
      <c r="AI3959" s="352"/>
      <c r="AJ3959" s="352"/>
    </row>
    <row r="3960" spans="2:36">
      <c r="B3960" s="352"/>
      <c r="C3960" s="352"/>
      <c r="D3960" s="352"/>
      <c r="E3960" s="352"/>
      <c r="F3960" s="352"/>
      <c r="H3960" s="352"/>
      <c r="J3960" s="352"/>
      <c r="L3960" s="352"/>
      <c r="M3960" s="352"/>
      <c r="N3960" s="352"/>
      <c r="O3960" s="352"/>
      <c r="P3960" s="352"/>
      <c r="Q3960" s="352"/>
      <c r="R3960" s="352"/>
      <c r="S3960" s="352"/>
      <c r="T3960" s="352"/>
      <c r="U3960" s="352"/>
      <c r="V3960" s="352"/>
      <c r="W3960" s="352"/>
      <c r="X3960" s="352"/>
      <c r="Y3960" s="352"/>
      <c r="Z3960" s="352"/>
      <c r="AA3960" s="352"/>
      <c r="AB3960" s="352"/>
      <c r="AC3960" s="352"/>
      <c r="AD3960" s="352"/>
      <c r="AE3960" s="352"/>
      <c r="AF3960" s="352"/>
      <c r="AG3960" s="352"/>
      <c r="AH3960" s="352"/>
      <c r="AI3960" s="352"/>
      <c r="AJ3960" s="352"/>
    </row>
    <row r="3961" spans="2:36">
      <c r="B3961" s="352"/>
      <c r="C3961" s="352"/>
      <c r="D3961" s="352"/>
      <c r="E3961" s="352"/>
      <c r="F3961" s="352"/>
      <c r="H3961" s="352"/>
      <c r="J3961" s="352"/>
      <c r="L3961" s="352"/>
      <c r="M3961" s="352"/>
      <c r="N3961" s="352"/>
      <c r="O3961" s="352"/>
      <c r="P3961" s="352"/>
      <c r="Q3961" s="352"/>
      <c r="R3961" s="352"/>
      <c r="S3961" s="352"/>
      <c r="T3961" s="352"/>
      <c r="U3961" s="352"/>
      <c r="V3961" s="352"/>
      <c r="W3961" s="352"/>
      <c r="X3961" s="352"/>
      <c r="Y3961" s="352"/>
      <c r="Z3961" s="352"/>
      <c r="AA3961" s="352"/>
      <c r="AB3961" s="352"/>
      <c r="AC3961" s="352"/>
      <c r="AD3961" s="352"/>
      <c r="AE3961" s="352"/>
      <c r="AF3961" s="352"/>
      <c r="AG3961" s="352"/>
      <c r="AH3961" s="352"/>
      <c r="AI3961" s="352"/>
      <c r="AJ3961" s="352"/>
    </row>
    <row r="3962" spans="2:36">
      <c r="B3962" s="352"/>
      <c r="C3962" s="352"/>
      <c r="D3962" s="352"/>
      <c r="E3962" s="352"/>
      <c r="F3962" s="352"/>
      <c r="H3962" s="352"/>
      <c r="J3962" s="352"/>
      <c r="L3962" s="352"/>
      <c r="M3962" s="352"/>
      <c r="N3962" s="352"/>
      <c r="O3962" s="352"/>
      <c r="P3962" s="352"/>
      <c r="Q3962" s="352"/>
      <c r="R3962" s="352"/>
      <c r="S3962" s="352"/>
      <c r="T3962" s="352"/>
      <c r="U3962" s="352"/>
      <c r="V3962" s="352"/>
      <c r="W3962" s="352"/>
      <c r="X3962" s="352"/>
      <c r="Y3962" s="352"/>
      <c r="Z3962" s="352"/>
      <c r="AA3962" s="352"/>
      <c r="AB3962" s="352"/>
      <c r="AC3962" s="352"/>
      <c r="AD3962" s="352"/>
      <c r="AE3962" s="352"/>
      <c r="AF3962" s="352"/>
      <c r="AG3962" s="352"/>
      <c r="AH3962" s="352"/>
      <c r="AI3962" s="352"/>
      <c r="AJ3962" s="352"/>
    </row>
    <row r="3963" spans="2:36">
      <c r="B3963" s="352"/>
      <c r="C3963" s="352"/>
      <c r="D3963" s="352"/>
      <c r="E3963" s="352"/>
      <c r="F3963" s="352"/>
      <c r="H3963" s="352"/>
      <c r="J3963" s="352"/>
      <c r="L3963" s="352"/>
      <c r="M3963" s="352"/>
      <c r="N3963" s="352"/>
      <c r="O3963" s="352"/>
      <c r="P3963" s="352"/>
      <c r="Q3963" s="352"/>
      <c r="R3963" s="352"/>
      <c r="S3963" s="352"/>
      <c r="T3963" s="352"/>
      <c r="U3963" s="352"/>
      <c r="V3963" s="352"/>
      <c r="W3963" s="352"/>
      <c r="X3963" s="352"/>
      <c r="Y3963" s="352"/>
      <c r="Z3963" s="352"/>
      <c r="AA3963" s="352"/>
      <c r="AB3963" s="352"/>
      <c r="AC3963" s="352"/>
      <c r="AD3963" s="352"/>
      <c r="AE3963" s="352"/>
      <c r="AF3963" s="352"/>
      <c r="AG3963" s="352"/>
      <c r="AH3963" s="352"/>
      <c r="AI3963" s="352"/>
      <c r="AJ3963" s="352"/>
    </row>
    <row r="3964" spans="2:36">
      <c r="B3964" s="352"/>
      <c r="C3964" s="352"/>
      <c r="D3964" s="352"/>
      <c r="E3964" s="352"/>
      <c r="F3964" s="352"/>
      <c r="H3964" s="352"/>
      <c r="J3964" s="352"/>
      <c r="L3964" s="352"/>
      <c r="M3964" s="352"/>
      <c r="N3964" s="352"/>
      <c r="O3964" s="352"/>
      <c r="P3964" s="352"/>
      <c r="Q3964" s="352"/>
      <c r="R3964" s="352"/>
      <c r="S3964" s="352"/>
      <c r="T3964" s="352"/>
      <c r="U3964" s="352"/>
      <c r="V3964" s="352"/>
      <c r="W3964" s="352"/>
      <c r="X3964" s="352"/>
      <c r="Y3964" s="352"/>
      <c r="Z3964" s="352"/>
      <c r="AA3964" s="352"/>
      <c r="AB3964" s="352"/>
      <c r="AC3964" s="352"/>
      <c r="AD3964" s="352"/>
      <c r="AE3964" s="352"/>
      <c r="AF3964" s="352"/>
      <c r="AG3964" s="352"/>
      <c r="AH3964" s="352"/>
      <c r="AI3964" s="352"/>
      <c r="AJ3964" s="352"/>
    </row>
    <row r="3965" spans="2:36">
      <c r="B3965" s="352"/>
      <c r="C3965" s="352"/>
      <c r="D3965" s="352"/>
      <c r="E3965" s="352"/>
      <c r="F3965" s="352"/>
      <c r="H3965" s="352"/>
      <c r="J3965" s="352"/>
      <c r="L3965" s="352"/>
      <c r="M3965" s="352"/>
      <c r="N3965" s="352"/>
      <c r="O3965" s="352"/>
      <c r="P3965" s="352"/>
      <c r="Q3965" s="352"/>
      <c r="R3965" s="352"/>
      <c r="S3965" s="352"/>
      <c r="T3965" s="352"/>
      <c r="U3965" s="352"/>
      <c r="V3965" s="352"/>
      <c r="W3965" s="352"/>
      <c r="X3965" s="352"/>
      <c r="Y3965" s="352"/>
      <c r="Z3965" s="352"/>
      <c r="AA3965" s="352"/>
      <c r="AB3965" s="352"/>
      <c r="AC3965" s="352"/>
      <c r="AD3965" s="352"/>
      <c r="AE3965" s="352"/>
      <c r="AF3965" s="352"/>
      <c r="AG3965" s="352"/>
      <c r="AH3965" s="352"/>
      <c r="AI3965" s="352"/>
      <c r="AJ3965" s="352"/>
    </row>
    <row r="3966" spans="2:36">
      <c r="B3966" s="352"/>
      <c r="C3966" s="352"/>
      <c r="D3966" s="352"/>
      <c r="E3966" s="352"/>
      <c r="F3966" s="352"/>
      <c r="H3966" s="352"/>
      <c r="J3966" s="352"/>
      <c r="L3966" s="352"/>
      <c r="M3966" s="352"/>
      <c r="N3966" s="352"/>
      <c r="O3966" s="352"/>
      <c r="P3966" s="352"/>
      <c r="Q3966" s="352"/>
      <c r="R3966" s="352"/>
      <c r="S3966" s="352"/>
      <c r="T3966" s="352"/>
      <c r="U3966" s="352"/>
      <c r="V3966" s="352"/>
      <c r="W3966" s="352"/>
      <c r="X3966" s="352"/>
      <c r="Y3966" s="352"/>
      <c r="Z3966" s="352"/>
      <c r="AA3966" s="352"/>
      <c r="AB3966" s="352"/>
      <c r="AC3966" s="352"/>
      <c r="AD3966" s="352"/>
      <c r="AE3966" s="352"/>
      <c r="AF3966" s="352"/>
      <c r="AG3966" s="352"/>
      <c r="AH3966" s="352"/>
      <c r="AI3966" s="352"/>
      <c r="AJ3966" s="352"/>
    </row>
    <row r="3967" spans="2:36">
      <c r="B3967" s="352"/>
      <c r="C3967" s="352"/>
      <c r="D3967" s="352"/>
      <c r="E3967" s="352"/>
      <c r="F3967" s="352"/>
      <c r="H3967" s="352"/>
      <c r="J3967" s="352"/>
      <c r="L3967" s="352"/>
      <c r="M3967" s="352"/>
      <c r="N3967" s="352"/>
      <c r="O3967" s="352"/>
      <c r="P3967" s="352"/>
      <c r="Q3967" s="352"/>
      <c r="R3967" s="352"/>
      <c r="S3967" s="352"/>
      <c r="T3967" s="352"/>
      <c r="U3967" s="352"/>
      <c r="V3967" s="352"/>
      <c r="W3967" s="352"/>
      <c r="X3967" s="352"/>
      <c r="Y3967" s="352"/>
      <c r="Z3967" s="352"/>
      <c r="AA3967" s="352"/>
      <c r="AB3967" s="352"/>
      <c r="AC3967" s="352"/>
      <c r="AD3967" s="352"/>
      <c r="AE3967" s="352"/>
      <c r="AF3967" s="352"/>
      <c r="AG3967" s="352"/>
      <c r="AH3967" s="352"/>
      <c r="AI3967" s="352"/>
      <c r="AJ3967" s="352"/>
    </row>
    <row r="3968" spans="2:36">
      <c r="B3968" s="352"/>
      <c r="C3968" s="352"/>
      <c r="D3968" s="352"/>
      <c r="E3968" s="352"/>
      <c r="F3968" s="352"/>
      <c r="H3968" s="352"/>
      <c r="J3968" s="352"/>
      <c r="L3968" s="352"/>
      <c r="M3968" s="352"/>
      <c r="N3968" s="352"/>
      <c r="O3968" s="352"/>
      <c r="P3968" s="352"/>
      <c r="Q3968" s="352"/>
      <c r="R3968" s="352"/>
      <c r="S3968" s="352"/>
      <c r="T3968" s="352"/>
      <c r="U3968" s="352"/>
      <c r="V3968" s="352"/>
      <c r="W3968" s="352"/>
      <c r="X3968" s="352"/>
      <c r="Y3968" s="352"/>
      <c r="Z3968" s="352"/>
      <c r="AA3968" s="352"/>
      <c r="AB3968" s="352"/>
      <c r="AC3968" s="352"/>
      <c r="AD3968" s="352"/>
      <c r="AE3968" s="352"/>
      <c r="AF3968" s="352"/>
      <c r="AG3968" s="352"/>
      <c r="AH3968" s="352"/>
      <c r="AI3968" s="352"/>
      <c r="AJ3968" s="352"/>
    </row>
    <row r="3969" spans="2:36">
      <c r="B3969" s="352"/>
      <c r="C3969" s="352"/>
      <c r="D3969" s="352"/>
      <c r="E3969" s="352"/>
      <c r="F3969" s="352"/>
      <c r="H3969" s="352"/>
      <c r="J3969" s="352"/>
      <c r="L3969" s="352"/>
      <c r="M3969" s="352"/>
      <c r="N3969" s="352"/>
      <c r="O3969" s="352"/>
      <c r="P3969" s="352"/>
      <c r="Q3969" s="352"/>
      <c r="R3969" s="352"/>
      <c r="S3969" s="352"/>
      <c r="T3969" s="352"/>
      <c r="U3969" s="352"/>
      <c r="V3969" s="352"/>
      <c r="W3969" s="352"/>
      <c r="X3969" s="352"/>
      <c r="Y3969" s="352"/>
      <c r="Z3969" s="352"/>
      <c r="AA3969" s="352"/>
      <c r="AB3969" s="352"/>
      <c r="AC3969" s="352"/>
      <c r="AD3969" s="352"/>
      <c r="AE3969" s="352"/>
      <c r="AF3969" s="352"/>
      <c r="AG3969" s="352"/>
      <c r="AH3969" s="352"/>
      <c r="AI3969" s="352"/>
      <c r="AJ3969" s="352"/>
    </row>
    <row r="3970" spans="2:36">
      <c r="B3970" s="352"/>
      <c r="C3970" s="352"/>
      <c r="D3970" s="352"/>
      <c r="E3970" s="352"/>
      <c r="F3970" s="352"/>
      <c r="H3970" s="352"/>
      <c r="J3970" s="352"/>
      <c r="L3970" s="352"/>
      <c r="M3970" s="352"/>
      <c r="N3970" s="352"/>
      <c r="O3970" s="352"/>
      <c r="P3970" s="352"/>
      <c r="Q3970" s="352"/>
      <c r="R3970" s="352"/>
      <c r="S3970" s="352"/>
      <c r="T3970" s="352"/>
      <c r="U3970" s="352"/>
      <c r="V3970" s="352"/>
      <c r="W3970" s="352"/>
      <c r="X3970" s="352"/>
      <c r="Y3970" s="352"/>
      <c r="Z3970" s="352"/>
      <c r="AA3970" s="352"/>
      <c r="AB3970" s="352"/>
      <c r="AC3970" s="352"/>
      <c r="AD3970" s="352"/>
      <c r="AE3970" s="352"/>
      <c r="AF3970" s="352"/>
      <c r="AG3970" s="352"/>
      <c r="AH3970" s="352"/>
      <c r="AI3970" s="352"/>
      <c r="AJ3970" s="352"/>
    </row>
    <row r="3971" spans="2:36">
      <c r="B3971" s="352"/>
      <c r="C3971" s="352"/>
      <c r="D3971" s="352"/>
      <c r="E3971" s="352"/>
      <c r="F3971" s="352"/>
      <c r="H3971" s="352"/>
      <c r="J3971" s="352"/>
      <c r="L3971" s="352"/>
      <c r="M3971" s="352"/>
      <c r="N3971" s="352"/>
      <c r="O3971" s="352"/>
      <c r="P3971" s="352"/>
      <c r="Q3971" s="352"/>
      <c r="R3971" s="352"/>
      <c r="S3971" s="352"/>
      <c r="T3971" s="352"/>
      <c r="U3971" s="352"/>
      <c r="V3971" s="352"/>
      <c r="W3971" s="352"/>
      <c r="X3971" s="352"/>
      <c r="Y3971" s="352"/>
      <c r="Z3971" s="352"/>
      <c r="AA3971" s="352"/>
      <c r="AB3971" s="352"/>
      <c r="AC3971" s="352"/>
      <c r="AD3971" s="352"/>
      <c r="AE3971" s="352"/>
      <c r="AF3971" s="352"/>
      <c r="AG3971" s="352"/>
      <c r="AH3971" s="352"/>
      <c r="AI3971" s="352"/>
      <c r="AJ3971" s="352"/>
    </row>
    <row r="3972" spans="2:36">
      <c r="B3972" s="352"/>
      <c r="C3972" s="352"/>
      <c r="D3972" s="352"/>
      <c r="E3972" s="352"/>
      <c r="F3972" s="352"/>
      <c r="H3972" s="352"/>
      <c r="J3972" s="352"/>
      <c r="L3972" s="352"/>
      <c r="M3972" s="352"/>
      <c r="N3972" s="352"/>
      <c r="O3972" s="352"/>
      <c r="P3972" s="352"/>
      <c r="Q3972" s="352"/>
      <c r="R3972" s="352"/>
      <c r="S3972" s="352"/>
      <c r="T3972" s="352"/>
      <c r="U3972" s="352"/>
      <c r="V3972" s="352"/>
      <c r="W3972" s="352"/>
      <c r="X3972" s="352"/>
      <c r="Y3972" s="352"/>
      <c r="Z3972" s="352"/>
      <c r="AA3972" s="352"/>
      <c r="AB3972" s="352"/>
      <c r="AC3972" s="352"/>
      <c r="AD3972" s="352"/>
      <c r="AE3972" s="352"/>
      <c r="AF3972" s="352"/>
      <c r="AG3972" s="352"/>
      <c r="AH3972" s="352"/>
      <c r="AI3972" s="352"/>
      <c r="AJ3972" s="352"/>
    </row>
    <row r="3973" spans="2:36">
      <c r="B3973" s="352"/>
      <c r="C3973" s="352"/>
      <c r="D3973" s="352"/>
      <c r="E3973" s="352"/>
      <c r="F3973" s="352"/>
      <c r="H3973" s="352"/>
      <c r="J3973" s="352"/>
      <c r="L3973" s="352"/>
      <c r="M3973" s="352"/>
      <c r="N3973" s="352"/>
      <c r="O3973" s="352"/>
      <c r="P3973" s="352"/>
      <c r="Q3973" s="352"/>
      <c r="R3973" s="352"/>
      <c r="S3973" s="352"/>
      <c r="T3973" s="352"/>
      <c r="U3973" s="352"/>
      <c r="V3973" s="352"/>
      <c r="W3973" s="352"/>
      <c r="X3973" s="352"/>
      <c r="Y3973" s="352"/>
      <c r="Z3973" s="352"/>
      <c r="AA3973" s="352"/>
      <c r="AB3973" s="352"/>
      <c r="AC3973" s="352"/>
      <c r="AD3973" s="352"/>
      <c r="AE3973" s="352"/>
      <c r="AF3973" s="352"/>
      <c r="AG3973" s="352"/>
      <c r="AH3973" s="352"/>
      <c r="AI3973" s="352"/>
      <c r="AJ3973" s="352"/>
    </row>
    <row r="3974" spans="2:36">
      <c r="B3974" s="352"/>
      <c r="C3974" s="352"/>
      <c r="D3974" s="352"/>
      <c r="E3974" s="352"/>
      <c r="F3974" s="352"/>
      <c r="H3974" s="352"/>
      <c r="J3974" s="352"/>
      <c r="L3974" s="352"/>
      <c r="M3974" s="352"/>
      <c r="N3974" s="352"/>
      <c r="O3974" s="352"/>
      <c r="P3974" s="352"/>
      <c r="Q3974" s="352"/>
      <c r="R3974" s="352"/>
      <c r="S3974" s="352"/>
      <c r="T3974" s="352"/>
      <c r="U3974" s="352"/>
      <c r="V3974" s="352"/>
      <c r="W3974" s="352"/>
      <c r="X3974" s="352"/>
      <c r="Y3974" s="352"/>
      <c r="Z3974" s="352"/>
      <c r="AA3974" s="352"/>
      <c r="AB3974" s="352"/>
      <c r="AC3974" s="352"/>
      <c r="AD3974" s="352"/>
      <c r="AE3974" s="352"/>
      <c r="AF3974" s="352"/>
      <c r="AG3974" s="352"/>
      <c r="AH3974" s="352"/>
      <c r="AI3974" s="352"/>
      <c r="AJ3974" s="352"/>
    </row>
    <row r="3975" spans="2:36">
      <c r="B3975" s="352"/>
      <c r="C3975" s="352"/>
      <c r="D3975" s="352"/>
      <c r="E3975" s="352"/>
      <c r="F3975" s="352"/>
      <c r="H3975" s="352"/>
      <c r="J3975" s="352"/>
      <c r="L3975" s="352"/>
      <c r="M3975" s="352"/>
      <c r="N3975" s="352"/>
      <c r="O3975" s="352"/>
      <c r="P3975" s="352"/>
      <c r="Q3975" s="352"/>
      <c r="R3975" s="352"/>
      <c r="S3975" s="352"/>
      <c r="T3975" s="352"/>
      <c r="U3975" s="352"/>
      <c r="V3975" s="352"/>
      <c r="W3975" s="352"/>
      <c r="X3975" s="352"/>
      <c r="Y3975" s="352"/>
      <c r="Z3975" s="352"/>
      <c r="AA3975" s="352"/>
      <c r="AB3975" s="352"/>
      <c r="AC3975" s="352"/>
      <c r="AD3975" s="352"/>
      <c r="AE3975" s="352"/>
      <c r="AF3975" s="352"/>
      <c r="AG3975" s="352"/>
      <c r="AH3975" s="352"/>
      <c r="AI3975" s="352"/>
      <c r="AJ3975" s="352"/>
    </row>
    <row r="3976" spans="2:36">
      <c r="B3976" s="352"/>
      <c r="C3976" s="352"/>
      <c r="D3976" s="352"/>
      <c r="E3976" s="352"/>
      <c r="F3976" s="352"/>
      <c r="H3976" s="352"/>
      <c r="J3976" s="352"/>
      <c r="L3976" s="352"/>
      <c r="M3976" s="352"/>
      <c r="N3976" s="352"/>
      <c r="O3976" s="352"/>
      <c r="P3976" s="352"/>
      <c r="Q3976" s="352"/>
      <c r="R3976" s="352"/>
      <c r="S3976" s="352"/>
      <c r="T3976" s="352"/>
      <c r="U3976" s="352"/>
      <c r="V3976" s="352"/>
      <c r="W3976" s="352"/>
      <c r="X3976" s="352"/>
      <c r="Y3976" s="352"/>
      <c r="Z3976" s="352"/>
      <c r="AA3976" s="352"/>
      <c r="AB3976" s="352"/>
      <c r="AC3976" s="352"/>
      <c r="AD3976" s="352"/>
      <c r="AE3976" s="352"/>
      <c r="AF3976" s="352"/>
      <c r="AG3976" s="352"/>
      <c r="AH3976" s="352"/>
      <c r="AI3976" s="352"/>
      <c r="AJ3976" s="352"/>
    </row>
    <row r="3977" spans="2:36">
      <c r="B3977" s="352"/>
      <c r="C3977" s="352"/>
      <c r="D3977" s="352"/>
      <c r="E3977" s="352"/>
      <c r="F3977" s="352"/>
      <c r="H3977" s="352"/>
      <c r="J3977" s="352"/>
      <c r="L3977" s="352"/>
      <c r="M3977" s="352"/>
      <c r="N3977" s="352"/>
      <c r="O3977" s="352"/>
      <c r="P3977" s="352"/>
      <c r="Q3977" s="352"/>
      <c r="R3977" s="352"/>
      <c r="S3977" s="352"/>
      <c r="T3977" s="352"/>
      <c r="U3977" s="352"/>
      <c r="V3977" s="352"/>
      <c r="W3977" s="352"/>
      <c r="X3977" s="352"/>
      <c r="Y3977" s="352"/>
      <c r="Z3977" s="352"/>
      <c r="AA3977" s="352"/>
      <c r="AB3977" s="352"/>
      <c r="AC3977" s="352"/>
      <c r="AD3977" s="352"/>
      <c r="AE3977" s="352"/>
      <c r="AF3977" s="352"/>
      <c r="AG3977" s="352"/>
      <c r="AH3977" s="352"/>
      <c r="AI3977" s="352"/>
      <c r="AJ3977" s="352"/>
    </row>
    <row r="3978" spans="2:36">
      <c r="B3978" s="352"/>
      <c r="C3978" s="352"/>
      <c r="D3978" s="352"/>
      <c r="E3978" s="352"/>
      <c r="F3978" s="352"/>
      <c r="H3978" s="352"/>
      <c r="J3978" s="352"/>
      <c r="L3978" s="352"/>
      <c r="M3978" s="352"/>
      <c r="N3978" s="352"/>
      <c r="O3978" s="352"/>
      <c r="P3978" s="352"/>
      <c r="Q3978" s="352"/>
      <c r="R3978" s="352"/>
      <c r="S3978" s="352"/>
      <c r="T3978" s="352"/>
      <c r="U3978" s="352"/>
      <c r="V3978" s="352"/>
      <c r="W3978" s="352"/>
      <c r="X3978" s="352"/>
      <c r="Y3978" s="352"/>
      <c r="Z3978" s="352"/>
      <c r="AA3978" s="352"/>
      <c r="AB3978" s="352"/>
      <c r="AC3978" s="352"/>
      <c r="AD3978" s="352"/>
      <c r="AE3978" s="352"/>
      <c r="AF3978" s="352"/>
      <c r="AG3978" s="352"/>
      <c r="AH3978" s="352"/>
      <c r="AI3978" s="352"/>
      <c r="AJ3978" s="352"/>
    </row>
    <row r="3979" spans="2:36">
      <c r="B3979" s="352"/>
      <c r="C3979" s="352"/>
      <c r="D3979" s="352"/>
      <c r="E3979" s="352"/>
      <c r="F3979" s="352"/>
      <c r="H3979" s="352"/>
      <c r="J3979" s="352"/>
      <c r="L3979" s="352"/>
      <c r="M3979" s="352"/>
      <c r="N3979" s="352"/>
      <c r="O3979" s="352"/>
      <c r="P3979" s="352"/>
      <c r="Q3979" s="352"/>
      <c r="R3979" s="352"/>
      <c r="S3979" s="352"/>
      <c r="T3979" s="352"/>
      <c r="U3979" s="352"/>
      <c r="V3979" s="352"/>
      <c r="W3979" s="352"/>
      <c r="X3979" s="352"/>
      <c r="Y3979" s="352"/>
      <c r="Z3979" s="352"/>
      <c r="AA3979" s="352"/>
      <c r="AB3979" s="352"/>
      <c r="AC3979" s="352"/>
      <c r="AD3979" s="352"/>
      <c r="AE3979" s="352"/>
      <c r="AF3979" s="352"/>
      <c r="AG3979" s="352"/>
      <c r="AH3979" s="352"/>
      <c r="AI3979" s="352"/>
      <c r="AJ3979" s="352"/>
    </row>
    <row r="3980" spans="2:36">
      <c r="B3980" s="352"/>
      <c r="C3980" s="352"/>
      <c r="D3980" s="352"/>
      <c r="E3980" s="352"/>
      <c r="F3980" s="352"/>
      <c r="H3980" s="352"/>
      <c r="J3980" s="352"/>
      <c r="L3980" s="352"/>
      <c r="M3980" s="352"/>
      <c r="N3980" s="352"/>
      <c r="O3980" s="352"/>
      <c r="P3980" s="352"/>
      <c r="Q3980" s="352"/>
      <c r="R3980" s="352"/>
      <c r="S3980" s="352"/>
      <c r="T3980" s="352"/>
      <c r="U3980" s="352"/>
      <c r="V3980" s="352"/>
      <c r="W3980" s="352"/>
      <c r="X3980" s="352"/>
      <c r="Y3980" s="352"/>
      <c r="Z3980" s="352"/>
      <c r="AA3980" s="352"/>
      <c r="AB3980" s="352"/>
      <c r="AC3980" s="352"/>
      <c r="AD3980" s="352"/>
      <c r="AE3980" s="352"/>
      <c r="AF3980" s="352"/>
      <c r="AG3980" s="352"/>
      <c r="AH3980" s="352"/>
      <c r="AI3980" s="352"/>
      <c r="AJ3980" s="352"/>
    </row>
    <row r="3981" spans="2:36">
      <c r="B3981" s="352"/>
      <c r="C3981" s="352"/>
      <c r="D3981" s="352"/>
      <c r="E3981" s="352"/>
      <c r="F3981" s="352"/>
      <c r="H3981" s="352"/>
      <c r="J3981" s="352"/>
      <c r="L3981" s="352"/>
      <c r="M3981" s="352"/>
      <c r="N3981" s="352"/>
      <c r="O3981" s="352"/>
      <c r="P3981" s="352"/>
      <c r="Q3981" s="352"/>
      <c r="R3981" s="352"/>
      <c r="S3981" s="352"/>
      <c r="T3981" s="352"/>
      <c r="U3981" s="352"/>
      <c r="V3981" s="352"/>
      <c r="W3981" s="352"/>
      <c r="X3981" s="352"/>
      <c r="Y3981" s="352"/>
      <c r="Z3981" s="352"/>
      <c r="AA3981" s="352"/>
      <c r="AB3981" s="352"/>
      <c r="AC3981" s="352"/>
      <c r="AD3981" s="352"/>
      <c r="AE3981" s="352"/>
      <c r="AF3981" s="352"/>
      <c r="AG3981" s="352"/>
      <c r="AH3981" s="352"/>
      <c r="AI3981" s="352"/>
      <c r="AJ3981" s="352"/>
    </row>
    <row r="3982" spans="2:36">
      <c r="B3982" s="352"/>
      <c r="C3982" s="352"/>
      <c r="D3982" s="352"/>
      <c r="E3982" s="352"/>
      <c r="F3982" s="352"/>
      <c r="H3982" s="352"/>
      <c r="J3982" s="352"/>
      <c r="L3982" s="352"/>
      <c r="M3982" s="352"/>
      <c r="N3982" s="352"/>
      <c r="O3982" s="352"/>
      <c r="P3982" s="352"/>
      <c r="Q3982" s="352"/>
      <c r="R3982" s="352"/>
      <c r="S3982" s="352"/>
      <c r="T3982" s="352"/>
      <c r="U3982" s="352"/>
      <c r="V3982" s="352"/>
      <c r="W3982" s="352"/>
      <c r="X3982" s="352"/>
      <c r="Y3982" s="352"/>
      <c r="Z3982" s="352"/>
      <c r="AA3982" s="352"/>
      <c r="AB3982" s="352"/>
      <c r="AC3982" s="352"/>
      <c r="AD3982" s="352"/>
      <c r="AE3982" s="352"/>
      <c r="AF3982" s="352"/>
      <c r="AG3982" s="352"/>
      <c r="AH3982" s="352"/>
      <c r="AI3982" s="352"/>
      <c r="AJ3982" s="352"/>
    </row>
    <row r="3983" spans="2:36">
      <c r="B3983" s="352"/>
      <c r="C3983" s="352"/>
      <c r="D3983" s="352"/>
      <c r="E3983" s="352"/>
      <c r="F3983" s="352"/>
      <c r="H3983" s="352"/>
      <c r="J3983" s="352"/>
      <c r="L3983" s="352"/>
      <c r="M3983" s="352"/>
      <c r="N3983" s="352"/>
      <c r="O3983" s="352"/>
      <c r="P3983" s="352"/>
      <c r="Q3983" s="352"/>
      <c r="R3983" s="352"/>
      <c r="S3983" s="352"/>
      <c r="T3983" s="352"/>
      <c r="U3983" s="352"/>
      <c r="V3983" s="352"/>
      <c r="W3983" s="352"/>
      <c r="X3983" s="352"/>
      <c r="Y3983" s="352"/>
      <c r="Z3983" s="352"/>
      <c r="AA3983" s="352"/>
      <c r="AB3983" s="352"/>
      <c r="AC3983" s="352"/>
      <c r="AD3983" s="352"/>
      <c r="AE3983" s="352"/>
      <c r="AF3983" s="352"/>
      <c r="AG3983" s="352"/>
      <c r="AH3983" s="352"/>
      <c r="AI3983" s="352"/>
      <c r="AJ3983" s="352"/>
    </row>
    <row r="3984" spans="2:36">
      <c r="B3984" s="352"/>
      <c r="C3984" s="352"/>
      <c r="D3984" s="352"/>
      <c r="E3984" s="352"/>
      <c r="F3984" s="352"/>
      <c r="H3984" s="352"/>
      <c r="J3984" s="352"/>
      <c r="L3984" s="352"/>
      <c r="M3984" s="352"/>
      <c r="N3984" s="352"/>
      <c r="O3984" s="352"/>
      <c r="P3984" s="352"/>
      <c r="Q3984" s="352"/>
      <c r="R3984" s="352"/>
      <c r="S3984" s="352"/>
      <c r="T3984" s="352"/>
      <c r="U3984" s="352"/>
      <c r="V3984" s="352"/>
      <c r="W3984" s="352"/>
      <c r="X3984" s="352"/>
      <c r="Y3984" s="352"/>
      <c r="Z3984" s="352"/>
      <c r="AA3984" s="352"/>
      <c r="AB3984" s="352"/>
      <c r="AC3984" s="352"/>
      <c r="AD3984" s="352"/>
      <c r="AE3984" s="352"/>
      <c r="AF3984" s="352"/>
      <c r="AG3984" s="352"/>
      <c r="AH3984" s="352"/>
      <c r="AI3984" s="352"/>
      <c r="AJ3984" s="352"/>
    </row>
    <row r="3985" spans="2:36">
      <c r="B3985" s="352"/>
      <c r="C3985" s="352"/>
      <c r="D3985" s="352"/>
      <c r="E3985" s="352"/>
      <c r="F3985" s="352"/>
      <c r="H3985" s="352"/>
      <c r="J3985" s="352"/>
      <c r="L3985" s="352"/>
      <c r="M3985" s="352"/>
      <c r="N3985" s="352"/>
      <c r="O3985" s="352"/>
      <c r="P3985" s="352"/>
      <c r="Q3985" s="352"/>
      <c r="R3985" s="352"/>
      <c r="S3985" s="352"/>
      <c r="T3985" s="352"/>
      <c r="U3985" s="352"/>
      <c r="V3985" s="352"/>
      <c r="W3985" s="352"/>
      <c r="X3985" s="352"/>
      <c r="Y3985" s="352"/>
      <c r="Z3985" s="352"/>
      <c r="AA3985" s="352"/>
      <c r="AB3985" s="352"/>
      <c r="AC3985" s="352"/>
      <c r="AD3985" s="352"/>
      <c r="AE3985" s="352"/>
      <c r="AF3985" s="352"/>
      <c r="AG3985" s="352"/>
      <c r="AH3985" s="352"/>
      <c r="AI3985" s="352"/>
      <c r="AJ3985" s="352"/>
    </row>
    <row r="3986" spans="2:36">
      <c r="B3986" s="352"/>
      <c r="C3986" s="352"/>
      <c r="D3986" s="352"/>
      <c r="E3986" s="352"/>
      <c r="F3986" s="352"/>
      <c r="H3986" s="352"/>
      <c r="J3986" s="352"/>
      <c r="L3986" s="352"/>
      <c r="M3986" s="352"/>
      <c r="N3986" s="352"/>
      <c r="O3986" s="352"/>
      <c r="P3986" s="352"/>
      <c r="Q3986" s="352"/>
      <c r="R3986" s="352"/>
      <c r="S3986" s="352"/>
      <c r="T3986" s="352"/>
      <c r="U3986" s="352"/>
      <c r="V3986" s="352"/>
      <c r="W3986" s="352"/>
      <c r="X3986" s="352"/>
      <c r="Y3986" s="352"/>
      <c r="Z3986" s="352"/>
      <c r="AA3986" s="352"/>
      <c r="AB3986" s="352"/>
      <c r="AC3986" s="352"/>
      <c r="AD3986" s="352"/>
      <c r="AE3986" s="352"/>
      <c r="AF3986" s="352"/>
      <c r="AG3986" s="352"/>
      <c r="AH3986" s="352"/>
      <c r="AI3986" s="352"/>
      <c r="AJ3986" s="352"/>
    </row>
    <row r="3987" spans="2:36">
      <c r="B3987" s="352"/>
      <c r="C3987" s="352"/>
      <c r="D3987" s="352"/>
      <c r="E3987" s="352"/>
      <c r="F3987" s="352"/>
      <c r="H3987" s="352"/>
      <c r="J3987" s="352"/>
      <c r="L3987" s="352"/>
      <c r="M3987" s="352"/>
      <c r="N3987" s="352"/>
      <c r="O3987" s="352"/>
      <c r="P3987" s="352"/>
      <c r="Q3987" s="352"/>
      <c r="R3987" s="352"/>
      <c r="S3987" s="352"/>
      <c r="T3987" s="352"/>
      <c r="U3987" s="352"/>
      <c r="V3987" s="352"/>
      <c r="W3987" s="352"/>
      <c r="X3987" s="352"/>
      <c r="Y3987" s="352"/>
      <c r="Z3987" s="352"/>
      <c r="AA3987" s="352"/>
      <c r="AB3987" s="352"/>
      <c r="AC3987" s="352"/>
      <c r="AD3987" s="352"/>
      <c r="AE3987" s="352"/>
      <c r="AF3987" s="352"/>
      <c r="AG3987" s="352"/>
      <c r="AH3987" s="352"/>
      <c r="AI3987" s="352"/>
      <c r="AJ3987" s="352"/>
    </row>
    <row r="3988" spans="2:36">
      <c r="B3988" s="352"/>
      <c r="C3988" s="352"/>
      <c r="D3988" s="352"/>
      <c r="E3988" s="352"/>
      <c r="F3988" s="352"/>
      <c r="H3988" s="352"/>
      <c r="J3988" s="352"/>
      <c r="L3988" s="352"/>
      <c r="M3988" s="352"/>
      <c r="N3988" s="352"/>
      <c r="O3988" s="352"/>
      <c r="P3988" s="352"/>
      <c r="Q3988" s="352"/>
      <c r="R3988" s="352"/>
      <c r="S3988" s="352"/>
      <c r="T3988" s="352"/>
      <c r="U3988" s="352"/>
      <c r="V3988" s="352"/>
      <c r="W3988" s="352"/>
      <c r="X3988" s="352"/>
      <c r="Y3988" s="352"/>
      <c r="Z3988" s="352"/>
      <c r="AA3988" s="352"/>
      <c r="AB3988" s="352"/>
      <c r="AC3988" s="352"/>
      <c r="AD3988" s="352"/>
      <c r="AE3988" s="352"/>
      <c r="AF3988" s="352"/>
      <c r="AG3988" s="352"/>
      <c r="AH3988" s="352"/>
      <c r="AI3988" s="352"/>
      <c r="AJ3988" s="352"/>
    </row>
    <row r="3989" spans="2:36">
      <c r="B3989" s="352"/>
      <c r="C3989" s="352"/>
      <c r="D3989" s="352"/>
      <c r="E3989" s="352"/>
      <c r="F3989" s="352"/>
      <c r="H3989" s="352"/>
      <c r="J3989" s="352"/>
      <c r="L3989" s="352"/>
      <c r="M3989" s="352"/>
      <c r="N3989" s="352"/>
      <c r="O3989" s="352"/>
      <c r="P3989" s="352"/>
      <c r="Q3989" s="352"/>
      <c r="R3989" s="352"/>
      <c r="S3989" s="352"/>
      <c r="T3989" s="352"/>
      <c r="U3989" s="352"/>
      <c r="V3989" s="352"/>
      <c r="W3989" s="352"/>
      <c r="X3989" s="352"/>
      <c r="Y3989" s="352"/>
      <c r="Z3989" s="352"/>
      <c r="AA3989" s="352"/>
      <c r="AB3989" s="352"/>
      <c r="AC3989" s="352"/>
      <c r="AD3989" s="352"/>
      <c r="AE3989" s="352"/>
      <c r="AF3989" s="352"/>
      <c r="AG3989" s="352"/>
      <c r="AH3989" s="352"/>
      <c r="AI3989" s="352"/>
      <c r="AJ3989" s="352"/>
    </row>
    <row r="3990" spans="2:36">
      <c r="B3990" s="352"/>
      <c r="C3990" s="352"/>
      <c r="D3990" s="352"/>
      <c r="E3990" s="352"/>
      <c r="F3990" s="352"/>
      <c r="H3990" s="352"/>
      <c r="J3990" s="352"/>
      <c r="L3990" s="352"/>
      <c r="M3990" s="352"/>
      <c r="N3990" s="352"/>
      <c r="O3990" s="352"/>
      <c r="P3990" s="352"/>
      <c r="Q3990" s="352"/>
      <c r="R3990" s="352"/>
      <c r="S3990" s="352"/>
      <c r="T3990" s="352"/>
      <c r="U3990" s="352"/>
      <c r="V3990" s="352"/>
      <c r="W3990" s="352"/>
      <c r="X3990" s="352"/>
      <c r="Y3990" s="352"/>
      <c r="Z3990" s="352"/>
      <c r="AA3990" s="352"/>
      <c r="AB3990" s="352"/>
      <c r="AC3990" s="352"/>
      <c r="AD3990" s="352"/>
      <c r="AE3990" s="352"/>
      <c r="AF3990" s="352"/>
      <c r="AG3990" s="352"/>
      <c r="AH3990" s="352"/>
      <c r="AI3990" s="352"/>
      <c r="AJ3990" s="352"/>
    </row>
    <row r="3991" spans="2:36">
      <c r="B3991" s="352"/>
      <c r="C3991" s="352"/>
      <c r="D3991" s="352"/>
      <c r="E3991" s="352"/>
      <c r="F3991" s="352"/>
      <c r="H3991" s="352"/>
      <c r="J3991" s="352"/>
      <c r="L3991" s="352"/>
      <c r="M3991" s="352"/>
      <c r="N3991" s="352"/>
      <c r="O3991" s="352"/>
      <c r="P3991" s="352"/>
      <c r="Q3991" s="352"/>
      <c r="R3991" s="352"/>
      <c r="S3991" s="352"/>
      <c r="T3991" s="352"/>
      <c r="U3991" s="352"/>
      <c r="V3991" s="352"/>
      <c r="W3991" s="352"/>
      <c r="X3991" s="352"/>
      <c r="Y3991" s="352"/>
      <c r="Z3991" s="352"/>
      <c r="AA3991" s="352"/>
      <c r="AB3991" s="352"/>
      <c r="AC3991" s="352"/>
      <c r="AD3991" s="352"/>
      <c r="AE3991" s="352"/>
      <c r="AF3991" s="352"/>
      <c r="AG3991" s="352"/>
      <c r="AH3991" s="352"/>
      <c r="AI3991" s="352"/>
      <c r="AJ3991" s="352"/>
    </row>
    <row r="3992" spans="2:36">
      <c r="B3992" s="352"/>
      <c r="C3992" s="352"/>
      <c r="D3992" s="352"/>
      <c r="E3992" s="352"/>
      <c r="F3992" s="352"/>
      <c r="H3992" s="352"/>
      <c r="J3992" s="352"/>
      <c r="L3992" s="352"/>
      <c r="M3992" s="352"/>
      <c r="N3992" s="352"/>
      <c r="O3992" s="352"/>
      <c r="P3992" s="352"/>
      <c r="Q3992" s="352"/>
      <c r="R3992" s="352"/>
      <c r="S3992" s="352"/>
      <c r="T3992" s="352"/>
      <c r="U3992" s="352"/>
      <c r="V3992" s="352"/>
      <c r="W3992" s="352"/>
      <c r="X3992" s="352"/>
      <c r="Y3992" s="352"/>
      <c r="Z3992" s="352"/>
      <c r="AA3992" s="352"/>
      <c r="AB3992" s="352"/>
      <c r="AC3992" s="352"/>
      <c r="AD3992" s="352"/>
      <c r="AE3992" s="352"/>
      <c r="AF3992" s="352"/>
      <c r="AG3992" s="352"/>
      <c r="AH3992" s="352"/>
      <c r="AI3992" s="352"/>
      <c r="AJ3992" s="352"/>
    </row>
    <row r="3993" spans="2:36">
      <c r="B3993" s="352"/>
      <c r="C3993" s="352"/>
      <c r="D3993" s="352"/>
      <c r="E3993" s="352"/>
      <c r="F3993" s="352"/>
      <c r="H3993" s="352"/>
      <c r="J3993" s="352"/>
      <c r="L3993" s="352"/>
      <c r="M3993" s="352"/>
      <c r="N3993" s="352"/>
      <c r="O3993" s="352"/>
      <c r="P3993" s="352"/>
      <c r="Q3993" s="352"/>
      <c r="R3993" s="352"/>
      <c r="S3993" s="352"/>
      <c r="T3993" s="352"/>
      <c r="U3993" s="352"/>
      <c r="V3993" s="352"/>
      <c r="W3993" s="352"/>
      <c r="X3993" s="352"/>
      <c r="Y3993" s="352"/>
      <c r="Z3993" s="352"/>
      <c r="AA3993" s="352"/>
      <c r="AB3993" s="352"/>
      <c r="AC3993" s="352"/>
      <c r="AD3993" s="352"/>
      <c r="AE3993" s="352"/>
      <c r="AF3993" s="352"/>
      <c r="AG3993" s="352"/>
      <c r="AH3993" s="352"/>
      <c r="AI3993" s="352"/>
      <c r="AJ3993" s="352"/>
    </row>
    <row r="3994" spans="2:36">
      <c r="B3994" s="352"/>
      <c r="C3994" s="352"/>
      <c r="D3994" s="352"/>
      <c r="E3994" s="352"/>
      <c r="F3994" s="352"/>
      <c r="H3994" s="352"/>
      <c r="J3994" s="352"/>
      <c r="L3994" s="352"/>
      <c r="M3994" s="352"/>
      <c r="N3994" s="352"/>
      <c r="O3994" s="352"/>
      <c r="P3994" s="352"/>
      <c r="Q3994" s="352"/>
      <c r="R3994" s="352"/>
      <c r="S3994" s="352"/>
      <c r="T3994" s="352"/>
      <c r="U3994" s="352"/>
      <c r="V3994" s="352"/>
      <c r="W3994" s="352"/>
      <c r="X3994" s="352"/>
      <c r="Y3994" s="352"/>
      <c r="Z3994" s="352"/>
      <c r="AA3994" s="352"/>
      <c r="AB3994" s="352"/>
      <c r="AC3994" s="352"/>
      <c r="AD3994" s="352"/>
      <c r="AE3994" s="352"/>
      <c r="AF3994" s="352"/>
      <c r="AG3994" s="352"/>
      <c r="AH3994" s="352"/>
      <c r="AI3994" s="352"/>
      <c r="AJ3994" s="352"/>
    </row>
    <row r="3995" spans="2:36">
      <c r="B3995" s="352"/>
      <c r="C3995" s="352"/>
      <c r="D3995" s="352"/>
      <c r="E3995" s="352"/>
      <c r="F3995" s="352"/>
      <c r="H3995" s="352"/>
      <c r="J3995" s="352"/>
      <c r="L3995" s="352"/>
      <c r="M3995" s="352"/>
      <c r="N3995" s="352"/>
      <c r="O3995" s="352"/>
      <c r="P3995" s="352"/>
      <c r="Q3995" s="352"/>
      <c r="R3995" s="352"/>
      <c r="S3995" s="352"/>
      <c r="T3995" s="352"/>
      <c r="U3995" s="352"/>
      <c r="V3995" s="352"/>
      <c r="W3995" s="352"/>
      <c r="X3995" s="352"/>
      <c r="Y3995" s="352"/>
      <c r="Z3995" s="352"/>
      <c r="AA3995" s="352"/>
      <c r="AB3995" s="352"/>
      <c r="AC3995" s="352"/>
      <c r="AD3995" s="352"/>
      <c r="AE3995" s="352"/>
      <c r="AF3995" s="352"/>
      <c r="AG3995" s="352"/>
      <c r="AH3995" s="352"/>
      <c r="AI3995" s="352"/>
      <c r="AJ3995" s="352"/>
    </row>
    <row r="3996" spans="2:36">
      <c r="B3996" s="352"/>
      <c r="C3996" s="352"/>
      <c r="D3996" s="352"/>
      <c r="E3996" s="352"/>
      <c r="F3996" s="352"/>
      <c r="H3996" s="352"/>
      <c r="J3996" s="352"/>
      <c r="L3996" s="352"/>
      <c r="M3996" s="352"/>
      <c r="N3996" s="352"/>
      <c r="O3996" s="352"/>
      <c r="P3996" s="352"/>
      <c r="Q3996" s="352"/>
      <c r="R3996" s="352"/>
      <c r="S3996" s="352"/>
      <c r="T3996" s="352"/>
      <c r="U3996" s="352"/>
      <c r="V3996" s="352"/>
      <c r="W3996" s="352"/>
      <c r="X3996" s="352"/>
      <c r="Y3996" s="352"/>
      <c r="Z3996" s="352"/>
      <c r="AA3996" s="352"/>
      <c r="AB3996" s="352"/>
      <c r="AC3996" s="352"/>
      <c r="AD3996" s="352"/>
      <c r="AE3996" s="352"/>
      <c r="AF3996" s="352"/>
      <c r="AG3996" s="352"/>
      <c r="AH3996" s="352"/>
      <c r="AI3996" s="352"/>
      <c r="AJ3996" s="352"/>
    </row>
    <row r="3997" spans="2:36">
      <c r="B3997" s="352"/>
      <c r="C3997" s="352"/>
      <c r="D3997" s="352"/>
      <c r="E3997" s="352"/>
      <c r="F3997" s="352"/>
      <c r="H3997" s="352"/>
      <c r="J3997" s="352"/>
      <c r="L3997" s="352"/>
      <c r="M3997" s="352"/>
      <c r="N3997" s="352"/>
      <c r="O3997" s="352"/>
      <c r="P3997" s="352"/>
      <c r="Q3997" s="352"/>
      <c r="R3997" s="352"/>
      <c r="S3997" s="352"/>
      <c r="T3997" s="352"/>
      <c r="U3997" s="352"/>
      <c r="V3997" s="352"/>
      <c r="W3997" s="352"/>
      <c r="X3997" s="352"/>
      <c r="Y3997" s="352"/>
      <c r="Z3997" s="352"/>
      <c r="AA3997" s="352"/>
      <c r="AB3997" s="352"/>
      <c r="AC3997" s="352"/>
      <c r="AD3997" s="352"/>
      <c r="AE3997" s="352"/>
      <c r="AF3997" s="352"/>
      <c r="AG3997" s="352"/>
      <c r="AH3997" s="352"/>
      <c r="AI3997" s="352"/>
      <c r="AJ3997" s="352"/>
    </row>
    <row r="3998" spans="2:36">
      <c r="B3998" s="352"/>
      <c r="C3998" s="352"/>
      <c r="D3998" s="352"/>
      <c r="E3998" s="352"/>
      <c r="F3998" s="352"/>
      <c r="H3998" s="352"/>
      <c r="J3998" s="352"/>
      <c r="L3998" s="352"/>
      <c r="M3998" s="352"/>
      <c r="N3998" s="352"/>
      <c r="O3998" s="352"/>
      <c r="P3998" s="352"/>
      <c r="Q3998" s="352"/>
      <c r="R3998" s="352"/>
      <c r="S3998" s="352"/>
      <c r="T3998" s="352"/>
      <c r="U3998" s="352"/>
      <c r="V3998" s="352"/>
      <c r="W3998" s="352"/>
      <c r="X3998" s="352"/>
      <c r="Y3998" s="352"/>
      <c r="Z3998" s="352"/>
      <c r="AA3998" s="352"/>
      <c r="AB3998" s="352"/>
      <c r="AC3998" s="352"/>
      <c r="AD3998" s="352"/>
      <c r="AE3998" s="352"/>
      <c r="AF3998" s="352"/>
      <c r="AG3998" s="352"/>
      <c r="AH3998" s="352"/>
      <c r="AI3998" s="352"/>
      <c r="AJ3998" s="352"/>
    </row>
    <row r="3999" spans="2:36">
      <c r="B3999" s="352"/>
      <c r="C3999" s="352"/>
      <c r="D3999" s="352"/>
      <c r="E3999" s="352"/>
      <c r="F3999" s="352"/>
      <c r="H3999" s="352"/>
      <c r="J3999" s="352"/>
      <c r="L3999" s="352"/>
      <c r="M3999" s="352"/>
      <c r="N3999" s="352"/>
      <c r="O3999" s="352"/>
      <c r="P3999" s="352"/>
      <c r="Q3999" s="352"/>
      <c r="R3999" s="352"/>
      <c r="S3999" s="352"/>
      <c r="T3999" s="352"/>
      <c r="U3999" s="352"/>
      <c r="V3999" s="352"/>
      <c r="W3999" s="352"/>
      <c r="X3999" s="352"/>
      <c r="Y3999" s="352"/>
      <c r="Z3999" s="352"/>
      <c r="AA3999" s="352"/>
      <c r="AB3999" s="352"/>
      <c r="AC3999" s="352"/>
      <c r="AD3999" s="352"/>
      <c r="AE3999" s="352"/>
      <c r="AF3999" s="352"/>
      <c r="AG3999" s="352"/>
      <c r="AH3999" s="352"/>
      <c r="AI3999" s="352"/>
      <c r="AJ3999" s="352"/>
    </row>
    <row r="4000" spans="2:36">
      <c r="B4000" s="352"/>
      <c r="C4000" s="352"/>
      <c r="D4000" s="352"/>
      <c r="E4000" s="352"/>
      <c r="F4000" s="352"/>
      <c r="H4000" s="352"/>
      <c r="J4000" s="352"/>
      <c r="L4000" s="352"/>
      <c r="M4000" s="352"/>
      <c r="N4000" s="352"/>
      <c r="O4000" s="352"/>
      <c r="P4000" s="352"/>
      <c r="Q4000" s="352"/>
      <c r="R4000" s="352"/>
      <c r="S4000" s="352"/>
      <c r="T4000" s="352"/>
      <c r="U4000" s="352"/>
      <c r="V4000" s="352"/>
      <c r="W4000" s="352"/>
      <c r="X4000" s="352"/>
      <c r="Y4000" s="352"/>
      <c r="Z4000" s="352"/>
      <c r="AA4000" s="352"/>
      <c r="AB4000" s="352"/>
      <c r="AC4000" s="352"/>
      <c r="AD4000" s="352"/>
      <c r="AE4000" s="352"/>
      <c r="AF4000" s="352"/>
      <c r="AG4000" s="352"/>
      <c r="AH4000" s="352"/>
      <c r="AI4000" s="352"/>
      <c r="AJ4000" s="352"/>
    </row>
    <row r="4001" spans="2:36">
      <c r="B4001" s="352"/>
      <c r="C4001" s="352"/>
      <c r="D4001" s="352"/>
      <c r="E4001" s="352"/>
      <c r="F4001" s="352"/>
      <c r="H4001" s="352"/>
      <c r="J4001" s="352"/>
      <c r="L4001" s="352"/>
      <c r="M4001" s="352"/>
      <c r="N4001" s="352"/>
      <c r="O4001" s="352"/>
      <c r="P4001" s="352"/>
      <c r="Q4001" s="352"/>
      <c r="R4001" s="352"/>
      <c r="S4001" s="352"/>
      <c r="T4001" s="352"/>
      <c r="U4001" s="352"/>
      <c r="V4001" s="352"/>
      <c r="W4001" s="352"/>
      <c r="X4001" s="352"/>
      <c r="Y4001" s="352"/>
      <c r="Z4001" s="352"/>
      <c r="AA4001" s="352"/>
      <c r="AB4001" s="352"/>
      <c r="AC4001" s="352"/>
      <c r="AD4001" s="352"/>
      <c r="AE4001" s="352"/>
      <c r="AF4001" s="352"/>
      <c r="AG4001" s="352"/>
      <c r="AH4001" s="352"/>
      <c r="AI4001" s="352"/>
      <c r="AJ4001" s="352"/>
    </row>
    <row r="4002" spans="2:36">
      <c r="B4002" s="352"/>
      <c r="C4002" s="352"/>
      <c r="D4002" s="352"/>
      <c r="E4002" s="352"/>
      <c r="F4002" s="352"/>
      <c r="H4002" s="352"/>
      <c r="J4002" s="352"/>
      <c r="L4002" s="352"/>
      <c r="M4002" s="352"/>
      <c r="N4002" s="352"/>
      <c r="O4002" s="352"/>
      <c r="P4002" s="352"/>
      <c r="Q4002" s="352"/>
      <c r="R4002" s="352"/>
      <c r="S4002" s="352"/>
      <c r="T4002" s="352"/>
      <c r="U4002" s="352"/>
      <c r="V4002" s="352"/>
      <c r="W4002" s="352"/>
      <c r="X4002" s="352"/>
      <c r="Y4002" s="352"/>
      <c r="Z4002" s="352"/>
      <c r="AA4002" s="352"/>
      <c r="AB4002" s="352"/>
      <c r="AC4002" s="352"/>
      <c r="AD4002" s="352"/>
      <c r="AE4002" s="352"/>
      <c r="AF4002" s="352"/>
      <c r="AG4002" s="352"/>
      <c r="AH4002" s="352"/>
      <c r="AI4002" s="352"/>
      <c r="AJ4002" s="352"/>
    </row>
    <row r="4003" spans="2:36">
      <c r="B4003" s="352"/>
      <c r="C4003" s="352"/>
      <c r="D4003" s="352"/>
      <c r="E4003" s="352"/>
      <c r="F4003" s="352"/>
      <c r="H4003" s="352"/>
      <c r="J4003" s="352"/>
      <c r="L4003" s="352"/>
      <c r="M4003" s="352"/>
      <c r="N4003" s="352"/>
      <c r="O4003" s="352"/>
      <c r="P4003" s="352"/>
      <c r="Q4003" s="352"/>
      <c r="R4003" s="352"/>
      <c r="S4003" s="352"/>
      <c r="T4003" s="352"/>
      <c r="U4003" s="352"/>
      <c r="V4003" s="352"/>
      <c r="W4003" s="352"/>
      <c r="X4003" s="352"/>
      <c r="Y4003" s="352"/>
      <c r="Z4003" s="352"/>
      <c r="AA4003" s="352"/>
      <c r="AB4003" s="352"/>
      <c r="AC4003" s="352"/>
      <c r="AD4003" s="352"/>
      <c r="AE4003" s="352"/>
      <c r="AF4003" s="352"/>
      <c r="AG4003" s="352"/>
      <c r="AH4003" s="352"/>
      <c r="AI4003" s="352"/>
      <c r="AJ4003" s="352"/>
    </row>
    <row r="4004" spans="2:36">
      <c r="B4004" s="352"/>
      <c r="C4004" s="352"/>
      <c r="D4004" s="352"/>
      <c r="E4004" s="352"/>
      <c r="F4004" s="352"/>
      <c r="H4004" s="352"/>
      <c r="J4004" s="352"/>
      <c r="L4004" s="352"/>
      <c r="M4004" s="352"/>
      <c r="N4004" s="352"/>
      <c r="O4004" s="352"/>
      <c r="P4004" s="352"/>
      <c r="Q4004" s="352"/>
      <c r="R4004" s="352"/>
      <c r="S4004" s="352"/>
      <c r="T4004" s="352"/>
      <c r="U4004" s="352"/>
      <c r="V4004" s="352"/>
      <c r="W4004" s="352"/>
      <c r="X4004" s="352"/>
      <c r="Y4004" s="352"/>
      <c r="Z4004" s="352"/>
      <c r="AA4004" s="352"/>
      <c r="AB4004" s="352"/>
      <c r="AC4004" s="352"/>
      <c r="AD4004" s="352"/>
      <c r="AE4004" s="352"/>
      <c r="AF4004" s="352"/>
      <c r="AG4004" s="352"/>
      <c r="AH4004" s="352"/>
      <c r="AI4004" s="352"/>
      <c r="AJ4004" s="352"/>
    </row>
    <row r="4005" spans="2:36">
      <c r="B4005" s="352"/>
      <c r="C4005" s="352"/>
      <c r="D4005" s="352"/>
      <c r="E4005" s="352"/>
      <c r="F4005" s="352"/>
      <c r="H4005" s="352"/>
      <c r="J4005" s="352"/>
      <c r="L4005" s="352"/>
      <c r="M4005" s="352"/>
      <c r="N4005" s="352"/>
      <c r="O4005" s="352"/>
      <c r="P4005" s="352"/>
      <c r="Q4005" s="352"/>
      <c r="R4005" s="352"/>
      <c r="S4005" s="352"/>
      <c r="T4005" s="352"/>
      <c r="U4005" s="352"/>
      <c r="V4005" s="352"/>
      <c r="W4005" s="352"/>
      <c r="X4005" s="352"/>
      <c r="Y4005" s="352"/>
      <c r="Z4005" s="352"/>
      <c r="AA4005" s="352"/>
      <c r="AB4005" s="352"/>
      <c r="AC4005" s="352"/>
      <c r="AD4005" s="352"/>
      <c r="AE4005" s="352"/>
      <c r="AF4005" s="352"/>
      <c r="AG4005" s="352"/>
      <c r="AH4005" s="352"/>
      <c r="AI4005" s="352"/>
      <c r="AJ4005" s="352"/>
    </row>
    <row r="4006" spans="2:36">
      <c r="B4006" s="352"/>
      <c r="C4006" s="352"/>
      <c r="D4006" s="352"/>
      <c r="E4006" s="352"/>
      <c r="F4006" s="352"/>
      <c r="H4006" s="352"/>
      <c r="J4006" s="352"/>
      <c r="L4006" s="352"/>
      <c r="M4006" s="352"/>
      <c r="N4006" s="352"/>
      <c r="O4006" s="352"/>
      <c r="P4006" s="352"/>
      <c r="Q4006" s="352"/>
      <c r="R4006" s="352"/>
      <c r="S4006" s="352"/>
      <c r="T4006" s="352"/>
      <c r="U4006" s="352"/>
      <c r="V4006" s="352"/>
      <c r="W4006" s="352"/>
      <c r="X4006" s="352"/>
      <c r="Y4006" s="352"/>
      <c r="Z4006" s="352"/>
      <c r="AA4006" s="352"/>
      <c r="AB4006" s="352"/>
      <c r="AC4006" s="352"/>
      <c r="AD4006" s="352"/>
      <c r="AE4006" s="352"/>
      <c r="AF4006" s="352"/>
      <c r="AG4006" s="352"/>
      <c r="AH4006" s="352"/>
      <c r="AI4006" s="352"/>
      <c r="AJ4006" s="352"/>
    </row>
    <row r="4007" spans="2:36">
      <c r="B4007" s="352"/>
      <c r="C4007" s="352"/>
      <c r="D4007" s="352"/>
      <c r="E4007" s="352"/>
      <c r="F4007" s="352"/>
      <c r="H4007" s="352"/>
      <c r="J4007" s="352"/>
      <c r="L4007" s="352"/>
      <c r="M4007" s="352"/>
      <c r="N4007" s="352"/>
      <c r="O4007" s="352"/>
      <c r="P4007" s="352"/>
      <c r="Q4007" s="352"/>
      <c r="R4007" s="352"/>
      <c r="S4007" s="352"/>
      <c r="T4007" s="352"/>
      <c r="U4007" s="352"/>
      <c r="V4007" s="352"/>
      <c r="W4007" s="352"/>
      <c r="X4007" s="352"/>
      <c r="Y4007" s="352"/>
      <c r="Z4007" s="352"/>
      <c r="AA4007" s="352"/>
      <c r="AB4007" s="352"/>
      <c r="AC4007" s="352"/>
      <c r="AD4007" s="352"/>
      <c r="AE4007" s="352"/>
      <c r="AF4007" s="352"/>
      <c r="AG4007" s="352"/>
      <c r="AH4007" s="352"/>
      <c r="AI4007" s="352"/>
      <c r="AJ4007" s="352"/>
    </row>
    <row r="4008" spans="2:36">
      <c r="B4008" s="352"/>
      <c r="C4008" s="352"/>
      <c r="D4008" s="352"/>
      <c r="E4008" s="352"/>
      <c r="F4008" s="352"/>
      <c r="H4008" s="352"/>
      <c r="J4008" s="352"/>
      <c r="L4008" s="352"/>
      <c r="M4008" s="352"/>
      <c r="N4008" s="352"/>
      <c r="O4008" s="352"/>
      <c r="P4008" s="352"/>
      <c r="Q4008" s="352"/>
      <c r="R4008" s="352"/>
      <c r="S4008" s="352"/>
      <c r="T4008" s="352"/>
      <c r="U4008" s="352"/>
      <c r="V4008" s="352"/>
      <c r="W4008" s="352"/>
      <c r="X4008" s="352"/>
      <c r="Y4008" s="352"/>
      <c r="Z4008" s="352"/>
      <c r="AA4008" s="352"/>
      <c r="AB4008" s="352"/>
      <c r="AC4008" s="352"/>
      <c r="AD4008" s="352"/>
      <c r="AE4008" s="352"/>
      <c r="AF4008" s="352"/>
      <c r="AG4008" s="352"/>
      <c r="AH4008" s="352"/>
      <c r="AI4008" s="352"/>
      <c r="AJ4008" s="352"/>
    </row>
    <row r="4009" spans="2:36">
      <c r="B4009" s="352"/>
      <c r="C4009" s="352"/>
      <c r="D4009" s="352"/>
      <c r="E4009" s="352"/>
      <c r="F4009" s="352"/>
      <c r="H4009" s="352"/>
      <c r="J4009" s="352"/>
      <c r="L4009" s="352"/>
      <c r="M4009" s="352"/>
      <c r="N4009" s="352"/>
      <c r="O4009" s="352"/>
      <c r="P4009" s="352"/>
      <c r="Q4009" s="352"/>
      <c r="R4009" s="352"/>
      <c r="S4009" s="352"/>
      <c r="T4009" s="352"/>
      <c r="U4009" s="352"/>
      <c r="V4009" s="352"/>
      <c r="W4009" s="352"/>
      <c r="X4009" s="352"/>
      <c r="Y4009" s="352"/>
      <c r="Z4009" s="352"/>
      <c r="AA4009" s="352"/>
      <c r="AB4009" s="352"/>
      <c r="AC4009" s="352"/>
      <c r="AD4009" s="352"/>
      <c r="AE4009" s="352"/>
      <c r="AF4009" s="352"/>
      <c r="AG4009" s="352"/>
      <c r="AH4009" s="352"/>
      <c r="AI4009" s="352"/>
      <c r="AJ4009" s="352"/>
    </row>
    <row r="4010" spans="2:36">
      <c r="B4010" s="352"/>
      <c r="C4010" s="352"/>
      <c r="D4010" s="352"/>
      <c r="E4010" s="352"/>
      <c r="F4010" s="352"/>
      <c r="H4010" s="352"/>
      <c r="J4010" s="352"/>
      <c r="L4010" s="352"/>
      <c r="M4010" s="352"/>
      <c r="N4010" s="352"/>
      <c r="O4010" s="352"/>
      <c r="P4010" s="352"/>
      <c r="Q4010" s="352"/>
      <c r="R4010" s="352"/>
      <c r="S4010" s="352"/>
      <c r="T4010" s="352"/>
      <c r="U4010" s="352"/>
      <c r="V4010" s="352"/>
      <c r="W4010" s="352"/>
      <c r="X4010" s="352"/>
      <c r="Y4010" s="352"/>
      <c r="Z4010" s="352"/>
      <c r="AA4010" s="352"/>
      <c r="AB4010" s="352"/>
      <c r="AC4010" s="352"/>
      <c r="AD4010" s="352"/>
      <c r="AE4010" s="352"/>
      <c r="AF4010" s="352"/>
      <c r="AG4010" s="352"/>
      <c r="AH4010" s="352"/>
      <c r="AI4010" s="352"/>
      <c r="AJ4010" s="352"/>
    </row>
    <row r="4011" spans="2:36">
      <c r="B4011" s="352"/>
      <c r="C4011" s="352"/>
      <c r="D4011" s="352"/>
      <c r="E4011" s="352"/>
      <c r="F4011" s="352"/>
      <c r="H4011" s="352"/>
      <c r="J4011" s="352"/>
      <c r="L4011" s="352"/>
      <c r="M4011" s="352"/>
      <c r="N4011" s="352"/>
      <c r="O4011" s="352"/>
      <c r="P4011" s="352"/>
      <c r="Q4011" s="352"/>
      <c r="R4011" s="352"/>
      <c r="S4011" s="352"/>
      <c r="T4011" s="352"/>
      <c r="U4011" s="352"/>
      <c r="V4011" s="352"/>
      <c r="W4011" s="352"/>
      <c r="X4011" s="352"/>
      <c r="Y4011" s="352"/>
      <c r="Z4011" s="352"/>
      <c r="AA4011" s="352"/>
      <c r="AB4011" s="352"/>
      <c r="AC4011" s="352"/>
      <c r="AD4011" s="352"/>
      <c r="AE4011" s="352"/>
      <c r="AF4011" s="352"/>
      <c r="AG4011" s="352"/>
      <c r="AH4011" s="352"/>
      <c r="AI4011" s="352"/>
      <c r="AJ4011" s="352"/>
    </row>
    <row r="4012" spans="2:36">
      <c r="B4012" s="352"/>
      <c r="C4012" s="352"/>
      <c r="D4012" s="352"/>
      <c r="E4012" s="352"/>
      <c r="F4012" s="352"/>
      <c r="H4012" s="352"/>
      <c r="J4012" s="352"/>
      <c r="L4012" s="352"/>
      <c r="M4012" s="352"/>
      <c r="N4012" s="352"/>
      <c r="O4012" s="352"/>
      <c r="P4012" s="352"/>
      <c r="Q4012" s="352"/>
      <c r="R4012" s="352"/>
      <c r="S4012" s="352"/>
      <c r="T4012" s="352"/>
      <c r="U4012" s="352"/>
      <c r="V4012" s="352"/>
      <c r="W4012" s="352"/>
      <c r="X4012" s="352"/>
      <c r="Y4012" s="352"/>
      <c r="Z4012" s="352"/>
      <c r="AA4012" s="352"/>
      <c r="AB4012" s="352"/>
      <c r="AC4012" s="352"/>
      <c r="AD4012" s="352"/>
      <c r="AE4012" s="352"/>
      <c r="AF4012" s="352"/>
      <c r="AG4012" s="352"/>
      <c r="AH4012" s="352"/>
      <c r="AI4012" s="352"/>
      <c r="AJ4012" s="352"/>
    </row>
    <row r="4013" spans="2:36">
      <c r="B4013" s="352"/>
      <c r="C4013" s="352"/>
      <c r="D4013" s="352"/>
      <c r="E4013" s="352"/>
      <c r="F4013" s="352"/>
      <c r="H4013" s="352"/>
      <c r="J4013" s="352"/>
      <c r="L4013" s="352"/>
      <c r="M4013" s="352"/>
      <c r="N4013" s="352"/>
      <c r="O4013" s="352"/>
      <c r="P4013" s="352"/>
      <c r="Q4013" s="352"/>
      <c r="R4013" s="352"/>
      <c r="S4013" s="352"/>
      <c r="T4013" s="352"/>
      <c r="U4013" s="352"/>
      <c r="V4013" s="352"/>
      <c r="W4013" s="352"/>
      <c r="X4013" s="352"/>
      <c r="Y4013" s="352"/>
      <c r="Z4013" s="352"/>
      <c r="AA4013" s="352"/>
      <c r="AB4013" s="352"/>
      <c r="AC4013" s="352"/>
      <c r="AD4013" s="352"/>
      <c r="AE4013" s="352"/>
      <c r="AF4013" s="352"/>
      <c r="AG4013" s="352"/>
      <c r="AH4013" s="352"/>
      <c r="AI4013" s="352"/>
      <c r="AJ4013" s="352"/>
    </row>
    <row r="4014" spans="2:36">
      <c r="B4014" s="352"/>
      <c r="C4014" s="352"/>
      <c r="D4014" s="352"/>
      <c r="E4014" s="352"/>
      <c r="F4014" s="352"/>
      <c r="H4014" s="352"/>
      <c r="J4014" s="352"/>
      <c r="L4014" s="352"/>
      <c r="M4014" s="352"/>
      <c r="N4014" s="352"/>
      <c r="O4014" s="352"/>
      <c r="P4014" s="352"/>
      <c r="Q4014" s="352"/>
      <c r="R4014" s="352"/>
      <c r="S4014" s="352"/>
      <c r="T4014" s="352"/>
      <c r="U4014" s="352"/>
      <c r="V4014" s="352"/>
      <c r="W4014" s="352"/>
      <c r="X4014" s="352"/>
      <c r="Y4014" s="352"/>
      <c r="Z4014" s="352"/>
      <c r="AA4014" s="352"/>
      <c r="AB4014" s="352"/>
      <c r="AC4014" s="352"/>
      <c r="AD4014" s="352"/>
      <c r="AE4014" s="352"/>
      <c r="AF4014" s="352"/>
      <c r="AG4014" s="352"/>
      <c r="AH4014" s="352"/>
      <c r="AI4014" s="352"/>
      <c r="AJ4014" s="352"/>
    </row>
    <row r="4015" spans="2:36">
      <c r="B4015" s="352"/>
      <c r="C4015" s="352"/>
      <c r="D4015" s="352"/>
      <c r="E4015" s="352"/>
      <c r="F4015" s="352"/>
      <c r="H4015" s="352"/>
      <c r="J4015" s="352"/>
      <c r="L4015" s="352"/>
      <c r="M4015" s="352"/>
      <c r="N4015" s="352"/>
      <c r="O4015" s="352"/>
      <c r="P4015" s="352"/>
      <c r="Q4015" s="352"/>
      <c r="R4015" s="352"/>
      <c r="S4015" s="352"/>
      <c r="T4015" s="352"/>
      <c r="U4015" s="352"/>
      <c r="V4015" s="352"/>
      <c r="W4015" s="352"/>
      <c r="X4015" s="352"/>
      <c r="Y4015" s="352"/>
      <c r="Z4015" s="352"/>
      <c r="AA4015" s="352"/>
      <c r="AB4015" s="352"/>
      <c r="AC4015" s="352"/>
      <c r="AD4015" s="352"/>
      <c r="AE4015" s="352"/>
      <c r="AF4015" s="352"/>
      <c r="AG4015" s="352"/>
      <c r="AH4015" s="352"/>
      <c r="AI4015" s="352"/>
      <c r="AJ4015" s="352"/>
    </row>
    <row r="4016" spans="2:36">
      <c r="B4016" s="352"/>
      <c r="C4016" s="352"/>
      <c r="D4016" s="352"/>
      <c r="E4016" s="352"/>
      <c r="F4016" s="352"/>
      <c r="H4016" s="352"/>
      <c r="J4016" s="352"/>
      <c r="L4016" s="352"/>
      <c r="M4016" s="352"/>
      <c r="N4016" s="352"/>
      <c r="O4016" s="352"/>
      <c r="P4016" s="352"/>
      <c r="Q4016" s="352"/>
      <c r="R4016" s="352"/>
      <c r="S4016" s="352"/>
      <c r="T4016" s="352"/>
      <c r="U4016" s="352"/>
      <c r="V4016" s="352"/>
      <c r="W4016" s="352"/>
      <c r="X4016" s="352"/>
      <c r="Y4016" s="352"/>
      <c r="Z4016" s="352"/>
      <c r="AA4016" s="352"/>
      <c r="AB4016" s="352"/>
      <c r="AC4016" s="352"/>
      <c r="AD4016" s="352"/>
      <c r="AE4016" s="352"/>
      <c r="AF4016" s="352"/>
      <c r="AG4016" s="352"/>
      <c r="AH4016" s="352"/>
      <c r="AI4016" s="352"/>
      <c r="AJ4016" s="352"/>
    </row>
    <row r="4017" spans="2:36">
      <c r="B4017" s="352"/>
      <c r="C4017" s="352"/>
      <c r="D4017" s="352"/>
      <c r="E4017" s="352"/>
      <c r="F4017" s="352"/>
      <c r="H4017" s="352"/>
      <c r="J4017" s="352"/>
      <c r="L4017" s="352"/>
      <c r="M4017" s="352"/>
      <c r="N4017" s="352"/>
      <c r="O4017" s="352"/>
      <c r="P4017" s="352"/>
      <c r="Q4017" s="352"/>
      <c r="R4017" s="352"/>
      <c r="S4017" s="352"/>
      <c r="T4017" s="352"/>
      <c r="U4017" s="352"/>
      <c r="V4017" s="352"/>
      <c r="W4017" s="352"/>
      <c r="X4017" s="352"/>
      <c r="Y4017" s="352"/>
      <c r="Z4017" s="352"/>
      <c r="AA4017" s="352"/>
      <c r="AB4017" s="352"/>
      <c r="AC4017" s="352"/>
      <c r="AD4017" s="352"/>
      <c r="AE4017" s="352"/>
      <c r="AF4017" s="352"/>
      <c r="AG4017" s="352"/>
      <c r="AH4017" s="352"/>
      <c r="AI4017" s="352"/>
      <c r="AJ4017" s="352"/>
    </row>
    <row r="4018" spans="2:36">
      <c r="B4018" s="352"/>
      <c r="C4018" s="352"/>
      <c r="D4018" s="352"/>
      <c r="E4018" s="352"/>
      <c r="F4018" s="352"/>
      <c r="H4018" s="352"/>
      <c r="J4018" s="352"/>
      <c r="L4018" s="352"/>
      <c r="M4018" s="352"/>
      <c r="N4018" s="352"/>
      <c r="O4018" s="352"/>
      <c r="P4018" s="352"/>
      <c r="Q4018" s="352"/>
      <c r="R4018" s="352"/>
      <c r="S4018" s="352"/>
      <c r="T4018" s="352"/>
      <c r="U4018" s="352"/>
      <c r="V4018" s="352"/>
      <c r="W4018" s="352"/>
      <c r="X4018" s="352"/>
      <c r="Y4018" s="352"/>
      <c r="Z4018" s="352"/>
      <c r="AA4018" s="352"/>
      <c r="AB4018" s="352"/>
      <c r="AC4018" s="352"/>
      <c r="AD4018" s="352"/>
      <c r="AE4018" s="352"/>
      <c r="AF4018" s="352"/>
      <c r="AG4018" s="352"/>
      <c r="AH4018" s="352"/>
      <c r="AI4018" s="352"/>
      <c r="AJ4018" s="352"/>
    </row>
    <row r="4019" spans="2:36">
      <c r="B4019" s="352"/>
      <c r="C4019" s="352"/>
      <c r="D4019" s="352"/>
      <c r="E4019" s="352"/>
      <c r="F4019" s="352"/>
      <c r="H4019" s="352"/>
      <c r="J4019" s="352"/>
      <c r="L4019" s="352"/>
      <c r="M4019" s="352"/>
      <c r="N4019" s="352"/>
      <c r="O4019" s="352"/>
      <c r="P4019" s="352"/>
      <c r="Q4019" s="352"/>
      <c r="R4019" s="352"/>
      <c r="S4019" s="352"/>
      <c r="T4019" s="352"/>
      <c r="U4019" s="352"/>
      <c r="V4019" s="352"/>
      <c r="W4019" s="352"/>
      <c r="X4019" s="352"/>
      <c r="Y4019" s="352"/>
      <c r="Z4019" s="352"/>
      <c r="AA4019" s="352"/>
      <c r="AB4019" s="352"/>
      <c r="AC4019" s="352"/>
      <c r="AD4019" s="352"/>
      <c r="AE4019" s="352"/>
      <c r="AF4019" s="352"/>
      <c r="AG4019" s="352"/>
      <c r="AH4019" s="352"/>
      <c r="AI4019" s="352"/>
      <c r="AJ4019" s="352"/>
    </row>
    <row r="4020" spans="2:36">
      <c r="B4020" s="352"/>
      <c r="C4020" s="352"/>
      <c r="D4020" s="352"/>
      <c r="E4020" s="352"/>
      <c r="F4020" s="352"/>
      <c r="H4020" s="352"/>
      <c r="J4020" s="352"/>
      <c r="L4020" s="352"/>
      <c r="M4020" s="352"/>
      <c r="N4020" s="352"/>
      <c r="O4020" s="352"/>
      <c r="P4020" s="352"/>
      <c r="Q4020" s="352"/>
      <c r="R4020" s="352"/>
      <c r="S4020" s="352"/>
      <c r="T4020" s="352"/>
      <c r="U4020" s="352"/>
      <c r="V4020" s="352"/>
      <c r="W4020" s="352"/>
      <c r="X4020" s="352"/>
      <c r="Y4020" s="352"/>
      <c r="Z4020" s="352"/>
      <c r="AA4020" s="352"/>
      <c r="AB4020" s="352"/>
      <c r="AC4020" s="352"/>
      <c r="AD4020" s="352"/>
      <c r="AE4020" s="352"/>
      <c r="AF4020" s="352"/>
      <c r="AG4020" s="352"/>
      <c r="AH4020" s="352"/>
      <c r="AI4020" s="352"/>
      <c r="AJ4020" s="352"/>
    </row>
    <row r="4021" spans="2:36">
      <c r="B4021" s="352"/>
      <c r="C4021" s="352"/>
      <c r="D4021" s="352"/>
      <c r="E4021" s="352"/>
      <c r="F4021" s="352"/>
      <c r="H4021" s="352"/>
      <c r="J4021" s="352"/>
      <c r="L4021" s="352"/>
      <c r="M4021" s="352"/>
      <c r="N4021" s="352"/>
      <c r="O4021" s="352"/>
      <c r="P4021" s="352"/>
      <c r="Q4021" s="352"/>
      <c r="R4021" s="352"/>
      <c r="S4021" s="352"/>
      <c r="T4021" s="352"/>
      <c r="U4021" s="352"/>
      <c r="V4021" s="352"/>
      <c r="W4021" s="352"/>
      <c r="X4021" s="352"/>
      <c r="Y4021" s="352"/>
      <c r="Z4021" s="352"/>
      <c r="AA4021" s="352"/>
      <c r="AB4021" s="352"/>
      <c r="AC4021" s="352"/>
      <c r="AD4021" s="352"/>
      <c r="AE4021" s="352"/>
      <c r="AF4021" s="352"/>
      <c r="AG4021" s="352"/>
      <c r="AH4021" s="352"/>
      <c r="AI4021" s="352"/>
      <c r="AJ4021" s="352"/>
    </row>
    <row r="4022" spans="2:36">
      <c r="B4022" s="352"/>
      <c r="C4022" s="352"/>
      <c r="D4022" s="352"/>
      <c r="E4022" s="352"/>
      <c r="F4022" s="352"/>
      <c r="H4022" s="352"/>
      <c r="J4022" s="352"/>
      <c r="L4022" s="352"/>
      <c r="M4022" s="352"/>
      <c r="N4022" s="352"/>
      <c r="O4022" s="352"/>
      <c r="P4022" s="352"/>
      <c r="Q4022" s="352"/>
      <c r="R4022" s="352"/>
      <c r="S4022" s="352"/>
      <c r="T4022" s="352"/>
      <c r="U4022" s="352"/>
      <c r="V4022" s="352"/>
      <c r="W4022" s="352"/>
      <c r="X4022" s="352"/>
      <c r="Y4022" s="352"/>
      <c r="Z4022" s="352"/>
      <c r="AA4022" s="352"/>
      <c r="AB4022" s="352"/>
      <c r="AC4022" s="352"/>
      <c r="AD4022" s="352"/>
      <c r="AE4022" s="352"/>
      <c r="AF4022" s="352"/>
      <c r="AG4022" s="352"/>
      <c r="AH4022" s="352"/>
      <c r="AI4022" s="352"/>
      <c r="AJ4022" s="352"/>
    </row>
    <row r="4023" spans="2:36">
      <c r="B4023" s="352"/>
      <c r="C4023" s="352"/>
      <c r="D4023" s="352"/>
      <c r="E4023" s="352"/>
      <c r="F4023" s="352"/>
      <c r="H4023" s="352"/>
      <c r="J4023" s="352"/>
      <c r="L4023" s="352"/>
      <c r="M4023" s="352"/>
      <c r="N4023" s="352"/>
      <c r="O4023" s="352"/>
      <c r="P4023" s="352"/>
      <c r="Q4023" s="352"/>
      <c r="R4023" s="352"/>
      <c r="S4023" s="352"/>
      <c r="T4023" s="352"/>
      <c r="U4023" s="352"/>
      <c r="V4023" s="352"/>
      <c r="W4023" s="352"/>
      <c r="X4023" s="352"/>
      <c r="Y4023" s="352"/>
      <c r="Z4023" s="352"/>
      <c r="AA4023" s="352"/>
      <c r="AB4023" s="352"/>
      <c r="AC4023" s="352"/>
      <c r="AD4023" s="352"/>
      <c r="AE4023" s="352"/>
      <c r="AF4023" s="352"/>
      <c r="AG4023" s="352"/>
      <c r="AH4023" s="352"/>
      <c r="AI4023" s="352"/>
      <c r="AJ4023" s="352"/>
    </row>
    <row r="4024" spans="2:36">
      <c r="B4024" s="352"/>
      <c r="C4024" s="352"/>
      <c r="D4024" s="352"/>
      <c r="E4024" s="352"/>
      <c r="F4024" s="352"/>
      <c r="H4024" s="352"/>
      <c r="J4024" s="352"/>
      <c r="L4024" s="352"/>
      <c r="M4024" s="352"/>
      <c r="N4024" s="352"/>
      <c r="O4024" s="352"/>
      <c r="P4024" s="352"/>
      <c r="Q4024" s="352"/>
      <c r="R4024" s="352"/>
      <c r="S4024" s="352"/>
      <c r="T4024" s="352"/>
      <c r="U4024" s="352"/>
      <c r="V4024" s="352"/>
      <c r="W4024" s="352"/>
      <c r="X4024" s="352"/>
      <c r="Y4024" s="352"/>
      <c r="Z4024" s="352"/>
      <c r="AA4024" s="352"/>
      <c r="AB4024" s="352"/>
      <c r="AC4024" s="352"/>
      <c r="AD4024" s="352"/>
      <c r="AE4024" s="352"/>
      <c r="AF4024" s="352"/>
      <c r="AG4024" s="352"/>
      <c r="AH4024" s="352"/>
      <c r="AI4024" s="352"/>
      <c r="AJ4024" s="352"/>
    </row>
    <row r="4025" spans="2:36">
      <c r="B4025" s="352"/>
      <c r="C4025" s="352"/>
      <c r="D4025" s="352"/>
      <c r="E4025" s="352"/>
      <c r="F4025" s="352"/>
      <c r="H4025" s="352"/>
      <c r="J4025" s="352"/>
      <c r="L4025" s="352"/>
      <c r="M4025" s="352"/>
      <c r="N4025" s="352"/>
      <c r="O4025" s="352"/>
      <c r="P4025" s="352"/>
      <c r="Q4025" s="352"/>
      <c r="R4025" s="352"/>
      <c r="S4025" s="352"/>
      <c r="T4025" s="352"/>
      <c r="U4025" s="352"/>
      <c r="V4025" s="352"/>
      <c r="W4025" s="352"/>
      <c r="X4025" s="352"/>
      <c r="Y4025" s="352"/>
      <c r="Z4025" s="352"/>
      <c r="AA4025" s="352"/>
      <c r="AB4025" s="352"/>
      <c r="AC4025" s="352"/>
      <c r="AD4025" s="352"/>
      <c r="AE4025" s="352"/>
      <c r="AF4025" s="352"/>
      <c r="AG4025" s="352"/>
      <c r="AH4025" s="352"/>
      <c r="AI4025" s="352"/>
      <c r="AJ4025" s="352"/>
    </row>
    <row r="4026" spans="2:36">
      <c r="B4026" s="352"/>
      <c r="C4026" s="352"/>
      <c r="D4026" s="352"/>
      <c r="E4026" s="352"/>
      <c r="F4026" s="352"/>
      <c r="H4026" s="352"/>
      <c r="J4026" s="352"/>
      <c r="L4026" s="352"/>
      <c r="M4026" s="352"/>
      <c r="N4026" s="352"/>
      <c r="O4026" s="352"/>
      <c r="P4026" s="352"/>
      <c r="Q4026" s="352"/>
      <c r="R4026" s="352"/>
      <c r="S4026" s="352"/>
      <c r="T4026" s="352"/>
      <c r="U4026" s="352"/>
      <c r="V4026" s="352"/>
      <c r="W4026" s="352"/>
      <c r="X4026" s="352"/>
      <c r="Y4026" s="352"/>
      <c r="Z4026" s="352"/>
      <c r="AA4026" s="352"/>
      <c r="AB4026" s="352"/>
      <c r="AC4026" s="352"/>
      <c r="AD4026" s="352"/>
      <c r="AE4026" s="352"/>
      <c r="AF4026" s="352"/>
      <c r="AG4026" s="352"/>
      <c r="AH4026" s="352"/>
      <c r="AI4026" s="352"/>
      <c r="AJ4026" s="352"/>
    </row>
    <row r="4027" spans="2:36">
      <c r="B4027" s="352"/>
      <c r="C4027" s="352"/>
      <c r="D4027" s="352"/>
      <c r="E4027" s="352"/>
      <c r="F4027" s="352"/>
      <c r="H4027" s="352"/>
      <c r="J4027" s="352"/>
      <c r="L4027" s="352"/>
      <c r="M4027" s="352"/>
      <c r="N4027" s="352"/>
      <c r="O4027" s="352"/>
      <c r="P4027" s="352"/>
      <c r="Q4027" s="352"/>
      <c r="R4027" s="352"/>
      <c r="S4027" s="352"/>
      <c r="T4027" s="352"/>
      <c r="U4027" s="352"/>
      <c r="V4027" s="352"/>
      <c r="W4027" s="352"/>
      <c r="X4027" s="352"/>
      <c r="Y4027" s="352"/>
      <c r="Z4027" s="352"/>
      <c r="AA4027" s="352"/>
      <c r="AB4027" s="352"/>
      <c r="AC4027" s="352"/>
      <c r="AD4027" s="352"/>
      <c r="AE4027" s="352"/>
      <c r="AF4027" s="352"/>
      <c r="AG4027" s="352"/>
      <c r="AH4027" s="352"/>
      <c r="AI4027" s="352"/>
      <c r="AJ4027" s="352"/>
    </row>
    <row r="4028" spans="2:36">
      <c r="B4028" s="352"/>
      <c r="C4028" s="352"/>
      <c r="D4028" s="352"/>
      <c r="E4028" s="352"/>
      <c r="F4028" s="352"/>
      <c r="H4028" s="352"/>
      <c r="J4028" s="352"/>
      <c r="L4028" s="352"/>
      <c r="M4028" s="352"/>
      <c r="N4028" s="352"/>
      <c r="O4028" s="352"/>
      <c r="P4028" s="352"/>
      <c r="Q4028" s="352"/>
      <c r="R4028" s="352"/>
      <c r="S4028" s="352"/>
      <c r="T4028" s="352"/>
      <c r="U4028" s="352"/>
      <c r="V4028" s="352"/>
      <c r="W4028" s="352"/>
      <c r="X4028" s="352"/>
      <c r="Y4028" s="352"/>
      <c r="Z4028" s="352"/>
      <c r="AA4028" s="352"/>
      <c r="AB4028" s="352"/>
      <c r="AC4028" s="352"/>
      <c r="AD4028" s="352"/>
      <c r="AE4028" s="352"/>
      <c r="AF4028" s="352"/>
      <c r="AG4028" s="352"/>
      <c r="AH4028" s="352"/>
      <c r="AI4028" s="352"/>
      <c r="AJ4028" s="352"/>
    </row>
    <row r="4029" spans="2:36">
      <c r="B4029" s="352"/>
      <c r="C4029" s="352"/>
      <c r="D4029" s="352"/>
      <c r="E4029" s="352"/>
      <c r="F4029" s="352"/>
      <c r="H4029" s="352"/>
      <c r="J4029" s="352"/>
      <c r="L4029" s="352"/>
      <c r="M4029" s="352"/>
      <c r="N4029" s="352"/>
      <c r="O4029" s="352"/>
      <c r="P4029" s="352"/>
      <c r="Q4029" s="352"/>
      <c r="R4029" s="352"/>
      <c r="S4029" s="352"/>
      <c r="T4029" s="352"/>
      <c r="U4029" s="352"/>
      <c r="V4029" s="352"/>
      <c r="W4029" s="352"/>
      <c r="X4029" s="352"/>
      <c r="Y4029" s="352"/>
      <c r="Z4029" s="352"/>
      <c r="AA4029" s="352"/>
      <c r="AB4029" s="352"/>
      <c r="AC4029" s="352"/>
      <c r="AD4029" s="352"/>
      <c r="AE4029" s="352"/>
      <c r="AF4029" s="352"/>
      <c r="AG4029" s="352"/>
      <c r="AH4029" s="352"/>
      <c r="AI4029" s="352"/>
      <c r="AJ4029" s="352"/>
    </row>
    <row r="4030" spans="2:36">
      <c r="B4030" s="352"/>
      <c r="C4030" s="352"/>
      <c r="D4030" s="352"/>
      <c r="E4030" s="352"/>
      <c r="F4030" s="352"/>
      <c r="H4030" s="352"/>
      <c r="J4030" s="352"/>
      <c r="L4030" s="352"/>
      <c r="M4030" s="352"/>
      <c r="N4030" s="352"/>
      <c r="O4030" s="352"/>
      <c r="P4030" s="352"/>
      <c r="Q4030" s="352"/>
      <c r="R4030" s="352"/>
      <c r="S4030" s="352"/>
      <c r="T4030" s="352"/>
      <c r="U4030" s="352"/>
      <c r="V4030" s="352"/>
      <c r="W4030" s="352"/>
      <c r="X4030" s="352"/>
      <c r="Y4030" s="352"/>
      <c r="Z4030" s="352"/>
      <c r="AA4030" s="352"/>
      <c r="AB4030" s="352"/>
      <c r="AC4030" s="352"/>
      <c r="AD4030" s="352"/>
      <c r="AE4030" s="352"/>
      <c r="AF4030" s="352"/>
      <c r="AG4030" s="352"/>
      <c r="AH4030" s="352"/>
      <c r="AI4030" s="352"/>
      <c r="AJ4030" s="352"/>
    </row>
    <row r="4031" spans="2:36">
      <c r="B4031" s="352"/>
      <c r="C4031" s="352"/>
      <c r="D4031" s="352"/>
      <c r="E4031" s="352"/>
      <c r="F4031" s="352"/>
      <c r="H4031" s="352"/>
      <c r="J4031" s="352"/>
      <c r="L4031" s="352"/>
      <c r="M4031" s="352"/>
      <c r="N4031" s="352"/>
      <c r="O4031" s="352"/>
      <c r="P4031" s="352"/>
      <c r="Q4031" s="352"/>
      <c r="R4031" s="352"/>
      <c r="S4031" s="352"/>
      <c r="T4031" s="352"/>
      <c r="U4031" s="352"/>
      <c r="V4031" s="352"/>
      <c r="W4031" s="352"/>
      <c r="X4031" s="352"/>
      <c r="Y4031" s="352"/>
      <c r="Z4031" s="352"/>
      <c r="AA4031" s="352"/>
      <c r="AB4031" s="352"/>
      <c r="AC4031" s="352"/>
      <c r="AD4031" s="352"/>
      <c r="AE4031" s="352"/>
      <c r="AF4031" s="352"/>
      <c r="AG4031" s="352"/>
      <c r="AH4031" s="352"/>
      <c r="AI4031" s="352"/>
      <c r="AJ4031" s="352"/>
    </row>
    <row r="4032" spans="2:36">
      <c r="B4032" s="352"/>
      <c r="C4032" s="352"/>
      <c r="D4032" s="352"/>
      <c r="E4032" s="352"/>
      <c r="F4032" s="352"/>
      <c r="H4032" s="352"/>
      <c r="J4032" s="352"/>
      <c r="L4032" s="352"/>
      <c r="M4032" s="352"/>
      <c r="N4032" s="352"/>
      <c r="O4032" s="352"/>
      <c r="P4032" s="352"/>
      <c r="Q4032" s="352"/>
      <c r="R4032" s="352"/>
      <c r="S4032" s="352"/>
      <c r="T4032" s="352"/>
      <c r="U4032" s="352"/>
      <c r="V4032" s="352"/>
      <c r="W4032" s="352"/>
      <c r="X4032" s="352"/>
      <c r="Y4032" s="352"/>
      <c r="Z4032" s="352"/>
      <c r="AA4032" s="352"/>
      <c r="AB4032" s="352"/>
      <c r="AC4032" s="352"/>
      <c r="AD4032" s="352"/>
      <c r="AE4032" s="352"/>
      <c r="AF4032" s="352"/>
      <c r="AG4032" s="352"/>
      <c r="AH4032" s="352"/>
      <c r="AI4032" s="352"/>
      <c r="AJ4032" s="352"/>
    </row>
    <row r="4033" spans="2:36">
      <c r="B4033" s="352"/>
      <c r="C4033" s="352"/>
      <c r="D4033" s="352"/>
      <c r="E4033" s="352"/>
      <c r="F4033" s="352"/>
      <c r="H4033" s="352"/>
      <c r="J4033" s="352"/>
      <c r="L4033" s="352"/>
      <c r="M4033" s="352"/>
      <c r="N4033" s="352"/>
      <c r="O4033" s="352"/>
      <c r="P4033" s="352"/>
      <c r="Q4033" s="352"/>
      <c r="R4033" s="352"/>
      <c r="S4033" s="352"/>
      <c r="T4033" s="352"/>
      <c r="U4033" s="352"/>
      <c r="V4033" s="352"/>
      <c r="W4033" s="352"/>
      <c r="X4033" s="352"/>
      <c r="Y4033" s="352"/>
      <c r="Z4033" s="352"/>
      <c r="AA4033" s="352"/>
      <c r="AB4033" s="352"/>
      <c r="AC4033" s="352"/>
      <c r="AD4033" s="352"/>
      <c r="AE4033" s="352"/>
      <c r="AF4033" s="352"/>
      <c r="AG4033" s="352"/>
      <c r="AH4033" s="352"/>
      <c r="AI4033" s="352"/>
      <c r="AJ4033" s="352"/>
    </row>
    <row r="4034" spans="2:36">
      <c r="B4034" s="352"/>
      <c r="C4034" s="352"/>
      <c r="D4034" s="352"/>
      <c r="E4034" s="352"/>
      <c r="F4034" s="352"/>
      <c r="H4034" s="352"/>
      <c r="J4034" s="352"/>
      <c r="L4034" s="352"/>
      <c r="M4034" s="352"/>
      <c r="N4034" s="352"/>
      <c r="O4034" s="352"/>
      <c r="P4034" s="352"/>
      <c r="Q4034" s="352"/>
      <c r="R4034" s="352"/>
      <c r="S4034" s="352"/>
      <c r="T4034" s="352"/>
      <c r="U4034" s="352"/>
      <c r="V4034" s="352"/>
      <c r="W4034" s="352"/>
      <c r="X4034" s="352"/>
      <c r="Y4034" s="352"/>
      <c r="Z4034" s="352"/>
      <c r="AA4034" s="352"/>
      <c r="AB4034" s="352"/>
      <c r="AC4034" s="352"/>
      <c r="AD4034" s="352"/>
      <c r="AE4034" s="352"/>
      <c r="AF4034" s="352"/>
      <c r="AG4034" s="352"/>
      <c r="AH4034" s="352"/>
      <c r="AI4034" s="352"/>
      <c r="AJ4034" s="352"/>
    </row>
    <row r="4035" spans="2:36">
      <c r="B4035" s="352"/>
      <c r="C4035" s="352"/>
      <c r="D4035" s="352"/>
      <c r="E4035" s="352"/>
      <c r="F4035" s="352"/>
      <c r="H4035" s="352"/>
      <c r="J4035" s="352"/>
      <c r="L4035" s="352"/>
      <c r="M4035" s="352"/>
      <c r="N4035" s="352"/>
      <c r="O4035" s="352"/>
      <c r="P4035" s="352"/>
      <c r="Q4035" s="352"/>
      <c r="R4035" s="352"/>
      <c r="S4035" s="352"/>
      <c r="T4035" s="352"/>
      <c r="U4035" s="352"/>
      <c r="V4035" s="352"/>
      <c r="W4035" s="352"/>
      <c r="X4035" s="352"/>
      <c r="Y4035" s="352"/>
      <c r="Z4035" s="352"/>
      <c r="AA4035" s="352"/>
      <c r="AB4035" s="352"/>
      <c r="AC4035" s="352"/>
      <c r="AD4035" s="352"/>
      <c r="AE4035" s="352"/>
      <c r="AF4035" s="352"/>
      <c r="AG4035" s="352"/>
      <c r="AH4035" s="352"/>
      <c r="AI4035" s="352"/>
      <c r="AJ4035" s="352"/>
    </row>
    <row r="4036" spans="2:36">
      <c r="B4036" s="352"/>
      <c r="C4036" s="352"/>
      <c r="D4036" s="352"/>
      <c r="E4036" s="352"/>
      <c r="F4036" s="352"/>
      <c r="H4036" s="352"/>
      <c r="J4036" s="352"/>
      <c r="L4036" s="352"/>
      <c r="M4036" s="352"/>
      <c r="N4036" s="352"/>
      <c r="O4036" s="352"/>
      <c r="P4036" s="352"/>
      <c r="Q4036" s="352"/>
      <c r="R4036" s="352"/>
      <c r="S4036" s="352"/>
      <c r="T4036" s="352"/>
      <c r="U4036" s="352"/>
      <c r="V4036" s="352"/>
      <c r="W4036" s="352"/>
      <c r="X4036" s="352"/>
      <c r="Y4036" s="352"/>
      <c r="Z4036" s="352"/>
      <c r="AA4036" s="352"/>
      <c r="AB4036" s="352"/>
      <c r="AC4036" s="352"/>
      <c r="AD4036" s="352"/>
      <c r="AE4036" s="352"/>
      <c r="AF4036" s="352"/>
      <c r="AG4036" s="352"/>
      <c r="AH4036" s="352"/>
      <c r="AI4036" s="352"/>
      <c r="AJ4036" s="352"/>
    </row>
    <row r="4037" spans="2:36">
      <c r="B4037" s="352"/>
      <c r="C4037" s="352"/>
      <c r="D4037" s="352"/>
      <c r="E4037" s="352"/>
      <c r="F4037" s="352"/>
      <c r="H4037" s="352"/>
      <c r="J4037" s="352"/>
      <c r="L4037" s="352"/>
      <c r="M4037" s="352"/>
      <c r="N4037" s="352"/>
      <c r="O4037" s="352"/>
      <c r="P4037" s="352"/>
      <c r="Q4037" s="352"/>
      <c r="R4037" s="352"/>
      <c r="S4037" s="352"/>
      <c r="T4037" s="352"/>
      <c r="U4037" s="352"/>
      <c r="V4037" s="352"/>
      <c r="W4037" s="352"/>
      <c r="X4037" s="352"/>
      <c r="Y4037" s="352"/>
      <c r="Z4037" s="352"/>
      <c r="AA4037" s="352"/>
      <c r="AB4037" s="352"/>
      <c r="AC4037" s="352"/>
      <c r="AD4037" s="352"/>
      <c r="AE4037" s="352"/>
      <c r="AF4037" s="352"/>
      <c r="AG4037" s="352"/>
      <c r="AH4037" s="352"/>
      <c r="AI4037" s="352"/>
      <c r="AJ4037" s="352"/>
    </row>
    <row r="4038" spans="2:36">
      <c r="B4038" s="352"/>
      <c r="C4038" s="352"/>
      <c r="D4038" s="352"/>
      <c r="E4038" s="352"/>
      <c r="F4038" s="352"/>
      <c r="H4038" s="352"/>
      <c r="J4038" s="352"/>
      <c r="L4038" s="352"/>
      <c r="M4038" s="352"/>
      <c r="N4038" s="352"/>
      <c r="O4038" s="352"/>
      <c r="P4038" s="352"/>
      <c r="Q4038" s="352"/>
      <c r="R4038" s="352"/>
      <c r="S4038" s="352"/>
      <c r="T4038" s="352"/>
      <c r="U4038" s="352"/>
      <c r="V4038" s="352"/>
      <c r="W4038" s="352"/>
      <c r="X4038" s="352"/>
      <c r="Y4038" s="352"/>
      <c r="Z4038" s="352"/>
      <c r="AA4038" s="352"/>
      <c r="AB4038" s="352"/>
      <c r="AC4038" s="352"/>
      <c r="AD4038" s="352"/>
      <c r="AE4038" s="352"/>
      <c r="AF4038" s="352"/>
      <c r="AG4038" s="352"/>
      <c r="AH4038" s="352"/>
      <c r="AI4038" s="352"/>
      <c r="AJ4038" s="352"/>
    </row>
    <row r="4039" spans="2:36">
      <c r="B4039" s="352"/>
      <c r="C4039" s="352"/>
      <c r="D4039" s="352"/>
      <c r="E4039" s="352"/>
      <c r="F4039" s="352"/>
      <c r="H4039" s="352"/>
      <c r="J4039" s="352"/>
      <c r="L4039" s="352"/>
      <c r="M4039" s="352"/>
      <c r="N4039" s="352"/>
      <c r="O4039" s="352"/>
      <c r="P4039" s="352"/>
      <c r="Q4039" s="352"/>
      <c r="R4039" s="352"/>
      <c r="S4039" s="352"/>
      <c r="T4039" s="352"/>
      <c r="U4039" s="352"/>
      <c r="V4039" s="352"/>
      <c r="W4039" s="352"/>
      <c r="X4039" s="352"/>
      <c r="Y4039" s="352"/>
      <c r="Z4039" s="352"/>
      <c r="AA4039" s="352"/>
      <c r="AB4039" s="352"/>
      <c r="AC4039" s="352"/>
      <c r="AD4039" s="352"/>
      <c r="AE4039" s="352"/>
      <c r="AF4039" s="352"/>
      <c r="AG4039" s="352"/>
      <c r="AH4039" s="352"/>
      <c r="AI4039" s="352"/>
      <c r="AJ4039" s="352"/>
    </row>
    <row r="4040" spans="2:36">
      <c r="B4040" s="352"/>
      <c r="C4040" s="352"/>
      <c r="D4040" s="352"/>
      <c r="E4040" s="352"/>
      <c r="F4040" s="352"/>
      <c r="H4040" s="352"/>
      <c r="J4040" s="352"/>
      <c r="L4040" s="352"/>
      <c r="M4040" s="352"/>
      <c r="N4040" s="352"/>
      <c r="O4040" s="352"/>
      <c r="P4040" s="352"/>
      <c r="Q4040" s="352"/>
      <c r="R4040" s="352"/>
      <c r="S4040" s="352"/>
      <c r="T4040" s="352"/>
      <c r="U4040" s="352"/>
      <c r="V4040" s="352"/>
      <c r="W4040" s="352"/>
      <c r="X4040" s="352"/>
      <c r="Y4040" s="352"/>
      <c r="Z4040" s="352"/>
      <c r="AA4040" s="352"/>
      <c r="AB4040" s="352"/>
      <c r="AC4040" s="352"/>
      <c r="AD4040" s="352"/>
      <c r="AE4040" s="352"/>
      <c r="AF4040" s="352"/>
      <c r="AG4040" s="352"/>
      <c r="AH4040" s="352"/>
      <c r="AI4040" s="352"/>
      <c r="AJ4040" s="352"/>
    </row>
    <row r="4041" spans="2:36">
      <c r="B4041" s="352"/>
      <c r="C4041" s="352"/>
      <c r="D4041" s="352"/>
      <c r="E4041" s="352"/>
      <c r="F4041" s="352"/>
      <c r="H4041" s="352"/>
      <c r="J4041" s="352"/>
      <c r="L4041" s="352"/>
      <c r="M4041" s="352"/>
      <c r="N4041" s="352"/>
      <c r="O4041" s="352"/>
      <c r="P4041" s="352"/>
      <c r="Q4041" s="352"/>
      <c r="R4041" s="352"/>
      <c r="S4041" s="352"/>
      <c r="T4041" s="352"/>
      <c r="U4041" s="352"/>
      <c r="V4041" s="352"/>
      <c r="W4041" s="352"/>
      <c r="X4041" s="352"/>
      <c r="Y4041" s="352"/>
      <c r="Z4041" s="352"/>
      <c r="AA4041" s="352"/>
      <c r="AB4041" s="352"/>
      <c r="AC4041" s="352"/>
      <c r="AD4041" s="352"/>
      <c r="AE4041" s="352"/>
      <c r="AF4041" s="352"/>
      <c r="AG4041" s="352"/>
      <c r="AH4041" s="352"/>
      <c r="AI4041" s="352"/>
      <c r="AJ4041" s="352"/>
    </row>
    <row r="4042" spans="2:36">
      <c r="B4042" s="352"/>
      <c r="C4042" s="352"/>
      <c r="D4042" s="352"/>
      <c r="E4042" s="352"/>
      <c r="F4042" s="352"/>
      <c r="H4042" s="352"/>
      <c r="J4042" s="352"/>
      <c r="L4042" s="352"/>
      <c r="M4042" s="352"/>
      <c r="N4042" s="352"/>
      <c r="O4042" s="352"/>
      <c r="P4042" s="352"/>
      <c r="Q4042" s="352"/>
      <c r="R4042" s="352"/>
      <c r="S4042" s="352"/>
      <c r="T4042" s="352"/>
      <c r="U4042" s="352"/>
      <c r="V4042" s="352"/>
      <c r="W4042" s="352"/>
      <c r="X4042" s="352"/>
      <c r="Y4042" s="352"/>
      <c r="Z4042" s="352"/>
      <c r="AA4042" s="352"/>
      <c r="AB4042" s="352"/>
      <c r="AC4042" s="352"/>
      <c r="AD4042" s="352"/>
      <c r="AE4042" s="352"/>
      <c r="AF4042" s="352"/>
      <c r="AG4042" s="352"/>
      <c r="AH4042" s="352"/>
      <c r="AI4042" s="352"/>
      <c r="AJ4042" s="352"/>
    </row>
    <row r="4043" spans="2:36">
      <c r="B4043" s="352"/>
      <c r="C4043" s="352"/>
      <c r="D4043" s="352"/>
      <c r="E4043" s="352"/>
      <c r="F4043" s="352"/>
      <c r="H4043" s="352"/>
      <c r="J4043" s="352"/>
      <c r="L4043" s="352"/>
      <c r="M4043" s="352"/>
      <c r="N4043" s="352"/>
      <c r="O4043" s="352"/>
      <c r="P4043" s="352"/>
      <c r="Q4043" s="352"/>
      <c r="R4043" s="352"/>
      <c r="S4043" s="352"/>
      <c r="T4043" s="352"/>
      <c r="U4043" s="352"/>
      <c r="V4043" s="352"/>
      <c r="W4043" s="352"/>
      <c r="X4043" s="352"/>
      <c r="Y4043" s="352"/>
      <c r="Z4043" s="352"/>
      <c r="AA4043" s="352"/>
      <c r="AB4043" s="352"/>
      <c r="AC4043" s="352"/>
      <c r="AD4043" s="352"/>
      <c r="AE4043" s="352"/>
      <c r="AF4043" s="352"/>
      <c r="AG4043" s="352"/>
      <c r="AH4043" s="352"/>
      <c r="AI4043" s="352"/>
      <c r="AJ4043" s="352"/>
    </row>
    <row r="4044" spans="2:36">
      <c r="B4044" s="352"/>
      <c r="C4044" s="352"/>
      <c r="D4044" s="352"/>
      <c r="E4044" s="352"/>
      <c r="F4044" s="352"/>
      <c r="H4044" s="352"/>
      <c r="J4044" s="352"/>
      <c r="L4044" s="352"/>
      <c r="M4044" s="352"/>
      <c r="N4044" s="352"/>
      <c r="O4044" s="352"/>
      <c r="P4044" s="352"/>
      <c r="Q4044" s="352"/>
      <c r="R4044" s="352"/>
      <c r="S4044" s="352"/>
      <c r="T4044" s="352"/>
      <c r="U4044" s="352"/>
      <c r="V4044" s="352"/>
      <c r="W4044" s="352"/>
      <c r="X4044" s="352"/>
      <c r="Y4044" s="352"/>
      <c r="Z4044" s="352"/>
      <c r="AA4044" s="352"/>
      <c r="AB4044" s="352"/>
      <c r="AC4044" s="352"/>
      <c r="AD4044" s="352"/>
      <c r="AE4044" s="352"/>
      <c r="AF4044" s="352"/>
      <c r="AG4044" s="352"/>
      <c r="AH4044" s="352"/>
      <c r="AI4044" s="352"/>
      <c r="AJ4044" s="352"/>
    </row>
    <row r="4045" spans="2:36">
      <c r="B4045" s="352"/>
      <c r="C4045" s="352"/>
      <c r="D4045" s="352"/>
      <c r="E4045" s="352"/>
      <c r="F4045" s="352"/>
      <c r="H4045" s="352"/>
      <c r="J4045" s="352"/>
      <c r="L4045" s="352"/>
      <c r="M4045" s="352"/>
      <c r="N4045" s="352"/>
      <c r="O4045" s="352"/>
      <c r="P4045" s="352"/>
      <c r="Q4045" s="352"/>
      <c r="R4045" s="352"/>
      <c r="S4045" s="352"/>
      <c r="T4045" s="352"/>
      <c r="U4045" s="352"/>
      <c r="V4045" s="352"/>
      <c r="W4045" s="352"/>
      <c r="X4045" s="352"/>
      <c r="Y4045" s="352"/>
      <c r="Z4045" s="352"/>
      <c r="AA4045" s="352"/>
      <c r="AB4045" s="352"/>
      <c r="AC4045" s="352"/>
      <c r="AD4045" s="352"/>
      <c r="AE4045" s="352"/>
      <c r="AF4045" s="352"/>
      <c r="AG4045" s="352"/>
      <c r="AH4045" s="352"/>
      <c r="AI4045" s="352"/>
      <c r="AJ4045" s="352"/>
    </row>
    <row r="4046" spans="2:36">
      <c r="B4046" s="352"/>
      <c r="C4046" s="352"/>
      <c r="D4046" s="352"/>
      <c r="E4046" s="352"/>
      <c r="F4046" s="352"/>
      <c r="H4046" s="352"/>
      <c r="J4046" s="352"/>
      <c r="L4046" s="352"/>
      <c r="M4046" s="352"/>
      <c r="N4046" s="352"/>
      <c r="O4046" s="352"/>
      <c r="P4046" s="352"/>
      <c r="Q4046" s="352"/>
      <c r="R4046" s="352"/>
      <c r="S4046" s="352"/>
      <c r="T4046" s="352"/>
      <c r="U4046" s="352"/>
      <c r="V4046" s="352"/>
      <c r="W4046" s="352"/>
      <c r="X4046" s="352"/>
      <c r="Y4046" s="352"/>
      <c r="Z4046" s="352"/>
      <c r="AA4046" s="352"/>
      <c r="AB4046" s="352"/>
      <c r="AC4046" s="352"/>
      <c r="AD4046" s="352"/>
      <c r="AE4046" s="352"/>
      <c r="AF4046" s="352"/>
      <c r="AG4046" s="352"/>
      <c r="AH4046" s="352"/>
      <c r="AI4046" s="352"/>
      <c r="AJ4046" s="352"/>
    </row>
    <row r="4047" spans="2:36">
      <c r="B4047" s="352"/>
      <c r="C4047" s="352"/>
      <c r="D4047" s="352"/>
      <c r="E4047" s="352"/>
      <c r="F4047" s="352"/>
      <c r="H4047" s="352"/>
      <c r="J4047" s="352"/>
      <c r="L4047" s="352"/>
      <c r="M4047" s="352"/>
      <c r="N4047" s="352"/>
      <c r="O4047" s="352"/>
      <c r="P4047" s="352"/>
      <c r="Q4047" s="352"/>
      <c r="R4047" s="352"/>
      <c r="S4047" s="352"/>
      <c r="T4047" s="352"/>
      <c r="U4047" s="352"/>
      <c r="V4047" s="352"/>
      <c r="W4047" s="352"/>
      <c r="X4047" s="352"/>
      <c r="Y4047" s="352"/>
      <c r="Z4047" s="352"/>
      <c r="AA4047" s="352"/>
      <c r="AB4047" s="352"/>
      <c r="AC4047" s="352"/>
      <c r="AD4047" s="352"/>
      <c r="AE4047" s="352"/>
      <c r="AF4047" s="352"/>
      <c r="AG4047" s="352"/>
      <c r="AH4047" s="352"/>
      <c r="AI4047" s="352"/>
      <c r="AJ4047" s="352"/>
    </row>
    <row r="4048" spans="2:36">
      <c r="B4048" s="352"/>
      <c r="C4048" s="352"/>
      <c r="D4048" s="352"/>
      <c r="E4048" s="352"/>
      <c r="F4048" s="352"/>
      <c r="H4048" s="352"/>
      <c r="J4048" s="352"/>
      <c r="L4048" s="352"/>
      <c r="M4048" s="352"/>
      <c r="N4048" s="352"/>
      <c r="O4048" s="352"/>
      <c r="P4048" s="352"/>
      <c r="Q4048" s="352"/>
      <c r="R4048" s="352"/>
      <c r="S4048" s="352"/>
      <c r="T4048" s="352"/>
      <c r="U4048" s="352"/>
      <c r="V4048" s="352"/>
      <c r="W4048" s="352"/>
      <c r="X4048" s="352"/>
      <c r="Y4048" s="352"/>
      <c r="Z4048" s="352"/>
      <c r="AA4048" s="352"/>
      <c r="AB4048" s="352"/>
      <c r="AC4048" s="352"/>
      <c r="AD4048" s="352"/>
      <c r="AE4048" s="352"/>
      <c r="AF4048" s="352"/>
      <c r="AG4048" s="352"/>
      <c r="AH4048" s="352"/>
      <c r="AI4048" s="352"/>
      <c r="AJ4048" s="352"/>
    </row>
    <row r="4049" spans="2:36">
      <c r="B4049" s="352"/>
      <c r="C4049" s="352"/>
      <c r="D4049" s="352"/>
      <c r="E4049" s="352"/>
      <c r="F4049" s="352"/>
      <c r="H4049" s="352"/>
      <c r="J4049" s="352"/>
      <c r="L4049" s="352"/>
      <c r="M4049" s="352"/>
      <c r="N4049" s="352"/>
      <c r="O4049" s="352"/>
      <c r="P4049" s="352"/>
      <c r="Q4049" s="352"/>
      <c r="R4049" s="352"/>
      <c r="S4049" s="352"/>
      <c r="T4049" s="352"/>
      <c r="U4049" s="352"/>
      <c r="V4049" s="352"/>
      <c r="W4049" s="352"/>
      <c r="X4049" s="352"/>
      <c r="Y4049" s="352"/>
      <c r="Z4049" s="352"/>
      <c r="AA4049" s="352"/>
      <c r="AB4049" s="352"/>
      <c r="AC4049" s="352"/>
      <c r="AD4049" s="352"/>
      <c r="AE4049" s="352"/>
      <c r="AF4049" s="352"/>
      <c r="AG4049" s="352"/>
      <c r="AH4049" s="352"/>
      <c r="AI4049" s="352"/>
      <c r="AJ4049" s="352"/>
    </row>
    <row r="4050" spans="2:36">
      <c r="B4050" s="352"/>
      <c r="C4050" s="352"/>
      <c r="D4050" s="352"/>
      <c r="E4050" s="352"/>
      <c r="F4050" s="352"/>
      <c r="H4050" s="352"/>
      <c r="J4050" s="352"/>
      <c r="L4050" s="352"/>
      <c r="M4050" s="352"/>
      <c r="N4050" s="352"/>
      <c r="O4050" s="352"/>
      <c r="P4050" s="352"/>
      <c r="Q4050" s="352"/>
      <c r="R4050" s="352"/>
      <c r="S4050" s="352"/>
      <c r="T4050" s="352"/>
      <c r="U4050" s="352"/>
      <c r="V4050" s="352"/>
      <c r="W4050" s="352"/>
      <c r="X4050" s="352"/>
      <c r="Y4050" s="352"/>
      <c r="Z4050" s="352"/>
      <c r="AA4050" s="352"/>
      <c r="AB4050" s="352"/>
      <c r="AC4050" s="352"/>
      <c r="AD4050" s="352"/>
      <c r="AE4050" s="352"/>
      <c r="AF4050" s="352"/>
      <c r="AG4050" s="352"/>
      <c r="AH4050" s="352"/>
      <c r="AI4050" s="352"/>
      <c r="AJ4050" s="352"/>
    </row>
    <row r="4051" spans="2:36">
      <c r="B4051" s="352"/>
      <c r="C4051" s="352"/>
      <c r="D4051" s="352"/>
      <c r="E4051" s="352"/>
      <c r="F4051" s="352"/>
      <c r="H4051" s="352"/>
      <c r="J4051" s="352"/>
      <c r="L4051" s="352"/>
      <c r="M4051" s="352"/>
      <c r="N4051" s="352"/>
      <c r="O4051" s="352"/>
      <c r="P4051" s="352"/>
      <c r="Q4051" s="352"/>
      <c r="R4051" s="352"/>
      <c r="S4051" s="352"/>
      <c r="T4051" s="352"/>
      <c r="U4051" s="352"/>
      <c r="V4051" s="352"/>
      <c r="W4051" s="352"/>
      <c r="X4051" s="352"/>
      <c r="Y4051" s="352"/>
      <c r="Z4051" s="352"/>
      <c r="AA4051" s="352"/>
      <c r="AB4051" s="352"/>
      <c r="AC4051" s="352"/>
      <c r="AD4051" s="352"/>
      <c r="AE4051" s="352"/>
      <c r="AF4051" s="352"/>
      <c r="AG4051" s="352"/>
      <c r="AH4051" s="352"/>
      <c r="AI4051" s="352"/>
      <c r="AJ4051" s="352"/>
    </row>
    <row r="4052" spans="2:36">
      <c r="B4052" s="352"/>
      <c r="C4052" s="352"/>
      <c r="D4052" s="352"/>
      <c r="E4052" s="352"/>
      <c r="F4052" s="352"/>
      <c r="H4052" s="352"/>
      <c r="J4052" s="352"/>
      <c r="L4052" s="352"/>
      <c r="M4052" s="352"/>
      <c r="N4052" s="352"/>
      <c r="O4052" s="352"/>
      <c r="P4052" s="352"/>
      <c r="Q4052" s="352"/>
      <c r="R4052" s="352"/>
      <c r="S4052" s="352"/>
      <c r="T4052" s="352"/>
      <c r="U4052" s="352"/>
      <c r="V4052" s="352"/>
      <c r="W4052" s="352"/>
      <c r="X4052" s="352"/>
      <c r="Y4052" s="352"/>
      <c r="Z4052" s="352"/>
      <c r="AA4052" s="352"/>
      <c r="AB4052" s="352"/>
      <c r="AC4052" s="352"/>
      <c r="AD4052" s="352"/>
      <c r="AE4052" s="352"/>
      <c r="AF4052" s="352"/>
      <c r="AG4052" s="352"/>
      <c r="AH4052" s="352"/>
      <c r="AI4052" s="352"/>
      <c r="AJ4052" s="352"/>
    </row>
    <row r="4053" spans="2:36">
      <c r="B4053" s="352"/>
      <c r="C4053" s="352"/>
      <c r="D4053" s="352"/>
      <c r="E4053" s="352"/>
      <c r="F4053" s="352"/>
      <c r="H4053" s="352"/>
      <c r="J4053" s="352"/>
      <c r="L4053" s="352"/>
      <c r="M4053" s="352"/>
      <c r="N4053" s="352"/>
      <c r="O4053" s="352"/>
      <c r="P4053" s="352"/>
      <c r="Q4053" s="352"/>
      <c r="R4053" s="352"/>
      <c r="S4053" s="352"/>
      <c r="T4053" s="352"/>
      <c r="U4053" s="352"/>
      <c r="V4053" s="352"/>
      <c r="W4053" s="352"/>
      <c r="X4053" s="352"/>
      <c r="Y4053" s="352"/>
      <c r="Z4053" s="352"/>
      <c r="AA4053" s="352"/>
      <c r="AB4053" s="352"/>
      <c r="AC4053" s="352"/>
      <c r="AD4053" s="352"/>
      <c r="AE4053" s="352"/>
      <c r="AF4053" s="352"/>
      <c r="AG4053" s="352"/>
      <c r="AH4053" s="352"/>
      <c r="AI4053" s="352"/>
      <c r="AJ4053" s="352"/>
    </row>
    <row r="4054" spans="2:36">
      <c r="B4054" s="352"/>
      <c r="C4054" s="352"/>
      <c r="D4054" s="352"/>
      <c r="E4054" s="352"/>
      <c r="F4054" s="352"/>
      <c r="H4054" s="352"/>
      <c r="J4054" s="352"/>
      <c r="L4054" s="352"/>
      <c r="M4054" s="352"/>
      <c r="N4054" s="352"/>
      <c r="O4054" s="352"/>
      <c r="P4054" s="352"/>
      <c r="Q4054" s="352"/>
      <c r="R4054" s="352"/>
      <c r="S4054" s="352"/>
      <c r="T4054" s="352"/>
      <c r="U4054" s="352"/>
      <c r="V4054" s="352"/>
      <c r="W4054" s="352"/>
      <c r="X4054" s="352"/>
      <c r="Y4054" s="352"/>
      <c r="Z4054" s="352"/>
      <c r="AA4054" s="352"/>
      <c r="AB4054" s="352"/>
      <c r="AC4054" s="352"/>
      <c r="AD4054" s="352"/>
      <c r="AE4054" s="352"/>
      <c r="AF4054" s="352"/>
      <c r="AG4054" s="352"/>
      <c r="AH4054" s="352"/>
      <c r="AI4054" s="352"/>
      <c r="AJ4054" s="352"/>
    </row>
    <row r="4055" spans="2:36">
      <c r="B4055" s="352"/>
      <c r="C4055" s="352"/>
      <c r="D4055" s="352"/>
      <c r="E4055" s="352"/>
      <c r="F4055" s="352"/>
      <c r="H4055" s="352"/>
      <c r="J4055" s="352"/>
      <c r="L4055" s="352"/>
      <c r="M4055" s="352"/>
      <c r="N4055" s="352"/>
      <c r="O4055" s="352"/>
      <c r="P4055" s="352"/>
      <c r="Q4055" s="352"/>
      <c r="R4055" s="352"/>
      <c r="S4055" s="352"/>
      <c r="T4055" s="352"/>
      <c r="U4055" s="352"/>
      <c r="V4055" s="352"/>
      <c r="W4055" s="352"/>
      <c r="X4055" s="352"/>
      <c r="Y4055" s="352"/>
      <c r="Z4055" s="352"/>
      <c r="AA4055" s="352"/>
      <c r="AB4055" s="352"/>
      <c r="AC4055" s="352"/>
      <c r="AD4055" s="352"/>
      <c r="AE4055" s="352"/>
      <c r="AF4055" s="352"/>
      <c r="AG4055" s="352"/>
      <c r="AH4055" s="352"/>
      <c r="AI4055" s="352"/>
      <c r="AJ4055" s="352"/>
    </row>
    <row r="4056" spans="2:36">
      <c r="B4056" s="352"/>
      <c r="C4056" s="352"/>
      <c r="D4056" s="352"/>
      <c r="E4056" s="352"/>
      <c r="F4056" s="352"/>
      <c r="H4056" s="352"/>
      <c r="J4056" s="352"/>
      <c r="L4056" s="352"/>
      <c r="M4056" s="352"/>
      <c r="N4056" s="352"/>
      <c r="O4056" s="352"/>
      <c r="P4056" s="352"/>
      <c r="Q4056" s="352"/>
      <c r="R4056" s="352"/>
      <c r="S4056" s="352"/>
      <c r="T4056" s="352"/>
      <c r="U4056" s="352"/>
      <c r="V4056" s="352"/>
      <c r="W4056" s="352"/>
      <c r="X4056" s="352"/>
      <c r="Y4056" s="352"/>
      <c r="Z4056" s="352"/>
      <c r="AA4056" s="352"/>
      <c r="AB4056" s="352"/>
      <c r="AC4056" s="352"/>
      <c r="AD4056" s="352"/>
      <c r="AE4056" s="352"/>
      <c r="AF4056" s="352"/>
      <c r="AG4056" s="352"/>
      <c r="AH4056" s="352"/>
      <c r="AI4056" s="352"/>
      <c r="AJ4056" s="352"/>
    </row>
    <row r="4057" spans="2:36">
      <c r="B4057" s="352"/>
      <c r="C4057" s="352"/>
      <c r="D4057" s="352"/>
      <c r="E4057" s="352"/>
      <c r="F4057" s="352"/>
      <c r="H4057" s="352"/>
      <c r="J4057" s="352"/>
      <c r="L4057" s="352"/>
      <c r="M4057" s="352"/>
      <c r="N4057" s="352"/>
      <c r="O4057" s="352"/>
      <c r="P4057" s="352"/>
      <c r="Q4057" s="352"/>
      <c r="R4057" s="352"/>
      <c r="S4057" s="352"/>
      <c r="T4057" s="352"/>
      <c r="U4057" s="352"/>
      <c r="V4057" s="352"/>
      <c r="W4057" s="352"/>
      <c r="X4057" s="352"/>
      <c r="Y4057" s="352"/>
      <c r="Z4057" s="352"/>
      <c r="AA4057" s="352"/>
      <c r="AB4057" s="352"/>
      <c r="AC4057" s="352"/>
      <c r="AD4057" s="352"/>
      <c r="AE4057" s="352"/>
      <c r="AF4057" s="352"/>
      <c r="AG4057" s="352"/>
      <c r="AH4057" s="352"/>
      <c r="AI4057" s="352"/>
      <c r="AJ4057" s="352"/>
    </row>
    <row r="4058" spans="2:36">
      <c r="B4058" s="352"/>
      <c r="C4058" s="352"/>
      <c r="D4058" s="352"/>
      <c r="E4058" s="352"/>
      <c r="F4058" s="352"/>
      <c r="H4058" s="352"/>
      <c r="J4058" s="352"/>
      <c r="L4058" s="352"/>
      <c r="M4058" s="352"/>
      <c r="N4058" s="352"/>
      <c r="O4058" s="352"/>
      <c r="P4058" s="352"/>
      <c r="Q4058" s="352"/>
      <c r="R4058" s="352"/>
      <c r="S4058" s="352"/>
      <c r="T4058" s="352"/>
      <c r="U4058" s="352"/>
      <c r="V4058" s="352"/>
      <c r="W4058" s="352"/>
      <c r="X4058" s="352"/>
      <c r="Y4058" s="352"/>
      <c r="Z4058" s="352"/>
      <c r="AA4058" s="352"/>
      <c r="AB4058" s="352"/>
      <c r="AC4058" s="352"/>
      <c r="AD4058" s="352"/>
      <c r="AE4058" s="352"/>
      <c r="AF4058" s="352"/>
      <c r="AG4058" s="352"/>
      <c r="AH4058" s="352"/>
      <c r="AI4058" s="352"/>
      <c r="AJ4058" s="352"/>
    </row>
    <row r="4059" spans="2:36">
      <c r="B4059" s="352"/>
      <c r="C4059" s="352"/>
      <c r="D4059" s="352"/>
      <c r="E4059" s="352"/>
      <c r="F4059" s="352"/>
      <c r="H4059" s="352"/>
      <c r="J4059" s="352"/>
      <c r="L4059" s="352"/>
      <c r="M4059" s="352"/>
      <c r="N4059" s="352"/>
      <c r="O4059" s="352"/>
      <c r="P4059" s="352"/>
      <c r="Q4059" s="352"/>
      <c r="R4059" s="352"/>
      <c r="S4059" s="352"/>
      <c r="T4059" s="352"/>
      <c r="U4059" s="352"/>
      <c r="V4059" s="352"/>
      <c r="W4059" s="352"/>
      <c r="X4059" s="352"/>
      <c r="Y4059" s="352"/>
      <c r="Z4059" s="352"/>
      <c r="AA4059" s="352"/>
      <c r="AB4059" s="352"/>
      <c r="AC4059" s="352"/>
      <c r="AD4059" s="352"/>
      <c r="AE4059" s="352"/>
      <c r="AF4059" s="352"/>
      <c r="AG4059" s="352"/>
      <c r="AH4059" s="352"/>
      <c r="AI4059" s="352"/>
      <c r="AJ4059" s="352"/>
    </row>
    <row r="4060" spans="2:36">
      <c r="B4060" s="352"/>
      <c r="C4060" s="352"/>
      <c r="D4060" s="352"/>
      <c r="E4060" s="352"/>
      <c r="F4060" s="352"/>
      <c r="H4060" s="352"/>
      <c r="J4060" s="352"/>
      <c r="L4060" s="352"/>
      <c r="M4060" s="352"/>
      <c r="N4060" s="352"/>
      <c r="O4060" s="352"/>
      <c r="P4060" s="352"/>
      <c r="Q4060" s="352"/>
      <c r="R4060" s="352"/>
      <c r="S4060" s="352"/>
      <c r="T4060" s="352"/>
      <c r="U4060" s="352"/>
      <c r="V4060" s="352"/>
      <c r="W4060" s="352"/>
      <c r="X4060" s="352"/>
      <c r="Y4060" s="352"/>
      <c r="Z4060" s="352"/>
      <c r="AA4060" s="352"/>
      <c r="AB4060" s="352"/>
      <c r="AC4060" s="352"/>
      <c r="AD4060" s="352"/>
      <c r="AE4060" s="352"/>
      <c r="AF4060" s="352"/>
      <c r="AG4060" s="352"/>
      <c r="AH4060" s="352"/>
      <c r="AI4060" s="352"/>
      <c r="AJ4060" s="352"/>
    </row>
    <row r="4061" spans="2:36">
      <c r="B4061" s="352"/>
      <c r="C4061" s="352"/>
      <c r="D4061" s="352"/>
      <c r="E4061" s="352"/>
      <c r="F4061" s="352"/>
      <c r="H4061" s="352"/>
      <c r="J4061" s="352"/>
      <c r="L4061" s="352"/>
      <c r="M4061" s="352"/>
      <c r="N4061" s="352"/>
      <c r="O4061" s="352"/>
      <c r="P4061" s="352"/>
      <c r="Q4061" s="352"/>
      <c r="R4061" s="352"/>
      <c r="S4061" s="352"/>
      <c r="T4061" s="352"/>
      <c r="U4061" s="352"/>
      <c r="V4061" s="352"/>
      <c r="W4061" s="352"/>
      <c r="X4061" s="352"/>
      <c r="Y4061" s="352"/>
      <c r="Z4061" s="352"/>
      <c r="AA4061" s="352"/>
      <c r="AB4061" s="352"/>
      <c r="AC4061" s="352"/>
      <c r="AD4061" s="352"/>
      <c r="AE4061" s="352"/>
      <c r="AF4061" s="352"/>
      <c r="AG4061" s="352"/>
      <c r="AH4061" s="352"/>
      <c r="AI4061" s="352"/>
      <c r="AJ4061" s="352"/>
    </row>
    <row r="4062" spans="2:36">
      <c r="B4062" s="352"/>
      <c r="C4062" s="352"/>
      <c r="D4062" s="352"/>
      <c r="E4062" s="352"/>
      <c r="F4062" s="352"/>
      <c r="H4062" s="352"/>
      <c r="J4062" s="352"/>
      <c r="L4062" s="352"/>
      <c r="M4062" s="352"/>
      <c r="N4062" s="352"/>
      <c r="O4062" s="352"/>
      <c r="P4062" s="352"/>
      <c r="Q4062" s="352"/>
      <c r="R4062" s="352"/>
      <c r="S4062" s="352"/>
      <c r="T4062" s="352"/>
      <c r="U4062" s="352"/>
      <c r="V4062" s="352"/>
      <c r="W4062" s="352"/>
      <c r="X4062" s="352"/>
      <c r="Y4062" s="352"/>
      <c r="Z4062" s="352"/>
      <c r="AA4062" s="352"/>
      <c r="AB4062" s="352"/>
      <c r="AC4062" s="352"/>
      <c r="AD4062" s="352"/>
      <c r="AE4062" s="352"/>
      <c r="AF4062" s="352"/>
      <c r="AG4062" s="352"/>
      <c r="AH4062" s="352"/>
      <c r="AI4062" s="352"/>
      <c r="AJ4062" s="352"/>
    </row>
    <row r="4063" spans="2:36">
      <c r="B4063" s="352"/>
      <c r="C4063" s="352"/>
      <c r="D4063" s="352"/>
      <c r="E4063" s="352"/>
      <c r="F4063" s="352"/>
      <c r="H4063" s="352"/>
      <c r="J4063" s="352"/>
      <c r="L4063" s="352"/>
      <c r="M4063" s="352"/>
      <c r="N4063" s="352"/>
      <c r="O4063" s="352"/>
      <c r="P4063" s="352"/>
      <c r="Q4063" s="352"/>
      <c r="R4063" s="352"/>
      <c r="S4063" s="352"/>
      <c r="T4063" s="352"/>
      <c r="U4063" s="352"/>
      <c r="V4063" s="352"/>
      <c r="W4063" s="352"/>
      <c r="X4063" s="352"/>
      <c r="Y4063" s="352"/>
      <c r="Z4063" s="352"/>
      <c r="AA4063" s="352"/>
      <c r="AB4063" s="352"/>
      <c r="AC4063" s="352"/>
      <c r="AD4063" s="352"/>
      <c r="AE4063" s="352"/>
      <c r="AF4063" s="352"/>
      <c r="AG4063" s="352"/>
      <c r="AH4063" s="352"/>
      <c r="AI4063" s="352"/>
      <c r="AJ4063" s="352"/>
    </row>
    <row r="4064" spans="2:36">
      <c r="B4064" s="352"/>
      <c r="C4064" s="352"/>
      <c r="D4064" s="352"/>
      <c r="E4064" s="352"/>
      <c r="F4064" s="352"/>
      <c r="H4064" s="352"/>
      <c r="J4064" s="352"/>
      <c r="L4064" s="352"/>
      <c r="M4064" s="352"/>
      <c r="N4064" s="352"/>
      <c r="O4064" s="352"/>
      <c r="P4064" s="352"/>
      <c r="Q4064" s="352"/>
      <c r="R4064" s="352"/>
      <c r="S4064" s="352"/>
      <c r="T4064" s="352"/>
      <c r="U4064" s="352"/>
      <c r="V4064" s="352"/>
      <c r="W4064" s="352"/>
      <c r="X4064" s="352"/>
      <c r="Y4064" s="352"/>
      <c r="Z4064" s="352"/>
      <c r="AA4064" s="352"/>
      <c r="AB4064" s="352"/>
      <c r="AC4064" s="352"/>
      <c r="AD4064" s="352"/>
      <c r="AE4064" s="352"/>
      <c r="AF4064" s="352"/>
      <c r="AG4064" s="352"/>
      <c r="AH4064" s="352"/>
      <c r="AI4064" s="352"/>
      <c r="AJ4064" s="352"/>
    </row>
    <row r="4065" spans="2:36">
      <c r="B4065" s="352"/>
      <c r="C4065" s="352"/>
      <c r="D4065" s="352"/>
      <c r="E4065" s="352"/>
      <c r="F4065" s="352"/>
      <c r="H4065" s="352"/>
      <c r="J4065" s="352"/>
      <c r="L4065" s="352"/>
      <c r="M4065" s="352"/>
      <c r="N4065" s="352"/>
      <c r="O4065" s="352"/>
      <c r="P4065" s="352"/>
      <c r="Q4065" s="352"/>
      <c r="R4065" s="352"/>
      <c r="S4065" s="352"/>
      <c r="T4065" s="352"/>
      <c r="U4065" s="352"/>
      <c r="V4065" s="352"/>
      <c r="W4065" s="352"/>
      <c r="X4065" s="352"/>
      <c r="Y4065" s="352"/>
      <c r="Z4065" s="352"/>
      <c r="AA4065" s="352"/>
      <c r="AB4065" s="352"/>
      <c r="AC4065" s="352"/>
      <c r="AD4065" s="352"/>
      <c r="AE4065" s="352"/>
      <c r="AF4065" s="352"/>
      <c r="AG4065" s="352"/>
      <c r="AH4065" s="352"/>
      <c r="AI4065" s="352"/>
      <c r="AJ4065" s="352"/>
    </row>
    <row r="4066" spans="2:36">
      <c r="B4066" s="352"/>
      <c r="C4066" s="352"/>
      <c r="D4066" s="352"/>
      <c r="E4066" s="352"/>
      <c r="F4066" s="352"/>
      <c r="H4066" s="352"/>
      <c r="J4066" s="352"/>
      <c r="L4066" s="352"/>
      <c r="M4066" s="352"/>
      <c r="N4066" s="352"/>
      <c r="O4066" s="352"/>
      <c r="P4066" s="352"/>
      <c r="Q4066" s="352"/>
      <c r="R4066" s="352"/>
      <c r="S4066" s="352"/>
      <c r="T4066" s="352"/>
      <c r="U4066" s="352"/>
      <c r="V4066" s="352"/>
      <c r="W4066" s="352"/>
      <c r="X4066" s="352"/>
      <c r="Y4066" s="352"/>
      <c r="Z4066" s="352"/>
      <c r="AA4066" s="352"/>
      <c r="AB4066" s="352"/>
      <c r="AC4066" s="352"/>
      <c r="AD4066" s="352"/>
      <c r="AE4066" s="352"/>
      <c r="AF4066" s="352"/>
      <c r="AG4066" s="352"/>
      <c r="AH4066" s="352"/>
      <c r="AI4066" s="352"/>
      <c r="AJ4066" s="352"/>
    </row>
    <row r="4067" spans="2:36">
      <c r="B4067" s="352"/>
      <c r="C4067" s="352"/>
      <c r="D4067" s="352"/>
      <c r="E4067" s="352"/>
      <c r="F4067" s="352"/>
      <c r="H4067" s="352"/>
      <c r="J4067" s="352"/>
      <c r="L4067" s="352"/>
      <c r="M4067" s="352"/>
      <c r="N4067" s="352"/>
      <c r="O4067" s="352"/>
      <c r="P4067" s="352"/>
      <c r="Q4067" s="352"/>
      <c r="R4067" s="352"/>
      <c r="S4067" s="352"/>
      <c r="T4067" s="352"/>
      <c r="U4067" s="352"/>
      <c r="V4067" s="352"/>
      <c r="W4067" s="352"/>
      <c r="X4067" s="352"/>
      <c r="Y4067" s="352"/>
      <c r="Z4067" s="352"/>
      <c r="AA4067" s="352"/>
      <c r="AB4067" s="352"/>
      <c r="AC4067" s="352"/>
      <c r="AD4067" s="352"/>
      <c r="AE4067" s="352"/>
      <c r="AF4067" s="352"/>
      <c r="AG4067" s="352"/>
      <c r="AH4067" s="352"/>
      <c r="AI4067" s="352"/>
      <c r="AJ4067" s="352"/>
    </row>
    <row r="4068" spans="2:36">
      <c r="B4068" s="352"/>
      <c r="C4068" s="352"/>
      <c r="D4068" s="352"/>
      <c r="E4068" s="352"/>
      <c r="F4068" s="352"/>
      <c r="H4068" s="352"/>
      <c r="J4068" s="352"/>
      <c r="L4068" s="352"/>
      <c r="M4068" s="352"/>
      <c r="N4068" s="352"/>
      <c r="O4068" s="352"/>
      <c r="P4068" s="352"/>
      <c r="Q4068" s="352"/>
      <c r="R4068" s="352"/>
      <c r="S4068" s="352"/>
      <c r="T4068" s="352"/>
      <c r="U4068" s="352"/>
      <c r="V4068" s="352"/>
      <c r="W4068" s="352"/>
      <c r="X4068" s="352"/>
      <c r="Y4068" s="352"/>
      <c r="Z4068" s="352"/>
      <c r="AA4068" s="352"/>
      <c r="AB4068" s="352"/>
      <c r="AC4068" s="352"/>
      <c r="AD4068" s="352"/>
      <c r="AE4068" s="352"/>
      <c r="AF4068" s="352"/>
      <c r="AG4068" s="352"/>
      <c r="AH4068" s="352"/>
      <c r="AI4068" s="352"/>
      <c r="AJ4068" s="352"/>
    </row>
    <row r="4069" spans="2:36">
      <c r="B4069" s="352"/>
      <c r="C4069" s="352"/>
      <c r="D4069" s="352"/>
      <c r="E4069" s="352"/>
      <c r="F4069" s="352"/>
      <c r="H4069" s="352"/>
      <c r="J4069" s="352"/>
      <c r="L4069" s="352"/>
      <c r="M4069" s="352"/>
      <c r="N4069" s="352"/>
      <c r="O4069" s="352"/>
      <c r="P4069" s="352"/>
      <c r="Q4069" s="352"/>
      <c r="R4069" s="352"/>
      <c r="S4069" s="352"/>
      <c r="T4069" s="352"/>
      <c r="U4069" s="352"/>
      <c r="V4069" s="352"/>
      <c r="W4069" s="352"/>
      <c r="X4069" s="352"/>
      <c r="Y4069" s="352"/>
      <c r="Z4069" s="352"/>
      <c r="AA4069" s="352"/>
      <c r="AB4069" s="352"/>
      <c r="AC4069" s="352"/>
      <c r="AD4069" s="352"/>
      <c r="AE4069" s="352"/>
      <c r="AF4069" s="352"/>
      <c r="AG4069" s="352"/>
      <c r="AH4069" s="352"/>
      <c r="AI4069" s="352"/>
      <c r="AJ4069" s="352"/>
    </row>
    <row r="4070" spans="2:36">
      <c r="B4070" s="352"/>
      <c r="C4070" s="352"/>
      <c r="D4070" s="352"/>
      <c r="E4070" s="352"/>
      <c r="F4070" s="352"/>
      <c r="H4070" s="352"/>
      <c r="J4070" s="352"/>
      <c r="L4070" s="352"/>
      <c r="M4070" s="352"/>
      <c r="N4070" s="352"/>
      <c r="O4070" s="352"/>
      <c r="P4070" s="352"/>
      <c r="Q4070" s="352"/>
      <c r="R4070" s="352"/>
      <c r="S4070" s="352"/>
      <c r="T4070" s="352"/>
      <c r="U4070" s="352"/>
      <c r="V4070" s="352"/>
      <c r="W4070" s="352"/>
      <c r="X4070" s="352"/>
      <c r="Y4070" s="352"/>
      <c r="Z4070" s="352"/>
      <c r="AA4070" s="352"/>
      <c r="AB4070" s="352"/>
      <c r="AC4070" s="352"/>
      <c r="AD4070" s="352"/>
      <c r="AE4070" s="352"/>
      <c r="AF4070" s="352"/>
      <c r="AG4070" s="352"/>
      <c r="AH4070" s="352"/>
      <c r="AI4070" s="352"/>
      <c r="AJ4070" s="352"/>
    </row>
    <row r="4071" spans="2:36">
      <c r="B4071" s="352"/>
      <c r="C4071" s="352"/>
      <c r="D4071" s="352"/>
      <c r="E4071" s="352"/>
      <c r="F4071" s="352"/>
      <c r="H4071" s="352"/>
      <c r="J4071" s="352"/>
      <c r="L4071" s="352"/>
      <c r="M4071" s="352"/>
      <c r="N4071" s="352"/>
      <c r="O4071" s="352"/>
      <c r="P4071" s="352"/>
      <c r="Q4071" s="352"/>
      <c r="R4071" s="352"/>
      <c r="S4071" s="352"/>
      <c r="T4071" s="352"/>
      <c r="U4071" s="352"/>
      <c r="V4071" s="352"/>
      <c r="W4071" s="352"/>
      <c r="X4071" s="352"/>
      <c r="Y4071" s="352"/>
      <c r="Z4071" s="352"/>
      <c r="AA4071" s="352"/>
      <c r="AB4071" s="352"/>
      <c r="AC4071" s="352"/>
      <c r="AD4071" s="352"/>
      <c r="AE4071" s="352"/>
      <c r="AF4071" s="352"/>
      <c r="AG4071" s="352"/>
      <c r="AH4071" s="352"/>
      <c r="AI4071" s="352"/>
      <c r="AJ4071" s="352"/>
    </row>
    <row r="4072" spans="2:36">
      <c r="B4072" s="352"/>
      <c r="C4072" s="352"/>
      <c r="D4072" s="352"/>
      <c r="E4072" s="352"/>
      <c r="F4072" s="352"/>
      <c r="H4072" s="352"/>
      <c r="J4072" s="352"/>
      <c r="L4072" s="352"/>
      <c r="M4072" s="352"/>
      <c r="N4072" s="352"/>
      <c r="O4072" s="352"/>
      <c r="P4072" s="352"/>
      <c r="Q4072" s="352"/>
      <c r="R4072" s="352"/>
      <c r="S4072" s="352"/>
      <c r="T4072" s="352"/>
      <c r="U4072" s="352"/>
      <c r="V4072" s="352"/>
      <c r="W4072" s="352"/>
      <c r="X4072" s="352"/>
      <c r="Y4072" s="352"/>
      <c r="Z4072" s="352"/>
      <c r="AA4072" s="352"/>
      <c r="AB4072" s="352"/>
      <c r="AC4072" s="352"/>
      <c r="AD4072" s="352"/>
      <c r="AE4072" s="352"/>
      <c r="AF4072" s="352"/>
      <c r="AG4072" s="352"/>
      <c r="AH4072" s="352"/>
      <c r="AI4072" s="352"/>
      <c r="AJ4072" s="352"/>
    </row>
    <row r="4073" spans="2:36">
      <c r="B4073" s="352"/>
      <c r="C4073" s="352"/>
      <c r="D4073" s="352"/>
      <c r="E4073" s="352"/>
      <c r="F4073" s="352"/>
      <c r="H4073" s="352"/>
      <c r="J4073" s="352"/>
      <c r="L4073" s="352"/>
      <c r="M4073" s="352"/>
      <c r="N4073" s="352"/>
      <c r="O4073" s="352"/>
      <c r="P4073" s="352"/>
      <c r="Q4073" s="352"/>
      <c r="R4073" s="352"/>
      <c r="S4073" s="352"/>
      <c r="T4073" s="352"/>
      <c r="U4073" s="352"/>
      <c r="V4073" s="352"/>
      <c r="W4073" s="352"/>
      <c r="X4073" s="352"/>
      <c r="Y4073" s="352"/>
      <c r="Z4073" s="352"/>
      <c r="AA4073" s="352"/>
      <c r="AB4073" s="352"/>
      <c r="AC4073" s="352"/>
      <c r="AD4073" s="352"/>
      <c r="AE4073" s="352"/>
      <c r="AF4073" s="352"/>
      <c r="AG4073" s="352"/>
      <c r="AH4073" s="352"/>
      <c r="AI4073" s="352"/>
      <c r="AJ4073" s="352"/>
    </row>
    <row r="4074" spans="2:36">
      <c r="B4074" s="352"/>
      <c r="C4074" s="352"/>
      <c r="D4074" s="352"/>
      <c r="E4074" s="352"/>
      <c r="F4074" s="352"/>
      <c r="H4074" s="352"/>
      <c r="J4074" s="352"/>
      <c r="L4074" s="352"/>
      <c r="M4074" s="352"/>
      <c r="N4074" s="352"/>
      <c r="O4074" s="352"/>
      <c r="P4074" s="352"/>
      <c r="Q4074" s="352"/>
      <c r="R4074" s="352"/>
      <c r="S4074" s="352"/>
      <c r="T4074" s="352"/>
      <c r="U4074" s="352"/>
      <c r="V4074" s="352"/>
      <c r="W4074" s="352"/>
      <c r="X4074" s="352"/>
      <c r="Y4074" s="352"/>
      <c r="Z4074" s="352"/>
      <c r="AA4074" s="352"/>
      <c r="AB4074" s="352"/>
      <c r="AC4074" s="352"/>
      <c r="AD4074" s="352"/>
      <c r="AE4074" s="352"/>
      <c r="AF4074" s="352"/>
      <c r="AG4074" s="352"/>
      <c r="AH4074" s="352"/>
      <c r="AI4074" s="352"/>
      <c r="AJ4074" s="352"/>
    </row>
    <row r="4075" spans="2:36">
      <c r="B4075" s="352"/>
      <c r="C4075" s="352"/>
      <c r="D4075" s="352"/>
      <c r="E4075" s="352"/>
      <c r="F4075" s="352"/>
      <c r="H4075" s="352"/>
      <c r="J4075" s="352"/>
      <c r="L4075" s="352"/>
      <c r="M4075" s="352"/>
      <c r="N4075" s="352"/>
      <c r="O4075" s="352"/>
      <c r="P4075" s="352"/>
      <c r="Q4075" s="352"/>
      <c r="R4075" s="352"/>
      <c r="S4075" s="352"/>
      <c r="T4075" s="352"/>
      <c r="U4075" s="352"/>
      <c r="V4075" s="352"/>
      <c r="W4075" s="352"/>
      <c r="X4075" s="352"/>
      <c r="Y4075" s="352"/>
      <c r="Z4075" s="352"/>
      <c r="AA4075" s="352"/>
      <c r="AB4075" s="352"/>
      <c r="AC4075" s="352"/>
      <c r="AD4075" s="352"/>
      <c r="AE4075" s="352"/>
      <c r="AF4075" s="352"/>
      <c r="AG4075" s="352"/>
      <c r="AH4075" s="352"/>
      <c r="AI4075" s="352"/>
      <c r="AJ4075" s="352"/>
    </row>
    <row r="4076" spans="2:36">
      <c r="B4076" s="352"/>
      <c r="C4076" s="352"/>
      <c r="D4076" s="352"/>
      <c r="E4076" s="352"/>
      <c r="F4076" s="352"/>
      <c r="H4076" s="352"/>
      <c r="J4076" s="352"/>
      <c r="L4076" s="352"/>
      <c r="M4076" s="352"/>
      <c r="N4076" s="352"/>
      <c r="O4076" s="352"/>
      <c r="P4076" s="352"/>
      <c r="Q4076" s="352"/>
      <c r="R4076" s="352"/>
      <c r="S4076" s="352"/>
      <c r="T4076" s="352"/>
      <c r="U4076" s="352"/>
      <c r="V4076" s="352"/>
      <c r="W4076" s="352"/>
      <c r="X4076" s="352"/>
      <c r="Y4076" s="352"/>
      <c r="Z4076" s="352"/>
      <c r="AA4076" s="352"/>
      <c r="AB4076" s="352"/>
      <c r="AC4076" s="352"/>
      <c r="AD4076" s="352"/>
      <c r="AE4076" s="352"/>
      <c r="AF4076" s="352"/>
      <c r="AG4076" s="352"/>
      <c r="AH4076" s="352"/>
      <c r="AI4076" s="352"/>
      <c r="AJ4076" s="352"/>
    </row>
    <row r="4077" spans="2:36">
      <c r="B4077" s="352"/>
      <c r="C4077" s="352"/>
      <c r="D4077" s="352"/>
      <c r="E4077" s="352"/>
      <c r="F4077" s="352"/>
      <c r="H4077" s="352"/>
      <c r="J4077" s="352"/>
      <c r="L4077" s="352"/>
      <c r="M4077" s="352"/>
      <c r="N4077" s="352"/>
      <c r="O4077" s="352"/>
      <c r="P4077" s="352"/>
      <c r="Q4077" s="352"/>
      <c r="R4077" s="352"/>
      <c r="S4077" s="352"/>
      <c r="T4077" s="352"/>
      <c r="U4077" s="352"/>
      <c r="V4077" s="352"/>
      <c r="W4077" s="352"/>
      <c r="X4077" s="352"/>
      <c r="Y4077" s="352"/>
      <c r="Z4077" s="352"/>
      <c r="AA4077" s="352"/>
      <c r="AB4077" s="352"/>
      <c r="AC4077" s="352"/>
      <c r="AD4077" s="352"/>
      <c r="AE4077" s="352"/>
      <c r="AF4077" s="352"/>
      <c r="AG4077" s="352"/>
      <c r="AH4077" s="352"/>
      <c r="AI4077" s="352"/>
      <c r="AJ4077" s="352"/>
    </row>
    <row r="4078" spans="2:36">
      <c r="B4078" s="352"/>
      <c r="C4078" s="352"/>
      <c r="D4078" s="352"/>
      <c r="E4078" s="352"/>
      <c r="F4078" s="352"/>
      <c r="H4078" s="352"/>
      <c r="J4078" s="352"/>
      <c r="L4078" s="352"/>
      <c r="M4078" s="352"/>
      <c r="N4078" s="352"/>
      <c r="O4078" s="352"/>
      <c r="P4078" s="352"/>
      <c r="Q4078" s="352"/>
      <c r="R4078" s="352"/>
      <c r="S4078" s="352"/>
      <c r="T4078" s="352"/>
      <c r="U4078" s="352"/>
      <c r="V4078" s="352"/>
      <c r="W4078" s="352"/>
      <c r="X4078" s="352"/>
      <c r="Y4078" s="352"/>
      <c r="Z4078" s="352"/>
      <c r="AA4078" s="352"/>
      <c r="AB4078" s="352"/>
      <c r="AC4078" s="352"/>
      <c r="AD4078" s="352"/>
      <c r="AE4078" s="352"/>
      <c r="AF4078" s="352"/>
      <c r="AG4078" s="352"/>
      <c r="AH4078" s="352"/>
      <c r="AI4078" s="352"/>
      <c r="AJ4078" s="352"/>
    </row>
    <row r="4079" spans="2:36">
      <c r="B4079" s="352"/>
      <c r="C4079" s="352"/>
      <c r="D4079" s="352"/>
      <c r="E4079" s="352"/>
      <c r="F4079" s="352"/>
      <c r="H4079" s="352"/>
      <c r="J4079" s="352"/>
      <c r="L4079" s="352"/>
      <c r="M4079" s="352"/>
      <c r="N4079" s="352"/>
      <c r="O4079" s="352"/>
      <c r="P4079" s="352"/>
      <c r="Q4079" s="352"/>
      <c r="R4079" s="352"/>
      <c r="S4079" s="352"/>
      <c r="T4079" s="352"/>
      <c r="U4079" s="352"/>
      <c r="V4079" s="352"/>
      <c r="W4079" s="352"/>
      <c r="X4079" s="352"/>
      <c r="Y4079" s="352"/>
      <c r="Z4079" s="352"/>
      <c r="AA4079" s="352"/>
      <c r="AB4079" s="352"/>
      <c r="AC4079" s="352"/>
      <c r="AD4079" s="352"/>
      <c r="AE4079" s="352"/>
      <c r="AF4079" s="352"/>
      <c r="AG4079" s="352"/>
      <c r="AH4079" s="352"/>
      <c r="AI4079" s="352"/>
      <c r="AJ4079" s="352"/>
    </row>
    <row r="4080" spans="2:36">
      <c r="B4080" s="352"/>
      <c r="C4080" s="352"/>
      <c r="D4080" s="352"/>
      <c r="E4080" s="352"/>
      <c r="F4080" s="352"/>
      <c r="H4080" s="352"/>
      <c r="J4080" s="352"/>
      <c r="L4080" s="352"/>
      <c r="M4080" s="352"/>
      <c r="N4080" s="352"/>
      <c r="O4080" s="352"/>
      <c r="P4080" s="352"/>
      <c r="Q4080" s="352"/>
      <c r="R4080" s="352"/>
      <c r="S4080" s="352"/>
      <c r="T4080" s="352"/>
      <c r="U4080" s="352"/>
      <c r="V4080" s="352"/>
      <c r="W4080" s="352"/>
      <c r="X4080" s="352"/>
      <c r="Y4080" s="352"/>
      <c r="Z4080" s="352"/>
      <c r="AA4080" s="352"/>
      <c r="AB4080" s="352"/>
      <c r="AC4080" s="352"/>
      <c r="AD4080" s="352"/>
      <c r="AE4080" s="352"/>
      <c r="AF4080" s="352"/>
      <c r="AG4080" s="352"/>
      <c r="AH4080" s="352"/>
      <c r="AI4080" s="352"/>
      <c r="AJ4080" s="352"/>
    </row>
    <row r="4081" spans="2:36">
      <c r="B4081" s="352"/>
      <c r="C4081" s="352"/>
      <c r="D4081" s="352"/>
      <c r="E4081" s="352"/>
      <c r="F4081" s="352"/>
      <c r="H4081" s="352"/>
      <c r="J4081" s="352"/>
      <c r="L4081" s="352"/>
      <c r="M4081" s="352"/>
      <c r="N4081" s="352"/>
      <c r="O4081" s="352"/>
      <c r="P4081" s="352"/>
      <c r="Q4081" s="352"/>
      <c r="R4081" s="352"/>
      <c r="S4081" s="352"/>
      <c r="T4081" s="352"/>
      <c r="U4081" s="352"/>
      <c r="V4081" s="352"/>
      <c r="W4081" s="352"/>
      <c r="X4081" s="352"/>
      <c r="Y4081" s="352"/>
      <c r="Z4081" s="352"/>
      <c r="AA4081" s="352"/>
      <c r="AB4081" s="352"/>
      <c r="AC4081" s="352"/>
      <c r="AD4081" s="352"/>
      <c r="AE4081" s="352"/>
      <c r="AF4081" s="352"/>
      <c r="AG4081" s="352"/>
      <c r="AH4081" s="352"/>
      <c r="AI4081" s="352"/>
      <c r="AJ4081" s="352"/>
    </row>
    <row r="4082" spans="2:36">
      <c r="B4082" s="352"/>
      <c r="C4082" s="352"/>
      <c r="D4082" s="352"/>
      <c r="E4082" s="352"/>
      <c r="F4082" s="352"/>
      <c r="H4082" s="352"/>
      <c r="J4082" s="352"/>
      <c r="L4082" s="352"/>
      <c r="M4082" s="352"/>
      <c r="N4082" s="352"/>
      <c r="O4082" s="352"/>
      <c r="P4082" s="352"/>
      <c r="Q4082" s="352"/>
      <c r="R4082" s="352"/>
      <c r="S4082" s="352"/>
      <c r="T4082" s="352"/>
      <c r="U4082" s="352"/>
      <c r="V4082" s="352"/>
      <c r="W4082" s="352"/>
      <c r="X4082" s="352"/>
      <c r="Y4082" s="352"/>
      <c r="Z4082" s="352"/>
      <c r="AA4082" s="352"/>
      <c r="AB4082" s="352"/>
      <c r="AC4082" s="352"/>
      <c r="AD4082" s="352"/>
      <c r="AE4082" s="352"/>
      <c r="AF4082" s="352"/>
      <c r="AG4082" s="352"/>
      <c r="AH4082" s="352"/>
      <c r="AI4082" s="352"/>
      <c r="AJ4082" s="352"/>
    </row>
    <row r="4083" spans="2:36">
      <c r="B4083" s="352"/>
      <c r="C4083" s="352"/>
      <c r="D4083" s="352"/>
      <c r="E4083" s="352"/>
      <c r="F4083" s="352"/>
      <c r="H4083" s="352"/>
      <c r="J4083" s="352"/>
      <c r="L4083" s="352"/>
      <c r="M4083" s="352"/>
      <c r="N4083" s="352"/>
      <c r="O4083" s="352"/>
      <c r="P4083" s="352"/>
      <c r="Q4083" s="352"/>
      <c r="R4083" s="352"/>
      <c r="S4083" s="352"/>
      <c r="T4083" s="352"/>
      <c r="U4083" s="352"/>
      <c r="V4083" s="352"/>
      <c r="W4083" s="352"/>
      <c r="X4083" s="352"/>
      <c r="Y4083" s="352"/>
      <c r="Z4083" s="352"/>
      <c r="AA4083" s="352"/>
      <c r="AB4083" s="352"/>
      <c r="AC4083" s="352"/>
      <c r="AD4083" s="352"/>
      <c r="AE4083" s="352"/>
      <c r="AF4083" s="352"/>
      <c r="AG4083" s="352"/>
      <c r="AH4083" s="352"/>
      <c r="AI4083" s="352"/>
      <c r="AJ4083" s="352"/>
    </row>
    <row r="4084" spans="2:36">
      <c r="B4084" s="352"/>
      <c r="C4084" s="352"/>
      <c r="D4084" s="352"/>
      <c r="E4084" s="352"/>
      <c r="F4084" s="352"/>
      <c r="H4084" s="352"/>
      <c r="J4084" s="352"/>
      <c r="L4084" s="352"/>
      <c r="M4084" s="352"/>
      <c r="N4084" s="352"/>
      <c r="O4084" s="352"/>
      <c r="P4084" s="352"/>
      <c r="Q4084" s="352"/>
      <c r="R4084" s="352"/>
      <c r="S4084" s="352"/>
      <c r="T4084" s="352"/>
      <c r="U4084" s="352"/>
      <c r="V4084" s="352"/>
      <c r="W4084" s="352"/>
      <c r="X4084" s="352"/>
      <c r="Y4084" s="352"/>
      <c r="Z4084" s="352"/>
      <c r="AA4084" s="352"/>
      <c r="AB4084" s="352"/>
      <c r="AC4084" s="352"/>
      <c r="AD4084" s="352"/>
      <c r="AE4084" s="352"/>
      <c r="AF4084" s="352"/>
      <c r="AG4084" s="352"/>
      <c r="AH4084" s="352"/>
      <c r="AI4084" s="352"/>
      <c r="AJ4084" s="352"/>
    </row>
    <row r="4085" spans="2:36">
      <c r="B4085" s="352"/>
      <c r="C4085" s="352"/>
      <c r="D4085" s="352"/>
      <c r="E4085" s="352"/>
      <c r="F4085" s="352"/>
      <c r="H4085" s="352"/>
      <c r="J4085" s="352"/>
      <c r="L4085" s="352"/>
      <c r="M4085" s="352"/>
      <c r="N4085" s="352"/>
      <c r="O4085" s="352"/>
      <c r="P4085" s="352"/>
      <c r="Q4085" s="352"/>
      <c r="R4085" s="352"/>
      <c r="S4085" s="352"/>
      <c r="T4085" s="352"/>
      <c r="U4085" s="352"/>
      <c r="V4085" s="352"/>
      <c r="W4085" s="352"/>
      <c r="X4085" s="352"/>
      <c r="Y4085" s="352"/>
      <c r="Z4085" s="352"/>
      <c r="AA4085" s="352"/>
      <c r="AB4085" s="352"/>
      <c r="AC4085" s="352"/>
      <c r="AD4085" s="352"/>
      <c r="AE4085" s="352"/>
      <c r="AF4085" s="352"/>
      <c r="AG4085" s="352"/>
      <c r="AH4085" s="352"/>
      <c r="AI4085" s="352"/>
      <c r="AJ4085" s="352"/>
    </row>
    <row r="4086" spans="2:36">
      <c r="B4086" s="352"/>
      <c r="C4086" s="352"/>
      <c r="D4086" s="352"/>
      <c r="E4086" s="352"/>
      <c r="F4086" s="352"/>
      <c r="H4086" s="352"/>
      <c r="J4086" s="352"/>
      <c r="L4086" s="352"/>
      <c r="M4086" s="352"/>
      <c r="N4086" s="352"/>
      <c r="O4086" s="352"/>
      <c r="P4086" s="352"/>
      <c r="Q4086" s="352"/>
      <c r="R4086" s="352"/>
      <c r="S4086" s="352"/>
      <c r="T4086" s="352"/>
      <c r="U4086" s="352"/>
      <c r="V4086" s="352"/>
      <c r="W4086" s="352"/>
      <c r="X4086" s="352"/>
      <c r="Y4086" s="352"/>
      <c r="Z4086" s="352"/>
      <c r="AA4086" s="352"/>
      <c r="AB4086" s="352"/>
      <c r="AC4086" s="352"/>
      <c r="AD4086" s="352"/>
      <c r="AE4086" s="352"/>
      <c r="AF4086" s="352"/>
      <c r="AG4086" s="352"/>
      <c r="AH4086" s="352"/>
      <c r="AI4086" s="352"/>
      <c r="AJ4086" s="352"/>
    </row>
    <row r="4087" spans="2:36">
      <c r="B4087" s="352"/>
      <c r="C4087" s="352"/>
      <c r="D4087" s="352"/>
      <c r="E4087" s="352"/>
      <c r="F4087" s="352"/>
      <c r="H4087" s="352"/>
      <c r="J4087" s="352"/>
      <c r="L4087" s="352"/>
      <c r="M4087" s="352"/>
      <c r="N4087" s="352"/>
      <c r="O4087" s="352"/>
      <c r="P4087" s="352"/>
      <c r="Q4087" s="352"/>
      <c r="R4087" s="352"/>
      <c r="S4087" s="352"/>
      <c r="T4087" s="352"/>
      <c r="U4087" s="352"/>
      <c r="V4087" s="352"/>
      <c r="W4087" s="352"/>
      <c r="X4087" s="352"/>
      <c r="Y4087" s="352"/>
      <c r="Z4087" s="352"/>
      <c r="AA4087" s="352"/>
      <c r="AB4087" s="352"/>
      <c r="AC4087" s="352"/>
      <c r="AD4087" s="352"/>
      <c r="AE4087" s="352"/>
      <c r="AF4087" s="352"/>
      <c r="AG4087" s="352"/>
      <c r="AH4087" s="352"/>
      <c r="AI4087" s="352"/>
      <c r="AJ4087" s="352"/>
    </row>
    <row r="4088" spans="2:36">
      <c r="B4088" s="352"/>
      <c r="C4088" s="352"/>
      <c r="D4088" s="352"/>
      <c r="E4088" s="352"/>
      <c r="F4088" s="352"/>
      <c r="H4088" s="352"/>
      <c r="J4088" s="352"/>
      <c r="L4088" s="352"/>
      <c r="M4088" s="352"/>
      <c r="N4088" s="352"/>
      <c r="O4088" s="352"/>
      <c r="P4088" s="352"/>
      <c r="Q4088" s="352"/>
      <c r="R4088" s="352"/>
      <c r="S4088" s="352"/>
      <c r="T4088" s="352"/>
      <c r="U4088" s="352"/>
      <c r="V4088" s="352"/>
      <c r="W4088" s="352"/>
      <c r="X4088" s="352"/>
      <c r="Y4088" s="352"/>
      <c r="Z4088" s="352"/>
      <c r="AA4088" s="352"/>
      <c r="AB4088" s="352"/>
      <c r="AC4088" s="352"/>
      <c r="AD4088" s="352"/>
      <c r="AE4088" s="352"/>
      <c r="AF4088" s="352"/>
      <c r="AG4088" s="352"/>
      <c r="AH4088" s="352"/>
      <c r="AI4088" s="352"/>
      <c r="AJ4088" s="352"/>
    </row>
    <row r="4089" spans="2:36">
      <c r="B4089" s="352"/>
      <c r="C4089" s="352"/>
      <c r="D4089" s="352"/>
      <c r="E4089" s="352"/>
      <c r="F4089" s="352"/>
      <c r="H4089" s="352"/>
      <c r="J4089" s="352"/>
      <c r="L4089" s="352"/>
      <c r="M4089" s="352"/>
      <c r="N4089" s="352"/>
      <c r="O4089" s="352"/>
      <c r="P4089" s="352"/>
      <c r="Q4089" s="352"/>
      <c r="R4089" s="352"/>
      <c r="S4089" s="352"/>
      <c r="T4089" s="352"/>
      <c r="U4089" s="352"/>
      <c r="V4089" s="352"/>
      <c r="W4089" s="352"/>
      <c r="X4089" s="352"/>
      <c r="Y4089" s="352"/>
      <c r="Z4089" s="352"/>
      <c r="AA4089" s="352"/>
      <c r="AB4089" s="352"/>
      <c r="AC4089" s="352"/>
      <c r="AD4089" s="352"/>
      <c r="AE4089" s="352"/>
      <c r="AF4089" s="352"/>
      <c r="AG4089" s="352"/>
      <c r="AH4089" s="352"/>
      <c r="AI4089" s="352"/>
      <c r="AJ4089" s="352"/>
    </row>
    <row r="4090" spans="2:36">
      <c r="B4090" s="352"/>
      <c r="C4090" s="352"/>
      <c r="D4090" s="352"/>
      <c r="E4090" s="352"/>
      <c r="F4090" s="352"/>
      <c r="H4090" s="352"/>
      <c r="J4090" s="352"/>
      <c r="L4090" s="352"/>
      <c r="M4090" s="352"/>
      <c r="N4090" s="352"/>
      <c r="O4090" s="352"/>
      <c r="P4090" s="352"/>
      <c r="Q4090" s="352"/>
      <c r="R4090" s="352"/>
      <c r="S4090" s="352"/>
      <c r="T4090" s="352"/>
      <c r="U4090" s="352"/>
      <c r="V4090" s="352"/>
      <c r="W4090" s="352"/>
      <c r="X4090" s="352"/>
      <c r="Y4090" s="352"/>
      <c r="Z4090" s="352"/>
      <c r="AA4090" s="352"/>
      <c r="AB4090" s="352"/>
      <c r="AC4090" s="352"/>
      <c r="AD4090" s="352"/>
      <c r="AE4090" s="352"/>
      <c r="AF4090" s="352"/>
      <c r="AG4090" s="352"/>
      <c r="AH4090" s="352"/>
      <c r="AI4090" s="352"/>
      <c r="AJ4090" s="352"/>
    </row>
    <row r="4091" spans="2:36">
      <c r="B4091" s="352"/>
      <c r="C4091" s="352"/>
      <c r="D4091" s="352"/>
      <c r="E4091" s="352"/>
      <c r="F4091" s="352"/>
      <c r="H4091" s="352"/>
      <c r="J4091" s="352"/>
      <c r="L4091" s="352"/>
      <c r="M4091" s="352"/>
      <c r="N4091" s="352"/>
      <c r="O4091" s="352"/>
      <c r="P4091" s="352"/>
      <c r="Q4091" s="352"/>
      <c r="R4091" s="352"/>
      <c r="S4091" s="352"/>
      <c r="T4091" s="352"/>
      <c r="U4091" s="352"/>
      <c r="V4091" s="352"/>
      <c r="W4091" s="352"/>
      <c r="X4091" s="352"/>
      <c r="Y4091" s="352"/>
      <c r="Z4091" s="352"/>
      <c r="AA4091" s="352"/>
      <c r="AB4091" s="352"/>
      <c r="AC4091" s="352"/>
      <c r="AD4091" s="352"/>
      <c r="AE4091" s="352"/>
      <c r="AF4091" s="352"/>
      <c r="AG4091" s="352"/>
      <c r="AH4091" s="352"/>
      <c r="AI4091" s="352"/>
      <c r="AJ4091" s="352"/>
    </row>
    <row r="4092" spans="2:36">
      <c r="B4092" s="352"/>
      <c r="C4092" s="352"/>
      <c r="D4092" s="352"/>
      <c r="E4092" s="352"/>
      <c r="F4092" s="352"/>
      <c r="H4092" s="352"/>
      <c r="J4092" s="352"/>
      <c r="L4092" s="352"/>
      <c r="M4092" s="352"/>
      <c r="N4092" s="352"/>
      <c r="O4092" s="352"/>
      <c r="P4092" s="352"/>
      <c r="Q4092" s="352"/>
      <c r="R4092" s="352"/>
      <c r="S4092" s="352"/>
      <c r="T4092" s="352"/>
      <c r="U4092" s="352"/>
      <c r="V4092" s="352"/>
      <c r="W4092" s="352"/>
      <c r="X4092" s="352"/>
      <c r="Y4092" s="352"/>
      <c r="Z4092" s="352"/>
      <c r="AA4092" s="352"/>
      <c r="AB4092" s="352"/>
      <c r="AC4092" s="352"/>
      <c r="AD4092" s="352"/>
      <c r="AE4092" s="352"/>
      <c r="AF4092" s="352"/>
      <c r="AG4092" s="352"/>
      <c r="AH4092" s="352"/>
      <c r="AI4092" s="352"/>
      <c r="AJ4092" s="352"/>
    </row>
    <row r="4093" spans="2:36">
      <c r="B4093" s="352"/>
      <c r="C4093" s="352"/>
      <c r="D4093" s="352"/>
      <c r="E4093" s="352"/>
      <c r="F4093" s="352"/>
      <c r="H4093" s="352"/>
      <c r="J4093" s="352"/>
      <c r="L4093" s="352"/>
      <c r="M4093" s="352"/>
      <c r="N4093" s="352"/>
      <c r="O4093" s="352"/>
      <c r="P4093" s="352"/>
      <c r="Q4093" s="352"/>
      <c r="R4093" s="352"/>
      <c r="S4093" s="352"/>
      <c r="T4093" s="352"/>
      <c r="U4093" s="352"/>
      <c r="V4093" s="352"/>
      <c r="W4093" s="352"/>
      <c r="X4093" s="352"/>
      <c r="Y4093" s="352"/>
      <c r="Z4093" s="352"/>
      <c r="AA4093" s="352"/>
      <c r="AB4093" s="352"/>
      <c r="AC4093" s="352"/>
      <c r="AD4093" s="352"/>
      <c r="AE4093" s="352"/>
      <c r="AF4093" s="352"/>
      <c r="AG4093" s="352"/>
      <c r="AH4093" s="352"/>
      <c r="AI4093" s="352"/>
      <c r="AJ4093" s="352"/>
    </row>
    <row r="4094" spans="2:36">
      <c r="B4094" s="352"/>
      <c r="C4094" s="352"/>
      <c r="D4094" s="352"/>
      <c r="E4094" s="352"/>
      <c r="F4094" s="352"/>
      <c r="H4094" s="352"/>
      <c r="J4094" s="352"/>
      <c r="L4094" s="352"/>
      <c r="M4094" s="352"/>
      <c r="N4094" s="352"/>
      <c r="O4094" s="352"/>
      <c r="P4094" s="352"/>
      <c r="Q4094" s="352"/>
      <c r="R4094" s="352"/>
      <c r="S4094" s="352"/>
      <c r="T4094" s="352"/>
      <c r="U4094" s="352"/>
      <c r="V4094" s="352"/>
      <c r="W4094" s="352"/>
      <c r="X4094" s="352"/>
      <c r="Y4094" s="352"/>
      <c r="Z4094" s="352"/>
      <c r="AA4094" s="352"/>
      <c r="AB4094" s="352"/>
      <c r="AC4094" s="352"/>
      <c r="AD4094" s="352"/>
      <c r="AE4094" s="352"/>
      <c r="AF4094" s="352"/>
      <c r="AG4094" s="352"/>
      <c r="AH4094" s="352"/>
      <c r="AI4094" s="352"/>
      <c r="AJ4094" s="352"/>
    </row>
    <row r="4095" spans="2:36">
      <c r="B4095" s="352"/>
      <c r="C4095" s="352"/>
      <c r="D4095" s="352"/>
      <c r="E4095" s="352"/>
      <c r="F4095" s="352"/>
      <c r="H4095" s="352"/>
      <c r="J4095" s="352"/>
      <c r="L4095" s="352"/>
      <c r="M4095" s="352"/>
      <c r="N4095" s="352"/>
      <c r="O4095" s="352"/>
      <c r="P4095" s="352"/>
      <c r="Q4095" s="352"/>
      <c r="R4095" s="352"/>
      <c r="S4095" s="352"/>
      <c r="T4095" s="352"/>
      <c r="U4095" s="352"/>
      <c r="V4095" s="352"/>
      <c r="W4095" s="352"/>
      <c r="X4095" s="352"/>
      <c r="Y4095" s="352"/>
      <c r="Z4095" s="352"/>
      <c r="AA4095" s="352"/>
      <c r="AB4095" s="352"/>
      <c r="AC4095" s="352"/>
      <c r="AD4095" s="352"/>
      <c r="AE4095" s="352"/>
      <c r="AF4095" s="352"/>
      <c r="AG4095" s="352"/>
      <c r="AH4095" s="352"/>
      <c r="AI4095" s="352"/>
      <c r="AJ4095" s="352"/>
    </row>
    <row r="4096" spans="2:36">
      <c r="B4096" s="352"/>
      <c r="C4096" s="352"/>
      <c r="D4096" s="352"/>
      <c r="E4096" s="352"/>
      <c r="F4096" s="352"/>
      <c r="H4096" s="352"/>
      <c r="J4096" s="352"/>
      <c r="L4096" s="352"/>
      <c r="M4096" s="352"/>
      <c r="N4096" s="352"/>
      <c r="O4096" s="352"/>
      <c r="P4096" s="352"/>
      <c r="Q4096" s="352"/>
      <c r="R4096" s="352"/>
      <c r="S4096" s="352"/>
      <c r="T4096" s="352"/>
      <c r="U4096" s="352"/>
      <c r="V4096" s="352"/>
      <c r="W4096" s="352"/>
      <c r="X4096" s="352"/>
      <c r="Y4096" s="352"/>
      <c r="Z4096" s="352"/>
      <c r="AA4096" s="352"/>
      <c r="AB4096" s="352"/>
      <c r="AC4096" s="352"/>
      <c r="AD4096" s="352"/>
      <c r="AE4096" s="352"/>
      <c r="AF4096" s="352"/>
      <c r="AG4096" s="352"/>
      <c r="AH4096" s="352"/>
      <c r="AI4096" s="352"/>
      <c r="AJ4096" s="352"/>
    </row>
    <row r="4097" spans="2:36">
      <c r="B4097" s="352"/>
      <c r="C4097" s="352"/>
      <c r="D4097" s="352"/>
      <c r="E4097" s="352"/>
      <c r="F4097" s="352"/>
      <c r="H4097" s="352"/>
      <c r="J4097" s="352"/>
      <c r="L4097" s="352"/>
      <c r="M4097" s="352"/>
      <c r="N4097" s="352"/>
      <c r="O4097" s="352"/>
      <c r="P4097" s="352"/>
      <c r="Q4097" s="352"/>
      <c r="R4097" s="352"/>
      <c r="S4097" s="352"/>
      <c r="T4097" s="352"/>
      <c r="U4097" s="352"/>
      <c r="V4097" s="352"/>
      <c r="W4097" s="352"/>
      <c r="X4097" s="352"/>
      <c r="Y4097" s="352"/>
      <c r="Z4097" s="352"/>
      <c r="AA4097" s="352"/>
      <c r="AB4097" s="352"/>
      <c r="AC4097" s="352"/>
      <c r="AD4097" s="352"/>
      <c r="AE4097" s="352"/>
      <c r="AF4097" s="352"/>
      <c r="AG4097" s="352"/>
      <c r="AH4097" s="352"/>
      <c r="AI4097" s="352"/>
      <c r="AJ4097" s="352"/>
    </row>
    <row r="4098" spans="2:36">
      <c r="B4098" s="352"/>
      <c r="C4098" s="352"/>
      <c r="D4098" s="352"/>
      <c r="E4098" s="352"/>
      <c r="F4098" s="352"/>
      <c r="H4098" s="352"/>
      <c r="J4098" s="352"/>
      <c r="L4098" s="352"/>
      <c r="M4098" s="352"/>
      <c r="N4098" s="352"/>
      <c r="O4098" s="352"/>
      <c r="P4098" s="352"/>
      <c r="Q4098" s="352"/>
      <c r="R4098" s="352"/>
      <c r="S4098" s="352"/>
      <c r="T4098" s="352"/>
      <c r="U4098" s="352"/>
      <c r="V4098" s="352"/>
      <c r="W4098" s="352"/>
      <c r="X4098" s="352"/>
      <c r="Y4098" s="352"/>
      <c r="Z4098" s="352"/>
      <c r="AA4098" s="352"/>
      <c r="AB4098" s="352"/>
      <c r="AC4098" s="352"/>
      <c r="AD4098" s="352"/>
      <c r="AE4098" s="352"/>
      <c r="AF4098" s="352"/>
      <c r="AG4098" s="352"/>
      <c r="AH4098" s="352"/>
      <c r="AI4098" s="352"/>
      <c r="AJ4098" s="352"/>
    </row>
    <row r="4099" spans="2:36">
      <c r="B4099" s="352"/>
      <c r="C4099" s="352"/>
      <c r="D4099" s="352"/>
      <c r="E4099" s="352"/>
      <c r="F4099" s="352"/>
      <c r="H4099" s="352"/>
      <c r="J4099" s="352"/>
      <c r="L4099" s="352"/>
      <c r="M4099" s="352"/>
      <c r="N4099" s="352"/>
      <c r="O4099" s="352"/>
      <c r="P4099" s="352"/>
      <c r="Q4099" s="352"/>
      <c r="R4099" s="352"/>
      <c r="S4099" s="352"/>
      <c r="T4099" s="352"/>
      <c r="U4099" s="352"/>
      <c r="V4099" s="352"/>
      <c r="W4099" s="352"/>
      <c r="X4099" s="352"/>
      <c r="Y4099" s="352"/>
      <c r="Z4099" s="352"/>
      <c r="AA4099" s="352"/>
      <c r="AB4099" s="352"/>
      <c r="AC4099" s="352"/>
      <c r="AD4099" s="352"/>
      <c r="AE4099" s="352"/>
      <c r="AF4099" s="352"/>
      <c r="AG4099" s="352"/>
      <c r="AH4099" s="352"/>
      <c r="AI4099" s="352"/>
      <c r="AJ4099" s="352"/>
    </row>
    <row r="4100" spans="2:36">
      <c r="B4100" s="352"/>
      <c r="C4100" s="352"/>
      <c r="D4100" s="352"/>
      <c r="E4100" s="352"/>
      <c r="F4100" s="352"/>
      <c r="H4100" s="352"/>
      <c r="J4100" s="352"/>
      <c r="L4100" s="352"/>
      <c r="M4100" s="352"/>
      <c r="N4100" s="352"/>
      <c r="O4100" s="352"/>
      <c r="P4100" s="352"/>
      <c r="Q4100" s="352"/>
      <c r="R4100" s="352"/>
      <c r="S4100" s="352"/>
      <c r="T4100" s="352"/>
      <c r="U4100" s="352"/>
      <c r="V4100" s="352"/>
      <c r="W4100" s="352"/>
      <c r="X4100" s="352"/>
      <c r="Y4100" s="352"/>
      <c r="Z4100" s="352"/>
      <c r="AA4100" s="352"/>
      <c r="AB4100" s="352"/>
      <c r="AC4100" s="352"/>
      <c r="AD4100" s="352"/>
      <c r="AE4100" s="352"/>
      <c r="AF4100" s="352"/>
      <c r="AG4100" s="352"/>
      <c r="AH4100" s="352"/>
      <c r="AI4100" s="352"/>
      <c r="AJ4100" s="352"/>
    </row>
    <row r="4101" spans="2:36">
      <c r="B4101" s="352"/>
      <c r="C4101" s="352"/>
      <c r="D4101" s="352"/>
      <c r="E4101" s="352"/>
      <c r="F4101" s="352"/>
      <c r="H4101" s="352"/>
      <c r="J4101" s="352"/>
      <c r="L4101" s="352"/>
      <c r="M4101" s="352"/>
      <c r="N4101" s="352"/>
      <c r="O4101" s="352"/>
      <c r="P4101" s="352"/>
      <c r="Q4101" s="352"/>
      <c r="R4101" s="352"/>
      <c r="S4101" s="352"/>
      <c r="T4101" s="352"/>
      <c r="U4101" s="352"/>
      <c r="V4101" s="352"/>
      <c r="W4101" s="352"/>
      <c r="X4101" s="352"/>
      <c r="Y4101" s="352"/>
      <c r="Z4101" s="352"/>
      <c r="AA4101" s="352"/>
      <c r="AB4101" s="352"/>
      <c r="AC4101" s="352"/>
      <c r="AD4101" s="352"/>
      <c r="AE4101" s="352"/>
      <c r="AF4101" s="352"/>
      <c r="AG4101" s="352"/>
      <c r="AH4101" s="352"/>
      <c r="AI4101" s="352"/>
      <c r="AJ4101" s="352"/>
    </row>
    <row r="4102" spans="2:36">
      <c r="B4102" s="352"/>
      <c r="C4102" s="352"/>
      <c r="D4102" s="352"/>
      <c r="E4102" s="352"/>
      <c r="F4102" s="352"/>
      <c r="H4102" s="352"/>
      <c r="J4102" s="352"/>
      <c r="L4102" s="352"/>
      <c r="M4102" s="352"/>
      <c r="N4102" s="352"/>
      <c r="O4102" s="352"/>
      <c r="P4102" s="352"/>
      <c r="Q4102" s="352"/>
      <c r="R4102" s="352"/>
      <c r="S4102" s="352"/>
      <c r="T4102" s="352"/>
      <c r="U4102" s="352"/>
      <c r="V4102" s="352"/>
      <c r="W4102" s="352"/>
      <c r="X4102" s="352"/>
      <c r="Y4102" s="352"/>
      <c r="Z4102" s="352"/>
      <c r="AA4102" s="352"/>
      <c r="AB4102" s="352"/>
      <c r="AC4102" s="352"/>
      <c r="AD4102" s="352"/>
      <c r="AE4102" s="352"/>
      <c r="AF4102" s="352"/>
      <c r="AG4102" s="352"/>
      <c r="AH4102" s="352"/>
      <c r="AI4102" s="352"/>
      <c r="AJ4102" s="352"/>
    </row>
    <row r="4103" spans="2:36">
      <c r="B4103" s="352"/>
      <c r="C4103" s="352"/>
      <c r="D4103" s="352"/>
      <c r="E4103" s="352"/>
      <c r="F4103" s="352"/>
      <c r="H4103" s="352"/>
      <c r="J4103" s="352"/>
      <c r="L4103" s="352"/>
      <c r="M4103" s="352"/>
      <c r="N4103" s="352"/>
      <c r="O4103" s="352"/>
      <c r="P4103" s="352"/>
      <c r="Q4103" s="352"/>
      <c r="R4103" s="352"/>
      <c r="S4103" s="352"/>
      <c r="T4103" s="352"/>
      <c r="U4103" s="352"/>
      <c r="V4103" s="352"/>
      <c r="W4103" s="352"/>
      <c r="X4103" s="352"/>
      <c r="Y4103" s="352"/>
      <c r="Z4103" s="352"/>
      <c r="AA4103" s="352"/>
      <c r="AB4103" s="352"/>
      <c r="AC4103" s="352"/>
      <c r="AD4103" s="352"/>
      <c r="AE4103" s="352"/>
      <c r="AF4103" s="352"/>
      <c r="AG4103" s="352"/>
      <c r="AH4103" s="352"/>
      <c r="AI4103" s="352"/>
      <c r="AJ4103" s="352"/>
    </row>
    <row r="4104" spans="2:36">
      <c r="B4104" s="352"/>
      <c r="C4104" s="352"/>
      <c r="D4104" s="352"/>
      <c r="E4104" s="352"/>
      <c r="F4104" s="352"/>
      <c r="H4104" s="352"/>
      <c r="J4104" s="352"/>
      <c r="L4104" s="352"/>
      <c r="M4104" s="352"/>
      <c r="N4104" s="352"/>
      <c r="O4104" s="352"/>
      <c r="P4104" s="352"/>
      <c r="Q4104" s="352"/>
      <c r="R4104" s="352"/>
      <c r="S4104" s="352"/>
      <c r="T4104" s="352"/>
      <c r="U4104" s="352"/>
      <c r="V4104" s="352"/>
      <c r="W4104" s="352"/>
      <c r="X4104" s="352"/>
      <c r="Y4104" s="352"/>
      <c r="Z4104" s="352"/>
      <c r="AA4104" s="352"/>
      <c r="AB4104" s="352"/>
      <c r="AC4104" s="352"/>
      <c r="AD4104" s="352"/>
      <c r="AE4104" s="352"/>
      <c r="AF4104" s="352"/>
      <c r="AG4104" s="352"/>
      <c r="AH4104" s="352"/>
      <c r="AI4104" s="352"/>
      <c r="AJ4104" s="352"/>
    </row>
    <row r="4105" spans="2:36">
      <c r="B4105" s="352"/>
      <c r="C4105" s="352"/>
      <c r="D4105" s="352"/>
      <c r="E4105" s="352"/>
      <c r="F4105" s="352"/>
      <c r="H4105" s="352"/>
      <c r="J4105" s="352"/>
      <c r="L4105" s="352"/>
      <c r="M4105" s="352"/>
      <c r="N4105" s="352"/>
      <c r="O4105" s="352"/>
      <c r="P4105" s="352"/>
      <c r="Q4105" s="352"/>
      <c r="R4105" s="352"/>
      <c r="S4105" s="352"/>
      <c r="T4105" s="352"/>
      <c r="U4105" s="352"/>
      <c r="V4105" s="352"/>
      <c r="W4105" s="352"/>
      <c r="X4105" s="352"/>
      <c r="Y4105" s="352"/>
      <c r="Z4105" s="352"/>
      <c r="AA4105" s="352"/>
      <c r="AB4105" s="352"/>
      <c r="AC4105" s="352"/>
      <c r="AD4105" s="352"/>
      <c r="AE4105" s="352"/>
      <c r="AF4105" s="352"/>
      <c r="AG4105" s="352"/>
      <c r="AH4105" s="352"/>
      <c r="AI4105" s="352"/>
      <c r="AJ4105" s="352"/>
    </row>
    <row r="4106" spans="2:36">
      <c r="B4106" s="352"/>
      <c r="C4106" s="352"/>
      <c r="D4106" s="352"/>
      <c r="E4106" s="352"/>
      <c r="F4106" s="352"/>
      <c r="H4106" s="352"/>
      <c r="J4106" s="352"/>
      <c r="L4106" s="352"/>
      <c r="M4106" s="352"/>
      <c r="N4106" s="352"/>
      <c r="O4106" s="352"/>
      <c r="P4106" s="352"/>
      <c r="Q4106" s="352"/>
      <c r="R4106" s="352"/>
      <c r="S4106" s="352"/>
      <c r="T4106" s="352"/>
      <c r="U4106" s="352"/>
      <c r="V4106" s="352"/>
      <c r="W4106" s="352"/>
      <c r="X4106" s="352"/>
      <c r="Y4106" s="352"/>
      <c r="Z4106" s="352"/>
      <c r="AA4106" s="352"/>
      <c r="AB4106" s="352"/>
      <c r="AC4106" s="352"/>
      <c r="AD4106" s="352"/>
      <c r="AE4106" s="352"/>
      <c r="AF4106" s="352"/>
      <c r="AG4106" s="352"/>
      <c r="AH4106" s="352"/>
      <c r="AI4106" s="352"/>
      <c r="AJ4106" s="352"/>
    </row>
    <row r="4107" spans="2:36">
      <c r="B4107" s="352"/>
      <c r="C4107" s="352"/>
      <c r="D4107" s="352"/>
      <c r="E4107" s="352"/>
      <c r="F4107" s="352"/>
      <c r="H4107" s="352"/>
      <c r="J4107" s="352"/>
      <c r="L4107" s="352"/>
      <c r="M4107" s="352"/>
      <c r="N4107" s="352"/>
      <c r="O4107" s="352"/>
      <c r="P4107" s="352"/>
      <c r="Q4107" s="352"/>
      <c r="R4107" s="352"/>
      <c r="S4107" s="352"/>
      <c r="T4107" s="352"/>
      <c r="U4107" s="352"/>
      <c r="V4107" s="352"/>
      <c r="W4107" s="352"/>
      <c r="X4107" s="352"/>
      <c r="Y4107" s="352"/>
      <c r="Z4107" s="352"/>
      <c r="AA4107" s="352"/>
      <c r="AB4107" s="352"/>
      <c r="AC4107" s="352"/>
      <c r="AD4107" s="352"/>
      <c r="AE4107" s="352"/>
      <c r="AF4107" s="352"/>
      <c r="AG4107" s="352"/>
      <c r="AH4107" s="352"/>
      <c r="AI4107" s="352"/>
      <c r="AJ4107" s="352"/>
    </row>
    <row r="4108" spans="2:36">
      <c r="B4108" s="352"/>
      <c r="C4108" s="352"/>
      <c r="D4108" s="352"/>
      <c r="E4108" s="352"/>
      <c r="F4108" s="352"/>
      <c r="H4108" s="352"/>
      <c r="J4108" s="352"/>
      <c r="L4108" s="352"/>
      <c r="M4108" s="352"/>
      <c r="N4108" s="352"/>
      <c r="O4108" s="352"/>
      <c r="P4108" s="352"/>
      <c r="Q4108" s="352"/>
      <c r="R4108" s="352"/>
      <c r="S4108" s="352"/>
      <c r="T4108" s="352"/>
      <c r="U4108" s="352"/>
      <c r="V4108" s="352"/>
      <c r="W4108" s="352"/>
      <c r="X4108" s="352"/>
      <c r="Y4108" s="352"/>
      <c r="Z4108" s="352"/>
      <c r="AA4108" s="352"/>
      <c r="AB4108" s="352"/>
      <c r="AC4108" s="352"/>
      <c r="AD4108" s="352"/>
      <c r="AE4108" s="352"/>
      <c r="AF4108" s="352"/>
      <c r="AG4108" s="352"/>
      <c r="AH4108" s="352"/>
      <c r="AI4108" s="352"/>
      <c r="AJ4108" s="352"/>
    </row>
    <row r="4109" spans="2:36">
      <c r="B4109" s="352"/>
      <c r="C4109" s="352"/>
      <c r="D4109" s="352"/>
      <c r="E4109" s="352"/>
      <c r="F4109" s="352"/>
      <c r="H4109" s="352"/>
      <c r="J4109" s="352"/>
      <c r="L4109" s="352"/>
      <c r="M4109" s="352"/>
      <c r="N4109" s="352"/>
      <c r="O4109" s="352"/>
      <c r="P4109" s="352"/>
      <c r="Q4109" s="352"/>
      <c r="R4109" s="352"/>
      <c r="S4109" s="352"/>
      <c r="T4109" s="352"/>
      <c r="U4109" s="352"/>
      <c r="V4109" s="352"/>
      <c r="W4109" s="352"/>
      <c r="X4109" s="352"/>
      <c r="Y4109" s="352"/>
      <c r="Z4109" s="352"/>
      <c r="AA4109" s="352"/>
      <c r="AB4109" s="352"/>
      <c r="AC4109" s="352"/>
      <c r="AD4109" s="352"/>
      <c r="AE4109" s="352"/>
      <c r="AF4109" s="352"/>
      <c r="AG4109" s="352"/>
      <c r="AH4109" s="352"/>
      <c r="AI4109" s="352"/>
      <c r="AJ4109" s="352"/>
    </row>
    <row r="4110" spans="2:36">
      <c r="B4110" s="352"/>
      <c r="C4110" s="352"/>
      <c r="D4110" s="352"/>
      <c r="E4110" s="352"/>
      <c r="F4110" s="352"/>
      <c r="H4110" s="352"/>
      <c r="J4110" s="352"/>
      <c r="L4110" s="352"/>
      <c r="M4110" s="352"/>
      <c r="N4110" s="352"/>
      <c r="O4110" s="352"/>
      <c r="P4110" s="352"/>
      <c r="Q4110" s="352"/>
      <c r="R4110" s="352"/>
      <c r="S4110" s="352"/>
      <c r="T4110" s="352"/>
      <c r="U4110" s="352"/>
      <c r="V4110" s="352"/>
      <c r="W4110" s="352"/>
      <c r="X4110" s="352"/>
      <c r="Y4110" s="352"/>
      <c r="Z4110" s="352"/>
      <c r="AA4110" s="352"/>
      <c r="AB4110" s="352"/>
      <c r="AC4110" s="352"/>
      <c r="AD4110" s="352"/>
      <c r="AE4110" s="352"/>
      <c r="AF4110" s="352"/>
      <c r="AG4110" s="352"/>
      <c r="AH4110" s="352"/>
      <c r="AI4110" s="352"/>
      <c r="AJ4110" s="352"/>
    </row>
    <row r="4111" spans="2:36">
      <c r="B4111" s="352"/>
      <c r="C4111" s="352"/>
      <c r="D4111" s="352"/>
      <c r="E4111" s="352"/>
      <c r="F4111" s="352"/>
      <c r="H4111" s="352"/>
      <c r="J4111" s="352"/>
      <c r="L4111" s="352"/>
      <c r="M4111" s="352"/>
      <c r="N4111" s="352"/>
      <c r="O4111" s="352"/>
      <c r="P4111" s="352"/>
      <c r="Q4111" s="352"/>
      <c r="R4111" s="352"/>
      <c r="S4111" s="352"/>
      <c r="T4111" s="352"/>
      <c r="U4111" s="352"/>
      <c r="V4111" s="352"/>
      <c r="W4111" s="352"/>
      <c r="X4111" s="352"/>
      <c r="Y4111" s="352"/>
      <c r="Z4111" s="352"/>
      <c r="AA4111" s="352"/>
      <c r="AB4111" s="352"/>
      <c r="AC4111" s="352"/>
      <c r="AD4111" s="352"/>
      <c r="AE4111" s="352"/>
      <c r="AF4111" s="352"/>
      <c r="AG4111" s="352"/>
      <c r="AH4111" s="352"/>
      <c r="AI4111" s="352"/>
      <c r="AJ4111" s="352"/>
    </row>
    <row r="4112" spans="2:36">
      <c r="B4112" s="352"/>
      <c r="C4112" s="352"/>
      <c r="D4112" s="352"/>
      <c r="E4112" s="352"/>
      <c r="F4112" s="352"/>
      <c r="H4112" s="352"/>
      <c r="J4112" s="352"/>
      <c r="L4112" s="352"/>
      <c r="M4112" s="352"/>
      <c r="N4112" s="352"/>
      <c r="O4112" s="352"/>
      <c r="P4112" s="352"/>
      <c r="Q4112" s="352"/>
      <c r="R4112" s="352"/>
      <c r="S4112" s="352"/>
      <c r="T4112" s="352"/>
      <c r="U4112" s="352"/>
      <c r="V4112" s="352"/>
      <c r="W4112" s="352"/>
      <c r="X4112" s="352"/>
      <c r="Y4112" s="352"/>
      <c r="Z4112" s="352"/>
      <c r="AA4112" s="352"/>
      <c r="AB4112" s="352"/>
      <c r="AC4112" s="352"/>
      <c r="AD4112" s="352"/>
      <c r="AE4112" s="352"/>
      <c r="AF4112" s="352"/>
      <c r="AG4112" s="352"/>
      <c r="AH4112" s="352"/>
      <c r="AI4112" s="352"/>
      <c r="AJ4112" s="352"/>
    </row>
    <row r="4113" spans="2:36">
      <c r="B4113" s="352"/>
      <c r="C4113" s="352"/>
      <c r="D4113" s="352"/>
      <c r="E4113" s="352"/>
      <c r="F4113" s="352"/>
      <c r="H4113" s="352"/>
      <c r="J4113" s="352"/>
      <c r="L4113" s="352"/>
      <c r="M4113" s="352"/>
      <c r="N4113" s="352"/>
      <c r="O4113" s="352"/>
      <c r="P4113" s="352"/>
      <c r="Q4113" s="352"/>
      <c r="R4113" s="352"/>
      <c r="S4113" s="352"/>
      <c r="T4113" s="352"/>
      <c r="U4113" s="352"/>
      <c r="V4113" s="352"/>
      <c r="W4113" s="352"/>
      <c r="X4113" s="352"/>
      <c r="Y4113" s="352"/>
      <c r="Z4113" s="352"/>
      <c r="AA4113" s="352"/>
      <c r="AB4113" s="352"/>
      <c r="AC4113" s="352"/>
      <c r="AD4113" s="352"/>
      <c r="AE4113" s="352"/>
      <c r="AF4113" s="352"/>
      <c r="AG4113" s="352"/>
      <c r="AH4113" s="352"/>
      <c r="AI4113" s="352"/>
      <c r="AJ4113" s="352"/>
    </row>
    <row r="4114" spans="2:36">
      <c r="B4114" s="352"/>
      <c r="C4114" s="352"/>
      <c r="D4114" s="352"/>
      <c r="E4114" s="352"/>
      <c r="F4114" s="352"/>
      <c r="H4114" s="352"/>
      <c r="J4114" s="352"/>
      <c r="L4114" s="352"/>
      <c r="M4114" s="352"/>
      <c r="N4114" s="352"/>
      <c r="O4114" s="352"/>
      <c r="P4114" s="352"/>
      <c r="Q4114" s="352"/>
      <c r="R4114" s="352"/>
      <c r="S4114" s="352"/>
      <c r="T4114" s="352"/>
      <c r="U4114" s="352"/>
      <c r="V4114" s="352"/>
      <c r="W4114" s="352"/>
      <c r="X4114" s="352"/>
      <c r="Y4114" s="352"/>
      <c r="Z4114" s="352"/>
      <c r="AA4114" s="352"/>
      <c r="AB4114" s="352"/>
      <c r="AC4114" s="352"/>
      <c r="AD4114" s="352"/>
      <c r="AE4114" s="352"/>
      <c r="AF4114" s="352"/>
      <c r="AG4114" s="352"/>
      <c r="AH4114" s="352"/>
      <c r="AI4114" s="352"/>
      <c r="AJ4114" s="352"/>
    </row>
    <row r="4115" spans="2:36">
      <c r="B4115" s="352"/>
      <c r="C4115" s="352"/>
      <c r="D4115" s="352"/>
      <c r="E4115" s="352"/>
      <c r="F4115" s="352"/>
      <c r="H4115" s="352"/>
      <c r="J4115" s="352"/>
      <c r="L4115" s="352"/>
      <c r="M4115" s="352"/>
      <c r="N4115" s="352"/>
      <c r="O4115" s="352"/>
      <c r="P4115" s="352"/>
      <c r="Q4115" s="352"/>
      <c r="R4115" s="352"/>
      <c r="S4115" s="352"/>
      <c r="T4115" s="352"/>
      <c r="U4115" s="352"/>
      <c r="V4115" s="352"/>
      <c r="W4115" s="352"/>
      <c r="X4115" s="352"/>
      <c r="Y4115" s="352"/>
      <c r="Z4115" s="352"/>
      <c r="AA4115" s="352"/>
      <c r="AB4115" s="352"/>
      <c r="AC4115" s="352"/>
      <c r="AD4115" s="352"/>
      <c r="AE4115" s="352"/>
      <c r="AF4115" s="352"/>
      <c r="AG4115" s="352"/>
      <c r="AH4115" s="352"/>
      <c r="AI4115" s="352"/>
      <c r="AJ4115" s="352"/>
    </row>
    <row r="4116" spans="2:36">
      <c r="B4116" s="352"/>
      <c r="C4116" s="352"/>
      <c r="D4116" s="352"/>
      <c r="E4116" s="352"/>
      <c r="F4116" s="352"/>
      <c r="H4116" s="352"/>
      <c r="J4116" s="352"/>
      <c r="L4116" s="352"/>
      <c r="M4116" s="352"/>
      <c r="N4116" s="352"/>
      <c r="O4116" s="352"/>
      <c r="P4116" s="352"/>
      <c r="Q4116" s="352"/>
      <c r="R4116" s="352"/>
      <c r="S4116" s="352"/>
      <c r="T4116" s="352"/>
      <c r="U4116" s="352"/>
      <c r="V4116" s="352"/>
      <c r="W4116" s="352"/>
      <c r="X4116" s="352"/>
      <c r="Y4116" s="352"/>
      <c r="Z4116" s="352"/>
      <c r="AA4116" s="352"/>
      <c r="AB4116" s="352"/>
      <c r="AC4116" s="352"/>
      <c r="AD4116" s="352"/>
      <c r="AE4116" s="352"/>
      <c r="AF4116" s="352"/>
      <c r="AG4116" s="352"/>
      <c r="AH4116" s="352"/>
      <c r="AI4116" s="352"/>
      <c r="AJ4116" s="352"/>
    </row>
    <row r="4117" spans="2:36">
      <c r="B4117" s="352"/>
      <c r="C4117" s="352"/>
      <c r="D4117" s="352"/>
      <c r="E4117" s="352"/>
      <c r="F4117" s="352"/>
      <c r="H4117" s="352"/>
      <c r="J4117" s="352"/>
      <c r="L4117" s="352"/>
      <c r="M4117" s="352"/>
      <c r="N4117" s="352"/>
      <c r="O4117" s="352"/>
      <c r="P4117" s="352"/>
      <c r="Q4117" s="352"/>
      <c r="R4117" s="352"/>
      <c r="S4117" s="352"/>
      <c r="T4117" s="352"/>
      <c r="U4117" s="352"/>
      <c r="V4117" s="352"/>
      <c r="W4117" s="352"/>
      <c r="X4117" s="352"/>
      <c r="Y4117" s="352"/>
      <c r="Z4117" s="352"/>
      <c r="AA4117" s="352"/>
      <c r="AB4117" s="352"/>
      <c r="AC4117" s="352"/>
      <c r="AD4117" s="352"/>
      <c r="AE4117" s="352"/>
      <c r="AF4117" s="352"/>
      <c r="AG4117" s="352"/>
      <c r="AH4117" s="352"/>
      <c r="AI4117" s="352"/>
      <c r="AJ4117" s="352"/>
    </row>
    <row r="4118" spans="2:36">
      <c r="B4118" s="352"/>
      <c r="C4118" s="352"/>
      <c r="D4118" s="352"/>
      <c r="E4118" s="352"/>
      <c r="F4118" s="352"/>
      <c r="H4118" s="352"/>
      <c r="J4118" s="352"/>
      <c r="L4118" s="352"/>
      <c r="M4118" s="352"/>
      <c r="N4118" s="352"/>
      <c r="O4118" s="352"/>
      <c r="P4118" s="352"/>
      <c r="Q4118" s="352"/>
      <c r="R4118" s="352"/>
      <c r="S4118" s="352"/>
      <c r="T4118" s="352"/>
      <c r="U4118" s="352"/>
      <c r="V4118" s="352"/>
      <c r="W4118" s="352"/>
      <c r="X4118" s="352"/>
      <c r="Y4118" s="352"/>
      <c r="Z4118" s="352"/>
      <c r="AA4118" s="352"/>
      <c r="AB4118" s="352"/>
      <c r="AC4118" s="352"/>
      <c r="AD4118" s="352"/>
      <c r="AE4118" s="352"/>
      <c r="AF4118" s="352"/>
      <c r="AG4118" s="352"/>
      <c r="AH4118" s="352"/>
      <c r="AI4118" s="352"/>
      <c r="AJ4118" s="352"/>
    </row>
    <row r="4119" spans="2:36">
      <c r="B4119" s="352"/>
      <c r="C4119" s="352"/>
      <c r="D4119" s="352"/>
      <c r="E4119" s="352"/>
      <c r="F4119" s="352"/>
      <c r="H4119" s="352"/>
      <c r="J4119" s="352"/>
      <c r="L4119" s="352"/>
      <c r="M4119" s="352"/>
      <c r="N4119" s="352"/>
      <c r="O4119" s="352"/>
      <c r="P4119" s="352"/>
      <c r="Q4119" s="352"/>
      <c r="R4119" s="352"/>
      <c r="S4119" s="352"/>
      <c r="T4119" s="352"/>
      <c r="U4119" s="352"/>
      <c r="V4119" s="352"/>
      <c r="W4119" s="352"/>
      <c r="X4119" s="352"/>
      <c r="Y4119" s="352"/>
      <c r="Z4119" s="352"/>
      <c r="AA4119" s="352"/>
      <c r="AB4119" s="352"/>
      <c r="AC4119" s="352"/>
      <c r="AD4119" s="352"/>
      <c r="AE4119" s="352"/>
      <c r="AF4119" s="352"/>
      <c r="AG4119" s="352"/>
      <c r="AH4119" s="352"/>
      <c r="AI4119" s="352"/>
      <c r="AJ4119" s="352"/>
    </row>
    <row r="4120" spans="2:36">
      <c r="B4120" s="352"/>
      <c r="C4120" s="352"/>
      <c r="D4120" s="352"/>
      <c r="E4120" s="352"/>
      <c r="F4120" s="352"/>
      <c r="H4120" s="352"/>
      <c r="J4120" s="352"/>
      <c r="L4120" s="352"/>
      <c r="M4120" s="352"/>
      <c r="N4120" s="352"/>
      <c r="O4120" s="352"/>
      <c r="P4120" s="352"/>
      <c r="Q4120" s="352"/>
      <c r="R4120" s="352"/>
      <c r="S4120" s="352"/>
      <c r="T4120" s="352"/>
      <c r="U4120" s="352"/>
      <c r="V4120" s="352"/>
      <c r="W4120" s="352"/>
      <c r="X4120" s="352"/>
      <c r="Y4120" s="352"/>
      <c r="Z4120" s="352"/>
      <c r="AA4120" s="352"/>
      <c r="AB4120" s="352"/>
      <c r="AC4120" s="352"/>
      <c r="AD4120" s="352"/>
      <c r="AE4120" s="352"/>
      <c r="AF4120" s="352"/>
      <c r="AG4120" s="352"/>
      <c r="AH4120" s="352"/>
      <c r="AI4120" s="352"/>
      <c r="AJ4120" s="352"/>
    </row>
    <row r="4121" spans="2:36">
      <c r="B4121" s="352"/>
      <c r="C4121" s="352"/>
      <c r="D4121" s="352"/>
      <c r="E4121" s="352"/>
      <c r="F4121" s="352"/>
      <c r="H4121" s="352"/>
      <c r="J4121" s="352"/>
      <c r="L4121" s="352"/>
      <c r="M4121" s="352"/>
      <c r="N4121" s="352"/>
      <c r="O4121" s="352"/>
      <c r="P4121" s="352"/>
      <c r="Q4121" s="352"/>
      <c r="R4121" s="352"/>
      <c r="S4121" s="352"/>
      <c r="T4121" s="352"/>
      <c r="U4121" s="352"/>
      <c r="V4121" s="352"/>
      <c r="W4121" s="352"/>
      <c r="X4121" s="352"/>
      <c r="Y4121" s="352"/>
      <c r="Z4121" s="352"/>
      <c r="AA4121" s="352"/>
      <c r="AB4121" s="352"/>
      <c r="AC4121" s="352"/>
      <c r="AD4121" s="352"/>
      <c r="AE4121" s="352"/>
      <c r="AF4121" s="352"/>
      <c r="AG4121" s="352"/>
      <c r="AH4121" s="352"/>
      <c r="AI4121" s="352"/>
      <c r="AJ4121" s="352"/>
    </row>
    <row r="4122" spans="2:36">
      <c r="B4122" s="352"/>
      <c r="C4122" s="352"/>
      <c r="D4122" s="352"/>
      <c r="E4122" s="352"/>
      <c r="F4122" s="352"/>
      <c r="H4122" s="352"/>
      <c r="J4122" s="352"/>
      <c r="L4122" s="352"/>
      <c r="M4122" s="352"/>
      <c r="N4122" s="352"/>
      <c r="O4122" s="352"/>
      <c r="P4122" s="352"/>
      <c r="Q4122" s="352"/>
      <c r="R4122" s="352"/>
      <c r="S4122" s="352"/>
      <c r="T4122" s="352"/>
      <c r="U4122" s="352"/>
      <c r="V4122" s="352"/>
      <c r="W4122" s="352"/>
      <c r="X4122" s="352"/>
      <c r="Y4122" s="352"/>
      <c r="Z4122" s="352"/>
      <c r="AA4122" s="352"/>
      <c r="AB4122" s="352"/>
      <c r="AC4122" s="352"/>
      <c r="AD4122" s="352"/>
      <c r="AE4122" s="352"/>
      <c r="AF4122" s="352"/>
      <c r="AG4122" s="352"/>
      <c r="AH4122" s="352"/>
      <c r="AI4122" s="352"/>
      <c r="AJ4122" s="352"/>
    </row>
    <row r="4123" spans="2:36">
      <c r="B4123" s="352"/>
      <c r="C4123" s="352"/>
      <c r="D4123" s="352"/>
      <c r="E4123" s="352"/>
      <c r="F4123" s="352"/>
      <c r="H4123" s="352"/>
      <c r="J4123" s="352"/>
      <c r="L4123" s="352"/>
      <c r="M4123" s="352"/>
      <c r="N4123" s="352"/>
      <c r="O4123" s="352"/>
      <c r="P4123" s="352"/>
      <c r="Q4123" s="352"/>
      <c r="R4123" s="352"/>
      <c r="S4123" s="352"/>
      <c r="T4123" s="352"/>
      <c r="U4123" s="352"/>
      <c r="V4123" s="352"/>
      <c r="W4123" s="352"/>
      <c r="X4123" s="352"/>
      <c r="Y4123" s="352"/>
      <c r="Z4123" s="352"/>
      <c r="AA4123" s="352"/>
      <c r="AB4123" s="352"/>
      <c r="AC4123" s="352"/>
      <c r="AD4123" s="352"/>
      <c r="AE4123" s="352"/>
      <c r="AF4123" s="352"/>
      <c r="AG4123" s="352"/>
      <c r="AH4123" s="352"/>
      <c r="AI4123" s="352"/>
      <c r="AJ4123" s="352"/>
    </row>
    <row r="4124" spans="2:36">
      <c r="B4124" s="352"/>
      <c r="C4124" s="352"/>
      <c r="D4124" s="352"/>
      <c r="E4124" s="352"/>
      <c r="F4124" s="352"/>
      <c r="H4124" s="352"/>
      <c r="J4124" s="352"/>
      <c r="L4124" s="352"/>
      <c r="M4124" s="352"/>
      <c r="N4124" s="352"/>
      <c r="O4124" s="352"/>
      <c r="P4124" s="352"/>
      <c r="Q4124" s="352"/>
      <c r="R4124" s="352"/>
      <c r="S4124" s="352"/>
      <c r="T4124" s="352"/>
      <c r="U4124" s="352"/>
      <c r="V4124" s="352"/>
      <c r="W4124" s="352"/>
      <c r="X4124" s="352"/>
      <c r="Y4124" s="352"/>
      <c r="Z4124" s="352"/>
      <c r="AA4124" s="352"/>
      <c r="AB4124" s="352"/>
      <c r="AC4124" s="352"/>
      <c r="AD4124" s="352"/>
      <c r="AE4124" s="352"/>
      <c r="AF4124" s="352"/>
      <c r="AG4124" s="352"/>
      <c r="AH4124" s="352"/>
      <c r="AI4124" s="352"/>
      <c r="AJ4124" s="352"/>
    </row>
    <row r="4125" spans="2:36">
      <c r="B4125" s="352"/>
      <c r="C4125" s="352"/>
      <c r="D4125" s="352"/>
      <c r="E4125" s="352"/>
      <c r="F4125" s="352"/>
      <c r="H4125" s="352"/>
      <c r="J4125" s="352"/>
      <c r="L4125" s="352"/>
      <c r="M4125" s="352"/>
      <c r="N4125" s="352"/>
      <c r="O4125" s="352"/>
      <c r="P4125" s="352"/>
      <c r="Q4125" s="352"/>
      <c r="R4125" s="352"/>
      <c r="S4125" s="352"/>
      <c r="T4125" s="352"/>
      <c r="U4125" s="352"/>
      <c r="V4125" s="352"/>
      <c r="W4125" s="352"/>
      <c r="X4125" s="352"/>
      <c r="Y4125" s="352"/>
      <c r="Z4125" s="352"/>
      <c r="AA4125" s="352"/>
      <c r="AB4125" s="352"/>
      <c r="AC4125" s="352"/>
      <c r="AD4125" s="352"/>
      <c r="AE4125" s="352"/>
      <c r="AF4125" s="352"/>
      <c r="AG4125" s="352"/>
      <c r="AH4125" s="352"/>
      <c r="AI4125" s="352"/>
      <c r="AJ4125" s="352"/>
    </row>
    <row r="4126" spans="2:36">
      <c r="B4126" s="352"/>
      <c r="C4126" s="352"/>
      <c r="D4126" s="352"/>
      <c r="E4126" s="352"/>
      <c r="F4126" s="352"/>
      <c r="H4126" s="352"/>
      <c r="J4126" s="352"/>
      <c r="L4126" s="352"/>
      <c r="M4126" s="352"/>
      <c r="N4126" s="352"/>
      <c r="O4126" s="352"/>
      <c r="P4126" s="352"/>
      <c r="Q4126" s="352"/>
      <c r="R4126" s="352"/>
      <c r="S4126" s="352"/>
      <c r="T4126" s="352"/>
      <c r="U4126" s="352"/>
      <c r="V4126" s="352"/>
      <c r="W4126" s="352"/>
      <c r="X4126" s="352"/>
      <c r="Y4126" s="352"/>
      <c r="Z4126" s="352"/>
      <c r="AA4126" s="352"/>
      <c r="AB4126" s="352"/>
      <c r="AC4126" s="352"/>
      <c r="AD4126" s="352"/>
      <c r="AE4126" s="352"/>
      <c r="AF4126" s="352"/>
      <c r="AG4126" s="352"/>
      <c r="AH4126" s="352"/>
      <c r="AI4126" s="352"/>
      <c r="AJ4126" s="352"/>
    </row>
    <row r="4127" spans="2:36">
      <c r="B4127" s="352"/>
      <c r="C4127" s="352"/>
      <c r="D4127" s="352"/>
      <c r="E4127" s="352"/>
      <c r="F4127" s="352"/>
      <c r="H4127" s="352"/>
      <c r="J4127" s="352"/>
      <c r="L4127" s="352"/>
      <c r="M4127" s="352"/>
      <c r="N4127" s="352"/>
      <c r="O4127" s="352"/>
      <c r="P4127" s="352"/>
      <c r="Q4127" s="352"/>
      <c r="R4127" s="352"/>
      <c r="S4127" s="352"/>
      <c r="T4127" s="352"/>
      <c r="U4127" s="352"/>
      <c r="V4127" s="352"/>
      <c r="W4127" s="352"/>
      <c r="X4127" s="352"/>
      <c r="Y4127" s="352"/>
      <c r="Z4127" s="352"/>
      <c r="AA4127" s="352"/>
      <c r="AB4127" s="352"/>
      <c r="AC4127" s="352"/>
      <c r="AD4127" s="352"/>
      <c r="AE4127" s="352"/>
      <c r="AF4127" s="352"/>
      <c r="AG4127" s="352"/>
      <c r="AH4127" s="352"/>
      <c r="AI4127" s="352"/>
      <c r="AJ4127" s="352"/>
    </row>
    <row r="4128" spans="2:36">
      <c r="B4128" s="352"/>
      <c r="C4128" s="352"/>
      <c r="D4128" s="352"/>
      <c r="E4128" s="352"/>
      <c r="F4128" s="352"/>
      <c r="H4128" s="352"/>
      <c r="J4128" s="352"/>
      <c r="L4128" s="352"/>
      <c r="M4128" s="352"/>
      <c r="N4128" s="352"/>
      <c r="O4128" s="352"/>
      <c r="P4128" s="352"/>
      <c r="Q4128" s="352"/>
      <c r="R4128" s="352"/>
      <c r="S4128" s="352"/>
      <c r="T4128" s="352"/>
      <c r="U4128" s="352"/>
      <c r="V4128" s="352"/>
      <c r="W4128" s="352"/>
      <c r="X4128" s="352"/>
      <c r="Y4128" s="352"/>
      <c r="Z4128" s="352"/>
      <c r="AA4128" s="352"/>
      <c r="AB4128" s="352"/>
      <c r="AC4128" s="352"/>
      <c r="AD4128" s="352"/>
      <c r="AE4128" s="352"/>
      <c r="AF4128" s="352"/>
      <c r="AG4128" s="352"/>
      <c r="AH4128" s="352"/>
      <c r="AI4128" s="352"/>
      <c r="AJ4128" s="352"/>
    </row>
    <row r="4129" spans="2:36">
      <c r="B4129" s="352"/>
      <c r="C4129" s="352"/>
      <c r="D4129" s="352"/>
      <c r="E4129" s="352"/>
      <c r="F4129" s="352"/>
      <c r="H4129" s="352"/>
      <c r="J4129" s="352"/>
      <c r="L4129" s="352"/>
      <c r="M4129" s="352"/>
      <c r="N4129" s="352"/>
      <c r="O4129" s="352"/>
      <c r="P4129" s="352"/>
      <c r="Q4129" s="352"/>
      <c r="R4129" s="352"/>
      <c r="S4129" s="352"/>
      <c r="T4129" s="352"/>
      <c r="U4129" s="352"/>
      <c r="V4129" s="352"/>
      <c r="W4129" s="352"/>
      <c r="X4129" s="352"/>
      <c r="Y4129" s="352"/>
      <c r="Z4129" s="352"/>
      <c r="AA4129" s="352"/>
      <c r="AB4129" s="352"/>
      <c r="AC4129" s="352"/>
      <c r="AD4129" s="352"/>
      <c r="AE4129" s="352"/>
      <c r="AF4129" s="352"/>
      <c r="AG4129" s="352"/>
      <c r="AH4129" s="352"/>
      <c r="AI4129" s="352"/>
      <c r="AJ4129" s="352"/>
    </row>
    <row r="4130" spans="2:36">
      <c r="B4130" s="352"/>
      <c r="C4130" s="352"/>
      <c r="D4130" s="352"/>
      <c r="E4130" s="352"/>
      <c r="F4130" s="352"/>
      <c r="H4130" s="352"/>
      <c r="J4130" s="352"/>
      <c r="L4130" s="352"/>
      <c r="M4130" s="352"/>
      <c r="N4130" s="352"/>
      <c r="O4130" s="352"/>
      <c r="P4130" s="352"/>
      <c r="Q4130" s="352"/>
      <c r="R4130" s="352"/>
      <c r="S4130" s="352"/>
      <c r="T4130" s="352"/>
      <c r="U4130" s="352"/>
      <c r="V4130" s="352"/>
      <c r="W4130" s="352"/>
      <c r="X4130" s="352"/>
      <c r="Y4130" s="352"/>
      <c r="Z4130" s="352"/>
      <c r="AA4130" s="352"/>
      <c r="AB4130" s="352"/>
      <c r="AC4130" s="352"/>
      <c r="AD4130" s="352"/>
      <c r="AE4130" s="352"/>
      <c r="AF4130" s="352"/>
      <c r="AG4130" s="352"/>
      <c r="AH4130" s="352"/>
      <c r="AI4130" s="352"/>
      <c r="AJ4130" s="352"/>
    </row>
    <row r="4131" spans="2:36">
      <c r="B4131" s="352"/>
      <c r="C4131" s="352"/>
      <c r="D4131" s="352"/>
      <c r="E4131" s="352"/>
      <c r="F4131" s="352"/>
      <c r="H4131" s="352"/>
      <c r="J4131" s="352"/>
      <c r="L4131" s="352"/>
      <c r="M4131" s="352"/>
      <c r="N4131" s="352"/>
      <c r="O4131" s="352"/>
      <c r="P4131" s="352"/>
      <c r="Q4131" s="352"/>
      <c r="R4131" s="352"/>
      <c r="S4131" s="352"/>
      <c r="T4131" s="352"/>
      <c r="U4131" s="352"/>
      <c r="V4131" s="352"/>
      <c r="W4131" s="352"/>
      <c r="X4131" s="352"/>
      <c r="Y4131" s="352"/>
      <c r="Z4131" s="352"/>
      <c r="AA4131" s="352"/>
      <c r="AB4131" s="352"/>
      <c r="AC4131" s="352"/>
      <c r="AD4131" s="352"/>
      <c r="AE4131" s="352"/>
      <c r="AF4131" s="352"/>
      <c r="AG4131" s="352"/>
      <c r="AH4131" s="352"/>
      <c r="AI4131" s="352"/>
      <c r="AJ4131" s="352"/>
    </row>
    <row r="4132" spans="2:36">
      <c r="B4132" s="352"/>
      <c r="C4132" s="352"/>
      <c r="D4132" s="352"/>
      <c r="E4132" s="352"/>
      <c r="F4132" s="352"/>
      <c r="H4132" s="352"/>
      <c r="J4132" s="352"/>
      <c r="L4132" s="352"/>
      <c r="M4132" s="352"/>
      <c r="N4132" s="352"/>
      <c r="O4132" s="352"/>
      <c r="P4132" s="352"/>
      <c r="Q4132" s="352"/>
      <c r="R4132" s="352"/>
      <c r="S4132" s="352"/>
      <c r="T4132" s="352"/>
      <c r="U4132" s="352"/>
      <c r="V4132" s="352"/>
      <c r="W4132" s="352"/>
      <c r="X4132" s="352"/>
      <c r="Y4132" s="352"/>
      <c r="Z4132" s="352"/>
      <c r="AA4132" s="352"/>
      <c r="AB4132" s="352"/>
      <c r="AC4132" s="352"/>
      <c r="AD4132" s="352"/>
      <c r="AE4132" s="352"/>
      <c r="AF4132" s="352"/>
      <c r="AG4132" s="352"/>
      <c r="AH4132" s="352"/>
      <c r="AI4132" s="352"/>
      <c r="AJ4132" s="352"/>
    </row>
    <row r="4133" spans="2:36">
      <c r="B4133" s="352"/>
      <c r="C4133" s="352"/>
      <c r="D4133" s="352"/>
      <c r="E4133" s="352"/>
      <c r="F4133" s="352"/>
      <c r="H4133" s="352"/>
      <c r="J4133" s="352"/>
      <c r="L4133" s="352"/>
      <c r="M4133" s="352"/>
      <c r="N4133" s="352"/>
      <c r="O4133" s="352"/>
      <c r="P4133" s="352"/>
      <c r="Q4133" s="352"/>
      <c r="R4133" s="352"/>
      <c r="S4133" s="352"/>
      <c r="T4133" s="352"/>
      <c r="U4133" s="352"/>
      <c r="V4133" s="352"/>
      <c r="W4133" s="352"/>
      <c r="X4133" s="352"/>
      <c r="Y4133" s="352"/>
      <c r="Z4133" s="352"/>
      <c r="AA4133" s="352"/>
      <c r="AB4133" s="352"/>
      <c r="AC4133" s="352"/>
      <c r="AD4133" s="352"/>
      <c r="AE4133" s="352"/>
      <c r="AF4133" s="352"/>
      <c r="AG4133" s="352"/>
      <c r="AH4133" s="352"/>
      <c r="AI4133" s="352"/>
      <c r="AJ4133" s="352"/>
    </row>
    <row r="4134" spans="2:36">
      <c r="B4134" s="352"/>
      <c r="C4134" s="352"/>
      <c r="D4134" s="352"/>
      <c r="E4134" s="352"/>
      <c r="F4134" s="352"/>
      <c r="H4134" s="352"/>
      <c r="J4134" s="352"/>
      <c r="L4134" s="352"/>
      <c r="M4134" s="352"/>
      <c r="N4134" s="352"/>
      <c r="O4134" s="352"/>
      <c r="P4134" s="352"/>
      <c r="Q4134" s="352"/>
      <c r="R4134" s="352"/>
      <c r="S4134" s="352"/>
      <c r="T4134" s="352"/>
      <c r="U4134" s="352"/>
      <c r="V4134" s="352"/>
      <c r="W4134" s="352"/>
      <c r="X4134" s="352"/>
      <c r="Y4134" s="352"/>
      <c r="Z4134" s="352"/>
      <c r="AA4134" s="352"/>
      <c r="AB4134" s="352"/>
      <c r="AC4134" s="352"/>
      <c r="AD4134" s="352"/>
      <c r="AE4134" s="352"/>
      <c r="AF4134" s="352"/>
      <c r="AG4134" s="352"/>
      <c r="AH4134" s="352"/>
      <c r="AI4134" s="352"/>
      <c r="AJ4134" s="352"/>
    </row>
    <row r="4135" spans="2:36">
      <c r="B4135" s="352"/>
      <c r="C4135" s="352"/>
      <c r="D4135" s="352"/>
      <c r="E4135" s="352"/>
      <c r="F4135" s="352"/>
      <c r="H4135" s="352"/>
      <c r="J4135" s="352"/>
      <c r="L4135" s="352"/>
      <c r="M4135" s="352"/>
      <c r="N4135" s="352"/>
      <c r="O4135" s="352"/>
      <c r="P4135" s="352"/>
      <c r="Q4135" s="352"/>
      <c r="R4135" s="352"/>
      <c r="S4135" s="352"/>
      <c r="T4135" s="352"/>
      <c r="U4135" s="352"/>
      <c r="V4135" s="352"/>
      <c r="W4135" s="352"/>
      <c r="X4135" s="352"/>
      <c r="Y4135" s="352"/>
      <c r="Z4135" s="352"/>
      <c r="AA4135" s="352"/>
      <c r="AB4135" s="352"/>
      <c r="AC4135" s="352"/>
      <c r="AD4135" s="352"/>
      <c r="AE4135" s="352"/>
      <c r="AF4135" s="352"/>
      <c r="AG4135" s="352"/>
      <c r="AH4135" s="352"/>
      <c r="AI4135" s="352"/>
      <c r="AJ4135" s="352"/>
    </row>
    <row r="4136" spans="2:36">
      <c r="B4136" s="352"/>
      <c r="C4136" s="352"/>
      <c r="D4136" s="352"/>
      <c r="E4136" s="352"/>
      <c r="F4136" s="352"/>
      <c r="H4136" s="352"/>
      <c r="J4136" s="352"/>
      <c r="L4136" s="352"/>
      <c r="M4136" s="352"/>
      <c r="N4136" s="352"/>
      <c r="O4136" s="352"/>
      <c r="P4136" s="352"/>
      <c r="Q4136" s="352"/>
      <c r="R4136" s="352"/>
      <c r="S4136" s="352"/>
      <c r="T4136" s="352"/>
      <c r="U4136" s="352"/>
      <c r="V4136" s="352"/>
      <c r="W4136" s="352"/>
      <c r="X4136" s="352"/>
      <c r="Y4136" s="352"/>
      <c r="Z4136" s="352"/>
      <c r="AA4136" s="352"/>
      <c r="AB4136" s="352"/>
      <c r="AC4136" s="352"/>
      <c r="AD4136" s="352"/>
      <c r="AE4136" s="352"/>
      <c r="AF4136" s="352"/>
      <c r="AG4136" s="352"/>
      <c r="AH4136" s="352"/>
      <c r="AI4136" s="352"/>
      <c r="AJ4136" s="352"/>
    </row>
    <row r="4137" spans="2:36">
      <c r="B4137" s="352"/>
      <c r="C4137" s="352"/>
      <c r="D4137" s="352"/>
      <c r="E4137" s="352"/>
      <c r="F4137" s="352"/>
      <c r="H4137" s="352"/>
      <c r="J4137" s="352"/>
      <c r="L4137" s="352"/>
      <c r="M4137" s="352"/>
      <c r="N4137" s="352"/>
      <c r="O4137" s="352"/>
      <c r="P4137" s="352"/>
      <c r="Q4137" s="352"/>
      <c r="R4137" s="352"/>
      <c r="S4137" s="352"/>
      <c r="T4137" s="352"/>
      <c r="U4137" s="352"/>
      <c r="V4137" s="352"/>
      <c r="W4137" s="352"/>
      <c r="X4137" s="352"/>
      <c r="Y4137" s="352"/>
      <c r="Z4137" s="352"/>
      <c r="AA4137" s="352"/>
      <c r="AB4137" s="352"/>
      <c r="AC4137" s="352"/>
      <c r="AD4137" s="352"/>
      <c r="AE4137" s="352"/>
      <c r="AF4137" s="352"/>
      <c r="AG4137" s="352"/>
      <c r="AH4137" s="352"/>
      <c r="AI4137" s="352"/>
      <c r="AJ4137" s="352"/>
    </row>
    <row r="4138" spans="2:36">
      <c r="B4138" s="352"/>
      <c r="C4138" s="352"/>
      <c r="D4138" s="352"/>
      <c r="E4138" s="352"/>
      <c r="F4138" s="352"/>
      <c r="H4138" s="352"/>
      <c r="J4138" s="352"/>
      <c r="L4138" s="352"/>
      <c r="M4138" s="352"/>
      <c r="N4138" s="352"/>
      <c r="O4138" s="352"/>
      <c r="P4138" s="352"/>
      <c r="Q4138" s="352"/>
      <c r="R4138" s="352"/>
      <c r="S4138" s="352"/>
      <c r="T4138" s="352"/>
      <c r="U4138" s="352"/>
      <c r="V4138" s="352"/>
      <c r="W4138" s="352"/>
      <c r="X4138" s="352"/>
      <c r="Y4138" s="352"/>
      <c r="Z4138" s="352"/>
      <c r="AA4138" s="352"/>
      <c r="AB4138" s="352"/>
      <c r="AC4138" s="352"/>
      <c r="AD4138" s="352"/>
      <c r="AE4138" s="352"/>
      <c r="AF4138" s="352"/>
      <c r="AG4138" s="352"/>
      <c r="AH4138" s="352"/>
      <c r="AI4138" s="352"/>
      <c r="AJ4138" s="352"/>
    </row>
    <row r="4139" spans="2:36">
      <c r="B4139" s="352"/>
      <c r="C4139" s="352"/>
      <c r="D4139" s="352"/>
      <c r="E4139" s="352"/>
      <c r="F4139" s="352"/>
      <c r="H4139" s="352"/>
      <c r="J4139" s="352"/>
      <c r="L4139" s="352"/>
      <c r="M4139" s="352"/>
      <c r="N4139" s="352"/>
      <c r="O4139" s="352"/>
      <c r="P4139" s="352"/>
      <c r="Q4139" s="352"/>
      <c r="R4139" s="352"/>
      <c r="S4139" s="352"/>
      <c r="T4139" s="352"/>
      <c r="U4139" s="352"/>
      <c r="V4139" s="352"/>
      <c r="W4139" s="352"/>
      <c r="X4139" s="352"/>
      <c r="Y4139" s="352"/>
      <c r="Z4139" s="352"/>
      <c r="AA4139" s="352"/>
      <c r="AB4139" s="352"/>
      <c r="AC4139" s="352"/>
      <c r="AD4139" s="352"/>
      <c r="AE4139" s="352"/>
      <c r="AF4139" s="352"/>
      <c r="AG4139" s="352"/>
      <c r="AH4139" s="352"/>
      <c r="AI4139" s="352"/>
      <c r="AJ4139" s="352"/>
    </row>
    <row r="4140" spans="2:36">
      <c r="B4140" s="352"/>
      <c r="C4140" s="352"/>
      <c r="D4140" s="352"/>
      <c r="E4140" s="352"/>
      <c r="F4140" s="352"/>
      <c r="H4140" s="352"/>
      <c r="J4140" s="352"/>
      <c r="L4140" s="352"/>
      <c r="M4140" s="352"/>
      <c r="N4140" s="352"/>
      <c r="O4140" s="352"/>
      <c r="P4140" s="352"/>
      <c r="Q4140" s="352"/>
      <c r="R4140" s="352"/>
      <c r="S4140" s="352"/>
      <c r="T4140" s="352"/>
      <c r="U4140" s="352"/>
      <c r="V4140" s="352"/>
      <c r="W4140" s="352"/>
      <c r="X4140" s="352"/>
      <c r="Y4140" s="352"/>
      <c r="Z4140" s="352"/>
      <c r="AA4140" s="352"/>
      <c r="AB4140" s="352"/>
      <c r="AC4140" s="352"/>
      <c r="AD4140" s="352"/>
      <c r="AE4140" s="352"/>
      <c r="AF4140" s="352"/>
      <c r="AG4140" s="352"/>
      <c r="AH4140" s="352"/>
      <c r="AI4140" s="352"/>
      <c r="AJ4140" s="352"/>
    </row>
    <row r="4141" spans="2:36">
      <c r="B4141" s="352"/>
      <c r="C4141" s="352"/>
      <c r="D4141" s="352"/>
      <c r="E4141" s="352"/>
      <c r="F4141" s="352"/>
      <c r="H4141" s="352"/>
      <c r="J4141" s="352"/>
      <c r="L4141" s="352"/>
      <c r="M4141" s="352"/>
      <c r="N4141" s="352"/>
      <c r="O4141" s="352"/>
      <c r="P4141" s="352"/>
      <c r="Q4141" s="352"/>
      <c r="R4141" s="352"/>
      <c r="S4141" s="352"/>
      <c r="T4141" s="352"/>
      <c r="U4141" s="352"/>
      <c r="V4141" s="352"/>
      <c r="W4141" s="352"/>
      <c r="X4141" s="352"/>
      <c r="Y4141" s="352"/>
      <c r="Z4141" s="352"/>
      <c r="AA4141" s="352"/>
      <c r="AB4141" s="352"/>
      <c r="AC4141" s="352"/>
      <c r="AD4141" s="352"/>
      <c r="AE4141" s="352"/>
      <c r="AF4141" s="352"/>
      <c r="AG4141" s="352"/>
      <c r="AH4141" s="352"/>
      <c r="AI4141" s="352"/>
      <c r="AJ4141" s="352"/>
    </row>
    <row r="4142" spans="2:36">
      <c r="B4142" s="352"/>
      <c r="C4142" s="352"/>
      <c r="D4142" s="352"/>
      <c r="E4142" s="352"/>
      <c r="F4142" s="352"/>
      <c r="H4142" s="352"/>
      <c r="J4142" s="352"/>
      <c r="L4142" s="352"/>
      <c r="M4142" s="352"/>
      <c r="N4142" s="352"/>
      <c r="O4142" s="352"/>
      <c r="P4142" s="352"/>
      <c r="Q4142" s="352"/>
      <c r="R4142" s="352"/>
      <c r="S4142" s="352"/>
      <c r="T4142" s="352"/>
      <c r="U4142" s="352"/>
      <c r="V4142" s="352"/>
      <c r="W4142" s="352"/>
      <c r="X4142" s="352"/>
      <c r="Y4142" s="352"/>
      <c r="Z4142" s="352"/>
      <c r="AA4142" s="352"/>
      <c r="AB4142" s="352"/>
      <c r="AC4142" s="352"/>
      <c r="AD4142" s="352"/>
      <c r="AE4142" s="352"/>
      <c r="AF4142" s="352"/>
      <c r="AG4142" s="352"/>
      <c r="AH4142" s="352"/>
      <c r="AI4142" s="352"/>
      <c r="AJ4142" s="352"/>
    </row>
    <row r="4143" spans="2:36">
      <c r="B4143" s="352"/>
      <c r="C4143" s="352"/>
      <c r="D4143" s="352"/>
      <c r="E4143" s="352"/>
      <c r="F4143" s="352"/>
      <c r="H4143" s="352"/>
      <c r="J4143" s="352"/>
      <c r="L4143" s="352"/>
      <c r="M4143" s="352"/>
      <c r="N4143" s="352"/>
      <c r="O4143" s="352"/>
      <c r="P4143" s="352"/>
      <c r="Q4143" s="352"/>
      <c r="R4143" s="352"/>
      <c r="S4143" s="352"/>
      <c r="T4143" s="352"/>
      <c r="U4143" s="352"/>
      <c r="V4143" s="352"/>
      <c r="W4143" s="352"/>
      <c r="X4143" s="352"/>
      <c r="Y4143" s="352"/>
      <c r="Z4143" s="352"/>
      <c r="AA4143" s="352"/>
      <c r="AB4143" s="352"/>
      <c r="AC4143" s="352"/>
      <c r="AD4143" s="352"/>
      <c r="AE4143" s="352"/>
      <c r="AF4143" s="352"/>
      <c r="AG4143" s="352"/>
      <c r="AH4143" s="352"/>
      <c r="AI4143" s="352"/>
      <c r="AJ4143" s="352"/>
    </row>
    <row r="4144" spans="2:36">
      <c r="B4144" s="352"/>
      <c r="C4144" s="352"/>
      <c r="D4144" s="352"/>
      <c r="E4144" s="352"/>
      <c r="F4144" s="352"/>
      <c r="H4144" s="352"/>
      <c r="J4144" s="352"/>
      <c r="L4144" s="352"/>
      <c r="M4144" s="352"/>
      <c r="N4144" s="352"/>
      <c r="O4144" s="352"/>
      <c r="P4144" s="352"/>
      <c r="Q4144" s="352"/>
      <c r="R4144" s="352"/>
      <c r="S4144" s="352"/>
      <c r="T4144" s="352"/>
      <c r="U4144" s="352"/>
      <c r="V4144" s="352"/>
      <c r="W4144" s="352"/>
      <c r="X4144" s="352"/>
      <c r="Y4144" s="352"/>
      <c r="Z4144" s="352"/>
      <c r="AA4144" s="352"/>
      <c r="AB4144" s="352"/>
      <c r="AC4144" s="352"/>
      <c r="AD4144" s="352"/>
      <c r="AE4144" s="352"/>
      <c r="AF4144" s="352"/>
      <c r="AG4144" s="352"/>
      <c r="AH4144" s="352"/>
      <c r="AI4144" s="352"/>
      <c r="AJ4144" s="352"/>
    </row>
    <row r="4145" spans="2:36">
      <c r="B4145" s="352"/>
      <c r="C4145" s="352"/>
      <c r="D4145" s="352"/>
      <c r="E4145" s="352"/>
      <c r="F4145" s="352"/>
      <c r="H4145" s="352"/>
      <c r="J4145" s="352"/>
      <c r="L4145" s="352"/>
      <c r="M4145" s="352"/>
      <c r="N4145" s="352"/>
      <c r="O4145" s="352"/>
      <c r="P4145" s="352"/>
      <c r="Q4145" s="352"/>
      <c r="R4145" s="352"/>
      <c r="S4145" s="352"/>
      <c r="T4145" s="352"/>
      <c r="U4145" s="352"/>
      <c r="V4145" s="352"/>
      <c r="W4145" s="352"/>
      <c r="X4145" s="352"/>
      <c r="Y4145" s="352"/>
      <c r="Z4145" s="352"/>
      <c r="AA4145" s="352"/>
      <c r="AB4145" s="352"/>
      <c r="AC4145" s="352"/>
      <c r="AD4145" s="352"/>
      <c r="AE4145" s="352"/>
      <c r="AF4145" s="352"/>
      <c r="AG4145" s="352"/>
      <c r="AH4145" s="352"/>
      <c r="AI4145" s="352"/>
      <c r="AJ4145" s="352"/>
    </row>
    <row r="4146" spans="2:36">
      <c r="B4146" s="352"/>
      <c r="C4146" s="352"/>
      <c r="D4146" s="352"/>
      <c r="E4146" s="352"/>
      <c r="F4146" s="352"/>
      <c r="H4146" s="352"/>
      <c r="J4146" s="352"/>
      <c r="L4146" s="352"/>
      <c r="M4146" s="352"/>
      <c r="N4146" s="352"/>
      <c r="O4146" s="352"/>
      <c r="P4146" s="352"/>
      <c r="Q4146" s="352"/>
      <c r="R4146" s="352"/>
      <c r="S4146" s="352"/>
      <c r="T4146" s="352"/>
      <c r="U4146" s="352"/>
      <c r="V4146" s="352"/>
      <c r="W4146" s="352"/>
      <c r="X4146" s="352"/>
      <c r="Y4146" s="352"/>
      <c r="Z4146" s="352"/>
      <c r="AA4146" s="352"/>
      <c r="AB4146" s="352"/>
      <c r="AC4146" s="352"/>
      <c r="AD4146" s="352"/>
      <c r="AE4146" s="352"/>
      <c r="AF4146" s="352"/>
      <c r="AG4146" s="352"/>
      <c r="AH4146" s="352"/>
      <c r="AI4146" s="352"/>
      <c r="AJ4146" s="352"/>
    </row>
    <row r="4147" spans="2:36">
      <c r="B4147" s="352"/>
      <c r="C4147" s="352"/>
      <c r="D4147" s="352"/>
      <c r="E4147" s="352"/>
      <c r="F4147" s="352"/>
      <c r="H4147" s="352"/>
      <c r="J4147" s="352"/>
      <c r="L4147" s="352"/>
      <c r="M4147" s="352"/>
      <c r="N4147" s="352"/>
      <c r="O4147" s="352"/>
      <c r="P4147" s="352"/>
      <c r="Q4147" s="352"/>
      <c r="R4147" s="352"/>
      <c r="S4147" s="352"/>
      <c r="T4147" s="352"/>
      <c r="U4147" s="352"/>
      <c r="V4147" s="352"/>
      <c r="W4147" s="352"/>
      <c r="X4147" s="352"/>
      <c r="Y4147" s="352"/>
      <c r="Z4147" s="352"/>
      <c r="AA4147" s="352"/>
      <c r="AB4147" s="352"/>
      <c r="AC4147" s="352"/>
      <c r="AD4147" s="352"/>
      <c r="AE4147" s="352"/>
      <c r="AF4147" s="352"/>
      <c r="AG4147" s="352"/>
      <c r="AH4147" s="352"/>
      <c r="AI4147" s="352"/>
      <c r="AJ4147" s="352"/>
    </row>
    <row r="4148" spans="2:36">
      <c r="B4148" s="352"/>
      <c r="C4148" s="352"/>
      <c r="D4148" s="352"/>
      <c r="E4148" s="352"/>
      <c r="F4148" s="352"/>
      <c r="H4148" s="352"/>
      <c r="J4148" s="352"/>
      <c r="L4148" s="352"/>
      <c r="M4148" s="352"/>
      <c r="N4148" s="352"/>
      <c r="O4148" s="352"/>
      <c r="P4148" s="352"/>
      <c r="Q4148" s="352"/>
      <c r="R4148" s="352"/>
      <c r="S4148" s="352"/>
      <c r="T4148" s="352"/>
      <c r="U4148" s="352"/>
      <c r="V4148" s="352"/>
      <c r="W4148" s="352"/>
      <c r="X4148" s="352"/>
      <c r="Y4148" s="352"/>
      <c r="Z4148" s="352"/>
      <c r="AA4148" s="352"/>
      <c r="AB4148" s="352"/>
      <c r="AC4148" s="352"/>
      <c r="AD4148" s="352"/>
      <c r="AE4148" s="352"/>
      <c r="AF4148" s="352"/>
      <c r="AG4148" s="352"/>
      <c r="AH4148" s="352"/>
      <c r="AI4148" s="352"/>
      <c r="AJ4148" s="352"/>
    </row>
    <row r="4149" spans="2:36">
      <c r="B4149" s="352"/>
      <c r="C4149" s="352"/>
      <c r="D4149" s="352"/>
      <c r="E4149" s="352"/>
      <c r="F4149" s="352"/>
      <c r="H4149" s="352"/>
      <c r="J4149" s="352"/>
      <c r="L4149" s="352"/>
      <c r="M4149" s="352"/>
      <c r="N4149" s="352"/>
      <c r="O4149" s="352"/>
      <c r="P4149" s="352"/>
      <c r="Q4149" s="352"/>
      <c r="R4149" s="352"/>
      <c r="S4149" s="352"/>
      <c r="T4149" s="352"/>
      <c r="U4149" s="352"/>
      <c r="V4149" s="352"/>
      <c r="W4149" s="352"/>
      <c r="X4149" s="352"/>
      <c r="Y4149" s="352"/>
      <c r="Z4149" s="352"/>
      <c r="AA4149" s="352"/>
      <c r="AB4149" s="352"/>
      <c r="AC4149" s="352"/>
      <c r="AD4149" s="352"/>
      <c r="AE4149" s="352"/>
      <c r="AF4149" s="352"/>
      <c r="AG4149" s="352"/>
      <c r="AH4149" s="352"/>
      <c r="AI4149" s="352"/>
      <c r="AJ4149" s="352"/>
    </row>
    <row r="4150" spans="2:36">
      <c r="B4150" s="352"/>
      <c r="C4150" s="352"/>
      <c r="D4150" s="352"/>
      <c r="E4150" s="352"/>
      <c r="F4150" s="352"/>
      <c r="H4150" s="352"/>
      <c r="J4150" s="352"/>
      <c r="L4150" s="352"/>
      <c r="M4150" s="352"/>
      <c r="N4150" s="352"/>
      <c r="O4150" s="352"/>
      <c r="P4150" s="352"/>
      <c r="Q4150" s="352"/>
      <c r="R4150" s="352"/>
      <c r="S4150" s="352"/>
      <c r="T4150" s="352"/>
      <c r="U4150" s="352"/>
      <c r="V4150" s="352"/>
      <c r="W4150" s="352"/>
      <c r="X4150" s="352"/>
      <c r="Y4150" s="352"/>
      <c r="Z4150" s="352"/>
      <c r="AA4150" s="352"/>
      <c r="AB4150" s="352"/>
      <c r="AC4150" s="352"/>
      <c r="AD4150" s="352"/>
      <c r="AE4150" s="352"/>
      <c r="AF4150" s="352"/>
      <c r="AG4150" s="352"/>
      <c r="AH4150" s="352"/>
      <c r="AI4150" s="352"/>
      <c r="AJ4150" s="352"/>
    </row>
    <row r="4151" spans="2:36">
      <c r="B4151" s="352"/>
      <c r="C4151" s="352"/>
      <c r="D4151" s="352"/>
      <c r="E4151" s="352"/>
      <c r="F4151" s="352"/>
      <c r="H4151" s="352"/>
      <c r="J4151" s="352"/>
      <c r="L4151" s="352"/>
      <c r="M4151" s="352"/>
      <c r="N4151" s="352"/>
      <c r="O4151" s="352"/>
      <c r="P4151" s="352"/>
      <c r="Q4151" s="352"/>
      <c r="R4151" s="352"/>
      <c r="S4151" s="352"/>
      <c r="T4151" s="352"/>
      <c r="U4151" s="352"/>
      <c r="V4151" s="352"/>
      <c r="W4151" s="352"/>
      <c r="X4151" s="352"/>
      <c r="Y4151" s="352"/>
      <c r="Z4151" s="352"/>
      <c r="AA4151" s="352"/>
      <c r="AB4151" s="352"/>
      <c r="AC4151" s="352"/>
      <c r="AD4151" s="352"/>
      <c r="AE4151" s="352"/>
      <c r="AF4151" s="352"/>
      <c r="AG4151" s="352"/>
      <c r="AH4151" s="352"/>
      <c r="AI4151" s="352"/>
      <c r="AJ4151" s="352"/>
    </row>
    <row r="4152" spans="2:36">
      <c r="B4152" s="352"/>
      <c r="C4152" s="352"/>
      <c r="D4152" s="352"/>
      <c r="E4152" s="352"/>
      <c r="F4152" s="352"/>
      <c r="H4152" s="352"/>
      <c r="J4152" s="352"/>
      <c r="L4152" s="352"/>
      <c r="M4152" s="352"/>
      <c r="N4152" s="352"/>
      <c r="O4152" s="352"/>
      <c r="P4152" s="352"/>
      <c r="Q4152" s="352"/>
      <c r="R4152" s="352"/>
      <c r="S4152" s="352"/>
      <c r="T4152" s="352"/>
      <c r="U4152" s="352"/>
      <c r="V4152" s="352"/>
      <c r="W4152" s="352"/>
      <c r="X4152" s="352"/>
      <c r="Y4152" s="352"/>
      <c r="Z4152" s="352"/>
      <c r="AA4152" s="352"/>
      <c r="AB4152" s="352"/>
      <c r="AC4152" s="352"/>
      <c r="AD4152" s="352"/>
      <c r="AE4152" s="352"/>
      <c r="AF4152" s="352"/>
      <c r="AG4152" s="352"/>
      <c r="AH4152" s="352"/>
      <c r="AI4152" s="352"/>
      <c r="AJ4152" s="352"/>
    </row>
    <row r="4153" spans="2:36">
      <c r="B4153" s="352"/>
      <c r="C4153" s="352"/>
      <c r="D4153" s="352"/>
      <c r="E4153" s="352"/>
      <c r="F4153" s="352"/>
      <c r="H4153" s="352"/>
      <c r="J4153" s="352"/>
      <c r="L4153" s="352"/>
      <c r="M4153" s="352"/>
      <c r="N4153" s="352"/>
      <c r="O4153" s="352"/>
      <c r="P4153" s="352"/>
      <c r="Q4153" s="352"/>
      <c r="R4153" s="352"/>
      <c r="S4153" s="352"/>
      <c r="T4153" s="352"/>
      <c r="U4153" s="352"/>
      <c r="V4153" s="352"/>
      <c r="W4153" s="352"/>
      <c r="X4153" s="352"/>
      <c r="Y4153" s="352"/>
      <c r="Z4153" s="352"/>
      <c r="AA4153" s="352"/>
      <c r="AB4153" s="352"/>
      <c r="AC4153" s="352"/>
      <c r="AD4153" s="352"/>
      <c r="AE4153" s="352"/>
      <c r="AF4153" s="352"/>
      <c r="AG4153" s="352"/>
      <c r="AH4153" s="352"/>
      <c r="AI4153" s="352"/>
      <c r="AJ4153" s="352"/>
    </row>
    <row r="4154" spans="2:36">
      <c r="B4154" s="352"/>
      <c r="C4154" s="352"/>
      <c r="D4154" s="352"/>
      <c r="E4154" s="352"/>
      <c r="F4154" s="352"/>
      <c r="H4154" s="352"/>
      <c r="J4154" s="352"/>
      <c r="L4154" s="352"/>
      <c r="M4154" s="352"/>
      <c r="N4154" s="352"/>
      <c r="O4154" s="352"/>
      <c r="P4154" s="352"/>
      <c r="Q4154" s="352"/>
      <c r="R4154" s="352"/>
      <c r="S4154" s="352"/>
      <c r="T4154" s="352"/>
      <c r="U4154" s="352"/>
      <c r="V4154" s="352"/>
      <c r="W4154" s="352"/>
      <c r="X4154" s="352"/>
      <c r="Y4154" s="352"/>
      <c r="Z4154" s="352"/>
      <c r="AA4154" s="352"/>
      <c r="AB4154" s="352"/>
      <c r="AC4154" s="352"/>
      <c r="AD4154" s="352"/>
      <c r="AE4154" s="352"/>
      <c r="AF4154" s="352"/>
      <c r="AG4154" s="352"/>
      <c r="AH4154" s="352"/>
      <c r="AI4154" s="352"/>
      <c r="AJ4154" s="352"/>
    </row>
    <row r="4155" spans="2:36">
      <c r="B4155" s="352"/>
      <c r="C4155" s="352"/>
      <c r="D4155" s="352"/>
      <c r="E4155" s="352"/>
      <c r="F4155" s="352"/>
      <c r="H4155" s="352"/>
      <c r="J4155" s="352"/>
      <c r="L4155" s="352"/>
      <c r="M4155" s="352"/>
      <c r="N4155" s="352"/>
      <c r="O4155" s="352"/>
      <c r="P4155" s="352"/>
      <c r="Q4155" s="352"/>
      <c r="R4155" s="352"/>
      <c r="S4155" s="352"/>
      <c r="T4155" s="352"/>
      <c r="U4155" s="352"/>
      <c r="V4155" s="352"/>
      <c r="W4155" s="352"/>
      <c r="X4155" s="352"/>
      <c r="Y4155" s="352"/>
      <c r="Z4155" s="352"/>
      <c r="AA4155" s="352"/>
      <c r="AB4155" s="352"/>
      <c r="AC4155" s="352"/>
      <c r="AD4155" s="352"/>
      <c r="AE4155" s="352"/>
      <c r="AF4155" s="352"/>
      <c r="AG4155" s="352"/>
      <c r="AH4155" s="352"/>
      <c r="AI4155" s="352"/>
      <c r="AJ4155" s="352"/>
    </row>
    <row r="4156" spans="2:36">
      <c r="B4156" s="352"/>
      <c r="C4156" s="352"/>
      <c r="D4156" s="352"/>
      <c r="E4156" s="352"/>
      <c r="F4156" s="352"/>
      <c r="H4156" s="352"/>
      <c r="J4156" s="352"/>
      <c r="L4156" s="352"/>
      <c r="M4156" s="352"/>
      <c r="N4156" s="352"/>
      <c r="O4156" s="352"/>
      <c r="P4156" s="352"/>
      <c r="Q4156" s="352"/>
      <c r="R4156" s="352"/>
      <c r="S4156" s="352"/>
      <c r="T4156" s="352"/>
      <c r="U4156" s="352"/>
      <c r="V4156" s="352"/>
      <c r="W4156" s="352"/>
      <c r="X4156" s="352"/>
      <c r="Y4156" s="352"/>
      <c r="Z4156" s="352"/>
      <c r="AA4156" s="352"/>
      <c r="AB4156" s="352"/>
      <c r="AC4156" s="352"/>
      <c r="AD4156" s="352"/>
      <c r="AE4156" s="352"/>
      <c r="AF4156" s="352"/>
      <c r="AG4156" s="352"/>
      <c r="AH4156" s="352"/>
      <c r="AI4156" s="352"/>
      <c r="AJ4156" s="352"/>
    </row>
    <row r="4157" spans="2:36">
      <c r="B4157" s="352"/>
      <c r="C4157" s="352"/>
      <c r="D4157" s="352"/>
      <c r="E4157" s="352"/>
      <c r="F4157" s="352"/>
      <c r="H4157" s="352"/>
      <c r="J4157" s="352"/>
      <c r="L4157" s="352"/>
      <c r="M4157" s="352"/>
      <c r="N4157" s="352"/>
      <c r="O4157" s="352"/>
      <c r="P4157" s="352"/>
      <c r="Q4157" s="352"/>
      <c r="R4157" s="352"/>
      <c r="S4157" s="352"/>
      <c r="T4157" s="352"/>
      <c r="U4157" s="352"/>
      <c r="V4157" s="352"/>
      <c r="W4157" s="352"/>
      <c r="X4157" s="352"/>
      <c r="Y4157" s="352"/>
      <c r="Z4157" s="352"/>
      <c r="AA4157" s="352"/>
      <c r="AB4157" s="352"/>
      <c r="AC4157" s="352"/>
      <c r="AD4157" s="352"/>
      <c r="AE4157" s="352"/>
      <c r="AF4157" s="352"/>
      <c r="AG4157" s="352"/>
      <c r="AH4157" s="352"/>
      <c r="AI4157" s="352"/>
      <c r="AJ4157" s="352"/>
    </row>
    <row r="4158" spans="2:36">
      <c r="B4158" s="352"/>
      <c r="C4158" s="352"/>
      <c r="D4158" s="352"/>
      <c r="E4158" s="352"/>
      <c r="F4158" s="352"/>
      <c r="H4158" s="352"/>
      <c r="J4158" s="352"/>
      <c r="L4158" s="352"/>
      <c r="M4158" s="352"/>
      <c r="N4158" s="352"/>
      <c r="O4158" s="352"/>
      <c r="P4158" s="352"/>
      <c r="Q4158" s="352"/>
      <c r="R4158" s="352"/>
      <c r="S4158" s="352"/>
      <c r="T4158" s="352"/>
      <c r="U4158" s="352"/>
      <c r="V4158" s="352"/>
      <c r="W4158" s="352"/>
      <c r="X4158" s="352"/>
      <c r="Y4158" s="352"/>
      <c r="Z4158" s="352"/>
      <c r="AA4158" s="352"/>
      <c r="AB4158" s="352"/>
      <c r="AC4158" s="352"/>
      <c r="AD4158" s="352"/>
      <c r="AE4158" s="352"/>
      <c r="AF4158" s="352"/>
      <c r="AG4158" s="352"/>
      <c r="AH4158" s="352"/>
      <c r="AI4158" s="352"/>
      <c r="AJ4158" s="352"/>
    </row>
    <row r="4159" spans="2:36">
      <c r="B4159" s="352"/>
      <c r="C4159" s="352"/>
      <c r="D4159" s="352"/>
      <c r="E4159" s="352"/>
      <c r="F4159" s="352"/>
      <c r="H4159" s="352"/>
      <c r="J4159" s="352"/>
      <c r="L4159" s="352"/>
      <c r="M4159" s="352"/>
      <c r="N4159" s="352"/>
      <c r="O4159" s="352"/>
      <c r="P4159" s="352"/>
      <c r="Q4159" s="352"/>
      <c r="R4159" s="352"/>
      <c r="S4159" s="352"/>
      <c r="T4159" s="352"/>
      <c r="U4159" s="352"/>
      <c r="V4159" s="352"/>
      <c r="W4159" s="352"/>
      <c r="X4159" s="352"/>
      <c r="Y4159" s="352"/>
      <c r="Z4159" s="352"/>
      <c r="AA4159" s="352"/>
      <c r="AB4159" s="352"/>
      <c r="AC4159" s="352"/>
      <c r="AD4159" s="352"/>
      <c r="AE4159" s="352"/>
      <c r="AF4159" s="352"/>
      <c r="AG4159" s="352"/>
      <c r="AH4159" s="352"/>
      <c r="AI4159" s="352"/>
      <c r="AJ4159" s="352"/>
    </row>
    <row r="4160" spans="2:36">
      <c r="B4160" s="352"/>
      <c r="C4160" s="352"/>
      <c r="D4160" s="352"/>
      <c r="E4160" s="352"/>
      <c r="F4160" s="352"/>
      <c r="H4160" s="352"/>
      <c r="J4160" s="352"/>
      <c r="L4160" s="352"/>
      <c r="M4160" s="352"/>
      <c r="N4160" s="352"/>
      <c r="O4160" s="352"/>
      <c r="P4160" s="352"/>
      <c r="Q4160" s="352"/>
      <c r="R4160" s="352"/>
      <c r="S4160" s="352"/>
      <c r="T4160" s="352"/>
      <c r="U4160" s="352"/>
      <c r="V4160" s="352"/>
      <c r="W4160" s="352"/>
      <c r="X4160" s="352"/>
      <c r="Y4160" s="352"/>
      <c r="Z4160" s="352"/>
      <c r="AA4160" s="352"/>
      <c r="AB4160" s="352"/>
      <c r="AC4160" s="352"/>
      <c r="AD4160" s="352"/>
      <c r="AE4160" s="352"/>
      <c r="AF4160" s="352"/>
      <c r="AG4160" s="352"/>
      <c r="AH4160" s="352"/>
      <c r="AI4160" s="352"/>
      <c r="AJ4160" s="352"/>
    </row>
    <row r="4161" spans="2:36">
      <c r="B4161" s="352"/>
      <c r="C4161" s="352"/>
      <c r="D4161" s="352"/>
      <c r="E4161" s="352"/>
      <c r="F4161" s="352"/>
      <c r="H4161" s="352"/>
      <c r="J4161" s="352"/>
      <c r="L4161" s="352"/>
      <c r="M4161" s="352"/>
      <c r="N4161" s="352"/>
      <c r="O4161" s="352"/>
      <c r="P4161" s="352"/>
      <c r="Q4161" s="352"/>
      <c r="R4161" s="352"/>
      <c r="S4161" s="352"/>
      <c r="T4161" s="352"/>
      <c r="U4161" s="352"/>
      <c r="V4161" s="352"/>
      <c r="W4161" s="352"/>
      <c r="X4161" s="352"/>
      <c r="Y4161" s="352"/>
      <c r="Z4161" s="352"/>
      <c r="AA4161" s="352"/>
      <c r="AB4161" s="352"/>
      <c r="AC4161" s="352"/>
      <c r="AD4161" s="352"/>
      <c r="AE4161" s="352"/>
      <c r="AF4161" s="352"/>
      <c r="AG4161" s="352"/>
      <c r="AH4161" s="352"/>
      <c r="AI4161" s="352"/>
      <c r="AJ4161" s="352"/>
    </row>
    <row r="4162" spans="2:36">
      <c r="B4162" s="352"/>
      <c r="C4162" s="352"/>
      <c r="D4162" s="352"/>
      <c r="E4162" s="352"/>
      <c r="F4162" s="352"/>
      <c r="H4162" s="352"/>
      <c r="J4162" s="352"/>
      <c r="L4162" s="352"/>
      <c r="M4162" s="352"/>
      <c r="N4162" s="352"/>
      <c r="O4162" s="352"/>
      <c r="P4162" s="352"/>
      <c r="Q4162" s="352"/>
      <c r="R4162" s="352"/>
      <c r="S4162" s="352"/>
      <c r="T4162" s="352"/>
      <c r="U4162" s="352"/>
      <c r="V4162" s="352"/>
      <c r="W4162" s="352"/>
      <c r="X4162" s="352"/>
      <c r="Y4162" s="352"/>
      <c r="Z4162" s="352"/>
      <c r="AA4162" s="352"/>
      <c r="AB4162" s="352"/>
      <c r="AC4162" s="352"/>
      <c r="AD4162" s="352"/>
      <c r="AE4162" s="352"/>
      <c r="AF4162" s="352"/>
      <c r="AG4162" s="352"/>
      <c r="AH4162" s="352"/>
      <c r="AI4162" s="352"/>
      <c r="AJ4162" s="352"/>
    </row>
    <row r="4163" spans="2:36">
      <c r="B4163" s="352"/>
      <c r="C4163" s="352"/>
      <c r="D4163" s="352"/>
      <c r="E4163" s="352"/>
      <c r="F4163" s="352"/>
      <c r="H4163" s="352"/>
      <c r="J4163" s="352"/>
      <c r="L4163" s="352"/>
      <c r="M4163" s="352"/>
      <c r="N4163" s="352"/>
      <c r="O4163" s="352"/>
      <c r="P4163" s="352"/>
      <c r="Q4163" s="352"/>
      <c r="R4163" s="352"/>
      <c r="S4163" s="352"/>
      <c r="T4163" s="352"/>
      <c r="U4163" s="352"/>
      <c r="V4163" s="352"/>
      <c r="W4163" s="352"/>
      <c r="X4163" s="352"/>
      <c r="Y4163" s="352"/>
      <c r="Z4163" s="352"/>
      <c r="AA4163" s="352"/>
      <c r="AB4163" s="352"/>
      <c r="AC4163" s="352"/>
      <c r="AD4163" s="352"/>
      <c r="AE4163" s="352"/>
      <c r="AF4163" s="352"/>
      <c r="AG4163" s="352"/>
      <c r="AH4163" s="352"/>
      <c r="AI4163" s="352"/>
      <c r="AJ4163" s="352"/>
    </row>
    <row r="4164" spans="2:36">
      <c r="B4164" s="352"/>
      <c r="C4164" s="352"/>
      <c r="D4164" s="352"/>
      <c r="E4164" s="352"/>
      <c r="F4164" s="352"/>
      <c r="H4164" s="352"/>
      <c r="J4164" s="352"/>
      <c r="L4164" s="352"/>
      <c r="M4164" s="352"/>
      <c r="N4164" s="352"/>
      <c r="O4164" s="352"/>
      <c r="P4164" s="352"/>
      <c r="Q4164" s="352"/>
      <c r="R4164" s="352"/>
      <c r="S4164" s="352"/>
      <c r="T4164" s="352"/>
      <c r="U4164" s="352"/>
      <c r="V4164" s="352"/>
      <c r="W4164" s="352"/>
      <c r="X4164" s="352"/>
      <c r="Y4164" s="352"/>
      <c r="Z4164" s="352"/>
      <c r="AA4164" s="352"/>
      <c r="AB4164" s="352"/>
      <c r="AC4164" s="352"/>
      <c r="AD4164" s="352"/>
      <c r="AE4164" s="352"/>
      <c r="AF4164" s="352"/>
      <c r="AG4164" s="352"/>
      <c r="AH4164" s="352"/>
      <c r="AI4164" s="352"/>
      <c r="AJ4164" s="352"/>
    </row>
    <row r="4165" spans="2:36">
      <c r="B4165" s="352"/>
      <c r="C4165" s="352"/>
      <c r="D4165" s="352"/>
      <c r="E4165" s="352"/>
      <c r="F4165" s="352"/>
      <c r="H4165" s="352"/>
      <c r="J4165" s="352"/>
      <c r="L4165" s="352"/>
      <c r="M4165" s="352"/>
      <c r="N4165" s="352"/>
      <c r="O4165" s="352"/>
      <c r="P4165" s="352"/>
      <c r="Q4165" s="352"/>
      <c r="R4165" s="352"/>
      <c r="S4165" s="352"/>
      <c r="T4165" s="352"/>
      <c r="U4165" s="352"/>
      <c r="V4165" s="352"/>
      <c r="W4165" s="352"/>
      <c r="X4165" s="352"/>
      <c r="Y4165" s="352"/>
      <c r="Z4165" s="352"/>
      <c r="AA4165" s="352"/>
      <c r="AB4165" s="352"/>
      <c r="AC4165" s="352"/>
      <c r="AD4165" s="352"/>
      <c r="AE4165" s="352"/>
      <c r="AF4165" s="352"/>
      <c r="AG4165" s="352"/>
      <c r="AH4165" s="352"/>
      <c r="AI4165" s="352"/>
      <c r="AJ4165" s="352"/>
    </row>
    <row r="4166" spans="2:36">
      <c r="B4166" s="352"/>
      <c r="C4166" s="352"/>
      <c r="D4166" s="352"/>
      <c r="E4166" s="352"/>
      <c r="F4166" s="352"/>
      <c r="H4166" s="352"/>
      <c r="J4166" s="352"/>
      <c r="L4166" s="352"/>
      <c r="M4166" s="352"/>
      <c r="N4166" s="352"/>
      <c r="O4166" s="352"/>
      <c r="P4166" s="352"/>
      <c r="Q4166" s="352"/>
      <c r="R4166" s="352"/>
      <c r="S4166" s="352"/>
      <c r="T4166" s="352"/>
      <c r="U4166" s="352"/>
      <c r="V4166" s="352"/>
      <c r="W4166" s="352"/>
      <c r="X4166" s="352"/>
      <c r="Y4166" s="352"/>
      <c r="Z4166" s="352"/>
      <c r="AA4166" s="352"/>
      <c r="AB4166" s="352"/>
      <c r="AC4166" s="352"/>
      <c r="AD4166" s="352"/>
      <c r="AE4166" s="352"/>
      <c r="AF4166" s="352"/>
      <c r="AG4166" s="352"/>
      <c r="AH4166" s="352"/>
      <c r="AI4166" s="352"/>
      <c r="AJ4166" s="352"/>
    </row>
    <row r="4167" spans="2:36">
      <c r="B4167" s="352"/>
      <c r="C4167" s="352"/>
      <c r="D4167" s="352"/>
      <c r="E4167" s="352"/>
      <c r="F4167" s="352"/>
      <c r="H4167" s="352"/>
      <c r="J4167" s="352"/>
      <c r="L4167" s="352"/>
      <c r="M4167" s="352"/>
      <c r="N4167" s="352"/>
      <c r="O4167" s="352"/>
      <c r="P4167" s="352"/>
      <c r="Q4167" s="352"/>
      <c r="R4167" s="352"/>
      <c r="S4167" s="352"/>
      <c r="T4167" s="352"/>
      <c r="U4167" s="352"/>
      <c r="V4167" s="352"/>
      <c r="W4167" s="352"/>
      <c r="X4167" s="352"/>
      <c r="Y4167" s="352"/>
      <c r="Z4167" s="352"/>
      <c r="AA4167" s="352"/>
      <c r="AB4167" s="352"/>
      <c r="AC4167" s="352"/>
      <c r="AD4167" s="352"/>
      <c r="AE4167" s="352"/>
      <c r="AF4167" s="352"/>
      <c r="AG4167" s="352"/>
      <c r="AH4167" s="352"/>
      <c r="AI4167" s="352"/>
      <c r="AJ4167" s="352"/>
    </row>
    <row r="4168" spans="2:36">
      <c r="B4168" s="352"/>
      <c r="C4168" s="352"/>
      <c r="D4168" s="352"/>
      <c r="E4168" s="352"/>
      <c r="F4168" s="352"/>
      <c r="H4168" s="352"/>
      <c r="J4168" s="352"/>
      <c r="L4168" s="352"/>
      <c r="M4168" s="352"/>
      <c r="N4168" s="352"/>
      <c r="O4168" s="352"/>
      <c r="P4168" s="352"/>
      <c r="Q4168" s="352"/>
      <c r="R4168" s="352"/>
      <c r="S4168" s="352"/>
      <c r="T4168" s="352"/>
      <c r="U4168" s="352"/>
      <c r="V4168" s="352"/>
      <c r="W4168" s="352"/>
      <c r="X4168" s="352"/>
      <c r="Y4168" s="352"/>
      <c r="Z4168" s="352"/>
      <c r="AA4168" s="352"/>
      <c r="AB4168" s="352"/>
      <c r="AC4168" s="352"/>
      <c r="AD4168" s="352"/>
      <c r="AE4168" s="352"/>
      <c r="AF4168" s="352"/>
      <c r="AG4168" s="352"/>
      <c r="AH4168" s="352"/>
      <c r="AI4168" s="352"/>
      <c r="AJ4168" s="352"/>
    </row>
    <row r="4169" spans="2:36">
      <c r="B4169" s="352"/>
      <c r="C4169" s="352"/>
      <c r="D4169" s="352"/>
      <c r="E4169" s="352"/>
      <c r="F4169" s="352"/>
      <c r="H4169" s="352"/>
      <c r="J4169" s="352"/>
      <c r="L4169" s="352"/>
      <c r="M4169" s="352"/>
      <c r="N4169" s="352"/>
      <c r="O4169" s="352"/>
      <c r="P4169" s="352"/>
      <c r="Q4169" s="352"/>
      <c r="R4169" s="352"/>
      <c r="S4169" s="352"/>
      <c r="T4169" s="352"/>
      <c r="U4169" s="352"/>
      <c r="V4169" s="352"/>
      <c r="W4169" s="352"/>
      <c r="X4169" s="352"/>
      <c r="Y4169" s="352"/>
      <c r="Z4169" s="352"/>
      <c r="AA4169" s="352"/>
      <c r="AB4169" s="352"/>
      <c r="AC4169" s="352"/>
      <c r="AD4169" s="352"/>
      <c r="AE4169" s="352"/>
      <c r="AF4169" s="352"/>
      <c r="AG4169" s="352"/>
      <c r="AH4169" s="352"/>
      <c r="AI4169" s="352"/>
      <c r="AJ4169" s="352"/>
    </row>
    <row r="4170" spans="2:36">
      <c r="B4170" s="352"/>
      <c r="C4170" s="352"/>
      <c r="D4170" s="352"/>
      <c r="E4170" s="352"/>
      <c r="F4170" s="352"/>
      <c r="H4170" s="352"/>
      <c r="J4170" s="352"/>
      <c r="L4170" s="352"/>
      <c r="M4170" s="352"/>
      <c r="N4170" s="352"/>
      <c r="O4170" s="352"/>
      <c r="P4170" s="352"/>
      <c r="Q4170" s="352"/>
      <c r="R4170" s="352"/>
      <c r="S4170" s="352"/>
      <c r="T4170" s="352"/>
      <c r="U4170" s="352"/>
      <c r="V4170" s="352"/>
      <c r="W4170" s="352"/>
      <c r="X4170" s="352"/>
      <c r="Y4170" s="352"/>
      <c r="Z4170" s="352"/>
      <c r="AA4170" s="352"/>
      <c r="AB4170" s="352"/>
      <c r="AC4170" s="352"/>
      <c r="AD4170" s="352"/>
      <c r="AE4170" s="352"/>
      <c r="AF4170" s="352"/>
      <c r="AG4170" s="352"/>
      <c r="AH4170" s="352"/>
      <c r="AI4170" s="352"/>
      <c r="AJ4170" s="352"/>
    </row>
    <row r="4171" spans="2:36">
      <c r="B4171" s="352"/>
      <c r="C4171" s="352"/>
      <c r="D4171" s="352"/>
      <c r="E4171" s="352"/>
      <c r="F4171" s="352"/>
      <c r="H4171" s="352"/>
      <c r="J4171" s="352"/>
      <c r="L4171" s="352"/>
      <c r="M4171" s="352"/>
      <c r="N4171" s="352"/>
      <c r="O4171" s="352"/>
      <c r="P4171" s="352"/>
      <c r="Q4171" s="352"/>
      <c r="R4171" s="352"/>
      <c r="S4171" s="352"/>
      <c r="T4171" s="352"/>
      <c r="U4171" s="352"/>
      <c r="V4171" s="352"/>
      <c r="W4171" s="352"/>
      <c r="X4171" s="352"/>
      <c r="Y4171" s="352"/>
      <c r="Z4171" s="352"/>
      <c r="AA4171" s="352"/>
      <c r="AB4171" s="352"/>
      <c r="AC4171" s="352"/>
      <c r="AD4171" s="352"/>
      <c r="AE4171" s="352"/>
      <c r="AF4171" s="352"/>
      <c r="AG4171" s="352"/>
      <c r="AH4171" s="352"/>
      <c r="AI4171" s="352"/>
      <c r="AJ4171" s="352"/>
    </row>
    <row r="4172" spans="2:36">
      <c r="B4172" s="352"/>
      <c r="C4172" s="352"/>
      <c r="D4172" s="352"/>
      <c r="E4172" s="352"/>
      <c r="F4172" s="352"/>
      <c r="H4172" s="352"/>
      <c r="J4172" s="352"/>
      <c r="L4172" s="352"/>
      <c r="M4172" s="352"/>
      <c r="N4172" s="352"/>
      <c r="O4172" s="352"/>
      <c r="P4172" s="352"/>
      <c r="Q4172" s="352"/>
      <c r="R4172" s="352"/>
      <c r="S4172" s="352"/>
      <c r="T4172" s="352"/>
      <c r="U4172" s="352"/>
      <c r="V4172" s="352"/>
      <c r="W4172" s="352"/>
      <c r="X4172" s="352"/>
      <c r="Y4172" s="352"/>
      <c r="Z4172" s="352"/>
      <c r="AA4172" s="352"/>
      <c r="AB4172" s="352"/>
      <c r="AC4172" s="352"/>
      <c r="AD4172" s="352"/>
      <c r="AE4172" s="352"/>
      <c r="AF4172" s="352"/>
      <c r="AG4172" s="352"/>
      <c r="AH4172" s="352"/>
      <c r="AI4172" s="352"/>
      <c r="AJ4172" s="352"/>
    </row>
    <row r="4173" spans="2:36">
      <c r="B4173" s="352"/>
      <c r="C4173" s="352"/>
      <c r="D4173" s="352"/>
      <c r="E4173" s="352"/>
      <c r="F4173" s="352"/>
      <c r="H4173" s="352"/>
      <c r="J4173" s="352"/>
      <c r="L4173" s="352"/>
      <c r="M4173" s="352"/>
      <c r="N4173" s="352"/>
      <c r="O4173" s="352"/>
      <c r="P4173" s="352"/>
      <c r="Q4173" s="352"/>
      <c r="R4173" s="352"/>
      <c r="S4173" s="352"/>
      <c r="T4173" s="352"/>
      <c r="U4173" s="352"/>
      <c r="V4173" s="352"/>
      <c r="W4173" s="352"/>
      <c r="X4173" s="352"/>
      <c r="Y4173" s="352"/>
      <c r="Z4173" s="352"/>
      <c r="AA4173" s="352"/>
      <c r="AB4173" s="352"/>
      <c r="AC4173" s="352"/>
      <c r="AD4173" s="352"/>
      <c r="AE4173" s="352"/>
      <c r="AF4173" s="352"/>
      <c r="AG4173" s="352"/>
      <c r="AH4173" s="352"/>
      <c r="AI4173" s="352"/>
      <c r="AJ4173" s="352"/>
    </row>
    <row r="4174" spans="2:36">
      <c r="B4174" s="352"/>
      <c r="C4174" s="352"/>
      <c r="D4174" s="352"/>
      <c r="E4174" s="352"/>
      <c r="F4174" s="352"/>
      <c r="H4174" s="352"/>
      <c r="J4174" s="352"/>
      <c r="L4174" s="352"/>
      <c r="M4174" s="352"/>
      <c r="N4174" s="352"/>
      <c r="O4174" s="352"/>
      <c r="P4174" s="352"/>
      <c r="Q4174" s="352"/>
      <c r="R4174" s="352"/>
      <c r="S4174" s="352"/>
      <c r="T4174" s="352"/>
      <c r="U4174" s="352"/>
      <c r="V4174" s="352"/>
      <c r="W4174" s="352"/>
      <c r="X4174" s="352"/>
      <c r="Y4174" s="352"/>
      <c r="Z4174" s="352"/>
      <c r="AA4174" s="352"/>
      <c r="AB4174" s="352"/>
      <c r="AC4174" s="352"/>
      <c r="AD4174" s="352"/>
      <c r="AE4174" s="352"/>
      <c r="AF4174" s="352"/>
      <c r="AG4174" s="352"/>
      <c r="AH4174" s="352"/>
      <c r="AI4174" s="352"/>
      <c r="AJ4174" s="352"/>
    </row>
    <row r="4175" spans="2:36">
      <c r="B4175" s="352"/>
      <c r="C4175" s="352"/>
      <c r="D4175" s="352"/>
      <c r="E4175" s="352"/>
      <c r="F4175" s="352"/>
      <c r="H4175" s="352"/>
      <c r="J4175" s="352"/>
      <c r="L4175" s="352"/>
      <c r="M4175" s="352"/>
      <c r="N4175" s="352"/>
      <c r="O4175" s="352"/>
      <c r="P4175" s="352"/>
      <c r="Q4175" s="352"/>
      <c r="R4175" s="352"/>
      <c r="S4175" s="352"/>
      <c r="T4175" s="352"/>
      <c r="U4175" s="352"/>
      <c r="V4175" s="352"/>
      <c r="W4175" s="352"/>
      <c r="X4175" s="352"/>
      <c r="Y4175" s="352"/>
      <c r="Z4175" s="352"/>
      <c r="AA4175" s="352"/>
      <c r="AB4175" s="352"/>
      <c r="AC4175" s="352"/>
      <c r="AD4175" s="352"/>
      <c r="AE4175" s="352"/>
      <c r="AF4175" s="352"/>
      <c r="AG4175" s="352"/>
      <c r="AH4175" s="352"/>
      <c r="AI4175" s="352"/>
      <c r="AJ4175" s="352"/>
    </row>
    <row r="4176" spans="2:36">
      <c r="B4176" s="352"/>
      <c r="C4176" s="352"/>
      <c r="D4176" s="352"/>
      <c r="E4176" s="352"/>
      <c r="F4176" s="352"/>
      <c r="H4176" s="352"/>
      <c r="J4176" s="352"/>
      <c r="L4176" s="352"/>
      <c r="M4176" s="352"/>
      <c r="N4176" s="352"/>
      <c r="O4176" s="352"/>
      <c r="P4176" s="352"/>
      <c r="Q4176" s="352"/>
      <c r="R4176" s="352"/>
      <c r="S4176" s="352"/>
      <c r="T4176" s="352"/>
      <c r="U4176" s="352"/>
      <c r="V4176" s="352"/>
      <c r="W4176" s="352"/>
      <c r="X4176" s="352"/>
      <c r="Y4176" s="352"/>
      <c r="Z4176" s="352"/>
      <c r="AA4176" s="352"/>
      <c r="AB4176" s="352"/>
      <c r="AC4176" s="352"/>
      <c r="AD4176" s="352"/>
      <c r="AE4176" s="352"/>
      <c r="AF4176" s="352"/>
      <c r="AG4176" s="352"/>
      <c r="AH4176" s="352"/>
      <c r="AI4176" s="352"/>
      <c r="AJ4176" s="352"/>
    </row>
    <row r="4177" spans="2:36">
      <c r="B4177" s="352"/>
      <c r="C4177" s="352"/>
      <c r="D4177" s="352"/>
      <c r="E4177" s="352"/>
      <c r="F4177" s="352"/>
      <c r="H4177" s="352"/>
      <c r="J4177" s="352"/>
      <c r="L4177" s="352"/>
      <c r="M4177" s="352"/>
      <c r="N4177" s="352"/>
      <c r="O4177" s="352"/>
      <c r="P4177" s="352"/>
      <c r="Q4177" s="352"/>
      <c r="R4177" s="352"/>
      <c r="S4177" s="352"/>
      <c r="T4177" s="352"/>
      <c r="U4177" s="352"/>
      <c r="V4177" s="352"/>
      <c r="W4177" s="352"/>
      <c r="X4177" s="352"/>
      <c r="Y4177" s="352"/>
      <c r="Z4177" s="352"/>
      <c r="AA4177" s="352"/>
      <c r="AB4177" s="352"/>
      <c r="AC4177" s="352"/>
      <c r="AD4177" s="352"/>
      <c r="AE4177" s="352"/>
      <c r="AF4177" s="352"/>
      <c r="AG4177" s="352"/>
      <c r="AH4177" s="352"/>
      <c r="AI4177" s="352"/>
      <c r="AJ4177" s="352"/>
    </row>
    <row r="4178" spans="2:36">
      <c r="B4178" s="352"/>
      <c r="C4178" s="352"/>
      <c r="D4178" s="352"/>
      <c r="E4178" s="352"/>
      <c r="F4178" s="352"/>
      <c r="H4178" s="352"/>
      <c r="J4178" s="352"/>
      <c r="L4178" s="352"/>
      <c r="M4178" s="352"/>
      <c r="N4178" s="352"/>
      <c r="O4178" s="352"/>
      <c r="P4178" s="352"/>
      <c r="Q4178" s="352"/>
      <c r="R4178" s="352"/>
      <c r="S4178" s="352"/>
      <c r="T4178" s="352"/>
      <c r="U4178" s="352"/>
      <c r="V4178" s="352"/>
      <c r="W4178" s="352"/>
      <c r="X4178" s="352"/>
      <c r="Y4178" s="352"/>
      <c r="Z4178" s="352"/>
      <c r="AA4178" s="352"/>
      <c r="AB4178" s="352"/>
      <c r="AC4178" s="352"/>
      <c r="AD4178" s="352"/>
      <c r="AE4178" s="352"/>
      <c r="AF4178" s="352"/>
      <c r="AG4178" s="352"/>
      <c r="AH4178" s="352"/>
      <c r="AI4178" s="352"/>
      <c r="AJ4178" s="352"/>
    </row>
    <row r="4179" spans="2:36">
      <c r="B4179" s="352"/>
      <c r="C4179" s="352"/>
      <c r="D4179" s="352"/>
      <c r="E4179" s="352"/>
      <c r="F4179" s="352"/>
      <c r="H4179" s="352"/>
      <c r="J4179" s="352"/>
      <c r="L4179" s="352"/>
      <c r="M4179" s="352"/>
      <c r="N4179" s="352"/>
      <c r="O4179" s="352"/>
      <c r="P4179" s="352"/>
      <c r="Q4179" s="352"/>
      <c r="R4179" s="352"/>
      <c r="S4179" s="352"/>
      <c r="T4179" s="352"/>
      <c r="U4179" s="352"/>
      <c r="V4179" s="352"/>
      <c r="W4179" s="352"/>
      <c r="X4179" s="352"/>
      <c r="Y4179" s="352"/>
      <c r="Z4179" s="352"/>
      <c r="AA4179" s="352"/>
      <c r="AB4179" s="352"/>
      <c r="AC4179" s="352"/>
      <c r="AD4179" s="352"/>
      <c r="AE4179" s="352"/>
      <c r="AF4179" s="352"/>
      <c r="AG4179" s="352"/>
      <c r="AH4179" s="352"/>
      <c r="AI4179" s="352"/>
      <c r="AJ4179" s="352"/>
    </row>
    <row r="4180" spans="2:36">
      <c r="B4180" s="352"/>
      <c r="C4180" s="352"/>
      <c r="D4180" s="352"/>
      <c r="E4180" s="352"/>
      <c r="F4180" s="352"/>
      <c r="H4180" s="352"/>
      <c r="J4180" s="352"/>
      <c r="L4180" s="352"/>
      <c r="M4180" s="352"/>
      <c r="N4180" s="352"/>
      <c r="O4180" s="352"/>
      <c r="P4180" s="352"/>
      <c r="Q4180" s="352"/>
      <c r="R4180" s="352"/>
      <c r="S4180" s="352"/>
      <c r="T4180" s="352"/>
      <c r="U4180" s="352"/>
      <c r="V4180" s="352"/>
      <c r="W4180" s="352"/>
      <c r="X4180" s="352"/>
      <c r="Y4180" s="352"/>
      <c r="Z4180" s="352"/>
      <c r="AA4180" s="352"/>
      <c r="AB4180" s="352"/>
      <c r="AC4180" s="352"/>
      <c r="AD4180" s="352"/>
      <c r="AE4180" s="352"/>
      <c r="AF4180" s="352"/>
      <c r="AG4180" s="352"/>
      <c r="AH4180" s="352"/>
      <c r="AI4180" s="352"/>
      <c r="AJ4180" s="352"/>
    </row>
    <row r="4181" spans="2:36">
      <c r="B4181" s="352"/>
      <c r="C4181" s="352"/>
      <c r="D4181" s="352"/>
      <c r="E4181" s="352"/>
      <c r="F4181" s="352"/>
      <c r="H4181" s="352"/>
      <c r="J4181" s="352"/>
      <c r="L4181" s="352"/>
      <c r="M4181" s="352"/>
      <c r="N4181" s="352"/>
      <c r="O4181" s="352"/>
      <c r="P4181" s="352"/>
      <c r="Q4181" s="352"/>
      <c r="R4181" s="352"/>
      <c r="S4181" s="352"/>
      <c r="T4181" s="352"/>
      <c r="U4181" s="352"/>
      <c r="V4181" s="352"/>
      <c r="W4181" s="352"/>
      <c r="X4181" s="352"/>
      <c r="Y4181" s="352"/>
      <c r="Z4181" s="352"/>
      <c r="AA4181" s="352"/>
      <c r="AB4181" s="352"/>
      <c r="AC4181" s="352"/>
      <c r="AD4181" s="352"/>
      <c r="AE4181" s="352"/>
      <c r="AF4181" s="352"/>
      <c r="AG4181" s="352"/>
      <c r="AH4181" s="352"/>
      <c r="AI4181" s="352"/>
      <c r="AJ4181" s="352"/>
    </row>
    <row r="4182" spans="2:36">
      <c r="B4182" s="352"/>
      <c r="C4182" s="352"/>
      <c r="D4182" s="352"/>
      <c r="E4182" s="352"/>
      <c r="F4182" s="352"/>
      <c r="H4182" s="352"/>
      <c r="J4182" s="352"/>
      <c r="L4182" s="352"/>
      <c r="M4182" s="352"/>
      <c r="N4182" s="352"/>
      <c r="O4182" s="352"/>
      <c r="P4182" s="352"/>
      <c r="Q4182" s="352"/>
      <c r="R4182" s="352"/>
      <c r="S4182" s="352"/>
      <c r="T4182" s="352"/>
      <c r="U4182" s="352"/>
      <c r="V4182" s="352"/>
      <c r="W4182" s="352"/>
      <c r="X4182" s="352"/>
      <c r="Y4182" s="352"/>
      <c r="Z4182" s="352"/>
      <c r="AA4182" s="352"/>
      <c r="AB4182" s="352"/>
      <c r="AC4182" s="352"/>
      <c r="AD4182" s="352"/>
      <c r="AE4182" s="352"/>
      <c r="AF4182" s="352"/>
      <c r="AG4182" s="352"/>
      <c r="AH4182" s="352"/>
      <c r="AI4182" s="352"/>
      <c r="AJ4182" s="352"/>
    </row>
    <row r="4183" spans="2:36">
      <c r="B4183" s="352"/>
      <c r="C4183" s="352"/>
      <c r="D4183" s="352"/>
      <c r="E4183" s="352"/>
      <c r="F4183" s="352"/>
      <c r="H4183" s="352"/>
      <c r="J4183" s="352"/>
      <c r="L4183" s="352"/>
      <c r="M4183" s="352"/>
      <c r="N4183" s="352"/>
      <c r="O4183" s="352"/>
      <c r="P4183" s="352"/>
      <c r="Q4183" s="352"/>
      <c r="R4183" s="352"/>
      <c r="S4183" s="352"/>
      <c r="T4183" s="352"/>
      <c r="U4183" s="352"/>
      <c r="V4183" s="352"/>
      <c r="W4183" s="352"/>
      <c r="X4183" s="352"/>
      <c r="Y4183" s="352"/>
      <c r="Z4183" s="352"/>
      <c r="AA4183" s="352"/>
      <c r="AB4183" s="352"/>
      <c r="AC4183" s="352"/>
      <c r="AD4183" s="352"/>
      <c r="AE4183" s="352"/>
      <c r="AF4183" s="352"/>
      <c r="AG4183" s="352"/>
      <c r="AH4183" s="352"/>
      <c r="AI4183" s="352"/>
      <c r="AJ4183" s="352"/>
    </row>
    <row r="4184" spans="2:36">
      <c r="B4184" s="352"/>
      <c r="C4184" s="352"/>
      <c r="D4184" s="352"/>
      <c r="E4184" s="352"/>
      <c r="F4184" s="352"/>
      <c r="H4184" s="352"/>
      <c r="J4184" s="352"/>
      <c r="L4184" s="352"/>
      <c r="M4184" s="352"/>
      <c r="N4184" s="352"/>
      <c r="O4184" s="352"/>
      <c r="P4184" s="352"/>
      <c r="Q4184" s="352"/>
      <c r="R4184" s="352"/>
      <c r="S4184" s="352"/>
      <c r="T4184" s="352"/>
      <c r="U4184" s="352"/>
      <c r="V4184" s="352"/>
      <c r="W4184" s="352"/>
      <c r="X4184" s="352"/>
      <c r="Y4184" s="352"/>
      <c r="Z4184" s="352"/>
      <c r="AA4184" s="352"/>
      <c r="AB4184" s="352"/>
      <c r="AC4184" s="352"/>
      <c r="AD4184" s="352"/>
      <c r="AE4184" s="352"/>
      <c r="AF4184" s="352"/>
      <c r="AG4184" s="352"/>
      <c r="AH4184" s="352"/>
      <c r="AI4184" s="352"/>
      <c r="AJ4184" s="352"/>
    </row>
    <row r="4185" spans="2:36">
      <c r="B4185" s="352"/>
      <c r="C4185" s="352"/>
      <c r="D4185" s="352"/>
      <c r="E4185" s="352"/>
      <c r="F4185" s="352"/>
      <c r="H4185" s="352"/>
      <c r="J4185" s="352"/>
      <c r="L4185" s="352"/>
      <c r="M4185" s="352"/>
      <c r="N4185" s="352"/>
      <c r="O4185" s="352"/>
      <c r="P4185" s="352"/>
      <c r="Q4185" s="352"/>
      <c r="R4185" s="352"/>
      <c r="S4185" s="352"/>
      <c r="T4185" s="352"/>
      <c r="U4185" s="352"/>
      <c r="V4185" s="352"/>
      <c r="W4185" s="352"/>
      <c r="X4185" s="352"/>
      <c r="Y4185" s="352"/>
      <c r="Z4185" s="352"/>
      <c r="AA4185" s="352"/>
      <c r="AB4185" s="352"/>
      <c r="AC4185" s="352"/>
      <c r="AD4185" s="352"/>
      <c r="AE4185" s="352"/>
      <c r="AF4185" s="352"/>
      <c r="AG4185" s="352"/>
      <c r="AH4185" s="352"/>
      <c r="AI4185" s="352"/>
      <c r="AJ4185" s="352"/>
    </row>
    <row r="4186" spans="2:36">
      <c r="B4186" s="352"/>
      <c r="C4186" s="352"/>
      <c r="D4186" s="352"/>
      <c r="E4186" s="352"/>
      <c r="F4186" s="352"/>
      <c r="H4186" s="352"/>
      <c r="J4186" s="352"/>
      <c r="L4186" s="352"/>
      <c r="M4186" s="352"/>
      <c r="N4186" s="352"/>
      <c r="O4186" s="352"/>
      <c r="P4186" s="352"/>
      <c r="Q4186" s="352"/>
      <c r="R4186" s="352"/>
      <c r="S4186" s="352"/>
      <c r="T4186" s="352"/>
      <c r="U4186" s="352"/>
      <c r="V4186" s="352"/>
      <c r="W4186" s="352"/>
      <c r="X4186" s="352"/>
      <c r="Y4186" s="352"/>
      <c r="Z4186" s="352"/>
      <c r="AA4186" s="352"/>
      <c r="AB4186" s="352"/>
      <c r="AC4186" s="352"/>
      <c r="AD4186" s="352"/>
      <c r="AE4186" s="352"/>
      <c r="AF4186" s="352"/>
      <c r="AG4186" s="352"/>
      <c r="AH4186" s="352"/>
      <c r="AI4186" s="352"/>
      <c r="AJ4186" s="352"/>
    </row>
    <row r="4187" spans="2:36">
      <c r="B4187" s="352"/>
      <c r="C4187" s="352"/>
      <c r="D4187" s="352"/>
      <c r="E4187" s="352"/>
      <c r="F4187" s="352"/>
      <c r="H4187" s="352"/>
      <c r="J4187" s="352"/>
      <c r="L4187" s="352"/>
      <c r="M4187" s="352"/>
      <c r="N4187" s="352"/>
      <c r="O4187" s="352"/>
      <c r="P4187" s="352"/>
      <c r="Q4187" s="352"/>
      <c r="R4187" s="352"/>
      <c r="S4187" s="352"/>
      <c r="T4187" s="352"/>
      <c r="U4187" s="352"/>
      <c r="V4187" s="352"/>
      <c r="W4187" s="352"/>
      <c r="X4187" s="352"/>
      <c r="Y4187" s="352"/>
      <c r="Z4187" s="352"/>
      <c r="AA4187" s="352"/>
      <c r="AB4187" s="352"/>
      <c r="AC4187" s="352"/>
      <c r="AD4187" s="352"/>
      <c r="AE4187" s="352"/>
      <c r="AF4187" s="352"/>
      <c r="AG4187" s="352"/>
      <c r="AH4187" s="352"/>
      <c r="AI4187" s="352"/>
      <c r="AJ4187" s="352"/>
    </row>
    <row r="4188" spans="2:36">
      <c r="B4188" s="352"/>
      <c r="C4188" s="352"/>
      <c r="D4188" s="352"/>
      <c r="E4188" s="352"/>
      <c r="F4188" s="352"/>
      <c r="H4188" s="352"/>
      <c r="J4188" s="352"/>
      <c r="L4188" s="352"/>
      <c r="M4188" s="352"/>
      <c r="N4188" s="352"/>
      <c r="O4188" s="352"/>
      <c r="P4188" s="352"/>
      <c r="Q4188" s="352"/>
      <c r="R4188" s="352"/>
      <c r="S4188" s="352"/>
      <c r="T4188" s="352"/>
      <c r="U4188" s="352"/>
      <c r="V4188" s="352"/>
      <c r="W4188" s="352"/>
      <c r="X4188" s="352"/>
      <c r="Y4188" s="352"/>
      <c r="Z4188" s="352"/>
      <c r="AA4188" s="352"/>
      <c r="AB4188" s="352"/>
      <c r="AC4188" s="352"/>
      <c r="AD4188" s="352"/>
      <c r="AE4188" s="352"/>
      <c r="AF4188" s="352"/>
      <c r="AG4188" s="352"/>
      <c r="AH4188" s="352"/>
      <c r="AI4188" s="352"/>
      <c r="AJ4188" s="352"/>
    </row>
    <row r="4189" spans="2:36">
      <c r="B4189" s="352"/>
      <c r="C4189" s="352"/>
      <c r="D4189" s="352"/>
      <c r="E4189" s="352"/>
      <c r="F4189" s="352"/>
      <c r="H4189" s="352"/>
      <c r="J4189" s="352"/>
      <c r="L4189" s="352"/>
      <c r="M4189" s="352"/>
      <c r="N4189" s="352"/>
      <c r="O4189" s="352"/>
      <c r="P4189" s="352"/>
      <c r="Q4189" s="352"/>
      <c r="R4189" s="352"/>
      <c r="S4189" s="352"/>
      <c r="T4189" s="352"/>
      <c r="U4189" s="352"/>
      <c r="V4189" s="352"/>
      <c r="W4189" s="352"/>
      <c r="X4189" s="352"/>
      <c r="Y4189" s="352"/>
      <c r="Z4189" s="352"/>
      <c r="AA4189" s="352"/>
      <c r="AB4189" s="352"/>
      <c r="AC4189" s="352"/>
      <c r="AD4189" s="352"/>
      <c r="AE4189" s="352"/>
      <c r="AF4189" s="352"/>
      <c r="AG4189" s="352"/>
      <c r="AH4189" s="352"/>
      <c r="AI4189" s="352"/>
      <c r="AJ4189" s="352"/>
    </row>
    <row r="4190" spans="2:36">
      <c r="B4190" s="352"/>
      <c r="C4190" s="352"/>
      <c r="D4190" s="352"/>
      <c r="E4190" s="352"/>
      <c r="F4190" s="352"/>
      <c r="H4190" s="352"/>
      <c r="J4190" s="352"/>
      <c r="L4190" s="352"/>
      <c r="M4190" s="352"/>
      <c r="N4190" s="352"/>
      <c r="O4190" s="352"/>
      <c r="P4190" s="352"/>
      <c r="Q4190" s="352"/>
      <c r="R4190" s="352"/>
      <c r="S4190" s="352"/>
      <c r="T4190" s="352"/>
      <c r="U4190" s="352"/>
      <c r="V4190" s="352"/>
      <c r="W4190" s="352"/>
      <c r="X4190" s="352"/>
      <c r="Y4190" s="352"/>
      <c r="Z4190" s="352"/>
      <c r="AA4190" s="352"/>
      <c r="AB4190" s="352"/>
      <c r="AC4190" s="352"/>
      <c r="AD4190" s="352"/>
      <c r="AE4190" s="352"/>
      <c r="AF4190" s="352"/>
      <c r="AG4190" s="352"/>
      <c r="AH4190" s="352"/>
      <c r="AI4190" s="352"/>
      <c r="AJ4190" s="352"/>
    </row>
    <row r="4191" spans="2:36">
      <c r="B4191" s="352"/>
      <c r="C4191" s="352"/>
      <c r="D4191" s="352"/>
      <c r="E4191" s="352"/>
      <c r="F4191" s="352"/>
      <c r="H4191" s="352"/>
      <c r="J4191" s="352"/>
      <c r="L4191" s="352"/>
      <c r="M4191" s="352"/>
      <c r="N4191" s="352"/>
      <c r="O4191" s="352"/>
      <c r="P4191" s="352"/>
      <c r="Q4191" s="352"/>
      <c r="R4191" s="352"/>
      <c r="S4191" s="352"/>
      <c r="T4191" s="352"/>
      <c r="U4191" s="352"/>
      <c r="V4191" s="352"/>
      <c r="W4191" s="352"/>
      <c r="X4191" s="352"/>
      <c r="Y4191" s="352"/>
      <c r="Z4191" s="352"/>
      <c r="AA4191" s="352"/>
      <c r="AB4191" s="352"/>
      <c r="AC4191" s="352"/>
      <c r="AD4191" s="352"/>
      <c r="AE4191" s="352"/>
      <c r="AF4191" s="352"/>
      <c r="AG4191" s="352"/>
      <c r="AH4191" s="352"/>
      <c r="AI4191" s="352"/>
      <c r="AJ4191" s="352"/>
    </row>
    <row r="4192" spans="2:36">
      <c r="B4192" s="352"/>
      <c r="C4192" s="352"/>
      <c r="D4192" s="352"/>
      <c r="E4192" s="352"/>
      <c r="F4192" s="352"/>
      <c r="H4192" s="352"/>
      <c r="J4192" s="352"/>
      <c r="L4192" s="352"/>
      <c r="M4192" s="352"/>
      <c r="N4192" s="352"/>
      <c r="O4192" s="352"/>
      <c r="P4192" s="352"/>
      <c r="Q4192" s="352"/>
      <c r="R4192" s="352"/>
      <c r="S4192" s="352"/>
      <c r="T4192" s="352"/>
      <c r="U4192" s="352"/>
      <c r="V4192" s="352"/>
      <c r="W4192" s="352"/>
      <c r="X4192" s="352"/>
      <c r="Y4192" s="352"/>
      <c r="Z4192" s="352"/>
      <c r="AA4192" s="352"/>
      <c r="AB4192" s="352"/>
      <c r="AC4192" s="352"/>
      <c r="AD4192" s="352"/>
      <c r="AE4192" s="352"/>
      <c r="AF4192" s="352"/>
      <c r="AG4192" s="352"/>
      <c r="AH4192" s="352"/>
      <c r="AI4192" s="352"/>
      <c r="AJ4192" s="352"/>
    </row>
    <row r="4193" spans="2:36">
      <c r="B4193" s="352"/>
      <c r="C4193" s="352"/>
      <c r="D4193" s="352"/>
      <c r="E4193" s="352"/>
      <c r="F4193" s="352"/>
      <c r="H4193" s="352"/>
      <c r="J4193" s="352"/>
      <c r="L4193" s="352"/>
      <c r="M4193" s="352"/>
      <c r="N4193" s="352"/>
      <c r="O4193" s="352"/>
      <c r="P4193" s="352"/>
      <c r="Q4193" s="352"/>
      <c r="R4193" s="352"/>
      <c r="S4193" s="352"/>
      <c r="T4193" s="352"/>
      <c r="U4193" s="352"/>
      <c r="V4193" s="352"/>
      <c r="W4193" s="352"/>
      <c r="X4193" s="352"/>
      <c r="Y4193" s="352"/>
      <c r="Z4193" s="352"/>
      <c r="AA4193" s="352"/>
      <c r="AB4193" s="352"/>
      <c r="AC4193" s="352"/>
      <c r="AD4193" s="352"/>
      <c r="AE4193" s="352"/>
      <c r="AF4193" s="352"/>
      <c r="AG4193" s="352"/>
      <c r="AH4193" s="352"/>
      <c r="AI4193" s="352"/>
      <c r="AJ4193" s="352"/>
    </row>
    <row r="4194" spans="2:36">
      <c r="B4194" s="352"/>
      <c r="C4194" s="352"/>
      <c r="D4194" s="352"/>
      <c r="E4194" s="352"/>
      <c r="F4194" s="352"/>
      <c r="H4194" s="352"/>
      <c r="J4194" s="352"/>
      <c r="L4194" s="352"/>
      <c r="M4194" s="352"/>
      <c r="N4194" s="352"/>
      <c r="O4194" s="352"/>
      <c r="P4194" s="352"/>
      <c r="Q4194" s="352"/>
      <c r="R4194" s="352"/>
      <c r="S4194" s="352"/>
      <c r="T4194" s="352"/>
      <c r="U4194" s="352"/>
      <c r="V4194" s="352"/>
      <c r="W4194" s="352"/>
      <c r="X4194" s="352"/>
      <c r="Y4194" s="352"/>
      <c r="Z4194" s="352"/>
      <c r="AA4194" s="352"/>
      <c r="AB4194" s="352"/>
      <c r="AC4194" s="352"/>
      <c r="AD4194" s="352"/>
      <c r="AE4194" s="352"/>
      <c r="AF4194" s="352"/>
      <c r="AG4194" s="352"/>
      <c r="AH4194" s="352"/>
      <c r="AI4194" s="352"/>
      <c r="AJ4194" s="352"/>
    </row>
    <row r="4195" spans="2:36">
      <c r="B4195" s="352"/>
      <c r="C4195" s="352"/>
      <c r="D4195" s="352"/>
      <c r="E4195" s="352"/>
      <c r="F4195" s="352"/>
      <c r="H4195" s="352"/>
      <c r="J4195" s="352"/>
      <c r="L4195" s="352"/>
      <c r="M4195" s="352"/>
      <c r="N4195" s="352"/>
      <c r="O4195" s="352"/>
      <c r="P4195" s="352"/>
      <c r="Q4195" s="352"/>
      <c r="R4195" s="352"/>
      <c r="S4195" s="352"/>
      <c r="T4195" s="352"/>
      <c r="U4195" s="352"/>
      <c r="V4195" s="352"/>
      <c r="W4195" s="352"/>
      <c r="X4195" s="352"/>
      <c r="Y4195" s="352"/>
      <c r="Z4195" s="352"/>
      <c r="AA4195" s="352"/>
      <c r="AB4195" s="352"/>
      <c r="AC4195" s="352"/>
      <c r="AD4195" s="352"/>
      <c r="AE4195" s="352"/>
      <c r="AF4195" s="352"/>
      <c r="AG4195" s="352"/>
      <c r="AH4195" s="352"/>
      <c r="AI4195" s="352"/>
      <c r="AJ4195" s="352"/>
    </row>
    <row r="4196" spans="2:36">
      <c r="B4196" s="352"/>
      <c r="C4196" s="352"/>
      <c r="D4196" s="352"/>
      <c r="E4196" s="352"/>
      <c r="F4196" s="352"/>
      <c r="H4196" s="352"/>
      <c r="J4196" s="352"/>
      <c r="L4196" s="352"/>
      <c r="M4196" s="352"/>
      <c r="N4196" s="352"/>
      <c r="O4196" s="352"/>
      <c r="P4196" s="352"/>
      <c r="Q4196" s="352"/>
      <c r="R4196" s="352"/>
      <c r="S4196" s="352"/>
      <c r="T4196" s="352"/>
      <c r="U4196" s="352"/>
      <c r="V4196" s="352"/>
      <c r="W4196" s="352"/>
      <c r="X4196" s="352"/>
      <c r="Y4196" s="352"/>
      <c r="Z4196" s="352"/>
      <c r="AA4196" s="352"/>
      <c r="AB4196" s="352"/>
      <c r="AC4196" s="352"/>
      <c r="AD4196" s="352"/>
      <c r="AE4196" s="352"/>
      <c r="AF4196" s="352"/>
      <c r="AG4196" s="352"/>
      <c r="AH4196" s="352"/>
      <c r="AI4196" s="352"/>
      <c r="AJ4196" s="352"/>
    </row>
    <row r="4197" spans="2:36">
      <c r="B4197" s="352"/>
      <c r="C4197" s="352"/>
      <c r="D4197" s="352"/>
      <c r="E4197" s="352"/>
      <c r="F4197" s="352"/>
      <c r="H4197" s="352"/>
      <c r="J4197" s="352"/>
      <c r="L4197" s="352"/>
      <c r="M4197" s="352"/>
      <c r="N4197" s="352"/>
      <c r="O4197" s="352"/>
      <c r="P4197" s="352"/>
      <c r="Q4197" s="352"/>
      <c r="R4197" s="352"/>
      <c r="S4197" s="352"/>
      <c r="T4197" s="352"/>
      <c r="U4197" s="352"/>
      <c r="V4197" s="352"/>
      <c r="W4197" s="352"/>
      <c r="X4197" s="352"/>
      <c r="Y4197" s="352"/>
      <c r="Z4197" s="352"/>
      <c r="AA4197" s="352"/>
      <c r="AB4197" s="352"/>
      <c r="AC4197" s="352"/>
      <c r="AD4197" s="352"/>
      <c r="AE4197" s="352"/>
      <c r="AF4197" s="352"/>
      <c r="AG4197" s="352"/>
      <c r="AH4197" s="352"/>
      <c r="AI4197" s="352"/>
      <c r="AJ4197" s="352"/>
    </row>
    <row r="4198" spans="2:36">
      <c r="B4198" s="352"/>
      <c r="C4198" s="352"/>
      <c r="D4198" s="352"/>
      <c r="E4198" s="352"/>
      <c r="F4198" s="352"/>
      <c r="H4198" s="352"/>
      <c r="J4198" s="352"/>
      <c r="L4198" s="352"/>
      <c r="M4198" s="352"/>
      <c r="N4198" s="352"/>
      <c r="O4198" s="352"/>
      <c r="P4198" s="352"/>
      <c r="Q4198" s="352"/>
      <c r="R4198" s="352"/>
      <c r="S4198" s="352"/>
      <c r="T4198" s="352"/>
      <c r="U4198" s="352"/>
      <c r="V4198" s="352"/>
      <c r="W4198" s="352"/>
      <c r="X4198" s="352"/>
      <c r="Y4198" s="352"/>
      <c r="Z4198" s="352"/>
      <c r="AA4198" s="352"/>
      <c r="AB4198" s="352"/>
      <c r="AC4198" s="352"/>
      <c r="AD4198" s="352"/>
      <c r="AE4198" s="352"/>
      <c r="AF4198" s="352"/>
      <c r="AG4198" s="352"/>
      <c r="AH4198" s="352"/>
      <c r="AI4198" s="352"/>
      <c r="AJ4198" s="352"/>
    </row>
    <row r="4199" spans="2:36">
      <c r="B4199" s="352"/>
      <c r="C4199" s="352"/>
      <c r="D4199" s="352"/>
      <c r="E4199" s="352"/>
      <c r="F4199" s="352"/>
      <c r="H4199" s="352"/>
      <c r="J4199" s="352"/>
      <c r="L4199" s="352"/>
      <c r="M4199" s="352"/>
      <c r="N4199" s="352"/>
      <c r="O4199" s="352"/>
      <c r="P4199" s="352"/>
      <c r="Q4199" s="352"/>
      <c r="R4199" s="352"/>
      <c r="S4199" s="352"/>
      <c r="T4199" s="352"/>
      <c r="U4199" s="352"/>
      <c r="V4199" s="352"/>
      <c r="W4199" s="352"/>
      <c r="X4199" s="352"/>
      <c r="Y4199" s="352"/>
      <c r="Z4199" s="352"/>
      <c r="AA4199" s="352"/>
      <c r="AB4199" s="352"/>
      <c r="AC4199" s="352"/>
      <c r="AD4199" s="352"/>
      <c r="AE4199" s="352"/>
      <c r="AF4199" s="352"/>
      <c r="AG4199" s="352"/>
      <c r="AH4199" s="352"/>
      <c r="AI4199" s="352"/>
      <c r="AJ4199" s="352"/>
    </row>
    <row r="4200" spans="2:36">
      <c r="B4200" s="352"/>
      <c r="C4200" s="352"/>
      <c r="D4200" s="352"/>
      <c r="E4200" s="352"/>
      <c r="F4200" s="352"/>
      <c r="H4200" s="352"/>
      <c r="J4200" s="352"/>
      <c r="L4200" s="352"/>
      <c r="M4200" s="352"/>
      <c r="N4200" s="352"/>
      <c r="O4200" s="352"/>
      <c r="P4200" s="352"/>
      <c r="Q4200" s="352"/>
      <c r="R4200" s="352"/>
      <c r="S4200" s="352"/>
      <c r="T4200" s="352"/>
      <c r="U4200" s="352"/>
      <c r="V4200" s="352"/>
      <c r="W4200" s="352"/>
      <c r="X4200" s="352"/>
      <c r="Y4200" s="352"/>
      <c r="Z4200" s="352"/>
      <c r="AA4200" s="352"/>
      <c r="AB4200" s="352"/>
      <c r="AC4200" s="352"/>
      <c r="AD4200" s="352"/>
      <c r="AE4200" s="352"/>
      <c r="AF4200" s="352"/>
      <c r="AG4200" s="352"/>
      <c r="AH4200" s="352"/>
      <c r="AI4200" s="352"/>
      <c r="AJ4200" s="352"/>
    </row>
    <row r="4201" spans="2:36">
      <c r="B4201" s="352"/>
      <c r="C4201" s="352"/>
      <c r="D4201" s="352"/>
      <c r="E4201" s="352"/>
      <c r="F4201" s="352"/>
      <c r="H4201" s="352"/>
      <c r="J4201" s="352"/>
      <c r="L4201" s="352"/>
      <c r="M4201" s="352"/>
      <c r="N4201" s="352"/>
      <c r="O4201" s="352"/>
      <c r="P4201" s="352"/>
      <c r="Q4201" s="352"/>
      <c r="R4201" s="352"/>
      <c r="S4201" s="352"/>
      <c r="T4201" s="352"/>
      <c r="U4201" s="352"/>
      <c r="V4201" s="352"/>
      <c r="W4201" s="352"/>
      <c r="X4201" s="352"/>
      <c r="Y4201" s="352"/>
      <c r="Z4201" s="352"/>
      <c r="AA4201" s="352"/>
      <c r="AB4201" s="352"/>
      <c r="AC4201" s="352"/>
      <c r="AD4201" s="352"/>
      <c r="AE4201" s="352"/>
      <c r="AF4201" s="352"/>
      <c r="AG4201" s="352"/>
      <c r="AH4201" s="352"/>
      <c r="AI4201" s="352"/>
      <c r="AJ4201" s="352"/>
    </row>
    <row r="4202" spans="2:36">
      <c r="B4202" s="352"/>
      <c r="C4202" s="352"/>
      <c r="D4202" s="352"/>
      <c r="E4202" s="352"/>
      <c r="F4202" s="352"/>
      <c r="H4202" s="352"/>
      <c r="J4202" s="352"/>
      <c r="L4202" s="352"/>
      <c r="M4202" s="352"/>
      <c r="N4202" s="352"/>
      <c r="O4202" s="352"/>
      <c r="P4202" s="352"/>
      <c r="Q4202" s="352"/>
      <c r="R4202" s="352"/>
      <c r="S4202" s="352"/>
      <c r="T4202" s="352"/>
      <c r="U4202" s="352"/>
      <c r="V4202" s="352"/>
      <c r="W4202" s="352"/>
      <c r="X4202" s="352"/>
      <c r="Y4202" s="352"/>
      <c r="Z4202" s="352"/>
      <c r="AA4202" s="352"/>
      <c r="AB4202" s="352"/>
      <c r="AC4202" s="352"/>
      <c r="AD4202" s="352"/>
      <c r="AE4202" s="352"/>
      <c r="AF4202" s="352"/>
      <c r="AG4202" s="352"/>
      <c r="AH4202" s="352"/>
      <c r="AI4202" s="352"/>
      <c r="AJ4202" s="352"/>
    </row>
    <row r="4203" spans="2:36">
      <c r="B4203" s="352"/>
      <c r="C4203" s="352"/>
      <c r="D4203" s="352"/>
      <c r="E4203" s="352"/>
      <c r="F4203" s="352"/>
      <c r="H4203" s="352"/>
      <c r="J4203" s="352"/>
      <c r="L4203" s="352"/>
      <c r="M4203" s="352"/>
      <c r="N4203" s="352"/>
      <c r="O4203" s="352"/>
      <c r="P4203" s="352"/>
      <c r="Q4203" s="352"/>
      <c r="R4203" s="352"/>
      <c r="S4203" s="352"/>
      <c r="T4203" s="352"/>
      <c r="U4203" s="352"/>
      <c r="V4203" s="352"/>
      <c r="W4203" s="352"/>
      <c r="X4203" s="352"/>
      <c r="Y4203" s="352"/>
      <c r="Z4203" s="352"/>
      <c r="AA4203" s="352"/>
      <c r="AB4203" s="352"/>
      <c r="AC4203" s="352"/>
      <c r="AD4203" s="352"/>
      <c r="AE4203" s="352"/>
      <c r="AF4203" s="352"/>
      <c r="AG4203" s="352"/>
      <c r="AH4203" s="352"/>
      <c r="AI4203" s="352"/>
      <c r="AJ4203" s="352"/>
    </row>
    <row r="4204" spans="2:36">
      <c r="B4204" s="352"/>
      <c r="C4204" s="352"/>
      <c r="D4204" s="352"/>
      <c r="E4204" s="352"/>
      <c r="F4204" s="352"/>
      <c r="H4204" s="352"/>
      <c r="J4204" s="352"/>
      <c r="L4204" s="352"/>
      <c r="M4204" s="352"/>
      <c r="N4204" s="352"/>
      <c r="O4204" s="352"/>
      <c r="P4204" s="352"/>
      <c r="Q4204" s="352"/>
      <c r="R4204" s="352"/>
      <c r="S4204" s="352"/>
      <c r="T4204" s="352"/>
      <c r="U4204" s="352"/>
      <c r="V4204" s="352"/>
      <c r="W4204" s="352"/>
      <c r="X4204" s="352"/>
      <c r="Y4204" s="352"/>
      <c r="Z4204" s="352"/>
      <c r="AA4204" s="352"/>
      <c r="AB4204" s="352"/>
      <c r="AC4204" s="352"/>
      <c r="AD4204" s="352"/>
      <c r="AE4204" s="352"/>
      <c r="AF4204" s="352"/>
      <c r="AG4204" s="352"/>
      <c r="AH4204" s="352"/>
      <c r="AI4204" s="352"/>
      <c r="AJ4204" s="352"/>
    </row>
    <row r="4205" spans="2:36">
      <c r="B4205" s="352"/>
      <c r="C4205" s="352"/>
      <c r="D4205" s="352"/>
      <c r="E4205" s="352"/>
      <c r="F4205" s="352"/>
      <c r="H4205" s="352"/>
      <c r="J4205" s="352"/>
      <c r="L4205" s="352"/>
      <c r="M4205" s="352"/>
      <c r="N4205" s="352"/>
      <c r="O4205" s="352"/>
      <c r="P4205" s="352"/>
      <c r="Q4205" s="352"/>
      <c r="R4205" s="352"/>
      <c r="S4205" s="352"/>
      <c r="T4205" s="352"/>
      <c r="U4205" s="352"/>
      <c r="V4205" s="352"/>
      <c r="W4205" s="352"/>
      <c r="X4205" s="352"/>
      <c r="Y4205" s="352"/>
      <c r="Z4205" s="352"/>
      <c r="AA4205" s="352"/>
      <c r="AB4205" s="352"/>
      <c r="AC4205" s="352"/>
      <c r="AD4205" s="352"/>
      <c r="AE4205" s="352"/>
      <c r="AF4205" s="352"/>
      <c r="AG4205" s="352"/>
      <c r="AH4205" s="352"/>
      <c r="AI4205" s="352"/>
      <c r="AJ4205" s="352"/>
    </row>
    <row r="4206" spans="2:36">
      <c r="B4206" s="352"/>
      <c r="C4206" s="352"/>
      <c r="D4206" s="352"/>
      <c r="E4206" s="352"/>
      <c r="F4206" s="352"/>
      <c r="H4206" s="352"/>
      <c r="J4206" s="352"/>
      <c r="L4206" s="352"/>
      <c r="M4206" s="352"/>
      <c r="N4206" s="352"/>
      <c r="O4206" s="352"/>
      <c r="P4206" s="352"/>
      <c r="Q4206" s="352"/>
      <c r="R4206" s="352"/>
      <c r="S4206" s="352"/>
      <c r="T4206" s="352"/>
      <c r="U4206" s="352"/>
      <c r="V4206" s="352"/>
      <c r="W4206" s="352"/>
      <c r="X4206" s="352"/>
      <c r="Y4206" s="352"/>
      <c r="Z4206" s="352"/>
      <c r="AA4206" s="352"/>
      <c r="AB4206" s="352"/>
      <c r="AC4206" s="352"/>
      <c r="AD4206" s="352"/>
      <c r="AE4206" s="352"/>
      <c r="AF4206" s="352"/>
      <c r="AG4206" s="352"/>
      <c r="AH4206" s="352"/>
      <c r="AI4206" s="352"/>
      <c r="AJ4206" s="352"/>
    </row>
    <row r="4207" spans="2:36">
      <c r="B4207" s="352"/>
      <c r="C4207" s="352"/>
      <c r="D4207" s="352"/>
      <c r="E4207" s="352"/>
      <c r="F4207" s="352"/>
      <c r="H4207" s="352"/>
      <c r="J4207" s="352"/>
      <c r="L4207" s="352"/>
      <c r="M4207" s="352"/>
      <c r="N4207" s="352"/>
      <c r="O4207" s="352"/>
      <c r="P4207" s="352"/>
      <c r="Q4207" s="352"/>
      <c r="R4207" s="352"/>
      <c r="S4207" s="352"/>
      <c r="T4207" s="352"/>
      <c r="U4207" s="352"/>
      <c r="V4207" s="352"/>
      <c r="W4207" s="352"/>
      <c r="X4207" s="352"/>
      <c r="Y4207" s="352"/>
      <c r="Z4207" s="352"/>
      <c r="AA4207" s="352"/>
      <c r="AB4207" s="352"/>
      <c r="AC4207" s="352"/>
      <c r="AD4207" s="352"/>
      <c r="AE4207" s="352"/>
      <c r="AF4207" s="352"/>
      <c r="AG4207" s="352"/>
      <c r="AH4207" s="352"/>
      <c r="AI4207" s="352"/>
      <c r="AJ4207" s="352"/>
    </row>
    <row r="4208" spans="2:36">
      <c r="B4208" s="352"/>
      <c r="C4208" s="352"/>
      <c r="D4208" s="352"/>
      <c r="E4208" s="352"/>
      <c r="F4208" s="352"/>
      <c r="H4208" s="352"/>
      <c r="J4208" s="352"/>
      <c r="L4208" s="352"/>
      <c r="M4208" s="352"/>
      <c r="N4208" s="352"/>
      <c r="O4208" s="352"/>
      <c r="P4208" s="352"/>
      <c r="Q4208" s="352"/>
      <c r="R4208" s="352"/>
      <c r="S4208" s="352"/>
      <c r="T4208" s="352"/>
      <c r="U4208" s="352"/>
      <c r="V4208" s="352"/>
      <c r="W4208" s="352"/>
      <c r="X4208" s="352"/>
      <c r="Y4208" s="352"/>
      <c r="Z4208" s="352"/>
      <c r="AA4208" s="352"/>
      <c r="AB4208" s="352"/>
      <c r="AC4208" s="352"/>
      <c r="AD4208" s="352"/>
      <c r="AE4208" s="352"/>
      <c r="AF4208" s="352"/>
      <c r="AG4208" s="352"/>
      <c r="AH4208" s="352"/>
      <c r="AI4208" s="352"/>
      <c r="AJ4208" s="352"/>
    </row>
    <row r="4209" spans="2:36">
      <c r="B4209" s="352"/>
      <c r="C4209" s="352"/>
      <c r="D4209" s="352"/>
      <c r="E4209" s="352"/>
      <c r="F4209" s="352"/>
      <c r="H4209" s="352"/>
      <c r="J4209" s="352"/>
      <c r="L4209" s="352"/>
      <c r="M4209" s="352"/>
      <c r="N4209" s="352"/>
      <c r="O4209" s="352"/>
      <c r="P4209" s="352"/>
      <c r="Q4209" s="352"/>
      <c r="R4209" s="352"/>
      <c r="S4209" s="352"/>
      <c r="T4209" s="352"/>
      <c r="U4209" s="352"/>
      <c r="V4209" s="352"/>
      <c r="W4209" s="352"/>
      <c r="X4209" s="352"/>
      <c r="Y4209" s="352"/>
      <c r="Z4209" s="352"/>
      <c r="AA4209" s="352"/>
      <c r="AB4209" s="352"/>
      <c r="AC4209" s="352"/>
      <c r="AD4209" s="352"/>
      <c r="AE4209" s="352"/>
      <c r="AF4209" s="352"/>
      <c r="AG4209" s="352"/>
      <c r="AH4209" s="352"/>
      <c r="AI4209" s="352"/>
      <c r="AJ4209" s="352"/>
    </row>
    <row r="4210" spans="2:36">
      <c r="B4210" s="352"/>
      <c r="C4210" s="352"/>
      <c r="D4210" s="352"/>
      <c r="E4210" s="352"/>
      <c r="F4210" s="352"/>
      <c r="H4210" s="352"/>
      <c r="J4210" s="352"/>
      <c r="L4210" s="352"/>
      <c r="M4210" s="352"/>
      <c r="N4210" s="352"/>
      <c r="O4210" s="352"/>
      <c r="P4210" s="352"/>
      <c r="Q4210" s="352"/>
      <c r="R4210" s="352"/>
      <c r="S4210" s="352"/>
      <c r="T4210" s="352"/>
      <c r="U4210" s="352"/>
      <c r="V4210" s="352"/>
      <c r="W4210" s="352"/>
      <c r="X4210" s="352"/>
      <c r="Y4210" s="352"/>
      <c r="Z4210" s="352"/>
      <c r="AA4210" s="352"/>
      <c r="AB4210" s="352"/>
      <c r="AC4210" s="352"/>
      <c r="AD4210" s="352"/>
      <c r="AE4210" s="352"/>
      <c r="AF4210" s="352"/>
      <c r="AG4210" s="352"/>
      <c r="AH4210" s="352"/>
      <c r="AI4210" s="352"/>
      <c r="AJ4210" s="352"/>
    </row>
    <row r="4211" spans="2:36">
      <c r="B4211" s="352"/>
      <c r="C4211" s="352"/>
      <c r="D4211" s="352"/>
      <c r="E4211" s="352"/>
      <c r="F4211" s="352"/>
      <c r="H4211" s="352"/>
      <c r="J4211" s="352"/>
      <c r="L4211" s="352"/>
      <c r="M4211" s="352"/>
      <c r="N4211" s="352"/>
      <c r="O4211" s="352"/>
      <c r="P4211" s="352"/>
      <c r="Q4211" s="352"/>
      <c r="R4211" s="352"/>
      <c r="S4211" s="352"/>
      <c r="T4211" s="352"/>
      <c r="U4211" s="352"/>
      <c r="V4211" s="352"/>
      <c r="W4211" s="352"/>
      <c r="X4211" s="352"/>
      <c r="Y4211" s="352"/>
      <c r="Z4211" s="352"/>
      <c r="AA4211" s="352"/>
      <c r="AB4211" s="352"/>
      <c r="AC4211" s="352"/>
      <c r="AD4211" s="352"/>
      <c r="AE4211" s="352"/>
      <c r="AF4211" s="352"/>
      <c r="AG4211" s="352"/>
      <c r="AH4211" s="352"/>
      <c r="AI4211" s="352"/>
      <c r="AJ4211" s="352"/>
    </row>
    <row r="4212" spans="2:36">
      <c r="B4212" s="352"/>
      <c r="C4212" s="352"/>
      <c r="D4212" s="352"/>
      <c r="E4212" s="352"/>
      <c r="F4212" s="352"/>
      <c r="H4212" s="352"/>
      <c r="J4212" s="352"/>
      <c r="L4212" s="352"/>
      <c r="M4212" s="352"/>
      <c r="N4212" s="352"/>
      <c r="O4212" s="352"/>
      <c r="P4212" s="352"/>
      <c r="Q4212" s="352"/>
      <c r="R4212" s="352"/>
      <c r="S4212" s="352"/>
      <c r="T4212" s="352"/>
      <c r="U4212" s="352"/>
      <c r="V4212" s="352"/>
      <c r="W4212" s="352"/>
      <c r="X4212" s="352"/>
      <c r="Y4212" s="352"/>
      <c r="Z4212" s="352"/>
      <c r="AA4212" s="352"/>
      <c r="AB4212" s="352"/>
      <c r="AC4212" s="352"/>
      <c r="AD4212" s="352"/>
      <c r="AE4212" s="352"/>
      <c r="AF4212" s="352"/>
      <c r="AG4212" s="352"/>
      <c r="AH4212" s="352"/>
      <c r="AI4212" s="352"/>
      <c r="AJ4212" s="352"/>
    </row>
    <row r="4213" spans="2:36">
      <c r="B4213" s="352"/>
      <c r="C4213" s="352"/>
      <c r="D4213" s="352"/>
      <c r="E4213" s="352"/>
      <c r="F4213" s="352"/>
      <c r="H4213" s="352"/>
      <c r="J4213" s="352"/>
      <c r="L4213" s="352"/>
      <c r="M4213" s="352"/>
      <c r="N4213" s="352"/>
      <c r="O4213" s="352"/>
      <c r="P4213" s="352"/>
      <c r="Q4213" s="352"/>
      <c r="R4213" s="352"/>
      <c r="S4213" s="352"/>
      <c r="T4213" s="352"/>
      <c r="U4213" s="352"/>
      <c r="V4213" s="352"/>
      <c r="W4213" s="352"/>
      <c r="X4213" s="352"/>
      <c r="Y4213" s="352"/>
      <c r="Z4213" s="352"/>
      <c r="AA4213" s="352"/>
      <c r="AB4213" s="352"/>
      <c r="AC4213" s="352"/>
      <c r="AD4213" s="352"/>
      <c r="AE4213" s="352"/>
      <c r="AF4213" s="352"/>
      <c r="AG4213" s="352"/>
      <c r="AH4213" s="352"/>
      <c r="AI4213" s="352"/>
      <c r="AJ4213" s="352"/>
    </row>
    <row r="4214" spans="2:36">
      <c r="B4214" s="352"/>
      <c r="C4214" s="352"/>
      <c r="D4214" s="352"/>
      <c r="E4214" s="352"/>
      <c r="F4214" s="352"/>
      <c r="H4214" s="352"/>
      <c r="J4214" s="352"/>
      <c r="L4214" s="352"/>
      <c r="M4214" s="352"/>
      <c r="N4214" s="352"/>
      <c r="O4214" s="352"/>
      <c r="P4214" s="352"/>
      <c r="Q4214" s="352"/>
      <c r="R4214" s="352"/>
      <c r="S4214" s="352"/>
      <c r="T4214" s="352"/>
      <c r="U4214" s="352"/>
      <c r="V4214" s="352"/>
      <c r="W4214" s="352"/>
      <c r="X4214" s="352"/>
      <c r="Y4214" s="352"/>
      <c r="Z4214" s="352"/>
      <c r="AA4214" s="352"/>
      <c r="AB4214" s="352"/>
      <c r="AC4214" s="352"/>
      <c r="AD4214" s="352"/>
      <c r="AE4214" s="352"/>
      <c r="AF4214" s="352"/>
      <c r="AG4214" s="352"/>
      <c r="AH4214" s="352"/>
      <c r="AI4214" s="352"/>
      <c r="AJ4214" s="352"/>
    </row>
    <row r="4215" spans="2:36">
      <c r="B4215" s="352"/>
      <c r="C4215" s="352"/>
      <c r="D4215" s="352"/>
      <c r="E4215" s="352"/>
      <c r="F4215" s="352"/>
      <c r="H4215" s="352"/>
      <c r="J4215" s="352"/>
      <c r="L4215" s="352"/>
      <c r="M4215" s="352"/>
      <c r="N4215" s="352"/>
      <c r="O4215" s="352"/>
      <c r="P4215" s="352"/>
      <c r="Q4215" s="352"/>
      <c r="R4215" s="352"/>
      <c r="S4215" s="352"/>
      <c r="T4215" s="352"/>
      <c r="U4215" s="352"/>
      <c r="V4215" s="352"/>
      <c r="W4215" s="352"/>
      <c r="X4215" s="352"/>
      <c r="Y4215" s="352"/>
      <c r="Z4215" s="352"/>
      <c r="AA4215" s="352"/>
      <c r="AB4215" s="352"/>
      <c r="AC4215" s="352"/>
      <c r="AD4215" s="352"/>
      <c r="AE4215" s="352"/>
      <c r="AF4215" s="352"/>
      <c r="AG4215" s="352"/>
      <c r="AH4215" s="352"/>
      <c r="AI4215" s="352"/>
      <c r="AJ4215" s="352"/>
    </row>
    <row r="4216" spans="2:36">
      <c r="B4216" s="352"/>
      <c r="C4216" s="352"/>
      <c r="D4216" s="352"/>
      <c r="E4216" s="352"/>
      <c r="F4216" s="352"/>
      <c r="H4216" s="352"/>
      <c r="J4216" s="352"/>
      <c r="L4216" s="352"/>
      <c r="M4216" s="352"/>
      <c r="N4216" s="352"/>
      <c r="O4216" s="352"/>
      <c r="P4216" s="352"/>
      <c r="Q4216" s="352"/>
      <c r="R4216" s="352"/>
      <c r="S4216" s="352"/>
      <c r="T4216" s="352"/>
      <c r="U4216" s="352"/>
      <c r="V4216" s="352"/>
      <c r="W4216" s="352"/>
      <c r="X4216" s="352"/>
      <c r="Y4216" s="352"/>
      <c r="Z4216" s="352"/>
      <c r="AA4216" s="352"/>
      <c r="AB4216" s="352"/>
      <c r="AC4216" s="352"/>
      <c r="AD4216" s="352"/>
      <c r="AE4216" s="352"/>
      <c r="AF4216" s="352"/>
      <c r="AG4216" s="352"/>
      <c r="AH4216" s="352"/>
      <c r="AI4216" s="352"/>
      <c r="AJ4216" s="352"/>
    </row>
    <row r="4217" spans="2:36">
      <c r="B4217" s="352"/>
      <c r="C4217" s="352"/>
      <c r="D4217" s="352"/>
      <c r="E4217" s="352"/>
      <c r="F4217" s="352"/>
      <c r="H4217" s="352"/>
      <c r="J4217" s="352"/>
      <c r="L4217" s="352"/>
      <c r="M4217" s="352"/>
      <c r="N4217" s="352"/>
      <c r="O4217" s="352"/>
      <c r="P4217" s="352"/>
      <c r="Q4217" s="352"/>
      <c r="R4217" s="352"/>
      <c r="S4217" s="352"/>
      <c r="T4217" s="352"/>
      <c r="U4217" s="352"/>
      <c r="V4217" s="352"/>
      <c r="W4217" s="352"/>
      <c r="X4217" s="352"/>
      <c r="Y4217" s="352"/>
      <c r="Z4217" s="352"/>
      <c r="AA4217" s="352"/>
      <c r="AB4217" s="352"/>
      <c r="AC4217" s="352"/>
      <c r="AD4217" s="352"/>
      <c r="AE4217" s="352"/>
      <c r="AF4217" s="352"/>
      <c r="AG4217" s="352"/>
      <c r="AH4217" s="352"/>
      <c r="AI4217" s="352"/>
      <c r="AJ4217" s="352"/>
    </row>
    <row r="4218" spans="2:36">
      <c r="B4218" s="352"/>
      <c r="C4218" s="352"/>
      <c r="D4218" s="352"/>
      <c r="E4218" s="352"/>
      <c r="F4218" s="352"/>
      <c r="H4218" s="352"/>
      <c r="J4218" s="352"/>
      <c r="L4218" s="352"/>
      <c r="M4218" s="352"/>
      <c r="N4218" s="352"/>
      <c r="O4218" s="352"/>
      <c r="P4218" s="352"/>
      <c r="Q4218" s="352"/>
      <c r="R4218" s="352"/>
      <c r="S4218" s="352"/>
      <c r="T4218" s="352"/>
      <c r="U4218" s="352"/>
      <c r="V4218" s="352"/>
      <c r="W4218" s="352"/>
      <c r="X4218" s="352"/>
      <c r="Y4218" s="352"/>
      <c r="Z4218" s="352"/>
      <c r="AA4218" s="352"/>
      <c r="AB4218" s="352"/>
      <c r="AC4218" s="352"/>
      <c r="AD4218" s="352"/>
      <c r="AE4218" s="352"/>
      <c r="AF4218" s="352"/>
      <c r="AG4218" s="352"/>
      <c r="AH4218" s="352"/>
      <c r="AI4218" s="352"/>
      <c r="AJ4218" s="352"/>
    </row>
    <row r="4219" spans="2:36">
      <c r="B4219" s="352"/>
      <c r="C4219" s="352"/>
      <c r="D4219" s="352"/>
      <c r="E4219" s="352"/>
      <c r="F4219" s="352"/>
      <c r="H4219" s="352"/>
      <c r="J4219" s="352"/>
      <c r="L4219" s="352"/>
      <c r="M4219" s="352"/>
      <c r="N4219" s="352"/>
      <c r="O4219" s="352"/>
      <c r="P4219" s="352"/>
      <c r="Q4219" s="352"/>
      <c r="R4219" s="352"/>
      <c r="S4219" s="352"/>
      <c r="T4219" s="352"/>
      <c r="U4219" s="352"/>
      <c r="V4219" s="352"/>
      <c r="W4219" s="352"/>
      <c r="X4219" s="352"/>
      <c r="Y4219" s="352"/>
      <c r="Z4219" s="352"/>
      <c r="AA4219" s="352"/>
      <c r="AB4219" s="352"/>
      <c r="AC4219" s="352"/>
      <c r="AD4219" s="352"/>
      <c r="AE4219" s="352"/>
      <c r="AF4219" s="352"/>
      <c r="AG4219" s="352"/>
      <c r="AH4219" s="352"/>
      <c r="AI4219" s="352"/>
      <c r="AJ4219" s="352"/>
    </row>
    <row r="4220" spans="2:36">
      <c r="B4220" s="352"/>
      <c r="C4220" s="352"/>
      <c r="D4220" s="352"/>
      <c r="E4220" s="352"/>
      <c r="F4220" s="352"/>
      <c r="H4220" s="352"/>
      <c r="J4220" s="352"/>
      <c r="L4220" s="352"/>
      <c r="M4220" s="352"/>
      <c r="N4220" s="352"/>
      <c r="O4220" s="352"/>
      <c r="P4220" s="352"/>
      <c r="Q4220" s="352"/>
      <c r="R4220" s="352"/>
      <c r="S4220" s="352"/>
      <c r="T4220" s="352"/>
      <c r="U4220" s="352"/>
      <c r="V4220" s="352"/>
      <c r="W4220" s="352"/>
      <c r="X4220" s="352"/>
      <c r="Y4220" s="352"/>
      <c r="Z4220" s="352"/>
      <c r="AA4220" s="352"/>
      <c r="AB4220" s="352"/>
      <c r="AC4220" s="352"/>
      <c r="AD4220" s="352"/>
      <c r="AE4220" s="352"/>
      <c r="AF4220" s="352"/>
      <c r="AG4220" s="352"/>
      <c r="AH4220" s="352"/>
      <c r="AI4220" s="352"/>
      <c r="AJ4220" s="352"/>
    </row>
    <row r="4221" spans="2:36">
      <c r="B4221" s="352"/>
      <c r="C4221" s="352"/>
      <c r="D4221" s="352"/>
      <c r="E4221" s="352"/>
      <c r="F4221" s="352"/>
      <c r="H4221" s="352"/>
      <c r="J4221" s="352"/>
      <c r="L4221" s="352"/>
      <c r="M4221" s="352"/>
      <c r="N4221" s="352"/>
      <c r="O4221" s="352"/>
      <c r="P4221" s="352"/>
      <c r="Q4221" s="352"/>
      <c r="R4221" s="352"/>
      <c r="S4221" s="352"/>
      <c r="T4221" s="352"/>
      <c r="U4221" s="352"/>
      <c r="V4221" s="352"/>
      <c r="W4221" s="352"/>
      <c r="X4221" s="352"/>
      <c r="Y4221" s="352"/>
      <c r="Z4221" s="352"/>
      <c r="AA4221" s="352"/>
      <c r="AB4221" s="352"/>
      <c r="AC4221" s="352"/>
      <c r="AD4221" s="352"/>
      <c r="AE4221" s="352"/>
      <c r="AF4221" s="352"/>
      <c r="AG4221" s="352"/>
      <c r="AH4221" s="352"/>
      <c r="AI4221" s="352"/>
      <c r="AJ4221" s="352"/>
    </row>
    <row r="4222" spans="2:36">
      <c r="B4222" s="352"/>
      <c r="C4222" s="352"/>
      <c r="D4222" s="352"/>
      <c r="E4222" s="352"/>
      <c r="F4222" s="352"/>
      <c r="H4222" s="352"/>
      <c r="J4222" s="352"/>
      <c r="L4222" s="352"/>
      <c r="M4222" s="352"/>
      <c r="N4222" s="352"/>
      <c r="O4222" s="352"/>
      <c r="P4222" s="352"/>
      <c r="Q4222" s="352"/>
      <c r="R4222" s="352"/>
      <c r="S4222" s="352"/>
      <c r="T4222" s="352"/>
      <c r="U4222" s="352"/>
      <c r="V4222" s="352"/>
      <c r="W4222" s="352"/>
      <c r="X4222" s="352"/>
      <c r="Y4222" s="352"/>
      <c r="Z4222" s="352"/>
      <c r="AA4222" s="352"/>
      <c r="AB4222" s="352"/>
      <c r="AC4222" s="352"/>
      <c r="AD4222" s="352"/>
      <c r="AE4222" s="352"/>
      <c r="AF4222" s="352"/>
      <c r="AG4222" s="352"/>
      <c r="AH4222" s="352"/>
      <c r="AI4222" s="352"/>
      <c r="AJ4222" s="352"/>
    </row>
    <row r="4223" spans="2:36">
      <c r="B4223" s="352"/>
      <c r="C4223" s="352"/>
      <c r="D4223" s="352"/>
      <c r="E4223" s="352"/>
      <c r="F4223" s="352"/>
      <c r="H4223" s="352"/>
      <c r="J4223" s="352"/>
      <c r="L4223" s="352"/>
      <c r="M4223" s="352"/>
      <c r="N4223" s="352"/>
      <c r="O4223" s="352"/>
      <c r="P4223" s="352"/>
      <c r="Q4223" s="352"/>
      <c r="R4223" s="352"/>
      <c r="S4223" s="352"/>
      <c r="T4223" s="352"/>
      <c r="U4223" s="352"/>
      <c r="V4223" s="352"/>
      <c r="W4223" s="352"/>
      <c r="X4223" s="352"/>
      <c r="Y4223" s="352"/>
      <c r="Z4223" s="352"/>
      <c r="AA4223" s="352"/>
      <c r="AB4223" s="352"/>
      <c r="AC4223" s="352"/>
      <c r="AD4223" s="352"/>
      <c r="AE4223" s="352"/>
      <c r="AF4223" s="352"/>
      <c r="AG4223" s="352"/>
      <c r="AH4223" s="352"/>
      <c r="AI4223" s="352"/>
      <c r="AJ4223" s="352"/>
    </row>
    <row r="4224" spans="2:36">
      <c r="B4224" s="352"/>
      <c r="C4224" s="352"/>
      <c r="D4224" s="352"/>
      <c r="E4224" s="352"/>
      <c r="F4224" s="352"/>
      <c r="H4224" s="352"/>
      <c r="J4224" s="352"/>
      <c r="L4224" s="352"/>
      <c r="M4224" s="352"/>
      <c r="N4224" s="352"/>
      <c r="O4224" s="352"/>
      <c r="P4224" s="352"/>
      <c r="Q4224" s="352"/>
      <c r="R4224" s="352"/>
      <c r="S4224" s="352"/>
      <c r="T4224" s="352"/>
      <c r="U4224" s="352"/>
      <c r="V4224" s="352"/>
      <c r="W4224" s="352"/>
      <c r="X4224" s="352"/>
      <c r="Y4224" s="352"/>
      <c r="Z4224" s="352"/>
      <c r="AA4224" s="352"/>
      <c r="AB4224" s="352"/>
      <c r="AC4224" s="352"/>
      <c r="AD4224" s="352"/>
      <c r="AE4224" s="352"/>
      <c r="AF4224" s="352"/>
      <c r="AG4224" s="352"/>
      <c r="AH4224" s="352"/>
      <c r="AI4224" s="352"/>
      <c r="AJ4224" s="352"/>
    </row>
    <row r="4225" spans="2:36">
      <c r="B4225" s="352"/>
      <c r="C4225" s="352"/>
      <c r="D4225" s="352"/>
      <c r="E4225" s="352"/>
      <c r="F4225" s="352"/>
      <c r="H4225" s="352"/>
      <c r="J4225" s="352"/>
      <c r="L4225" s="352"/>
      <c r="M4225" s="352"/>
      <c r="N4225" s="352"/>
      <c r="O4225" s="352"/>
      <c r="P4225" s="352"/>
      <c r="Q4225" s="352"/>
      <c r="R4225" s="352"/>
      <c r="S4225" s="352"/>
      <c r="T4225" s="352"/>
      <c r="U4225" s="352"/>
      <c r="V4225" s="352"/>
      <c r="W4225" s="352"/>
      <c r="X4225" s="352"/>
      <c r="Y4225" s="352"/>
      <c r="Z4225" s="352"/>
      <c r="AA4225" s="352"/>
      <c r="AB4225" s="352"/>
      <c r="AC4225" s="352"/>
      <c r="AD4225" s="352"/>
      <c r="AE4225" s="352"/>
      <c r="AF4225" s="352"/>
      <c r="AG4225" s="352"/>
      <c r="AH4225" s="352"/>
      <c r="AI4225" s="352"/>
      <c r="AJ4225" s="352"/>
    </row>
    <row r="4226" spans="2:36">
      <c r="B4226" s="352"/>
      <c r="C4226" s="352"/>
      <c r="D4226" s="352"/>
      <c r="E4226" s="352"/>
      <c r="F4226" s="352"/>
      <c r="H4226" s="352"/>
      <c r="J4226" s="352"/>
      <c r="L4226" s="352"/>
      <c r="M4226" s="352"/>
      <c r="N4226" s="352"/>
      <c r="O4226" s="352"/>
      <c r="P4226" s="352"/>
      <c r="Q4226" s="352"/>
      <c r="R4226" s="352"/>
      <c r="S4226" s="352"/>
      <c r="T4226" s="352"/>
      <c r="U4226" s="352"/>
      <c r="V4226" s="352"/>
      <c r="W4226" s="352"/>
      <c r="X4226" s="352"/>
      <c r="Y4226" s="352"/>
      <c r="Z4226" s="352"/>
      <c r="AA4226" s="352"/>
      <c r="AB4226" s="352"/>
      <c r="AC4226" s="352"/>
      <c r="AD4226" s="352"/>
      <c r="AE4226" s="352"/>
      <c r="AF4226" s="352"/>
      <c r="AG4226" s="352"/>
      <c r="AH4226" s="352"/>
      <c r="AI4226" s="352"/>
      <c r="AJ4226" s="352"/>
    </row>
    <row r="4227" spans="2:36">
      <c r="B4227" s="352"/>
      <c r="C4227" s="352"/>
      <c r="D4227" s="352"/>
      <c r="E4227" s="352"/>
      <c r="F4227" s="352"/>
      <c r="H4227" s="352"/>
      <c r="J4227" s="352"/>
      <c r="L4227" s="352"/>
      <c r="M4227" s="352"/>
      <c r="N4227" s="352"/>
      <c r="O4227" s="352"/>
      <c r="P4227" s="352"/>
      <c r="Q4227" s="352"/>
      <c r="R4227" s="352"/>
      <c r="S4227" s="352"/>
      <c r="T4227" s="352"/>
      <c r="U4227" s="352"/>
      <c r="V4227" s="352"/>
      <c r="W4227" s="352"/>
      <c r="X4227" s="352"/>
      <c r="Y4227" s="352"/>
      <c r="Z4227" s="352"/>
      <c r="AA4227" s="352"/>
      <c r="AB4227" s="352"/>
      <c r="AC4227" s="352"/>
      <c r="AD4227" s="352"/>
      <c r="AE4227" s="352"/>
      <c r="AF4227" s="352"/>
      <c r="AG4227" s="352"/>
      <c r="AH4227" s="352"/>
      <c r="AI4227" s="352"/>
      <c r="AJ4227" s="352"/>
    </row>
    <row r="4228" spans="2:36">
      <c r="B4228" s="352"/>
      <c r="C4228" s="352"/>
      <c r="D4228" s="352"/>
      <c r="E4228" s="352"/>
      <c r="F4228" s="352"/>
      <c r="H4228" s="352"/>
      <c r="J4228" s="352"/>
      <c r="L4228" s="352"/>
      <c r="M4228" s="352"/>
      <c r="N4228" s="352"/>
      <c r="O4228" s="352"/>
      <c r="P4228" s="352"/>
      <c r="Q4228" s="352"/>
      <c r="R4228" s="352"/>
      <c r="S4228" s="352"/>
      <c r="T4228" s="352"/>
      <c r="U4228" s="352"/>
      <c r="V4228" s="352"/>
      <c r="W4228" s="352"/>
      <c r="X4228" s="352"/>
      <c r="Y4228" s="352"/>
      <c r="Z4228" s="352"/>
      <c r="AA4228" s="352"/>
      <c r="AB4228" s="352"/>
      <c r="AC4228" s="352"/>
      <c r="AD4228" s="352"/>
      <c r="AE4228" s="352"/>
      <c r="AF4228" s="352"/>
      <c r="AG4228" s="352"/>
      <c r="AH4228" s="352"/>
      <c r="AI4228" s="352"/>
      <c r="AJ4228" s="352"/>
    </row>
    <row r="4229" spans="2:36">
      <c r="B4229" s="352"/>
      <c r="C4229" s="352"/>
      <c r="D4229" s="352"/>
      <c r="E4229" s="352"/>
      <c r="F4229" s="352"/>
      <c r="H4229" s="352"/>
      <c r="J4229" s="352"/>
      <c r="L4229" s="352"/>
      <c r="M4229" s="352"/>
      <c r="N4229" s="352"/>
      <c r="O4229" s="352"/>
      <c r="P4229" s="352"/>
      <c r="Q4229" s="352"/>
      <c r="R4229" s="352"/>
      <c r="S4229" s="352"/>
      <c r="T4229" s="352"/>
      <c r="U4229" s="352"/>
      <c r="V4229" s="352"/>
      <c r="W4229" s="352"/>
      <c r="X4229" s="352"/>
      <c r="Y4229" s="352"/>
      <c r="Z4229" s="352"/>
      <c r="AA4229" s="352"/>
      <c r="AB4229" s="352"/>
      <c r="AC4229" s="352"/>
      <c r="AD4229" s="352"/>
      <c r="AE4229" s="352"/>
      <c r="AF4229" s="352"/>
      <c r="AG4229" s="352"/>
      <c r="AH4229" s="352"/>
      <c r="AI4229" s="352"/>
      <c r="AJ4229" s="352"/>
    </row>
    <row r="4230" spans="2:36">
      <c r="B4230" s="352"/>
      <c r="C4230" s="352"/>
      <c r="D4230" s="352"/>
      <c r="E4230" s="352"/>
      <c r="F4230" s="352"/>
      <c r="H4230" s="352"/>
      <c r="J4230" s="352"/>
      <c r="L4230" s="352"/>
      <c r="M4230" s="352"/>
      <c r="N4230" s="352"/>
      <c r="O4230" s="352"/>
      <c r="P4230" s="352"/>
      <c r="Q4230" s="352"/>
      <c r="R4230" s="352"/>
      <c r="S4230" s="352"/>
      <c r="T4230" s="352"/>
      <c r="U4230" s="352"/>
      <c r="V4230" s="352"/>
      <c r="W4230" s="352"/>
      <c r="X4230" s="352"/>
      <c r="Y4230" s="352"/>
      <c r="Z4230" s="352"/>
      <c r="AA4230" s="352"/>
      <c r="AB4230" s="352"/>
      <c r="AC4230" s="352"/>
      <c r="AD4230" s="352"/>
      <c r="AE4230" s="352"/>
      <c r="AF4230" s="352"/>
      <c r="AG4230" s="352"/>
      <c r="AH4230" s="352"/>
      <c r="AI4230" s="352"/>
      <c r="AJ4230" s="352"/>
    </row>
    <row r="4231" spans="2:36">
      <c r="B4231" s="352"/>
      <c r="C4231" s="352"/>
      <c r="D4231" s="352"/>
      <c r="E4231" s="352"/>
      <c r="F4231" s="352"/>
      <c r="H4231" s="352"/>
      <c r="J4231" s="352"/>
      <c r="L4231" s="352"/>
      <c r="M4231" s="352"/>
      <c r="N4231" s="352"/>
      <c r="O4231" s="352"/>
      <c r="P4231" s="352"/>
      <c r="Q4231" s="352"/>
      <c r="R4231" s="352"/>
      <c r="S4231" s="352"/>
      <c r="T4231" s="352"/>
      <c r="U4231" s="352"/>
      <c r="V4231" s="352"/>
      <c r="W4231" s="352"/>
      <c r="X4231" s="352"/>
      <c r="Y4231" s="352"/>
      <c r="Z4231" s="352"/>
      <c r="AA4231" s="352"/>
      <c r="AB4231" s="352"/>
      <c r="AC4231" s="352"/>
      <c r="AD4231" s="352"/>
      <c r="AE4231" s="352"/>
      <c r="AF4231" s="352"/>
      <c r="AG4231" s="352"/>
      <c r="AH4231" s="352"/>
      <c r="AI4231" s="352"/>
      <c r="AJ4231" s="352"/>
    </row>
    <row r="4232" spans="2:36">
      <c r="B4232" s="352"/>
      <c r="C4232" s="352"/>
      <c r="D4232" s="352"/>
      <c r="E4232" s="352"/>
      <c r="F4232" s="352"/>
      <c r="H4232" s="352"/>
      <c r="J4232" s="352"/>
      <c r="L4232" s="352"/>
      <c r="M4232" s="352"/>
      <c r="N4232" s="352"/>
      <c r="O4232" s="352"/>
      <c r="P4232" s="352"/>
      <c r="Q4232" s="352"/>
      <c r="R4232" s="352"/>
      <c r="S4232" s="352"/>
      <c r="T4232" s="352"/>
      <c r="U4232" s="352"/>
      <c r="V4232" s="352"/>
      <c r="W4232" s="352"/>
      <c r="X4232" s="352"/>
      <c r="Y4232" s="352"/>
      <c r="Z4232" s="352"/>
      <c r="AA4232" s="352"/>
      <c r="AB4232" s="352"/>
      <c r="AC4232" s="352"/>
      <c r="AD4232" s="352"/>
      <c r="AE4232" s="352"/>
      <c r="AF4232" s="352"/>
      <c r="AG4232" s="352"/>
      <c r="AH4232" s="352"/>
      <c r="AI4232" s="352"/>
      <c r="AJ4232" s="352"/>
    </row>
    <row r="4233" spans="2:36">
      <c r="B4233" s="352"/>
      <c r="C4233" s="352"/>
      <c r="D4233" s="352"/>
      <c r="E4233" s="352"/>
      <c r="F4233" s="352"/>
      <c r="H4233" s="352"/>
      <c r="J4233" s="352"/>
      <c r="L4233" s="352"/>
      <c r="M4233" s="352"/>
      <c r="N4233" s="352"/>
      <c r="O4233" s="352"/>
      <c r="P4233" s="352"/>
      <c r="Q4233" s="352"/>
      <c r="R4233" s="352"/>
      <c r="S4233" s="352"/>
      <c r="T4233" s="352"/>
      <c r="U4233" s="352"/>
      <c r="V4233" s="352"/>
      <c r="W4233" s="352"/>
      <c r="X4233" s="352"/>
      <c r="Y4233" s="352"/>
      <c r="Z4233" s="352"/>
      <c r="AA4233" s="352"/>
      <c r="AB4233" s="352"/>
      <c r="AC4233" s="352"/>
      <c r="AD4233" s="352"/>
      <c r="AE4233" s="352"/>
      <c r="AF4233" s="352"/>
      <c r="AG4233" s="352"/>
      <c r="AH4233" s="352"/>
      <c r="AI4233" s="352"/>
      <c r="AJ4233" s="352"/>
    </row>
    <row r="4234" spans="2:36">
      <c r="B4234" s="352"/>
      <c r="C4234" s="352"/>
      <c r="D4234" s="352"/>
      <c r="E4234" s="352"/>
      <c r="F4234" s="352"/>
      <c r="H4234" s="352"/>
      <c r="J4234" s="352"/>
      <c r="L4234" s="352"/>
      <c r="M4234" s="352"/>
      <c r="N4234" s="352"/>
      <c r="O4234" s="352"/>
      <c r="P4234" s="352"/>
      <c r="Q4234" s="352"/>
      <c r="R4234" s="352"/>
      <c r="S4234" s="352"/>
      <c r="T4234" s="352"/>
      <c r="U4234" s="352"/>
      <c r="V4234" s="352"/>
      <c r="W4234" s="352"/>
      <c r="X4234" s="352"/>
      <c r="Y4234" s="352"/>
      <c r="Z4234" s="352"/>
      <c r="AA4234" s="352"/>
      <c r="AB4234" s="352"/>
      <c r="AC4234" s="352"/>
      <c r="AD4234" s="352"/>
      <c r="AE4234" s="352"/>
      <c r="AF4234" s="352"/>
      <c r="AG4234" s="352"/>
      <c r="AH4234" s="352"/>
      <c r="AI4234" s="352"/>
      <c r="AJ4234" s="352"/>
    </row>
    <row r="4235" spans="2:36">
      <c r="B4235" s="352"/>
      <c r="C4235" s="352"/>
      <c r="D4235" s="352"/>
      <c r="E4235" s="352"/>
      <c r="F4235" s="352"/>
      <c r="H4235" s="352"/>
      <c r="J4235" s="352"/>
      <c r="L4235" s="352"/>
      <c r="M4235" s="352"/>
      <c r="N4235" s="352"/>
      <c r="O4235" s="352"/>
      <c r="P4235" s="352"/>
      <c r="Q4235" s="352"/>
      <c r="R4235" s="352"/>
      <c r="S4235" s="352"/>
      <c r="T4235" s="352"/>
      <c r="U4235" s="352"/>
      <c r="V4235" s="352"/>
      <c r="W4235" s="352"/>
      <c r="X4235" s="352"/>
      <c r="Y4235" s="352"/>
      <c r="Z4235" s="352"/>
      <c r="AA4235" s="352"/>
      <c r="AB4235" s="352"/>
      <c r="AC4235" s="352"/>
      <c r="AD4235" s="352"/>
      <c r="AE4235" s="352"/>
      <c r="AF4235" s="352"/>
      <c r="AG4235" s="352"/>
      <c r="AH4235" s="352"/>
      <c r="AI4235" s="352"/>
      <c r="AJ4235" s="352"/>
    </row>
    <row r="4236" spans="2:36">
      <c r="B4236" s="352"/>
      <c r="C4236" s="352"/>
      <c r="D4236" s="352"/>
      <c r="E4236" s="352"/>
      <c r="F4236" s="352"/>
      <c r="H4236" s="352"/>
      <c r="J4236" s="352"/>
      <c r="L4236" s="352"/>
      <c r="M4236" s="352"/>
      <c r="N4236" s="352"/>
      <c r="O4236" s="352"/>
      <c r="P4236" s="352"/>
      <c r="Q4236" s="352"/>
      <c r="R4236" s="352"/>
      <c r="S4236" s="352"/>
      <c r="T4236" s="352"/>
      <c r="U4236" s="352"/>
      <c r="V4236" s="352"/>
      <c r="W4236" s="352"/>
      <c r="X4236" s="352"/>
      <c r="Y4236" s="352"/>
      <c r="Z4236" s="352"/>
      <c r="AA4236" s="352"/>
      <c r="AB4236" s="352"/>
      <c r="AC4236" s="352"/>
      <c r="AD4236" s="352"/>
      <c r="AE4236" s="352"/>
      <c r="AF4236" s="352"/>
      <c r="AG4236" s="352"/>
      <c r="AH4236" s="352"/>
      <c r="AI4236" s="352"/>
      <c r="AJ4236" s="352"/>
    </row>
    <row r="4237" spans="2:36">
      <c r="B4237" s="352"/>
      <c r="C4237" s="352"/>
      <c r="D4237" s="352"/>
      <c r="E4237" s="352"/>
      <c r="F4237" s="352"/>
      <c r="H4237" s="352"/>
      <c r="J4237" s="352"/>
      <c r="L4237" s="352"/>
      <c r="M4237" s="352"/>
      <c r="N4237" s="352"/>
      <c r="O4237" s="352"/>
      <c r="P4237" s="352"/>
      <c r="Q4237" s="352"/>
      <c r="R4237" s="352"/>
      <c r="S4237" s="352"/>
      <c r="T4237" s="352"/>
      <c r="U4237" s="352"/>
      <c r="V4237" s="352"/>
      <c r="W4237" s="352"/>
      <c r="X4237" s="352"/>
      <c r="Y4237" s="352"/>
      <c r="Z4237" s="352"/>
      <c r="AA4237" s="352"/>
      <c r="AB4237" s="352"/>
      <c r="AC4237" s="352"/>
      <c r="AD4237" s="352"/>
      <c r="AE4237" s="352"/>
      <c r="AF4237" s="352"/>
      <c r="AG4237" s="352"/>
      <c r="AH4237" s="352"/>
      <c r="AI4237" s="352"/>
      <c r="AJ4237" s="352"/>
    </row>
    <row r="4238" spans="2:36">
      <c r="B4238" s="352"/>
      <c r="C4238" s="352"/>
      <c r="D4238" s="352"/>
      <c r="E4238" s="352"/>
      <c r="F4238" s="352"/>
      <c r="H4238" s="352"/>
      <c r="J4238" s="352"/>
      <c r="L4238" s="352"/>
      <c r="M4238" s="352"/>
      <c r="N4238" s="352"/>
      <c r="O4238" s="352"/>
      <c r="P4238" s="352"/>
      <c r="Q4238" s="352"/>
      <c r="R4238" s="352"/>
      <c r="S4238" s="352"/>
      <c r="T4238" s="352"/>
      <c r="U4238" s="352"/>
      <c r="V4238" s="352"/>
      <c r="W4238" s="352"/>
      <c r="X4238" s="352"/>
      <c r="Y4238" s="352"/>
      <c r="Z4238" s="352"/>
      <c r="AA4238" s="352"/>
      <c r="AB4238" s="352"/>
      <c r="AC4238" s="352"/>
      <c r="AD4238" s="352"/>
      <c r="AE4238" s="352"/>
      <c r="AF4238" s="352"/>
      <c r="AG4238" s="352"/>
      <c r="AH4238" s="352"/>
      <c r="AI4238" s="352"/>
      <c r="AJ4238" s="352"/>
    </row>
    <row r="4239" spans="2:36">
      <c r="B4239" s="352"/>
      <c r="C4239" s="352"/>
      <c r="D4239" s="352"/>
      <c r="E4239" s="352"/>
      <c r="F4239" s="352"/>
      <c r="H4239" s="352"/>
      <c r="J4239" s="352"/>
      <c r="L4239" s="352"/>
      <c r="M4239" s="352"/>
      <c r="N4239" s="352"/>
      <c r="O4239" s="352"/>
      <c r="P4239" s="352"/>
      <c r="Q4239" s="352"/>
      <c r="R4239" s="352"/>
      <c r="S4239" s="352"/>
      <c r="T4239" s="352"/>
      <c r="U4239" s="352"/>
      <c r="V4239" s="352"/>
      <c r="W4239" s="352"/>
      <c r="X4239" s="352"/>
      <c r="Y4239" s="352"/>
      <c r="Z4239" s="352"/>
      <c r="AA4239" s="352"/>
      <c r="AB4239" s="352"/>
      <c r="AC4239" s="352"/>
      <c r="AD4239" s="352"/>
      <c r="AE4239" s="352"/>
      <c r="AF4239" s="352"/>
      <c r="AG4239" s="352"/>
      <c r="AH4239" s="352"/>
      <c r="AI4239" s="352"/>
      <c r="AJ4239" s="352"/>
    </row>
    <row r="4240" spans="2:36">
      <c r="B4240" s="352"/>
      <c r="C4240" s="352"/>
      <c r="D4240" s="352"/>
      <c r="E4240" s="352"/>
      <c r="F4240" s="352"/>
      <c r="H4240" s="352"/>
      <c r="J4240" s="352"/>
      <c r="L4240" s="352"/>
      <c r="M4240" s="352"/>
      <c r="N4240" s="352"/>
      <c r="O4240" s="352"/>
      <c r="P4240" s="352"/>
      <c r="Q4240" s="352"/>
      <c r="R4240" s="352"/>
      <c r="S4240" s="352"/>
      <c r="T4240" s="352"/>
      <c r="U4240" s="352"/>
      <c r="V4240" s="352"/>
      <c r="W4240" s="352"/>
      <c r="X4240" s="352"/>
      <c r="Y4240" s="352"/>
      <c r="Z4240" s="352"/>
      <c r="AA4240" s="352"/>
      <c r="AB4240" s="352"/>
      <c r="AC4240" s="352"/>
      <c r="AD4240" s="352"/>
      <c r="AE4240" s="352"/>
      <c r="AF4240" s="352"/>
      <c r="AG4240" s="352"/>
      <c r="AH4240" s="352"/>
      <c r="AI4240" s="352"/>
      <c r="AJ4240" s="352"/>
    </row>
    <row r="4241" spans="2:36">
      <c r="B4241" s="352"/>
      <c r="C4241" s="352"/>
      <c r="D4241" s="352"/>
      <c r="E4241" s="352"/>
      <c r="F4241" s="352"/>
      <c r="H4241" s="352"/>
      <c r="J4241" s="352"/>
      <c r="L4241" s="352"/>
      <c r="M4241" s="352"/>
      <c r="N4241" s="352"/>
      <c r="O4241" s="352"/>
      <c r="P4241" s="352"/>
      <c r="Q4241" s="352"/>
      <c r="R4241" s="352"/>
      <c r="S4241" s="352"/>
      <c r="T4241" s="352"/>
      <c r="U4241" s="352"/>
      <c r="V4241" s="352"/>
      <c r="W4241" s="352"/>
      <c r="X4241" s="352"/>
      <c r="Y4241" s="352"/>
      <c r="Z4241" s="352"/>
      <c r="AA4241" s="352"/>
      <c r="AB4241" s="352"/>
      <c r="AC4241" s="352"/>
      <c r="AD4241" s="352"/>
      <c r="AE4241" s="352"/>
      <c r="AF4241" s="352"/>
      <c r="AG4241" s="352"/>
      <c r="AH4241" s="352"/>
      <c r="AI4241" s="352"/>
      <c r="AJ4241" s="352"/>
    </row>
    <row r="4242" spans="2:36">
      <c r="B4242" s="352"/>
      <c r="C4242" s="352"/>
      <c r="D4242" s="352"/>
      <c r="E4242" s="352"/>
      <c r="F4242" s="352"/>
      <c r="H4242" s="352"/>
      <c r="J4242" s="352"/>
      <c r="L4242" s="352"/>
      <c r="M4242" s="352"/>
      <c r="N4242" s="352"/>
      <c r="O4242" s="352"/>
      <c r="P4242" s="352"/>
      <c r="Q4242" s="352"/>
      <c r="R4242" s="352"/>
      <c r="S4242" s="352"/>
      <c r="T4242" s="352"/>
      <c r="U4242" s="352"/>
      <c r="V4242" s="352"/>
      <c r="W4242" s="352"/>
      <c r="X4242" s="352"/>
      <c r="Y4242" s="352"/>
      <c r="Z4242" s="352"/>
      <c r="AA4242" s="352"/>
      <c r="AB4242" s="352"/>
      <c r="AC4242" s="352"/>
      <c r="AD4242" s="352"/>
      <c r="AE4242" s="352"/>
      <c r="AF4242" s="352"/>
      <c r="AG4242" s="352"/>
      <c r="AH4242" s="352"/>
      <c r="AI4242" s="352"/>
      <c r="AJ4242" s="352"/>
    </row>
    <row r="4243" spans="2:36">
      <c r="B4243" s="352"/>
      <c r="C4243" s="352"/>
      <c r="D4243" s="352"/>
      <c r="E4243" s="352"/>
      <c r="F4243" s="352"/>
      <c r="H4243" s="352"/>
      <c r="J4243" s="352"/>
      <c r="L4243" s="352"/>
      <c r="M4243" s="352"/>
      <c r="N4243" s="352"/>
      <c r="O4243" s="352"/>
      <c r="P4243" s="352"/>
      <c r="Q4243" s="352"/>
      <c r="R4243" s="352"/>
      <c r="S4243" s="352"/>
      <c r="T4243" s="352"/>
      <c r="U4243" s="352"/>
      <c r="V4243" s="352"/>
      <c r="W4243" s="352"/>
      <c r="X4243" s="352"/>
      <c r="Y4243" s="352"/>
      <c r="Z4243" s="352"/>
      <c r="AA4243" s="352"/>
      <c r="AB4243" s="352"/>
      <c r="AC4243" s="352"/>
      <c r="AD4243" s="352"/>
      <c r="AE4243" s="352"/>
      <c r="AF4243" s="352"/>
      <c r="AG4243" s="352"/>
      <c r="AH4243" s="352"/>
      <c r="AI4243" s="352"/>
      <c r="AJ4243" s="352"/>
    </row>
    <row r="4244" spans="2:36">
      <c r="B4244" s="352"/>
      <c r="C4244" s="352"/>
      <c r="D4244" s="352"/>
      <c r="E4244" s="352"/>
      <c r="F4244" s="352"/>
      <c r="H4244" s="352"/>
      <c r="J4244" s="352"/>
      <c r="L4244" s="352"/>
      <c r="M4244" s="352"/>
      <c r="N4244" s="352"/>
      <c r="O4244" s="352"/>
      <c r="P4244" s="352"/>
      <c r="Q4244" s="352"/>
      <c r="R4244" s="352"/>
      <c r="S4244" s="352"/>
      <c r="T4244" s="352"/>
      <c r="U4244" s="352"/>
      <c r="V4244" s="352"/>
      <c r="W4244" s="352"/>
      <c r="X4244" s="352"/>
      <c r="Y4244" s="352"/>
      <c r="Z4244" s="352"/>
      <c r="AA4244" s="352"/>
      <c r="AB4244" s="352"/>
      <c r="AC4244" s="352"/>
      <c r="AD4244" s="352"/>
      <c r="AE4244" s="352"/>
      <c r="AF4244" s="352"/>
      <c r="AG4244" s="352"/>
      <c r="AH4244" s="352"/>
      <c r="AI4244" s="352"/>
      <c r="AJ4244" s="352"/>
    </row>
    <row r="4245" spans="2:36">
      <c r="B4245" s="352"/>
      <c r="C4245" s="352"/>
      <c r="D4245" s="352"/>
      <c r="E4245" s="352"/>
      <c r="F4245" s="352"/>
      <c r="H4245" s="352"/>
      <c r="J4245" s="352"/>
      <c r="L4245" s="352"/>
      <c r="M4245" s="352"/>
      <c r="N4245" s="352"/>
      <c r="O4245" s="352"/>
      <c r="P4245" s="352"/>
      <c r="Q4245" s="352"/>
      <c r="R4245" s="352"/>
      <c r="S4245" s="352"/>
      <c r="T4245" s="352"/>
      <c r="U4245" s="352"/>
      <c r="V4245" s="352"/>
      <c r="W4245" s="352"/>
      <c r="X4245" s="352"/>
      <c r="Y4245" s="352"/>
      <c r="Z4245" s="352"/>
      <c r="AA4245" s="352"/>
      <c r="AB4245" s="352"/>
      <c r="AC4245" s="352"/>
      <c r="AD4245" s="352"/>
      <c r="AE4245" s="352"/>
      <c r="AF4245" s="352"/>
      <c r="AG4245" s="352"/>
      <c r="AH4245" s="352"/>
      <c r="AI4245" s="352"/>
      <c r="AJ4245" s="352"/>
    </row>
    <row r="4246" spans="2:36">
      <c r="B4246" s="352"/>
      <c r="C4246" s="352"/>
      <c r="D4246" s="352"/>
      <c r="E4246" s="352"/>
      <c r="F4246" s="352"/>
      <c r="H4246" s="352"/>
      <c r="J4246" s="352"/>
      <c r="L4246" s="352"/>
      <c r="M4246" s="352"/>
      <c r="N4246" s="352"/>
      <c r="O4246" s="352"/>
      <c r="P4246" s="352"/>
      <c r="Q4246" s="352"/>
      <c r="R4246" s="352"/>
      <c r="S4246" s="352"/>
      <c r="T4246" s="352"/>
      <c r="U4246" s="352"/>
      <c r="V4246" s="352"/>
      <c r="W4246" s="352"/>
      <c r="X4246" s="352"/>
      <c r="Y4246" s="352"/>
      <c r="Z4246" s="352"/>
      <c r="AA4246" s="352"/>
      <c r="AB4246" s="352"/>
      <c r="AC4246" s="352"/>
      <c r="AD4246" s="352"/>
      <c r="AE4246" s="352"/>
      <c r="AF4246" s="352"/>
      <c r="AG4246" s="352"/>
      <c r="AH4246" s="352"/>
      <c r="AI4246" s="352"/>
      <c r="AJ4246" s="352"/>
    </row>
    <row r="4247" spans="2:36">
      <c r="B4247" s="352"/>
      <c r="C4247" s="352"/>
      <c r="D4247" s="352"/>
      <c r="E4247" s="352"/>
      <c r="F4247" s="352"/>
      <c r="H4247" s="352"/>
      <c r="J4247" s="352"/>
      <c r="L4247" s="352"/>
      <c r="M4247" s="352"/>
      <c r="N4247" s="352"/>
      <c r="O4247" s="352"/>
      <c r="P4247" s="352"/>
      <c r="Q4247" s="352"/>
      <c r="R4247" s="352"/>
      <c r="S4247" s="352"/>
      <c r="T4247" s="352"/>
      <c r="U4247" s="352"/>
      <c r="V4247" s="352"/>
      <c r="W4247" s="352"/>
      <c r="X4247" s="352"/>
      <c r="Y4247" s="352"/>
      <c r="Z4247" s="352"/>
      <c r="AA4247" s="352"/>
      <c r="AB4247" s="352"/>
      <c r="AC4247" s="352"/>
      <c r="AD4247" s="352"/>
      <c r="AE4247" s="352"/>
      <c r="AF4247" s="352"/>
      <c r="AG4247" s="352"/>
      <c r="AH4247" s="352"/>
      <c r="AI4247" s="352"/>
      <c r="AJ4247" s="352"/>
    </row>
    <row r="4248" spans="2:36">
      <c r="B4248" s="352"/>
      <c r="C4248" s="352"/>
      <c r="D4248" s="352"/>
      <c r="E4248" s="352"/>
      <c r="F4248" s="352"/>
      <c r="H4248" s="352"/>
      <c r="J4248" s="352"/>
      <c r="L4248" s="352"/>
      <c r="M4248" s="352"/>
      <c r="N4248" s="352"/>
      <c r="O4248" s="352"/>
      <c r="P4248" s="352"/>
      <c r="Q4248" s="352"/>
      <c r="R4248" s="352"/>
      <c r="S4248" s="352"/>
      <c r="T4248" s="352"/>
      <c r="U4248" s="352"/>
      <c r="V4248" s="352"/>
      <c r="W4248" s="352"/>
      <c r="X4248" s="352"/>
      <c r="Y4248" s="352"/>
      <c r="Z4248" s="352"/>
      <c r="AA4248" s="352"/>
      <c r="AB4248" s="352"/>
      <c r="AC4248" s="352"/>
      <c r="AD4248" s="352"/>
      <c r="AE4248" s="352"/>
      <c r="AF4248" s="352"/>
      <c r="AG4248" s="352"/>
      <c r="AH4248" s="352"/>
      <c r="AI4248" s="352"/>
      <c r="AJ4248" s="352"/>
    </row>
    <row r="4249" spans="2:36">
      <c r="B4249" s="352"/>
      <c r="C4249" s="352"/>
      <c r="D4249" s="352"/>
      <c r="E4249" s="352"/>
      <c r="F4249" s="352"/>
      <c r="H4249" s="352"/>
      <c r="J4249" s="352"/>
      <c r="L4249" s="352"/>
      <c r="M4249" s="352"/>
      <c r="N4249" s="352"/>
      <c r="O4249" s="352"/>
      <c r="P4249" s="352"/>
      <c r="Q4249" s="352"/>
      <c r="R4249" s="352"/>
      <c r="S4249" s="352"/>
      <c r="T4249" s="352"/>
      <c r="U4249" s="352"/>
      <c r="V4249" s="352"/>
      <c r="W4249" s="352"/>
      <c r="X4249" s="352"/>
      <c r="Y4249" s="352"/>
      <c r="Z4249" s="352"/>
      <c r="AA4249" s="352"/>
      <c r="AB4249" s="352"/>
      <c r="AC4249" s="352"/>
      <c r="AD4249" s="352"/>
      <c r="AE4249" s="352"/>
      <c r="AF4249" s="352"/>
      <c r="AG4249" s="352"/>
      <c r="AH4249" s="352"/>
      <c r="AI4249" s="352"/>
      <c r="AJ4249" s="352"/>
    </row>
    <row r="4250" spans="2:36">
      <c r="B4250" s="352"/>
      <c r="C4250" s="352"/>
      <c r="D4250" s="352"/>
      <c r="E4250" s="352"/>
      <c r="F4250" s="352"/>
      <c r="H4250" s="352"/>
      <c r="J4250" s="352"/>
      <c r="L4250" s="352"/>
      <c r="M4250" s="352"/>
      <c r="N4250" s="352"/>
      <c r="O4250" s="352"/>
      <c r="P4250" s="352"/>
      <c r="Q4250" s="352"/>
      <c r="R4250" s="352"/>
      <c r="S4250" s="352"/>
      <c r="T4250" s="352"/>
      <c r="U4250" s="352"/>
      <c r="V4250" s="352"/>
      <c r="W4250" s="352"/>
      <c r="X4250" s="352"/>
      <c r="Y4250" s="352"/>
      <c r="Z4250" s="352"/>
      <c r="AA4250" s="352"/>
      <c r="AB4250" s="352"/>
      <c r="AC4250" s="352"/>
      <c r="AD4250" s="352"/>
      <c r="AE4250" s="352"/>
      <c r="AF4250" s="352"/>
      <c r="AG4250" s="352"/>
      <c r="AH4250" s="352"/>
      <c r="AI4250" s="352"/>
      <c r="AJ4250" s="352"/>
    </row>
    <row r="4251" spans="2:36">
      <c r="B4251" s="352"/>
      <c r="C4251" s="352"/>
      <c r="D4251" s="352"/>
      <c r="E4251" s="352"/>
      <c r="F4251" s="352"/>
      <c r="H4251" s="352"/>
      <c r="J4251" s="352"/>
      <c r="L4251" s="352"/>
      <c r="M4251" s="352"/>
      <c r="N4251" s="352"/>
      <c r="O4251" s="352"/>
      <c r="P4251" s="352"/>
      <c r="Q4251" s="352"/>
      <c r="R4251" s="352"/>
      <c r="S4251" s="352"/>
      <c r="T4251" s="352"/>
      <c r="U4251" s="352"/>
      <c r="V4251" s="352"/>
      <c r="W4251" s="352"/>
      <c r="X4251" s="352"/>
      <c r="Y4251" s="352"/>
      <c r="Z4251" s="352"/>
      <c r="AA4251" s="352"/>
      <c r="AB4251" s="352"/>
      <c r="AC4251" s="352"/>
      <c r="AD4251" s="352"/>
      <c r="AE4251" s="352"/>
      <c r="AF4251" s="352"/>
      <c r="AG4251" s="352"/>
      <c r="AH4251" s="352"/>
      <c r="AI4251" s="352"/>
      <c r="AJ4251" s="352"/>
    </row>
    <row r="4252" spans="2:36">
      <c r="B4252" s="352"/>
      <c r="C4252" s="352"/>
      <c r="D4252" s="352"/>
      <c r="E4252" s="352"/>
      <c r="F4252" s="352"/>
      <c r="H4252" s="352"/>
      <c r="J4252" s="352"/>
      <c r="L4252" s="352"/>
      <c r="M4252" s="352"/>
      <c r="N4252" s="352"/>
      <c r="O4252" s="352"/>
      <c r="P4252" s="352"/>
      <c r="Q4252" s="352"/>
      <c r="R4252" s="352"/>
      <c r="S4252" s="352"/>
      <c r="T4252" s="352"/>
      <c r="U4252" s="352"/>
      <c r="V4252" s="352"/>
      <c r="W4252" s="352"/>
      <c r="X4252" s="352"/>
      <c r="Y4252" s="352"/>
      <c r="Z4252" s="352"/>
      <c r="AA4252" s="352"/>
      <c r="AB4252" s="352"/>
      <c r="AC4252" s="352"/>
      <c r="AD4252" s="352"/>
      <c r="AE4252" s="352"/>
      <c r="AF4252" s="352"/>
      <c r="AG4252" s="352"/>
      <c r="AH4252" s="352"/>
      <c r="AI4252" s="352"/>
      <c r="AJ4252" s="352"/>
    </row>
    <row r="4253" spans="2:36">
      <c r="B4253" s="352"/>
      <c r="C4253" s="352"/>
      <c r="D4253" s="352"/>
      <c r="E4253" s="352"/>
      <c r="F4253" s="352"/>
      <c r="H4253" s="352"/>
      <c r="J4253" s="352"/>
      <c r="L4253" s="352"/>
      <c r="M4253" s="352"/>
      <c r="N4253" s="352"/>
      <c r="O4253" s="352"/>
      <c r="P4253" s="352"/>
      <c r="Q4253" s="352"/>
      <c r="R4253" s="352"/>
      <c r="S4253" s="352"/>
      <c r="T4253" s="352"/>
      <c r="U4253" s="352"/>
      <c r="V4253" s="352"/>
      <c r="W4253" s="352"/>
      <c r="X4253" s="352"/>
      <c r="Y4253" s="352"/>
      <c r="Z4253" s="352"/>
      <c r="AA4253" s="352"/>
      <c r="AB4253" s="352"/>
      <c r="AC4253" s="352"/>
      <c r="AD4253" s="352"/>
      <c r="AE4253" s="352"/>
      <c r="AF4253" s="352"/>
      <c r="AG4253" s="352"/>
      <c r="AH4253" s="352"/>
      <c r="AI4253" s="352"/>
      <c r="AJ4253" s="352"/>
    </row>
    <row r="4254" spans="2:36">
      <c r="B4254" s="352"/>
      <c r="C4254" s="352"/>
      <c r="D4254" s="352"/>
      <c r="E4254" s="352"/>
      <c r="F4254" s="352"/>
      <c r="H4254" s="352"/>
      <c r="J4254" s="352"/>
      <c r="L4254" s="352"/>
      <c r="M4254" s="352"/>
      <c r="N4254" s="352"/>
      <c r="O4254" s="352"/>
      <c r="P4254" s="352"/>
      <c r="Q4254" s="352"/>
      <c r="R4254" s="352"/>
      <c r="S4254" s="352"/>
      <c r="T4254" s="352"/>
      <c r="U4254" s="352"/>
      <c r="V4254" s="352"/>
      <c r="W4254" s="352"/>
      <c r="X4254" s="352"/>
      <c r="Y4254" s="352"/>
      <c r="Z4254" s="352"/>
      <c r="AA4254" s="352"/>
      <c r="AB4254" s="352"/>
      <c r="AC4254" s="352"/>
      <c r="AD4254" s="352"/>
      <c r="AE4254" s="352"/>
      <c r="AF4254" s="352"/>
      <c r="AG4254" s="352"/>
      <c r="AH4254" s="352"/>
      <c r="AI4254" s="352"/>
      <c r="AJ4254" s="352"/>
    </row>
    <row r="4255" spans="2:36">
      <c r="B4255" s="352"/>
      <c r="C4255" s="352"/>
      <c r="D4255" s="352"/>
      <c r="E4255" s="352"/>
      <c r="F4255" s="352"/>
      <c r="H4255" s="352"/>
      <c r="J4255" s="352"/>
      <c r="L4255" s="352"/>
      <c r="M4255" s="352"/>
      <c r="N4255" s="352"/>
      <c r="O4255" s="352"/>
      <c r="P4255" s="352"/>
      <c r="Q4255" s="352"/>
      <c r="R4255" s="352"/>
      <c r="S4255" s="352"/>
      <c r="T4255" s="352"/>
      <c r="U4255" s="352"/>
      <c r="V4255" s="352"/>
      <c r="W4255" s="352"/>
      <c r="X4255" s="352"/>
      <c r="Y4255" s="352"/>
      <c r="Z4255" s="352"/>
      <c r="AA4255" s="352"/>
      <c r="AB4255" s="352"/>
      <c r="AC4255" s="352"/>
      <c r="AD4255" s="352"/>
      <c r="AE4255" s="352"/>
      <c r="AF4255" s="352"/>
      <c r="AG4255" s="352"/>
      <c r="AH4255" s="352"/>
      <c r="AI4255" s="352"/>
      <c r="AJ4255" s="352"/>
    </row>
    <row r="4256" spans="2:36">
      <c r="B4256" s="352"/>
      <c r="C4256" s="352"/>
      <c r="D4256" s="352"/>
      <c r="E4256" s="352"/>
      <c r="F4256" s="352"/>
      <c r="H4256" s="352"/>
      <c r="J4256" s="352"/>
      <c r="L4256" s="352"/>
      <c r="M4256" s="352"/>
      <c r="N4256" s="352"/>
      <c r="O4256" s="352"/>
      <c r="P4256" s="352"/>
      <c r="Q4256" s="352"/>
      <c r="R4256" s="352"/>
      <c r="S4256" s="352"/>
      <c r="T4256" s="352"/>
      <c r="U4256" s="352"/>
      <c r="V4256" s="352"/>
      <c r="W4256" s="352"/>
      <c r="X4256" s="352"/>
      <c r="Y4256" s="352"/>
      <c r="Z4256" s="352"/>
      <c r="AA4256" s="352"/>
      <c r="AB4256" s="352"/>
      <c r="AC4256" s="352"/>
      <c r="AD4256" s="352"/>
      <c r="AE4256" s="352"/>
      <c r="AF4256" s="352"/>
      <c r="AG4256" s="352"/>
      <c r="AH4256" s="352"/>
      <c r="AI4256" s="352"/>
      <c r="AJ4256" s="352"/>
    </row>
    <row r="4257" spans="2:36">
      <c r="B4257" s="352"/>
      <c r="C4257" s="352"/>
      <c r="D4257" s="352"/>
      <c r="E4257" s="352"/>
      <c r="F4257" s="352"/>
      <c r="H4257" s="352"/>
      <c r="J4257" s="352"/>
      <c r="L4257" s="352"/>
      <c r="M4257" s="352"/>
      <c r="N4257" s="352"/>
      <c r="O4257" s="352"/>
      <c r="P4257" s="352"/>
      <c r="Q4257" s="352"/>
      <c r="R4257" s="352"/>
      <c r="S4257" s="352"/>
      <c r="T4257" s="352"/>
      <c r="U4257" s="352"/>
      <c r="V4257" s="352"/>
      <c r="W4257" s="352"/>
      <c r="X4257" s="352"/>
      <c r="Y4257" s="352"/>
      <c r="Z4257" s="352"/>
      <c r="AA4257" s="352"/>
      <c r="AB4257" s="352"/>
      <c r="AC4257" s="352"/>
      <c r="AD4257" s="352"/>
      <c r="AE4257" s="352"/>
      <c r="AF4257" s="352"/>
      <c r="AG4257" s="352"/>
      <c r="AH4257" s="352"/>
      <c r="AI4257" s="352"/>
      <c r="AJ4257" s="352"/>
    </row>
    <row r="4258" spans="2:36">
      <c r="B4258" s="352"/>
      <c r="C4258" s="352"/>
      <c r="D4258" s="352"/>
      <c r="E4258" s="352"/>
      <c r="F4258" s="352"/>
      <c r="H4258" s="352"/>
      <c r="J4258" s="352"/>
      <c r="L4258" s="352"/>
      <c r="M4258" s="352"/>
      <c r="N4258" s="352"/>
      <c r="O4258" s="352"/>
      <c r="P4258" s="352"/>
      <c r="Q4258" s="352"/>
      <c r="R4258" s="352"/>
      <c r="S4258" s="352"/>
      <c r="T4258" s="352"/>
      <c r="U4258" s="352"/>
      <c r="V4258" s="352"/>
      <c r="W4258" s="352"/>
      <c r="X4258" s="352"/>
      <c r="Y4258" s="352"/>
      <c r="Z4258" s="352"/>
      <c r="AA4258" s="352"/>
      <c r="AB4258" s="352"/>
      <c r="AC4258" s="352"/>
      <c r="AD4258" s="352"/>
      <c r="AE4258" s="352"/>
      <c r="AF4258" s="352"/>
      <c r="AG4258" s="352"/>
      <c r="AH4258" s="352"/>
      <c r="AI4258" s="352"/>
      <c r="AJ4258" s="352"/>
    </row>
    <row r="4259" spans="2:36">
      <c r="B4259" s="352"/>
      <c r="C4259" s="352"/>
      <c r="D4259" s="352"/>
      <c r="E4259" s="352"/>
      <c r="F4259" s="352"/>
      <c r="H4259" s="352"/>
      <c r="J4259" s="352"/>
      <c r="L4259" s="352"/>
      <c r="M4259" s="352"/>
      <c r="N4259" s="352"/>
      <c r="O4259" s="352"/>
      <c r="P4259" s="352"/>
      <c r="Q4259" s="352"/>
      <c r="R4259" s="352"/>
      <c r="S4259" s="352"/>
      <c r="T4259" s="352"/>
      <c r="U4259" s="352"/>
      <c r="V4259" s="352"/>
      <c r="W4259" s="352"/>
      <c r="X4259" s="352"/>
      <c r="Y4259" s="352"/>
      <c r="Z4259" s="352"/>
      <c r="AA4259" s="352"/>
      <c r="AB4259" s="352"/>
      <c r="AC4259" s="352"/>
      <c r="AD4259" s="352"/>
      <c r="AE4259" s="352"/>
      <c r="AF4259" s="352"/>
      <c r="AG4259" s="352"/>
      <c r="AH4259" s="352"/>
      <c r="AI4259" s="352"/>
      <c r="AJ4259" s="352"/>
    </row>
    <row r="4260" spans="2:36">
      <c r="B4260" s="352"/>
      <c r="C4260" s="352"/>
      <c r="D4260" s="352"/>
      <c r="E4260" s="352"/>
      <c r="F4260" s="352"/>
      <c r="H4260" s="352"/>
      <c r="J4260" s="352"/>
      <c r="L4260" s="352"/>
      <c r="M4260" s="352"/>
      <c r="N4260" s="352"/>
      <c r="O4260" s="352"/>
      <c r="P4260" s="352"/>
      <c r="Q4260" s="352"/>
      <c r="R4260" s="352"/>
      <c r="S4260" s="352"/>
      <c r="T4260" s="352"/>
      <c r="U4260" s="352"/>
      <c r="V4260" s="352"/>
      <c r="W4260" s="352"/>
      <c r="X4260" s="352"/>
      <c r="Y4260" s="352"/>
      <c r="Z4260" s="352"/>
      <c r="AA4260" s="352"/>
      <c r="AB4260" s="352"/>
      <c r="AC4260" s="352"/>
      <c r="AD4260" s="352"/>
      <c r="AE4260" s="352"/>
      <c r="AF4260" s="352"/>
      <c r="AG4260" s="352"/>
      <c r="AH4260" s="352"/>
      <c r="AI4260" s="352"/>
      <c r="AJ4260" s="352"/>
    </row>
    <row r="4261" spans="2:36">
      <c r="B4261" s="352"/>
      <c r="C4261" s="352"/>
      <c r="D4261" s="352"/>
      <c r="E4261" s="352"/>
      <c r="F4261" s="352"/>
      <c r="H4261" s="352"/>
      <c r="J4261" s="352"/>
      <c r="L4261" s="352"/>
      <c r="M4261" s="352"/>
      <c r="N4261" s="352"/>
      <c r="O4261" s="352"/>
      <c r="P4261" s="352"/>
      <c r="Q4261" s="352"/>
      <c r="R4261" s="352"/>
      <c r="S4261" s="352"/>
      <c r="T4261" s="352"/>
      <c r="U4261" s="352"/>
      <c r="V4261" s="352"/>
      <c r="W4261" s="352"/>
      <c r="X4261" s="352"/>
      <c r="Y4261" s="352"/>
      <c r="Z4261" s="352"/>
      <c r="AA4261" s="352"/>
      <c r="AB4261" s="352"/>
      <c r="AC4261" s="352"/>
      <c r="AD4261" s="352"/>
      <c r="AE4261" s="352"/>
      <c r="AF4261" s="352"/>
      <c r="AG4261" s="352"/>
      <c r="AH4261" s="352"/>
      <c r="AI4261" s="352"/>
      <c r="AJ4261" s="352"/>
    </row>
    <row r="4262" spans="2:36">
      <c r="B4262" s="352"/>
      <c r="C4262" s="352"/>
      <c r="D4262" s="352"/>
      <c r="E4262" s="352"/>
      <c r="F4262" s="352"/>
      <c r="H4262" s="352"/>
      <c r="J4262" s="352"/>
      <c r="L4262" s="352"/>
      <c r="M4262" s="352"/>
      <c r="N4262" s="352"/>
      <c r="O4262" s="352"/>
      <c r="P4262" s="352"/>
      <c r="Q4262" s="352"/>
      <c r="R4262" s="352"/>
      <c r="S4262" s="352"/>
      <c r="T4262" s="352"/>
      <c r="U4262" s="352"/>
      <c r="V4262" s="352"/>
      <c r="W4262" s="352"/>
      <c r="X4262" s="352"/>
      <c r="Y4262" s="352"/>
      <c r="Z4262" s="352"/>
      <c r="AA4262" s="352"/>
      <c r="AB4262" s="352"/>
      <c r="AC4262" s="352"/>
      <c r="AD4262" s="352"/>
      <c r="AE4262" s="352"/>
      <c r="AF4262" s="352"/>
      <c r="AG4262" s="352"/>
      <c r="AH4262" s="352"/>
      <c r="AI4262" s="352"/>
      <c r="AJ4262" s="352"/>
    </row>
    <row r="4263" spans="2:36">
      <c r="B4263" s="352"/>
      <c r="C4263" s="352"/>
      <c r="D4263" s="352"/>
      <c r="E4263" s="352"/>
      <c r="F4263" s="352"/>
      <c r="H4263" s="352"/>
      <c r="J4263" s="352"/>
      <c r="L4263" s="352"/>
      <c r="M4263" s="352"/>
      <c r="N4263" s="352"/>
      <c r="O4263" s="352"/>
      <c r="P4263" s="352"/>
      <c r="Q4263" s="352"/>
      <c r="R4263" s="352"/>
      <c r="S4263" s="352"/>
      <c r="T4263" s="352"/>
      <c r="U4263" s="352"/>
      <c r="V4263" s="352"/>
      <c r="W4263" s="352"/>
      <c r="X4263" s="352"/>
      <c r="Y4263" s="352"/>
      <c r="Z4263" s="352"/>
      <c r="AA4263" s="352"/>
      <c r="AB4263" s="352"/>
      <c r="AC4263" s="352"/>
      <c r="AD4263" s="352"/>
      <c r="AE4263" s="352"/>
      <c r="AF4263" s="352"/>
      <c r="AG4263" s="352"/>
      <c r="AH4263" s="352"/>
      <c r="AI4263" s="352"/>
      <c r="AJ4263" s="352"/>
    </row>
    <row r="4264" spans="2:36">
      <c r="B4264" s="352"/>
      <c r="C4264" s="352"/>
      <c r="D4264" s="352"/>
      <c r="E4264" s="352"/>
      <c r="F4264" s="352"/>
      <c r="H4264" s="352"/>
      <c r="J4264" s="352"/>
      <c r="L4264" s="352"/>
      <c r="M4264" s="352"/>
      <c r="N4264" s="352"/>
      <c r="O4264" s="352"/>
      <c r="P4264" s="352"/>
      <c r="Q4264" s="352"/>
      <c r="R4264" s="352"/>
      <c r="S4264" s="352"/>
      <c r="T4264" s="352"/>
      <c r="U4264" s="352"/>
      <c r="V4264" s="352"/>
      <c r="W4264" s="352"/>
      <c r="X4264" s="352"/>
      <c r="Y4264" s="352"/>
      <c r="Z4264" s="352"/>
      <c r="AA4264" s="352"/>
      <c r="AB4264" s="352"/>
      <c r="AC4264" s="352"/>
      <c r="AD4264" s="352"/>
      <c r="AE4264" s="352"/>
      <c r="AF4264" s="352"/>
      <c r="AG4264" s="352"/>
      <c r="AH4264" s="352"/>
      <c r="AI4264" s="352"/>
      <c r="AJ4264" s="352"/>
    </row>
    <row r="4265" spans="2:36">
      <c r="B4265" s="352"/>
      <c r="C4265" s="352"/>
      <c r="D4265" s="352"/>
      <c r="E4265" s="352"/>
      <c r="F4265" s="352"/>
      <c r="H4265" s="352"/>
      <c r="J4265" s="352"/>
      <c r="L4265" s="352"/>
      <c r="M4265" s="352"/>
      <c r="N4265" s="352"/>
      <c r="O4265" s="352"/>
      <c r="P4265" s="352"/>
      <c r="Q4265" s="352"/>
      <c r="R4265" s="352"/>
      <c r="S4265" s="352"/>
      <c r="T4265" s="352"/>
      <c r="U4265" s="352"/>
      <c r="V4265" s="352"/>
      <c r="W4265" s="352"/>
      <c r="X4265" s="352"/>
      <c r="Y4265" s="352"/>
      <c r="Z4265" s="352"/>
      <c r="AA4265" s="352"/>
      <c r="AB4265" s="352"/>
      <c r="AC4265" s="352"/>
      <c r="AD4265" s="352"/>
      <c r="AE4265" s="352"/>
      <c r="AF4265" s="352"/>
      <c r="AG4265" s="352"/>
      <c r="AH4265" s="352"/>
      <c r="AI4265" s="352"/>
      <c r="AJ4265" s="352"/>
    </row>
    <row r="4266" spans="2:36">
      <c r="B4266" s="352"/>
      <c r="C4266" s="352"/>
      <c r="D4266" s="352"/>
      <c r="E4266" s="352"/>
      <c r="F4266" s="352"/>
      <c r="H4266" s="352"/>
      <c r="J4266" s="352"/>
      <c r="L4266" s="352"/>
      <c r="M4266" s="352"/>
      <c r="N4266" s="352"/>
      <c r="O4266" s="352"/>
      <c r="P4266" s="352"/>
      <c r="Q4266" s="352"/>
      <c r="R4266" s="352"/>
      <c r="S4266" s="352"/>
      <c r="T4266" s="352"/>
      <c r="U4266" s="352"/>
      <c r="V4266" s="352"/>
      <c r="W4266" s="352"/>
      <c r="X4266" s="352"/>
      <c r="Y4266" s="352"/>
      <c r="Z4266" s="352"/>
      <c r="AA4266" s="352"/>
      <c r="AB4266" s="352"/>
      <c r="AC4266" s="352"/>
      <c r="AD4266" s="352"/>
      <c r="AE4266" s="352"/>
      <c r="AF4266" s="352"/>
      <c r="AG4266" s="352"/>
      <c r="AH4266" s="352"/>
      <c r="AI4266" s="352"/>
      <c r="AJ4266" s="352"/>
    </row>
    <row r="4267" spans="2:36">
      <c r="B4267" s="352"/>
      <c r="C4267" s="352"/>
      <c r="D4267" s="352"/>
      <c r="E4267" s="352"/>
      <c r="F4267" s="352"/>
      <c r="H4267" s="352"/>
      <c r="J4267" s="352"/>
      <c r="L4267" s="352"/>
      <c r="M4267" s="352"/>
      <c r="N4267" s="352"/>
      <c r="O4267" s="352"/>
      <c r="P4267" s="352"/>
      <c r="Q4267" s="352"/>
      <c r="R4267" s="352"/>
      <c r="S4267" s="352"/>
      <c r="T4267" s="352"/>
      <c r="U4267" s="352"/>
      <c r="V4267" s="352"/>
      <c r="W4267" s="352"/>
      <c r="X4267" s="352"/>
      <c r="Y4267" s="352"/>
      <c r="Z4267" s="352"/>
      <c r="AA4267" s="352"/>
      <c r="AB4267" s="352"/>
      <c r="AC4267" s="352"/>
      <c r="AD4267" s="352"/>
      <c r="AE4267" s="352"/>
      <c r="AF4267" s="352"/>
      <c r="AG4267" s="352"/>
      <c r="AH4267" s="352"/>
      <c r="AI4267" s="352"/>
      <c r="AJ4267" s="352"/>
    </row>
    <row r="4268" spans="2:36">
      <c r="B4268" s="352"/>
      <c r="C4268" s="352"/>
      <c r="D4268" s="352"/>
      <c r="E4268" s="352"/>
      <c r="F4268" s="352"/>
      <c r="H4268" s="352"/>
      <c r="J4268" s="352"/>
      <c r="L4268" s="352"/>
      <c r="M4268" s="352"/>
      <c r="N4268" s="352"/>
      <c r="O4268" s="352"/>
      <c r="P4268" s="352"/>
      <c r="Q4268" s="352"/>
      <c r="R4268" s="352"/>
      <c r="S4268" s="352"/>
      <c r="T4268" s="352"/>
      <c r="U4268" s="352"/>
      <c r="V4268" s="352"/>
      <c r="W4268" s="352"/>
      <c r="X4268" s="352"/>
      <c r="Y4268" s="352"/>
      <c r="Z4268" s="352"/>
      <c r="AA4268" s="352"/>
      <c r="AB4268" s="352"/>
      <c r="AC4268" s="352"/>
      <c r="AD4268" s="352"/>
      <c r="AE4268" s="352"/>
      <c r="AF4268" s="352"/>
      <c r="AG4268" s="352"/>
      <c r="AH4268" s="352"/>
      <c r="AI4268" s="352"/>
      <c r="AJ4268" s="352"/>
    </row>
    <row r="4269" spans="2:36">
      <c r="B4269" s="352"/>
      <c r="C4269" s="352"/>
      <c r="D4269" s="352"/>
      <c r="E4269" s="352"/>
      <c r="F4269" s="352"/>
      <c r="H4269" s="352"/>
      <c r="J4269" s="352"/>
      <c r="L4269" s="352"/>
      <c r="M4269" s="352"/>
      <c r="N4269" s="352"/>
      <c r="O4269" s="352"/>
      <c r="P4269" s="352"/>
      <c r="Q4269" s="352"/>
      <c r="R4269" s="352"/>
      <c r="S4269" s="352"/>
      <c r="T4269" s="352"/>
      <c r="U4269" s="352"/>
      <c r="V4269" s="352"/>
      <c r="W4269" s="352"/>
      <c r="X4269" s="352"/>
      <c r="Y4269" s="352"/>
      <c r="Z4269" s="352"/>
      <c r="AA4269" s="352"/>
      <c r="AB4269" s="352"/>
      <c r="AC4269" s="352"/>
      <c r="AD4269" s="352"/>
      <c r="AE4269" s="352"/>
      <c r="AF4269" s="352"/>
      <c r="AG4269" s="352"/>
      <c r="AH4269" s="352"/>
      <c r="AI4269" s="352"/>
      <c r="AJ4269" s="352"/>
    </row>
    <row r="4270" spans="2:36">
      <c r="B4270" s="352"/>
      <c r="C4270" s="352"/>
      <c r="D4270" s="352"/>
      <c r="E4270" s="352"/>
      <c r="F4270" s="352"/>
      <c r="H4270" s="352"/>
      <c r="J4270" s="352"/>
      <c r="L4270" s="352"/>
      <c r="M4270" s="352"/>
      <c r="N4270" s="352"/>
      <c r="O4270" s="352"/>
      <c r="P4270" s="352"/>
      <c r="Q4270" s="352"/>
      <c r="R4270" s="352"/>
      <c r="S4270" s="352"/>
      <c r="T4270" s="352"/>
      <c r="U4270" s="352"/>
      <c r="V4270" s="352"/>
      <c r="W4270" s="352"/>
      <c r="X4270" s="352"/>
      <c r="Y4270" s="352"/>
      <c r="Z4270" s="352"/>
      <c r="AA4270" s="352"/>
      <c r="AB4270" s="352"/>
      <c r="AC4270" s="352"/>
      <c r="AD4270" s="352"/>
      <c r="AE4270" s="352"/>
      <c r="AF4270" s="352"/>
      <c r="AG4270" s="352"/>
      <c r="AH4270" s="352"/>
      <c r="AI4270" s="352"/>
      <c r="AJ4270" s="352"/>
    </row>
    <row r="4271" spans="2:36">
      <c r="B4271" s="352"/>
      <c r="C4271" s="352"/>
      <c r="D4271" s="352"/>
      <c r="E4271" s="352"/>
      <c r="F4271" s="352"/>
      <c r="H4271" s="352"/>
      <c r="J4271" s="352"/>
      <c r="L4271" s="352"/>
      <c r="M4271" s="352"/>
      <c r="N4271" s="352"/>
      <c r="O4271" s="352"/>
      <c r="P4271" s="352"/>
      <c r="Q4271" s="352"/>
      <c r="R4271" s="352"/>
      <c r="S4271" s="352"/>
      <c r="T4271" s="352"/>
      <c r="U4271" s="352"/>
      <c r="V4271" s="352"/>
      <c r="W4271" s="352"/>
      <c r="X4271" s="352"/>
      <c r="Y4271" s="352"/>
      <c r="Z4271" s="352"/>
      <c r="AA4271" s="352"/>
      <c r="AB4271" s="352"/>
      <c r="AC4271" s="352"/>
      <c r="AD4271" s="352"/>
      <c r="AE4271" s="352"/>
      <c r="AF4271" s="352"/>
      <c r="AG4271" s="352"/>
      <c r="AH4271" s="352"/>
      <c r="AI4271" s="352"/>
      <c r="AJ4271" s="352"/>
    </row>
    <row r="4272" spans="2:36">
      <c r="B4272" s="352"/>
      <c r="C4272" s="352"/>
      <c r="D4272" s="352"/>
      <c r="E4272" s="352"/>
      <c r="F4272" s="352"/>
      <c r="H4272" s="352"/>
      <c r="J4272" s="352"/>
      <c r="L4272" s="352"/>
      <c r="M4272" s="352"/>
      <c r="N4272" s="352"/>
      <c r="O4272" s="352"/>
      <c r="P4272" s="352"/>
      <c r="Q4272" s="352"/>
      <c r="R4272" s="352"/>
      <c r="S4272" s="352"/>
      <c r="T4272" s="352"/>
      <c r="U4272" s="352"/>
      <c r="V4272" s="352"/>
      <c r="W4272" s="352"/>
      <c r="X4272" s="352"/>
      <c r="Y4272" s="352"/>
      <c r="Z4272" s="352"/>
      <c r="AA4272" s="352"/>
      <c r="AB4272" s="352"/>
      <c r="AC4272" s="352"/>
      <c r="AD4272" s="352"/>
      <c r="AE4272" s="352"/>
      <c r="AF4272" s="352"/>
      <c r="AG4272" s="352"/>
      <c r="AH4272" s="352"/>
      <c r="AI4272" s="352"/>
      <c r="AJ4272" s="352"/>
    </row>
    <row r="4273" spans="2:36">
      <c r="B4273" s="352"/>
      <c r="C4273" s="352"/>
      <c r="D4273" s="352"/>
      <c r="E4273" s="352"/>
      <c r="F4273" s="352"/>
      <c r="H4273" s="352"/>
      <c r="J4273" s="352"/>
      <c r="L4273" s="352"/>
      <c r="M4273" s="352"/>
      <c r="N4273" s="352"/>
      <c r="O4273" s="352"/>
      <c r="P4273" s="352"/>
      <c r="Q4273" s="352"/>
      <c r="R4273" s="352"/>
      <c r="S4273" s="352"/>
      <c r="T4273" s="352"/>
      <c r="U4273" s="352"/>
      <c r="V4273" s="352"/>
      <c r="W4273" s="352"/>
      <c r="X4273" s="352"/>
      <c r="Y4273" s="352"/>
      <c r="Z4273" s="352"/>
      <c r="AA4273" s="352"/>
      <c r="AB4273" s="352"/>
      <c r="AC4273" s="352"/>
      <c r="AD4273" s="352"/>
      <c r="AE4273" s="352"/>
      <c r="AF4273" s="352"/>
      <c r="AG4273" s="352"/>
      <c r="AH4273" s="352"/>
      <c r="AI4273" s="352"/>
      <c r="AJ4273" s="352"/>
    </row>
    <row r="4274" spans="2:36">
      <c r="B4274" s="352"/>
      <c r="C4274" s="352"/>
      <c r="D4274" s="352"/>
      <c r="E4274" s="352"/>
      <c r="F4274" s="352"/>
      <c r="H4274" s="352"/>
      <c r="J4274" s="352"/>
      <c r="L4274" s="352"/>
      <c r="M4274" s="352"/>
      <c r="N4274" s="352"/>
      <c r="O4274" s="352"/>
      <c r="P4274" s="352"/>
      <c r="Q4274" s="352"/>
      <c r="R4274" s="352"/>
      <c r="S4274" s="352"/>
      <c r="T4274" s="352"/>
      <c r="U4274" s="352"/>
      <c r="V4274" s="352"/>
      <c r="W4274" s="352"/>
      <c r="X4274" s="352"/>
      <c r="Y4274" s="352"/>
      <c r="Z4274" s="352"/>
      <c r="AA4274" s="352"/>
      <c r="AB4274" s="352"/>
      <c r="AC4274" s="352"/>
      <c r="AD4274" s="352"/>
      <c r="AE4274" s="352"/>
      <c r="AF4274" s="352"/>
      <c r="AG4274" s="352"/>
      <c r="AH4274" s="352"/>
      <c r="AI4274" s="352"/>
      <c r="AJ4274" s="352"/>
    </row>
    <row r="4275" spans="2:36">
      <c r="B4275" s="352"/>
      <c r="C4275" s="352"/>
      <c r="D4275" s="352"/>
      <c r="E4275" s="352"/>
      <c r="F4275" s="352"/>
      <c r="H4275" s="352"/>
      <c r="J4275" s="352"/>
      <c r="L4275" s="352"/>
      <c r="M4275" s="352"/>
      <c r="N4275" s="352"/>
      <c r="O4275" s="352"/>
      <c r="P4275" s="352"/>
      <c r="Q4275" s="352"/>
      <c r="R4275" s="352"/>
      <c r="S4275" s="352"/>
      <c r="T4275" s="352"/>
      <c r="U4275" s="352"/>
      <c r="V4275" s="352"/>
      <c r="W4275" s="352"/>
      <c r="X4275" s="352"/>
      <c r="Y4275" s="352"/>
      <c r="Z4275" s="352"/>
      <c r="AA4275" s="352"/>
      <c r="AB4275" s="352"/>
      <c r="AC4275" s="352"/>
      <c r="AD4275" s="352"/>
      <c r="AE4275" s="352"/>
      <c r="AF4275" s="352"/>
      <c r="AG4275" s="352"/>
      <c r="AH4275" s="352"/>
      <c r="AI4275" s="352"/>
      <c r="AJ4275" s="352"/>
    </row>
    <row r="4276" spans="2:36">
      <c r="B4276" s="352"/>
      <c r="C4276" s="352"/>
      <c r="D4276" s="352"/>
      <c r="E4276" s="352"/>
      <c r="F4276" s="352"/>
      <c r="H4276" s="352"/>
      <c r="J4276" s="352"/>
      <c r="L4276" s="352"/>
      <c r="M4276" s="352"/>
      <c r="N4276" s="352"/>
      <c r="O4276" s="352"/>
      <c r="P4276" s="352"/>
      <c r="Q4276" s="352"/>
      <c r="R4276" s="352"/>
      <c r="S4276" s="352"/>
      <c r="T4276" s="352"/>
      <c r="U4276" s="352"/>
      <c r="V4276" s="352"/>
      <c r="W4276" s="352"/>
      <c r="X4276" s="352"/>
      <c r="Y4276" s="352"/>
      <c r="Z4276" s="352"/>
      <c r="AA4276" s="352"/>
      <c r="AB4276" s="352"/>
      <c r="AC4276" s="352"/>
      <c r="AD4276" s="352"/>
      <c r="AE4276" s="352"/>
      <c r="AF4276" s="352"/>
      <c r="AG4276" s="352"/>
      <c r="AH4276" s="352"/>
      <c r="AI4276" s="352"/>
      <c r="AJ4276" s="352"/>
    </row>
    <row r="4277" spans="2:36">
      <c r="B4277" s="352"/>
      <c r="C4277" s="352"/>
      <c r="D4277" s="352"/>
      <c r="E4277" s="352"/>
      <c r="F4277" s="352"/>
      <c r="H4277" s="352"/>
      <c r="J4277" s="352"/>
      <c r="L4277" s="352"/>
      <c r="M4277" s="352"/>
      <c r="N4277" s="352"/>
      <c r="O4277" s="352"/>
      <c r="P4277" s="352"/>
      <c r="Q4277" s="352"/>
      <c r="R4277" s="352"/>
      <c r="S4277" s="352"/>
      <c r="T4277" s="352"/>
      <c r="U4277" s="352"/>
      <c r="V4277" s="352"/>
      <c r="W4277" s="352"/>
      <c r="X4277" s="352"/>
      <c r="Y4277" s="352"/>
      <c r="Z4277" s="352"/>
      <c r="AA4277" s="352"/>
      <c r="AB4277" s="352"/>
      <c r="AC4277" s="352"/>
      <c r="AD4277" s="352"/>
      <c r="AE4277" s="352"/>
      <c r="AF4277" s="352"/>
      <c r="AG4277" s="352"/>
      <c r="AH4277" s="352"/>
      <c r="AI4277" s="352"/>
      <c r="AJ4277" s="352"/>
    </row>
    <row r="4278" spans="2:36">
      <c r="B4278" s="352"/>
      <c r="C4278" s="352"/>
      <c r="D4278" s="352"/>
      <c r="E4278" s="352"/>
      <c r="F4278" s="352"/>
      <c r="H4278" s="352"/>
      <c r="J4278" s="352"/>
      <c r="L4278" s="352"/>
      <c r="M4278" s="352"/>
      <c r="N4278" s="352"/>
      <c r="O4278" s="352"/>
      <c r="P4278" s="352"/>
      <c r="Q4278" s="352"/>
      <c r="R4278" s="352"/>
      <c r="S4278" s="352"/>
      <c r="T4278" s="352"/>
      <c r="U4278" s="352"/>
      <c r="V4278" s="352"/>
      <c r="W4278" s="352"/>
      <c r="X4278" s="352"/>
      <c r="Y4278" s="352"/>
      <c r="Z4278" s="352"/>
      <c r="AA4278" s="352"/>
      <c r="AB4278" s="352"/>
      <c r="AC4278" s="352"/>
      <c r="AD4278" s="352"/>
      <c r="AE4278" s="352"/>
      <c r="AF4278" s="352"/>
      <c r="AG4278" s="352"/>
      <c r="AH4278" s="352"/>
      <c r="AI4278" s="352"/>
      <c r="AJ4278" s="352"/>
    </row>
    <row r="4279" spans="2:36">
      <c r="B4279" s="352"/>
      <c r="C4279" s="352"/>
      <c r="D4279" s="352"/>
      <c r="E4279" s="352"/>
      <c r="F4279" s="352"/>
      <c r="H4279" s="352"/>
      <c r="J4279" s="352"/>
      <c r="L4279" s="352"/>
      <c r="M4279" s="352"/>
      <c r="N4279" s="352"/>
      <c r="O4279" s="352"/>
      <c r="P4279" s="352"/>
      <c r="Q4279" s="352"/>
      <c r="R4279" s="352"/>
      <c r="S4279" s="352"/>
      <c r="T4279" s="352"/>
      <c r="U4279" s="352"/>
      <c r="V4279" s="352"/>
      <c r="W4279" s="352"/>
      <c r="X4279" s="352"/>
      <c r="Y4279" s="352"/>
      <c r="Z4279" s="352"/>
      <c r="AA4279" s="352"/>
      <c r="AB4279" s="352"/>
      <c r="AC4279" s="352"/>
      <c r="AD4279" s="352"/>
      <c r="AE4279" s="352"/>
      <c r="AF4279" s="352"/>
      <c r="AG4279" s="352"/>
      <c r="AH4279" s="352"/>
      <c r="AI4279" s="352"/>
      <c r="AJ4279" s="352"/>
    </row>
    <row r="4280" spans="2:36">
      <c r="B4280" s="352"/>
      <c r="C4280" s="352"/>
      <c r="D4280" s="352"/>
      <c r="E4280" s="352"/>
      <c r="F4280" s="352"/>
      <c r="H4280" s="352"/>
      <c r="J4280" s="352"/>
      <c r="L4280" s="352"/>
      <c r="M4280" s="352"/>
      <c r="N4280" s="352"/>
      <c r="O4280" s="352"/>
      <c r="P4280" s="352"/>
      <c r="Q4280" s="352"/>
      <c r="R4280" s="352"/>
      <c r="S4280" s="352"/>
      <c r="T4280" s="352"/>
      <c r="U4280" s="352"/>
      <c r="V4280" s="352"/>
      <c r="W4280" s="352"/>
      <c r="X4280" s="352"/>
      <c r="Y4280" s="352"/>
      <c r="Z4280" s="352"/>
      <c r="AA4280" s="352"/>
      <c r="AB4280" s="352"/>
      <c r="AC4280" s="352"/>
      <c r="AD4280" s="352"/>
      <c r="AE4280" s="352"/>
      <c r="AF4280" s="352"/>
      <c r="AG4280" s="352"/>
      <c r="AH4280" s="352"/>
      <c r="AI4280" s="352"/>
      <c r="AJ4280" s="352"/>
    </row>
    <row r="4281" spans="2:36">
      <c r="B4281" s="352"/>
      <c r="C4281" s="352"/>
      <c r="D4281" s="352"/>
      <c r="E4281" s="352"/>
      <c r="F4281" s="352"/>
      <c r="H4281" s="352"/>
      <c r="J4281" s="352"/>
      <c r="L4281" s="352"/>
      <c r="M4281" s="352"/>
      <c r="N4281" s="352"/>
      <c r="O4281" s="352"/>
      <c r="P4281" s="352"/>
      <c r="Q4281" s="352"/>
      <c r="R4281" s="352"/>
      <c r="S4281" s="352"/>
      <c r="T4281" s="352"/>
      <c r="U4281" s="352"/>
      <c r="V4281" s="352"/>
      <c r="W4281" s="352"/>
      <c r="X4281" s="352"/>
      <c r="Y4281" s="352"/>
      <c r="Z4281" s="352"/>
      <c r="AA4281" s="352"/>
      <c r="AB4281" s="352"/>
      <c r="AC4281" s="352"/>
      <c r="AD4281" s="352"/>
      <c r="AE4281" s="352"/>
      <c r="AF4281" s="352"/>
      <c r="AG4281" s="352"/>
      <c r="AH4281" s="352"/>
      <c r="AI4281" s="352"/>
      <c r="AJ4281" s="352"/>
    </row>
    <row r="4282" spans="2:36">
      <c r="B4282" s="352"/>
      <c r="C4282" s="352"/>
      <c r="D4282" s="352"/>
      <c r="E4282" s="352"/>
      <c r="F4282" s="352"/>
      <c r="H4282" s="352"/>
      <c r="J4282" s="352"/>
      <c r="L4282" s="352"/>
      <c r="M4282" s="352"/>
      <c r="N4282" s="352"/>
      <c r="O4282" s="352"/>
      <c r="P4282" s="352"/>
      <c r="Q4282" s="352"/>
      <c r="R4282" s="352"/>
      <c r="S4282" s="352"/>
      <c r="T4282" s="352"/>
      <c r="U4282" s="352"/>
      <c r="V4282" s="352"/>
      <c r="W4282" s="352"/>
      <c r="X4282" s="352"/>
      <c r="Y4282" s="352"/>
      <c r="Z4282" s="352"/>
      <c r="AA4282" s="352"/>
      <c r="AB4282" s="352"/>
      <c r="AC4282" s="352"/>
      <c r="AD4282" s="352"/>
      <c r="AE4282" s="352"/>
      <c r="AF4282" s="352"/>
      <c r="AG4282" s="352"/>
      <c r="AH4282" s="352"/>
      <c r="AI4282" s="352"/>
      <c r="AJ4282" s="352"/>
    </row>
    <row r="4283" spans="2:36">
      <c r="B4283" s="352"/>
      <c r="C4283" s="352"/>
      <c r="D4283" s="352"/>
      <c r="E4283" s="352"/>
      <c r="F4283" s="352"/>
      <c r="H4283" s="352"/>
      <c r="J4283" s="352"/>
      <c r="L4283" s="352"/>
      <c r="M4283" s="352"/>
      <c r="N4283" s="352"/>
      <c r="O4283" s="352"/>
      <c r="P4283" s="352"/>
      <c r="Q4283" s="352"/>
      <c r="R4283" s="352"/>
      <c r="S4283" s="352"/>
      <c r="T4283" s="352"/>
      <c r="U4283" s="352"/>
      <c r="V4283" s="352"/>
      <c r="W4283" s="352"/>
      <c r="X4283" s="352"/>
      <c r="Y4283" s="352"/>
      <c r="Z4283" s="352"/>
      <c r="AA4283" s="352"/>
      <c r="AB4283" s="352"/>
      <c r="AC4283" s="352"/>
      <c r="AD4283" s="352"/>
      <c r="AE4283" s="352"/>
      <c r="AF4283" s="352"/>
      <c r="AG4283" s="352"/>
      <c r="AH4283" s="352"/>
      <c r="AI4283" s="352"/>
      <c r="AJ4283" s="352"/>
    </row>
  </sheetData>
  <mergeCells count="13">
    <mergeCell ref="A5:E5"/>
    <mergeCell ref="G5:H7"/>
    <mergeCell ref="I5:J7"/>
    <mergeCell ref="K5:L7"/>
    <mergeCell ref="M6:M7"/>
    <mergeCell ref="N6:N7"/>
    <mergeCell ref="U5:AB5"/>
    <mergeCell ref="AE6:AH6"/>
    <mergeCell ref="O6:O7"/>
    <mergeCell ref="P6:P7"/>
    <mergeCell ref="Q6:Q7"/>
    <mergeCell ref="R6:R7"/>
    <mergeCell ref="S5:T7"/>
  </mergeCells>
  <phoneticPr fontId="17" type="noConversion"/>
  <conditionalFormatting sqref="H3162:H3174 J3162:J3174 L3162:L3174 V3162:V3174 AD3162:AD3174 J3153:J3160 L3153:L3160 V3153:V3160 AD3153:AD3160 AD1251:AD1312 V1251:V1312 L1251:L1312 J1251:J1312 H1249:H1312 H1076:H1105 J1076:J1105 L1076:L1105 V1076:V1105 AD1076:AD1105 J2886:J3001 H2886:H2977 L2886:L2891 V2886:V2891 AD2886:AD2891">
    <cfRule type="expression" dxfId="2297" priority="3643">
      <formula>AND(G1076=0,(H1076&gt;0))</formula>
    </cfRule>
    <cfRule type="expression" dxfId="2296" priority="3644">
      <formula>((H1076-G1076)/G1076)&gt;0.05</formula>
    </cfRule>
  </conditionalFormatting>
  <conditionalFormatting sqref="P3162:Q3174 Z3162:AA3174 AG3162:AH3174 P3153:Q3160 Z3153:AA3160 AG3153:AH3160 AG1251:AH1312 Z1251:AA1312 P1249:Q1312 P1076:Q1105 Z1076:AA1105 AG1076:AH1105 P2888:Q2900 P2886:Q2886 Z2886:AA2891">
    <cfRule type="expression" dxfId="2295" priority="3641">
      <formula>AND(M1076=0,(P1076&gt;0))</formula>
    </cfRule>
    <cfRule type="expression" dxfId="2294" priority="3642">
      <formula>((P1076-M1076)/M1076)&gt;0.05</formula>
    </cfRule>
  </conditionalFormatting>
  <conditionalFormatting sqref="H968:H994 J988 L988 V988 AD988 AD997:AD1015 V997:V1015 L997:L1015 J997:J1015 H997:H1015">
    <cfRule type="expression" dxfId="2293" priority="2723">
      <formula>AND(G968=0,(H968&gt;0))</formula>
    </cfRule>
    <cfRule type="expression" dxfId="2292" priority="2724">
      <formula>((H968-G968)/G968)&gt;0.05</formula>
    </cfRule>
  </conditionalFormatting>
  <conditionalFormatting sqref="Q996 P968:Q994 Z988:AA988 AG988:AH988 AG997:AH1015 Z997:AA1015 P997:Q1015">
    <cfRule type="expression" dxfId="2291" priority="2721">
      <formula>AND(M968=0,(P968&gt;0))</formula>
    </cfRule>
    <cfRule type="expression" dxfId="2290" priority="2722">
      <formula>((P968-M968)/M968)&gt;0.05</formula>
    </cfRule>
  </conditionalFormatting>
  <conditionalFormatting sqref="H1016:H1075">
    <cfRule type="expression" dxfId="2289" priority="2719">
      <formula>AND(G1016=0,(H1016&gt;0))</formula>
    </cfRule>
    <cfRule type="expression" dxfId="2288" priority="2720">
      <formula>((H1016-G1016)/G1016)&gt;0.05</formula>
    </cfRule>
  </conditionalFormatting>
  <conditionalFormatting sqref="P1016:Q1075">
    <cfRule type="expression" dxfId="2287" priority="2717">
      <formula>AND(M1016=0,(P1016&gt;0))</formula>
    </cfRule>
    <cfRule type="expression" dxfId="2286" priority="2718">
      <formula>((P1016-M1016)/M1016)&gt;0.05</formula>
    </cfRule>
  </conditionalFormatting>
  <conditionalFormatting sqref="Q995">
    <cfRule type="expression" dxfId="2285" priority="2715">
      <formula>AND(N995=0,(Q995&gt;0))</formula>
    </cfRule>
    <cfRule type="expression" dxfId="2284" priority="2716">
      <formula>((Q995-N995)/N995)&gt;0.05</formula>
    </cfRule>
  </conditionalFormatting>
  <conditionalFormatting sqref="P995">
    <cfRule type="expression" dxfId="2283" priority="2725">
      <formula>AND(M996=0,(P995&gt;0))</formula>
    </cfRule>
    <cfRule type="expression" dxfId="2282" priority="2726">
      <formula>((P995-M996)/M996)&gt;0.05</formula>
    </cfRule>
  </conditionalFormatting>
  <conditionalFormatting sqref="H995">
    <cfRule type="expression" dxfId="2281" priority="2713">
      <formula>AND(G995=0,(H995&gt;0))</formula>
    </cfRule>
    <cfRule type="expression" dxfId="2280" priority="2714">
      <formula>((H995-G995)/G995)&gt;0.05</formula>
    </cfRule>
  </conditionalFormatting>
  <conditionalFormatting sqref="AD995">
    <cfRule type="expression" dxfId="2279" priority="2689">
      <formula>AND(AC995=0,(AD995&gt;0))</formula>
    </cfRule>
    <cfRule type="expression" dxfId="2278" priority="2690">
      <formula>((AD995-AC995)/AC995)&gt;0.05</formula>
    </cfRule>
  </conditionalFormatting>
  <conditionalFormatting sqref="J968:J987 J989:J994">
    <cfRule type="expression" dxfId="2277" priority="2711">
      <formula>AND(I968=0,(J968&gt;0))</formula>
    </cfRule>
    <cfRule type="expression" dxfId="2276" priority="2712">
      <formula>((J968-I968)/I968)&gt;0.05</formula>
    </cfRule>
  </conditionalFormatting>
  <conditionalFormatting sqref="J1016:J1075">
    <cfRule type="expression" dxfId="2275" priority="2709">
      <formula>AND(I1016=0,(J1016&gt;0))</formula>
    </cfRule>
    <cfRule type="expression" dxfId="2274" priority="2710">
      <formula>((J1016-I1016)/I1016)&gt;0.05</formula>
    </cfRule>
  </conditionalFormatting>
  <conditionalFormatting sqref="J995">
    <cfRule type="expression" dxfId="2273" priority="2707">
      <formula>AND(I995=0,(J995&gt;0))</formula>
    </cfRule>
    <cfRule type="expression" dxfId="2272" priority="2708">
      <formula>((J995-I995)/I995)&gt;0.05</formula>
    </cfRule>
  </conditionalFormatting>
  <conditionalFormatting sqref="L968:L987 L989:L994">
    <cfRule type="expression" dxfId="2271" priority="2705">
      <formula>AND(K968=0,(L968&gt;0))</formula>
    </cfRule>
    <cfRule type="expression" dxfId="2270" priority="2706">
      <formula>((L968-K968)/K968)&gt;0.05</formula>
    </cfRule>
  </conditionalFormatting>
  <conditionalFormatting sqref="L1016:L1075">
    <cfRule type="expression" dxfId="2269" priority="2703">
      <formula>AND(K1016=0,(L1016&gt;0))</formula>
    </cfRule>
    <cfRule type="expression" dxfId="2268" priority="2704">
      <formula>((L1016-K1016)/K1016)&gt;0.05</formula>
    </cfRule>
  </conditionalFormatting>
  <conditionalFormatting sqref="L995">
    <cfRule type="expression" dxfId="2267" priority="2701">
      <formula>AND(K995=0,(L995&gt;0))</formula>
    </cfRule>
    <cfRule type="expression" dxfId="2266" priority="2702">
      <formula>((L995-K995)/K995)&gt;0.05</formula>
    </cfRule>
  </conditionalFormatting>
  <conditionalFormatting sqref="V968:V987 V989:V994">
    <cfRule type="expression" dxfId="2265" priority="2699">
      <formula>AND(U968=0,(V968&gt;0))</formula>
    </cfRule>
    <cfRule type="expression" dxfId="2264" priority="2700">
      <formula>((V968-U968)/U968)&gt;0.05</formula>
    </cfRule>
  </conditionalFormatting>
  <conditionalFormatting sqref="V1016:V1075">
    <cfRule type="expression" dxfId="2263" priority="2697">
      <formula>AND(U1016=0,(V1016&gt;0))</formula>
    </cfRule>
    <cfRule type="expression" dxfId="2262" priority="2698">
      <formula>((V1016-U1016)/U1016)&gt;0.05</formula>
    </cfRule>
  </conditionalFormatting>
  <conditionalFormatting sqref="V995">
    <cfRule type="expression" dxfId="2261" priority="2695">
      <formula>AND(U995=0,(V995&gt;0))</formula>
    </cfRule>
    <cfRule type="expression" dxfId="2260" priority="2696">
      <formula>((V995-U995)/U995)&gt;0.05</formula>
    </cfRule>
  </conditionalFormatting>
  <conditionalFormatting sqref="AD968:AD987 AD989:AD994">
    <cfRule type="expression" dxfId="2259" priority="2693">
      <formula>AND(AC968=0,(AD968&gt;0))</formula>
    </cfRule>
    <cfRule type="expression" dxfId="2258" priority="2694">
      <formula>((AD968-AC968)/AC968)&gt;0.05</formula>
    </cfRule>
  </conditionalFormatting>
  <conditionalFormatting sqref="AD1016:AD1075">
    <cfRule type="expression" dxfId="2257" priority="2691">
      <formula>AND(AC1016=0,(AD1016&gt;0))</formula>
    </cfRule>
    <cfRule type="expression" dxfId="2256" priority="2692">
      <formula>((AD1016-AC1016)/AC1016)&gt;0.05</formula>
    </cfRule>
  </conditionalFormatting>
  <conditionalFormatting sqref="AA996 Z968:AA987 Z989:AA994">
    <cfRule type="expression" dxfId="2255" priority="2685">
      <formula>AND(W968=0,(Z968&gt;0))</formula>
    </cfRule>
    <cfRule type="expression" dxfId="2254" priority="2686">
      <formula>((Z968-W968)/W968)&gt;0.05</formula>
    </cfRule>
  </conditionalFormatting>
  <conditionalFormatting sqref="Z1016:AA1075">
    <cfRule type="expression" dxfId="2253" priority="2683">
      <formula>AND(W1016=0,(Z1016&gt;0))</formula>
    </cfRule>
    <cfRule type="expression" dxfId="2252" priority="2684">
      <formula>((Z1016-W1016)/W1016)&gt;0.05</formula>
    </cfRule>
  </conditionalFormatting>
  <conditionalFormatting sqref="AA995">
    <cfRule type="expression" dxfId="2251" priority="2681">
      <formula>AND(X995=0,(AA995&gt;0))</formula>
    </cfRule>
    <cfRule type="expression" dxfId="2250" priority="2682">
      <formula>((AA995-X995)/X995)&gt;0.05</formula>
    </cfRule>
  </conditionalFormatting>
  <conditionalFormatting sqref="Z995">
    <cfRule type="expression" dxfId="2249" priority="2687">
      <formula>AND(W996=0,(Z995&gt;0))</formula>
    </cfRule>
    <cfRule type="expression" dxfId="2248" priority="2688">
      <formula>((Z995-W996)/W996)&gt;0.05</formula>
    </cfRule>
  </conditionalFormatting>
  <conditionalFormatting sqref="AH996 AG968:AH987 AG989:AH994">
    <cfRule type="expression" dxfId="2247" priority="2677">
      <formula>AND(AD968=0,(AG968&gt;0))</formula>
    </cfRule>
    <cfRule type="expression" dxfId="2246" priority="2678">
      <formula>((AG968-AD968)/AD968)&gt;0.05</formula>
    </cfRule>
  </conditionalFormatting>
  <conditionalFormatting sqref="AG1016:AH1075">
    <cfRule type="expression" dxfId="2245" priority="2675">
      <formula>AND(AD1016=0,(AG1016&gt;0))</formula>
    </cfRule>
    <cfRule type="expression" dxfId="2244" priority="2676">
      <formula>((AG1016-AD1016)/AD1016)&gt;0.05</formula>
    </cfRule>
  </conditionalFormatting>
  <conditionalFormatting sqref="AH995">
    <cfRule type="expression" dxfId="2243" priority="2673">
      <formula>AND(AE995=0,(AH995&gt;0))</formula>
    </cfRule>
    <cfRule type="expression" dxfId="2242" priority="2674">
      <formula>((AH995-AE995)/AE995)&gt;0.05</formula>
    </cfRule>
  </conditionalFormatting>
  <conditionalFormatting sqref="AG995">
    <cfRule type="expression" dxfId="2241" priority="2679">
      <formula>AND(AD996=0,(AG995&gt;0))</formula>
    </cfRule>
    <cfRule type="expression" dxfId="2240" priority="2680">
      <formula>((AG995-AD996)/AD996)&gt;0.05</formula>
    </cfRule>
  </conditionalFormatting>
  <conditionalFormatting sqref="L3175:L3204">
    <cfRule type="expression" dxfId="2239" priority="2223">
      <formula>AND(K3175=0,(L3175&gt;0))</formula>
    </cfRule>
    <cfRule type="expression" dxfId="2238" priority="2224">
      <formula>((L3175-K3175)/K3175)&gt;0.05</formula>
    </cfRule>
  </conditionalFormatting>
  <conditionalFormatting sqref="L3205:L3257 H3153:H3160">
    <cfRule type="expression" dxfId="2237" priority="2221">
      <formula>AND(G3153=0,(H3153&gt;0))</formula>
    </cfRule>
    <cfRule type="expression" dxfId="2236" priority="2222">
      <formula>((H3153-G3153)/G3153)&gt;0.05</formula>
    </cfRule>
  </conditionalFormatting>
  <conditionalFormatting sqref="L1646:L1775">
    <cfRule type="expression" dxfId="2235" priority="2349">
      <formula>AND(K1646=0,(L1646&gt;0))</formula>
    </cfRule>
    <cfRule type="expression" dxfId="2234" priority="2350">
      <formula>((L1646-K1646)/K1646)&gt;0.05</formula>
    </cfRule>
  </conditionalFormatting>
  <conditionalFormatting sqref="L1776:L1804">
    <cfRule type="expression" dxfId="2233" priority="2345">
      <formula>AND(K1776=0,(L1776&gt;0))</formula>
    </cfRule>
    <cfRule type="expression" dxfId="2232" priority="2346">
      <formula>((L1776-K1776)/K1776)&gt;0.05</formula>
    </cfRule>
  </conditionalFormatting>
  <conditionalFormatting sqref="J1637:J1645">
    <cfRule type="expression" dxfId="2231" priority="2341">
      <formula>AND(I1637=0,(J1637&gt;0))</formula>
    </cfRule>
    <cfRule type="expression" dxfId="2230" priority="2342">
      <formula>((J1637-I1637)/I1637)&gt;0.05</formula>
    </cfRule>
  </conditionalFormatting>
  <conditionalFormatting sqref="H1646:H1775">
    <cfRule type="expression" dxfId="2229" priority="2337">
      <formula>AND(G1646=0,(H1646&gt;0))</formula>
    </cfRule>
    <cfRule type="expression" dxfId="2228" priority="2338">
      <formula>((H1646-G1646)/G1646)&gt;0.05</formula>
    </cfRule>
  </conditionalFormatting>
  <conditionalFormatting sqref="H1776:H1804">
    <cfRule type="expression" dxfId="2227" priority="2333">
      <formula>AND(G1776=0,(H1776&gt;0))</formula>
    </cfRule>
    <cfRule type="expression" dxfId="2226" priority="2334">
      <formula>((H1776-G1776)/G1776)&gt;0.05</formula>
    </cfRule>
  </conditionalFormatting>
  <conditionalFormatting sqref="P1646:P1650">
    <cfRule type="expression" dxfId="2225" priority="2331">
      <formula>AND(M1646=0,(P1646&gt;0))</formula>
    </cfRule>
    <cfRule type="expression" dxfId="2224" priority="2332">
      <formula>((P1646-M1646)/M1646)&gt;0.05</formula>
    </cfRule>
  </conditionalFormatting>
  <conditionalFormatting sqref="P1776:Q1804">
    <cfRule type="expression" dxfId="2223" priority="2327">
      <formula>AND(M1776=0,(P1776&gt;0))</formula>
    </cfRule>
    <cfRule type="expression" dxfId="2222" priority="2328">
      <formula>((P1776-M1776)/M1776)&gt;0.05</formula>
    </cfRule>
  </conditionalFormatting>
  <conditionalFormatting sqref="V1646:V1775">
    <cfRule type="expression" dxfId="2221" priority="2325">
      <formula>AND(U1646=0,(V1646&gt;0))</formula>
    </cfRule>
    <cfRule type="expression" dxfId="2220" priority="2326">
      <formula>((V1646-U1646)/U1646)&gt;0.05</formula>
    </cfRule>
  </conditionalFormatting>
  <conditionalFormatting sqref="V1776:V1804">
    <cfRule type="expression" dxfId="2219" priority="2321">
      <formula>AND(U1776=0,(V1776&gt;0))</formula>
    </cfRule>
    <cfRule type="expression" dxfId="2218" priority="2322">
      <formula>((V1776-U1776)/U1776)&gt;0.05</formula>
    </cfRule>
  </conditionalFormatting>
  <conditionalFormatting sqref="Z1646:Z1650">
    <cfRule type="expression" dxfId="2217" priority="2319">
      <formula>AND(W1646=0,(Z1646&gt;0))</formula>
    </cfRule>
    <cfRule type="expression" dxfId="2216" priority="2320">
      <formula>((Z1646-W1646)/W1646)&gt;0.05</formula>
    </cfRule>
  </conditionalFormatting>
  <conditionalFormatting sqref="Z1776:AA1804">
    <cfRule type="expression" dxfId="2215" priority="2315">
      <formula>AND(W1776=0,(Z1776&gt;0))</formula>
    </cfRule>
    <cfRule type="expression" dxfId="2214" priority="2316">
      <formula>((Z1776-W1776)/W1776)&gt;0.05</formula>
    </cfRule>
  </conditionalFormatting>
  <conditionalFormatting sqref="AD1646:AD1775">
    <cfRule type="expression" dxfId="2213" priority="2313">
      <formula>AND(AC1646=0,(AD1646&gt;0))</formula>
    </cfRule>
    <cfRule type="expression" dxfId="2212" priority="2314">
      <formula>((AD1646-AC1646)/AC1646)&gt;0.05</formula>
    </cfRule>
  </conditionalFormatting>
  <conditionalFormatting sqref="AD1776:AD1804">
    <cfRule type="expression" dxfId="2211" priority="2309">
      <formula>AND(AC1776=0,(AD1776&gt;0))</formula>
    </cfRule>
    <cfRule type="expression" dxfId="2210" priority="2310">
      <formula>((AD1776-AC1776)/AC1776)&gt;0.05</formula>
    </cfRule>
  </conditionalFormatting>
  <conditionalFormatting sqref="AG1646:AG1650">
    <cfRule type="expression" dxfId="2209" priority="2307">
      <formula>AND(AD1646=0,(AG1646&gt;0))</formula>
    </cfRule>
    <cfRule type="expression" dxfId="2208" priority="2308">
      <formula>((AG1646-AD1646)/AD1646)&gt;0.05</formula>
    </cfRule>
  </conditionalFormatting>
  <conditionalFormatting sqref="AG1637:AG1641 AG1643:AG1645 AG1652:AG1655 AG1657:AG1658 AG1660:AG1661 AG1663:AH1664 AH1666:AH1775 AG1666:AG1667 AG1669:AG1775">
    <cfRule type="expression" dxfId="2207" priority="2305">
      <formula>AND(AD1637=0,(AG1637&gt;0))</formula>
    </cfRule>
    <cfRule type="expression" dxfId="2206" priority="2306">
      <formula>((AG1637-AD1637)/AD1637)&gt;0.05</formula>
    </cfRule>
  </conditionalFormatting>
  <conditionalFormatting sqref="J2787:J2849">
    <cfRule type="expression" dxfId="2205" priority="2289">
      <formula>AND(I2787=0,(J2787&gt;0))</formula>
    </cfRule>
    <cfRule type="expression" dxfId="2204" priority="2290">
      <formula>((J2787-I2787)/I2787)&gt;0.05</formula>
    </cfRule>
  </conditionalFormatting>
  <conditionalFormatting sqref="J2753:J2786">
    <cfRule type="expression" dxfId="2203" priority="2287">
      <formula>AND(I2753=0,(J2753&gt;0))</formula>
    </cfRule>
    <cfRule type="expression" dxfId="2202" priority="2288">
      <formula>((J2753-I2753)/I2753)&gt;0.05</formula>
    </cfRule>
  </conditionalFormatting>
  <conditionalFormatting sqref="L2787:L2849">
    <cfRule type="expression" dxfId="2201" priority="2285">
      <formula>AND(K2787=0,(L2787&gt;0))</formula>
    </cfRule>
    <cfRule type="expression" dxfId="2200" priority="2286">
      <formula>((L2787-K2787)/K2787)&gt;0.05</formula>
    </cfRule>
  </conditionalFormatting>
  <conditionalFormatting sqref="L2753:L2786">
    <cfRule type="expression" dxfId="2199" priority="2283">
      <formula>AND(K2753=0,(L2753&gt;0))</formula>
    </cfRule>
    <cfRule type="expression" dxfId="2198" priority="2284">
      <formula>((L2753-K2753)/K2753)&gt;0.05</formula>
    </cfRule>
  </conditionalFormatting>
  <conditionalFormatting sqref="V2787:V2849">
    <cfRule type="expression" dxfId="2197" priority="2281">
      <formula>AND(U2787=0,(V2787&gt;0))</formula>
    </cfRule>
    <cfRule type="expression" dxfId="2196" priority="2282">
      <formula>((V2787-U2787)/U2787)&gt;0.05</formula>
    </cfRule>
  </conditionalFormatting>
  <conditionalFormatting sqref="V2753:V2786">
    <cfRule type="expression" dxfId="2195" priority="2279">
      <formula>AND(U2753=0,(V2753&gt;0))</formula>
    </cfRule>
    <cfRule type="expression" dxfId="2194" priority="2280">
      <formula>((V2753-U2753)/U2753)&gt;0.05</formula>
    </cfRule>
  </conditionalFormatting>
  <conditionalFormatting sqref="AD2787:AD2849">
    <cfRule type="expression" dxfId="2193" priority="2277">
      <formula>AND(AC2787=0,(AD2787&gt;0))</formula>
    </cfRule>
    <cfRule type="expression" dxfId="2192" priority="2278">
      <formula>((AD2787-AC2787)/AC2787)&gt;0.05</formula>
    </cfRule>
  </conditionalFormatting>
  <conditionalFormatting sqref="AD2753:AD2768 AD2770:AD2786">
    <cfRule type="expression" dxfId="2191" priority="2275">
      <formula>AND(AC2753=0,(AD2753&gt;0))</formula>
    </cfRule>
    <cfRule type="expression" dxfId="2190" priority="2276">
      <formula>((AD2753-AC2753)/AC2753)&gt;0.05</formula>
    </cfRule>
  </conditionalFormatting>
  <conditionalFormatting sqref="H3175:H3204">
    <cfRule type="expression" dxfId="2189" priority="2243">
      <formula>AND(G3175=0,(H3175&gt;0))</formula>
    </cfRule>
    <cfRule type="expression" dxfId="2188" priority="2244">
      <formula>((H3175-G3175)/G3175)&gt;0.05</formula>
    </cfRule>
  </conditionalFormatting>
  <conditionalFormatting sqref="AD2769">
    <cfRule type="expression" dxfId="2187" priority="2257">
      <formula>AND(AC2769=0,(AD2769&gt;0))</formula>
    </cfRule>
    <cfRule type="expression" dxfId="2186" priority="2258">
      <formula>((AD2769-AC2769)/AC2769)&gt;0.05</formula>
    </cfRule>
  </conditionalFormatting>
  <conditionalFormatting sqref="H3108:H3152">
    <cfRule type="expression" dxfId="2185" priority="2247">
      <formula>AND(G3108=0,(H3108&gt;0))</formula>
    </cfRule>
    <cfRule type="expression" dxfId="2184" priority="2248">
      <formula>((H3108-G3108)/G3108)&gt;0.05</formula>
    </cfRule>
  </conditionalFormatting>
  <conditionalFormatting sqref="V3175:V3204">
    <cfRule type="expression" dxfId="2183" priority="2215">
      <formula>AND(U3175=0,(V3175&gt;0))</formula>
    </cfRule>
    <cfRule type="expression" dxfId="2182" priority="2216">
      <formula>((V3175-U3175)/U3175)&gt;0.05</formula>
    </cfRule>
  </conditionalFormatting>
  <conditionalFormatting sqref="V3205:V3257">
    <cfRule type="expression" dxfId="2181" priority="2213">
      <formula>AND(U3205=0,(V3205&gt;0))</formula>
    </cfRule>
    <cfRule type="expression" dxfId="2180" priority="2214">
      <formula>((V3205-U3205)/U3205)&gt;0.05</formula>
    </cfRule>
  </conditionalFormatting>
  <conditionalFormatting sqref="H3205:H3257">
    <cfRule type="expression" dxfId="2179" priority="2239">
      <formula>AND(G3205=0,(H3205&gt;0))</formula>
    </cfRule>
    <cfRule type="expression" dxfId="2178" priority="2240">
      <formula>((H3205-G3205)/G3205)&gt;0.05</formula>
    </cfRule>
  </conditionalFormatting>
  <conditionalFormatting sqref="J3108:J3152">
    <cfRule type="expression" dxfId="2177" priority="2233">
      <formula>AND(I3108=0,(J3108&gt;0))</formula>
    </cfRule>
    <cfRule type="expression" dxfId="2176" priority="2234">
      <formula>((J3108-I3108)/I3108)&gt;0.05</formula>
    </cfRule>
  </conditionalFormatting>
  <conditionalFormatting sqref="J3175:J3204">
    <cfRule type="expression" dxfId="2175" priority="2231">
      <formula>AND(I3175=0,(J3175&gt;0))</formula>
    </cfRule>
    <cfRule type="expression" dxfId="2174" priority="2232">
      <formula>((J3175-I3175)/I3175)&gt;0.05</formula>
    </cfRule>
  </conditionalFormatting>
  <conditionalFormatting sqref="J3205:J3257">
    <cfRule type="expression" dxfId="2173" priority="2229">
      <formula>AND(I3205=0,(J3205&gt;0))</formula>
    </cfRule>
    <cfRule type="expression" dxfId="2172" priority="2230">
      <formula>((J3205-I3205)/I3205)&gt;0.05</formula>
    </cfRule>
  </conditionalFormatting>
  <conditionalFormatting sqref="L3108:L3152">
    <cfRule type="expression" dxfId="2171" priority="2225">
      <formula>AND(K3108=0,(L3108&gt;0))</formula>
    </cfRule>
    <cfRule type="expression" dxfId="2170" priority="2226">
      <formula>((L3108-K3108)/K3108)&gt;0.05</formula>
    </cfRule>
  </conditionalFormatting>
  <conditionalFormatting sqref="V3108:V3152">
    <cfRule type="expression" dxfId="2169" priority="2217">
      <formula>AND(U3108=0,(V3108&gt;0))</formula>
    </cfRule>
    <cfRule type="expression" dxfId="2168" priority="2218">
      <formula>((V3108-U3108)/U3108)&gt;0.05</formula>
    </cfRule>
  </conditionalFormatting>
  <conditionalFormatting sqref="H3161">
    <cfRule type="expression" dxfId="2167" priority="2187">
      <formula>AND(G3161=0,(H3161&gt;0))</formula>
    </cfRule>
    <cfRule type="expression" dxfId="2166" priority="2188">
      <formula>((H3161-G3161)/G3161)&gt;0.05</formula>
    </cfRule>
  </conditionalFormatting>
  <conditionalFormatting sqref="AD3108:AD3152">
    <cfRule type="expression" dxfId="2165" priority="2209">
      <formula>AND(AC3108=0,(AD3108&gt;0))</formula>
    </cfRule>
    <cfRule type="expression" dxfId="2164" priority="2210">
      <formula>((AD3108-AC3108)/AC3108)&gt;0.05</formula>
    </cfRule>
  </conditionalFormatting>
  <conditionalFormatting sqref="AD3175:AD3204">
    <cfRule type="expression" dxfId="2163" priority="2207">
      <formula>AND(AC3175=0,(AD3175&gt;0))</formula>
    </cfRule>
    <cfRule type="expression" dxfId="2162" priority="2208">
      <formula>((AD3175-AC3175)/AC3175)&gt;0.05</formula>
    </cfRule>
  </conditionalFormatting>
  <conditionalFormatting sqref="AD3205:AD3257">
    <cfRule type="expression" dxfId="2161" priority="2205">
      <formula>AND(AC3205=0,(AD3205&gt;0))</formula>
    </cfRule>
    <cfRule type="expression" dxfId="2160" priority="2206">
      <formula>((AD3205-AC3205)/AC3205)&gt;0.05</formula>
    </cfRule>
  </conditionalFormatting>
  <conditionalFormatting sqref="Z3161:AA3161">
    <cfRule type="expression" dxfId="2159" priority="2175">
      <formula>AND(W3161=0,(Z3161&gt;0))</formula>
    </cfRule>
    <cfRule type="expression" dxfId="2158" priority="2176">
      <formula>((Z3161-W3161)/W3161)&gt;0.05</formula>
    </cfRule>
  </conditionalFormatting>
  <conditionalFormatting sqref="AG3161:AH3161">
    <cfRule type="expression" dxfId="2157" priority="2173">
      <formula>AND(AD3161=0,(AG3161&gt;0))</formula>
    </cfRule>
    <cfRule type="expression" dxfId="2156" priority="2174">
      <formula>((AG3161-AD3161)/AD3161)&gt;0.05</formula>
    </cfRule>
  </conditionalFormatting>
  <conditionalFormatting sqref="AG3258:AH3283">
    <cfRule type="expression" dxfId="2155" priority="2131">
      <formula>AND(AD3258=0,(AG3258&gt;0))</formula>
    </cfRule>
    <cfRule type="expression" dxfId="2154" priority="2132">
      <formula>((AG3258-AD3258)/AD3258)&gt;0.05</formula>
    </cfRule>
  </conditionalFormatting>
  <conditionalFormatting sqref="P3258:Q3283">
    <cfRule type="expression" dxfId="2153" priority="2151">
      <formula>AND(M3258=0,(P3258&gt;0))</formula>
    </cfRule>
    <cfRule type="expression" dxfId="2152" priority="2152">
      <formula>((P3258-M3258)/M3258)&gt;0.05</formula>
    </cfRule>
  </conditionalFormatting>
  <conditionalFormatting sqref="Z3258:AA3283">
    <cfRule type="expression" dxfId="2151" priority="2133">
      <formula>AND(W3258=0,(Z3258&gt;0))</formula>
    </cfRule>
    <cfRule type="expression" dxfId="2150" priority="2134">
      <formula>((Z3258-W3258)/W3258)&gt;0.05</formula>
    </cfRule>
  </conditionalFormatting>
  <conditionalFormatting sqref="H919:H937 V919:V923">
    <cfRule type="expression" dxfId="2149" priority="2127">
      <formula>AND(G919=0,(H919&gt;0))</formula>
    </cfRule>
    <cfRule type="expression" dxfId="2148" priority="2128">
      <formula>((H919-G919)/G919)&gt;0.05</formula>
    </cfRule>
  </conditionalFormatting>
  <conditionalFormatting sqref="H823:H918">
    <cfRule type="expression" dxfId="2147" priority="2119">
      <formula>AND(G823=0,(H823&gt;0))</formula>
    </cfRule>
    <cfRule type="expression" dxfId="2146" priority="2120">
      <formula>((H823-G823)/G823)&gt;0.05</formula>
    </cfRule>
  </conditionalFormatting>
  <conditionalFormatting sqref="J919:J937">
    <cfRule type="expression" dxfId="2145" priority="2115">
      <formula>AND(I919=0,(J919&gt;0))</formula>
    </cfRule>
    <cfRule type="expression" dxfId="2144" priority="2116">
      <formula>((J919-I919)/I919)&gt;0.05</formula>
    </cfRule>
  </conditionalFormatting>
  <conditionalFormatting sqref="L919:L937">
    <cfRule type="expression" dxfId="2143" priority="2109">
      <formula>AND(K919=0,(L919&gt;0))</formula>
    </cfRule>
    <cfRule type="expression" dxfId="2142" priority="2110">
      <formula>((L919-K919)/K919)&gt;0.05</formula>
    </cfRule>
  </conditionalFormatting>
  <conditionalFormatting sqref="L823:L918">
    <cfRule type="expression" dxfId="2141" priority="2105">
      <formula>AND(K823=0,(L823&gt;0))</formula>
    </cfRule>
    <cfRule type="expression" dxfId="2140" priority="2106">
      <formula>((L823-K823)/K823)&gt;0.05</formula>
    </cfRule>
  </conditionalFormatting>
  <conditionalFormatting sqref="V926:V937">
    <cfRule type="expression" dxfId="2139" priority="2103">
      <formula>AND(U926=0,(V926&gt;0))</formula>
    </cfRule>
    <cfRule type="expression" dxfId="2138" priority="2104">
      <formula>((V926-U926)/U926)&gt;0.05</formula>
    </cfRule>
  </conditionalFormatting>
  <conditionalFormatting sqref="V765:V822">
    <cfRule type="expression" dxfId="2137" priority="2101">
      <formula>AND(U765=0,(V765&gt;0))</formula>
    </cfRule>
    <cfRule type="expression" dxfId="2136" priority="2102">
      <formula>((V765-U765)/U765)&gt;0.05</formula>
    </cfRule>
  </conditionalFormatting>
  <conditionalFormatting sqref="V823:V918">
    <cfRule type="expression" dxfId="2135" priority="2099">
      <formula>AND(U823=0,(V823&gt;0))</formula>
    </cfRule>
    <cfRule type="expression" dxfId="2134" priority="2100">
      <formula>((V823-U823)/U823)&gt;0.05</formula>
    </cfRule>
  </conditionalFormatting>
  <conditionalFormatting sqref="AD823:AD918">
    <cfRule type="expression" dxfId="2133" priority="2093">
      <formula>AND(AC823=0,(AD823&gt;0))</formula>
    </cfRule>
    <cfRule type="expression" dxfId="2132" priority="2094">
      <formula>((AD823-AC823)/AC823)&gt;0.05</formula>
    </cfRule>
  </conditionalFormatting>
  <conditionalFormatting sqref="Z919:AA937">
    <cfRule type="expression" dxfId="2131" priority="2091">
      <formula>AND(W919=0,(Z919&gt;0))</formula>
    </cfRule>
    <cfRule type="expression" dxfId="2130" priority="2092">
      <formula>((Z919-W919)/W919)&gt;0.05</formula>
    </cfRule>
  </conditionalFormatting>
  <conditionalFormatting sqref="AG823:AH918">
    <cfRule type="expression" dxfId="2129" priority="2081">
      <formula>AND(AD823=0,(AG823&gt;0))</formula>
    </cfRule>
    <cfRule type="expression" dxfId="2128" priority="2082">
      <formula>((AG823-AD823)/AD823)&gt;0.05</formula>
    </cfRule>
  </conditionalFormatting>
  <conditionalFormatting sqref="H939">
    <cfRule type="expression" dxfId="2127" priority="2071">
      <formula>AND(G939=0,(H939&gt;0))</formula>
    </cfRule>
    <cfRule type="expression" dxfId="2126" priority="2072">
      <formula>((H939-G939)/G939)&gt;0.05</formula>
    </cfRule>
  </conditionalFormatting>
  <conditionalFormatting sqref="H938">
    <cfRule type="expression" dxfId="2125" priority="2067">
      <formula>AND(G938=0,(H938&gt;0))</formula>
    </cfRule>
    <cfRule type="expression" dxfId="2124" priority="2068">
      <formula>((H938-G938)/G938)&gt;0.05</formula>
    </cfRule>
  </conditionalFormatting>
  <conditionalFormatting sqref="P938:Q938">
    <cfRule type="expression" dxfId="2123" priority="2065">
      <formula>AND(M938=0,(P938&gt;0))</formula>
    </cfRule>
    <cfRule type="expression" dxfId="2122" priority="2066">
      <formula>((P938-M938)/M938)&gt;0.05</formula>
    </cfRule>
  </conditionalFormatting>
  <conditionalFormatting sqref="H948">
    <cfRule type="expression" dxfId="2121" priority="2055">
      <formula>AND(G948=0,(H948&gt;0))</formula>
    </cfRule>
    <cfRule type="expression" dxfId="2120" priority="2056">
      <formula>((H948-G948)/G948)&gt;0.05</formula>
    </cfRule>
  </conditionalFormatting>
  <conditionalFormatting sqref="H965">
    <cfRule type="expression" dxfId="2119" priority="2051">
      <formula>AND(G965=0,(H965&gt;0))</formula>
    </cfRule>
    <cfRule type="expression" dxfId="2118" priority="2052">
      <formula>((H965-G965)/G965)&gt;0.05</formula>
    </cfRule>
  </conditionalFormatting>
  <conditionalFormatting sqref="P965:Q965">
    <cfRule type="expression" dxfId="2117" priority="2049">
      <formula>AND(M965=0,(P965&gt;0))</formula>
    </cfRule>
    <cfRule type="expression" dxfId="2116" priority="2050">
      <formula>((P965-M965)/M965)&gt;0.05</formula>
    </cfRule>
  </conditionalFormatting>
  <conditionalFormatting sqref="L1637:L1645">
    <cfRule type="expression" dxfId="2115" priority="2347">
      <formula>AND(K1637=0,(L1637&gt;0))</formula>
    </cfRule>
    <cfRule type="expression" dxfId="2114" priority="2348">
      <formula>((L1637-K1637)/K1637)&gt;0.05</formula>
    </cfRule>
  </conditionalFormatting>
  <conditionalFormatting sqref="J1646:J1775">
    <cfRule type="expression" dxfId="2113" priority="2343">
      <formula>AND(I1646=0,(J1646&gt;0))</formula>
    </cfRule>
    <cfRule type="expression" dxfId="2112" priority="2344">
      <formula>((J1646-I1646)/I1646)&gt;0.05</formula>
    </cfRule>
  </conditionalFormatting>
  <conditionalFormatting sqref="J1776:J1804">
    <cfRule type="expression" dxfId="2111" priority="2339">
      <formula>AND(I1776=0,(J1776&gt;0))</formula>
    </cfRule>
    <cfRule type="expression" dxfId="2110" priority="2340">
      <formula>((J1776-I1776)/I1776)&gt;0.05</formula>
    </cfRule>
  </conditionalFormatting>
  <conditionalFormatting sqref="H1637:H1645">
    <cfRule type="expression" dxfId="2109" priority="2335">
      <formula>AND(G1637=0,(H1637&gt;0))</formula>
    </cfRule>
    <cfRule type="expression" dxfId="2108" priority="2336">
      <formula>((H1637-G1637)/G1637)&gt;0.05</formula>
    </cfRule>
  </conditionalFormatting>
  <conditionalFormatting sqref="P1637:P1641 P1643:P1645 P1652:P1655 P1657:P1658 P1660:P1661 P1663:Q1664 Q1666:Q1775 P1666:P1667 P1669:P1775">
    <cfRule type="expression" dxfId="2107" priority="2329">
      <formula>AND(M1637=0,(P1637&gt;0))</formula>
    </cfRule>
    <cfRule type="expression" dxfId="2106" priority="2330">
      <formula>((P1637-M1637)/M1637)&gt;0.05</formula>
    </cfRule>
  </conditionalFormatting>
  <conditionalFormatting sqref="V1637:V1645">
    <cfRule type="expression" dxfId="2105" priority="2323">
      <formula>AND(U1637=0,(V1637&gt;0))</formula>
    </cfRule>
    <cfRule type="expression" dxfId="2104" priority="2324">
      <formula>((V1637-U1637)/U1637)&gt;0.05</formula>
    </cfRule>
  </conditionalFormatting>
  <conditionalFormatting sqref="Z1637:Z1641 Z1643:Z1645 Z1652:Z1655 Z1657:Z1658 Z1660:Z1661 Z1663:AA1664 AA1666:AA1775 Z1666:Z1667 Z1669:Z1775">
    <cfRule type="expression" dxfId="2103" priority="2317">
      <formula>AND(W1637=0,(Z1637&gt;0))</formula>
    </cfRule>
    <cfRule type="expression" dxfId="2102" priority="2318">
      <formula>((Z1637-W1637)/W1637)&gt;0.05</formula>
    </cfRule>
  </conditionalFormatting>
  <conditionalFormatting sqref="AD1637:AD1645">
    <cfRule type="expression" dxfId="2101" priority="2311">
      <formula>AND(AC1637=0,(AD1637&gt;0))</formula>
    </cfRule>
    <cfRule type="expression" dxfId="2100" priority="2312">
      <formula>((AD1637-AC1637)/AC1637)&gt;0.05</formula>
    </cfRule>
  </conditionalFormatting>
  <conditionalFormatting sqref="AG1776:AH1804">
    <cfRule type="expression" dxfId="2099" priority="2303">
      <formula>AND(AD1776=0,(AG1776&gt;0))</formula>
    </cfRule>
    <cfRule type="expression" dxfId="2098" priority="2304">
      <formula>((AG1776-AD1776)/AD1776)&gt;0.05</formula>
    </cfRule>
  </conditionalFormatting>
  <conditionalFormatting sqref="H2787:H2849">
    <cfRule type="expression" dxfId="2097" priority="2301">
      <formula>AND(G2787=0,(H2787&gt;0))</formula>
    </cfRule>
    <cfRule type="expression" dxfId="2096" priority="2302">
      <formula>((H2787-G2787)/G2787)&gt;0.05</formula>
    </cfRule>
  </conditionalFormatting>
  <conditionalFormatting sqref="P2814:Q2849 P2787:P2813">
    <cfRule type="expression" dxfId="2095" priority="2299">
      <formula>AND(M2787=0,(P2787&gt;0))</formula>
    </cfRule>
    <cfRule type="expression" dxfId="2094" priority="2300">
      <formula>((P2787-M2787)/M2787)&gt;0.05</formula>
    </cfRule>
  </conditionalFormatting>
  <conditionalFormatting sqref="H2753:H2786">
    <cfRule type="expression" dxfId="2093" priority="2297">
      <formula>AND(G2753=0,(H2753&gt;0))</formula>
    </cfRule>
    <cfRule type="expression" dxfId="2092" priority="2298">
      <formula>((H2753-G2753)/G2753)&gt;0.05</formula>
    </cfRule>
  </conditionalFormatting>
  <conditionalFormatting sqref="P2753:P2786">
    <cfRule type="expression" dxfId="2091" priority="2295">
      <formula>AND(M2753=0,(P2753&gt;0))</formula>
    </cfRule>
    <cfRule type="expression" dxfId="2090" priority="2296">
      <formula>((P2753-M2753)/M2753)&gt;0.05</formula>
    </cfRule>
  </conditionalFormatting>
  <conditionalFormatting sqref="Q2787:Q2813">
    <cfRule type="expression" dxfId="2089" priority="2293">
      <formula>AND(N2787=0,(Q2787&gt;0))</formula>
    </cfRule>
    <cfRule type="expression" dxfId="2088" priority="2294">
      <formula>((Q2787-N2787)/N2787)&gt;0.05</formula>
    </cfRule>
  </conditionalFormatting>
  <conditionalFormatting sqref="Q2753:Q2786">
    <cfRule type="expression" dxfId="2087" priority="2291">
      <formula>AND(N2753=0,(Q2753&gt;0))</formula>
    </cfRule>
    <cfRule type="expression" dxfId="2086" priority="2292">
      <formula>((Q2753-N2753)/N2753)&gt;0.05</formula>
    </cfRule>
  </conditionalFormatting>
  <conditionalFormatting sqref="Z2814:AA2849 Z2787:Z2813">
    <cfRule type="expression" dxfId="2085" priority="2273">
      <formula>AND(W2787=0,(Z2787&gt;0))</formula>
    </cfRule>
    <cfRule type="expression" dxfId="2084" priority="2274">
      <formula>((Z2787-W2787)/W2787)&gt;0.05</formula>
    </cfRule>
  </conditionalFormatting>
  <conditionalFormatting sqref="Z2753:Z2786">
    <cfRule type="expression" dxfId="2083" priority="2271">
      <formula>AND(W2753=0,(Z2753&gt;0))</formula>
    </cfRule>
    <cfRule type="expression" dxfId="2082" priority="2272">
      <formula>((Z2753-W2753)/W2753)&gt;0.05</formula>
    </cfRule>
  </conditionalFormatting>
  <conditionalFormatting sqref="AA2787:AA2813">
    <cfRule type="expression" dxfId="2081" priority="2269">
      <formula>AND(X2787=0,(AA2787&gt;0))</formula>
    </cfRule>
    <cfRule type="expression" dxfId="2080" priority="2270">
      <formula>((AA2787-X2787)/X2787)&gt;0.05</formula>
    </cfRule>
  </conditionalFormatting>
  <conditionalFormatting sqref="AA2753:AA2786">
    <cfRule type="expression" dxfId="2079" priority="2267">
      <formula>AND(X2753=0,(AA2753&gt;0))</formula>
    </cfRule>
    <cfRule type="expression" dxfId="2078" priority="2268">
      <formula>((AA2753-X2753)/X2753)&gt;0.05</formula>
    </cfRule>
  </conditionalFormatting>
  <conditionalFormatting sqref="AG2814:AH2849 AG2787:AG2813">
    <cfRule type="expression" dxfId="2077" priority="2265">
      <formula>AND(AD2787=0,(AG2787&gt;0))</formula>
    </cfRule>
    <cfRule type="expression" dxfId="2076" priority="2266">
      <formula>((AG2787-AD2787)/AD2787)&gt;0.05</formula>
    </cfRule>
  </conditionalFormatting>
  <conditionalFormatting sqref="AG2753:AG2768 AG2770:AG2786">
    <cfRule type="expression" dxfId="2075" priority="2263">
      <formula>AND(AD2753=0,(AG2753&gt;0))</formula>
    </cfRule>
    <cfRule type="expression" dxfId="2074" priority="2264">
      <formula>((AG2753-AD2753)/AD2753)&gt;0.05</formula>
    </cfRule>
  </conditionalFormatting>
  <conditionalFormatting sqref="AH2787:AH2813">
    <cfRule type="expression" dxfId="2073" priority="2261">
      <formula>AND(AE2787=0,(AH2787&gt;0))</formula>
    </cfRule>
    <cfRule type="expression" dxfId="2072" priority="2262">
      <formula>((AH2787-AE2787)/AE2787)&gt;0.05</formula>
    </cfRule>
  </conditionalFormatting>
  <conditionalFormatting sqref="AH2753:AH2768 AH2770:AH2786">
    <cfRule type="expression" dxfId="2071" priority="2259">
      <formula>AND(AE2753=0,(AH2753&gt;0))</formula>
    </cfRule>
    <cfRule type="expression" dxfId="2070" priority="2260">
      <formula>((AH2753-AE2753)/AE2753)&gt;0.05</formula>
    </cfRule>
  </conditionalFormatting>
  <conditionalFormatting sqref="AG2769">
    <cfRule type="expression" dxfId="2069" priority="2255">
      <formula>AND(AD2769=0,(AG2769&gt;0))</formula>
    </cfRule>
    <cfRule type="expression" dxfId="2068" priority="2256">
      <formula>((AG2769-AD2769)/AD2769)&gt;0.05</formula>
    </cfRule>
  </conditionalFormatting>
  <conditionalFormatting sqref="AH2769">
    <cfRule type="expression" dxfId="2067" priority="2253">
      <formula>AND(AE2769=0,(AH2769&gt;0))</formula>
    </cfRule>
    <cfRule type="expression" dxfId="2066" priority="2254">
      <formula>((AH2769-AE2769)/AE2769)&gt;0.05</formula>
    </cfRule>
  </conditionalFormatting>
  <conditionalFormatting sqref="P3152">
    <cfRule type="expression" dxfId="2065" priority="2249">
      <formula>AND(M3152=0,(P3152&gt;0))</formula>
    </cfRule>
    <cfRule type="expression" dxfId="2064" priority="2250">
      <formula>((P3152-M3152)/M3152)&gt;0.05</formula>
    </cfRule>
  </conditionalFormatting>
  <conditionalFormatting sqref="P3108:Q3151 Q3152">
    <cfRule type="expression" dxfId="2063" priority="2245">
      <formula>AND(M3108=0,(P3108&gt;0))</formula>
    </cfRule>
    <cfRule type="expression" dxfId="2062" priority="2246">
      <formula>((P3108-M3108)/M3108)&gt;0.05</formula>
    </cfRule>
  </conditionalFormatting>
  <conditionalFormatting sqref="P3175:Q3204">
    <cfRule type="expression" dxfId="2061" priority="2241">
      <formula>AND(M3175=0,(P3175&gt;0))</formula>
    </cfRule>
    <cfRule type="expression" dxfId="2060" priority="2242">
      <formula>((P3175-M3175)/M3175)&gt;0.05</formula>
    </cfRule>
  </conditionalFormatting>
  <conditionalFormatting sqref="P3205:Q3257">
    <cfRule type="expression" dxfId="2059" priority="2237">
      <formula>AND(M3205=0,(P3205&gt;0))</formula>
    </cfRule>
    <cfRule type="expression" dxfId="2058" priority="2238">
      <formula>((P3205-M3205)/M3205)&gt;0.05</formula>
    </cfRule>
  </conditionalFormatting>
  <conditionalFormatting sqref="Z3108:AA3152">
    <cfRule type="expression" dxfId="2057" priority="2201">
      <formula>AND(W3108=0,(Z3108&gt;0))</formula>
    </cfRule>
    <cfRule type="expression" dxfId="2056" priority="2202">
      <formula>((Z3108-W3108)/W3108)&gt;0.05</formula>
    </cfRule>
  </conditionalFormatting>
  <conditionalFormatting sqref="Z3175:AA3204">
    <cfRule type="expression" dxfId="2055" priority="2199">
      <formula>AND(W3175=0,(Z3175&gt;0))</formula>
    </cfRule>
    <cfRule type="expression" dxfId="2054" priority="2200">
      <formula>((Z3175-W3175)/W3175)&gt;0.05</formula>
    </cfRule>
  </conditionalFormatting>
  <conditionalFormatting sqref="Z3205:AA3257">
    <cfRule type="expression" dxfId="2053" priority="2197">
      <formula>AND(W3205=0,(Z3205&gt;0))</formula>
    </cfRule>
    <cfRule type="expression" dxfId="2052" priority="2198">
      <formula>((Z3205-W3205)/W3205)&gt;0.05</formula>
    </cfRule>
  </conditionalFormatting>
  <conditionalFormatting sqref="AG3108:AH3152">
    <cfRule type="expression" dxfId="2051" priority="2193">
      <formula>AND(AD3108=0,(AG3108&gt;0))</formula>
    </cfRule>
    <cfRule type="expression" dxfId="2050" priority="2194">
      <formula>((AG3108-AD3108)/AD3108)&gt;0.05</formula>
    </cfRule>
  </conditionalFormatting>
  <conditionalFormatting sqref="AG3175:AH3204">
    <cfRule type="expression" dxfId="2049" priority="2191">
      <formula>AND(AD3175=0,(AG3175&gt;0))</formula>
    </cfRule>
    <cfRule type="expression" dxfId="2048" priority="2192">
      <formula>((AG3175-AD3175)/AD3175)&gt;0.05</formula>
    </cfRule>
  </conditionalFormatting>
  <conditionalFormatting sqref="AG3205:AH3257">
    <cfRule type="expression" dxfId="2047" priority="2189">
      <formula>AND(AD3205=0,(AG3205&gt;0))</formula>
    </cfRule>
    <cfRule type="expression" dxfId="2046" priority="2190">
      <formula>((AG3205-AD3205)/AD3205)&gt;0.05</formula>
    </cfRule>
  </conditionalFormatting>
  <conditionalFormatting sqref="P3161:Q3161">
    <cfRule type="expression" dxfId="2045" priority="2185">
      <formula>AND(M3161=0,(P3161&gt;0))</formula>
    </cfRule>
    <cfRule type="expression" dxfId="2044" priority="2186">
      <formula>((P3161-M3161)/M3161)&gt;0.05</formula>
    </cfRule>
  </conditionalFormatting>
  <conditionalFormatting sqref="J3161">
    <cfRule type="expression" dxfId="2043" priority="2183">
      <formula>AND(I3161=0,(J3161&gt;0))</formula>
    </cfRule>
    <cfRule type="expression" dxfId="2042" priority="2184">
      <formula>((J3161-I3161)/I3161)&gt;0.05</formula>
    </cfRule>
  </conditionalFormatting>
  <conditionalFormatting sqref="L3161">
    <cfRule type="expression" dxfId="2041" priority="2181">
      <formula>AND(K3161=0,(L3161&gt;0))</formula>
    </cfRule>
    <cfRule type="expression" dxfId="2040" priority="2182">
      <formula>((L3161-K3161)/K3161)&gt;0.05</formula>
    </cfRule>
  </conditionalFormatting>
  <conditionalFormatting sqref="V3161">
    <cfRule type="expression" dxfId="2039" priority="2179">
      <formula>AND(U3161=0,(V3161&gt;0))</formula>
    </cfRule>
    <cfRule type="expression" dxfId="2038" priority="2180">
      <formula>((V3161-U3161)/U3161)&gt;0.05</formula>
    </cfRule>
  </conditionalFormatting>
  <conditionalFormatting sqref="AD3161">
    <cfRule type="expression" dxfId="2037" priority="2177">
      <formula>AND(AC3161=0,(AD3161&gt;0))</formula>
    </cfRule>
    <cfRule type="expression" dxfId="2036" priority="2178">
      <formula>((AD3161-AC3161)/AC3161)&gt;0.05</formula>
    </cfRule>
  </conditionalFormatting>
  <conditionalFormatting sqref="H3263:H3283 H3258:H3261">
    <cfRule type="expression" dxfId="2035" priority="2153">
      <formula>AND(G3258=0,(H3258&gt;0))</formula>
    </cfRule>
    <cfRule type="expression" dxfId="2034" priority="2154">
      <formula>((H3258-G3258)/G3258)&gt;0.05</formula>
    </cfRule>
  </conditionalFormatting>
  <conditionalFormatting sqref="H3262">
    <cfRule type="expression" dxfId="2033" priority="2155">
      <formula>AND(G3261=0,(H3262&gt;0))</formula>
    </cfRule>
    <cfRule type="expression" dxfId="2032" priority="2156">
      <formula>((H3262-G3261)/G3261)&gt;0.05</formula>
    </cfRule>
  </conditionalFormatting>
  <conditionalFormatting sqref="J3263:J3283 J3258:J3261">
    <cfRule type="expression" dxfId="2031" priority="2147">
      <formula>AND(I3258=0,(J3258&gt;0))</formula>
    </cfRule>
    <cfRule type="expression" dxfId="2030" priority="2148">
      <formula>((J3258-I3258)/I3258)&gt;0.05</formula>
    </cfRule>
  </conditionalFormatting>
  <conditionalFormatting sqref="J3262">
    <cfRule type="expression" dxfId="2029" priority="2149">
      <formula>AND(I3261=0,(J3262&gt;0))</formula>
    </cfRule>
    <cfRule type="expression" dxfId="2028" priority="2150">
      <formula>((J3262-I3261)/I3261)&gt;0.05</formula>
    </cfRule>
  </conditionalFormatting>
  <conditionalFormatting sqref="L3263:L3283 L3258:L3261">
    <cfRule type="expression" dxfId="2027" priority="2143">
      <formula>AND(K3258=0,(L3258&gt;0))</formula>
    </cfRule>
    <cfRule type="expression" dxfId="2026" priority="2144">
      <formula>((L3258-K3258)/K3258)&gt;0.05</formula>
    </cfRule>
  </conditionalFormatting>
  <conditionalFormatting sqref="L3262">
    <cfRule type="expression" dxfId="2025" priority="2145">
      <formula>AND(K3261=0,(L3262&gt;0))</formula>
    </cfRule>
    <cfRule type="expression" dxfId="2024" priority="2146">
      <formula>((L3262-K3261)/K3261)&gt;0.05</formula>
    </cfRule>
  </conditionalFormatting>
  <conditionalFormatting sqref="V3263:V3283 V3258:V3261">
    <cfRule type="expression" dxfId="2023" priority="2139">
      <formula>AND(U3258=0,(V3258&gt;0))</formula>
    </cfRule>
    <cfRule type="expression" dxfId="2022" priority="2140">
      <formula>((V3258-U3258)/U3258)&gt;0.05</formula>
    </cfRule>
  </conditionalFormatting>
  <conditionalFormatting sqref="V3262">
    <cfRule type="expression" dxfId="2021" priority="2141">
      <formula>AND(U3261=0,(V3262&gt;0))</formula>
    </cfRule>
    <cfRule type="expression" dxfId="2020" priority="2142">
      <formula>((V3262-U3261)/U3261)&gt;0.05</formula>
    </cfRule>
  </conditionalFormatting>
  <conditionalFormatting sqref="AD3263:AD3283 AD3258:AD3261">
    <cfRule type="expression" dxfId="2019" priority="2135">
      <formula>AND(AC3258=0,(AD3258&gt;0))</formula>
    </cfRule>
    <cfRule type="expression" dxfId="2018" priority="2136">
      <formula>((AD3258-AC3258)/AC3258)&gt;0.05</formula>
    </cfRule>
  </conditionalFormatting>
  <conditionalFormatting sqref="AD3262">
    <cfRule type="expression" dxfId="2017" priority="2137">
      <formula>AND(AC3261=0,(AD3262&gt;0))</formula>
    </cfRule>
    <cfRule type="expression" dxfId="2016" priority="2138">
      <formula>((AD3262-AC3261)/AC3261)&gt;0.05</formula>
    </cfRule>
  </conditionalFormatting>
  <conditionalFormatting sqref="P919:Q937">
    <cfRule type="expression" dxfId="2015" priority="2125">
      <formula>AND(M919=0,(P919&gt;0))</formula>
    </cfRule>
    <cfRule type="expression" dxfId="2014" priority="2126">
      <formula>((P919-M919)/M919)&gt;0.05</formula>
    </cfRule>
  </conditionalFormatting>
  <conditionalFormatting sqref="H765:H822">
    <cfRule type="expression" dxfId="2013" priority="2123">
      <formula>AND(G765=0,(H765&gt;0))</formula>
    </cfRule>
    <cfRule type="expression" dxfId="2012" priority="2124">
      <formula>((H765-G765)/G765)&gt;0.05</formula>
    </cfRule>
  </conditionalFormatting>
  <conditionalFormatting sqref="P765:Q822">
    <cfRule type="expression" dxfId="2011" priority="2121">
      <formula>AND(M765=0,(P765&gt;0))</formula>
    </cfRule>
    <cfRule type="expression" dxfId="2010" priority="2122">
      <formula>((P765-M765)/M765)&gt;0.05</formula>
    </cfRule>
  </conditionalFormatting>
  <conditionalFormatting sqref="P823:Q918">
    <cfRule type="expression" dxfId="2009" priority="2117">
      <formula>AND(M823=0,(P823&gt;0))</formula>
    </cfRule>
    <cfRule type="expression" dxfId="2008" priority="2118">
      <formula>((P823-M823)/M823)&gt;0.05</formula>
    </cfRule>
  </conditionalFormatting>
  <conditionalFormatting sqref="J765 J767:J822">
    <cfRule type="expression" dxfId="2007" priority="2113">
      <formula>AND(I765=0,(J765&gt;0))</formula>
    </cfRule>
    <cfRule type="expression" dxfId="2006" priority="2114">
      <formula>((J765-I765)/I765)&gt;0.05</formula>
    </cfRule>
  </conditionalFormatting>
  <conditionalFormatting sqref="J823:J918">
    <cfRule type="expression" dxfId="2005" priority="2111">
      <formula>AND(I823=0,(J823&gt;0))</formula>
    </cfRule>
    <cfRule type="expression" dxfId="2004" priority="2112">
      <formula>((J823-I823)/I823)&gt;0.05</formula>
    </cfRule>
  </conditionalFormatting>
  <conditionalFormatting sqref="L765:L822">
    <cfRule type="expression" dxfId="2003" priority="2107">
      <formula>AND(K765=0,(L765&gt;0))</formula>
    </cfRule>
    <cfRule type="expression" dxfId="2002" priority="2108">
      <formula>((L765-K765)/K765)&gt;0.05</formula>
    </cfRule>
  </conditionalFormatting>
  <conditionalFormatting sqref="AD919:AD937">
    <cfRule type="expression" dxfId="2001" priority="2097">
      <formula>AND(AC919=0,(AD919&gt;0))</formula>
    </cfRule>
    <cfRule type="expression" dxfId="2000" priority="2098">
      <formula>((AD919-AC919)/AC919)&gt;0.05</formula>
    </cfRule>
  </conditionalFormatting>
  <conditionalFormatting sqref="AD765:AD822">
    <cfRule type="expression" dxfId="1999" priority="2095">
      <formula>AND(AC765=0,(AD765&gt;0))</formula>
    </cfRule>
    <cfRule type="expression" dxfId="1998" priority="2096">
      <formula>((AD765-AC765)/AC765)&gt;0.05</formula>
    </cfRule>
  </conditionalFormatting>
  <conditionalFormatting sqref="Z765:AA822">
    <cfRule type="expression" dxfId="1997" priority="2089">
      <formula>AND(W765=0,(Z765&gt;0))</formula>
    </cfRule>
    <cfRule type="expression" dxfId="1996" priority="2090">
      <formula>((Z765-W765)/W765)&gt;0.05</formula>
    </cfRule>
  </conditionalFormatting>
  <conditionalFormatting sqref="Z823:AA918">
    <cfRule type="expression" dxfId="1995" priority="2087">
      <formula>AND(W823=0,(Z823&gt;0))</formula>
    </cfRule>
    <cfRule type="expression" dxfId="1994" priority="2088">
      <formula>((Z823-W823)/W823)&gt;0.05</formula>
    </cfRule>
  </conditionalFormatting>
  <conditionalFormatting sqref="AG919:AH937">
    <cfRule type="expression" dxfId="1993" priority="2085">
      <formula>AND(AD919=0,(AG919&gt;0))</formula>
    </cfRule>
    <cfRule type="expression" dxfId="1992" priority="2086">
      <formula>((AG919-AD919)/AD919)&gt;0.05</formula>
    </cfRule>
  </conditionalFormatting>
  <conditionalFormatting sqref="AG765:AH822">
    <cfRule type="expression" dxfId="1991" priority="2083">
      <formula>AND(AD765=0,(AG765&gt;0))</formula>
    </cfRule>
    <cfRule type="expression" dxfId="1990" priority="2084">
      <formula>((AG765-AD765)/AD765)&gt;0.05</formula>
    </cfRule>
  </conditionalFormatting>
  <conditionalFormatting sqref="V925">
    <cfRule type="expression" dxfId="1989" priority="2129">
      <formula>AND(U924=0,(V925&gt;0))</formula>
    </cfRule>
    <cfRule type="expression" dxfId="1988" priority="2130">
      <formula>((V925-U924)/U924)&gt;0.05</formula>
    </cfRule>
  </conditionalFormatting>
  <conditionalFormatting sqref="AD947 V947 J947 H947 L947 L949:L959 H949:H959 J949:J959 V949:V959 AD949:AD959">
    <cfRule type="expression" dxfId="1987" priority="2079">
      <formula>AND(G947=0,(H947&gt;0))</formula>
    </cfRule>
    <cfRule type="expression" dxfId="1986" priority="2080">
      <formula>((H947-G947)/G947)&gt;0.05</formula>
    </cfRule>
  </conditionalFormatting>
  <conditionalFormatting sqref="AG947:AH947 Z947:AA947 P947:Q947 P949:Q959 Z949:AA959 AG949:AH959">
    <cfRule type="expression" dxfId="1985" priority="2077">
      <formula>AND(M947=0,(P947&gt;0))</formula>
    </cfRule>
    <cfRule type="expression" dxfId="1984" priority="2078">
      <formula>((P947-M947)/M947)&gt;0.05</formula>
    </cfRule>
  </conditionalFormatting>
  <conditionalFormatting sqref="L940:L945 L961:L963 L966:L967">
    <cfRule type="expression" dxfId="1983" priority="2027">
      <formula>AND(K940=0,(L940&gt;0))</formula>
    </cfRule>
    <cfRule type="expression" dxfId="1982" priority="2028">
      <formula>((L940-K940)/K940)&gt;0.05</formula>
    </cfRule>
  </conditionalFormatting>
  <conditionalFormatting sqref="H940:H945 H961:H963 H966">
    <cfRule type="expression" dxfId="1981" priority="2075">
      <formula>AND(G940=0,(H940&gt;0))</formula>
    </cfRule>
    <cfRule type="expression" dxfId="1980" priority="2076">
      <formula>((H940-G940)/G940)&gt;0.05</formula>
    </cfRule>
  </conditionalFormatting>
  <conditionalFormatting sqref="P940:Q945 P961:Q963 P966:Q967">
    <cfRule type="expression" dxfId="1979" priority="2073">
      <formula>AND(M940=0,(P940&gt;0))</formula>
    </cfRule>
    <cfRule type="expression" dxfId="1978" priority="2074">
      <formula>((P940-M940)/M940)&gt;0.05</formula>
    </cfRule>
  </conditionalFormatting>
  <conditionalFormatting sqref="P939:Q939">
    <cfRule type="expression" dxfId="1977" priority="2069">
      <formula>AND(M939=0,(P939&gt;0))</formula>
    </cfRule>
    <cfRule type="expression" dxfId="1976" priority="2070">
      <formula>((P939-M939)/M939)&gt;0.05</formula>
    </cfRule>
  </conditionalFormatting>
  <conditionalFormatting sqref="H946">
    <cfRule type="expression" dxfId="1975" priority="2063">
      <formula>AND(G946=0,(H946&gt;0))</formula>
    </cfRule>
    <cfRule type="expression" dxfId="1974" priority="2064">
      <formula>((H946-G946)/G946)&gt;0.05</formula>
    </cfRule>
  </conditionalFormatting>
  <conditionalFormatting sqref="P946:Q946">
    <cfRule type="expression" dxfId="1973" priority="2061">
      <formula>AND(M946=0,(P946&gt;0))</formula>
    </cfRule>
    <cfRule type="expression" dxfId="1972" priority="2062">
      <formula>((P946-M946)/M946)&gt;0.05</formula>
    </cfRule>
  </conditionalFormatting>
  <conditionalFormatting sqref="H960">
    <cfRule type="expression" dxfId="1971" priority="2059">
      <formula>AND(G960=0,(H960&gt;0))</formula>
    </cfRule>
    <cfRule type="expression" dxfId="1970" priority="2060">
      <formula>((H960-G960)/G960)&gt;0.05</formula>
    </cfRule>
  </conditionalFormatting>
  <conditionalFormatting sqref="P960:Q960">
    <cfRule type="expression" dxfId="1969" priority="2057">
      <formula>AND(M960=0,(P960&gt;0))</formula>
    </cfRule>
    <cfRule type="expression" dxfId="1968" priority="2058">
      <formula>((P960-M960)/M960)&gt;0.05</formula>
    </cfRule>
  </conditionalFormatting>
  <conditionalFormatting sqref="P948:Q948">
    <cfRule type="expression" dxfId="1967" priority="2053">
      <formula>AND(M948=0,(P948&gt;0))</formula>
    </cfRule>
    <cfRule type="expression" dxfId="1966" priority="2054">
      <formula>((P948-M948)/M948)&gt;0.05</formula>
    </cfRule>
  </conditionalFormatting>
  <conditionalFormatting sqref="H964">
    <cfRule type="expression" dxfId="1965" priority="2047">
      <formula>AND(G964=0,(H964&gt;0))</formula>
    </cfRule>
    <cfRule type="expression" dxfId="1964" priority="2048">
      <formula>((H964-G964)/G964)&gt;0.05</formula>
    </cfRule>
  </conditionalFormatting>
  <conditionalFormatting sqref="P964:Q964">
    <cfRule type="expression" dxfId="1963" priority="2045">
      <formula>AND(M964=0,(P964&gt;0))</formula>
    </cfRule>
    <cfRule type="expression" dxfId="1962" priority="2046">
      <formula>((P964-M964)/M964)&gt;0.05</formula>
    </cfRule>
  </conditionalFormatting>
  <conditionalFormatting sqref="J940:J945 J961:J963 J966:J967">
    <cfRule type="expression" dxfId="1961" priority="2043">
      <formula>AND(I940=0,(J940&gt;0))</formula>
    </cfRule>
    <cfRule type="expression" dxfId="1960" priority="2044">
      <formula>((J940-I940)/I940)&gt;0.05</formula>
    </cfRule>
  </conditionalFormatting>
  <conditionalFormatting sqref="J939">
    <cfRule type="expression" dxfId="1959" priority="2041">
      <formula>AND(I939=0,(J939&gt;0))</formula>
    </cfRule>
    <cfRule type="expression" dxfId="1958" priority="2042">
      <formula>((J939-I939)/I939)&gt;0.05</formula>
    </cfRule>
  </conditionalFormatting>
  <conditionalFormatting sqref="J938">
    <cfRule type="expression" dxfId="1957" priority="2039">
      <formula>AND(I938=0,(J938&gt;0))</formula>
    </cfRule>
    <cfRule type="expression" dxfId="1956" priority="2040">
      <formula>((J938-I938)/I938)&gt;0.05</formula>
    </cfRule>
  </conditionalFormatting>
  <conditionalFormatting sqref="J946">
    <cfRule type="expression" dxfId="1955" priority="2037">
      <formula>AND(I946=0,(J946&gt;0))</formula>
    </cfRule>
    <cfRule type="expression" dxfId="1954" priority="2038">
      <formula>((J946-I946)/I946)&gt;0.05</formula>
    </cfRule>
  </conditionalFormatting>
  <conditionalFormatting sqref="J960">
    <cfRule type="expression" dxfId="1953" priority="2035">
      <formula>AND(I960=0,(J960&gt;0))</formula>
    </cfRule>
    <cfRule type="expression" dxfId="1952" priority="2036">
      <formula>((J960-I960)/I960)&gt;0.05</formula>
    </cfRule>
  </conditionalFormatting>
  <conditionalFormatting sqref="J948">
    <cfRule type="expression" dxfId="1951" priority="2033">
      <formula>AND(I948=0,(J948&gt;0))</formula>
    </cfRule>
    <cfRule type="expression" dxfId="1950" priority="2034">
      <formula>((J948-I948)/I948)&gt;0.05</formula>
    </cfRule>
  </conditionalFormatting>
  <conditionalFormatting sqref="J965">
    <cfRule type="expression" dxfId="1949" priority="2031">
      <formula>AND(I965=0,(J965&gt;0))</formula>
    </cfRule>
    <cfRule type="expression" dxfId="1948" priority="2032">
      <formula>((J965-I965)/I965)&gt;0.05</formula>
    </cfRule>
  </conditionalFormatting>
  <conditionalFormatting sqref="J964">
    <cfRule type="expression" dxfId="1947" priority="2029">
      <formula>AND(I964=0,(J964&gt;0))</formula>
    </cfRule>
    <cfRule type="expression" dxfId="1946" priority="2030">
      <formula>((J964-I964)/I964)&gt;0.05</formula>
    </cfRule>
  </conditionalFormatting>
  <conditionalFormatting sqref="L939">
    <cfRule type="expression" dxfId="1945" priority="2025">
      <formula>AND(K939=0,(L939&gt;0))</formula>
    </cfRule>
    <cfRule type="expression" dxfId="1944" priority="2026">
      <formula>((L939-K939)/K939)&gt;0.05</formula>
    </cfRule>
  </conditionalFormatting>
  <conditionalFormatting sqref="L938">
    <cfRule type="expression" dxfId="1943" priority="2023">
      <formula>AND(K938=0,(L938&gt;0))</formula>
    </cfRule>
    <cfRule type="expression" dxfId="1942" priority="2024">
      <formula>((L938-K938)/K938)&gt;0.05</formula>
    </cfRule>
  </conditionalFormatting>
  <conditionalFormatting sqref="L946">
    <cfRule type="expression" dxfId="1941" priority="2021">
      <formula>AND(K946=0,(L946&gt;0))</formula>
    </cfRule>
    <cfRule type="expression" dxfId="1940" priority="2022">
      <formula>((L946-K946)/K946)&gt;0.05</formula>
    </cfRule>
  </conditionalFormatting>
  <conditionalFormatting sqref="L960">
    <cfRule type="expression" dxfId="1939" priority="2019">
      <formula>AND(K960=0,(L960&gt;0))</formula>
    </cfRule>
    <cfRule type="expression" dxfId="1938" priority="2020">
      <formula>((L960-K960)/K960)&gt;0.05</formula>
    </cfRule>
  </conditionalFormatting>
  <conditionalFormatting sqref="L948">
    <cfRule type="expression" dxfId="1937" priority="2017">
      <formula>AND(K948=0,(L948&gt;0))</formula>
    </cfRule>
    <cfRule type="expression" dxfId="1936" priority="2018">
      <formula>((L948-K948)/K948)&gt;0.05</formula>
    </cfRule>
  </conditionalFormatting>
  <conditionalFormatting sqref="L965">
    <cfRule type="expression" dxfId="1935" priority="2015">
      <formula>AND(K965=0,(L965&gt;0))</formula>
    </cfRule>
    <cfRule type="expression" dxfId="1934" priority="2016">
      <formula>((L965-K965)/K965)&gt;0.05</formula>
    </cfRule>
  </conditionalFormatting>
  <conditionalFormatting sqref="L964">
    <cfRule type="expression" dxfId="1933" priority="2013">
      <formula>AND(K964=0,(L964&gt;0))</formula>
    </cfRule>
    <cfRule type="expression" dxfId="1932" priority="2014">
      <formula>((L964-K964)/K964)&gt;0.05</formula>
    </cfRule>
  </conditionalFormatting>
  <conditionalFormatting sqref="V940:V945 V961:V963 V966:V967">
    <cfRule type="expression" dxfId="1931" priority="2011">
      <formula>AND(U940=0,(V940&gt;0))</formula>
    </cfRule>
    <cfRule type="expression" dxfId="1930" priority="2012">
      <formula>((V940-U940)/U940)&gt;0.05</formula>
    </cfRule>
  </conditionalFormatting>
  <conditionalFormatting sqref="V939">
    <cfRule type="expression" dxfId="1929" priority="2009">
      <formula>AND(U939=0,(V939&gt;0))</formula>
    </cfRule>
    <cfRule type="expression" dxfId="1928" priority="2010">
      <formula>((V939-U939)/U939)&gt;0.05</formula>
    </cfRule>
  </conditionalFormatting>
  <conditionalFormatting sqref="V938">
    <cfRule type="expression" dxfId="1927" priority="2007">
      <formula>AND(U938=0,(V938&gt;0))</formula>
    </cfRule>
    <cfRule type="expression" dxfId="1926" priority="2008">
      <formula>((V938-U938)/U938)&gt;0.05</formula>
    </cfRule>
  </conditionalFormatting>
  <conditionalFormatting sqref="V946">
    <cfRule type="expression" dxfId="1925" priority="2005">
      <formula>AND(U946=0,(V946&gt;0))</formula>
    </cfRule>
    <cfRule type="expression" dxfId="1924" priority="2006">
      <formula>((V946-U946)/U946)&gt;0.05</formula>
    </cfRule>
  </conditionalFormatting>
  <conditionalFormatting sqref="V960">
    <cfRule type="expression" dxfId="1923" priority="2003">
      <formula>AND(U960=0,(V960&gt;0))</formula>
    </cfRule>
    <cfRule type="expression" dxfId="1922" priority="2004">
      <formula>((V960-U960)/U960)&gt;0.05</formula>
    </cfRule>
  </conditionalFormatting>
  <conditionalFormatting sqref="V948">
    <cfRule type="expression" dxfId="1921" priority="2001">
      <formula>AND(U948=0,(V948&gt;0))</formula>
    </cfRule>
    <cfRule type="expression" dxfId="1920" priority="2002">
      <formula>((V948-U948)/U948)&gt;0.05</formula>
    </cfRule>
  </conditionalFormatting>
  <conditionalFormatting sqref="V965">
    <cfRule type="expression" dxfId="1919" priority="1999">
      <formula>AND(U965=0,(V965&gt;0))</formula>
    </cfRule>
    <cfRule type="expression" dxfId="1918" priority="2000">
      <formula>((V965-U965)/U965)&gt;0.05</formula>
    </cfRule>
  </conditionalFormatting>
  <conditionalFormatting sqref="V964">
    <cfRule type="expression" dxfId="1917" priority="1997">
      <formula>AND(U964=0,(V964&gt;0))</formula>
    </cfRule>
    <cfRule type="expression" dxfId="1916" priority="1998">
      <formula>((V964-U964)/U964)&gt;0.05</formula>
    </cfRule>
  </conditionalFormatting>
  <conditionalFormatting sqref="AD940:AD945 AD961:AD963 AD966:AD967">
    <cfRule type="expression" dxfId="1915" priority="1995">
      <formula>AND(AC940=0,(AD940&gt;0))</formula>
    </cfRule>
    <cfRule type="expression" dxfId="1914" priority="1996">
      <formula>((AD940-AC940)/AC940)&gt;0.05</formula>
    </cfRule>
  </conditionalFormatting>
  <conditionalFormatting sqref="AD939">
    <cfRule type="expression" dxfId="1913" priority="1993">
      <formula>AND(AC939=0,(AD939&gt;0))</formula>
    </cfRule>
    <cfRule type="expression" dxfId="1912" priority="1994">
      <formula>((AD939-AC939)/AC939)&gt;0.05</formula>
    </cfRule>
  </conditionalFormatting>
  <conditionalFormatting sqref="AD938">
    <cfRule type="expression" dxfId="1911" priority="1991">
      <formula>AND(AC938=0,(AD938&gt;0))</formula>
    </cfRule>
    <cfRule type="expression" dxfId="1910" priority="1992">
      <formula>((AD938-AC938)/AC938)&gt;0.05</formula>
    </cfRule>
  </conditionalFormatting>
  <conditionalFormatting sqref="AD946">
    <cfRule type="expression" dxfId="1909" priority="1989">
      <formula>AND(AC946=0,(AD946&gt;0))</formula>
    </cfRule>
    <cfRule type="expression" dxfId="1908" priority="1990">
      <formula>((AD946-AC946)/AC946)&gt;0.05</formula>
    </cfRule>
  </conditionalFormatting>
  <conditionalFormatting sqref="AD960">
    <cfRule type="expression" dxfId="1907" priority="1987">
      <formula>AND(AC960=0,(AD960&gt;0))</formula>
    </cfRule>
    <cfRule type="expression" dxfId="1906" priority="1988">
      <formula>((AD960-AC960)/AC960)&gt;0.05</formula>
    </cfRule>
  </conditionalFormatting>
  <conditionalFormatting sqref="AD948">
    <cfRule type="expression" dxfId="1905" priority="1985">
      <formula>AND(AC948=0,(AD948&gt;0))</formula>
    </cfRule>
    <cfRule type="expression" dxfId="1904" priority="1986">
      <formula>((AD948-AC948)/AC948)&gt;0.05</formula>
    </cfRule>
  </conditionalFormatting>
  <conditionalFormatting sqref="AD965">
    <cfRule type="expression" dxfId="1903" priority="1983">
      <formula>AND(AC965=0,(AD965&gt;0))</formula>
    </cfRule>
    <cfRule type="expression" dxfId="1902" priority="1984">
      <formula>((AD965-AC965)/AC965)&gt;0.05</formula>
    </cfRule>
  </conditionalFormatting>
  <conditionalFormatting sqref="AD964">
    <cfRule type="expression" dxfId="1901" priority="1981">
      <formula>AND(AC964=0,(AD964&gt;0))</formula>
    </cfRule>
    <cfRule type="expression" dxfId="1900" priority="1982">
      <formula>((AD964-AC964)/AC964)&gt;0.05</formula>
    </cfRule>
  </conditionalFormatting>
  <conditionalFormatting sqref="Z940:AA945 Z961:AA963 Z966:AA967">
    <cfRule type="expression" dxfId="1899" priority="1979">
      <formula>AND(W940=0,(Z940&gt;0))</formula>
    </cfRule>
    <cfRule type="expression" dxfId="1898" priority="1980">
      <formula>((Z940-W940)/W940)&gt;0.05</formula>
    </cfRule>
  </conditionalFormatting>
  <conditionalFormatting sqref="Z939:AA939">
    <cfRule type="expression" dxfId="1897" priority="1977">
      <formula>AND(W939=0,(Z939&gt;0))</formula>
    </cfRule>
    <cfRule type="expression" dxfId="1896" priority="1978">
      <formula>((Z939-W939)/W939)&gt;0.05</formula>
    </cfRule>
  </conditionalFormatting>
  <conditionalFormatting sqref="Z938:AA938">
    <cfRule type="expression" dxfId="1895" priority="1975">
      <formula>AND(W938=0,(Z938&gt;0))</formula>
    </cfRule>
    <cfRule type="expression" dxfId="1894" priority="1976">
      <formula>((Z938-W938)/W938)&gt;0.05</formula>
    </cfRule>
  </conditionalFormatting>
  <conditionalFormatting sqref="Z946:AA946">
    <cfRule type="expression" dxfId="1893" priority="1973">
      <formula>AND(W946=0,(Z946&gt;0))</formula>
    </cfRule>
    <cfRule type="expression" dxfId="1892" priority="1974">
      <formula>((Z946-W946)/W946)&gt;0.05</formula>
    </cfRule>
  </conditionalFormatting>
  <conditionalFormatting sqref="Z960:AA960">
    <cfRule type="expression" dxfId="1891" priority="1971">
      <formula>AND(W960=0,(Z960&gt;0))</formula>
    </cfRule>
    <cfRule type="expression" dxfId="1890" priority="1972">
      <formula>((Z960-W960)/W960)&gt;0.05</formula>
    </cfRule>
  </conditionalFormatting>
  <conditionalFormatting sqref="Z948:AA948">
    <cfRule type="expression" dxfId="1889" priority="1969">
      <formula>AND(W948=0,(Z948&gt;0))</formula>
    </cfRule>
    <cfRule type="expression" dxfId="1888" priority="1970">
      <formula>((Z948-W948)/W948)&gt;0.05</formula>
    </cfRule>
  </conditionalFormatting>
  <conditionalFormatting sqref="Z965:AA965">
    <cfRule type="expression" dxfId="1887" priority="1967">
      <formula>AND(W965=0,(Z965&gt;0))</formula>
    </cfRule>
    <cfRule type="expression" dxfId="1886" priority="1968">
      <formula>((Z965-W965)/W965)&gt;0.05</formula>
    </cfRule>
  </conditionalFormatting>
  <conditionalFormatting sqref="Z964:AA964">
    <cfRule type="expression" dxfId="1885" priority="1965">
      <formula>AND(W964=0,(Z964&gt;0))</formula>
    </cfRule>
    <cfRule type="expression" dxfId="1884" priority="1966">
      <formula>((Z964-W964)/W964)&gt;0.05</formula>
    </cfRule>
  </conditionalFormatting>
  <conditionalFormatting sqref="AG940:AH945 AG961:AH963 AG966:AH967">
    <cfRule type="expression" dxfId="1883" priority="1963">
      <formula>AND(AD940=0,(AG940&gt;0))</formula>
    </cfRule>
    <cfRule type="expression" dxfId="1882" priority="1964">
      <formula>((AG940-AD940)/AD940)&gt;0.05</formula>
    </cfRule>
  </conditionalFormatting>
  <conditionalFormatting sqref="AG939:AH939">
    <cfRule type="expression" dxfId="1881" priority="1961">
      <formula>AND(AD939=0,(AG939&gt;0))</formula>
    </cfRule>
    <cfRule type="expression" dxfId="1880" priority="1962">
      <formula>((AG939-AD939)/AD939)&gt;0.05</formula>
    </cfRule>
  </conditionalFormatting>
  <conditionalFormatting sqref="AG938:AH938">
    <cfRule type="expression" dxfId="1879" priority="1959">
      <formula>AND(AD938=0,(AG938&gt;0))</formula>
    </cfRule>
    <cfRule type="expression" dxfId="1878" priority="1960">
      <formula>((AG938-AD938)/AD938)&gt;0.05</formula>
    </cfRule>
  </conditionalFormatting>
  <conditionalFormatting sqref="AG946:AH946">
    <cfRule type="expression" dxfId="1877" priority="1957">
      <formula>AND(AD946=0,(AG946&gt;0))</formula>
    </cfRule>
    <cfRule type="expression" dxfId="1876" priority="1958">
      <formula>((AG946-AD946)/AD946)&gt;0.05</formula>
    </cfRule>
  </conditionalFormatting>
  <conditionalFormatting sqref="AG960:AH960">
    <cfRule type="expression" dxfId="1875" priority="1955">
      <formula>AND(AD960=0,(AG960&gt;0))</formula>
    </cfRule>
    <cfRule type="expression" dxfId="1874" priority="1956">
      <formula>((AG960-AD960)/AD960)&gt;0.05</formula>
    </cfRule>
  </conditionalFormatting>
  <conditionalFormatting sqref="AG948:AH948">
    <cfRule type="expression" dxfId="1873" priority="1953">
      <formula>AND(AD948=0,(AG948&gt;0))</formula>
    </cfRule>
    <cfRule type="expression" dxfId="1872" priority="1954">
      <formula>((AG948-AD948)/AD948)&gt;0.05</formula>
    </cfRule>
  </conditionalFormatting>
  <conditionalFormatting sqref="AG965:AH965">
    <cfRule type="expression" dxfId="1871" priority="1951">
      <formula>AND(AD965=0,(AG965&gt;0))</formula>
    </cfRule>
    <cfRule type="expression" dxfId="1870" priority="1952">
      <formula>((AG965-AD965)/AD965)&gt;0.05</formula>
    </cfRule>
  </conditionalFormatting>
  <conditionalFormatting sqref="AG964:AH964">
    <cfRule type="expression" dxfId="1869" priority="1949">
      <formula>AND(AD964=0,(AG964&gt;0))</formula>
    </cfRule>
    <cfRule type="expression" dxfId="1868" priority="1950">
      <formula>((AG964-AD964)/AD964)&gt;0.05</formula>
    </cfRule>
  </conditionalFormatting>
  <conditionalFormatting sqref="H967">
    <cfRule type="expression" dxfId="1867" priority="1947">
      <formula>AND(G967=0,(H967&gt;0))</formula>
    </cfRule>
    <cfRule type="expression" dxfId="1866" priority="1948">
      <formula>((H967-G967)/G967)&gt;0.05</formula>
    </cfRule>
  </conditionalFormatting>
  <conditionalFormatting sqref="H1223:H1248">
    <cfRule type="expression" dxfId="1865" priority="1941">
      <formula>AND(G1223=0,(H1223&gt;0))</formula>
    </cfRule>
    <cfRule type="expression" dxfId="1864" priority="1942">
      <formula>((H1223-G1223)/G1223)&gt;0.05</formula>
    </cfRule>
  </conditionalFormatting>
  <conditionalFormatting sqref="P1223:Q1248">
    <cfRule type="expression" dxfId="1863" priority="1939">
      <formula>AND(M1223=0,(P1223&gt;0))</formula>
    </cfRule>
    <cfRule type="expression" dxfId="1862" priority="1940">
      <formula>((P1223-M1223)/M1223)&gt;0.05</formula>
    </cfRule>
  </conditionalFormatting>
  <conditionalFormatting sqref="L1223:L1248">
    <cfRule type="expression" dxfId="1861" priority="1931">
      <formula>AND(K1223=0,(L1223&gt;0))</formula>
    </cfRule>
    <cfRule type="expression" dxfId="1860" priority="1932">
      <formula>((L1223-K1223)/K1223)&gt;0.05</formula>
    </cfRule>
  </conditionalFormatting>
  <conditionalFormatting sqref="J1249:J1250">
    <cfRule type="expression" dxfId="1859" priority="1937">
      <formula>AND(I1249=0,(J1249&gt;0))</formula>
    </cfRule>
    <cfRule type="expression" dxfId="1858" priority="1938">
      <formula>((J1249-I1249)/I1249)&gt;0.05</formula>
    </cfRule>
  </conditionalFormatting>
  <conditionalFormatting sqref="J1223:J1248">
    <cfRule type="expression" dxfId="1857" priority="1935">
      <formula>AND(I1223=0,(J1223&gt;0))</formula>
    </cfRule>
    <cfRule type="expression" dxfId="1856" priority="1936">
      <formula>((J1223-I1223)/I1223)&gt;0.05</formula>
    </cfRule>
  </conditionalFormatting>
  <conditionalFormatting sqref="L1249:L1250">
    <cfRule type="expression" dxfId="1855" priority="1933">
      <formula>AND(K1249=0,(L1249&gt;0))</formula>
    </cfRule>
    <cfRule type="expression" dxfId="1854" priority="1934">
      <formula>((L1249-K1249)/K1249)&gt;0.05</formula>
    </cfRule>
  </conditionalFormatting>
  <conditionalFormatting sqref="V1249:V1250">
    <cfRule type="expression" dxfId="1853" priority="1929">
      <formula>AND(U1249=0,(V1249&gt;0))</formula>
    </cfRule>
    <cfRule type="expression" dxfId="1852" priority="1930">
      <formula>((V1249-U1249)/U1249)&gt;0.05</formula>
    </cfRule>
  </conditionalFormatting>
  <conditionalFormatting sqref="V1223:V1248">
    <cfRule type="expression" dxfId="1851" priority="1927">
      <formula>AND(U1223=0,(V1223&gt;0))</formula>
    </cfRule>
    <cfRule type="expression" dxfId="1850" priority="1928">
      <formula>((V1223-U1223)/U1223)&gt;0.05</formula>
    </cfRule>
  </conditionalFormatting>
  <conditionalFormatting sqref="AD1249:AD1250">
    <cfRule type="expression" dxfId="1849" priority="1925">
      <formula>AND(AC1249=0,(AD1249&gt;0))</formula>
    </cfRule>
    <cfRule type="expression" dxfId="1848" priority="1926">
      <formula>((AD1249-AC1249)/AC1249)&gt;0.05</formula>
    </cfRule>
  </conditionalFormatting>
  <conditionalFormatting sqref="AD1223:AD1248">
    <cfRule type="expression" dxfId="1847" priority="1923">
      <formula>AND(AC1223=0,(AD1223&gt;0))</formula>
    </cfRule>
    <cfRule type="expression" dxfId="1846" priority="1924">
      <formula>((AD1223-AC1223)/AC1223)&gt;0.05</formula>
    </cfRule>
  </conditionalFormatting>
  <conditionalFormatting sqref="Z1249:AA1250">
    <cfRule type="expression" dxfId="1845" priority="1921">
      <formula>AND(W1249=0,(Z1249&gt;0))</formula>
    </cfRule>
    <cfRule type="expression" dxfId="1844" priority="1922">
      <formula>((Z1249-W1249)/W1249)&gt;0.05</formula>
    </cfRule>
  </conditionalFormatting>
  <conditionalFormatting sqref="Z1223:AA1248">
    <cfRule type="expression" dxfId="1843" priority="1919">
      <formula>AND(W1223=0,(Z1223&gt;0))</formula>
    </cfRule>
    <cfRule type="expression" dxfId="1842" priority="1920">
      <formula>((Z1223-W1223)/W1223)&gt;0.05</formula>
    </cfRule>
  </conditionalFormatting>
  <conditionalFormatting sqref="AG1249:AH1250">
    <cfRule type="expression" dxfId="1841" priority="1917">
      <formula>AND(AD1249=0,(AG1249&gt;0))</formula>
    </cfRule>
    <cfRule type="expression" dxfId="1840" priority="1918">
      <formula>((AG1249-AD1249)/AD1249)&gt;0.05</formula>
    </cfRule>
  </conditionalFormatting>
  <conditionalFormatting sqref="AG1223:AH1248">
    <cfRule type="expression" dxfId="1839" priority="1915">
      <formula>AND(AD1223=0,(AG1223&gt;0))</formula>
    </cfRule>
    <cfRule type="expression" dxfId="1838" priority="1916">
      <formula>((AG1223-AD1223)/AD1223)&gt;0.05</formula>
    </cfRule>
  </conditionalFormatting>
  <conditionalFormatting sqref="AG2894:AH2894 AG2940:AH3001 AG2850:AH2891">
    <cfRule type="expression" dxfId="1837" priority="1901">
      <formula>AND(AE2850=0,(AG2850&gt;0))</formula>
    </cfRule>
    <cfRule type="expression" dxfId="1836" priority="1902">
      <formula>((AG2850-AE2850)/AE2850)&gt;0.05</formula>
    </cfRule>
  </conditionalFormatting>
  <conditionalFormatting sqref="AD2894 V2894 L2894 V2940:V3001 AD2940:AD3001 L2957:L3001 AD2850:AD2885 V2850:V2885 L2850:L2885 H2850:H2885 H2980:H3001 J2850:J2885">
    <cfRule type="expression" dxfId="1835" priority="1905">
      <formula>AND(G2850=0,(H2850&gt;0))</formula>
    </cfRule>
    <cfRule type="expression" dxfId="1834" priority="1906">
      <formula>((H2850-G2850)/G2850)&gt;0.05</formula>
    </cfRule>
  </conditionalFormatting>
  <conditionalFormatting sqref="Z2894:AA2894 Z2940:AA2969 Z2971:AA3001 Z2850:AA2885 P2850:Q2885">
    <cfRule type="expression" dxfId="1833" priority="1903">
      <formula>AND(M2850=0,(P2850&gt;0))</formula>
    </cfRule>
    <cfRule type="expression" dxfId="1832" priority="1904">
      <formula>((P2850-M2850)/M2850)&gt;0.05</formula>
    </cfRule>
  </conditionalFormatting>
  <conditionalFormatting sqref="AD2892:AD2893 V2892:V2893 L2892:L2893 V2895:V2939 AD2895:AD2939 L2895:L2939">
    <cfRule type="expression" dxfId="1831" priority="1899">
      <formula>AND(K2892=0,(L2892&gt;0))</formula>
    </cfRule>
    <cfRule type="expression" dxfId="1830" priority="1900">
      <formula>((L2892-K2892)/K2892)&gt;0.05</formula>
    </cfRule>
  </conditionalFormatting>
  <conditionalFormatting sqref="Z2892:AA2893 Z2895:AA2939">
    <cfRule type="expression" dxfId="1829" priority="1897">
      <formula>AND(W2892=0,(Z2892&gt;0))</formula>
    </cfRule>
    <cfRule type="expression" dxfId="1828" priority="1898">
      <formula>((Z2892-W2892)/W2892)&gt;0.05</formula>
    </cfRule>
  </conditionalFormatting>
  <conditionalFormatting sqref="AG2892:AH2893 AG2895:AH2939">
    <cfRule type="expression" dxfId="1827" priority="1895">
      <formula>AND(AE2892=0,(AG2892&gt;0))</formula>
    </cfRule>
    <cfRule type="expression" dxfId="1826" priority="1896">
      <formula>((AG2892-AE2892)/AE2892)&gt;0.05</formula>
    </cfRule>
  </conditionalFormatting>
  <conditionalFormatting sqref="H2978">
    <cfRule type="expression" dxfId="1825" priority="1907">
      <formula>AND(G2979=0,(H2978&gt;0))</formula>
    </cfRule>
    <cfRule type="expression" dxfId="1824" priority="1908">
      <formula>((H2978-G2979)/G2979)&gt;0.05</formula>
    </cfRule>
  </conditionalFormatting>
  <conditionalFormatting sqref="Z2970:AA2970">
    <cfRule type="expression" dxfId="1823" priority="1893">
      <formula>AND(W2970=0,(Z2970&gt;0))</formula>
    </cfRule>
    <cfRule type="expression" dxfId="1822" priority="1894">
      <formula>((Z2970-W2970)/W2970)&gt;0.05</formula>
    </cfRule>
  </conditionalFormatting>
  <conditionalFormatting sqref="L2941:L2956">
    <cfRule type="expression" dxfId="1821" priority="1909">
      <formula>AND(K2940=0,(L2941&gt;0))</formula>
    </cfRule>
    <cfRule type="expression" dxfId="1820" priority="1910">
      <formula>((L2941-K2940)/K2940)&gt;0.05</formula>
    </cfRule>
  </conditionalFormatting>
  <conditionalFormatting sqref="P2902:Q3001">
    <cfRule type="expression" dxfId="1819" priority="1911">
      <formula>AND(M2902=0,(P2902&gt;0))</formula>
    </cfRule>
    <cfRule type="expression" dxfId="1818" priority="1912">
      <formula>((P2902-M2902)/M2902)&gt;0.05</formula>
    </cfRule>
  </conditionalFormatting>
  <conditionalFormatting sqref="P2901:Q2901">
    <cfRule type="expression" dxfId="1817" priority="1913">
      <formula>AND(M2887=0,(P2901&gt;0))</formula>
    </cfRule>
    <cfRule type="expression" dxfId="1816" priority="1914">
      <formula>((P2901-M2887)/M2887)&gt;0.05</formula>
    </cfRule>
  </conditionalFormatting>
  <conditionalFormatting sqref="L431">
    <cfRule type="expression" dxfId="1815" priority="1855">
      <formula>AND(K431=0,(L431&gt;0))</formula>
    </cfRule>
    <cfRule type="expression" dxfId="1814" priority="1856">
      <formula>((L431-K431)/K431)&gt;0.05</formula>
    </cfRule>
  </conditionalFormatting>
  <conditionalFormatting sqref="V445">
    <cfRule type="expression" dxfId="1813" priority="1841">
      <formula>AND(U445=0,(V445&gt;0))</formula>
    </cfRule>
    <cfRule type="expression" dxfId="1812" priority="1842">
      <formula>((V445-U445)/U445)&gt;0.05</formula>
    </cfRule>
  </conditionalFormatting>
  <conditionalFormatting sqref="H450">
    <cfRule type="expression" dxfId="1811" priority="1877">
      <formula>AND(G450=0,(H450&gt;0))</formula>
    </cfRule>
    <cfRule type="expression" dxfId="1810" priority="1878">
      <formula>((H450-G450)/G450)&gt;0.05</formula>
    </cfRule>
  </conditionalFormatting>
  <conditionalFormatting sqref="H445">
    <cfRule type="expression" dxfId="1809" priority="1873">
      <formula>AND(G445=0,(H445&gt;0))</formula>
    </cfRule>
    <cfRule type="expression" dxfId="1808" priority="1874">
      <formula>((H445-G445)/G445)&gt;0.05</formula>
    </cfRule>
  </conditionalFormatting>
  <conditionalFormatting sqref="H395:H430">
    <cfRule type="expression" dxfId="1807" priority="1889">
      <formula>AND(G395=0,(H395&gt;0))</formula>
    </cfRule>
    <cfRule type="expression" dxfId="1806" priority="1890">
      <formula>((H395-G395)/G395)&gt;0.05</formula>
    </cfRule>
  </conditionalFormatting>
  <conditionalFormatting sqref="P395:Q428 Q429:Q430">
    <cfRule type="expression" dxfId="1805" priority="1887">
      <formula>AND(M395=0,(P395&gt;0))</formula>
    </cfRule>
    <cfRule type="expression" dxfId="1804" priority="1888">
      <formula>((P395-M395)/M395)&gt;0.05</formula>
    </cfRule>
  </conditionalFormatting>
  <conditionalFormatting sqref="H432:H444 H451:H565 H446:H449 H385:H394">
    <cfRule type="expression" dxfId="1803" priority="1885">
      <formula>AND(G385=0,(H385&gt;0))</formula>
    </cfRule>
    <cfRule type="expression" dxfId="1802" priority="1886">
      <formula>((H385-G385)/G385)&gt;0.05</formula>
    </cfRule>
  </conditionalFormatting>
  <conditionalFormatting sqref="P432:Q444 P451:Q565 P446:Q449 P385:Q394">
    <cfRule type="expression" dxfId="1801" priority="1883">
      <formula>AND(M385=0,(P385&gt;0))</formula>
    </cfRule>
    <cfRule type="expression" dxfId="1800" priority="1884">
      <formula>((P385-M385)/M385)&gt;0.05</formula>
    </cfRule>
  </conditionalFormatting>
  <conditionalFormatting sqref="H431">
    <cfRule type="expression" dxfId="1799" priority="1881">
      <formula>AND(G431=0,(H431&gt;0))</formula>
    </cfRule>
    <cfRule type="expression" dxfId="1798" priority="1882">
      <formula>((H431-G431)/G431)&gt;0.05</formula>
    </cfRule>
  </conditionalFormatting>
  <conditionalFormatting sqref="P431:Q431">
    <cfRule type="expression" dxfId="1797" priority="1879">
      <formula>AND(M431=0,(P431&gt;0))</formula>
    </cfRule>
    <cfRule type="expression" dxfId="1796" priority="1880">
      <formula>((P431-M431)/M431)&gt;0.05</formula>
    </cfRule>
  </conditionalFormatting>
  <conditionalFormatting sqref="P450:Q450">
    <cfRule type="expression" dxfId="1795" priority="1875">
      <formula>AND(M450=0,(P450&gt;0))</formula>
    </cfRule>
    <cfRule type="expression" dxfId="1794" priority="1876">
      <formula>((P450-M450)/M450)&gt;0.05</formula>
    </cfRule>
  </conditionalFormatting>
  <conditionalFormatting sqref="P445:Q445">
    <cfRule type="expression" dxfId="1793" priority="1871">
      <formula>AND(M445=0,(P445&gt;0))</formula>
    </cfRule>
    <cfRule type="expression" dxfId="1792" priority="1872">
      <formula>((P445-M445)/M445)&gt;0.05</formula>
    </cfRule>
  </conditionalFormatting>
  <conditionalFormatting sqref="J450">
    <cfRule type="expression" dxfId="1791" priority="1863">
      <formula>AND(I450=0,(J450&gt;0))</formula>
    </cfRule>
    <cfRule type="expression" dxfId="1790" priority="1864">
      <formula>((J450-I450)/I450)&gt;0.05</formula>
    </cfRule>
  </conditionalFormatting>
  <conditionalFormatting sqref="J445">
    <cfRule type="expression" dxfId="1789" priority="1861">
      <formula>AND(I445=0,(J445&gt;0))</formula>
    </cfRule>
    <cfRule type="expression" dxfId="1788" priority="1862">
      <formula>((J445-I445)/I445)&gt;0.05</formula>
    </cfRule>
  </conditionalFormatting>
  <conditionalFormatting sqref="J395:J430">
    <cfRule type="expression" dxfId="1787" priority="1869">
      <formula>AND(I395=0,(J395&gt;0))</formula>
    </cfRule>
    <cfRule type="expression" dxfId="1786" priority="1870">
      <formula>((J395-I395)/I395)&gt;0.05</formula>
    </cfRule>
  </conditionalFormatting>
  <conditionalFormatting sqref="J432:J444 J451:J565 J446:J449 J385:J394">
    <cfRule type="expression" dxfId="1785" priority="1867">
      <formula>AND(I385=0,(J385&gt;0))</formula>
    </cfRule>
    <cfRule type="expression" dxfId="1784" priority="1868">
      <formula>((J385-I385)/I385)&gt;0.05</formula>
    </cfRule>
  </conditionalFormatting>
  <conditionalFormatting sqref="J431">
    <cfRule type="expression" dxfId="1783" priority="1865">
      <formula>AND(I431=0,(J431&gt;0))</formula>
    </cfRule>
    <cfRule type="expression" dxfId="1782" priority="1866">
      <formula>((J431-I431)/I431)&gt;0.05</formula>
    </cfRule>
  </conditionalFormatting>
  <conditionalFormatting sqref="L450">
    <cfRule type="expression" dxfId="1781" priority="1853">
      <formula>AND(K450=0,(L450&gt;0))</formula>
    </cfRule>
    <cfRule type="expression" dxfId="1780" priority="1854">
      <formula>((L450-K450)/K450)&gt;0.05</formula>
    </cfRule>
  </conditionalFormatting>
  <conditionalFormatting sqref="L445">
    <cfRule type="expression" dxfId="1779" priority="1851">
      <formula>AND(K445=0,(L445&gt;0))</formula>
    </cfRule>
    <cfRule type="expression" dxfId="1778" priority="1852">
      <formula>((L445-K445)/K445)&gt;0.05</formula>
    </cfRule>
  </conditionalFormatting>
  <conditionalFormatting sqref="L395:L430">
    <cfRule type="expression" dxfId="1777" priority="1859">
      <formula>AND(K395=0,(L395&gt;0))</formula>
    </cfRule>
    <cfRule type="expression" dxfId="1776" priority="1860">
      <formula>((L395-K395)/K395)&gt;0.05</formula>
    </cfRule>
  </conditionalFormatting>
  <conditionalFormatting sqref="L432:L444 L451:L565 L446:L449 L385:L394">
    <cfRule type="expression" dxfId="1775" priority="1857">
      <formula>AND(K385=0,(L385&gt;0))</formula>
    </cfRule>
    <cfRule type="expression" dxfId="1774" priority="1858">
      <formula>((L385-K385)/K385)&gt;0.05</formula>
    </cfRule>
  </conditionalFormatting>
  <conditionalFormatting sqref="V450">
    <cfRule type="expression" dxfId="1773" priority="1843">
      <formula>AND(U450=0,(V450&gt;0))</formula>
    </cfRule>
    <cfRule type="expression" dxfId="1772" priority="1844">
      <formula>((V450-U450)/U450)&gt;0.05</formula>
    </cfRule>
  </conditionalFormatting>
  <conditionalFormatting sqref="V395:V430">
    <cfRule type="expression" dxfId="1771" priority="1849">
      <formula>AND(U395=0,(V395&gt;0))</formula>
    </cfRule>
    <cfRule type="expression" dxfId="1770" priority="1850">
      <formula>((V395-U395)/U395)&gt;0.05</formula>
    </cfRule>
  </conditionalFormatting>
  <conditionalFormatting sqref="V432:V444 V451:V565 V446:V449 V385:V394">
    <cfRule type="expression" dxfId="1769" priority="1847">
      <formula>AND(U385=0,(V385&gt;0))</formula>
    </cfRule>
    <cfRule type="expression" dxfId="1768" priority="1848">
      <formula>((V385-U385)/U385)&gt;0.05</formula>
    </cfRule>
  </conditionalFormatting>
  <conditionalFormatting sqref="V431">
    <cfRule type="expression" dxfId="1767" priority="1845">
      <formula>AND(U431=0,(V431&gt;0))</formula>
    </cfRule>
    <cfRule type="expression" dxfId="1766" priority="1846">
      <formula>((V431-U431)/U431)&gt;0.05</formula>
    </cfRule>
  </conditionalFormatting>
  <conditionalFormatting sqref="AD450">
    <cfRule type="expression" dxfId="1765" priority="1833">
      <formula>AND(AC450=0,(AD450&gt;0))</formula>
    </cfRule>
    <cfRule type="expression" dxfId="1764" priority="1834">
      <formula>((AD450-AC450)/AC450)&gt;0.05</formula>
    </cfRule>
  </conditionalFormatting>
  <conditionalFormatting sqref="AD445">
    <cfRule type="expression" dxfId="1763" priority="1831">
      <formula>AND(AC445=0,(AD445&gt;0))</formula>
    </cfRule>
    <cfRule type="expression" dxfId="1762" priority="1832">
      <formula>((AD445-AC445)/AC445)&gt;0.05</formula>
    </cfRule>
  </conditionalFormatting>
  <conditionalFormatting sqref="AD395:AD430">
    <cfRule type="expression" dxfId="1761" priority="1839">
      <formula>AND(AC395=0,(AD395&gt;0))</formula>
    </cfRule>
    <cfRule type="expression" dxfId="1760" priority="1840">
      <formula>((AD395-AC395)/AC395)&gt;0.05</formula>
    </cfRule>
  </conditionalFormatting>
  <conditionalFormatting sqref="AD432:AD444 AD451:AD565 AD446:AD449 AD385:AD394">
    <cfRule type="expression" dxfId="1759" priority="1837">
      <formula>AND(AC385=0,(AD385&gt;0))</formula>
    </cfRule>
    <cfRule type="expression" dxfId="1758" priority="1838">
      <formula>((AD385-AC385)/AC385)&gt;0.05</formula>
    </cfRule>
  </conditionalFormatting>
  <conditionalFormatting sqref="AD431">
    <cfRule type="expression" dxfId="1757" priority="1835">
      <formula>AND(AC431=0,(AD431&gt;0))</formula>
    </cfRule>
    <cfRule type="expression" dxfId="1756" priority="1836">
      <formula>((AD431-AC431)/AC431)&gt;0.05</formula>
    </cfRule>
  </conditionalFormatting>
  <conditionalFormatting sqref="Z395:AA430">
    <cfRule type="expression" dxfId="1755" priority="1829">
      <formula>AND(W395=0,(Z395&gt;0))</formula>
    </cfRule>
    <cfRule type="expression" dxfId="1754" priority="1830">
      <formula>((Z395-W395)/W395)&gt;0.05</formula>
    </cfRule>
  </conditionalFormatting>
  <conditionalFormatting sqref="Z432:AA444 Z451:AA565 Z446:AA449 Z385:AA394">
    <cfRule type="expression" dxfId="1753" priority="1827">
      <formula>AND(W385=0,(Z385&gt;0))</formula>
    </cfRule>
    <cfRule type="expression" dxfId="1752" priority="1828">
      <formula>((Z385-W385)/W385)&gt;0.05</formula>
    </cfRule>
  </conditionalFormatting>
  <conditionalFormatting sqref="Z431:AA431">
    <cfRule type="expression" dxfId="1751" priority="1825">
      <formula>AND(W431=0,(Z431&gt;0))</formula>
    </cfRule>
    <cfRule type="expression" dxfId="1750" priority="1826">
      <formula>((Z431-W431)/W431)&gt;0.05</formula>
    </cfRule>
  </conditionalFormatting>
  <conditionalFormatting sqref="Z450:AA450">
    <cfRule type="expression" dxfId="1749" priority="1823">
      <formula>AND(W450=0,(Z450&gt;0))</formula>
    </cfRule>
    <cfRule type="expression" dxfId="1748" priority="1824">
      <formula>((Z450-W450)/W450)&gt;0.05</formula>
    </cfRule>
  </conditionalFormatting>
  <conditionalFormatting sqref="Z445:AA445">
    <cfRule type="expression" dxfId="1747" priority="1821">
      <formula>AND(W445=0,(Z445&gt;0))</formula>
    </cfRule>
    <cfRule type="expression" dxfId="1746" priority="1822">
      <formula>((Z445-W445)/W445)&gt;0.05</formula>
    </cfRule>
  </conditionalFormatting>
  <conditionalFormatting sqref="AG395:AH430">
    <cfRule type="expression" dxfId="1745" priority="1819">
      <formula>AND(AD395=0,(AG395&gt;0))</formula>
    </cfRule>
    <cfRule type="expression" dxfId="1744" priority="1820">
      <formula>((AG395-AD395)/AD395)&gt;0.05</formula>
    </cfRule>
  </conditionalFormatting>
  <conditionalFormatting sqref="AG432:AH444 AG451:AH565 AG446:AH449 AG385:AH394">
    <cfRule type="expression" dxfId="1743" priority="1817">
      <formula>AND(AD385=0,(AG385&gt;0))</formula>
    </cfRule>
    <cfRule type="expression" dxfId="1742" priority="1818">
      <formula>((AG385-AD385)/AD385)&gt;0.05</formula>
    </cfRule>
  </conditionalFormatting>
  <conditionalFormatting sqref="AG431:AH431">
    <cfRule type="expression" dxfId="1741" priority="1815">
      <formula>AND(AD431=0,(AG431&gt;0))</formula>
    </cfRule>
    <cfRule type="expression" dxfId="1740" priority="1816">
      <formula>((AG431-AD431)/AD431)&gt;0.05</formula>
    </cfRule>
  </conditionalFormatting>
  <conditionalFormatting sqref="AG450:AH450">
    <cfRule type="expression" dxfId="1739" priority="1813">
      <formula>AND(AD450=0,(AG450&gt;0))</formula>
    </cfRule>
    <cfRule type="expression" dxfId="1738" priority="1814">
      <formula>((AG450-AD450)/AD450)&gt;0.05</formula>
    </cfRule>
  </conditionalFormatting>
  <conditionalFormatting sqref="AG445:AH445">
    <cfRule type="expression" dxfId="1737" priority="1811">
      <formula>AND(AD445=0,(AG445&gt;0))</formula>
    </cfRule>
    <cfRule type="expression" dxfId="1736" priority="1812">
      <formula>((AG445-AD445)/AD445)&gt;0.05</formula>
    </cfRule>
  </conditionalFormatting>
  <conditionalFormatting sqref="P430">
    <cfRule type="expression" dxfId="1735" priority="1891">
      <formula>AND(M429=0,(P430&gt;0))</formula>
    </cfRule>
    <cfRule type="expression" dxfId="1734" priority="1892">
      <formula>((P430-M429)/M429)&gt;0.05</formula>
    </cfRule>
  </conditionalFormatting>
  <conditionalFormatting sqref="P429">
    <cfRule type="expression" dxfId="1733" priority="1809">
      <formula>AND(M428=0,(P429&gt;0))</formula>
    </cfRule>
    <cfRule type="expression" dxfId="1732" priority="1810">
      <formula>((P429-M428)/M428)&gt;0.05</formula>
    </cfRule>
  </conditionalFormatting>
  <conditionalFormatting sqref="H1805:H1885 H1969:H1972 L1805:L1885 L1969:L1972 J1805:J1885 J1969:J1972 V1805:V1885 V1969:V1972 AD1805:AD1885 AD1969:AD1972">
    <cfRule type="expression" dxfId="1731" priority="1807">
      <formula>AND(G1805=0,(H1805&gt;0))</formula>
    </cfRule>
    <cfRule type="expression" dxfId="1730" priority="1808">
      <formula>((H1805-G1805)/G1805)&gt;0.05</formula>
    </cfRule>
  </conditionalFormatting>
  <conditionalFormatting sqref="P1805:Q1885 P1969:Q1972 Z1805:AA1885 Z1969:AA1972 AG1805:AH1885 AG1969:AH1972">
    <cfRule type="expression" dxfId="1729" priority="1805">
      <formula>AND(M1805=0,(P1805&gt;0))</formula>
    </cfRule>
    <cfRule type="expression" dxfId="1728" priority="1806">
      <formula>((P1805-M1805)/M1805)&gt;0.05</formula>
    </cfRule>
  </conditionalFormatting>
  <conditionalFormatting sqref="H1886:H1968 H1973:H1998">
    <cfRule type="expression" dxfId="1727" priority="1803">
      <formula>AND(G1886=0,(H1886&gt;0))</formula>
    </cfRule>
    <cfRule type="expression" dxfId="1726" priority="1804">
      <formula>((H1886-G1886)/G1886)&gt;0.05</formula>
    </cfRule>
  </conditionalFormatting>
  <conditionalFormatting sqref="P1886:Q1968 P1973:Q1998">
    <cfRule type="expression" dxfId="1725" priority="1801">
      <formula>AND(M1886=0,(P1886&gt;0))</formula>
    </cfRule>
    <cfRule type="expression" dxfId="1724" priority="1802">
      <formula>((P1886-M1886)/M1886)&gt;0.05</formula>
    </cfRule>
  </conditionalFormatting>
  <conditionalFormatting sqref="H1999:H2042">
    <cfRule type="expression" dxfId="1723" priority="1799">
      <formula>AND(G1999=0,(H1999&gt;0))</formula>
    </cfRule>
    <cfRule type="expression" dxfId="1722" priority="1800">
      <formula>((H1999-G1999)/G1999)&gt;0.05</formula>
    </cfRule>
  </conditionalFormatting>
  <conditionalFormatting sqref="P1999:Q2042">
    <cfRule type="expression" dxfId="1721" priority="1797">
      <formula>AND(M1999=0,(P1999&gt;0))</formula>
    </cfRule>
    <cfRule type="expression" dxfId="1720" priority="1798">
      <formula>((P1999-M1999)/M1999)&gt;0.05</formula>
    </cfRule>
  </conditionalFormatting>
  <conditionalFormatting sqref="L1886:L1968 L1973:L1998">
    <cfRule type="expression" dxfId="1719" priority="1791">
      <formula>AND(K1886=0,(L1886&gt;0))</formula>
    </cfRule>
    <cfRule type="expression" dxfId="1718" priority="1792">
      <formula>((L1886-K1886)/K1886)&gt;0.05</formula>
    </cfRule>
  </conditionalFormatting>
  <conditionalFormatting sqref="L1999:L2042">
    <cfRule type="expression" dxfId="1717" priority="1789">
      <formula>AND(K1999=0,(L1999&gt;0))</formula>
    </cfRule>
    <cfRule type="expression" dxfId="1716" priority="1790">
      <formula>((L1999-K1999)/K1999)&gt;0.05</formula>
    </cfRule>
  </conditionalFormatting>
  <conditionalFormatting sqref="J1886:J1968 J1973:J1998">
    <cfRule type="expression" dxfId="1715" priority="1795">
      <formula>AND(I1886=0,(J1886&gt;0))</formula>
    </cfRule>
    <cfRule type="expression" dxfId="1714" priority="1796">
      <formula>((J1886-I1886)/I1886)&gt;0.05</formula>
    </cfRule>
  </conditionalFormatting>
  <conditionalFormatting sqref="J1999:J2042">
    <cfRule type="expression" dxfId="1713" priority="1793">
      <formula>AND(I1999=0,(J1999&gt;0))</formula>
    </cfRule>
    <cfRule type="expression" dxfId="1712" priority="1794">
      <formula>((J1999-I1999)/I1999)&gt;0.05</formula>
    </cfRule>
  </conditionalFormatting>
  <conditionalFormatting sqref="V1886:V1968 V1973:V1998">
    <cfRule type="expression" dxfId="1711" priority="1787">
      <formula>AND(U1886=0,(V1886&gt;0))</formula>
    </cfRule>
    <cfRule type="expression" dxfId="1710" priority="1788">
      <formula>((V1886-U1886)/U1886)&gt;0.05</formula>
    </cfRule>
  </conditionalFormatting>
  <conditionalFormatting sqref="V1999:V2042">
    <cfRule type="expression" dxfId="1709" priority="1785">
      <formula>AND(U1999=0,(V1999&gt;0))</formula>
    </cfRule>
    <cfRule type="expression" dxfId="1708" priority="1786">
      <formula>((V1999-U1999)/U1999)&gt;0.05</formula>
    </cfRule>
  </conditionalFormatting>
  <conditionalFormatting sqref="AD1886:AD1968 AD1973:AD1998">
    <cfRule type="expression" dxfId="1707" priority="1783">
      <formula>AND(AC1886=0,(AD1886&gt;0))</formula>
    </cfRule>
    <cfRule type="expression" dxfId="1706" priority="1784">
      <formula>((AD1886-AC1886)/AC1886)&gt;0.05</formula>
    </cfRule>
  </conditionalFormatting>
  <conditionalFormatting sqref="AD1999:AD2042">
    <cfRule type="expression" dxfId="1705" priority="1781">
      <formula>AND(AC1999=0,(AD1999&gt;0))</formula>
    </cfRule>
    <cfRule type="expression" dxfId="1704" priority="1782">
      <formula>((AD1999-AC1999)/AC1999)&gt;0.05</formula>
    </cfRule>
  </conditionalFormatting>
  <conditionalFormatting sqref="Z1886:AA1968 Z1973:AA1998">
    <cfRule type="expression" dxfId="1703" priority="1779">
      <formula>AND(W1886=0,(Z1886&gt;0))</formula>
    </cfRule>
    <cfRule type="expression" dxfId="1702" priority="1780">
      <formula>((Z1886-W1886)/W1886)&gt;0.05</formula>
    </cfRule>
  </conditionalFormatting>
  <conditionalFormatting sqref="Z1999:AA2042">
    <cfRule type="expression" dxfId="1701" priority="1777">
      <formula>AND(W1999=0,(Z1999&gt;0))</formula>
    </cfRule>
    <cfRule type="expression" dxfId="1700" priority="1778">
      <formula>((Z1999-W1999)/W1999)&gt;0.05</formula>
    </cfRule>
  </conditionalFormatting>
  <conditionalFormatting sqref="AG1886:AH1968 AG1973:AH1998">
    <cfRule type="expression" dxfId="1699" priority="1775">
      <formula>AND(AD1886=0,(AG1886&gt;0))</formula>
    </cfRule>
    <cfRule type="expression" dxfId="1698" priority="1776">
      <formula>((AG1886-AD1886)/AD1886)&gt;0.05</formula>
    </cfRule>
  </conditionalFormatting>
  <conditionalFormatting sqref="AG1999:AH2042">
    <cfRule type="expression" dxfId="1697" priority="1773">
      <formula>AND(AD1999=0,(AG1999&gt;0))</formula>
    </cfRule>
    <cfRule type="expression" dxfId="1696" priority="1774">
      <formula>((AG1999-AD1999)/AD1999)&gt;0.05</formula>
    </cfRule>
  </conditionalFormatting>
  <conditionalFormatting sqref="H2054:H2113">
    <cfRule type="expression" dxfId="1695" priority="1771">
      <formula>AND(G2054=0,(H2054&gt;0))</formula>
    </cfRule>
    <cfRule type="expression" dxfId="1694" priority="1772">
      <formula>((H2054-G2054)/G2054)&gt;0.05</formula>
    </cfRule>
  </conditionalFormatting>
  <conditionalFormatting sqref="P2054:Q2113">
    <cfRule type="expression" dxfId="1693" priority="1769">
      <formula>AND(M2054=0,(P2054&gt;0))</formula>
    </cfRule>
    <cfRule type="expression" dxfId="1692" priority="1770">
      <formula>((P2054-M2054)/M2054)&gt;0.05</formula>
    </cfRule>
  </conditionalFormatting>
  <conditionalFormatting sqref="H2043:H2053">
    <cfRule type="expression" dxfId="1691" priority="1767">
      <formula>AND(G2043=0,(H2043&gt;0))</formula>
    </cfRule>
    <cfRule type="expression" dxfId="1690" priority="1768">
      <formula>((H2043-G2043)/G2043)&gt;0.05</formula>
    </cfRule>
  </conditionalFormatting>
  <conditionalFormatting sqref="P2043:Q2053">
    <cfRule type="expression" dxfId="1689" priority="1765">
      <formula>AND(M2043=0,(P2043&gt;0))</formula>
    </cfRule>
    <cfRule type="expression" dxfId="1688" priority="1766">
      <formula>((P2043-M2043)/M2043)&gt;0.05</formula>
    </cfRule>
  </conditionalFormatting>
  <conditionalFormatting sqref="H2114:H2156">
    <cfRule type="expression" dxfId="1687" priority="1763">
      <formula>AND(G2114=0,(H2114&gt;0))</formula>
    </cfRule>
    <cfRule type="expression" dxfId="1686" priority="1764">
      <formula>((H2114-G2114)/G2114)&gt;0.05</formula>
    </cfRule>
  </conditionalFormatting>
  <conditionalFormatting sqref="P2114:Q2156">
    <cfRule type="expression" dxfId="1685" priority="1761">
      <formula>AND(M2114=0,(P2114&gt;0))</formula>
    </cfRule>
    <cfRule type="expression" dxfId="1684" priority="1762">
      <formula>((P2114-M2114)/M2114)&gt;0.05</formula>
    </cfRule>
  </conditionalFormatting>
  <conditionalFormatting sqref="L2054:L2113">
    <cfRule type="expression" dxfId="1683" priority="1753">
      <formula>AND(K2054=0,(L2054&gt;0))</formula>
    </cfRule>
    <cfRule type="expression" dxfId="1682" priority="1754">
      <formula>((L2054-K2054)/K2054)&gt;0.05</formula>
    </cfRule>
  </conditionalFormatting>
  <conditionalFormatting sqref="L2043:L2053">
    <cfRule type="expression" dxfId="1681" priority="1751">
      <formula>AND(K2043=0,(L2043&gt;0))</formula>
    </cfRule>
    <cfRule type="expression" dxfId="1680" priority="1752">
      <formula>((L2043-K2043)/K2043)&gt;0.05</formula>
    </cfRule>
  </conditionalFormatting>
  <conditionalFormatting sqref="L2114:L2156">
    <cfRule type="expression" dxfId="1679" priority="1749">
      <formula>AND(K2114=0,(L2114&gt;0))</formula>
    </cfRule>
    <cfRule type="expression" dxfId="1678" priority="1750">
      <formula>((L2114-K2114)/K2114)&gt;0.05</formula>
    </cfRule>
  </conditionalFormatting>
  <conditionalFormatting sqref="J2054:J2113">
    <cfRule type="expression" dxfId="1677" priority="1759">
      <formula>AND(I2054=0,(J2054&gt;0))</formula>
    </cfRule>
    <cfRule type="expression" dxfId="1676" priority="1760">
      <formula>((J2054-I2054)/I2054)&gt;0.05</formula>
    </cfRule>
  </conditionalFormatting>
  <conditionalFormatting sqref="J2043:J2053">
    <cfRule type="expression" dxfId="1675" priority="1757">
      <formula>AND(I2043=0,(J2043&gt;0))</formula>
    </cfRule>
    <cfRule type="expression" dxfId="1674" priority="1758">
      <formula>((J2043-I2043)/I2043)&gt;0.05</formula>
    </cfRule>
  </conditionalFormatting>
  <conditionalFormatting sqref="J2114:J2156">
    <cfRule type="expression" dxfId="1673" priority="1755">
      <formula>AND(I2114=0,(J2114&gt;0))</formula>
    </cfRule>
    <cfRule type="expression" dxfId="1672" priority="1756">
      <formula>((J2114-I2114)/I2114)&gt;0.05</formula>
    </cfRule>
  </conditionalFormatting>
  <conditionalFormatting sqref="V2054:V2113">
    <cfRule type="expression" dxfId="1671" priority="1747">
      <formula>AND(U2054=0,(V2054&gt;0))</formula>
    </cfRule>
    <cfRule type="expression" dxfId="1670" priority="1748">
      <formula>((V2054-U2054)/U2054)&gt;0.05</formula>
    </cfRule>
  </conditionalFormatting>
  <conditionalFormatting sqref="V2043:V2053">
    <cfRule type="expression" dxfId="1669" priority="1745">
      <formula>AND(U2043=0,(V2043&gt;0))</formula>
    </cfRule>
    <cfRule type="expression" dxfId="1668" priority="1746">
      <formula>((V2043-U2043)/U2043)&gt;0.05</formula>
    </cfRule>
  </conditionalFormatting>
  <conditionalFormatting sqref="V2114:V2156">
    <cfRule type="expression" dxfId="1667" priority="1743">
      <formula>AND(U2114=0,(V2114&gt;0))</formula>
    </cfRule>
    <cfRule type="expression" dxfId="1666" priority="1744">
      <formula>((V2114-U2114)/U2114)&gt;0.05</formula>
    </cfRule>
  </conditionalFormatting>
  <conditionalFormatting sqref="AD2054:AD2113">
    <cfRule type="expression" dxfId="1665" priority="1741">
      <formula>AND(AC2054=0,(AD2054&gt;0))</formula>
    </cfRule>
    <cfRule type="expression" dxfId="1664" priority="1742">
      <formula>((AD2054-AC2054)/AC2054)&gt;0.05</formula>
    </cfRule>
  </conditionalFormatting>
  <conditionalFormatting sqref="AD2043:AD2053">
    <cfRule type="expression" dxfId="1663" priority="1739">
      <formula>AND(AC2043=0,(AD2043&gt;0))</formula>
    </cfRule>
    <cfRule type="expression" dxfId="1662" priority="1740">
      <formula>((AD2043-AC2043)/AC2043)&gt;0.05</formula>
    </cfRule>
  </conditionalFormatting>
  <conditionalFormatting sqref="AD2114:AD2156">
    <cfRule type="expression" dxfId="1661" priority="1737">
      <formula>AND(AC2114=0,(AD2114&gt;0))</formula>
    </cfRule>
    <cfRule type="expression" dxfId="1660" priority="1738">
      <formula>((AD2114-AC2114)/AC2114)&gt;0.05</formula>
    </cfRule>
  </conditionalFormatting>
  <conditionalFormatting sqref="Z2054:AA2113">
    <cfRule type="expression" dxfId="1659" priority="1735">
      <formula>AND(W2054=0,(Z2054&gt;0))</formula>
    </cfRule>
    <cfRule type="expression" dxfId="1658" priority="1736">
      <formula>((Z2054-W2054)/W2054)&gt;0.05</formula>
    </cfRule>
  </conditionalFormatting>
  <conditionalFormatting sqref="Z2043:AA2053">
    <cfRule type="expression" dxfId="1657" priority="1733">
      <formula>AND(W2043=0,(Z2043&gt;0))</formula>
    </cfRule>
    <cfRule type="expression" dxfId="1656" priority="1734">
      <formula>((Z2043-W2043)/W2043)&gt;0.05</formula>
    </cfRule>
  </conditionalFormatting>
  <conditionalFormatting sqref="Z2114:AA2156">
    <cfRule type="expression" dxfId="1655" priority="1731">
      <formula>AND(W2114=0,(Z2114&gt;0))</formula>
    </cfRule>
    <cfRule type="expression" dxfId="1654" priority="1732">
      <formula>((Z2114-W2114)/W2114)&gt;0.05</formula>
    </cfRule>
  </conditionalFormatting>
  <conditionalFormatting sqref="AG2054:AH2113">
    <cfRule type="expression" dxfId="1653" priority="1729">
      <formula>AND(AD2054=0,(AG2054&gt;0))</formula>
    </cfRule>
    <cfRule type="expression" dxfId="1652" priority="1730">
      <formula>((AG2054-AD2054)/AD2054)&gt;0.05</formula>
    </cfRule>
  </conditionalFormatting>
  <conditionalFormatting sqref="AG2043:AH2053">
    <cfRule type="expression" dxfId="1651" priority="1727">
      <formula>AND(AD2043=0,(AG2043&gt;0))</formula>
    </cfRule>
    <cfRule type="expression" dxfId="1650" priority="1728">
      <formula>((AG2043-AD2043)/AD2043)&gt;0.05</formula>
    </cfRule>
  </conditionalFormatting>
  <conditionalFormatting sqref="AG2114:AH2156">
    <cfRule type="expression" dxfId="1649" priority="1725">
      <formula>AND(AD2114=0,(AG2114&gt;0))</formula>
    </cfRule>
    <cfRule type="expression" dxfId="1648" priority="1726">
      <formula>((AG2114-AD2114)/AD2114)&gt;0.05</formula>
    </cfRule>
  </conditionalFormatting>
  <conditionalFormatting sqref="H1313:H1327">
    <cfRule type="expression" dxfId="1647" priority="1723">
      <formula>AND(G1313=0,(H1313&gt;0))</formula>
    </cfRule>
    <cfRule type="expression" dxfId="1646" priority="1724">
      <formula>((H1313-G1313)/G1313)&gt;0.05</formula>
    </cfRule>
  </conditionalFormatting>
  <conditionalFormatting sqref="P1313:Q1327">
    <cfRule type="expression" dxfId="1645" priority="1721">
      <formula>AND(M1313=0,(P1313&gt;0))</formula>
    </cfRule>
    <cfRule type="expression" dxfId="1644" priority="1722">
      <formula>((P1313-M1313)/M1313)&gt;0.05</formula>
    </cfRule>
  </conditionalFormatting>
  <conditionalFormatting sqref="H1328:H1339 H1341:H1421">
    <cfRule type="expression" dxfId="1643" priority="1719">
      <formula>AND(G1328=0,(H1328&gt;0))</formula>
    </cfRule>
    <cfRule type="expression" dxfId="1642" priority="1720">
      <formula>((H1328-G1328)/G1328)&gt;0.05</formula>
    </cfRule>
  </conditionalFormatting>
  <conditionalFormatting sqref="P1328:Q1421">
    <cfRule type="expression" dxfId="1641" priority="1717">
      <formula>AND(M1328=0,(P1328&gt;0))</formula>
    </cfRule>
    <cfRule type="expression" dxfId="1640" priority="1718">
      <formula>((P1328-M1328)/M1328)&gt;0.05</formula>
    </cfRule>
  </conditionalFormatting>
  <conditionalFormatting sqref="H1422:H1487">
    <cfRule type="expression" dxfId="1639" priority="1715">
      <formula>AND(G1422=0,(H1422&gt;0))</formula>
    </cfRule>
    <cfRule type="expression" dxfId="1638" priority="1716">
      <formula>((H1422-G1422)/G1422)&gt;0.05</formula>
    </cfRule>
  </conditionalFormatting>
  <conditionalFormatting sqref="P1422:Q1487">
    <cfRule type="expression" dxfId="1637" priority="1713">
      <formula>AND(M1422=0,(P1422&gt;0))</formula>
    </cfRule>
    <cfRule type="expression" dxfId="1636" priority="1714">
      <formula>((P1422-M1422)/M1422)&gt;0.05</formula>
    </cfRule>
  </conditionalFormatting>
  <conditionalFormatting sqref="L1313:L1327">
    <cfRule type="expression" dxfId="1635" priority="1701">
      <formula>AND(K1313=0,(L1313&gt;0))</formula>
    </cfRule>
    <cfRule type="expression" dxfId="1634" priority="1702">
      <formula>((L1313-K1313)/K1313)&gt;0.05</formula>
    </cfRule>
  </conditionalFormatting>
  <conditionalFormatting sqref="L1328:L1339 L1341:L1421">
    <cfRule type="expression" dxfId="1633" priority="1699">
      <formula>AND(K1328=0,(L1328&gt;0))</formula>
    </cfRule>
    <cfRule type="expression" dxfId="1632" priority="1700">
      <formula>((L1328-K1328)/K1328)&gt;0.05</formula>
    </cfRule>
  </conditionalFormatting>
  <conditionalFormatting sqref="L1422:L1487">
    <cfRule type="expression" dxfId="1631" priority="1697">
      <formula>AND(K1422=0,(L1422&gt;0))</formula>
    </cfRule>
    <cfRule type="expression" dxfId="1630" priority="1698">
      <formula>((L1422-K1422)/K1422)&gt;0.05</formula>
    </cfRule>
  </conditionalFormatting>
  <conditionalFormatting sqref="L1340">
    <cfRule type="expression" dxfId="1629" priority="1695">
      <formula>AND(K1340=0,(L1340&gt;0))</formula>
    </cfRule>
    <cfRule type="expression" dxfId="1628" priority="1696">
      <formula>((L1340-K1340)/K1340)&gt;0.05</formula>
    </cfRule>
  </conditionalFormatting>
  <conditionalFormatting sqref="H1340">
    <cfRule type="expression" dxfId="1627" priority="1711">
      <formula>AND(G1340=0,(H1340&gt;0))</formula>
    </cfRule>
    <cfRule type="expression" dxfId="1626" priority="1712">
      <formula>((H1340-G1340)/G1340)&gt;0.05</formula>
    </cfRule>
  </conditionalFormatting>
  <conditionalFormatting sqref="J1313:J1327">
    <cfRule type="expression" dxfId="1625" priority="1709">
      <formula>AND(I1313=0,(J1313&gt;0))</formula>
    </cfRule>
    <cfRule type="expression" dxfId="1624" priority="1710">
      <formula>((J1313-I1313)/I1313)&gt;0.05</formula>
    </cfRule>
  </conditionalFormatting>
  <conditionalFormatting sqref="J1328:J1339 J1341:J1421">
    <cfRule type="expression" dxfId="1623" priority="1707">
      <formula>AND(I1328=0,(J1328&gt;0))</formula>
    </cfRule>
    <cfRule type="expression" dxfId="1622" priority="1708">
      <formula>((J1328-I1328)/I1328)&gt;0.05</formula>
    </cfRule>
  </conditionalFormatting>
  <conditionalFormatting sqref="J1422:J1487">
    <cfRule type="expression" dxfId="1621" priority="1705">
      <formula>AND(I1422=0,(J1422&gt;0))</formula>
    </cfRule>
    <cfRule type="expression" dxfId="1620" priority="1706">
      <formula>((J1422-I1422)/I1422)&gt;0.05</formula>
    </cfRule>
  </conditionalFormatting>
  <conditionalFormatting sqref="J1340">
    <cfRule type="expression" dxfId="1619" priority="1703">
      <formula>AND(I1340=0,(J1340&gt;0))</formula>
    </cfRule>
    <cfRule type="expression" dxfId="1618" priority="1704">
      <formula>((J1340-I1340)/I1340)&gt;0.05</formula>
    </cfRule>
  </conditionalFormatting>
  <conditionalFormatting sqref="V1313:V1327">
    <cfRule type="expression" dxfId="1617" priority="1693">
      <formula>AND(U1313=0,(V1313&gt;0))</formula>
    </cfRule>
    <cfRule type="expression" dxfId="1616" priority="1694">
      <formula>((V1313-U1313)/U1313)&gt;0.05</formula>
    </cfRule>
  </conditionalFormatting>
  <conditionalFormatting sqref="V1328:V1339 V1341:V1367">
    <cfRule type="expression" dxfId="1615" priority="1691">
      <formula>AND(U1328=0,(V1328&gt;0))</formula>
    </cfRule>
    <cfRule type="expression" dxfId="1614" priority="1692">
      <formula>((V1328-U1328)/U1328)&gt;0.05</formula>
    </cfRule>
  </conditionalFormatting>
  <conditionalFormatting sqref="V1340">
    <cfRule type="expression" dxfId="1613" priority="1689">
      <formula>AND(U1340=0,(V1340&gt;0))</formula>
    </cfRule>
    <cfRule type="expression" dxfId="1612" priority="1690">
      <formula>((V1340-U1340)/U1340)&gt;0.05</formula>
    </cfRule>
  </conditionalFormatting>
  <conditionalFormatting sqref="AD1313:AD1327">
    <cfRule type="expression" dxfId="1611" priority="1687">
      <formula>AND(AC1313=0,(AD1313&gt;0))</formula>
    </cfRule>
    <cfRule type="expression" dxfId="1610" priority="1688">
      <formula>((AD1313-AC1313)/AC1313)&gt;0.05</formula>
    </cfRule>
  </conditionalFormatting>
  <conditionalFormatting sqref="AD1328:AD1339 AD1341:AD1421">
    <cfRule type="expression" dxfId="1609" priority="1685">
      <formula>AND(AC1328=0,(AD1328&gt;0))</formula>
    </cfRule>
    <cfRule type="expression" dxfId="1608" priority="1686">
      <formula>((AD1328-AC1328)/AC1328)&gt;0.05</formula>
    </cfRule>
  </conditionalFormatting>
  <conditionalFormatting sqref="AD1422:AD1487">
    <cfRule type="expression" dxfId="1607" priority="1683">
      <formula>AND(AC1422=0,(AD1422&gt;0))</formula>
    </cfRule>
    <cfRule type="expression" dxfId="1606" priority="1684">
      <formula>((AD1422-AC1422)/AC1422)&gt;0.05</formula>
    </cfRule>
  </conditionalFormatting>
  <conditionalFormatting sqref="AD1340">
    <cfRule type="expression" dxfId="1605" priority="1681">
      <formula>AND(AC1340=0,(AD1340&gt;0))</formula>
    </cfRule>
    <cfRule type="expression" dxfId="1604" priority="1682">
      <formula>((AD1340-AC1340)/AC1340)&gt;0.05</formula>
    </cfRule>
  </conditionalFormatting>
  <conditionalFormatting sqref="Z1313:AA1327">
    <cfRule type="expression" dxfId="1603" priority="1679">
      <formula>AND(W1313=0,(Z1313&gt;0))</formula>
    </cfRule>
    <cfRule type="expression" dxfId="1602" priority="1680">
      <formula>((Z1313-W1313)/W1313)&gt;0.05</formula>
    </cfRule>
  </conditionalFormatting>
  <conditionalFormatting sqref="Z1328:AA1421">
    <cfRule type="expression" dxfId="1601" priority="1677">
      <formula>AND(W1328=0,(Z1328&gt;0))</formula>
    </cfRule>
    <cfRule type="expression" dxfId="1600" priority="1678">
      <formula>((Z1328-W1328)/W1328)&gt;0.05</formula>
    </cfRule>
  </conditionalFormatting>
  <conditionalFormatting sqref="Z1422:AA1487">
    <cfRule type="expression" dxfId="1599" priority="1675">
      <formula>AND(W1422=0,(Z1422&gt;0))</formula>
    </cfRule>
    <cfRule type="expression" dxfId="1598" priority="1676">
      <formula>((Z1422-W1422)/W1422)&gt;0.05</formula>
    </cfRule>
  </conditionalFormatting>
  <conditionalFormatting sqref="AG1313:AH1327">
    <cfRule type="expression" dxfId="1597" priority="1673">
      <formula>AND(AD1313=0,(AG1313&gt;0))</formula>
    </cfRule>
    <cfRule type="expression" dxfId="1596" priority="1674">
      <formula>((AG1313-AD1313)/AD1313)&gt;0.05</formula>
    </cfRule>
  </conditionalFormatting>
  <conditionalFormatting sqref="AG1328:AH1421">
    <cfRule type="expression" dxfId="1595" priority="1671">
      <formula>AND(AD1328=0,(AG1328&gt;0))</formula>
    </cfRule>
    <cfRule type="expression" dxfId="1594" priority="1672">
      <formula>((AG1328-AD1328)/AD1328)&gt;0.05</formula>
    </cfRule>
  </conditionalFormatting>
  <conditionalFormatting sqref="AG1422:AH1487">
    <cfRule type="expression" dxfId="1593" priority="1669">
      <formula>AND(AD1422=0,(AG1422&gt;0))</formula>
    </cfRule>
    <cfRule type="expression" dxfId="1592" priority="1670">
      <formula>((AG1422-AD1422)/AD1422)&gt;0.05</formula>
    </cfRule>
  </conditionalFormatting>
  <conditionalFormatting sqref="V1368:V1487">
    <cfRule type="expression" dxfId="1591" priority="1667">
      <formula>AND(U1368=0,(V1368&gt;0))</formula>
    </cfRule>
    <cfRule type="expression" dxfId="1590" priority="1668">
      <formula>((V1368-U1368)/U1368)&gt;0.05</formula>
    </cfRule>
  </conditionalFormatting>
  <conditionalFormatting sqref="H1179">
    <cfRule type="expression" dxfId="1589" priority="1661">
      <formula>AND(G1179=0,(H1179&gt;0))</formula>
    </cfRule>
    <cfRule type="expression" dxfId="1588" priority="1662">
      <formula>((H1179-G1179)/G1179)&gt;0.05</formula>
    </cfRule>
  </conditionalFormatting>
  <conditionalFormatting sqref="P1179:Q1179">
    <cfRule type="expression" dxfId="1587" priority="1659">
      <formula>AND(M1179=0,(P1179&gt;0))</formula>
    </cfRule>
    <cfRule type="expression" dxfId="1586" priority="1660">
      <formula>((P1179-M1179)/M1179)&gt;0.05</formula>
    </cfRule>
  </conditionalFormatting>
  <conditionalFormatting sqref="H1106:H1178 H1180:H1222">
    <cfRule type="expression" dxfId="1585" priority="1665">
      <formula>AND(G1106=0,(H1106&gt;0))</formula>
    </cfRule>
    <cfRule type="expression" dxfId="1584" priority="1666">
      <formula>((H1106-G1106)/G1106)&gt;0.05</formula>
    </cfRule>
  </conditionalFormatting>
  <conditionalFormatting sqref="P1180:Q1222 P1106:Q1178">
    <cfRule type="expression" dxfId="1583" priority="1663">
      <formula>AND(M1106=0,(P1106&gt;0))</formula>
    </cfRule>
    <cfRule type="expression" dxfId="1582" priority="1664">
      <formula>((P1106-M1106)/M1106)&gt;0.05</formula>
    </cfRule>
  </conditionalFormatting>
  <conditionalFormatting sqref="L1107:L1178 L1180:L1222">
    <cfRule type="expression" dxfId="1581" priority="1655">
      <formula>AND(K1107=0,(L1107&gt;0))</formula>
    </cfRule>
    <cfRule type="expression" dxfId="1580" priority="1656">
      <formula>((L1107-K1107)/K1107)&gt;0.05</formula>
    </cfRule>
  </conditionalFormatting>
  <conditionalFormatting sqref="L1179">
    <cfRule type="expression" dxfId="1579" priority="1653">
      <formula>AND(K1179=0,(L1179&gt;0))</formula>
    </cfRule>
    <cfRule type="expression" dxfId="1578" priority="1654">
      <formula>((L1179-K1179)/K1179)&gt;0.05</formula>
    </cfRule>
  </conditionalFormatting>
  <conditionalFormatting sqref="J1106:J1163 J1195:J1222">
    <cfRule type="expression" dxfId="1577" priority="1657">
      <formula>AND(I1106=0,(J1106&gt;0))</formula>
    </cfRule>
    <cfRule type="expression" dxfId="1576" priority="1658">
      <formula>((J1106-I1106)/I1106)&gt;0.05</formula>
    </cfRule>
  </conditionalFormatting>
  <conditionalFormatting sqref="V1179">
    <cfRule type="expression" dxfId="1575" priority="1649">
      <formula>AND(U1179=0,(V1179&gt;0))</formula>
    </cfRule>
    <cfRule type="expression" dxfId="1574" priority="1650">
      <formula>((V1179-U1179)/U1179)&gt;0.05</formula>
    </cfRule>
  </conditionalFormatting>
  <conditionalFormatting sqref="V1106:V1178 V1180:V1181 V1199:V1203">
    <cfRule type="expression" dxfId="1573" priority="1651">
      <formula>AND(U1106=0,(V1106&gt;0))</formula>
    </cfRule>
    <cfRule type="expression" dxfId="1572" priority="1652">
      <formula>((V1106-U1106)/U1106)&gt;0.05</formula>
    </cfRule>
  </conditionalFormatting>
  <conditionalFormatting sqref="AD1179">
    <cfRule type="expression" dxfId="1571" priority="1645">
      <formula>AND(AC1179=0,(AD1179&gt;0))</formula>
    </cfRule>
    <cfRule type="expression" dxfId="1570" priority="1646">
      <formula>((AD1179-AC1179)/AC1179)&gt;0.05</formula>
    </cfRule>
  </conditionalFormatting>
  <conditionalFormatting sqref="AD1180:AD1222 AD1106:AD1178">
    <cfRule type="expression" dxfId="1569" priority="1647">
      <formula>AND(AC1106=0,(AD1106&gt;0))</formula>
    </cfRule>
    <cfRule type="expression" dxfId="1568" priority="1648">
      <formula>((AD1106-AC1106)/AC1106)&gt;0.05</formula>
    </cfRule>
  </conditionalFormatting>
  <conditionalFormatting sqref="Z1179:AA1179">
    <cfRule type="expression" dxfId="1567" priority="1641">
      <formula>AND(W1179=0,(Z1179&gt;0))</formula>
    </cfRule>
    <cfRule type="expression" dxfId="1566" priority="1642">
      <formula>((Z1179-W1179)/W1179)&gt;0.05</formula>
    </cfRule>
  </conditionalFormatting>
  <conditionalFormatting sqref="Z1180:AA1222 Z1106:AA1178">
    <cfRule type="expression" dxfId="1565" priority="1643">
      <formula>AND(W1106=0,(Z1106&gt;0))</formula>
    </cfRule>
    <cfRule type="expression" dxfId="1564" priority="1644">
      <formula>((Z1106-W1106)/W1106)&gt;0.05</formula>
    </cfRule>
  </conditionalFormatting>
  <conditionalFormatting sqref="AG1179:AH1179">
    <cfRule type="expression" dxfId="1563" priority="1637">
      <formula>AND(AD1179=0,(AG1179&gt;0))</formula>
    </cfRule>
    <cfRule type="expression" dxfId="1562" priority="1638">
      <formula>((AG1179-AD1179)/AD1179)&gt;0.05</formula>
    </cfRule>
  </conditionalFormatting>
  <conditionalFormatting sqref="AG1180:AH1222 AG1106:AH1178">
    <cfRule type="expression" dxfId="1561" priority="1639">
      <formula>AND(AD1106=0,(AG1106&gt;0))</formula>
    </cfRule>
    <cfRule type="expression" dxfId="1560" priority="1640">
      <formula>((AG1106-AD1106)/AD1106)&gt;0.05</formula>
    </cfRule>
  </conditionalFormatting>
  <conditionalFormatting sqref="J1182:J1186">
    <cfRule type="expression" dxfId="1559" priority="1635">
      <formula>AND(I1182=0,(J1182&gt;0))</formula>
    </cfRule>
    <cfRule type="expression" dxfId="1558" priority="1636">
      <formula>((J1182-I1182)/I1182)&gt;0.05</formula>
    </cfRule>
  </conditionalFormatting>
  <conditionalFormatting sqref="J1173">
    <cfRule type="expression" dxfId="1557" priority="1633">
      <formula>AND(I1173=0,(J1173&gt;0))</formula>
    </cfRule>
    <cfRule type="expression" dxfId="1556" priority="1634">
      <formula>((J1173-I1173)/I1173)&gt;0.05</formula>
    </cfRule>
  </conditionalFormatting>
  <conditionalFormatting sqref="V1183 V1185 V1187:V1192 V1195">
    <cfRule type="expression" dxfId="1555" priority="1631">
      <formula>AND(U1183=0,(V1183&gt;0))</formula>
    </cfRule>
    <cfRule type="expression" dxfId="1554" priority="1632">
      <formula>((V1183-U1183)/U1183)&gt;0.05</formula>
    </cfRule>
  </conditionalFormatting>
  <conditionalFormatting sqref="V1182">
    <cfRule type="expression" dxfId="1553" priority="1629">
      <formula>AND(U1182=0,(V1182&gt;0))</formula>
    </cfRule>
    <cfRule type="expression" dxfId="1552" priority="1630">
      <formula>((V1182-U1182)/U1182)&gt;0.05</formula>
    </cfRule>
  </conditionalFormatting>
  <conditionalFormatting sqref="V1186">
    <cfRule type="expression" dxfId="1551" priority="1627">
      <formula>AND(U1186=0,(V1186&gt;0))</formula>
    </cfRule>
    <cfRule type="expression" dxfId="1550" priority="1628">
      <formula>((V1186-U1186)/U1186)&gt;0.05</formula>
    </cfRule>
  </conditionalFormatting>
  <conditionalFormatting sqref="V1193:V1194">
    <cfRule type="expression" dxfId="1549" priority="1625">
      <formula>AND(U1193=0,(V1193&gt;0))</formula>
    </cfRule>
    <cfRule type="expression" dxfId="1548" priority="1626">
      <formula>((V1193-U1193)/U1193)&gt;0.05</formula>
    </cfRule>
  </conditionalFormatting>
  <conditionalFormatting sqref="V1196:V1198">
    <cfRule type="expression" dxfId="1547" priority="1623">
      <formula>AND(U1196=0,(V1196&gt;0))</formula>
    </cfRule>
    <cfRule type="expression" dxfId="1546" priority="1624">
      <formula>((V1196-U1196)/U1196)&gt;0.05</formula>
    </cfRule>
  </conditionalFormatting>
  <conditionalFormatting sqref="V1184">
    <cfRule type="expression" dxfId="1545" priority="1621">
      <formula>AND(U1184=0,(V1184&gt;0))</formula>
    </cfRule>
    <cfRule type="expression" dxfId="1544" priority="1622">
      <formula>((V1184-U1184)/U1184)&gt;0.05</formula>
    </cfRule>
  </conditionalFormatting>
  <conditionalFormatting sqref="J1164:J1171">
    <cfRule type="expression" dxfId="1543" priority="1619">
      <formula>AND(I1164=0,(J1164&gt;0))</formula>
    </cfRule>
    <cfRule type="expression" dxfId="1542" priority="1620">
      <formula>((J1164-I1164)/I1164)&gt;0.05</formula>
    </cfRule>
  </conditionalFormatting>
  <conditionalFormatting sqref="J1173:J1181">
    <cfRule type="expression" dxfId="1541" priority="1617">
      <formula>AND(I1173=0,(J1173&gt;0))</formula>
    </cfRule>
    <cfRule type="expression" dxfId="1540" priority="1618">
      <formula>((J1173-I1173)/I1173)&gt;0.05</formula>
    </cfRule>
  </conditionalFormatting>
  <conditionalFormatting sqref="J1187">
    <cfRule type="expression" dxfId="1539" priority="1615">
      <formula>AND(I1187=0,(J1187&gt;0))</formula>
    </cfRule>
    <cfRule type="expression" dxfId="1538" priority="1616">
      <formula>((J1187-I1187)/I1187)&gt;0.05</formula>
    </cfRule>
  </conditionalFormatting>
  <conditionalFormatting sqref="J1187:J1194">
    <cfRule type="expression" dxfId="1537" priority="1613">
      <formula>AND(I1187=0,(J1187&gt;0))</formula>
    </cfRule>
    <cfRule type="expression" dxfId="1536" priority="1614">
      <formula>((J1187-I1187)/I1187)&gt;0.05</formula>
    </cfRule>
  </conditionalFormatting>
  <conditionalFormatting sqref="J1172">
    <cfRule type="expression" dxfId="1535" priority="1611">
      <formula>AND(I1172=0,(J1172&gt;0))</formula>
    </cfRule>
    <cfRule type="expression" dxfId="1534" priority="1612">
      <formula>((J1172-I1172)/I1172)&gt;0.05</formula>
    </cfRule>
  </conditionalFormatting>
  <conditionalFormatting sqref="L1106">
    <cfRule type="expression" dxfId="1533" priority="1609">
      <formula>AND(K1106=0,(L1106&gt;0))</formula>
    </cfRule>
    <cfRule type="expression" dxfId="1532" priority="1610">
      <formula>((L1106-K1106)/K1106)&gt;0.05</formula>
    </cfRule>
  </conditionalFormatting>
  <conditionalFormatting sqref="H583:H764 H566:H580">
    <cfRule type="expression" dxfId="1531" priority="1605">
      <formula>AND(G566=0,(H566&gt;0))</formula>
    </cfRule>
    <cfRule type="expression" dxfId="1530" priority="1606">
      <formula>((H566-G566)/G566)&gt;0.05</formula>
    </cfRule>
  </conditionalFormatting>
  <conditionalFormatting sqref="P567:Q764 Q566">
    <cfRule type="expression" dxfId="1529" priority="1603">
      <formula>AND(M566=0,(P566&gt;0))</formula>
    </cfRule>
    <cfRule type="expression" dxfId="1528" priority="1604">
      <formula>((P566-M566)/M566)&gt;0.05</formula>
    </cfRule>
  </conditionalFormatting>
  <conditionalFormatting sqref="L566:L764">
    <cfRule type="expression" dxfId="1527" priority="1599">
      <formula>AND(K566=0,(L566&gt;0))</formula>
    </cfRule>
    <cfRule type="expression" dxfId="1526" priority="1600">
      <formula>((L566-K566)/K566)&gt;0.05</formula>
    </cfRule>
  </conditionalFormatting>
  <conditionalFormatting sqref="J566:J567 J571:J572 J575 J579:J586 J588:J764">
    <cfRule type="expression" dxfId="1525" priority="1601">
      <formula>AND(I566=0,(J566&gt;0))</formula>
    </cfRule>
    <cfRule type="expression" dxfId="1524" priority="1602">
      <formula>((J566-I566)/I566)&gt;0.05</formula>
    </cfRule>
  </conditionalFormatting>
  <conditionalFormatting sqref="V566:V764">
    <cfRule type="expression" dxfId="1523" priority="1597">
      <formula>AND(U566=0,(V566&gt;0))</formula>
    </cfRule>
    <cfRule type="expression" dxfId="1522" priority="1598">
      <formula>((V566-U566)/U566)&gt;0.05</formula>
    </cfRule>
  </conditionalFormatting>
  <conditionalFormatting sqref="AD566:AD764">
    <cfRule type="expression" dxfId="1521" priority="1595">
      <formula>AND(AC566=0,(AD566&gt;0))</formula>
    </cfRule>
    <cfRule type="expression" dxfId="1520" priority="1596">
      <formula>((AD566-AC566)/AC566)&gt;0.05</formula>
    </cfRule>
  </conditionalFormatting>
  <conditionalFormatting sqref="Z566:AA764">
    <cfRule type="expression" dxfId="1519" priority="1593">
      <formula>AND(W566=0,(Z566&gt;0))</formula>
    </cfRule>
    <cfRule type="expression" dxfId="1518" priority="1594">
      <formula>((Z566-W566)/W566)&gt;0.05</formula>
    </cfRule>
  </conditionalFormatting>
  <conditionalFormatting sqref="AG566:AH764">
    <cfRule type="expression" dxfId="1517" priority="1591">
      <formula>AND(AD566=0,(AG566&gt;0))</formula>
    </cfRule>
    <cfRule type="expression" dxfId="1516" priority="1592">
      <formula>((AG566-AD566)/AD566)&gt;0.05</formula>
    </cfRule>
  </conditionalFormatting>
  <conditionalFormatting sqref="H582">
    <cfRule type="expression" dxfId="1515" priority="1607">
      <formula>AND(G581=0,(H582&gt;0))</formula>
    </cfRule>
    <cfRule type="expression" dxfId="1514" priority="1608">
      <formula>((H582-G581)/G581)&gt;0.05</formula>
    </cfRule>
  </conditionalFormatting>
  <conditionalFormatting sqref="J587">
    <cfRule type="expression" dxfId="1513" priority="1589">
      <formula>AND(I587=0,(J587&gt;0))</formula>
    </cfRule>
    <cfRule type="expression" dxfId="1512" priority="1590">
      <formula>((J587-I587)/I587)&gt;0.05</formula>
    </cfRule>
  </conditionalFormatting>
  <conditionalFormatting sqref="V1204:V1222">
    <cfRule type="expression" dxfId="1511" priority="1587">
      <formula>AND(U1204=0,(V1204&gt;0))</formula>
    </cfRule>
    <cfRule type="expression" dxfId="1510" priority="1588">
      <formula>((V1204-U1204)/U1204)&gt;0.05</formula>
    </cfRule>
  </conditionalFormatting>
  <conditionalFormatting sqref="H1584:H1602">
    <cfRule type="expression" dxfId="1509" priority="1585">
      <formula>AND(G1584=0,(H1584&gt;0))</formula>
    </cfRule>
    <cfRule type="expression" dxfId="1508" priority="1586">
      <formula>((H1584-G1584)/G1584)&gt;0.05</formula>
    </cfRule>
  </conditionalFormatting>
  <conditionalFormatting sqref="P1584:Q1602">
    <cfRule type="expression" dxfId="1507" priority="1583">
      <formula>AND(M1584=0,(P1584&gt;0))</formula>
    </cfRule>
    <cfRule type="expression" dxfId="1506" priority="1584">
      <formula>((P1584-M1584)/M1584)&gt;0.05</formula>
    </cfRule>
  </conditionalFormatting>
  <conditionalFormatting sqref="H1603:H1636">
    <cfRule type="expression" dxfId="1505" priority="1581">
      <formula>AND(G1603=0,(H1603&gt;0))</formula>
    </cfRule>
    <cfRule type="expression" dxfId="1504" priority="1582">
      <formula>((H1603-G1603)/G1603)&gt;0.05</formula>
    </cfRule>
  </conditionalFormatting>
  <conditionalFormatting sqref="P1604:P1607 P1609:P1616 P1619:P1623 P1625:P1633 P1635:P1636">
    <cfRule type="expression" dxfId="1503" priority="1579">
      <formula>AND(M1604=0,(P1604&gt;0))</formula>
    </cfRule>
    <cfRule type="expression" dxfId="1502" priority="1580">
      <formula>((P1604-M1604)/M1604)&gt;0.05</formula>
    </cfRule>
  </conditionalFormatting>
  <conditionalFormatting sqref="J1584:J1602">
    <cfRule type="expression" dxfId="1501" priority="1577">
      <formula>AND(I1584=0,(J1584&gt;0))</formula>
    </cfRule>
    <cfRule type="expression" dxfId="1500" priority="1578">
      <formula>((J1584-I1584)/I1584)&gt;0.05</formula>
    </cfRule>
  </conditionalFormatting>
  <conditionalFormatting sqref="J1603:J1636">
    <cfRule type="expression" dxfId="1499" priority="1575">
      <formula>AND(I1603=0,(J1603&gt;0))</formula>
    </cfRule>
    <cfRule type="expression" dxfId="1498" priority="1576">
      <formula>((J1603-I1603)/I1603)&gt;0.05</formula>
    </cfRule>
  </conditionalFormatting>
  <conditionalFormatting sqref="L1584:L1602">
    <cfRule type="expression" dxfId="1497" priority="1573">
      <formula>AND(K1584=0,(L1584&gt;0))</formula>
    </cfRule>
    <cfRule type="expression" dxfId="1496" priority="1574">
      <formula>((L1584-K1584)/K1584)&gt;0.05</formula>
    </cfRule>
  </conditionalFormatting>
  <conditionalFormatting sqref="L1603:L1636">
    <cfRule type="expression" dxfId="1495" priority="1571">
      <formula>AND(K1603=0,(L1603&gt;0))</formula>
    </cfRule>
    <cfRule type="expression" dxfId="1494" priority="1572">
      <formula>((L1603-K1603)/K1603)&gt;0.05</formula>
    </cfRule>
  </conditionalFormatting>
  <conditionalFormatting sqref="V1584:V1602">
    <cfRule type="expression" dxfId="1493" priority="1569">
      <formula>AND(U1584=0,(V1584&gt;0))</formula>
    </cfRule>
    <cfRule type="expression" dxfId="1492" priority="1570">
      <formula>((V1584-U1584)/U1584)&gt;0.05</formula>
    </cfRule>
  </conditionalFormatting>
  <conditionalFormatting sqref="V1603:V1636">
    <cfRule type="expression" dxfId="1491" priority="1567">
      <formula>AND(U1603=0,(V1603&gt;0))</formula>
    </cfRule>
    <cfRule type="expression" dxfId="1490" priority="1568">
      <formula>((V1603-U1603)/U1603)&gt;0.05</formula>
    </cfRule>
  </conditionalFormatting>
  <conditionalFormatting sqref="AD1584:AD1602">
    <cfRule type="expression" dxfId="1489" priority="1565">
      <formula>AND(AC1584=0,(AD1584&gt;0))</formula>
    </cfRule>
    <cfRule type="expression" dxfId="1488" priority="1566">
      <formula>((AD1584-AC1584)/AC1584)&gt;0.05</formula>
    </cfRule>
  </conditionalFormatting>
  <conditionalFormatting sqref="AD1603:AD1636">
    <cfRule type="expression" dxfId="1487" priority="1563">
      <formula>AND(AC1603=0,(AD1603&gt;0))</formula>
    </cfRule>
    <cfRule type="expression" dxfId="1486" priority="1564">
      <formula>((AD1603-AC1603)/AC1603)&gt;0.05</formula>
    </cfRule>
  </conditionalFormatting>
  <conditionalFormatting sqref="Z1584:AA1602">
    <cfRule type="expression" dxfId="1485" priority="1561">
      <formula>AND(W1584=0,(Z1584&gt;0))</formula>
    </cfRule>
    <cfRule type="expression" dxfId="1484" priority="1562">
      <formula>((Z1584-W1584)/W1584)&gt;0.05</formula>
    </cfRule>
  </conditionalFormatting>
  <conditionalFormatting sqref="Z1604:Z1607 Z1609:Z1616 Z1619:Z1623 Z1625:Z1633 Z1635:Z1636">
    <cfRule type="expression" dxfId="1483" priority="1559">
      <formula>AND(W1604=0,(Z1604&gt;0))</formula>
    </cfRule>
    <cfRule type="expression" dxfId="1482" priority="1560">
      <formula>((Z1604-W1604)/W1604)&gt;0.05</formula>
    </cfRule>
  </conditionalFormatting>
  <conditionalFormatting sqref="AG1584:AH1602">
    <cfRule type="expression" dxfId="1481" priority="1557">
      <formula>AND(AD1584=0,(AG1584&gt;0))</formula>
    </cfRule>
    <cfRule type="expression" dxfId="1480" priority="1558">
      <formula>((AG1584-AD1584)/AD1584)&gt;0.05</formula>
    </cfRule>
  </conditionalFormatting>
  <conditionalFormatting sqref="AG1604:AG1607 AG1609:AG1616 AG1619:AG1623 AG1625:AG1633 AG1635:AG1636">
    <cfRule type="expression" dxfId="1479" priority="1555">
      <formula>AND(AD1604=0,(AG1604&gt;0))</formula>
    </cfRule>
    <cfRule type="expression" dxfId="1478" priority="1556">
      <formula>((AG1604-AD1604)/AD1604)&gt;0.05</formula>
    </cfRule>
  </conditionalFormatting>
  <conditionalFormatting sqref="H3016:H3069 J3016:J3069 L3016:L3069 V3016:V3069 AD3016:AD3069">
    <cfRule type="expression" dxfId="1477" priority="1553">
      <formula>AND(G3016=0,(H3016&gt;0))</formula>
    </cfRule>
    <cfRule type="expression" dxfId="1476" priority="1554">
      <formula>((H3016-G3016)/G3016)&gt;0.05</formula>
    </cfRule>
  </conditionalFormatting>
  <conditionalFormatting sqref="P3021:Q3021 Z3016:AA3069 AG3016:AH3069 Q3016:Q3020 P3024:Q3045 Q3022:Q3023 P3047:Q3047 Q3046 P3049:Q3069 Q3048">
    <cfRule type="expression" dxfId="1475" priority="1551">
      <formula>AND(M3016=0,(P3016&gt;0))</formula>
    </cfRule>
    <cfRule type="expression" dxfId="1474" priority="1552">
      <formula>((P3016-M3016)/M3016)&gt;0.05</formula>
    </cfRule>
  </conditionalFormatting>
  <conditionalFormatting sqref="H3002:H3015">
    <cfRule type="expression" dxfId="1473" priority="1549">
      <formula>AND(G3002=0,(H3002&gt;0))</formula>
    </cfRule>
    <cfRule type="expression" dxfId="1472" priority="1550">
      <formula>((H3002-G3002)/G3002)&gt;0.05</formula>
    </cfRule>
  </conditionalFormatting>
  <conditionalFormatting sqref="P3002:Q3014 Q3015">
    <cfRule type="expression" dxfId="1471" priority="1547">
      <formula>AND(M3002=0,(P3002&gt;0))</formula>
    </cfRule>
    <cfRule type="expression" dxfId="1470" priority="1548">
      <formula>((P3002-M3002)/M3002)&gt;0.05</formula>
    </cfRule>
  </conditionalFormatting>
  <conditionalFormatting sqref="H3079:H3084">
    <cfRule type="expression" dxfId="1469" priority="1545">
      <formula>AND(G3079=0,(H3079&gt;0))</formula>
    </cfRule>
    <cfRule type="expression" dxfId="1468" priority="1546">
      <formula>((H3079-G3079)/G3079)&gt;0.05</formula>
    </cfRule>
  </conditionalFormatting>
  <conditionalFormatting sqref="P3079:Q3084">
    <cfRule type="expression" dxfId="1467" priority="1543">
      <formula>AND(M3079=0,(P3079&gt;0))</formula>
    </cfRule>
    <cfRule type="expression" dxfId="1466" priority="1544">
      <formula>((P3079-M3079)/M3079)&gt;0.05</formula>
    </cfRule>
  </conditionalFormatting>
  <conditionalFormatting sqref="H3070:H3078">
    <cfRule type="expression" dxfId="1465" priority="1541">
      <formula>AND(G3070=0,(H3070&gt;0))</formula>
    </cfRule>
    <cfRule type="expression" dxfId="1464" priority="1542">
      <formula>((H3070-G3070)/G3070)&gt;0.05</formula>
    </cfRule>
  </conditionalFormatting>
  <conditionalFormatting sqref="P3070:Q3078">
    <cfRule type="expression" dxfId="1463" priority="1539">
      <formula>AND(M3070=0,(P3070&gt;0))</formula>
    </cfRule>
    <cfRule type="expression" dxfId="1462" priority="1540">
      <formula>((P3070-M3070)/M3070)&gt;0.05</formula>
    </cfRule>
  </conditionalFormatting>
  <conditionalFormatting sqref="H3085:H3107">
    <cfRule type="expression" dxfId="1461" priority="1537">
      <formula>AND(G3085=0,(H3085&gt;0))</formula>
    </cfRule>
    <cfRule type="expression" dxfId="1460" priority="1538">
      <formula>((H3085-G3085)/G3085)&gt;0.05</formula>
    </cfRule>
  </conditionalFormatting>
  <conditionalFormatting sqref="P3085:Q3107">
    <cfRule type="expression" dxfId="1459" priority="1535">
      <formula>AND(M3085=0,(P3085&gt;0))</formula>
    </cfRule>
    <cfRule type="expression" dxfId="1458" priority="1536">
      <formula>((P3085-M3085)/M3085)&gt;0.05</formula>
    </cfRule>
  </conditionalFormatting>
  <conditionalFormatting sqref="J3002:J3015">
    <cfRule type="expression" dxfId="1457" priority="1533">
      <formula>AND(I3002=0,(J3002&gt;0))</formula>
    </cfRule>
    <cfRule type="expression" dxfId="1456" priority="1534">
      <formula>((J3002-I3002)/I3002)&gt;0.05</formula>
    </cfRule>
  </conditionalFormatting>
  <conditionalFormatting sqref="J3079:J3084">
    <cfRule type="expression" dxfId="1455" priority="1531">
      <formula>AND(I3079=0,(J3079&gt;0))</formula>
    </cfRule>
    <cfRule type="expression" dxfId="1454" priority="1532">
      <formula>((J3079-I3079)/I3079)&gt;0.05</formula>
    </cfRule>
  </conditionalFormatting>
  <conditionalFormatting sqref="J3070:J3078">
    <cfRule type="expression" dxfId="1453" priority="1529">
      <formula>AND(I3070=0,(J3070&gt;0))</formula>
    </cfRule>
    <cfRule type="expression" dxfId="1452" priority="1530">
      <formula>((J3070-I3070)/I3070)&gt;0.05</formula>
    </cfRule>
  </conditionalFormatting>
  <conditionalFormatting sqref="J3085:J3107">
    <cfRule type="expression" dxfId="1451" priority="1527">
      <formula>AND(I3085=0,(J3085&gt;0))</formula>
    </cfRule>
    <cfRule type="expression" dxfId="1450" priority="1528">
      <formula>((J3085-I3085)/I3085)&gt;0.05</formula>
    </cfRule>
  </conditionalFormatting>
  <conditionalFormatting sqref="L3002:L3015">
    <cfRule type="expression" dxfId="1449" priority="1525">
      <formula>AND(K3002=0,(L3002&gt;0))</formula>
    </cfRule>
    <cfRule type="expression" dxfId="1448" priority="1526">
      <formula>((L3002-K3002)/K3002)&gt;0.05</formula>
    </cfRule>
  </conditionalFormatting>
  <conditionalFormatting sqref="L3079:L3084">
    <cfRule type="expression" dxfId="1447" priority="1523">
      <formula>AND(K3079=0,(L3079&gt;0))</formula>
    </cfRule>
    <cfRule type="expression" dxfId="1446" priority="1524">
      <formula>((L3079-K3079)/K3079)&gt;0.05</formula>
    </cfRule>
  </conditionalFormatting>
  <conditionalFormatting sqref="L3070:L3078">
    <cfRule type="expression" dxfId="1445" priority="1521">
      <formula>AND(K3070=0,(L3070&gt;0))</formula>
    </cfRule>
    <cfRule type="expression" dxfId="1444" priority="1522">
      <formula>((L3070-K3070)/K3070)&gt;0.05</formula>
    </cfRule>
  </conditionalFormatting>
  <conditionalFormatting sqref="L3085:L3107">
    <cfRule type="expression" dxfId="1443" priority="1519">
      <formula>AND(K3085=0,(L3085&gt;0))</formula>
    </cfRule>
    <cfRule type="expression" dxfId="1442" priority="1520">
      <formula>((L3085-K3085)/K3085)&gt;0.05</formula>
    </cfRule>
  </conditionalFormatting>
  <conditionalFormatting sqref="V3002:V3015">
    <cfRule type="expression" dxfId="1441" priority="1517">
      <formula>AND(U3002=0,(V3002&gt;0))</formula>
    </cfRule>
    <cfRule type="expression" dxfId="1440" priority="1518">
      <formula>((V3002-U3002)/U3002)&gt;0.05</formula>
    </cfRule>
  </conditionalFormatting>
  <conditionalFormatting sqref="V3079:V3084">
    <cfRule type="expression" dxfId="1439" priority="1515">
      <formula>AND(U3079=0,(V3079&gt;0))</formula>
    </cfRule>
    <cfRule type="expression" dxfId="1438" priority="1516">
      <formula>((V3079-U3079)/U3079)&gt;0.05</formula>
    </cfRule>
  </conditionalFormatting>
  <conditionalFormatting sqref="V3070:V3078">
    <cfRule type="expression" dxfId="1437" priority="1513">
      <formula>AND(U3070=0,(V3070&gt;0))</formula>
    </cfRule>
    <cfRule type="expression" dxfId="1436" priority="1514">
      <formula>((V3070-U3070)/U3070)&gt;0.05</formula>
    </cfRule>
  </conditionalFormatting>
  <conditionalFormatting sqref="V3085:V3107">
    <cfRule type="expression" dxfId="1435" priority="1511">
      <formula>AND(U3085=0,(V3085&gt;0))</formula>
    </cfRule>
    <cfRule type="expression" dxfId="1434" priority="1512">
      <formula>((V3085-U3085)/U3085)&gt;0.05</formula>
    </cfRule>
  </conditionalFormatting>
  <conditionalFormatting sqref="AD3002:AD3015">
    <cfRule type="expression" dxfId="1433" priority="1509">
      <formula>AND(AC3002=0,(AD3002&gt;0))</formula>
    </cfRule>
    <cfRule type="expression" dxfId="1432" priority="1510">
      <formula>((AD3002-AC3002)/AC3002)&gt;0.05</formula>
    </cfRule>
  </conditionalFormatting>
  <conditionalFormatting sqref="AD3079:AD3084">
    <cfRule type="expression" dxfId="1431" priority="1507">
      <formula>AND(AC3079=0,(AD3079&gt;0))</formula>
    </cfRule>
    <cfRule type="expression" dxfId="1430" priority="1508">
      <formula>((AD3079-AC3079)/AC3079)&gt;0.05</formula>
    </cfRule>
  </conditionalFormatting>
  <conditionalFormatting sqref="AD3070:AD3078">
    <cfRule type="expression" dxfId="1429" priority="1505">
      <formula>AND(AC3070=0,(AD3070&gt;0))</formula>
    </cfRule>
    <cfRule type="expression" dxfId="1428" priority="1506">
      <formula>((AD3070-AC3070)/AC3070)&gt;0.05</formula>
    </cfRule>
  </conditionalFormatting>
  <conditionalFormatting sqref="AD3085:AD3107">
    <cfRule type="expression" dxfId="1427" priority="1503">
      <formula>AND(AC3085=0,(AD3085&gt;0))</formula>
    </cfRule>
    <cfRule type="expression" dxfId="1426" priority="1504">
      <formula>((AD3085-AC3085)/AC3085)&gt;0.05</formula>
    </cfRule>
  </conditionalFormatting>
  <conditionalFormatting sqref="Z3002:AA3015">
    <cfRule type="expression" dxfId="1425" priority="1501">
      <formula>AND(W3002=0,(Z3002&gt;0))</formula>
    </cfRule>
    <cfRule type="expression" dxfId="1424" priority="1502">
      <formula>((Z3002-W3002)/W3002)&gt;0.05</formula>
    </cfRule>
  </conditionalFormatting>
  <conditionalFormatting sqref="Z3079:AA3084">
    <cfRule type="expression" dxfId="1423" priority="1499">
      <formula>AND(W3079=0,(Z3079&gt;0))</formula>
    </cfRule>
    <cfRule type="expression" dxfId="1422" priority="1500">
      <formula>((Z3079-W3079)/W3079)&gt;0.05</formula>
    </cfRule>
  </conditionalFormatting>
  <conditionalFormatting sqref="Z3070:AA3078">
    <cfRule type="expression" dxfId="1421" priority="1497">
      <formula>AND(W3070=0,(Z3070&gt;0))</formula>
    </cfRule>
    <cfRule type="expression" dxfId="1420" priority="1498">
      <formula>((Z3070-W3070)/W3070)&gt;0.05</formula>
    </cfRule>
  </conditionalFormatting>
  <conditionalFormatting sqref="Z3085:AA3107">
    <cfRule type="expression" dxfId="1419" priority="1495">
      <formula>AND(W3085=0,(Z3085&gt;0))</formula>
    </cfRule>
    <cfRule type="expression" dxfId="1418" priority="1496">
      <formula>((Z3085-W3085)/W3085)&gt;0.05</formula>
    </cfRule>
  </conditionalFormatting>
  <conditionalFormatting sqref="AG3002:AH3015">
    <cfRule type="expression" dxfId="1417" priority="1493">
      <formula>AND(AD3002=0,(AG3002&gt;0))</formula>
    </cfRule>
    <cfRule type="expression" dxfId="1416" priority="1494">
      <formula>((AG3002-AD3002)/AD3002)&gt;0.05</formula>
    </cfRule>
  </conditionalFormatting>
  <conditionalFormatting sqref="AG3079:AH3084">
    <cfRule type="expression" dxfId="1415" priority="1491">
      <formula>AND(AD3079=0,(AG3079&gt;0))</formula>
    </cfRule>
    <cfRule type="expression" dxfId="1414" priority="1492">
      <formula>((AG3079-AD3079)/AD3079)&gt;0.05</formula>
    </cfRule>
  </conditionalFormatting>
  <conditionalFormatting sqref="AG3070:AH3078">
    <cfRule type="expression" dxfId="1413" priority="1489">
      <formula>AND(AD3070=0,(AG3070&gt;0))</formula>
    </cfRule>
    <cfRule type="expression" dxfId="1412" priority="1490">
      <formula>((AG3070-AD3070)/AD3070)&gt;0.05</formula>
    </cfRule>
  </conditionalFormatting>
  <conditionalFormatting sqref="AG3085:AH3107">
    <cfRule type="expression" dxfId="1411" priority="1487">
      <formula>AND(AD3085=0,(AG3085&gt;0))</formula>
    </cfRule>
    <cfRule type="expression" dxfId="1410" priority="1488">
      <formula>((AG3085-AD3085)/AD3085)&gt;0.05</formula>
    </cfRule>
  </conditionalFormatting>
  <conditionalFormatting sqref="P3015:P3020">
    <cfRule type="expression" dxfId="1409" priority="1485">
      <formula>AND(M3015=0,(P3015&gt;0))</formula>
    </cfRule>
    <cfRule type="expression" dxfId="1408" priority="1486">
      <formula>((P3015-M3015)/M3015)&gt;0.05</formula>
    </cfRule>
  </conditionalFormatting>
  <conditionalFormatting sqref="P3022:P3023">
    <cfRule type="expression" dxfId="1407" priority="1483">
      <formula>AND(M3022=0,(P3022&gt;0))</formula>
    </cfRule>
    <cfRule type="expression" dxfId="1406" priority="1484">
      <formula>((P3022-M3022)/M3022)&gt;0.05</formula>
    </cfRule>
  </conditionalFormatting>
  <conditionalFormatting sqref="P3046">
    <cfRule type="expression" dxfId="1405" priority="1481">
      <formula>AND(M3046=0,(P3046&gt;0))</formula>
    </cfRule>
    <cfRule type="expression" dxfId="1404" priority="1482">
      <formula>((P3046-M3046)/M3046)&gt;0.05</formula>
    </cfRule>
  </conditionalFormatting>
  <conditionalFormatting sqref="P3048">
    <cfRule type="expression" dxfId="1403" priority="1479">
      <formula>AND(M3048=0,(P3048&gt;0))</formula>
    </cfRule>
    <cfRule type="expression" dxfId="1402" priority="1480">
      <formula>((P3048-M3048)/M3048)&gt;0.05</formula>
    </cfRule>
  </conditionalFormatting>
  <conditionalFormatting sqref="H2157:H2213">
    <cfRule type="expression" dxfId="1401" priority="1477">
      <formula>AND(G2157=0,(H2157&gt;0))</formula>
    </cfRule>
    <cfRule type="expression" dxfId="1400" priority="1478">
      <formula>((H2157-G2157)/G2157)&gt;0.05</formula>
    </cfRule>
  </conditionalFormatting>
  <conditionalFormatting sqref="P2157:Q2213">
    <cfRule type="expression" dxfId="1399" priority="1475">
      <formula>AND(M2157=0,(P2157&gt;0))</formula>
    </cfRule>
    <cfRule type="expression" dxfId="1398" priority="1476">
      <formula>((P2157-M2157)/M2157)&gt;0.05</formula>
    </cfRule>
  </conditionalFormatting>
  <conditionalFormatting sqref="J2157:J2213">
    <cfRule type="expression" dxfId="1397" priority="1473">
      <formula>AND(I2157=0,(J2157&gt;0))</formula>
    </cfRule>
    <cfRule type="expression" dxfId="1396" priority="1474">
      <formula>((J2157-I2157)/I2157)&gt;0.05</formula>
    </cfRule>
  </conditionalFormatting>
  <conditionalFormatting sqref="L2157:L2213">
    <cfRule type="expression" dxfId="1395" priority="1471">
      <formula>AND(K2157=0,(L2157&gt;0))</formula>
    </cfRule>
    <cfRule type="expression" dxfId="1394" priority="1472">
      <formula>((L2157-K2157)/K2157)&gt;0.05</formula>
    </cfRule>
  </conditionalFormatting>
  <conditionalFormatting sqref="V2157:V2213">
    <cfRule type="expression" dxfId="1393" priority="1469">
      <formula>AND(U2157=0,(V2157&gt;0))</formula>
    </cfRule>
    <cfRule type="expression" dxfId="1392" priority="1470">
      <formula>((V2157-U2157)/U2157)&gt;0.05</formula>
    </cfRule>
  </conditionalFormatting>
  <conditionalFormatting sqref="AD2157:AD2213">
    <cfRule type="expression" dxfId="1391" priority="1467">
      <formula>AND(AC2157=0,(AD2157&gt;0))</formula>
    </cfRule>
    <cfRule type="expression" dxfId="1390" priority="1468">
      <formula>((AD2157-AC2157)/AC2157)&gt;0.05</formula>
    </cfRule>
  </conditionalFormatting>
  <conditionalFormatting sqref="Z2157:AA2213">
    <cfRule type="expression" dxfId="1389" priority="1465">
      <formula>AND(W2157=0,(Z2157&gt;0))</formula>
    </cfRule>
    <cfRule type="expression" dxfId="1388" priority="1466">
      <formula>((Z2157-W2157)/W2157)&gt;0.05</formula>
    </cfRule>
  </conditionalFormatting>
  <conditionalFormatting sqref="AG2157:AH2213">
    <cfRule type="expression" dxfId="1387" priority="1463">
      <formula>AND(AD2157=0,(AG2157&gt;0))</formula>
    </cfRule>
    <cfRule type="expression" dxfId="1386" priority="1464">
      <formula>((AG2157-AD2157)/AD2157)&gt;0.05</formula>
    </cfRule>
  </conditionalFormatting>
  <conditionalFormatting sqref="H2503:H2506 H2516:H2519 J2268:J2269 H2649 J2649 L2649 V2649 AD2649 H2657:H2685 J2657:J2685 L2657:L2685 V2657:V2685 AD2657:AD2685 J2228:J2252 L2228:L2254 V2228:V2254 AD2228:AD2254 H2228:H2254 H2271:H2272 AD2271:AD2272 V2271:V2272 L2271:L2272 J2271:J2272 J2274:J2278 L2274:L2278 V2274:V2278 AD2274:AD2278 H2274:H2278 H2298:H2299 J2298:J2299 L2298:L2299 V2298:V2299 AD2298:AD2299 AD2301:AD2305 V2301:V2305 L2301:L2305 J2301:J2305 H2301:H2305 H2307:H2309 L2307:L2309 V2307:V2309 AD2307:AD2309 J2307:J2309 J2262:J2263 H2256:H2269 AD2256:AD2269 V2256:V2269 L2256:L2269 J2311:J2314 AD2311:AD2314 V2311:V2314 L2311:L2314 H2311:H2314 H2317:H2321 L2317:L2321 V2317:V2321 AD2317:AD2321 J2317:J2321 H2324:H2331 L2324:L2331 V2324:V2331 AD2324:AD2331 J2324:J2331 J2347:J2348 AD2347:AD2348 V2347:V2348 L2347:L2348 H2347:H2348 H2352:H2363 L2352:L2363 V2352:V2363 AD2352:AD2363 J2352:J2363 H2366:H2372 L2366:L2372 V2366:V2372 AD2366:AD2372 J2366:J2372 H2379:H2384 L2379:L2384 V2379:V2384 AD2379:AD2384 H2391:H2397 L2391:L2393 V2391:V2393 AD2391:AD2393 H2334:H2345 L2334:L2345 V2334:V2345 AD2334:AD2345 J2334:J2345 H2612:H2616 L2612:L2616 V2612:V2616 AD2612:AD2616 H2622:H2624 L2622:L2624 V2622:V2624 AD2622:AD2624 AD2687:AD2695 V2687:V2695 L2687:L2695 J2687:J2695 H2687:H2695 J2419 J2421:J2422 H2448 H2511:H2512 H2524 AD2626:AD2628 V2626:V2628 L2626:L2628 H2626:H2628 H2431 J2431 L2431 V2431 AD2431 H2418 L2418 V2418 AD2418 H2401:H2407 L2401:L2407 V2401:V2407 AD2401:AD2407 L2434 H2445:H2446 V2445 AD2445 H2454:H2456 J2456 L2456 V2456 AD2456 H2469 J2469 L2469 V2469 AD2469 H2482 J2482 L2482 V2482 AD2482 H2495 J2495 L2495 V2495 AD2495 H2508:H2509 L2508 V2508 AD2508 H2521:H2522 J2521 L2521 V2521 AD2521 H2535:H2536 J2535:J2536 L2535:L2536 V2535:V2536 AD2535:AD2536 H2546 J2546 L2546 V2546 AD2546 H2549:H2550 L2557 V2557 AD2557 H2567 J2567 L2567 V2567 AD2567 H2630:H2636 J2633:J2634 L2630:L2636 V2630:V2636 AD2630:AD2636 AD2280:AD2296 V2280:V2296 L2280:L2296 H2280:H2296 J2280:J2296 J2580:J2586 H2580:H2606 J2589:J2590 L2580:L2606 V2580:V2606 AD2580:AD2606 H2697:H2752 J2697:J2752 L2697:L2752 V2697:V2752 AD2697:AD2752">
    <cfRule type="expression" dxfId="1385" priority="1379">
      <formula>AND(G2228=0,(H2228&gt;0))</formula>
    </cfRule>
    <cfRule type="expression" dxfId="1384" priority="1380">
      <formula>((H2228-G2228)/G2228)&gt;0.05</formula>
    </cfRule>
  </conditionalFormatting>
  <conditionalFormatting sqref="P2503:Q2506 P2516:Q2519 AG2649:AH2649 P2649:Q2649 Z2649:AA2649 P2657:Q2685 Z2657:AA2685 AG2657:AH2685 P2228:Q2254 Z2228:AA2254 AG2228:AH2254 AG2271:AH2272 Z2271:AA2272 P2271:Q2272 P2274:Q2278 Z2274:AA2278 AG2274:AH2278 P2298:Q2299 Z2298:AA2299 AG2298:AH2299 AG2301:AH2305 Z2301:AA2305 P2301:Q2305 P2307:Q2309 Z2307:AA2309 AG2307:AH2309 AG2256:AH2269 Z2256:AA2269 P2256:Q2269 AG2311:AH2314 Z2311:AA2314 P2311:Q2314 P2317:Q2321 Z2317:AA2321 AG2317:AH2321 P2324:Q2331 Z2324:AA2331 AG2324:AH2331 AG2347:AH2348 Z2347:AA2348 P2347:Q2348 P2352:Q2363 Z2352:AA2363 AG2352:AH2363 P2366:Q2372 Z2366:AA2372 AG2366:AH2372 P2379:Q2384 Z2379:AA2384 AG2379:AH2384 P2391:Q2397 Z2391:AA2393 AG2391:AH2393 P2334:Q2345 Z2334:AA2345 AG2334:AH2345 P2612:Q2616 Z2612:AA2616 AG2612:AH2616 P2622:Q2624 Z2622:AA2624 AG2622:AH2624 AG2687:AH2695 Z2687:AA2695 P2687:Q2695 P2448:Q2448 P2511:Q2512 P2524:Q2524 AG2626:AH2628 Z2626:AA2628 P2626:Q2628 P2431:Q2431 Z2431:AA2431 AG2431:AH2431 P2418:Q2418 Z2418:AA2418 AG2418:AH2418 P2401:Q2407 Z2401:AA2407 AG2401:AH2407 AG2445:AH2445 P2445:Q2446 Z2445:AA2445 AG2456:AH2456 P2454:Q2456 Z2456:AA2456 AG2469:AH2469 P2469:Q2469 Z2469:AA2469 AG2482:AH2482 P2482:Q2482 Z2482:AA2482 AG2495:AH2495 P2495:Q2495 Z2495:AA2495 AG2508:AH2508 P2508:Q2509 Z2508:AA2508 AG2521:AH2521 P2521:Q2522 Z2521:AA2521 P2535:Q2536 Z2535:AA2536 AG2535:AH2536 AG2546:AH2546 P2546:Q2546 Z2546:AA2546 J2551 J2553:J2557 AG2557:AH2557 P2557:Q2557 Z2557:AA2557 AG2567:AH2567 P2567:Q2567 Z2567:AA2567 AG2630:AH2636 P2630:Q2636 Z2630:AA2636 AG2280:AH2296 Z2280:AA2296 P2280:Q2296 P2580:Q2606 Z2580:AA2606 AG2580:AH2606 P2697:Q2752 Z2697:AA2752 AG2697:AH2752">
    <cfRule type="expression" dxfId="1383" priority="1377">
      <formula>AND(G2228=0,(J2228&gt;0))</formula>
    </cfRule>
    <cfRule type="expression" dxfId="1382" priority="1378">
      <formula>((J2228-G2228)/G2228)&gt;0.05</formula>
    </cfRule>
  </conditionalFormatting>
  <conditionalFormatting sqref="J2572 J2574:J2575">
    <cfRule type="expression" dxfId="1381" priority="1255">
      <formula>AND(I2572=0,(J2572&gt;0))</formula>
    </cfRule>
    <cfRule type="expression" dxfId="1380" priority="1256">
      <formula>((J2572-I2572)/I2572)&gt;0.05</formula>
    </cfRule>
  </conditionalFormatting>
  <conditionalFormatting sqref="V2436 V2438">
    <cfRule type="expression" dxfId="1379" priority="1175">
      <formula>AND(U2436=0,(V2436&gt;0))</formula>
    </cfRule>
    <cfRule type="expression" dxfId="1378" priority="1176">
      <formula>((V2436-U2436)/U2436)&gt;0.05</formula>
    </cfRule>
  </conditionalFormatting>
  <conditionalFormatting sqref="H2492:H2493 H2415:H2417 H2426:H2429 H2439:H2442 H2564:H2566 H2526 H2531:H2533 H2576:H2579 H2464:H2467 H2543:H2545 H2457 H2650:H2655 H2638:H2645 H2419 H2432 H2421:H2422 H2434:H2435 H2459:H2460 H2472:H2474 H2485 H2498:H2499 H2538:H2539 H2560:H2561 H2570:H2571 H2476:H2481 H2444 H2470 H2483 H2496 H2547 H2558 H2568">
    <cfRule type="expression" dxfId="1377" priority="1375">
      <formula>AND(G2415=0,(H2415&gt;0))</formula>
    </cfRule>
    <cfRule type="expression" dxfId="1376" priority="1376">
      <formula>((H2415-G2415)/G2415)&gt;0.05</formula>
    </cfRule>
  </conditionalFormatting>
  <conditionalFormatting sqref="P2492:Q2493 P2415:Q2417 P2426:Q2429 P2439:Q2442 P2564:Q2566 P2526:Q2526 P2531:Q2533 P2576:Q2579 P2464:Q2467 P2543:Q2545 P2457:Q2457 P2650:Q2655 P2638:Q2645 P2419:Q2422 P2432:Q2432 P2434:Q2435 P2459:Q2460 P2472:Q2474 P2485:Q2485 P2498:Q2499 P2538:Q2539 P2549:Q2551 P2560:Q2561 P2570:Q2571 P2476:Q2481 P2553:Q2556 P2444:Q2444 P2470:Q2470 P2483:Q2483 P2496:Q2496 P2547:Q2547 P2558:Q2558 P2568:Q2568">
    <cfRule type="expression" dxfId="1375" priority="1373">
      <formula>AND(M2415=0,(P2415&gt;0))</formula>
    </cfRule>
    <cfRule type="expression" dxfId="1374" priority="1374">
      <formula>((P2415-M2415)/M2415)&gt;0.05</formula>
    </cfRule>
  </conditionalFormatting>
  <conditionalFormatting sqref="H2214:H2224 H2408:H2411">
    <cfRule type="expression" dxfId="1373" priority="1371">
      <formula>AND(G2214=0,(H2214&gt;0))</formula>
    </cfRule>
    <cfRule type="expression" dxfId="1372" priority="1372">
      <formula>((H2214-G2214)/G2214)&gt;0.05</formula>
    </cfRule>
  </conditionalFormatting>
  <conditionalFormatting sqref="P2214:Q2224 P2408:Q2411">
    <cfRule type="expression" dxfId="1371" priority="1369">
      <formula>AND(M2214=0,(P2214&gt;0))</formula>
    </cfRule>
    <cfRule type="expression" dxfId="1370" priority="1370">
      <formula>((P2214-M2214)/M2214)&gt;0.05</formula>
    </cfRule>
  </conditionalFormatting>
  <conditionalFormatting sqref="H2373:H2378">
    <cfRule type="expression" dxfId="1369" priority="1367">
      <formula>AND(G2373=0,(H2373&gt;0))</formula>
    </cfRule>
    <cfRule type="expression" dxfId="1368" priority="1368">
      <formula>((H2373-G2373)/G2373)&gt;0.05</formula>
    </cfRule>
  </conditionalFormatting>
  <conditionalFormatting sqref="P2373:Q2378">
    <cfRule type="expression" dxfId="1367" priority="1365">
      <formula>AND(M2373=0,(P2373&gt;0))</formula>
    </cfRule>
    <cfRule type="expression" dxfId="1366" priority="1366">
      <formula>((P2373-M2373)/M2373)&gt;0.05</formula>
    </cfRule>
  </conditionalFormatting>
  <conditionalFormatting sqref="H2385 H2388:H2390">
    <cfRule type="expression" dxfId="1365" priority="1363">
      <formula>AND(G2385=0,(H2385&gt;0))</formula>
    </cfRule>
    <cfRule type="expression" dxfId="1364" priority="1364">
      <formula>((H2385-G2385)/G2385)&gt;0.05</formula>
    </cfRule>
  </conditionalFormatting>
  <conditionalFormatting sqref="P2385:Q2385 P2388:Q2390">
    <cfRule type="expression" dxfId="1363" priority="1361">
      <formula>AND(M2385=0,(P2385&gt;0))</formula>
    </cfRule>
    <cfRule type="expression" dxfId="1362" priority="1362">
      <formula>((P2385-M2385)/M2385)&gt;0.05</formula>
    </cfRule>
  </conditionalFormatting>
  <conditionalFormatting sqref="H2486:H2487 H2489:H2491">
    <cfRule type="expression" dxfId="1361" priority="1359">
      <formula>AND(G2486=0,(H2486&gt;0))</formula>
    </cfRule>
    <cfRule type="expression" dxfId="1360" priority="1360">
      <formula>((H2486-G2486)/G2486)&gt;0.05</formula>
    </cfRule>
  </conditionalFormatting>
  <conditionalFormatting sqref="P2486:Q2487 P2489:Q2491">
    <cfRule type="expression" dxfId="1359" priority="1357">
      <formula>AND(M2486=0,(P2486&gt;0))</formula>
    </cfRule>
    <cfRule type="expression" dxfId="1358" priority="1358">
      <formula>((P2486-M2486)/M2486)&gt;0.05</formula>
    </cfRule>
  </conditionalFormatting>
  <conditionalFormatting sqref="H2449 H2453">
    <cfRule type="expression" dxfId="1357" priority="1355">
      <formula>AND(G2449=0,(H2449&gt;0))</formula>
    </cfRule>
    <cfRule type="expression" dxfId="1356" priority="1356">
      <formula>((H2449-G2449)/G2449)&gt;0.05</formula>
    </cfRule>
  </conditionalFormatting>
  <conditionalFormatting sqref="P2449:Q2449 P2453:Q2453">
    <cfRule type="expression" dxfId="1355" priority="1353">
      <formula>AND(M2449=0,(P2449&gt;0))</formula>
    </cfRule>
    <cfRule type="expression" dxfId="1354" priority="1354">
      <formula>((P2449-M2449)/M2449)&gt;0.05</formula>
    </cfRule>
  </conditionalFormatting>
  <conditionalFormatting sqref="H2525 H2528:H2530">
    <cfRule type="expression" dxfId="1353" priority="1351">
      <formula>AND(G2525=0,(H2525&gt;0))</formula>
    </cfRule>
    <cfRule type="expression" dxfId="1352" priority="1352">
      <formula>((H2525-G2525)/G2525)&gt;0.05</formula>
    </cfRule>
  </conditionalFormatting>
  <conditionalFormatting sqref="P2525:Q2525 P2528:Q2530">
    <cfRule type="expression" dxfId="1351" priority="1349">
      <formula>AND(M2525=0,(P2525&gt;0))</formula>
    </cfRule>
    <cfRule type="expression" dxfId="1350" priority="1350">
      <formula>((P2525-M2525)/M2525)&gt;0.05</formula>
    </cfRule>
  </conditionalFormatting>
  <conditionalFormatting sqref="H2607:H2611">
    <cfRule type="expression" dxfId="1349" priority="1347">
      <formula>AND(G2607=0,(H2607&gt;0))</formula>
    </cfRule>
    <cfRule type="expression" dxfId="1348" priority="1348">
      <formula>((H2607-G2607)/G2607)&gt;0.05</formula>
    </cfRule>
  </conditionalFormatting>
  <conditionalFormatting sqref="P2607:Q2611">
    <cfRule type="expression" dxfId="1347" priority="1345">
      <formula>AND(M2607=0,(P2607&gt;0))</formula>
    </cfRule>
    <cfRule type="expression" dxfId="1346" priority="1346">
      <formula>((P2607-M2607)/M2607)&gt;0.05</formula>
    </cfRule>
  </conditionalFormatting>
  <conditionalFormatting sqref="H2617:H2621">
    <cfRule type="expression" dxfId="1345" priority="1343">
      <formula>AND(G2617=0,(H2617&gt;0))</formula>
    </cfRule>
    <cfRule type="expression" dxfId="1344" priority="1344">
      <formula>((H2617-G2617)/G2617)&gt;0.05</formula>
    </cfRule>
  </conditionalFormatting>
  <conditionalFormatting sqref="P2617:Q2621">
    <cfRule type="expression" dxfId="1343" priority="1341">
      <formula>AND(M2617=0,(P2617&gt;0))</formula>
    </cfRule>
    <cfRule type="expression" dxfId="1342" priority="1342">
      <formula>((P2617-M2617)/M2617)&gt;0.05</formula>
    </cfRule>
  </conditionalFormatting>
  <conditionalFormatting sqref="H2225:H2227">
    <cfRule type="expression" dxfId="1341" priority="1339">
      <formula>AND(G2225=0,(H2225&gt;0))</formula>
    </cfRule>
    <cfRule type="expression" dxfId="1340" priority="1340">
      <formula>((H2225-G2225)/G2225)&gt;0.05</formula>
    </cfRule>
  </conditionalFormatting>
  <conditionalFormatting sqref="P2225:Q2227">
    <cfRule type="expression" dxfId="1339" priority="1337">
      <formula>AND(M2225=0,(P2225&gt;0))</formula>
    </cfRule>
    <cfRule type="expression" dxfId="1338" priority="1338">
      <formula>((P2225-M2225)/M2225)&gt;0.05</formula>
    </cfRule>
  </conditionalFormatting>
  <conditionalFormatting sqref="H2500 H2502">
    <cfRule type="expression" dxfId="1337" priority="1335">
      <formula>AND(G2500=0,(H2500&gt;0))</formula>
    </cfRule>
    <cfRule type="expression" dxfId="1336" priority="1336">
      <formula>((H2500-G2500)/G2500)&gt;0.05</formula>
    </cfRule>
  </conditionalFormatting>
  <conditionalFormatting sqref="P2500:Q2500 P2502:Q2502">
    <cfRule type="expression" dxfId="1335" priority="1333">
      <formula>AND(M2500=0,(P2500&gt;0))</formula>
    </cfRule>
    <cfRule type="expression" dxfId="1334" priority="1334">
      <formula>((P2500-M2500)/M2500)&gt;0.05</formula>
    </cfRule>
  </conditionalFormatting>
  <conditionalFormatting sqref="H2398:H2400">
    <cfRule type="expression" dxfId="1333" priority="1331">
      <formula>AND(G2398=0,(H2398&gt;0))</formula>
    </cfRule>
    <cfRule type="expression" dxfId="1332" priority="1332">
      <formula>((H2398-G2398)/G2398)&gt;0.05</formula>
    </cfRule>
  </conditionalFormatting>
  <conditionalFormatting sqref="P2398:Q2400">
    <cfRule type="expression" dxfId="1331" priority="1329">
      <formula>AND(M2398=0,(P2398&gt;0))</formula>
    </cfRule>
    <cfRule type="expression" dxfId="1330" priority="1330">
      <formula>((P2398-M2398)/M2398)&gt;0.05</formula>
    </cfRule>
  </conditionalFormatting>
  <conditionalFormatting sqref="H2412 H2414">
    <cfRule type="expression" dxfId="1329" priority="1327">
      <formula>AND(G2412=0,(H2412&gt;0))</formula>
    </cfRule>
    <cfRule type="expression" dxfId="1328" priority="1328">
      <formula>((H2412-G2412)/G2412)&gt;0.05</formula>
    </cfRule>
  </conditionalFormatting>
  <conditionalFormatting sqref="P2412:Q2412 P2414:Q2414">
    <cfRule type="expression" dxfId="1327" priority="1325">
      <formula>AND(M2412=0,(P2412&gt;0))</formula>
    </cfRule>
    <cfRule type="expression" dxfId="1326" priority="1326">
      <formula>((P2412-M2412)/M2412)&gt;0.05</formula>
    </cfRule>
  </conditionalFormatting>
  <conditionalFormatting sqref="H2423 H2425">
    <cfRule type="expression" dxfId="1325" priority="1323">
      <formula>AND(G2423=0,(H2423&gt;0))</formula>
    </cfRule>
    <cfRule type="expression" dxfId="1324" priority="1324">
      <formula>((H2423-G2423)/G2423)&gt;0.05</formula>
    </cfRule>
  </conditionalFormatting>
  <conditionalFormatting sqref="P2423:Q2423 P2425:Q2425">
    <cfRule type="expression" dxfId="1323" priority="1321">
      <formula>AND(M2423=0,(P2423&gt;0))</formula>
    </cfRule>
    <cfRule type="expression" dxfId="1322" priority="1322">
      <formula>((P2423-M2423)/M2423)&gt;0.05</formula>
    </cfRule>
  </conditionalFormatting>
  <conditionalFormatting sqref="H2436 H2438">
    <cfRule type="expression" dxfId="1321" priority="1319">
      <formula>AND(G2436=0,(H2436&gt;0))</formula>
    </cfRule>
    <cfRule type="expression" dxfId="1320" priority="1320">
      <formula>((H2436-G2436)/G2436)&gt;0.05</formula>
    </cfRule>
  </conditionalFormatting>
  <conditionalFormatting sqref="P2436:Q2436 P2438:Q2438">
    <cfRule type="expression" dxfId="1319" priority="1317">
      <formula>AND(M2436=0,(P2436&gt;0))</formula>
    </cfRule>
    <cfRule type="expression" dxfId="1318" priority="1318">
      <formula>((P2436-M2436)/M2436)&gt;0.05</formula>
    </cfRule>
  </conditionalFormatting>
  <conditionalFormatting sqref="H2562">
    <cfRule type="expression" dxfId="1317" priority="1315">
      <formula>AND(G2562=0,(H2562&gt;0))</formula>
    </cfRule>
    <cfRule type="expression" dxfId="1316" priority="1316">
      <formula>((H2562-G2562)/G2562)&gt;0.05</formula>
    </cfRule>
  </conditionalFormatting>
  <conditionalFormatting sqref="P2562:Q2562">
    <cfRule type="expression" dxfId="1315" priority="1313">
      <formula>AND(M2562=0,(P2562&gt;0))</formula>
    </cfRule>
    <cfRule type="expression" dxfId="1314" priority="1314">
      <formula>((P2562-M2562)/M2562)&gt;0.05</formula>
    </cfRule>
  </conditionalFormatting>
  <conditionalFormatting sqref="H2513 H2515">
    <cfRule type="expression" dxfId="1313" priority="1311">
      <formula>AND(G2513=0,(H2513&gt;0))</formula>
    </cfRule>
    <cfRule type="expression" dxfId="1312" priority="1312">
      <formula>((H2513-G2513)/G2513)&gt;0.05</formula>
    </cfRule>
  </conditionalFormatting>
  <conditionalFormatting sqref="P2513:Q2513 P2515:Q2515">
    <cfRule type="expression" dxfId="1311" priority="1309">
      <formula>AND(M2513=0,(P2513&gt;0))</formula>
    </cfRule>
    <cfRule type="expression" dxfId="1310" priority="1310">
      <formula>((P2513-M2513)/M2513)&gt;0.05</formula>
    </cfRule>
  </conditionalFormatting>
  <conditionalFormatting sqref="H2450 H2452">
    <cfRule type="expression" dxfId="1309" priority="1307">
      <formula>AND(G2450=0,(H2450&gt;0))</formula>
    </cfRule>
    <cfRule type="expression" dxfId="1308" priority="1308">
      <formula>((H2450-G2450)/G2450)&gt;0.05</formula>
    </cfRule>
  </conditionalFormatting>
  <conditionalFormatting sqref="P2450:Q2450 P2452:Q2452">
    <cfRule type="expression" dxfId="1307" priority="1305">
      <formula>AND(M2450=0,(P2450&gt;0))</formula>
    </cfRule>
    <cfRule type="expression" dxfId="1306" priority="1306">
      <formula>((P2450-M2450)/M2450)&gt;0.05</formula>
    </cfRule>
  </conditionalFormatting>
  <conditionalFormatting sqref="H2572 H2574:H2575">
    <cfRule type="expression" dxfId="1305" priority="1303">
      <formula>AND(G2572=0,(H2572&gt;0))</formula>
    </cfRule>
    <cfRule type="expression" dxfId="1304" priority="1304">
      <formula>((H2572-G2572)/G2572)&gt;0.05</formula>
    </cfRule>
  </conditionalFormatting>
  <conditionalFormatting sqref="P2572:Q2572 P2574:Q2575">
    <cfRule type="expression" dxfId="1303" priority="1301">
      <formula>AND(M2572=0,(P2572&gt;0))</formula>
    </cfRule>
    <cfRule type="expression" dxfId="1302" priority="1302">
      <formula>((P2572-M2572)/M2572)&gt;0.05</formula>
    </cfRule>
  </conditionalFormatting>
  <conditionalFormatting sqref="H2461 H2463">
    <cfRule type="expression" dxfId="1301" priority="1299">
      <formula>AND(G2461=0,(H2461&gt;0))</formula>
    </cfRule>
    <cfRule type="expression" dxfId="1300" priority="1300">
      <formula>((H2461-G2461)/G2461)&gt;0.05</formula>
    </cfRule>
  </conditionalFormatting>
  <conditionalFormatting sqref="P2461:Q2461 P2463:Q2463">
    <cfRule type="expression" dxfId="1299" priority="1297">
      <formula>AND(M2461=0,(P2461&gt;0))</formula>
    </cfRule>
    <cfRule type="expression" dxfId="1298" priority="1298">
      <formula>((P2461-M2461)/M2461)&gt;0.05</formula>
    </cfRule>
  </conditionalFormatting>
  <conditionalFormatting sqref="H2540 H2542">
    <cfRule type="expression" dxfId="1297" priority="1295">
      <formula>AND(G2540=0,(H2540&gt;0))</formula>
    </cfRule>
    <cfRule type="expression" dxfId="1296" priority="1296">
      <formula>((H2540-G2540)/G2540)&gt;0.05</formula>
    </cfRule>
  </conditionalFormatting>
  <conditionalFormatting sqref="P2540:Q2540 P2542:Q2542">
    <cfRule type="expression" dxfId="1295" priority="1293">
      <formula>AND(M2540=0,(P2540&gt;0))</formula>
    </cfRule>
    <cfRule type="expression" dxfId="1294" priority="1294">
      <formula>((P2540-M2540)/M2540)&gt;0.05</formula>
    </cfRule>
  </conditionalFormatting>
  <conditionalFormatting sqref="J2394:J2397 J2503:J2506 J2401:J2407 J2446 J2516:J2519 J2454:J2455 J2448 J2511:J2512 J2524 J2509 J2522">
    <cfRule type="expression" dxfId="1293" priority="1291">
      <formula>AND(I2394=0,(J2394&gt;0))</formula>
    </cfRule>
    <cfRule type="expression" dxfId="1292" priority="1292">
      <formula>((J2394-I2394)/I2394)&gt;0.05</formula>
    </cfRule>
  </conditionalFormatting>
  <conditionalFormatting sqref="J2492:J2493 J2415:J2417 J2426:J2429 J2439 J2564:J2566 J2526 J2531:J2533 J2576:J2579 J2464:J2467 J2543:J2545 J2457 J2253:J2254 J2650:J2655 J2638:J2645 J2256:J2261 J2264:J2267 J2592:J2606 J2612:J2616 J2622:J2624 J2432 J2434 J2459:J2460 J2472:J2474 J2485 J2498:J2499 J2538:J2539 J2549:J2550 J2560:J2561 J2570:J2571 J2626:J2628 J2476:J2481 J2630:J2632 J2470 J2483 J2496 J2547 J2558 J2568 J2635:J2636">
    <cfRule type="expression" dxfId="1291" priority="1289">
      <formula>AND(I2253=0,(J2253&gt;0))</formula>
    </cfRule>
    <cfRule type="expression" dxfId="1290" priority="1290">
      <formula>((J2253-I2253)/I2253)&gt;0.05</formula>
    </cfRule>
  </conditionalFormatting>
  <conditionalFormatting sqref="J2214:J2224 J2391:J2393 J2408:J2411 J2379:J2384">
    <cfRule type="expression" dxfId="1289" priority="1287">
      <formula>AND(I2214=0,(J2214&gt;0))</formula>
    </cfRule>
    <cfRule type="expression" dxfId="1288" priority="1288">
      <formula>((J2214-I2214)/I2214)&gt;0.05</formula>
    </cfRule>
  </conditionalFormatting>
  <conditionalFormatting sqref="J2373:J2378">
    <cfRule type="expression" dxfId="1287" priority="1285">
      <formula>AND(I2373=0,(J2373&gt;0))</formula>
    </cfRule>
    <cfRule type="expression" dxfId="1286" priority="1286">
      <formula>((J2373-I2373)/I2373)&gt;0.05</formula>
    </cfRule>
  </conditionalFormatting>
  <conditionalFormatting sqref="J2385 J2388:J2390">
    <cfRule type="expression" dxfId="1285" priority="1283">
      <formula>AND(I2385=0,(J2385&gt;0))</formula>
    </cfRule>
    <cfRule type="expression" dxfId="1284" priority="1284">
      <formula>((J2385-I2385)/I2385)&gt;0.05</formula>
    </cfRule>
  </conditionalFormatting>
  <conditionalFormatting sqref="J2486:J2487 J2489:J2491">
    <cfRule type="expression" dxfId="1283" priority="1281">
      <formula>AND(I2486=0,(J2486&gt;0))</formula>
    </cfRule>
    <cfRule type="expression" dxfId="1282" priority="1282">
      <formula>((J2486-I2486)/I2486)&gt;0.05</formula>
    </cfRule>
  </conditionalFormatting>
  <conditionalFormatting sqref="J2449 J2453">
    <cfRule type="expression" dxfId="1281" priority="1279">
      <formula>AND(I2449=0,(J2449&gt;0))</formula>
    </cfRule>
    <cfRule type="expression" dxfId="1280" priority="1280">
      <formula>((J2449-I2449)/I2449)&gt;0.05</formula>
    </cfRule>
  </conditionalFormatting>
  <conditionalFormatting sqref="J2525 J2528:J2530">
    <cfRule type="expression" dxfId="1279" priority="1277">
      <formula>AND(I2525=0,(J2525&gt;0))</formula>
    </cfRule>
    <cfRule type="expression" dxfId="1278" priority="1278">
      <formula>((J2525-I2525)/I2525)&gt;0.05</formula>
    </cfRule>
  </conditionalFormatting>
  <conditionalFormatting sqref="J2607:J2611">
    <cfRule type="expression" dxfId="1277" priority="1275">
      <formula>AND(I2607=0,(J2607&gt;0))</formula>
    </cfRule>
    <cfRule type="expression" dxfId="1276" priority="1276">
      <formula>((J2607-I2607)/I2607)&gt;0.05</formula>
    </cfRule>
  </conditionalFormatting>
  <conditionalFormatting sqref="J2617:J2621">
    <cfRule type="expression" dxfId="1275" priority="1273">
      <formula>AND(I2617=0,(J2617&gt;0))</formula>
    </cfRule>
    <cfRule type="expression" dxfId="1274" priority="1274">
      <formula>((J2617-I2617)/I2617)&gt;0.05</formula>
    </cfRule>
  </conditionalFormatting>
  <conditionalFormatting sqref="J2225:J2227">
    <cfRule type="expression" dxfId="1273" priority="1271">
      <formula>AND(I2225=0,(J2225&gt;0))</formula>
    </cfRule>
    <cfRule type="expression" dxfId="1272" priority="1272">
      <formula>((J2225-I2225)/I2225)&gt;0.05</formula>
    </cfRule>
  </conditionalFormatting>
  <conditionalFormatting sqref="J2500 J2502">
    <cfRule type="expression" dxfId="1271" priority="1269">
      <formula>AND(I2500=0,(J2500&gt;0))</formula>
    </cfRule>
    <cfRule type="expression" dxfId="1270" priority="1270">
      <formula>((J2500-I2500)/I2500)&gt;0.05</formula>
    </cfRule>
  </conditionalFormatting>
  <conditionalFormatting sqref="J2398:J2400">
    <cfRule type="expression" dxfId="1269" priority="1267">
      <formula>AND(I2398=0,(J2398&gt;0))</formula>
    </cfRule>
    <cfRule type="expression" dxfId="1268" priority="1268">
      <formula>((J2398-I2398)/I2398)&gt;0.05</formula>
    </cfRule>
  </conditionalFormatting>
  <conditionalFormatting sqref="J2412 J2414">
    <cfRule type="expression" dxfId="1267" priority="1265">
      <formula>AND(I2412=0,(J2412&gt;0))</formula>
    </cfRule>
    <cfRule type="expression" dxfId="1266" priority="1266">
      <formula>((J2412-I2412)/I2412)&gt;0.05</formula>
    </cfRule>
  </conditionalFormatting>
  <conditionalFormatting sqref="J2423 J2425">
    <cfRule type="expression" dxfId="1265" priority="1263">
      <formula>AND(I2423=0,(J2423&gt;0))</formula>
    </cfRule>
    <cfRule type="expression" dxfId="1264" priority="1264">
      <formula>((J2423-I2423)/I2423)&gt;0.05</formula>
    </cfRule>
  </conditionalFormatting>
  <conditionalFormatting sqref="J2562">
    <cfRule type="expression" dxfId="1263" priority="1261">
      <formula>AND(I2562=0,(J2562&gt;0))</formula>
    </cfRule>
    <cfRule type="expression" dxfId="1262" priority="1262">
      <formula>((J2562-I2562)/I2562)&gt;0.05</formula>
    </cfRule>
  </conditionalFormatting>
  <conditionalFormatting sqref="J2513 J2515">
    <cfRule type="expression" dxfId="1261" priority="1259">
      <formula>AND(I2513=0,(J2513&gt;0))</formula>
    </cfRule>
    <cfRule type="expression" dxfId="1260" priority="1260">
      <formula>((J2513-I2513)/I2513)&gt;0.05</formula>
    </cfRule>
  </conditionalFormatting>
  <conditionalFormatting sqref="J2450 J2452">
    <cfRule type="expression" dxfId="1259" priority="1257">
      <formula>AND(I2450=0,(J2450&gt;0))</formula>
    </cfRule>
    <cfRule type="expression" dxfId="1258" priority="1258">
      <formula>((J2450-I2450)/I2450)&gt;0.05</formula>
    </cfRule>
  </conditionalFormatting>
  <conditionalFormatting sqref="J2461 J2463">
    <cfRule type="expression" dxfId="1257" priority="1253">
      <formula>AND(I2461=0,(J2461&gt;0))</formula>
    </cfRule>
    <cfRule type="expression" dxfId="1256" priority="1254">
      <formula>((J2461-I2461)/I2461)&gt;0.05</formula>
    </cfRule>
  </conditionalFormatting>
  <conditionalFormatting sqref="J2540 J2542">
    <cfRule type="expression" dxfId="1255" priority="1251">
      <formula>AND(I2540=0,(J2540&gt;0))</formula>
    </cfRule>
    <cfRule type="expression" dxfId="1254" priority="1252">
      <formula>((J2540-I2540)/I2540)&gt;0.05</formula>
    </cfRule>
  </conditionalFormatting>
  <conditionalFormatting sqref="L2394:L2397 L2503:L2506 L2446 L2516:L2519 L2454:L2455 L2448 L2511:L2512 L2524 L2509 L2522">
    <cfRule type="expression" dxfId="1253" priority="1249">
      <formula>AND(K2394=0,(L2394&gt;0))</formula>
    </cfRule>
    <cfRule type="expression" dxfId="1252" priority="1250">
      <formula>((L2394-K2394)/K2394)&gt;0.05</formula>
    </cfRule>
  </conditionalFormatting>
  <conditionalFormatting sqref="L2492:L2493 L2415:L2417 L2426:L2429 L2439 L2564:L2566 L2526 L2531:L2533 L2576:L2579 L2464:L2467 L2543:L2545 L2457 L2650:L2655 L2638:L2645 L2419:L2422 L2432 L2459:L2460 L2472:L2474 L2485 L2498:L2499 L2538:L2539 L2549:L2551 L2560:L2561 L2570:L2571 L2476:L2481 L2553:L2556 L2470 L2483 L2496 L2547 L2558 L2568">
    <cfRule type="expression" dxfId="1251" priority="1247">
      <formula>AND(K2415=0,(L2415&gt;0))</formula>
    </cfRule>
    <cfRule type="expression" dxfId="1250" priority="1248">
      <formula>((L2415-K2415)/K2415)&gt;0.05</formula>
    </cfRule>
  </conditionalFormatting>
  <conditionalFormatting sqref="L2214:L2224 L2408:L2411">
    <cfRule type="expression" dxfId="1249" priority="1245">
      <formula>AND(K2214=0,(L2214&gt;0))</formula>
    </cfRule>
    <cfRule type="expression" dxfId="1248" priority="1246">
      <formula>((L2214-K2214)/K2214)&gt;0.05</formula>
    </cfRule>
  </conditionalFormatting>
  <conditionalFormatting sqref="L2373:L2378">
    <cfRule type="expression" dxfId="1247" priority="1243">
      <formula>AND(K2373=0,(L2373&gt;0))</formula>
    </cfRule>
    <cfRule type="expression" dxfId="1246" priority="1244">
      <formula>((L2373-K2373)/K2373)&gt;0.05</formula>
    </cfRule>
  </conditionalFormatting>
  <conditionalFormatting sqref="L2385 L2388:L2390">
    <cfRule type="expression" dxfId="1245" priority="1241">
      <formula>AND(K2385=0,(L2385&gt;0))</formula>
    </cfRule>
    <cfRule type="expression" dxfId="1244" priority="1242">
      <formula>((L2385-K2385)/K2385)&gt;0.05</formula>
    </cfRule>
  </conditionalFormatting>
  <conditionalFormatting sqref="L2486:L2487 L2489:L2491">
    <cfRule type="expression" dxfId="1243" priority="1239">
      <formula>AND(K2486=0,(L2486&gt;0))</formula>
    </cfRule>
    <cfRule type="expression" dxfId="1242" priority="1240">
      <formula>((L2486-K2486)/K2486)&gt;0.05</formula>
    </cfRule>
  </conditionalFormatting>
  <conditionalFormatting sqref="L2449 L2453">
    <cfRule type="expression" dxfId="1241" priority="1237">
      <formula>AND(K2449=0,(L2449&gt;0))</formula>
    </cfRule>
    <cfRule type="expression" dxfId="1240" priority="1238">
      <formula>((L2449-K2449)/K2449)&gt;0.05</formula>
    </cfRule>
  </conditionalFormatting>
  <conditionalFormatting sqref="L2525 L2528:L2530">
    <cfRule type="expression" dxfId="1239" priority="1235">
      <formula>AND(K2525=0,(L2525&gt;0))</formula>
    </cfRule>
    <cfRule type="expression" dxfId="1238" priority="1236">
      <formula>((L2525-K2525)/K2525)&gt;0.05</formula>
    </cfRule>
  </conditionalFormatting>
  <conditionalFormatting sqref="L2607:L2611">
    <cfRule type="expression" dxfId="1237" priority="1233">
      <formula>AND(K2607=0,(L2607&gt;0))</formula>
    </cfRule>
    <cfRule type="expression" dxfId="1236" priority="1234">
      <formula>((L2607-K2607)/K2607)&gt;0.05</formula>
    </cfRule>
  </conditionalFormatting>
  <conditionalFormatting sqref="L2617:L2621">
    <cfRule type="expression" dxfId="1235" priority="1231">
      <formula>AND(K2617=0,(L2617&gt;0))</formula>
    </cfRule>
    <cfRule type="expression" dxfId="1234" priority="1232">
      <formula>((L2617-K2617)/K2617)&gt;0.05</formula>
    </cfRule>
  </conditionalFormatting>
  <conditionalFormatting sqref="L2225:L2227">
    <cfRule type="expression" dxfId="1233" priority="1229">
      <formula>AND(K2225=0,(L2225&gt;0))</formula>
    </cfRule>
    <cfRule type="expression" dxfId="1232" priority="1230">
      <formula>((L2225-K2225)/K2225)&gt;0.05</formula>
    </cfRule>
  </conditionalFormatting>
  <conditionalFormatting sqref="L2500 L2502">
    <cfRule type="expression" dxfId="1231" priority="1227">
      <formula>AND(K2500=0,(L2500&gt;0))</formula>
    </cfRule>
    <cfRule type="expression" dxfId="1230" priority="1228">
      <formula>((L2500-K2500)/K2500)&gt;0.05</formula>
    </cfRule>
  </conditionalFormatting>
  <conditionalFormatting sqref="L2398:L2400">
    <cfRule type="expression" dxfId="1229" priority="1225">
      <formula>AND(K2398=0,(L2398&gt;0))</formula>
    </cfRule>
    <cfRule type="expression" dxfId="1228" priority="1226">
      <formula>((L2398-K2398)/K2398)&gt;0.05</formula>
    </cfRule>
  </conditionalFormatting>
  <conditionalFormatting sqref="L2412 L2414">
    <cfRule type="expression" dxfId="1227" priority="1223">
      <formula>AND(K2412=0,(L2412&gt;0))</formula>
    </cfRule>
    <cfRule type="expression" dxfId="1226" priority="1224">
      <formula>((L2412-K2412)/K2412)&gt;0.05</formula>
    </cfRule>
  </conditionalFormatting>
  <conditionalFormatting sqref="L2423 L2425">
    <cfRule type="expression" dxfId="1225" priority="1221">
      <formula>AND(K2423=0,(L2423&gt;0))</formula>
    </cfRule>
    <cfRule type="expression" dxfId="1224" priority="1222">
      <formula>((L2423-K2423)/K2423)&gt;0.05</formula>
    </cfRule>
  </conditionalFormatting>
  <conditionalFormatting sqref="J2435:J2436 J2445">
    <cfRule type="expression" dxfId="1223" priority="1219">
      <formula>AND(K2435=0,(J2435&gt;0))</formula>
    </cfRule>
    <cfRule type="expression" dxfId="1222" priority="1220">
      <formula>((J2435-K2435)/K2435)&gt;0.05</formula>
    </cfRule>
  </conditionalFormatting>
  <conditionalFormatting sqref="L2562">
    <cfRule type="expression" dxfId="1221" priority="1217">
      <formula>AND(K2562=0,(L2562&gt;0))</formula>
    </cfRule>
    <cfRule type="expression" dxfId="1220" priority="1218">
      <formula>((L2562-K2562)/K2562)&gt;0.05</formula>
    </cfRule>
  </conditionalFormatting>
  <conditionalFormatting sqref="L2513 L2515">
    <cfRule type="expression" dxfId="1219" priority="1215">
      <formula>AND(K2513=0,(L2513&gt;0))</formula>
    </cfRule>
    <cfRule type="expression" dxfId="1218" priority="1216">
      <formula>((L2513-K2513)/K2513)&gt;0.05</formula>
    </cfRule>
  </conditionalFormatting>
  <conditionalFormatting sqref="L2450 L2452">
    <cfRule type="expression" dxfId="1217" priority="1213">
      <formula>AND(K2450=0,(L2450&gt;0))</formula>
    </cfRule>
    <cfRule type="expression" dxfId="1216" priority="1214">
      <formula>((L2450-K2450)/K2450)&gt;0.05</formula>
    </cfRule>
  </conditionalFormatting>
  <conditionalFormatting sqref="L2572 L2574:L2575">
    <cfRule type="expression" dxfId="1215" priority="1211">
      <formula>AND(K2572=0,(L2572&gt;0))</formula>
    </cfRule>
    <cfRule type="expression" dxfId="1214" priority="1212">
      <formula>((L2572-K2572)/K2572)&gt;0.05</formula>
    </cfRule>
  </conditionalFormatting>
  <conditionalFormatting sqref="L2461 L2463">
    <cfRule type="expression" dxfId="1213" priority="1209">
      <formula>AND(K2461=0,(L2461&gt;0))</formula>
    </cfRule>
    <cfRule type="expression" dxfId="1212" priority="1210">
      <formula>((L2461-K2461)/K2461)&gt;0.05</formula>
    </cfRule>
  </conditionalFormatting>
  <conditionalFormatting sqref="L2540 L2542">
    <cfRule type="expression" dxfId="1211" priority="1207">
      <formula>AND(K2540=0,(L2540&gt;0))</formula>
    </cfRule>
    <cfRule type="expression" dxfId="1210" priority="1208">
      <formula>((L2540-K2540)/K2540)&gt;0.05</formula>
    </cfRule>
  </conditionalFormatting>
  <conditionalFormatting sqref="V2394:V2397 V2503:V2506 V2446 V2516:V2519 V2454:V2455 V2448 V2511:V2512 V2524 V2509 V2522">
    <cfRule type="expression" dxfId="1209" priority="1205">
      <formula>AND(U2394=0,(V2394&gt;0))</formula>
    </cfRule>
    <cfRule type="expression" dxfId="1208" priority="1206">
      <formula>((V2394-U2394)/U2394)&gt;0.05</formula>
    </cfRule>
  </conditionalFormatting>
  <conditionalFormatting sqref="V2492:V2493 V2415:V2417 V2426:V2429 V2439:V2442 V2564:V2566 V2526 V2531:V2533 V2576:V2579 V2464:V2467 V2543:V2545 V2457 V2650:V2655 V2638:V2645 V2419:V2422 V2432 V2434:V2435 V2459:V2460 V2472:V2474 V2485 V2498:V2499 V2538:V2539 V2549:V2551 V2560:V2561 V2570:V2571 V2476:V2481 V2553:V2556 V2444 V2470 V2483 V2496 V2547 V2558 V2568">
    <cfRule type="expression" dxfId="1207" priority="1203">
      <formula>AND(U2415=0,(V2415&gt;0))</formula>
    </cfRule>
    <cfRule type="expression" dxfId="1206" priority="1204">
      <formula>((V2415-U2415)/U2415)&gt;0.05</formula>
    </cfRule>
  </conditionalFormatting>
  <conditionalFormatting sqref="V2214:V2224 V2408:V2411">
    <cfRule type="expression" dxfId="1205" priority="1201">
      <formula>AND(U2214=0,(V2214&gt;0))</formula>
    </cfRule>
    <cfRule type="expression" dxfId="1204" priority="1202">
      <formula>((V2214-U2214)/U2214)&gt;0.05</formula>
    </cfRule>
  </conditionalFormatting>
  <conditionalFormatting sqref="V2373:V2378">
    <cfRule type="expression" dxfId="1203" priority="1199">
      <formula>AND(U2373=0,(V2373&gt;0))</formula>
    </cfRule>
    <cfRule type="expression" dxfId="1202" priority="1200">
      <formula>((V2373-U2373)/U2373)&gt;0.05</formula>
    </cfRule>
  </conditionalFormatting>
  <conditionalFormatting sqref="V2385 V2388:V2390">
    <cfRule type="expression" dxfId="1201" priority="1197">
      <formula>AND(U2385=0,(V2385&gt;0))</formula>
    </cfRule>
    <cfRule type="expression" dxfId="1200" priority="1198">
      <formula>((V2385-U2385)/U2385)&gt;0.05</formula>
    </cfRule>
  </conditionalFormatting>
  <conditionalFormatting sqref="V2486:V2487 V2489:V2491">
    <cfRule type="expression" dxfId="1199" priority="1195">
      <formula>AND(U2486=0,(V2486&gt;0))</formula>
    </cfRule>
    <cfRule type="expression" dxfId="1198" priority="1196">
      <formula>((V2486-U2486)/U2486)&gt;0.05</formula>
    </cfRule>
  </conditionalFormatting>
  <conditionalFormatting sqref="V2449 V2453">
    <cfRule type="expression" dxfId="1197" priority="1193">
      <formula>AND(U2449=0,(V2449&gt;0))</formula>
    </cfRule>
    <cfRule type="expression" dxfId="1196" priority="1194">
      <formula>((V2449-U2449)/U2449)&gt;0.05</formula>
    </cfRule>
  </conditionalFormatting>
  <conditionalFormatting sqref="V2525 V2528:V2530">
    <cfRule type="expression" dxfId="1195" priority="1191">
      <formula>AND(U2525=0,(V2525&gt;0))</formula>
    </cfRule>
    <cfRule type="expression" dxfId="1194" priority="1192">
      <formula>((V2525-U2525)/U2525)&gt;0.05</formula>
    </cfRule>
  </conditionalFormatting>
  <conditionalFormatting sqref="V2607:V2611">
    <cfRule type="expression" dxfId="1193" priority="1189">
      <formula>AND(U2607=0,(V2607&gt;0))</formula>
    </cfRule>
    <cfRule type="expression" dxfId="1192" priority="1190">
      <formula>((V2607-U2607)/U2607)&gt;0.05</formula>
    </cfRule>
  </conditionalFormatting>
  <conditionalFormatting sqref="V2617:V2621">
    <cfRule type="expression" dxfId="1191" priority="1187">
      <formula>AND(U2617=0,(V2617&gt;0))</formula>
    </cfRule>
    <cfRule type="expression" dxfId="1190" priority="1188">
      <formula>((V2617-U2617)/U2617)&gt;0.05</formula>
    </cfRule>
  </conditionalFormatting>
  <conditionalFormatting sqref="V2225:V2227">
    <cfRule type="expression" dxfId="1189" priority="1185">
      <formula>AND(U2225=0,(V2225&gt;0))</formula>
    </cfRule>
    <cfRule type="expression" dxfId="1188" priority="1186">
      <formula>((V2225-U2225)/U2225)&gt;0.05</formula>
    </cfRule>
  </conditionalFormatting>
  <conditionalFormatting sqref="V2500 V2502">
    <cfRule type="expression" dxfId="1187" priority="1183">
      <formula>AND(U2500=0,(V2500&gt;0))</formula>
    </cfRule>
    <cfRule type="expression" dxfId="1186" priority="1184">
      <formula>((V2500-U2500)/U2500)&gt;0.05</formula>
    </cfRule>
  </conditionalFormatting>
  <conditionalFormatting sqref="V2398:V2400">
    <cfRule type="expression" dxfId="1185" priority="1181">
      <formula>AND(U2398=0,(V2398&gt;0))</formula>
    </cfRule>
    <cfRule type="expression" dxfId="1184" priority="1182">
      <formula>((V2398-U2398)/U2398)&gt;0.05</formula>
    </cfRule>
  </conditionalFormatting>
  <conditionalFormatting sqref="V2412 V2414">
    <cfRule type="expression" dxfId="1183" priority="1179">
      <formula>AND(U2412=0,(V2412&gt;0))</formula>
    </cfRule>
    <cfRule type="expression" dxfId="1182" priority="1180">
      <formula>((V2412-U2412)/U2412)&gt;0.05</formula>
    </cfRule>
  </conditionalFormatting>
  <conditionalFormatting sqref="V2423 V2425">
    <cfRule type="expression" dxfId="1181" priority="1177">
      <formula>AND(U2423=0,(V2423&gt;0))</formula>
    </cfRule>
    <cfRule type="expression" dxfId="1180" priority="1178">
      <formula>((V2423-U2423)/U2423)&gt;0.05</formula>
    </cfRule>
  </conditionalFormatting>
  <conditionalFormatting sqref="V2562">
    <cfRule type="expression" dxfId="1179" priority="1173">
      <formula>AND(U2562=0,(V2562&gt;0))</formula>
    </cfRule>
    <cfRule type="expression" dxfId="1178" priority="1174">
      <formula>((V2562-U2562)/U2562)&gt;0.05</formula>
    </cfRule>
  </conditionalFormatting>
  <conditionalFormatting sqref="V2513 V2515">
    <cfRule type="expression" dxfId="1177" priority="1171">
      <formula>AND(U2513=0,(V2513&gt;0))</formula>
    </cfRule>
    <cfRule type="expression" dxfId="1176" priority="1172">
      <formula>((V2513-U2513)/U2513)&gt;0.05</formula>
    </cfRule>
  </conditionalFormatting>
  <conditionalFormatting sqref="V2450 V2452">
    <cfRule type="expression" dxfId="1175" priority="1169">
      <formula>AND(U2450=0,(V2450&gt;0))</formula>
    </cfRule>
    <cfRule type="expression" dxfId="1174" priority="1170">
      <formula>((V2450-U2450)/U2450)&gt;0.05</formula>
    </cfRule>
  </conditionalFormatting>
  <conditionalFormatting sqref="V2572 V2574:V2575">
    <cfRule type="expression" dxfId="1173" priority="1167">
      <formula>AND(U2572=0,(V2572&gt;0))</formula>
    </cfRule>
    <cfRule type="expression" dxfId="1172" priority="1168">
      <formula>((V2572-U2572)/U2572)&gt;0.05</formula>
    </cfRule>
  </conditionalFormatting>
  <conditionalFormatting sqref="V2461 V2463">
    <cfRule type="expression" dxfId="1171" priority="1165">
      <formula>AND(U2461=0,(V2461&gt;0))</formula>
    </cfRule>
    <cfRule type="expression" dxfId="1170" priority="1166">
      <formula>((V2461-U2461)/U2461)&gt;0.05</formula>
    </cfRule>
  </conditionalFormatting>
  <conditionalFormatting sqref="V2540 V2542">
    <cfRule type="expression" dxfId="1169" priority="1163">
      <formula>AND(U2540=0,(V2540&gt;0))</formula>
    </cfRule>
    <cfRule type="expression" dxfId="1168" priority="1164">
      <formula>((V2540-U2540)/U2540)&gt;0.05</formula>
    </cfRule>
  </conditionalFormatting>
  <conditionalFormatting sqref="AD2394:AD2397 AD2503:AD2506 AD2446 AD2516:AD2519 AD2454:AD2455 AD2448 AD2511:AD2512 AD2524 AD2509 AD2522">
    <cfRule type="expression" dxfId="1167" priority="1161">
      <formula>AND(AC2394=0,(AD2394&gt;0))</formula>
    </cfRule>
    <cfRule type="expression" dxfId="1166" priority="1162">
      <formula>((AD2394-AC2394)/AC2394)&gt;0.05</formula>
    </cfRule>
  </conditionalFormatting>
  <conditionalFormatting sqref="AD2492:AD2493 AD2415:AD2417 AD2426:AD2429 AD2439:AD2442 AD2564:AD2566 AD2526 AD2531:AD2533 AD2576:AD2579 AD2464:AD2467 AD2543:AD2545 AD2457 AD2650:AD2655 AD2638:AD2645 AD2419:AD2422 AD2432 AD2434:AD2435 AD2459:AD2460 AD2472:AD2474 AD2485 AD2498:AD2499 AD2538:AD2539 AD2549:AD2551 AD2560:AD2561 AD2570:AD2571 AD2476:AD2481 AD2553:AD2556 AD2444 AD2470 AD2483 AD2496 AD2547 AD2558 AD2568">
    <cfRule type="expression" dxfId="1165" priority="1159">
      <formula>AND(AC2415=0,(AD2415&gt;0))</formula>
    </cfRule>
    <cfRule type="expression" dxfId="1164" priority="1160">
      <formula>((AD2415-AC2415)/AC2415)&gt;0.05</formula>
    </cfRule>
  </conditionalFormatting>
  <conditionalFormatting sqref="AD2214:AD2224 AD2408:AD2411">
    <cfRule type="expression" dxfId="1163" priority="1157">
      <formula>AND(AC2214=0,(AD2214&gt;0))</formula>
    </cfRule>
    <cfRule type="expression" dxfId="1162" priority="1158">
      <formula>((AD2214-AC2214)/AC2214)&gt;0.05</formula>
    </cfRule>
  </conditionalFormatting>
  <conditionalFormatting sqref="AD2373:AD2378">
    <cfRule type="expression" dxfId="1161" priority="1155">
      <formula>AND(AC2373=0,(AD2373&gt;0))</formula>
    </cfRule>
    <cfRule type="expression" dxfId="1160" priority="1156">
      <formula>((AD2373-AC2373)/AC2373)&gt;0.05</formula>
    </cfRule>
  </conditionalFormatting>
  <conditionalFormatting sqref="AD2385 AD2388:AD2390">
    <cfRule type="expression" dxfId="1159" priority="1153">
      <formula>AND(AC2385=0,(AD2385&gt;0))</formula>
    </cfRule>
    <cfRule type="expression" dxfId="1158" priority="1154">
      <formula>((AD2385-AC2385)/AC2385)&gt;0.05</formula>
    </cfRule>
  </conditionalFormatting>
  <conditionalFormatting sqref="AD2486:AD2487 AD2489:AD2491">
    <cfRule type="expression" dxfId="1157" priority="1151">
      <formula>AND(AC2486=0,(AD2486&gt;0))</formula>
    </cfRule>
    <cfRule type="expression" dxfId="1156" priority="1152">
      <formula>((AD2486-AC2486)/AC2486)&gt;0.05</formula>
    </cfRule>
  </conditionalFormatting>
  <conditionalFormatting sqref="AD2449 AD2453">
    <cfRule type="expression" dxfId="1155" priority="1149">
      <formula>AND(AC2449=0,(AD2449&gt;0))</formula>
    </cfRule>
    <cfRule type="expression" dxfId="1154" priority="1150">
      <formula>((AD2449-AC2449)/AC2449)&gt;0.05</formula>
    </cfRule>
  </conditionalFormatting>
  <conditionalFormatting sqref="AD2525 AD2528:AD2530">
    <cfRule type="expression" dxfId="1153" priority="1147">
      <formula>AND(AC2525=0,(AD2525&gt;0))</formula>
    </cfRule>
    <cfRule type="expression" dxfId="1152" priority="1148">
      <formula>((AD2525-AC2525)/AC2525)&gt;0.05</formula>
    </cfRule>
  </conditionalFormatting>
  <conditionalFormatting sqref="AD2607:AD2611">
    <cfRule type="expression" dxfId="1151" priority="1145">
      <formula>AND(AC2607=0,(AD2607&gt;0))</formula>
    </cfRule>
    <cfRule type="expression" dxfId="1150" priority="1146">
      <formula>((AD2607-AC2607)/AC2607)&gt;0.05</formula>
    </cfRule>
  </conditionalFormatting>
  <conditionalFormatting sqref="AD2617:AD2621">
    <cfRule type="expression" dxfId="1149" priority="1143">
      <formula>AND(AC2617=0,(AD2617&gt;0))</formula>
    </cfRule>
    <cfRule type="expression" dxfId="1148" priority="1144">
      <formula>((AD2617-AC2617)/AC2617)&gt;0.05</formula>
    </cfRule>
  </conditionalFormatting>
  <conditionalFormatting sqref="AD2225:AD2227">
    <cfRule type="expression" dxfId="1147" priority="1141">
      <formula>AND(AC2225=0,(AD2225&gt;0))</formula>
    </cfRule>
    <cfRule type="expression" dxfId="1146" priority="1142">
      <formula>((AD2225-AC2225)/AC2225)&gt;0.05</formula>
    </cfRule>
  </conditionalFormatting>
  <conditionalFormatting sqref="AD2500 AD2502">
    <cfRule type="expression" dxfId="1145" priority="1139">
      <formula>AND(AC2500=0,(AD2500&gt;0))</formula>
    </cfRule>
    <cfRule type="expression" dxfId="1144" priority="1140">
      <formula>((AD2500-AC2500)/AC2500)&gt;0.05</formula>
    </cfRule>
  </conditionalFormatting>
  <conditionalFormatting sqref="AD2398:AD2400">
    <cfRule type="expression" dxfId="1143" priority="1137">
      <formula>AND(AC2398=0,(AD2398&gt;0))</formula>
    </cfRule>
    <cfRule type="expression" dxfId="1142" priority="1138">
      <formula>((AD2398-AC2398)/AC2398)&gt;0.05</formula>
    </cfRule>
  </conditionalFormatting>
  <conditionalFormatting sqref="AD2412 AD2414">
    <cfRule type="expression" dxfId="1141" priority="1135">
      <formula>AND(AC2412=0,(AD2412&gt;0))</formula>
    </cfRule>
    <cfRule type="expression" dxfId="1140" priority="1136">
      <formula>((AD2412-AC2412)/AC2412)&gt;0.05</formula>
    </cfRule>
  </conditionalFormatting>
  <conditionalFormatting sqref="AD2423 AD2425">
    <cfRule type="expression" dxfId="1139" priority="1133">
      <formula>AND(AC2423=0,(AD2423&gt;0))</formula>
    </cfRule>
    <cfRule type="expression" dxfId="1138" priority="1134">
      <formula>((AD2423-AC2423)/AC2423)&gt;0.05</formula>
    </cfRule>
  </conditionalFormatting>
  <conditionalFormatting sqref="AD2436 AD2438">
    <cfRule type="expression" dxfId="1137" priority="1131">
      <formula>AND(AC2436=0,(AD2436&gt;0))</formula>
    </cfRule>
    <cfRule type="expression" dxfId="1136" priority="1132">
      <formula>((AD2436-AC2436)/AC2436)&gt;0.05</formula>
    </cfRule>
  </conditionalFormatting>
  <conditionalFormatting sqref="AD2562">
    <cfRule type="expression" dxfId="1135" priority="1129">
      <formula>AND(AC2562=0,(AD2562&gt;0))</formula>
    </cfRule>
    <cfRule type="expression" dxfId="1134" priority="1130">
      <formula>((AD2562-AC2562)/AC2562)&gt;0.05</formula>
    </cfRule>
  </conditionalFormatting>
  <conditionalFormatting sqref="AD2513 AD2515">
    <cfRule type="expression" dxfId="1133" priority="1127">
      <formula>AND(AC2513=0,(AD2513&gt;0))</formula>
    </cfRule>
    <cfRule type="expression" dxfId="1132" priority="1128">
      <formula>((AD2513-AC2513)/AC2513)&gt;0.05</formula>
    </cfRule>
  </conditionalFormatting>
  <conditionalFormatting sqref="AD2450 AD2452">
    <cfRule type="expression" dxfId="1131" priority="1125">
      <formula>AND(AC2450=0,(AD2450&gt;0))</formula>
    </cfRule>
    <cfRule type="expression" dxfId="1130" priority="1126">
      <formula>((AD2450-AC2450)/AC2450)&gt;0.05</formula>
    </cfRule>
  </conditionalFormatting>
  <conditionalFormatting sqref="AD2572 AD2574:AD2575">
    <cfRule type="expression" dxfId="1129" priority="1123">
      <formula>AND(AC2572=0,(AD2572&gt;0))</formula>
    </cfRule>
    <cfRule type="expression" dxfId="1128" priority="1124">
      <formula>((AD2572-AC2572)/AC2572)&gt;0.05</formula>
    </cfRule>
  </conditionalFormatting>
  <conditionalFormatting sqref="AD2461 AD2463">
    <cfRule type="expression" dxfId="1127" priority="1121">
      <formula>AND(AC2461=0,(AD2461&gt;0))</formula>
    </cfRule>
    <cfRule type="expression" dxfId="1126" priority="1122">
      <formula>((AD2461-AC2461)/AC2461)&gt;0.05</formula>
    </cfRule>
  </conditionalFormatting>
  <conditionalFormatting sqref="AD2540 AD2542">
    <cfRule type="expression" dxfId="1125" priority="1119">
      <formula>AND(AC2540=0,(AD2540&gt;0))</formula>
    </cfRule>
    <cfRule type="expression" dxfId="1124" priority="1120">
      <formula>((AD2540-AC2540)/AC2540)&gt;0.05</formula>
    </cfRule>
  </conditionalFormatting>
  <conditionalFormatting sqref="Z2394:AA2397 Z2503:AA2506 Z2446:AA2446 Z2516:AA2519 Z2454:AA2455 Z2448:AA2448 Z2511:AA2512 Z2524:AA2524 Z2509:AA2509 Z2522:AA2522">
    <cfRule type="expression" dxfId="1123" priority="1117">
      <formula>AND(W2394=0,(Z2394&gt;0))</formula>
    </cfRule>
    <cfRule type="expression" dxfId="1122" priority="1118">
      <formula>((Z2394-W2394)/W2394)&gt;0.05</formula>
    </cfRule>
  </conditionalFormatting>
  <conditionalFormatting sqref="Z2492:AA2493 Z2415:AA2417 Z2426:AA2429 Z2439:AA2442 Z2564:AA2566 Z2526:AA2526 Z2531:AA2533 Z2576:AA2579 Z2464:AA2467 Z2543:AA2545 Z2457:AA2457 Z2650:AA2655 Z2638:AA2645 Z2419:AA2422 Z2432:AA2432 Z2434:AA2435 Z2459:AA2460 Z2472:AA2474 Z2485:AA2485 Z2498:AA2499 Z2538:AA2539 Z2549:AA2551 Z2560:AA2561 Z2570:AA2571 Z2476:AA2481 Z2553:AA2556 Z2444:AA2444 Z2470:AA2470 Z2483:AA2483 Z2496:AA2496 Z2547:AA2547 Z2558:AA2558 Z2568:AA2568">
    <cfRule type="expression" dxfId="1121" priority="1115">
      <formula>AND(W2415=0,(Z2415&gt;0))</formula>
    </cfRule>
    <cfRule type="expression" dxfId="1120" priority="1116">
      <formula>((Z2415-W2415)/W2415)&gt;0.05</formula>
    </cfRule>
  </conditionalFormatting>
  <conditionalFormatting sqref="Z2214:AA2224 Z2408:AA2411">
    <cfRule type="expression" dxfId="1119" priority="1113">
      <formula>AND(W2214=0,(Z2214&gt;0))</formula>
    </cfRule>
    <cfRule type="expression" dxfId="1118" priority="1114">
      <formula>((Z2214-W2214)/W2214)&gt;0.05</formula>
    </cfRule>
  </conditionalFormatting>
  <conditionalFormatting sqref="Z2373:AA2378">
    <cfRule type="expression" dxfId="1117" priority="1111">
      <formula>AND(W2373=0,(Z2373&gt;0))</formula>
    </cfRule>
    <cfRule type="expression" dxfId="1116" priority="1112">
      <formula>((Z2373-W2373)/W2373)&gt;0.05</formula>
    </cfRule>
  </conditionalFormatting>
  <conditionalFormatting sqref="Z2385:AA2385 Z2388:AA2390">
    <cfRule type="expression" dxfId="1115" priority="1109">
      <formula>AND(W2385=0,(Z2385&gt;0))</formula>
    </cfRule>
    <cfRule type="expression" dxfId="1114" priority="1110">
      <formula>((Z2385-W2385)/W2385)&gt;0.05</formula>
    </cfRule>
  </conditionalFormatting>
  <conditionalFormatting sqref="Z2486:AA2487 Z2489:AA2491">
    <cfRule type="expression" dxfId="1113" priority="1107">
      <formula>AND(W2486=0,(Z2486&gt;0))</formula>
    </cfRule>
    <cfRule type="expression" dxfId="1112" priority="1108">
      <formula>((Z2486-W2486)/W2486)&gt;0.05</formula>
    </cfRule>
  </conditionalFormatting>
  <conditionalFormatting sqref="Z2449:AA2449 Z2453:AA2453">
    <cfRule type="expression" dxfId="1111" priority="1105">
      <formula>AND(W2449=0,(Z2449&gt;0))</formula>
    </cfRule>
    <cfRule type="expression" dxfId="1110" priority="1106">
      <formula>((Z2449-W2449)/W2449)&gt;0.05</formula>
    </cfRule>
  </conditionalFormatting>
  <conditionalFormatting sqref="Z2525:AA2525 Z2528:AA2530">
    <cfRule type="expression" dxfId="1109" priority="1103">
      <formula>AND(W2525=0,(Z2525&gt;0))</formula>
    </cfRule>
    <cfRule type="expression" dxfId="1108" priority="1104">
      <formula>((Z2525-W2525)/W2525)&gt;0.05</formula>
    </cfRule>
  </conditionalFormatting>
  <conditionalFormatting sqref="Z2607:AA2611">
    <cfRule type="expression" dxfId="1107" priority="1101">
      <formula>AND(W2607=0,(Z2607&gt;0))</formula>
    </cfRule>
    <cfRule type="expression" dxfId="1106" priority="1102">
      <formula>((Z2607-W2607)/W2607)&gt;0.05</formula>
    </cfRule>
  </conditionalFormatting>
  <conditionalFormatting sqref="Z2617:AA2621">
    <cfRule type="expression" dxfId="1105" priority="1099">
      <formula>AND(W2617=0,(Z2617&gt;0))</formula>
    </cfRule>
    <cfRule type="expression" dxfId="1104" priority="1100">
      <formula>((Z2617-W2617)/W2617)&gt;0.05</formula>
    </cfRule>
  </conditionalFormatting>
  <conditionalFormatting sqref="Z2225:AA2227">
    <cfRule type="expression" dxfId="1103" priority="1097">
      <formula>AND(W2225=0,(Z2225&gt;0))</formula>
    </cfRule>
    <cfRule type="expression" dxfId="1102" priority="1098">
      <formula>((Z2225-W2225)/W2225)&gt;0.05</formula>
    </cfRule>
  </conditionalFormatting>
  <conditionalFormatting sqref="Z2500:AA2500 Z2502:AA2502">
    <cfRule type="expression" dxfId="1101" priority="1095">
      <formula>AND(W2500=0,(Z2500&gt;0))</formula>
    </cfRule>
    <cfRule type="expression" dxfId="1100" priority="1096">
      <formula>((Z2500-W2500)/W2500)&gt;0.05</formula>
    </cfRule>
  </conditionalFormatting>
  <conditionalFormatting sqref="Z2398:AA2400">
    <cfRule type="expression" dxfId="1099" priority="1093">
      <formula>AND(W2398=0,(Z2398&gt;0))</formula>
    </cfRule>
    <cfRule type="expression" dxfId="1098" priority="1094">
      <formula>((Z2398-W2398)/W2398)&gt;0.05</formula>
    </cfRule>
  </conditionalFormatting>
  <conditionalFormatting sqref="Z2412:AA2412 Z2414:AA2414">
    <cfRule type="expression" dxfId="1097" priority="1091">
      <formula>AND(W2412=0,(Z2412&gt;0))</formula>
    </cfRule>
    <cfRule type="expression" dxfId="1096" priority="1092">
      <formula>((Z2412-W2412)/W2412)&gt;0.05</formula>
    </cfRule>
  </conditionalFormatting>
  <conditionalFormatting sqref="Z2423:AA2423 Z2425:AA2425">
    <cfRule type="expression" dxfId="1095" priority="1089">
      <formula>AND(W2423=0,(Z2423&gt;0))</formula>
    </cfRule>
    <cfRule type="expression" dxfId="1094" priority="1090">
      <formula>((Z2423-W2423)/W2423)&gt;0.05</formula>
    </cfRule>
  </conditionalFormatting>
  <conditionalFormatting sqref="Z2436:AA2436 Z2438:AA2438">
    <cfRule type="expression" dxfId="1093" priority="1087">
      <formula>AND(W2436=0,(Z2436&gt;0))</formula>
    </cfRule>
    <cfRule type="expression" dxfId="1092" priority="1088">
      <formula>((Z2436-W2436)/W2436)&gt;0.05</formula>
    </cfRule>
  </conditionalFormatting>
  <conditionalFormatting sqref="Z2562:AA2562">
    <cfRule type="expression" dxfId="1091" priority="1085">
      <formula>AND(W2562=0,(Z2562&gt;0))</formula>
    </cfRule>
    <cfRule type="expression" dxfId="1090" priority="1086">
      <formula>((Z2562-W2562)/W2562)&gt;0.05</formula>
    </cfRule>
  </conditionalFormatting>
  <conditionalFormatting sqref="Z2513:AA2513 Z2515:AA2515">
    <cfRule type="expression" dxfId="1089" priority="1083">
      <formula>AND(W2513=0,(Z2513&gt;0))</formula>
    </cfRule>
    <cfRule type="expression" dxfId="1088" priority="1084">
      <formula>((Z2513-W2513)/W2513)&gt;0.05</formula>
    </cfRule>
  </conditionalFormatting>
  <conditionalFormatting sqref="Z2450:AA2450 Z2452:AA2452">
    <cfRule type="expression" dxfId="1087" priority="1081">
      <formula>AND(W2450=0,(Z2450&gt;0))</formula>
    </cfRule>
    <cfRule type="expression" dxfId="1086" priority="1082">
      <formula>((Z2450-W2450)/W2450)&gt;0.05</formula>
    </cfRule>
  </conditionalFormatting>
  <conditionalFormatting sqref="Z2572:AA2572 Z2574:AA2575">
    <cfRule type="expression" dxfId="1085" priority="1079">
      <formula>AND(W2572=0,(Z2572&gt;0))</formula>
    </cfRule>
    <cfRule type="expression" dxfId="1084" priority="1080">
      <formula>((Z2572-W2572)/W2572)&gt;0.05</formula>
    </cfRule>
  </conditionalFormatting>
  <conditionalFormatting sqref="Z2461:AA2461 Z2463:AA2463">
    <cfRule type="expression" dxfId="1083" priority="1077">
      <formula>AND(W2461=0,(Z2461&gt;0))</formula>
    </cfRule>
    <cfRule type="expression" dxfId="1082" priority="1078">
      <formula>((Z2461-W2461)/W2461)&gt;0.05</formula>
    </cfRule>
  </conditionalFormatting>
  <conditionalFormatting sqref="Z2540:AA2540 Z2542:AA2542">
    <cfRule type="expression" dxfId="1081" priority="1075">
      <formula>AND(W2540=0,(Z2540&gt;0))</formula>
    </cfRule>
    <cfRule type="expression" dxfId="1080" priority="1076">
      <formula>((Z2540-W2540)/W2540)&gt;0.05</formula>
    </cfRule>
  </conditionalFormatting>
  <conditionalFormatting sqref="AG2394:AH2397 AG2503:AH2506 AG2446:AH2446 AG2516:AH2519 AG2454:AH2455 AG2448:AH2448 AG2511:AH2512 AG2524:AH2524 AG2509:AH2509 AG2522:AH2522">
    <cfRule type="expression" dxfId="1079" priority="1073">
      <formula>AND(AD2394=0,(AG2394&gt;0))</formula>
    </cfRule>
    <cfRule type="expression" dxfId="1078" priority="1074">
      <formula>((AG2394-AD2394)/AD2394)&gt;0.05</formula>
    </cfRule>
  </conditionalFormatting>
  <conditionalFormatting sqref="AG2492:AH2493 AG2415:AH2417 AG2426:AH2429 AG2439:AH2442 AG2564:AH2566 AG2526:AH2526 AG2531:AH2533 AG2576:AH2579 AG2464:AH2467 AG2543:AH2545 AG2457:AH2457 AG2650:AH2655 AG2638:AH2645 AG2419:AH2422 AG2432:AH2432 AG2434:AH2435 AG2459:AH2460 AG2472:AH2474 AG2485:AH2485 AG2498:AH2499 AG2538:AH2539 AG2549:AH2551 AG2560:AH2561 AG2570:AH2571 AG2476:AH2481 AG2553:AH2556 AG2444:AH2444 AG2470:AH2470 AG2483:AH2483 AG2496:AH2496 AG2547:AH2547 AG2558:AH2558 AG2568:AH2568">
    <cfRule type="expression" dxfId="1077" priority="1071">
      <formula>AND(AD2415=0,(AG2415&gt;0))</formula>
    </cfRule>
    <cfRule type="expression" dxfId="1076" priority="1072">
      <formula>((AG2415-AD2415)/AD2415)&gt;0.05</formula>
    </cfRule>
  </conditionalFormatting>
  <conditionalFormatting sqref="AG2214:AH2224 AG2408:AH2411">
    <cfRule type="expression" dxfId="1075" priority="1069">
      <formula>AND(AD2214=0,(AG2214&gt;0))</formula>
    </cfRule>
    <cfRule type="expression" dxfId="1074" priority="1070">
      <formula>((AG2214-AD2214)/AD2214)&gt;0.05</formula>
    </cfRule>
  </conditionalFormatting>
  <conditionalFormatting sqref="AG2373:AH2378">
    <cfRule type="expression" dxfId="1073" priority="1067">
      <formula>AND(AD2373=0,(AG2373&gt;0))</formula>
    </cfRule>
    <cfRule type="expression" dxfId="1072" priority="1068">
      <formula>((AG2373-AD2373)/AD2373)&gt;0.05</formula>
    </cfRule>
  </conditionalFormatting>
  <conditionalFormatting sqref="AG2385:AH2385 AG2388:AH2390">
    <cfRule type="expression" dxfId="1071" priority="1065">
      <formula>AND(AD2385=0,(AG2385&gt;0))</formula>
    </cfRule>
    <cfRule type="expression" dxfId="1070" priority="1066">
      <formula>((AG2385-AD2385)/AD2385)&gt;0.05</formula>
    </cfRule>
  </conditionalFormatting>
  <conditionalFormatting sqref="AG2486:AH2487 AG2489:AH2491">
    <cfRule type="expression" dxfId="1069" priority="1063">
      <formula>AND(AD2486=0,(AG2486&gt;0))</formula>
    </cfRule>
    <cfRule type="expression" dxfId="1068" priority="1064">
      <formula>((AG2486-AD2486)/AD2486)&gt;0.05</formula>
    </cfRule>
  </conditionalFormatting>
  <conditionalFormatting sqref="AG2449:AH2449 AG2453:AH2453">
    <cfRule type="expression" dxfId="1067" priority="1061">
      <formula>AND(AD2449=0,(AG2449&gt;0))</formula>
    </cfRule>
    <cfRule type="expression" dxfId="1066" priority="1062">
      <formula>((AG2449-AD2449)/AD2449)&gt;0.05</formula>
    </cfRule>
  </conditionalFormatting>
  <conditionalFormatting sqref="AG2525:AH2525 AG2528:AH2530">
    <cfRule type="expression" dxfId="1065" priority="1059">
      <formula>AND(AD2525=0,(AG2525&gt;0))</formula>
    </cfRule>
    <cfRule type="expression" dxfId="1064" priority="1060">
      <formula>((AG2525-AD2525)/AD2525)&gt;0.05</formula>
    </cfRule>
  </conditionalFormatting>
  <conditionalFormatting sqref="AG2607:AH2611">
    <cfRule type="expression" dxfId="1063" priority="1057">
      <formula>AND(AD2607=0,(AG2607&gt;0))</formula>
    </cfRule>
    <cfRule type="expression" dxfId="1062" priority="1058">
      <formula>((AG2607-AD2607)/AD2607)&gt;0.05</formula>
    </cfRule>
  </conditionalFormatting>
  <conditionalFormatting sqref="AG2617:AH2621">
    <cfRule type="expression" dxfId="1061" priority="1055">
      <formula>AND(AD2617=0,(AG2617&gt;0))</formula>
    </cfRule>
    <cfRule type="expression" dxfId="1060" priority="1056">
      <formula>((AG2617-AD2617)/AD2617)&gt;0.05</formula>
    </cfRule>
  </conditionalFormatting>
  <conditionalFormatting sqref="AG2225:AH2227">
    <cfRule type="expression" dxfId="1059" priority="1053">
      <formula>AND(AD2225=0,(AG2225&gt;0))</formula>
    </cfRule>
    <cfRule type="expression" dxfId="1058" priority="1054">
      <formula>((AG2225-AD2225)/AD2225)&gt;0.05</formula>
    </cfRule>
  </conditionalFormatting>
  <conditionalFormatting sqref="AG2500:AH2500 AG2502:AH2502">
    <cfRule type="expression" dxfId="1057" priority="1051">
      <formula>AND(AD2500=0,(AG2500&gt;0))</formula>
    </cfRule>
    <cfRule type="expression" dxfId="1056" priority="1052">
      <formula>((AG2500-AD2500)/AD2500)&gt;0.05</formula>
    </cfRule>
  </conditionalFormatting>
  <conditionalFormatting sqref="AG2398:AH2400">
    <cfRule type="expression" dxfId="1055" priority="1049">
      <formula>AND(AD2398=0,(AG2398&gt;0))</formula>
    </cfRule>
    <cfRule type="expression" dxfId="1054" priority="1050">
      <formula>((AG2398-AD2398)/AD2398)&gt;0.05</formula>
    </cfRule>
  </conditionalFormatting>
  <conditionalFormatting sqref="AG2412:AH2412 AG2414:AH2414">
    <cfRule type="expression" dxfId="1053" priority="1047">
      <formula>AND(AD2412=0,(AG2412&gt;0))</formula>
    </cfRule>
    <cfRule type="expression" dxfId="1052" priority="1048">
      <formula>((AG2412-AD2412)/AD2412)&gt;0.05</formula>
    </cfRule>
  </conditionalFormatting>
  <conditionalFormatting sqref="AG2423:AH2423 AG2425:AH2425">
    <cfRule type="expression" dxfId="1051" priority="1045">
      <formula>AND(AD2423=0,(AG2423&gt;0))</formula>
    </cfRule>
    <cfRule type="expression" dxfId="1050" priority="1046">
      <formula>((AG2423-AD2423)/AD2423)&gt;0.05</formula>
    </cfRule>
  </conditionalFormatting>
  <conditionalFormatting sqref="AG2436:AH2436 AG2438:AH2438">
    <cfRule type="expression" dxfId="1049" priority="1043">
      <formula>AND(AD2436=0,(AG2436&gt;0))</formula>
    </cfRule>
    <cfRule type="expression" dxfId="1048" priority="1044">
      <formula>((AG2436-AD2436)/AD2436)&gt;0.05</formula>
    </cfRule>
  </conditionalFormatting>
  <conditionalFormatting sqref="AG2562:AH2562">
    <cfRule type="expression" dxfId="1047" priority="1041">
      <formula>AND(AD2562=0,(AG2562&gt;0))</formula>
    </cfRule>
    <cfRule type="expression" dxfId="1046" priority="1042">
      <formula>((AG2562-AD2562)/AD2562)&gt;0.05</formula>
    </cfRule>
  </conditionalFormatting>
  <conditionalFormatting sqref="AG2513:AH2513 AG2515:AH2515">
    <cfRule type="expression" dxfId="1045" priority="1039">
      <formula>AND(AD2513=0,(AG2513&gt;0))</formula>
    </cfRule>
    <cfRule type="expression" dxfId="1044" priority="1040">
      <formula>((AG2513-AD2513)/AD2513)&gt;0.05</formula>
    </cfRule>
  </conditionalFormatting>
  <conditionalFormatting sqref="AG2450:AH2450 AG2452:AH2452">
    <cfRule type="expression" dxfId="1043" priority="1037">
      <formula>AND(AD2450=0,(AG2450&gt;0))</formula>
    </cfRule>
    <cfRule type="expression" dxfId="1042" priority="1038">
      <formula>((AG2450-AD2450)/AD2450)&gt;0.05</formula>
    </cfRule>
  </conditionalFormatting>
  <conditionalFormatting sqref="AG2572:AH2572 AG2574:AH2575">
    <cfRule type="expression" dxfId="1041" priority="1035">
      <formula>AND(AD2572=0,(AG2572&gt;0))</formula>
    </cfRule>
    <cfRule type="expression" dxfId="1040" priority="1036">
      <formula>((AG2572-AD2572)/AD2572)&gt;0.05</formula>
    </cfRule>
  </conditionalFormatting>
  <conditionalFormatting sqref="AG2461:AH2461 AG2463:AH2463">
    <cfRule type="expression" dxfId="1039" priority="1033">
      <formula>AND(AD2461=0,(AG2461&gt;0))</formula>
    </cfRule>
    <cfRule type="expression" dxfId="1038" priority="1034">
      <formula>((AG2461-AD2461)/AD2461)&gt;0.05</formula>
    </cfRule>
  </conditionalFormatting>
  <conditionalFormatting sqref="AG2540:AH2540 AG2542:AH2542">
    <cfRule type="expression" dxfId="1037" priority="1031">
      <formula>AND(AD2540=0,(AG2540&gt;0))</formula>
    </cfRule>
    <cfRule type="expression" dxfId="1036" priority="1032">
      <formula>((AG2540-AD2540)/AD2540)&gt;0.05</formula>
    </cfRule>
  </conditionalFormatting>
  <conditionalFormatting sqref="AG2646:AH2646">
    <cfRule type="expression" dxfId="1035" priority="1015">
      <formula>AND(AD2646=0,(AG2646&gt;0))</formula>
    </cfRule>
    <cfRule type="expression" dxfId="1034" priority="1016">
      <formula>((AG2646-AD2646)/AD2646)&gt;0.05</formula>
    </cfRule>
  </conditionalFormatting>
  <conditionalFormatting sqref="AG2647:AH2647">
    <cfRule type="expression" dxfId="1033" priority="999">
      <formula>AND(AD2647=0,(AG2647&gt;0))</formula>
    </cfRule>
    <cfRule type="expression" dxfId="1032" priority="1000">
      <formula>((AG2647-AD2647)/AD2647)&gt;0.05</formula>
    </cfRule>
  </conditionalFormatting>
  <conditionalFormatting sqref="AG2648:AH2648">
    <cfRule type="expression" dxfId="1031" priority="983">
      <formula>AND(AD2648=0,(AG2648&gt;0))</formula>
    </cfRule>
    <cfRule type="expression" dxfId="1030" priority="984">
      <formula>((AG2648-AD2648)/AD2648)&gt;0.05</formula>
    </cfRule>
  </conditionalFormatting>
  <conditionalFormatting sqref="H2646">
    <cfRule type="expression" dxfId="1029" priority="1029">
      <formula>AND(G2646=0,(H2646&gt;0))</formula>
    </cfRule>
    <cfRule type="expression" dxfId="1028" priority="1030">
      <formula>((H2646-G2646)/G2646)&gt;0.05</formula>
    </cfRule>
  </conditionalFormatting>
  <conditionalFormatting sqref="P2646:Q2646">
    <cfRule type="expression" dxfId="1027" priority="1027">
      <formula>AND(M2646=0,(P2646&gt;0))</formula>
    </cfRule>
    <cfRule type="expression" dxfId="1026" priority="1028">
      <formula>((P2646-M2646)/M2646)&gt;0.05</formula>
    </cfRule>
  </conditionalFormatting>
  <conditionalFormatting sqref="J2646">
    <cfRule type="expression" dxfId="1025" priority="1025">
      <formula>AND(I2646=0,(J2646&gt;0))</formula>
    </cfRule>
    <cfRule type="expression" dxfId="1024" priority="1026">
      <formula>((J2646-I2646)/I2646)&gt;0.05</formula>
    </cfRule>
  </conditionalFormatting>
  <conditionalFormatting sqref="L2646">
    <cfRule type="expression" dxfId="1023" priority="1023">
      <formula>AND(K2646=0,(L2646&gt;0))</formula>
    </cfRule>
    <cfRule type="expression" dxfId="1022" priority="1024">
      <formula>((L2646-K2646)/K2646)&gt;0.05</formula>
    </cfRule>
  </conditionalFormatting>
  <conditionalFormatting sqref="V2646">
    <cfRule type="expression" dxfId="1021" priority="1021">
      <formula>AND(U2646=0,(V2646&gt;0))</formula>
    </cfRule>
    <cfRule type="expression" dxfId="1020" priority="1022">
      <formula>((V2646-U2646)/U2646)&gt;0.05</formula>
    </cfRule>
  </conditionalFormatting>
  <conditionalFormatting sqref="AD2646">
    <cfRule type="expression" dxfId="1019" priority="1019">
      <formula>AND(AC2646=0,(AD2646&gt;0))</formula>
    </cfRule>
    <cfRule type="expression" dxfId="1018" priority="1020">
      <formula>((AD2646-AC2646)/AC2646)&gt;0.05</formula>
    </cfRule>
  </conditionalFormatting>
  <conditionalFormatting sqref="Z2646:AA2646">
    <cfRule type="expression" dxfId="1017" priority="1017">
      <formula>AND(W2646=0,(Z2646&gt;0))</formula>
    </cfRule>
    <cfRule type="expression" dxfId="1016" priority="1018">
      <formula>((Z2646-W2646)/W2646)&gt;0.05</formula>
    </cfRule>
  </conditionalFormatting>
  <conditionalFormatting sqref="AG2637:AH2637">
    <cfRule type="expression" dxfId="1015" priority="967">
      <formula>AND(AD2637=0,(AG2637&gt;0))</formula>
    </cfRule>
    <cfRule type="expression" dxfId="1014" priority="968">
      <formula>((AG2637-AD2637)/AD2637)&gt;0.05</formula>
    </cfRule>
  </conditionalFormatting>
  <conditionalFormatting sqref="H2647">
    <cfRule type="expression" dxfId="1013" priority="1013">
      <formula>AND(G2647=0,(H2647&gt;0))</formula>
    </cfRule>
    <cfRule type="expression" dxfId="1012" priority="1014">
      <formula>((H2647-G2647)/G2647)&gt;0.05</formula>
    </cfRule>
  </conditionalFormatting>
  <conditionalFormatting sqref="P2647:Q2647">
    <cfRule type="expression" dxfId="1011" priority="1011">
      <formula>AND(M2647=0,(P2647&gt;0))</formula>
    </cfRule>
    <cfRule type="expression" dxfId="1010" priority="1012">
      <formula>((P2647-M2647)/M2647)&gt;0.05</formula>
    </cfRule>
  </conditionalFormatting>
  <conditionalFormatting sqref="J2647">
    <cfRule type="expression" dxfId="1009" priority="1009">
      <formula>AND(I2647=0,(J2647&gt;0))</formula>
    </cfRule>
    <cfRule type="expression" dxfId="1008" priority="1010">
      <formula>((J2647-I2647)/I2647)&gt;0.05</formula>
    </cfRule>
  </conditionalFormatting>
  <conditionalFormatting sqref="L2647">
    <cfRule type="expression" dxfId="1007" priority="1007">
      <formula>AND(K2647=0,(L2647&gt;0))</formula>
    </cfRule>
    <cfRule type="expression" dxfId="1006" priority="1008">
      <formula>((L2647-K2647)/K2647)&gt;0.05</formula>
    </cfRule>
  </conditionalFormatting>
  <conditionalFormatting sqref="V2647">
    <cfRule type="expression" dxfId="1005" priority="1005">
      <formula>AND(U2647=0,(V2647&gt;0))</formula>
    </cfRule>
    <cfRule type="expression" dxfId="1004" priority="1006">
      <formula>((V2647-U2647)/U2647)&gt;0.05</formula>
    </cfRule>
  </conditionalFormatting>
  <conditionalFormatting sqref="AD2647">
    <cfRule type="expression" dxfId="1003" priority="1003">
      <formula>AND(AC2647=0,(AD2647&gt;0))</formula>
    </cfRule>
    <cfRule type="expression" dxfId="1002" priority="1004">
      <formula>((AD2647-AC2647)/AC2647)&gt;0.05</formula>
    </cfRule>
  </conditionalFormatting>
  <conditionalFormatting sqref="Z2647:AA2647">
    <cfRule type="expression" dxfId="1001" priority="1001">
      <formula>AND(W2647=0,(Z2647&gt;0))</formula>
    </cfRule>
    <cfRule type="expression" dxfId="1000" priority="1002">
      <formula>((Z2647-W2647)/W2647)&gt;0.05</formula>
    </cfRule>
  </conditionalFormatting>
  <conditionalFormatting sqref="H2648">
    <cfRule type="expression" dxfId="999" priority="997">
      <formula>AND(G2648=0,(H2648&gt;0))</formula>
    </cfRule>
    <cfRule type="expression" dxfId="998" priority="998">
      <formula>((H2648-G2648)/G2648)&gt;0.05</formula>
    </cfRule>
  </conditionalFormatting>
  <conditionalFormatting sqref="P2648:Q2648">
    <cfRule type="expression" dxfId="997" priority="995">
      <formula>AND(M2648=0,(P2648&gt;0))</formula>
    </cfRule>
    <cfRule type="expression" dxfId="996" priority="996">
      <formula>((P2648-M2648)/M2648)&gt;0.05</formula>
    </cfRule>
  </conditionalFormatting>
  <conditionalFormatting sqref="J2648">
    <cfRule type="expression" dxfId="995" priority="993">
      <formula>AND(I2648=0,(J2648&gt;0))</formula>
    </cfRule>
    <cfRule type="expression" dxfId="994" priority="994">
      <formula>((J2648-I2648)/I2648)&gt;0.05</formula>
    </cfRule>
  </conditionalFormatting>
  <conditionalFormatting sqref="L2648">
    <cfRule type="expression" dxfId="993" priority="991">
      <formula>AND(K2648=0,(L2648&gt;0))</formula>
    </cfRule>
    <cfRule type="expression" dxfId="992" priority="992">
      <formula>((L2648-K2648)/K2648)&gt;0.05</formula>
    </cfRule>
  </conditionalFormatting>
  <conditionalFormatting sqref="V2648">
    <cfRule type="expression" dxfId="991" priority="989">
      <formula>AND(U2648=0,(V2648&gt;0))</formula>
    </cfRule>
    <cfRule type="expression" dxfId="990" priority="990">
      <formula>((V2648-U2648)/U2648)&gt;0.05</formula>
    </cfRule>
  </conditionalFormatting>
  <conditionalFormatting sqref="AD2648">
    <cfRule type="expression" dxfId="989" priority="987">
      <formula>AND(AC2648=0,(AD2648&gt;0))</formula>
    </cfRule>
    <cfRule type="expression" dxfId="988" priority="988">
      <formula>((AD2648-AC2648)/AC2648)&gt;0.05</formula>
    </cfRule>
  </conditionalFormatting>
  <conditionalFormatting sqref="Z2648:AA2648">
    <cfRule type="expression" dxfId="987" priority="985">
      <formula>AND(W2648=0,(Z2648&gt;0))</formula>
    </cfRule>
    <cfRule type="expression" dxfId="986" priority="986">
      <formula>((Z2648-W2648)/W2648)&gt;0.05</formula>
    </cfRule>
  </conditionalFormatting>
  <conditionalFormatting sqref="AG2656:AH2656">
    <cfRule type="expression" dxfId="985" priority="951">
      <formula>AND(AD2656=0,(AG2656&gt;0))</formula>
    </cfRule>
    <cfRule type="expression" dxfId="984" priority="952">
      <formula>((AG2656-AD2656)/AD2656)&gt;0.05</formula>
    </cfRule>
  </conditionalFormatting>
  <conditionalFormatting sqref="H2637">
    <cfRule type="expression" dxfId="983" priority="981">
      <formula>AND(G2637=0,(H2637&gt;0))</formula>
    </cfRule>
    <cfRule type="expression" dxfId="982" priority="982">
      <formula>((H2637-G2637)/G2637)&gt;0.05</formula>
    </cfRule>
  </conditionalFormatting>
  <conditionalFormatting sqref="P2637:Q2637">
    <cfRule type="expression" dxfId="981" priority="979">
      <formula>AND(M2637=0,(P2637&gt;0))</formula>
    </cfRule>
    <cfRule type="expression" dxfId="980" priority="980">
      <formula>((P2637-M2637)/M2637)&gt;0.05</formula>
    </cfRule>
  </conditionalFormatting>
  <conditionalFormatting sqref="J2637">
    <cfRule type="expression" dxfId="979" priority="977">
      <formula>AND(I2637=0,(J2637&gt;0))</formula>
    </cfRule>
    <cfRule type="expression" dxfId="978" priority="978">
      <formula>((J2637-I2637)/I2637)&gt;0.05</formula>
    </cfRule>
  </conditionalFormatting>
  <conditionalFormatting sqref="L2637">
    <cfRule type="expression" dxfId="977" priority="975">
      <formula>AND(K2637=0,(L2637&gt;0))</formula>
    </cfRule>
    <cfRule type="expression" dxfId="976" priority="976">
      <formula>((L2637-K2637)/K2637)&gt;0.05</formula>
    </cfRule>
  </conditionalFormatting>
  <conditionalFormatting sqref="V2637">
    <cfRule type="expression" dxfId="975" priority="973">
      <formula>AND(U2637=0,(V2637&gt;0))</formula>
    </cfRule>
    <cfRule type="expression" dxfId="974" priority="974">
      <formula>((V2637-U2637)/U2637)&gt;0.05</formula>
    </cfRule>
  </conditionalFormatting>
  <conditionalFormatting sqref="AD2637">
    <cfRule type="expression" dxfId="973" priority="971">
      <formula>AND(AC2637=0,(AD2637&gt;0))</formula>
    </cfRule>
    <cfRule type="expression" dxfId="972" priority="972">
      <formula>((AD2637-AC2637)/AC2637)&gt;0.05</formula>
    </cfRule>
  </conditionalFormatting>
  <conditionalFormatting sqref="Z2637:AA2637">
    <cfRule type="expression" dxfId="971" priority="969">
      <formula>AND(W2637=0,(Z2637&gt;0))</formula>
    </cfRule>
    <cfRule type="expression" dxfId="970" priority="970">
      <formula>((Z2637-W2637)/W2637)&gt;0.05</formula>
    </cfRule>
  </conditionalFormatting>
  <conditionalFormatting sqref="H2656">
    <cfRule type="expression" dxfId="969" priority="965">
      <formula>AND(G2656=0,(H2656&gt;0))</formula>
    </cfRule>
    <cfRule type="expression" dxfId="968" priority="966">
      <formula>((H2656-G2656)/G2656)&gt;0.05</formula>
    </cfRule>
  </conditionalFormatting>
  <conditionalFormatting sqref="P2656:Q2656">
    <cfRule type="expression" dxfId="967" priority="963">
      <formula>AND(M2656=0,(P2656&gt;0))</formula>
    </cfRule>
    <cfRule type="expression" dxfId="966" priority="964">
      <formula>((P2656-M2656)/M2656)&gt;0.05</formula>
    </cfRule>
  </conditionalFormatting>
  <conditionalFormatting sqref="J2656">
    <cfRule type="expression" dxfId="965" priority="961">
      <formula>AND(I2656=0,(J2656&gt;0))</formula>
    </cfRule>
    <cfRule type="expression" dxfId="964" priority="962">
      <formula>((J2656-I2656)/I2656)&gt;0.05</formula>
    </cfRule>
  </conditionalFormatting>
  <conditionalFormatting sqref="L2656">
    <cfRule type="expression" dxfId="963" priority="959">
      <formula>AND(K2656=0,(L2656&gt;0))</formula>
    </cfRule>
    <cfRule type="expression" dxfId="962" priority="960">
      <formula>((L2656-K2656)/K2656)&gt;0.05</formula>
    </cfRule>
  </conditionalFormatting>
  <conditionalFormatting sqref="V2656">
    <cfRule type="expression" dxfId="961" priority="957">
      <formula>AND(U2656=0,(V2656&gt;0))</formula>
    </cfRule>
    <cfRule type="expression" dxfId="960" priority="958">
      <formula>((V2656-U2656)/U2656)&gt;0.05</formula>
    </cfRule>
  </conditionalFormatting>
  <conditionalFormatting sqref="AD2656">
    <cfRule type="expression" dxfId="959" priority="955">
      <formula>AND(AC2656=0,(AD2656&gt;0))</formula>
    </cfRule>
    <cfRule type="expression" dxfId="958" priority="956">
      <formula>((AD2656-AC2656)/AC2656)&gt;0.05</formula>
    </cfRule>
  </conditionalFormatting>
  <conditionalFormatting sqref="Z2656:AA2656">
    <cfRule type="expression" dxfId="957" priority="953">
      <formula>AND(W2656=0,(Z2656&gt;0))</formula>
    </cfRule>
    <cfRule type="expression" dxfId="956" priority="954">
      <formula>((Z2656-W2656)/W2656)&gt;0.05</formula>
    </cfRule>
  </conditionalFormatting>
  <conditionalFormatting sqref="J2270 L2270 V2270 AD2270 H2270">
    <cfRule type="expression" dxfId="955" priority="949">
      <formula>AND(G2270=0,(H2270&gt;0))</formula>
    </cfRule>
    <cfRule type="expression" dxfId="954" priority="950">
      <formula>((H2270-G2270)/G2270)&gt;0.05</formula>
    </cfRule>
  </conditionalFormatting>
  <conditionalFormatting sqref="P2270:Q2270 Z2270:AA2270 AG2270:AH2270">
    <cfRule type="expression" dxfId="953" priority="947">
      <formula>AND(M2270=0,(P2270&gt;0))</formula>
    </cfRule>
    <cfRule type="expression" dxfId="952" priority="948">
      <formula>((P2270-M2270)/M2270)&gt;0.05</formula>
    </cfRule>
  </conditionalFormatting>
  <conditionalFormatting sqref="H2273 AD2273 V2273 L2273 J2273">
    <cfRule type="expression" dxfId="951" priority="945">
      <formula>AND(G2273=0,(H2273&gt;0))</formula>
    </cfRule>
    <cfRule type="expression" dxfId="950" priority="946">
      <formula>((H2273-G2273)/G2273)&gt;0.05</formula>
    </cfRule>
  </conditionalFormatting>
  <conditionalFormatting sqref="AG2273:AH2273 Z2273:AA2273 P2273:Q2273">
    <cfRule type="expression" dxfId="949" priority="943">
      <formula>AND(M2273=0,(P2273&gt;0))</formula>
    </cfRule>
    <cfRule type="expression" dxfId="948" priority="944">
      <formula>((P2273-M2273)/M2273)&gt;0.05</formula>
    </cfRule>
  </conditionalFormatting>
  <conditionalFormatting sqref="H2279 AD2279 V2279 L2279 J2279">
    <cfRule type="expression" dxfId="947" priority="941">
      <formula>AND(G2279=0,(H2279&gt;0))</formula>
    </cfRule>
    <cfRule type="expression" dxfId="946" priority="942">
      <formula>((H2279-G2279)/G2279)&gt;0.05</formula>
    </cfRule>
  </conditionalFormatting>
  <conditionalFormatting sqref="AG2279:AH2279 Z2279:AA2279 P2279:Q2279">
    <cfRule type="expression" dxfId="945" priority="939">
      <formula>AND(M2279=0,(P2279&gt;0))</formula>
    </cfRule>
    <cfRule type="expression" dxfId="944" priority="940">
      <formula>((P2279-M2279)/M2279)&gt;0.05</formula>
    </cfRule>
  </conditionalFormatting>
  <conditionalFormatting sqref="AD2297 V2297 L2297 J2297 H2297">
    <cfRule type="expression" dxfId="943" priority="937">
      <formula>AND(G2297=0,(H2297&gt;0))</formula>
    </cfRule>
    <cfRule type="expression" dxfId="942" priority="938">
      <formula>((H2297-G2297)/G2297)&gt;0.05</formula>
    </cfRule>
  </conditionalFormatting>
  <conditionalFormatting sqref="AG2297:AH2297 Z2297:AA2297 P2297:Q2297">
    <cfRule type="expression" dxfId="941" priority="935">
      <formula>AND(M2297=0,(P2297&gt;0))</formula>
    </cfRule>
    <cfRule type="expression" dxfId="940" priority="936">
      <formula>((P2297-M2297)/M2297)&gt;0.05</formula>
    </cfRule>
  </conditionalFormatting>
  <conditionalFormatting sqref="H2300 J2300 L2300 V2300 AD2300">
    <cfRule type="expression" dxfId="939" priority="933">
      <formula>AND(G2300=0,(H2300&gt;0))</formula>
    </cfRule>
    <cfRule type="expression" dxfId="938" priority="934">
      <formula>((H2300-G2300)/G2300)&gt;0.05</formula>
    </cfRule>
  </conditionalFormatting>
  <conditionalFormatting sqref="P2300:Q2300 Z2300:AA2300 AG2300:AH2300">
    <cfRule type="expression" dxfId="937" priority="931">
      <formula>AND(M2300=0,(P2300&gt;0))</formula>
    </cfRule>
    <cfRule type="expression" dxfId="936" priority="932">
      <formula>((P2300-M2300)/M2300)&gt;0.05</formula>
    </cfRule>
  </conditionalFormatting>
  <conditionalFormatting sqref="H2306 J2306 L2306 V2306 AD2306">
    <cfRule type="expression" dxfId="935" priority="929">
      <formula>AND(G2306=0,(H2306&gt;0))</formula>
    </cfRule>
    <cfRule type="expression" dxfId="934" priority="930">
      <formula>((H2306-G2306)/G2306)&gt;0.05</formula>
    </cfRule>
  </conditionalFormatting>
  <conditionalFormatting sqref="P2306:Q2306 Z2306:AA2306 AG2306:AH2306">
    <cfRule type="expression" dxfId="933" priority="927">
      <formula>AND(M2306=0,(P2306&gt;0))</formula>
    </cfRule>
    <cfRule type="expression" dxfId="932" priority="928">
      <formula>((P2306-M2306)/M2306)&gt;0.05</formula>
    </cfRule>
  </conditionalFormatting>
  <conditionalFormatting sqref="J2255">
    <cfRule type="expression" dxfId="931" priority="921">
      <formula>AND(I2255=0,(J2255&gt;0))</formula>
    </cfRule>
    <cfRule type="expression" dxfId="930" priority="922">
      <formula>((J2255-I2255)/I2255)&gt;0.05</formula>
    </cfRule>
  </conditionalFormatting>
  <conditionalFormatting sqref="L2255 V2255 AD2255 H2255">
    <cfRule type="expression" dxfId="929" priority="925">
      <formula>AND(G2255=0,(H2255&gt;0))</formula>
    </cfRule>
    <cfRule type="expression" dxfId="928" priority="926">
      <formula>((H2255-G2255)/G2255)&gt;0.05</formula>
    </cfRule>
  </conditionalFormatting>
  <conditionalFormatting sqref="P2255:Q2255 Z2255:AA2255 AG2255:AH2255">
    <cfRule type="expression" dxfId="927" priority="923">
      <formula>AND(M2255=0,(P2255&gt;0))</formula>
    </cfRule>
    <cfRule type="expression" dxfId="926" priority="924">
      <formula>((P2255-M2255)/M2255)&gt;0.05</formula>
    </cfRule>
  </conditionalFormatting>
  <conditionalFormatting sqref="H2310 L2310 V2310 AD2310 J2310">
    <cfRule type="expression" dxfId="925" priority="919">
      <formula>AND(G2310=0,(H2310&gt;0))</formula>
    </cfRule>
    <cfRule type="expression" dxfId="924" priority="920">
      <formula>((H2310-G2310)/G2310)&gt;0.05</formula>
    </cfRule>
  </conditionalFormatting>
  <conditionalFormatting sqref="P2310:Q2310 Z2310:AA2310 AG2310:AH2310">
    <cfRule type="expression" dxfId="923" priority="917">
      <formula>AND(M2310=0,(P2310&gt;0))</formula>
    </cfRule>
    <cfRule type="expression" dxfId="922" priority="918">
      <formula>((P2310-M2310)/M2310)&gt;0.05</formula>
    </cfRule>
  </conditionalFormatting>
  <conditionalFormatting sqref="AG2315:AH2316 Z2315:AA2316 P2315:Q2316">
    <cfRule type="expression" dxfId="921" priority="913">
      <formula>AND(M2315=0,(P2315&gt;0))</formula>
    </cfRule>
    <cfRule type="expression" dxfId="920" priority="914">
      <formula>((P2315-M2315)/M2315)&gt;0.05</formula>
    </cfRule>
  </conditionalFormatting>
  <conditionalFormatting sqref="J2315:J2316 AD2315:AD2316 V2315:V2316 L2315:L2316 H2315:H2316">
    <cfRule type="expression" dxfId="919" priority="915">
      <formula>AND(G2315=0,(H2315&gt;0))</formula>
    </cfRule>
    <cfRule type="expression" dxfId="918" priority="916">
      <formula>((H2315-G2315)/G2315)&gt;0.05</formula>
    </cfRule>
  </conditionalFormatting>
  <conditionalFormatting sqref="P2322:Q2322 Z2322:AA2322 AG2322:AH2322">
    <cfRule type="expression" dxfId="917" priority="909">
      <formula>AND(M2322=0,(P2322&gt;0))</formula>
    </cfRule>
    <cfRule type="expression" dxfId="916" priority="910">
      <formula>((P2322-M2322)/M2322)&gt;0.05</formula>
    </cfRule>
  </conditionalFormatting>
  <conditionalFormatting sqref="H2322 L2322 V2322 AD2322 J2322">
    <cfRule type="expression" dxfId="915" priority="911">
      <formula>AND(G2322=0,(H2322&gt;0))</formula>
    </cfRule>
    <cfRule type="expression" dxfId="914" priority="912">
      <formula>((H2322-G2322)/G2322)&gt;0.05</formula>
    </cfRule>
  </conditionalFormatting>
  <conditionalFormatting sqref="P2323:Q2323 Z2323:AA2323 AG2323:AH2323">
    <cfRule type="expression" dxfId="913" priority="905">
      <formula>AND(M2323=0,(P2323&gt;0))</formula>
    </cfRule>
    <cfRule type="expression" dxfId="912" priority="906">
      <formula>((P2323-M2323)/M2323)&gt;0.05</formula>
    </cfRule>
  </conditionalFormatting>
  <conditionalFormatting sqref="H2323 L2323 V2323 AD2323 J2323">
    <cfRule type="expression" dxfId="911" priority="907">
      <formula>AND(G2323=0,(H2323&gt;0))</formula>
    </cfRule>
    <cfRule type="expression" dxfId="910" priority="908">
      <formula>((H2323-G2323)/G2323)&gt;0.05</formula>
    </cfRule>
  </conditionalFormatting>
  <conditionalFormatting sqref="P2346:Q2346 Z2346:AA2346 AG2346:AH2346">
    <cfRule type="expression" dxfId="909" priority="901">
      <formula>AND(M2346=0,(P2346&gt;0))</formula>
    </cfRule>
    <cfRule type="expression" dxfId="908" priority="902">
      <formula>((P2346-M2346)/M2346)&gt;0.05</formula>
    </cfRule>
  </conditionalFormatting>
  <conditionalFormatting sqref="H2346 L2346 V2346 AD2346 J2346">
    <cfRule type="expression" dxfId="907" priority="903">
      <formula>AND(G2346=0,(H2346&gt;0))</formula>
    </cfRule>
    <cfRule type="expression" dxfId="906" priority="904">
      <formula>((H2346-G2346)/G2346)&gt;0.05</formula>
    </cfRule>
  </conditionalFormatting>
  <conditionalFormatting sqref="AG2349:AH2350 Z2349:AA2350 P2349:Q2350">
    <cfRule type="expression" dxfId="905" priority="897">
      <formula>AND(M2349=0,(P2349&gt;0))</formula>
    </cfRule>
    <cfRule type="expression" dxfId="904" priority="898">
      <formula>((P2349-M2349)/M2349)&gt;0.05</formula>
    </cfRule>
  </conditionalFormatting>
  <conditionalFormatting sqref="J2349:J2350 AD2349:AD2350 V2349:V2350 L2349:L2350 H2349:H2350">
    <cfRule type="expression" dxfId="903" priority="899">
      <formula>AND(G2349=0,(H2349&gt;0))</formula>
    </cfRule>
    <cfRule type="expression" dxfId="902" priority="900">
      <formula>((H2349-G2349)/G2349)&gt;0.05</formula>
    </cfRule>
  </conditionalFormatting>
  <conditionalFormatting sqref="P2351:Q2351 Z2351:AA2351 AG2351:AH2351">
    <cfRule type="expression" dxfId="901" priority="893">
      <formula>AND(M2351=0,(P2351&gt;0))</formula>
    </cfRule>
    <cfRule type="expression" dxfId="900" priority="894">
      <formula>((P2351-M2351)/M2351)&gt;0.05</formula>
    </cfRule>
  </conditionalFormatting>
  <conditionalFormatting sqref="H2351 L2351 V2351 AD2351 J2351">
    <cfRule type="expression" dxfId="899" priority="895">
      <formula>AND(G2351=0,(H2351&gt;0))</formula>
    </cfRule>
    <cfRule type="expression" dxfId="898" priority="896">
      <formula>((H2351-G2351)/G2351)&gt;0.05</formula>
    </cfRule>
  </conditionalFormatting>
  <conditionalFormatting sqref="P2332:Q2333 Z2332:AA2333 AG2332:AH2333">
    <cfRule type="expression" dxfId="897" priority="889">
      <formula>AND(M2332=0,(P2332&gt;0))</formula>
    </cfRule>
    <cfRule type="expression" dxfId="896" priority="890">
      <formula>((P2332-M2332)/M2332)&gt;0.05</formula>
    </cfRule>
  </conditionalFormatting>
  <conditionalFormatting sqref="H2332:H2333 L2332:L2333 V2332:V2333 AD2332:AD2333 J2332:J2333">
    <cfRule type="expression" dxfId="895" priority="891">
      <formula>AND(G2332=0,(H2332&gt;0))</formula>
    </cfRule>
    <cfRule type="expression" dxfId="894" priority="892">
      <formula>((H2332-G2332)/G2332)&gt;0.05</formula>
    </cfRule>
  </conditionalFormatting>
  <conditionalFormatting sqref="P2364:Q2364 Z2364:AA2364 AG2364:AH2364">
    <cfRule type="expression" dxfId="893" priority="885">
      <formula>AND(M2364=0,(P2364&gt;0))</formula>
    </cfRule>
    <cfRule type="expression" dxfId="892" priority="886">
      <formula>((P2364-M2364)/M2364)&gt;0.05</formula>
    </cfRule>
  </conditionalFormatting>
  <conditionalFormatting sqref="H2364 L2364 V2364 AD2364 J2364">
    <cfRule type="expression" dxfId="891" priority="887">
      <formula>AND(G2364=0,(H2364&gt;0))</formula>
    </cfRule>
    <cfRule type="expression" dxfId="890" priority="888">
      <formula>((H2364-G2364)/G2364)&gt;0.05</formula>
    </cfRule>
  </conditionalFormatting>
  <conditionalFormatting sqref="P2365:Q2365 Z2365:AA2365 AG2365:AH2365">
    <cfRule type="expression" dxfId="889" priority="881">
      <formula>AND(M2365=0,(P2365&gt;0))</formula>
    </cfRule>
    <cfRule type="expression" dxfId="888" priority="882">
      <formula>((P2365-M2365)/M2365)&gt;0.05</formula>
    </cfRule>
  </conditionalFormatting>
  <conditionalFormatting sqref="H2365 L2365 V2365 AD2365 J2365">
    <cfRule type="expression" dxfId="887" priority="883">
      <formula>AND(G2365=0,(H2365&gt;0))</formula>
    </cfRule>
    <cfRule type="expression" dxfId="886" priority="884">
      <formula>((H2365-G2365)/G2365)&gt;0.05</formula>
    </cfRule>
  </conditionalFormatting>
  <conditionalFormatting sqref="H2386:H2387">
    <cfRule type="expression" dxfId="885" priority="879">
      <formula>AND(G2386=0,(H2386&gt;0))</formula>
    </cfRule>
    <cfRule type="expression" dxfId="884" priority="880">
      <formula>((H2386-G2386)/G2386)&gt;0.05</formula>
    </cfRule>
  </conditionalFormatting>
  <conditionalFormatting sqref="P2386:Q2387">
    <cfRule type="expression" dxfId="883" priority="877">
      <formula>AND(M2386=0,(P2386&gt;0))</formula>
    </cfRule>
    <cfRule type="expression" dxfId="882" priority="878">
      <formula>((P2386-M2386)/M2386)&gt;0.05</formula>
    </cfRule>
  </conditionalFormatting>
  <conditionalFormatting sqref="J2386:J2387">
    <cfRule type="expression" dxfId="881" priority="875">
      <formula>AND(I2386=0,(J2386&gt;0))</formula>
    </cfRule>
    <cfRule type="expression" dxfId="880" priority="876">
      <formula>((J2386-I2386)/I2386)&gt;0.05</formula>
    </cfRule>
  </conditionalFormatting>
  <conditionalFormatting sqref="L2386:L2387">
    <cfRule type="expression" dxfId="879" priority="873">
      <formula>AND(K2386=0,(L2386&gt;0))</formula>
    </cfRule>
    <cfRule type="expression" dxfId="878" priority="874">
      <formula>((L2386-K2386)/K2386)&gt;0.05</formula>
    </cfRule>
  </conditionalFormatting>
  <conditionalFormatting sqref="V2386:V2387">
    <cfRule type="expression" dxfId="877" priority="871">
      <formula>AND(U2386=0,(V2386&gt;0))</formula>
    </cfRule>
    <cfRule type="expression" dxfId="876" priority="872">
      <formula>((V2386-U2386)/U2386)&gt;0.05</formula>
    </cfRule>
  </conditionalFormatting>
  <conditionalFormatting sqref="AD2386:AD2387">
    <cfRule type="expression" dxfId="875" priority="869">
      <formula>AND(AC2386=0,(AD2386&gt;0))</formula>
    </cfRule>
    <cfRule type="expression" dxfId="874" priority="870">
      <formula>((AD2386-AC2386)/AC2386)&gt;0.05</formula>
    </cfRule>
  </conditionalFormatting>
  <conditionalFormatting sqref="Z2386:AA2387">
    <cfRule type="expression" dxfId="873" priority="867">
      <formula>AND(W2386=0,(Z2386&gt;0))</formula>
    </cfRule>
    <cfRule type="expression" dxfId="872" priority="868">
      <formula>((Z2386-W2386)/W2386)&gt;0.05</formula>
    </cfRule>
  </conditionalFormatting>
  <conditionalFormatting sqref="AG2386:AH2387">
    <cfRule type="expression" dxfId="871" priority="865">
      <formula>AND(AD2386=0,(AG2386&gt;0))</formula>
    </cfRule>
    <cfRule type="expression" dxfId="870" priority="866">
      <formula>((AG2386-AD2386)/AD2386)&gt;0.05</formula>
    </cfRule>
  </conditionalFormatting>
  <conditionalFormatting sqref="J2591">
    <cfRule type="expression" dxfId="869" priority="863">
      <formula>AND(I2591=0,(J2591&gt;0))</formula>
    </cfRule>
    <cfRule type="expression" dxfId="868" priority="864">
      <formula>((J2591-I2591)/I2591)&gt;0.05</formula>
    </cfRule>
  </conditionalFormatting>
  <conditionalFormatting sqref="H2686 J2686 L2686 V2686 AD2686">
    <cfRule type="expression" dxfId="867" priority="861">
      <formula>AND(G2686=0,(H2686&gt;0))</formula>
    </cfRule>
    <cfRule type="expression" dxfId="866" priority="862">
      <formula>((H2686-G2686)/G2686)&gt;0.05</formula>
    </cfRule>
  </conditionalFormatting>
  <conditionalFormatting sqref="P2686:Q2686 Z2686:AA2686 AG2686:AH2686">
    <cfRule type="expression" dxfId="865" priority="859">
      <formula>AND(M2686=0,(P2686&gt;0))</formula>
    </cfRule>
    <cfRule type="expression" dxfId="864" priority="860">
      <formula>((P2686-M2686)/M2686)&gt;0.05</formula>
    </cfRule>
  </conditionalFormatting>
  <conditionalFormatting sqref="H2413">
    <cfRule type="expression" dxfId="863" priority="857">
      <formula>AND(G2413=0,(H2413&gt;0))</formula>
    </cfRule>
    <cfRule type="expression" dxfId="862" priority="858">
      <formula>((H2413-G2413)/G2413)&gt;0.05</formula>
    </cfRule>
  </conditionalFormatting>
  <conditionalFormatting sqref="P2413:Q2413">
    <cfRule type="expression" dxfId="861" priority="855">
      <formula>AND(M2413=0,(P2413&gt;0))</formula>
    </cfRule>
    <cfRule type="expression" dxfId="860" priority="856">
      <formula>((P2413-M2413)/M2413)&gt;0.05</formula>
    </cfRule>
  </conditionalFormatting>
  <conditionalFormatting sqref="J2413">
    <cfRule type="expression" dxfId="859" priority="853">
      <formula>AND(I2413=0,(J2413&gt;0))</formula>
    </cfRule>
    <cfRule type="expression" dxfId="858" priority="854">
      <formula>((J2413-I2413)/I2413)&gt;0.05</formula>
    </cfRule>
  </conditionalFormatting>
  <conditionalFormatting sqref="L2413">
    <cfRule type="expression" dxfId="857" priority="851">
      <formula>AND(K2413=0,(L2413&gt;0))</formula>
    </cfRule>
    <cfRule type="expression" dxfId="856" priority="852">
      <formula>((L2413-K2413)/K2413)&gt;0.05</formula>
    </cfRule>
  </conditionalFormatting>
  <conditionalFormatting sqref="V2413">
    <cfRule type="expression" dxfId="855" priority="849">
      <formula>AND(U2413=0,(V2413&gt;0))</formula>
    </cfRule>
    <cfRule type="expression" dxfId="854" priority="850">
      <formula>((V2413-U2413)/U2413)&gt;0.05</formula>
    </cfRule>
  </conditionalFormatting>
  <conditionalFormatting sqref="AD2413">
    <cfRule type="expression" dxfId="853" priority="847">
      <formula>AND(AC2413=0,(AD2413&gt;0))</formula>
    </cfRule>
    <cfRule type="expression" dxfId="852" priority="848">
      <formula>((AD2413-AC2413)/AC2413)&gt;0.05</formula>
    </cfRule>
  </conditionalFormatting>
  <conditionalFormatting sqref="Z2413:AA2413">
    <cfRule type="expression" dxfId="851" priority="845">
      <formula>AND(W2413=0,(Z2413&gt;0))</formula>
    </cfRule>
    <cfRule type="expression" dxfId="850" priority="846">
      <formula>((Z2413-W2413)/W2413)&gt;0.05</formula>
    </cfRule>
  </conditionalFormatting>
  <conditionalFormatting sqref="AG2413:AH2413">
    <cfRule type="expression" dxfId="849" priority="843">
      <formula>AND(AD2413=0,(AG2413&gt;0))</formula>
    </cfRule>
    <cfRule type="expression" dxfId="848" priority="844">
      <formula>((AG2413-AD2413)/AD2413)&gt;0.05</formula>
    </cfRule>
  </conditionalFormatting>
  <conditionalFormatting sqref="J2418">
    <cfRule type="expression" dxfId="847" priority="841">
      <formula>AND(I2418=0,(J2418&gt;0))</formula>
    </cfRule>
    <cfRule type="expression" dxfId="846" priority="842">
      <formula>((J2418-I2418)/I2418)&gt;0.05</formula>
    </cfRule>
  </conditionalFormatting>
  <conditionalFormatting sqref="H2430">
    <cfRule type="expression" dxfId="845" priority="839">
      <formula>AND(G2430=0,(H2430&gt;0))</formula>
    </cfRule>
    <cfRule type="expression" dxfId="844" priority="840">
      <formula>((H2430-G2430)/G2430)&gt;0.05</formula>
    </cfRule>
  </conditionalFormatting>
  <conditionalFormatting sqref="P2430:Q2430">
    <cfRule type="expression" dxfId="843" priority="837">
      <formula>AND(M2430=0,(P2430&gt;0))</formula>
    </cfRule>
    <cfRule type="expression" dxfId="842" priority="838">
      <formula>((P2430-M2430)/M2430)&gt;0.05</formula>
    </cfRule>
  </conditionalFormatting>
  <conditionalFormatting sqref="J2430">
    <cfRule type="expression" dxfId="841" priority="835">
      <formula>AND(I2430=0,(J2430&gt;0))</formula>
    </cfRule>
    <cfRule type="expression" dxfId="840" priority="836">
      <formula>((J2430-I2430)/I2430)&gt;0.05</formula>
    </cfRule>
  </conditionalFormatting>
  <conditionalFormatting sqref="L2430">
    <cfRule type="expression" dxfId="839" priority="833">
      <formula>AND(K2430=0,(L2430&gt;0))</formula>
    </cfRule>
    <cfRule type="expression" dxfId="838" priority="834">
      <formula>((L2430-K2430)/K2430)&gt;0.05</formula>
    </cfRule>
  </conditionalFormatting>
  <conditionalFormatting sqref="V2430">
    <cfRule type="expression" dxfId="837" priority="831">
      <formula>AND(U2430=0,(V2430&gt;0))</formula>
    </cfRule>
    <cfRule type="expression" dxfId="836" priority="832">
      <formula>((V2430-U2430)/U2430)&gt;0.05</formula>
    </cfRule>
  </conditionalFormatting>
  <conditionalFormatting sqref="AD2430">
    <cfRule type="expression" dxfId="835" priority="829">
      <formula>AND(AC2430=0,(AD2430&gt;0))</formula>
    </cfRule>
    <cfRule type="expression" dxfId="834" priority="830">
      <formula>((AD2430-AC2430)/AC2430)&gt;0.05</formula>
    </cfRule>
  </conditionalFormatting>
  <conditionalFormatting sqref="Z2430:AA2430">
    <cfRule type="expression" dxfId="833" priority="827">
      <formula>AND(W2430=0,(Z2430&gt;0))</formula>
    </cfRule>
    <cfRule type="expression" dxfId="832" priority="828">
      <formula>((Z2430-W2430)/W2430)&gt;0.05</formula>
    </cfRule>
  </conditionalFormatting>
  <conditionalFormatting sqref="AG2430:AH2430">
    <cfRule type="expression" dxfId="831" priority="825">
      <formula>AND(AD2430=0,(AG2430&gt;0))</formula>
    </cfRule>
    <cfRule type="expression" dxfId="830" priority="826">
      <formula>((AG2430-AD2430)/AD2430)&gt;0.05</formula>
    </cfRule>
  </conditionalFormatting>
  <conditionalFormatting sqref="H2424">
    <cfRule type="expression" dxfId="829" priority="823">
      <formula>AND(G2424=0,(H2424&gt;0))</formula>
    </cfRule>
    <cfRule type="expression" dxfId="828" priority="824">
      <formula>((H2424-G2424)/G2424)&gt;0.05</formula>
    </cfRule>
  </conditionalFormatting>
  <conditionalFormatting sqref="P2424:Q2424">
    <cfRule type="expression" dxfId="827" priority="821">
      <formula>AND(M2424=0,(P2424&gt;0))</formula>
    </cfRule>
    <cfRule type="expression" dxfId="826" priority="822">
      <formula>((P2424-M2424)/M2424)&gt;0.05</formula>
    </cfRule>
  </conditionalFormatting>
  <conditionalFormatting sqref="J2424">
    <cfRule type="expression" dxfId="825" priority="819">
      <formula>AND(I2424=0,(J2424&gt;0))</formula>
    </cfRule>
    <cfRule type="expression" dxfId="824" priority="820">
      <formula>((J2424-I2424)/I2424)&gt;0.05</formula>
    </cfRule>
  </conditionalFormatting>
  <conditionalFormatting sqref="L2424">
    <cfRule type="expression" dxfId="823" priority="817">
      <formula>AND(K2424=0,(L2424&gt;0))</formula>
    </cfRule>
    <cfRule type="expression" dxfId="822" priority="818">
      <formula>((L2424-K2424)/K2424)&gt;0.05</formula>
    </cfRule>
  </conditionalFormatting>
  <conditionalFormatting sqref="V2424">
    <cfRule type="expression" dxfId="821" priority="815">
      <formula>AND(U2424=0,(V2424&gt;0))</formula>
    </cfRule>
    <cfRule type="expression" dxfId="820" priority="816">
      <formula>((V2424-U2424)/U2424)&gt;0.05</formula>
    </cfRule>
  </conditionalFormatting>
  <conditionalFormatting sqref="AD2424">
    <cfRule type="expression" dxfId="819" priority="813">
      <formula>AND(AC2424=0,(AD2424&gt;0))</formula>
    </cfRule>
    <cfRule type="expression" dxfId="818" priority="814">
      <formula>((AD2424-AC2424)/AC2424)&gt;0.05</formula>
    </cfRule>
  </conditionalFormatting>
  <conditionalFormatting sqref="Z2424:AA2424">
    <cfRule type="expression" dxfId="817" priority="811">
      <formula>AND(W2424=0,(Z2424&gt;0))</formula>
    </cfRule>
    <cfRule type="expression" dxfId="816" priority="812">
      <formula>((Z2424-W2424)/W2424)&gt;0.05</formula>
    </cfRule>
  </conditionalFormatting>
  <conditionalFormatting sqref="AG2424:AH2424">
    <cfRule type="expression" dxfId="815" priority="809">
      <formula>AND(AD2424=0,(AG2424&gt;0))</formula>
    </cfRule>
    <cfRule type="expression" dxfId="814" priority="810">
      <formula>((AG2424-AD2424)/AD2424)&gt;0.05</formula>
    </cfRule>
  </conditionalFormatting>
  <conditionalFormatting sqref="H2420">
    <cfRule type="expression" dxfId="813" priority="1381">
      <formula>AND(I2420=0,(H2420&gt;0))</formula>
    </cfRule>
    <cfRule type="expression" dxfId="812" priority="1382">
      <formula>((H2420-I2420)/I2420)&gt;0.05</formula>
    </cfRule>
  </conditionalFormatting>
  <conditionalFormatting sqref="P2433:Q2433">
    <cfRule type="expression" dxfId="811" priority="805">
      <formula>AND(M2433=0,(P2433&gt;0))</formula>
    </cfRule>
    <cfRule type="expression" dxfId="810" priority="806">
      <formula>((P2433-M2433)/M2433)&gt;0.05</formula>
    </cfRule>
  </conditionalFormatting>
  <conditionalFormatting sqref="L2433">
    <cfRule type="expression" dxfId="809" priority="803">
      <formula>AND(K2433=0,(L2433&gt;0))</formula>
    </cfRule>
    <cfRule type="expression" dxfId="808" priority="804">
      <formula>((L2433-K2433)/K2433)&gt;0.05</formula>
    </cfRule>
  </conditionalFormatting>
  <conditionalFormatting sqref="V2433">
    <cfRule type="expression" dxfId="807" priority="801">
      <formula>AND(U2433=0,(V2433&gt;0))</formula>
    </cfRule>
    <cfRule type="expression" dxfId="806" priority="802">
      <formula>((V2433-U2433)/U2433)&gt;0.05</formula>
    </cfRule>
  </conditionalFormatting>
  <conditionalFormatting sqref="AD2433">
    <cfRule type="expression" dxfId="805" priority="799">
      <formula>AND(AC2433=0,(AD2433&gt;0))</formula>
    </cfRule>
    <cfRule type="expression" dxfId="804" priority="800">
      <formula>((AD2433-AC2433)/AC2433)&gt;0.05</formula>
    </cfRule>
  </conditionalFormatting>
  <conditionalFormatting sqref="Z2433:AA2433">
    <cfRule type="expression" dxfId="803" priority="797">
      <formula>AND(W2433=0,(Z2433&gt;0))</formula>
    </cfRule>
    <cfRule type="expression" dxfId="802" priority="798">
      <formula>((Z2433-W2433)/W2433)&gt;0.05</formula>
    </cfRule>
  </conditionalFormatting>
  <conditionalFormatting sqref="AG2433:AH2433">
    <cfRule type="expression" dxfId="801" priority="795">
      <formula>AND(AD2433=0,(AG2433&gt;0))</formula>
    </cfRule>
    <cfRule type="expression" dxfId="800" priority="796">
      <formula>((AG2433-AD2433)/AD2433)&gt;0.05</formula>
    </cfRule>
  </conditionalFormatting>
  <conditionalFormatting sqref="H2433">
    <cfRule type="expression" dxfId="799" priority="807">
      <formula>AND(I2433=0,(H2433&gt;0))</formula>
    </cfRule>
    <cfRule type="expression" dxfId="798" priority="808">
      <formula>((H2433-I2433)/I2433)&gt;0.05</formula>
    </cfRule>
  </conditionalFormatting>
  <conditionalFormatting sqref="P2447:Q2447">
    <cfRule type="expression" dxfId="797" priority="791">
      <formula>AND(M2447=0,(P2447&gt;0))</formula>
    </cfRule>
    <cfRule type="expression" dxfId="796" priority="792">
      <formula>((P2447-M2447)/M2447)&gt;0.05</formula>
    </cfRule>
  </conditionalFormatting>
  <conditionalFormatting sqref="L2447">
    <cfRule type="expression" dxfId="795" priority="789">
      <formula>AND(K2447=0,(L2447&gt;0))</formula>
    </cfRule>
    <cfRule type="expression" dxfId="794" priority="790">
      <formula>((L2447-K2447)/K2447)&gt;0.05</formula>
    </cfRule>
  </conditionalFormatting>
  <conditionalFormatting sqref="V2447">
    <cfRule type="expression" dxfId="793" priority="787">
      <formula>AND(U2447=0,(V2447&gt;0))</formula>
    </cfRule>
    <cfRule type="expression" dxfId="792" priority="788">
      <formula>((V2447-U2447)/U2447)&gt;0.05</formula>
    </cfRule>
  </conditionalFormatting>
  <conditionalFormatting sqref="AD2447">
    <cfRule type="expression" dxfId="791" priority="785">
      <formula>AND(AC2447=0,(AD2447&gt;0))</formula>
    </cfRule>
    <cfRule type="expression" dxfId="790" priority="786">
      <formula>((AD2447-AC2447)/AC2447)&gt;0.05</formula>
    </cfRule>
  </conditionalFormatting>
  <conditionalFormatting sqref="Z2447:AA2447">
    <cfRule type="expression" dxfId="789" priority="783">
      <formula>AND(W2447=0,(Z2447&gt;0))</formula>
    </cfRule>
    <cfRule type="expression" dxfId="788" priority="784">
      <formula>((Z2447-W2447)/W2447)&gt;0.05</formula>
    </cfRule>
  </conditionalFormatting>
  <conditionalFormatting sqref="AG2447:AH2447">
    <cfRule type="expression" dxfId="787" priority="781">
      <formula>AND(AD2447=0,(AG2447&gt;0))</formula>
    </cfRule>
    <cfRule type="expression" dxfId="786" priority="782">
      <formula>((AG2447-AD2447)/AD2447)&gt;0.05</formula>
    </cfRule>
  </conditionalFormatting>
  <conditionalFormatting sqref="H2447">
    <cfRule type="expression" dxfId="785" priority="793">
      <formula>AND(I2447=0,(H2447&gt;0))</formula>
    </cfRule>
    <cfRule type="expression" dxfId="784" priority="794">
      <formula>((H2447-I2447)/I2447)&gt;0.05</formula>
    </cfRule>
  </conditionalFormatting>
  <conditionalFormatting sqref="P2458:Q2458">
    <cfRule type="expression" dxfId="783" priority="777">
      <formula>AND(M2458=0,(P2458&gt;0))</formula>
    </cfRule>
    <cfRule type="expression" dxfId="782" priority="778">
      <formula>((P2458-M2458)/M2458)&gt;0.05</formula>
    </cfRule>
  </conditionalFormatting>
  <conditionalFormatting sqref="L2458">
    <cfRule type="expression" dxfId="781" priority="775">
      <formula>AND(K2458=0,(L2458&gt;0))</formula>
    </cfRule>
    <cfRule type="expression" dxfId="780" priority="776">
      <formula>((L2458-K2458)/K2458)&gt;0.05</formula>
    </cfRule>
  </conditionalFormatting>
  <conditionalFormatting sqref="V2458">
    <cfRule type="expression" dxfId="779" priority="773">
      <formula>AND(U2458=0,(V2458&gt;0))</formula>
    </cfRule>
    <cfRule type="expression" dxfId="778" priority="774">
      <formula>((V2458-U2458)/U2458)&gt;0.05</formula>
    </cfRule>
  </conditionalFormatting>
  <conditionalFormatting sqref="AD2458">
    <cfRule type="expression" dxfId="777" priority="771">
      <formula>AND(AC2458=0,(AD2458&gt;0))</formula>
    </cfRule>
    <cfRule type="expression" dxfId="776" priority="772">
      <formula>((AD2458-AC2458)/AC2458)&gt;0.05</formula>
    </cfRule>
  </conditionalFormatting>
  <conditionalFormatting sqref="Z2458:AA2458">
    <cfRule type="expression" dxfId="775" priority="769">
      <formula>AND(W2458=0,(Z2458&gt;0))</formula>
    </cfRule>
    <cfRule type="expression" dxfId="774" priority="770">
      <formula>((Z2458-W2458)/W2458)&gt;0.05</formula>
    </cfRule>
  </conditionalFormatting>
  <conditionalFormatting sqref="AG2458:AH2458">
    <cfRule type="expression" dxfId="773" priority="767">
      <formula>AND(AD2458=0,(AG2458&gt;0))</formula>
    </cfRule>
    <cfRule type="expression" dxfId="772" priority="768">
      <formula>((AG2458-AD2458)/AD2458)&gt;0.05</formula>
    </cfRule>
  </conditionalFormatting>
  <conditionalFormatting sqref="H2458">
    <cfRule type="expression" dxfId="771" priority="779">
      <formula>AND(I2458=0,(H2458&gt;0))</formula>
    </cfRule>
    <cfRule type="expression" dxfId="770" priority="780">
      <formula>((H2458-I2458)/I2458)&gt;0.05</formula>
    </cfRule>
  </conditionalFormatting>
  <conditionalFormatting sqref="P2471:Q2471">
    <cfRule type="expression" dxfId="769" priority="763">
      <formula>AND(M2471=0,(P2471&gt;0))</formula>
    </cfRule>
    <cfRule type="expression" dxfId="768" priority="764">
      <formula>((P2471-M2471)/M2471)&gt;0.05</formula>
    </cfRule>
  </conditionalFormatting>
  <conditionalFormatting sqref="L2471">
    <cfRule type="expression" dxfId="767" priority="761">
      <formula>AND(K2471=0,(L2471&gt;0))</formula>
    </cfRule>
    <cfRule type="expression" dxfId="766" priority="762">
      <formula>((L2471-K2471)/K2471)&gt;0.05</formula>
    </cfRule>
  </conditionalFormatting>
  <conditionalFormatting sqref="V2471">
    <cfRule type="expression" dxfId="765" priority="759">
      <formula>AND(U2471=0,(V2471&gt;0))</formula>
    </cfRule>
    <cfRule type="expression" dxfId="764" priority="760">
      <formula>((V2471-U2471)/U2471)&gt;0.05</formula>
    </cfRule>
  </conditionalFormatting>
  <conditionalFormatting sqref="AD2471">
    <cfRule type="expression" dxfId="763" priority="757">
      <formula>AND(AC2471=0,(AD2471&gt;0))</formula>
    </cfRule>
    <cfRule type="expression" dxfId="762" priority="758">
      <formula>((AD2471-AC2471)/AC2471)&gt;0.05</formula>
    </cfRule>
  </conditionalFormatting>
  <conditionalFormatting sqref="Z2471:AA2471">
    <cfRule type="expression" dxfId="761" priority="755">
      <formula>AND(W2471=0,(Z2471&gt;0))</formula>
    </cfRule>
    <cfRule type="expression" dxfId="760" priority="756">
      <formula>((Z2471-W2471)/W2471)&gt;0.05</formula>
    </cfRule>
  </conditionalFormatting>
  <conditionalFormatting sqref="AG2471:AH2471">
    <cfRule type="expression" dxfId="759" priority="753">
      <formula>AND(AD2471=0,(AG2471&gt;0))</formula>
    </cfRule>
    <cfRule type="expression" dxfId="758" priority="754">
      <formula>((AG2471-AD2471)/AD2471)&gt;0.05</formula>
    </cfRule>
  </conditionalFormatting>
  <conditionalFormatting sqref="H2471">
    <cfRule type="expression" dxfId="757" priority="765">
      <formula>AND(I2471=0,(H2471&gt;0))</formula>
    </cfRule>
    <cfRule type="expression" dxfId="756" priority="766">
      <formula>((H2471-I2471)/I2471)&gt;0.05</formula>
    </cfRule>
  </conditionalFormatting>
  <conditionalFormatting sqref="P2484:Q2484">
    <cfRule type="expression" dxfId="755" priority="749">
      <formula>AND(M2484=0,(P2484&gt;0))</formula>
    </cfRule>
    <cfRule type="expression" dxfId="754" priority="750">
      <formula>((P2484-M2484)/M2484)&gt;0.05</formula>
    </cfRule>
  </conditionalFormatting>
  <conditionalFormatting sqref="L2484">
    <cfRule type="expression" dxfId="753" priority="747">
      <formula>AND(K2484=0,(L2484&gt;0))</formula>
    </cfRule>
    <cfRule type="expression" dxfId="752" priority="748">
      <formula>((L2484-K2484)/K2484)&gt;0.05</formula>
    </cfRule>
  </conditionalFormatting>
  <conditionalFormatting sqref="V2484">
    <cfRule type="expression" dxfId="751" priority="745">
      <formula>AND(U2484=0,(V2484&gt;0))</formula>
    </cfRule>
    <cfRule type="expression" dxfId="750" priority="746">
      <formula>((V2484-U2484)/U2484)&gt;0.05</formula>
    </cfRule>
  </conditionalFormatting>
  <conditionalFormatting sqref="AD2484">
    <cfRule type="expression" dxfId="749" priority="743">
      <formula>AND(AC2484=0,(AD2484&gt;0))</formula>
    </cfRule>
    <cfRule type="expression" dxfId="748" priority="744">
      <formula>((AD2484-AC2484)/AC2484)&gt;0.05</formula>
    </cfRule>
  </conditionalFormatting>
  <conditionalFormatting sqref="Z2484:AA2484">
    <cfRule type="expression" dxfId="747" priority="741">
      <formula>AND(W2484=0,(Z2484&gt;0))</formula>
    </cfRule>
    <cfRule type="expression" dxfId="746" priority="742">
      <formula>((Z2484-W2484)/W2484)&gt;0.05</formula>
    </cfRule>
  </conditionalFormatting>
  <conditionalFormatting sqref="AG2484:AH2484">
    <cfRule type="expression" dxfId="745" priority="739">
      <formula>AND(AD2484=0,(AG2484&gt;0))</formula>
    </cfRule>
    <cfRule type="expression" dxfId="744" priority="740">
      <formula>((AG2484-AD2484)/AD2484)&gt;0.05</formula>
    </cfRule>
  </conditionalFormatting>
  <conditionalFormatting sqref="H2484">
    <cfRule type="expression" dxfId="743" priority="751">
      <formula>AND(I2484=0,(H2484&gt;0))</formula>
    </cfRule>
    <cfRule type="expression" dxfId="742" priority="752">
      <formula>((H2484-I2484)/I2484)&gt;0.05</formula>
    </cfRule>
  </conditionalFormatting>
  <conditionalFormatting sqref="P2497:Q2497">
    <cfRule type="expression" dxfId="741" priority="735">
      <formula>AND(M2497=0,(P2497&gt;0))</formula>
    </cfRule>
    <cfRule type="expression" dxfId="740" priority="736">
      <formula>((P2497-M2497)/M2497)&gt;0.05</formula>
    </cfRule>
  </conditionalFormatting>
  <conditionalFormatting sqref="L2497">
    <cfRule type="expression" dxfId="739" priority="733">
      <formula>AND(K2497=0,(L2497&gt;0))</formula>
    </cfRule>
    <cfRule type="expression" dxfId="738" priority="734">
      <formula>((L2497-K2497)/K2497)&gt;0.05</formula>
    </cfRule>
  </conditionalFormatting>
  <conditionalFormatting sqref="V2497">
    <cfRule type="expression" dxfId="737" priority="731">
      <formula>AND(U2497=0,(V2497&gt;0))</formula>
    </cfRule>
    <cfRule type="expression" dxfId="736" priority="732">
      <formula>((V2497-U2497)/U2497)&gt;0.05</formula>
    </cfRule>
  </conditionalFormatting>
  <conditionalFormatting sqref="AD2497">
    <cfRule type="expression" dxfId="735" priority="729">
      <formula>AND(AC2497=0,(AD2497&gt;0))</formula>
    </cfRule>
    <cfRule type="expression" dxfId="734" priority="730">
      <formula>((AD2497-AC2497)/AC2497)&gt;0.05</formula>
    </cfRule>
  </conditionalFormatting>
  <conditionalFormatting sqref="Z2497:AA2497">
    <cfRule type="expression" dxfId="733" priority="727">
      <formula>AND(W2497=0,(Z2497&gt;0))</formula>
    </cfRule>
    <cfRule type="expression" dxfId="732" priority="728">
      <formula>((Z2497-W2497)/W2497)&gt;0.05</formula>
    </cfRule>
  </conditionalFormatting>
  <conditionalFormatting sqref="AG2497:AH2497">
    <cfRule type="expression" dxfId="731" priority="725">
      <formula>AND(AD2497=0,(AG2497&gt;0))</formula>
    </cfRule>
    <cfRule type="expression" dxfId="730" priority="726">
      <formula>((AG2497-AD2497)/AD2497)&gt;0.05</formula>
    </cfRule>
  </conditionalFormatting>
  <conditionalFormatting sqref="H2497">
    <cfRule type="expression" dxfId="729" priority="737">
      <formula>AND(I2497=0,(H2497&gt;0))</formula>
    </cfRule>
    <cfRule type="expression" dxfId="728" priority="738">
      <formula>((H2497-I2497)/I2497)&gt;0.05</formula>
    </cfRule>
  </conditionalFormatting>
  <conditionalFormatting sqref="P2510:Q2510">
    <cfRule type="expression" dxfId="727" priority="721">
      <formula>AND(M2510=0,(P2510&gt;0))</formula>
    </cfRule>
    <cfRule type="expression" dxfId="726" priority="722">
      <formula>((P2510-M2510)/M2510)&gt;0.05</formula>
    </cfRule>
  </conditionalFormatting>
  <conditionalFormatting sqref="L2510">
    <cfRule type="expression" dxfId="725" priority="719">
      <formula>AND(K2510=0,(L2510&gt;0))</formula>
    </cfRule>
    <cfRule type="expression" dxfId="724" priority="720">
      <formula>((L2510-K2510)/K2510)&gt;0.05</formula>
    </cfRule>
  </conditionalFormatting>
  <conditionalFormatting sqref="V2510">
    <cfRule type="expression" dxfId="723" priority="717">
      <formula>AND(U2510=0,(V2510&gt;0))</formula>
    </cfRule>
    <cfRule type="expression" dxfId="722" priority="718">
      <formula>((V2510-U2510)/U2510)&gt;0.05</formula>
    </cfRule>
  </conditionalFormatting>
  <conditionalFormatting sqref="AD2510">
    <cfRule type="expression" dxfId="721" priority="715">
      <formula>AND(AC2510=0,(AD2510&gt;0))</formula>
    </cfRule>
    <cfRule type="expression" dxfId="720" priority="716">
      <formula>((AD2510-AC2510)/AC2510)&gt;0.05</formula>
    </cfRule>
  </conditionalFormatting>
  <conditionalFormatting sqref="Z2510:AA2510">
    <cfRule type="expression" dxfId="719" priority="713">
      <formula>AND(W2510=0,(Z2510&gt;0))</formula>
    </cfRule>
    <cfRule type="expression" dxfId="718" priority="714">
      <formula>((Z2510-W2510)/W2510)&gt;0.05</formula>
    </cfRule>
  </conditionalFormatting>
  <conditionalFormatting sqref="AG2510:AH2510">
    <cfRule type="expression" dxfId="717" priority="711">
      <formula>AND(AD2510=0,(AG2510&gt;0))</formula>
    </cfRule>
    <cfRule type="expression" dxfId="716" priority="712">
      <formula>((AG2510-AD2510)/AD2510)&gt;0.05</formula>
    </cfRule>
  </conditionalFormatting>
  <conditionalFormatting sqref="H2510">
    <cfRule type="expression" dxfId="715" priority="723">
      <formula>AND(I2510=0,(H2510&gt;0))</formula>
    </cfRule>
    <cfRule type="expression" dxfId="714" priority="724">
      <formula>((H2510-I2510)/I2510)&gt;0.05</formula>
    </cfRule>
  </conditionalFormatting>
  <conditionalFormatting sqref="P2523:Q2523">
    <cfRule type="expression" dxfId="713" priority="707">
      <formula>AND(M2523=0,(P2523&gt;0))</formula>
    </cfRule>
    <cfRule type="expression" dxfId="712" priority="708">
      <formula>((P2523-M2523)/M2523)&gt;0.05</formula>
    </cfRule>
  </conditionalFormatting>
  <conditionalFormatting sqref="L2523">
    <cfRule type="expression" dxfId="711" priority="705">
      <formula>AND(K2523=0,(L2523&gt;0))</formula>
    </cfRule>
    <cfRule type="expression" dxfId="710" priority="706">
      <formula>((L2523-K2523)/K2523)&gt;0.05</formula>
    </cfRule>
  </conditionalFormatting>
  <conditionalFormatting sqref="V2523">
    <cfRule type="expression" dxfId="709" priority="703">
      <formula>AND(U2523=0,(V2523&gt;0))</formula>
    </cfRule>
    <cfRule type="expression" dxfId="708" priority="704">
      <formula>((V2523-U2523)/U2523)&gt;0.05</formula>
    </cfRule>
  </conditionalFormatting>
  <conditionalFormatting sqref="AD2523">
    <cfRule type="expression" dxfId="707" priority="701">
      <formula>AND(AC2523=0,(AD2523&gt;0))</formula>
    </cfRule>
    <cfRule type="expression" dxfId="706" priority="702">
      <formula>((AD2523-AC2523)/AC2523)&gt;0.05</formula>
    </cfRule>
  </conditionalFormatting>
  <conditionalFormatting sqref="Z2523:AA2523">
    <cfRule type="expression" dxfId="705" priority="699">
      <formula>AND(W2523=0,(Z2523&gt;0))</formula>
    </cfRule>
    <cfRule type="expression" dxfId="704" priority="700">
      <formula>((Z2523-W2523)/W2523)&gt;0.05</formula>
    </cfRule>
  </conditionalFormatting>
  <conditionalFormatting sqref="AG2523:AH2523">
    <cfRule type="expression" dxfId="703" priority="697">
      <formula>AND(AD2523=0,(AG2523&gt;0))</formula>
    </cfRule>
    <cfRule type="expression" dxfId="702" priority="698">
      <formula>((AG2523-AD2523)/AD2523)&gt;0.05</formula>
    </cfRule>
  </conditionalFormatting>
  <conditionalFormatting sqref="H2523">
    <cfRule type="expression" dxfId="701" priority="709">
      <formula>AND(I2523=0,(H2523&gt;0))</formula>
    </cfRule>
    <cfRule type="expression" dxfId="700" priority="710">
      <formula>((H2523-I2523)/I2523)&gt;0.05</formula>
    </cfRule>
  </conditionalFormatting>
  <conditionalFormatting sqref="P2537:Q2537">
    <cfRule type="expression" dxfId="699" priority="693">
      <formula>AND(M2537=0,(P2537&gt;0))</formula>
    </cfRule>
    <cfRule type="expression" dxfId="698" priority="694">
      <formula>((P2537-M2537)/M2537)&gt;0.05</formula>
    </cfRule>
  </conditionalFormatting>
  <conditionalFormatting sqref="L2537">
    <cfRule type="expression" dxfId="697" priority="691">
      <formula>AND(K2537=0,(L2537&gt;0))</formula>
    </cfRule>
    <cfRule type="expression" dxfId="696" priority="692">
      <formula>((L2537-K2537)/K2537)&gt;0.05</formula>
    </cfRule>
  </conditionalFormatting>
  <conditionalFormatting sqref="V2537">
    <cfRule type="expression" dxfId="695" priority="689">
      <formula>AND(U2537=0,(V2537&gt;0))</formula>
    </cfRule>
    <cfRule type="expression" dxfId="694" priority="690">
      <formula>((V2537-U2537)/U2537)&gt;0.05</formula>
    </cfRule>
  </conditionalFormatting>
  <conditionalFormatting sqref="AD2537">
    <cfRule type="expression" dxfId="693" priority="687">
      <formula>AND(AC2537=0,(AD2537&gt;0))</formula>
    </cfRule>
    <cfRule type="expression" dxfId="692" priority="688">
      <formula>((AD2537-AC2537)/AC2537)&gt;0.05</formula>
    </cfRule>
  </conditionalFormatting>
  <conditionalFormatting sqref="Z2537:AA2537">
    <cfRule type="expression" dxfId="691" priority="685">
      <formula>AND(W2537=0,(Z2537&gt;0))</formula>
    </cfRule>
    <cfRule type="expression" dxfId="690" priority="686">
      <formula>((Z2537-W2537)/W2537)&gt;0.05</formula>
    </cfRule>
  </conditionalFormatting>
  <conditionalFormatting sqref="AG2537:AH2537">
    <cfRule type="expression" dxfId="689" priority="683">
      <formula>AND(AD2537=0,(AG2537&gt;0))</formula>
    </cfRule>
    <cfRule type="expression" dxfId="688" priority="684">
      <formula>((AG2537-AD2537)/AD2537)&gt;0.05</formula>
    </cfRule>
  </conditionalFormatting>
  <conditionalFormatting sqref="H2537">
    <cfRule type="expression" dxfId="687" priority="695">
      <formula>AND(I2537=0,(H2537&gt;0))</formula>
    </cfRule>
    <cfRule type="expression" dxfId="686" priority="696">
      <formula>((H2537-I2537)/I2537)&gt;0.05</formula>
    </cfRule>
  </conditionalFormatting>
  <conditionalFormatting sqref="P2548:Q2548">
    <cfRule type="expression" dxfId="685" priority="679">
      <formula>AND(M2548=0,(P2548&gt;0))</formula>
    </cfRule>
    <cfRule type="expression" dxfId="684" priority="680">
      <formula>((P2548-M2548)/M2548)&gt;0.05</formula>
    </cfRule>
  </conditionalFormatting>
  <conditionalFormatting sqref="L2548">
    <cfRule type="expression" dxfId="683" priority="677">
      <formula>AND(K2548=0,(L2548&gt;0))</formula>
    </cfRule>
    <cfRule type="expression" dxfId="682" priority="678">
      <formula>((L2548-K2548)/K2548)&gt;0.05</formula>
    </cfRule>
  </conditionalFormatting>
  <conditionalFormatting sqref="V2548">
    <cfRule type="expression" dxfId="681" priority="675">
      <formula>AND(U2548=0,(V2548&gt;0))</formula>
    </cfRule>
    <cfRule type="expression" dxfId="680" priority="676">
      <formula>((V2548-U2548)/U2548)&gt;0.05</formula>
    </cfRule>
  </conditionalFormatting>
  <conditionalFormatting sqref="AD2548">
    <cfRule type="expression" dxfId="679" priority="673">
      <formula>AND(AC2548=0,(AD2548&gt;0))</formula>
    </cfRule>
    <cfRule type="expression" dxfId="678" priority="674">
      <formula>((AD2548-AC2548)/AC2548)&gt;0.05</formula>
    </cfRule>
  </conditionalFormatting>
  <conditionalFormatting sqref="Z2548:AA2548">
    <cfRule type="expression" dxfId="677" priority="671">
      <formula>AND(W2548=0,(Z2548&gt;0))</formula>
    </cfRule>
    <cfRule type="expression" dxfId="676" priority="672">
      <formula>((Z2548-W2548)/W2548)&gt;0.05</formula>
    </cfRule>
  </conditionalFormatting>
  <conditionalFormatting sqref="AG2548:AH2548">
    <cfRule type="expression" dxfId="675" priority="669">
      <formula>AND(AD2548=0,(AG2548&gt;0))</formula>
    </cfRule>
    <cfRule type="expression" dxfId="674" priority="670">
      <formula>((AG2548-AD2548)/AD2548)&gt;0.05</formula>
    </cfRule>
  </conditionalFormatting>
  <conditionalFormatting sqref="H2548">
    <cfRule type="expression" dxfId="673" priority="681">
      <formula>AND(I2548=0,(H2548&gt;0))</formula>
    </cfRule>
    <cfRule type="expression" dxfId="672" priority="682">
      <formula>((H2548-I2548)/I2548)&gt;0.05</formula>
    </cfRule>
  </conditionalFormatting>
  <conditionalFormatting sqref="AG2559:AH2559">
    <cfRule type="expression" dxfId="671" priority="655">
      <formula>AND(AD2559=0,(AG2559&gt;0))</formula>
    </cfRule>
    <cfRule type="expression" dxfId="670" priority="656">
      <formula>((AG2559-AD2559)/AD2559)&gt;0.05</formula>
    </cfRule>
  </conditionalFormatting>
  <conditionalFormatting sqref="AG2569:AH2569">
    <cfRule type="expression" dxfId="669" priority="641">
      <formula>AND(AD2569=0,(AG2569&gt;0))</formula>
    </cfRule>
    <cfRule type="expression" dxfId="668" priority="642">
      <formula>((AG2569-AD2569)/AD2569)&gt;0.05</formula>
    </cfRule>
  </conditionalFormatting>
  <conditionalFormatting sqref="AG2625:AH2625">
    <cfRule type="expression" dxfId="667" priority="627">
      <formula>AND(AD2625=0,(AG2625&gt;0))</formula>
    </cfRule>
    <cfRule type="expression" dxfId="666" priority="628">
      <formula>((AG2625-AD2625)/AD2625)&gt;0.05</formula>
    </cfRule>
  </conditionalFormatting>
  <conditionalFormatting sqref="P2559:Q2559">
    <cfRule type="expression" dxfId="665" priority="665">
      <formula>AND(M2559=0,(P2559&gt;0))</formula>
    </cfRule>
    <cfRule type="expression" dxfId="664" priority="666">
      <formula>((P2559-M2559)/M2559)&gt;0.05</formula>
    </cfRule>
  </conditionalFormatting>
  <conditionalFormatting sqref="L2559">
    <cfRule type="expression" dxfId="663" priority="663">
      <formula>AND(K2559=0,(L2559&gt;0))</formula>
    </cfRule>
    <cfRule type="expression" dxfId="662" priority="664">
      <formula>((L2559-K2559)/K2559)&gt;0.05</formula>
    </cfRule>
  </conditionalFormatting>
  <conditionalFormatting sqref="V2559">
    <cfRule type="expression" dxfId="661" priority="661">
      <formula>AND(U2559=0,(V2559&gt;0))</formula>
    </cfRule>
    <cfRule type="expression" dxfId="660" priority="662">
      <formula>((V2559-U2559)/U2559)&gt;0.05</formula>
    </cfRule>
  </conditionalFormatting>
  <conditionalFormatting sqref="AD2559">
    <cfRule type="expression" dxfId="659" priority="659">
      <formula>AND(AC2559=0,(AD2559&gt;0))</formula>
    </cfRule>
    <cfRule type="expression" dxfId="658" priority="660">
      <formula>((AD2559-AC2559)/AC2559)&gt;0.05</formula>
    </cfRule>
  </conditionalFormatting>
  <conditionalFormatting sqref="Z2559:AA2559">
    <cfRule type="expression" dxfId="657" priority="657">
      <formula>AND(W2559=0,(Z2559&gt;0))</formula>
    </cfRule>
    <cfRule type="expression" dxfId="656" priority="658">
      <formula>((Z2559-W2559)/W2559)&gt;0.05</formula>
    </cfRule>
  </conditionalFormatting>
  <conditionalFormatting sqref="AG2437:AH2437">
    <cfRule type="expression" dxfId="655" priority="613">
      <formula>AND(AD2437=0,(AG2437&gt;0))</formula>
    </cfRule>
    <cfRule type="expression" dxfId="654" priority="614">
      <formula>((AG2437-AD2437)/AD2437)&gt;0.05</formula>
    </cfRule>
  </conditionalFormatting>
  <conditionalFormatting sqref="H2559">
    <cfRule type="expression" dxfId="653" priority="667">
      <formula>AND(I2559=0,(H2559&gt;0))</formula>
    </cfRule>
    <cfRule type="expression" dxfId="652" priority="668">
      <formula>((H2559-I2559)/I2559)&gt;0.05</formula>
    </cfRule>
  </conditionalFormatting>
  <conditionalFormatting sqref="AG2451:AH2451">
    <cfRule type="expression" dxfId="651" priority="597">
      <formula>AND(AD2451=0,(AG2451&gt;0))</formula>
    </cfRule>
    <cfRule type="expression" dxfId="650" priority="598">
      <formula>((AG2451-AD2451)/AD2451)&gt;0.05</formula>
    </cfRule>
  </conditionalFormatting>
  <conditionalFormatting sqref="P2569:Q2569">
    <cfRule type="expression" dxfId="649" priority="651">
      <formula>AND(M2569=0,(P2569&gt;0))</formula>
    </cfRule>
    <cfRule type="expression" dxfId="648" priority="652">
      <formula>((P2569-M2569)/M2569)&gt;0.05</formula>
    </cfRule>
  </conditionalFormatting>
  <conditionalFormatting sqref="L2569">
    <cfRule type="expression" dxfId="647" priority="649">
      <formula>AND(K2569=0,(L2569&gt;0))</formula>
    </cfRule>
    <cfRule type="expression" dxfId="646" priority="650">
      <formula>((L2569-K2569)/K2569)&gt;0.05</formula>
    </cfRule>
  </conditionalFormatting>
  <conditionalFormatting sqref="V2569">
    <cfRule type="expression" dxfId="645" priority="647">
      <formula>AND(U2569=0,(V2569&gt;0))</formula>
    </cfRule>
    <cfRule type="expression" dxfId="644" priority="648">
      <formula>((V2569-U2569)/U2569)&gt;0.05</formula>
    </cfRule>
  </conditionalFormatting>
  <conditionalFormatting sqref="AD2569">
    <cfRule type="expression" dxfId="643" priority="645">
      <formula>AND(AC2569=0,(AD2569&gt;0))</formula>
    </cfRule>
    <cfRule type="expression" dxfId="642" priority="646">
      <formula>((AD2569-AC2569)/AC2569)&gt;0.05</formula>
    </cfRule>
  </conditionalFormatting>
  <conditionalFormatting sqref="Z2569:AA2569">
    <cfRule type="expression" dxfId="641" priority="643">
      <formula>AND(W2569=0,(Z2569&gt;0))</formula>
    </cfRule>
    <cfRule type="expression" dxfId="640" priority="644">
      <formula>((Z2569-W2569)/W2569)&gt;0.05</formula>
    </cfRule>
  </conditionalFormatting>
  <conditionalFormatting sqref="H2569">
    <cfRule type="expression" dxfId="639" priority="653">
      <formula>AND(I2569=0,(H2569&gt;0))</formula>
    </cfRule>
    <cfRule type="expression" dxfId="638" priority="654">
      <formula>((H2569-I2569)/I2569)&gt;0.05</formula>
    </cfRule>
  </conditionalFormatting>
  <conditionalFormatting sqref="AG2462:AH2462">
    <cfRule type="expression" dxfId="637" priority="581">
      <formula>AND(AD2462=0,(AG2462&gt;0))</formula>
    </cfRule>
    <cfRule type="expression" dxfId="636" priority="582">
      <formula>((AG2462-AD2462)/AD2462)&gt;0.05</formula>
    </cfRule>
  </conditionalFormatting>
  <conditionalFormatting sqref="P2625:Q2625">
    <cfRule type="expression" dxfId="635" priority="637">
      <formula>AND(M2625=0,(P2625&gt;0))</formula>
    </cfRule>
    <cfRule type="expression" dxfId="634" priority="638">
      <formula>((P2625-M2625)/M2625)&gt;0.05</formula>
    </cfRule>
  </conditionalFormatting>
  <conditionalFormatting sqref="L2625">
    <cfRule type="expression" dxfId="633" priority="635">
      <formula>AND(K2625=0,(L2625&gt;0))</formula>
    </cfRule>
    <cfRule type="expression" dxfId="632" priority="636">
      <formula>((L2625-K2625)/K2625)&gt;0.05</formula>
    </cfRule>
  </conditionalFormatting>
  <conditionalFormatting sqref="V2625">
    <cfRule type="expression" dxfId="631" priority="633">
      <formula>AND(U2625=0,(V2625&gt;0))</formula>
    </cfRule>
    <cfRule type="expression" dxfId="630" priority="634">
      <formula>((V2625-U2625)/U2625)&gt;0.05</formula>
    </cfRule>
  </conditionalFormatting>
  <conditionalFormatting sqref="AD2625">
    <cfRule type="expression" dxfId="629" priority="631">
      <formula>AND(AC2625=0,(AD2625&gt;0))</formula>
    </cfRule>
    <cfRule type="expression" dxfId="628" priority="632">
      <formula>((AD2625-AC2625)/AC2625)&gt;0.05</formula>
    </cfRule>
  </conditionalFormatting>
  <conditionalFormatting sqref="Z2625:AA2625">
    <cfRule type="expression" dxfId="627" priority="629">
      <formula>AND(W2625=0,(Z2625&gt;0))</formula>
    </cfRule>
    <cfRule type="expression" dxfId="626" priority="630">
      <formula>((Z2625-W2625)/W2625)&gt;0.05</formula>
    </cfRule>
  </conditionalFormatting>
  <conditionalFormatting sqref="H2625">
    <cfRule type="expression" dxfId="625" priority="639">
      <formula>AND(I2625=0,(H2625&gt;0))</formula>
    </cfRule>
    <cfRule type="expression" dxfId="624" priority="640">
      <formula>((H2625-I2625)/I2625)&gt;0.05</formula>
    </cfRule>
  </conditionalFormatting>
  <conditionalFormatting sqref="H2437">
    <cfRule type="expression" dxfId="623" priority="625">
      <formula>AND(G2437=0,(H2437&gt;0))</formula>
    </cfRule>
    <cfRule type="expression" dxfId="622" priority="626">
      <formula>((H2437-G2437)/G2437)&gt;0.05</formula>
    </cfRule>
  </conditionalFormatting>
  <conditionalFormatting sqref="P2437:Q2437">
    <cfRule type="expression" dxfId="621" priority="623">
      <formula>AND(M2437=0,(P2437&gt;0))</formula>
    </cfRule>
    <cfRule type="expression" dxfId="620" priority="624">
      <formula>((P2437-M2437)/M2437)&gt;0.05</formula>
    </cfRule>
  </conditionalFormatting>
  <conditionalFormatting sqref="J2437">
    <cfRule type="expression" dxfId="619" priority="621">
      <formula>AND(K2437=0,(J2437&gt;0))</formula>
    </cfRule>
    <cfRule type="expression" dxfId="618" priority="622">
      <formula>((J2437-K2437)/K2437)&gt;0.05</formula>
    </cfRule>
  </conditionalFormatting>
  <conditionalFormatting sqref="V2437">
    <cfRule type="expression" dxfId="617" priority="619">
      <formula>AND(U2437=0,(V2437&gt;0))</formula>
    </cfRule>
    <cfRule type="expression" dxfId="616" priority="620">
      <formula>((V2437-U2437)/U2437)&gt;0.05</formula>
    </cfRule>
  </conditionalFormatting>
  <conditionalFormatting sqref="AD2437">
    <cfRule type="expression" dxfId="615" priority="617">
      <formula>AND(AC2437=0,(AD2437&gt;0))</formula>
    </cfRule>
    <cfRule type="expression" dxfId="614" priority="618">
      <formula>((AD2437-AC2437)/AC2437)&gt;0.05</formula>
    </cfRule>
  </conditionalFormatting>
  <conditionalFormatting sqref="Z2437:AA2437">
    <cfRule type="expression" dxfId="613" priority="615">
      <formula>AND(W2437=0,(Z2437&gt;0))</formula>
    </cfRule>
    <cfRule type="expression" dxfId="612" priority="616">
      <formula>((Z2437-W2437)/W2437)&gt;0.05</formula>
    </cfRule>
  </conditionalFormatting>
  <conditionalFormatting sqref="AG2475:AH2475">
    <cfRule type="expression" dxfId="611" priority="565">
      <formula>AND(AD2475=0,(AG2475&gt;0))</formula>
    </cfRule>
    <cfRule type="expression" dxfId="610" priority="566">
      <formula>((AG2475-AD2475)/AD2475)&gt;0.05</formula>
    </cfRule>
  </conditionalFormatting>
  <conditionalFormatting sqref="AG2488:AH2488">
    <cfRule type="expression" dxfId="609" priority="549">
      <formula>AND(AD2488=0,(AG2488&gt;0))</formula>
    </cfRule>
    <cfRule type="expression" dxfId="608" priority="550">
      <formula>((AG2488-AD2488)/AD2488)&gt;0.05</formula>
    </cfRule>
  </conditionalFormatting>
  <conditionalFormatting sqref="H2451">
    <cfRule type="expression" dxfId="607" priority="611">
      <formula>AND(G2451=0,(H2451&gt;0))</formula>
    </cfRule>
    <cfRule type="expression" dxfId="606" priority="612">
      <formula>((H2451-G2451)/G2451)&gt;0.05</formula>
    </cfRule>
  </conditionalFormatting>
  <conditionalFormatting sqref="P2451:Q2451">
    <cfRule type="expression" dxfId="605" priority="609">
      <formula>AND(M2451=0,(P2451&gt;0))</formula>
    </cfRule>
    <cfRule type="expression" dxfId="604" priority="610">
      <formula>((P2451-M2451)/M2451)&gt;0.05</formula>
    </cfRule>
  </conditionalFormatting>
  <conditionalFormatting sqref="J2451">
    <cfRule type="expression" dxfId="603" priority="607">
      <formula>AND(I2451=0,(J2451&gt;0))</formula>
    </cfRule>
    <cfRule type="expression" dxfId="602" priority="608">
      <formula>((J2451-I2451)/I2451)&gt;0.05</formula>
    </cfRule>
  </conditionalFormatting>
  <conditionalFormatting sqref="L2451">
    <cfRule type="expression" dxfId="601" priority="605">
      <formula>AND(K2451=0,(L2451&gt;0))</formula>
    </cfRule>
    <cfRule type="expression" dxfId="600" priority="606">
      <formula>((L2451-K2451)/K2451)&gt;0.05</formula>
    </cfRule>
  </conditionalFormatting>
  <conditionalFormatting sqref="V2451">
    <cfRule type="expression" dxfId="599" priority="603">
      <formula>AND(U2451=0,(V2451&gt;0))</formula>
    </cfRule>
    <cfRule type="expression" dxfId="598" priority="604">
      <formula>((V2451-U2451)/U2451)&gt;0.05</formula>
    </cfRule>
  </conditionalFormatting>
  <conditionalFormatting sqref="AD2451">
    <cfRule type="expression" dxfId="597" priority="601">
      <formula>AND(AC2451=0,(AD2451&gt;0))</formula>
    </cfRule>
    <cfRule type="expression" dxfId="596" priority="602">
      <formula>((AD2451-AC2451)/AC2451)&gt;0.05</formula>
    </cfRule>
  </conditionalFormatting>
  <conditionalFormatting sqref="Z2451:AA2451">
    <cfRule type="expression" dxfId="595" priority="599">
      <formula>AND(W2451=0,(Z2451&gt;0))</formula>
    </cfRule>
    <cfRule type="expression" dxfId="594" priority="600">
      <formula>((Z2451-W2451)/W2451)&gt;0.05</formula>
    </cfRule>
  </conditionalFormatting>
  <conditionalFormatting sqref="AG2501:AH2501">
    <cfRule type="expression" dxfId="593" priority="533">
      <formula>AND(AD2501=0,(AG2501&gt;0))</formula>
    </cfRule>
    <cfRule type="expression" dxfId="592" priority="534">
      <formula>((AG2501-AD2501)/AD2501)&gt;0.05</formula>
    </cfRule>
  </conditionalFormatting>
  <conditionalFormatting sqref="H2462">
    <cfRule type="expression" dxfId="591" priority="595">
      <formula>AND(G2462=0,(H2462&gt;0))</formula>
    </cfRule>
    <cfRule type="expression" dxfId="590" priority="596">
      <formula>((H2462-G2462)/G2462)&gt;0.05</formula>
    </cfRule>
  </conditionalFormatting>
  <conditionalFormatting sqref="P2462:Q2462">
    <cfRule type="expression" dxfId="589" priority="593">
      <formula>AND(M2462=0,(P2462&gt;0))</formula>
    </cfRule>
    <cfRule type="expression" dxfId="588" priority="594">
      <formula>((P2462-M2462)/M2462)&gt;0.05</formula>
    </cfRule>
  </conditionalFormatting>
  <conditionalFormatting sqref="J2462">
    <cfRule type="expression" dxfId="587" priority="591">
      <formula>AND(I2462=0,(J2462&gt;0))</formula>
    </cfRule>
    <cfRule type="expression" dxfId="586" priority="592">
      <formula>((J2462-I2462)/I2462)&gt;0.05</formula>
    </cfRule>
  </conditionalFormatting>
  <conditionalFormatting sqref="L2462">
    <cfRule type="expression" dxfId="585" priority="589">
      <formula>AND(K2462=0,(L2462&gt;0))</formula>
    </cfRule>
    <cfRule type="expression" dxfId="584" priority="590">
      <formula>((L2462-K2462)/K2462)&gt;0.05</formula>
    </cfRule>
  </conditionalFormatting>
  <conditionalFormatting sqref="V2462">
    <cfRule type="expression" dxfId="583" priority="587">
      <formula>AND(U2462=0,(V2462&gt;0))</formula>
    </cfRule>
    <cfRule type="expression" dxfId="582" priority="588">
      <formula>((V2462-U2462)/U2462)&gt;0.05</formula>
    </cfRule>
  </conditionalFormatting>
  <conditionalFormatting sqref="AD2462">
    <cfRule type="expression" dxfId="581" priority="585">
      <formula>AND(AC2462=0,(AD2462&gt;0))</formula>
    </cfRule>
    <cfRule type="expression" dxfId="580" priority="586">
      <formula>((AD2462-AC2462)/AC2462)&gt;0.05</formula>
    </cfRule>
  </conditionalFormatting>
  <conditionalFormatting sqref="Z2462:AA2462">
    <cfRule type="expression" dxfId="579" priority="583">
      <formula>AND(W2462=0,(Z2462&gt;0))</formula>
    </cfRule>
    <cfRule type="expression" dxfId="578" priority="584">
      <formula>((Z2462-W2462)/W2462)&gt;0.05</formula>
    </cfRule>
  </conditionalFormatting>
  <conditionalFormatting sqref="AG2514:AH2514">
    <cfRule type="expression" dxfId="577" priority="517">
      <formula>AND(AD2514=0,(AG2514&gt;0))</formula>
    </cfRule>
    <cfRule type="expression" dxfId="576" priority="518">
      <formula>((AG2514-AD2514)/AD2514)&gt;0.05</formula>
    </cfRule>
  </conditionalFormatting>
  <conditionalFormatting sqref="H2475">
    <cfRule type="expression" dxfId="575" priority="579">
      <formula>AND(G2475=0,(H2475&gt;0))</formula>
    </cfRule>
    <cfRule type="expression" dxfId="574" priority="580">
      <formula>((H2475-G2475)/G2475)&gt;0.05</formula>
    </cfRule>
  </conditionalFormatting>
  <conditionalFormatting sqref="P2475:Q2475">
    <cfRule type="expression" dxfId="573" priority="577">
      <formula>AND(M2475=0,(P2475&gt;0))</formula>
    </cfRule>
    <cfRule type="expression" dxfId="572" priority="578">
      <formula>((P2475-M2475)/M2475)&gt;0.05</formula>
    </cfRule>
  </conditionalFormatting>
  <conditionalFormatting sqref="J2475">
    <cfRule type="expression" dxfId="571" priority="575">
      <formula>AND(I2475=0,(J2475&gt;0))</formula>
    </cfRule>
    <cfRule type="expression" dxfId="570" priority="576">
      <formula>((J2475-I2475)/I2475)&gt;0.05</formula>
    </cfRule>
  </conditionalFormatting>
  <conditionalFormatting sqref="L2475">
    <cfRule type="expression" dxfId="569" priority="573">
      <formula>AND(K2475=0,(L2475&gt;0))</formula>
    </cfRule>
    <cfRule type="expression" dxfId="568" priority="574">
      <formula>((L2475-K2475)/K2475)&gt;0.05</formula>
    </cfRule>
  </conditionalFormatting>
  <conditionalFormatting sqref="V2475">
    <cfRule type="expression" dxfId="567" priority="571">
      <formula>AND(U2475=0,(V2475&gt;0))</formula>
    </cfRule>
    <cfRule type="expression" dxfId="566" priority="572">
      <formula>((V2475-U2475)/U2475)&gt;0.05</formula>
    </cfRule>
  </conditionalFormatting>
  <conditionalFormatting sqref="AD2475">
    <cfRule type="expression" dxfId="565" priority="569">
      <formula>AND(AC2475=0,(AD2475&gt;0))</formula>
    </cfRule>
    <cfRule type="expression" dxfId="564" priority="570">
      <formula>((AD2475-AC2475)/AC2475)&gt;0.05</formula>
    </cfRule>
  </conditionalFormatting>
  <conditionalFormatting sqref="Z2475:AA2475">
    <cfRule type="expression" dxfId="563" priority="567">
      <formula>AND(W2475=0,(Z2475&gt;0))</formula>
    </cfRule>
    <cfRule type="expression" dxfId="562" priority="568">
      <formula>((Z2475-W2475)/W2475)&gt;0.05</formula>
    </cfRule>
  </conditionalFormatting>
  <conditionalFormatting sqref="AG2527:AH2527">
    <cfRule type="expression" dxfId="561" priority="501">
      <formula>AND(AD2527=0,(AG2527&gt;0))</formula>
    </cfRule>
    <cfRule type="expression" dxfId="560" priority="502">
      <formula>((AG2527-AD2527)/AD2527)&gt;0.05</formula>
    </cfRule>
  </conditionalFormatting>
  <conditionalFormatting sqref="H2488">
    <cfRule type="expression" dxfId="559" priority="563">
      <formula>AND(G2488=0,(H2488&gt;0))</formula>
    </cfRule>
    <cfRule type="expression" dxfId="558" priority="564">
      <formula>((H2488-G2488)/G2488)&gt;0.05</formula>
    </cfRule>
  </conditionalFormatting>
  <conditionalFormatting sqref="P2488:Q2488">
    <cfRule type="expression" dxfId="557" priority="561">
      <formula>AND(M2488=0,(P2488&gt;0))</formula>
    </cfRule>
    <cfRule type="expression" dxfId="556" priority="562">
      <formula>((P2488-M2488)/M2488)&gt;0.05</formula>
    </cfRule>
  </conditionalFormatting>
  <conditionalFormatting sqref="J2488">
    <cfRule type="expression" dxfId="555" priority="559">
      <formula>AND(I2488=0,(J2488&gt;0))</formula>
    </cfRule>
    <cfRule type="expression" dxfId="554" priority="560">
      <formula>((J2488-I2488)/I2488)&gt;0.05</formula>
    </cfRule>
  </conditionalFormatting>
  <conditionalFormatting sqref="L2488">
    <cfRule type="expression" dxfId="553" priority="557">
      <formula>AND(K2488=0,(L2488&gt;0))</formula>
    </cfRule>
    <cfRule type="expression" dxfId="552" priority="558">
      <formula>((L2488-K2488)/K2488)&gt;0.05</formula>
    </cfRule>
  </conditionalFormatting>
  <conditionalFormatting sqref="V2488">
    <cfRule type="expression" dxfId="551" priority="555">
      <formula>AND(U2488=0,(V2488&gt;0))</formula>
    </cfRule>
    <cfRule type="expression" dxfId="550" priority="556">
      <formula>((V2488-U2488)/U2488)&gt;0.05</formula>
    </cfRule>
  </conditionalFormatting>
  <conditionalFormatting sqref="AD2488">
    <cfRule type="expression" dxfId="549" priority="553">
      <formula>AND(AC2488=0,(AD2488&gt;0))</formula>
    </cfRule>
    <cfRule type="expression" dxfId="548" priority="554">
      <formula>((AD2488-AC2488)/AC2488)&gt;0.05</formula>
    </cfRule>
  </conditionalFormatting>
  <conditionalFormatting sqref="Z2488:AA2488">
    <cfRule type="expression" dxfId="547" priority="551">
      <formula>AND(W2488=0,(Z2488&gt;0))</formula>
    </cfRule>
    <cfRule type="expression" dxfId="546" priority="552">
      <formula>((Z2488-W2488)/W2488)&gt;0.05</formula>
    </cfRule>
  </conditionalFormatting>
  <conditionalFormatting sqref="AG2541:AH2541">
    <cfRule type="expression" dxfId="545" priority="485">
      <formula>AND(AD2541=0,(AG2541&gt;0))</formula>
    </cfRule>
    <cfRule type="expression" dxfId="544" priority="486">
      <formula>((AG2541-AD2541)/AD2541)&gt;0.05</formula>
    </cfRule>
  </conditionalFormatting>
  <conditionalFormatting sqref="H2501">
    <cfRule type="expression" dxfId="543" priority="547">
      <formula>AND(G2501=0,(H2501&gt;0))</formula>
    </cfRule>
    <cfRule type="expression" dxfId="542" priority="548">
      <formula>((H2501-G2501)/G2501)&gt;0.05</formula>
    </cfRule>
  </conditionalFormatting>
  <conditionalFormatting sqref="P2501:Q2501">
    <cfRule type="expression" dxfId="541" priority="545">
      <formula>AND(M2501=0,(P2501&gt;0))</formula>
    </cfRule>
    <cfRule type="expression" dxfId="540" priority="546">
      <formula>((P2501-M2501)/M2501)&gt;0.05</formula>
    </cfRule>
  </conditionalFormatting>
  <conditionalFormatting sqref="J2501">
    <cfRule type="expression" dxfId="539" priority="543">
      <formula>AND(I2501=0,(J2501&gt;0))</formula>
    </cfRule>
    <cfRule type="expression" dxfId="538" priority="544">
      <formula>((J2501-I2501)/I2501)&gt;0.05</formula>
    </cfRule>
  </conditionalFormatting>
  <conditionalFormatting sqref="L2501">
    <cfRule type="expression" dxfId="537" priority="541">
      <formula>AND(K2501=0,(L2501&gt;0))</formula>
    </cfRule>
    <cfRule type="expression" dxfId="536" priority="542">
      <formula>((L2501-K2501)/K2501)&gt;0.05</formula>
    </cfRule>
  </conditionalFormatting>
  <conditionalFormatting sqref="V2501">
    <cfRule type="expression" dxfId="535" priority="539">
      <formula>AND(U2501=0,(V2501&gt;0))</formula>
    </cfRule>
    <cfRule type="expression" dxfId="534" priority="540">
      <formula>((V2501-U2501)/U2501)&gt;0.05</formula>
    </cfRule>
  </conditionalFormatting>
  <conditionalFormatting sqref="AD2501">
    <cfRule type="expression" dxfId="533" priority="537">
      <formula>AND(AC2501=0,(AD2501&gt;0))</formula>
    </cfRule>
    <cfRule type="expression" dxfId="532" priority="538">
      <formula>((AD2501-AC2501)/AC2501)&gt;0.05</formula>
    </cfRule>
  </conditionalFormatting>
  <conditionalFormatting sqref="Z2501:AA2501">
    <cfRule type="expression" dxfId="531" priority="535">
      <formula>AND(W2501=0,(Z2501&gt;0))</formula>
    </cfRule>
    <cfRule type="expression" dxfId="530" priority="536">
      <formula>((Z2501-W2501)/W2501)&gt;0.05</formula>
    </cfRule>
  </conditionalFormatting>
  <conditionalFormatting sqref="AG2552:AH2552">
    <cfRule type="expression" dxfId="529" priority="471">
      <formula>AND(AD2552=0,(AG2552&gt;0))</formula>
    </cfRule>
    <cfRule type="expression" dxfId="528" priority="472">
      <formula>((AG2552-AD2552)/AD2552)&gt;0.05</formula>
    </cfRule>
  </conditionalFormatting>
  <conditionalFormatting sqref="H2514">
    <cfRule type="expression" dxfId="527" priority="531">
      <formula>AND(G2514=0,(H2514&gt;0))</formula>
    </cfRule>
    <cfRule type="expression" dxfId="526" priority="532">
      <formula>((H2514-G2514)/G2514)&gt;0.05</formula>
    </cfRule>
  </conditionalFormatting>
  <conditionalFormatting sqref="P2514:Q2514">
    <cfRule type="expression" dxfId="525" priority="529">
      <formula>AND(M2514=0,(P2514&gt;0))</formula>
    </cfRule>
    <cfRule type="expression" dxfId="524" priority="530">
      <formula>((P2514-M2514)/M2514)&gt;0.05</formula>
    </cfRule>
  </conditionalFormatting>
  <conditionalFormatting sqref="J2514">
    <cfRule type="expression" dxfId="523" priority="527">
      <formula>AND(I2514=0,(J2514&gt;0))</formula>
    </cfRule>
    <cfRule type="expression" dxfId="522" priority="528">
      <formula>((J2514-I2514)/I2514)&gt;0.05</formula>
    </cfRule>
  </conditionalFormatting>
  <conditionalFormatting sqref="L2514">
    <cfRule type="expression" dxfId="521" priority="525">
      <formula>AND(K2514=0,(L2514&gt;0))</formula>
    </cfRule>
    <cfRule type="expression" dxfId="520" priority="526">
      <formula>((L2514-K2514)/K2514)&gt;0.05</formula>
    </cfRule>
  </conditionalFormatting>
  <conditionalFormatting sqref="V2514">
    <cfRule type="expression" dxfId="519" priority="523">
      <formula>AND(U2514=0,(V2514&gt;0))</formula>
    </cfRule>
    <cfRule type="expression" dxfId="518" priority="524">
      <formula>((V2514-U2514)/U2514)&gt;0.05</formula>
    </cfRule>
  </conditionalFormatting>
  <conditionalFormatting sqref="AD2514">
    <cfRule type="expression" dxfId="517" priority="521">
      <formula>AND(AC2514=0,(AD2514&gt;0))</formula>
    </cfRule>
    <cfRule type="expression" dxfId="516" priority="522">
      <formula>((AD2514-AC2514)/AC2514)&gt;0.05</formula>
    </cfRule>
  </conditionalFormatting>
  <conditionalFormatting sqref="Z2514:AA2514">
    <cfRule type="expression" dxfId="515" priority="519">
      <formula>AND(W2514=0,(Z2514&gt;0))</formula>
    </cfRule>
    <cfRule type="expression" dxfId="514" priority="520">
      <formula>((Z2514-W2514)/W2514)&gt;0.05</formula>
    </cfRule>
  </conditionalFormatting>
  <conditionalFormatting sqref="AG2563:AH2563">
    <cfRule type="expression" dxfId="513" priority="455">
      <formula>AND(AD2563=0,(AG2563&gt;0))</formula>
    </cfRule>
    <cfRule type="expression" dxfId="512" priority="456">
      <formula>((AG2563-AD2563)/AD2563)&gt;0.05</formula>
    </cfRule>
  </conditionalFormatting>
  <conditionalFormatting sqref="H2527">
    <cfRule type="expression" dxfId="511" priority="515">
      <formula>AND(G2527=0,(H2527&gt;0))</formula>
    </cfRule>
    <cfRule type="expression" dxfId="510" priority="516">
      <formula>((H2527-G2527)/G2527)&gt;0.05</formula>
    </cfRule>
  </conditionalFormatting>
  <conditionalFormatting sqref="P2527:Q2527">
    <cfRule type="expression" dxfId="509" priority="513">
      <formula>AND(M2527=0,(P2527&gt;0))</formula>
    </cfRule>
    <cfRule type="expression" dxfId="508" priority="514">
      <formula>((P2527-M2527)/M2527)&gt;0.05</formula>
    </cfRule>
  </conditionalFormatting>
  <conditionalFormatting sqref="J2527">
    <cfRule type="expression" dxfId="507" priority="511">
      <formula>AND(I2527=0,(J2527&gt;0))</formula>
    </cfRule>
    <cfRule type="expression" dxfId="506" priority="512">
      <formula>((J2527-I2527)/I2527)&gt;0.05</formula>
    </cfRule>
  </conditionalFormatting>
  <conditionalFormatting sqref="L2527">
    <cfRule type="expression" dxfId="505" priority="509">
      <formula>AND(K2527=0,(L2527&gt;0))</formula>
    </cfRule>
    <cfRule type="expression" dxfId="504" priority="510">
      <formula>((L2527-K2527)/K2527)&gt;0.05</formula>
    </cfRule>
  </conditionalFormatting>
  <conditionalFormatting sqref="V2527">
    <cfRule type="expression" dxfId="503" priority="507">
      <formula>AND(U2527=0,(V2527&gt;0))</formula>
    </cfRule>
    <cfRule type="expression" dxfId="502" priority="508">
      <formula>((V2527-U2527)/U2527)&gt;0.05</formula>
    </cfRule>
  </conditionalFormatting>
  <conditionalFormatting sqref="AD2527">
    <cfRule type="expression" dxfId="501" priority="505">
      <formula>AND(AC2527=0,(AD2527&gt;0))</formula>
    </cfRule>
    <cfRule type="expression" dxfId="500" priority="506">
      <formula>((AD2527-AC2527)/AC2527)&gt;0.05</formula>
    </cfRule>
  </conditionalFormatting>
  <conditionalFormatting sqref="Z2527:AA2527">
    <cfRule type="expression" dxfId="499" priority="503">
      <formula>AND(W2527=0,(Z2527&gt;0))</formula>
    </cfRule>
    <cfRule type="expression" dxfId="498" priority="504">
      <formula>((Z2527-W2527)/W2527)&gt;0.05</formula>
    </cfRule>
  </conditionalFormatting>
  <conditionalFormatting sqref="AG2573:AH2573">
    <cfRule type="expression" dxfId="497" priority="439">
      <formula>AND(AD2573=0,(AG2573&gt;0))</formula>
    </cfRule>
    <cfRule type="expression" dxfId="496" priority="440">
      <formula>((AG2573-AD2573)/AD2573)&gt;0.05</formula>
    </cfRule>
  </conditionalFormatting>
  <conditionalFormatting sqref="H2541">
    <cfRule type="expression" dxfId="495" priority="499">
      <formula>AND(G2541=0,(H2541&gt;0))</formula>
    </cfRule>
    <cfRule type="expression" dxfId="494" priority="500">
      <formula>((H2541-G2541)/G2541)&gt;0.05</formula>
    </cfRule>
  </conditionalFormatting>
  <conditionalFormatting sqref="P2541:Q2541">
    <cfRule type="expression" dxfId="493" priority="497">
      <formula>AND(M2541=0,(P2541&gt;0))</formula>
    </cfRule>
    <cfRule type="expression" dxfId="492" priority="498">
      <formula>((P2541-M2541)/M2541)&gt;0.05</formula>
    </cfRule>
  </conditionalFormatting>
  <conditionalFormatting sqref="J2541">
    <cfRule type="expression" dxfId="491" priority="495">
      <formula>AND(I2541=0,(J2541&gt;0))</formula>
    </cfRule>
    <cfRule type="expression" dxfId="490" priority="496">
      <formula>((J2541-I2541)/I2541)&gt;0.05</formula>
    </cfRule>
  </conditionalFormatting>
  <conditionalFormatting sqref="L2541">
    <cfRule type="expression" dxfId="489" priority="493">
      <formula>AND(K2541=0,(L2541&gt;0))</formula>
    </cfRule>
    <cfRule type="expression" dxfId="488" priority="494">
      <formula>((L2541-K2541)/K2541)&gt;0.05</formula>
    </cfRule>
  </conditionalFormatting>
  <conditionalFormatting sqref="V2541">
    <cfRule type="expression" dxfId="487" priority="491">
      <formula>AND(U2541=0,(V2541&gt;0))</formula>
    </cfRule>
    <cfRule type="expression" dxfId="486" priority="492">
      <formula>((V2541-U2541)/U2541)&gt;0.05</formula>
    </cfRule>
  </conditionalFormatting>
  <conditionalFormatting sqref="AD2541">
    <cfRule type="expression" dxfId="485" priority="489">
      <formula>AND(AC2541=0,(AD2541&gt;0))</formula>
    </cfRule>
    <cfRule type="expression" dxfId="484" priority="490">
      <formula>((AD2541-AC2541)/AC2541)&gt;0.05</formula>
    </cfRule>
  </conditionalFormatting>
  <conditionalFormatting sqref="Z2541:AA2541">
    <cfRule type="expression" dxfId="483" priority="487">
      <formula>AND(W2541=0,(Z2541&gt;0))</formula>
    </cfRule>
    <cfRule type="expression" dxfId="482" priority="488">
      <formula>((Z2541-W2541)/W2541)&gt;0.05</formula>
    </cfRule>
  </conditionalFormatting>
  <conditionalFormatting sqref="AG2629:AH2629">
    <cfRule type="expression" dxfId="481" priority="423">
      <formula>AND(AD2629=0,(AG2629&gt;0))</formula>
    </cfRule>
    <cfRule type="expression" dxfId="480" priority="424">
      <formula>((AG2629-AD2629)/AD2629)&gt;0.05</formula>
    </cfRule>
  </conditionalFormatting>
  <conditionalFormatting sqref="J2552">
    <cfRule type="expression" dxfId="479" priority="483">
      <formula>AND(G2552=0,(J2552&gt;0))</formula>
    </cfRule>
    <cfRule type="expression" dxfId="478" priority="484">
      <formula>((J2552-G2552)/G2552)&gt;0.05</formula>
    </cfRule>
  </conditionalFormatting>
  <conditionalFormatting sqref="P2552:Q2552">
    <cfRule type="expression" dxfId="477" priority="481">
      <formula>AND(M2552=0,(P2552&gt;0))</formula>
    </cfRule>
    <cfRule type="expression" dxfId="476" priority="482">
      <formula>((P2552-M2552)/M2552)&gt;0.05</formula>
    </cfRule>
  </conditionalFormatting>
  <conditionalFormatting sqref="L2552">
    <cfRule type="expression" dxfId="475" priority="479">
      <formula>AND(K2552=0,(L2552&gt;0))</formula>
    </cfRule>
    <cfRule type="expression" dxfId="474" priority="480">
      <formula>((L2552-K2552)/K2552)&gt;0.05</formula>
    </cfRule>
  </conditionalFormatting>
  <conditionalFormatting sqref="V2552">
    <cfRule type="expression" dxfId="473" priority="477">
      <formula>AND(U2552=0,(V2552&gt;0))</formula>
    </cfRule>
    <cfRule type="expression" dxfId="472" priority="478">
      <formula>((V2552-U2552)/U2552)&gt;0.05</formula>
    </cfRule>
  </conditionalFormatting>
  <conditionalFormatting sqref="AD2552">
    <cfRule type="expression" dxfId="471" priority="475">
      <formula>AND(AC2552=0,(AD2552&gt;0))</formula>
    </cfRule>
    <cfRule type="expression" dxfId="470" priority="476">
      <formula>((AD2552-AC2552)/AC2552)&gt;0.05</formula>
    </cfRule>
  </conditionalFormatting>
  <conditionalFormatting sqref="Z2552:AA2552">
    <cfRule type="expression" dxfId="469" priority="473">
      <formula>AND(W2552=0,(Z2552&gt;0))</formula>
    </cfRule>
    <cfRule type="expression" dxfId="468" priority="474">
      <formula>((Z2552-W2552)/W2552)&gt;0.05</formula>
    </cfRule>
  </conditionalFormatting>
  <conditionalFormatting sqref="AG2443:AH2443">
    <cfRule type="expression" dxfId="467" priority="409">
      <formula>AND(AD2443=0,(AG2443&gt;0))</formula>
    </cfRule>
    <cfRule type="expression" dxfId="466" priority="410">
      <formula>((AG2443-AD2443)/AD2443)&gt;0.05</formula>
    </cfRule>
  </conditionalFormatting>
  <conditionalFormatting sqref="H2563">
    <cfRule type="expression" dxfId="465" priority="469">
      <formula>AND(G2563=0,(H2563&gt;0))</formula>
    </cfRule>
    <cfRule type="expression" dxfId="464" priority="470">
      <formula>((H2563-G2563)/G2563)&gt;0.05</formula>
    </cfRule>
  </conditionalFormatting>
  <conditionalFormatting sqref="P2563:Q2563">
    <cfRule type="expression" dxfId="463" priority="467">
      <formula>AND(M2563=0,(P2563&gt;0))</formula>
    </cfRule>
    <cfRule type="expression" dxfId="462" priority="468">
      <formula>((P2563-M2563)/M2563)&gt;0.05</formula>
    </cfRule>
  </conditionalFormatting>
  <conditionalFormatting sqref="J2563">
    <cfRule type="expression" dxfId="461" priority="465">
      <formula>AND(I2563=0,(J2563&gt;0))</formula>
    </cfRule>
    <cfRule type="expression" dxfId="460" priority="466">
      <formula>((J2563-I2563)/I2563)&gt;0.05</formula>
    </cfRule>
  </conditionalFormatting>
  <conditionalFormatting sqref="L2563">
    <cfRule type="expression" dxfId="459" priority="463">
      <formula>AND(K2563=0,(L2563&gt;0))</formula>
    </cfRule>
    <cfRule type="expression" dxfId="458" priority="464">
      <formula>((L2563-K2563)/K2563)&gt;0.05</formula>
    </cfRule>
  </conditionalFormatting>
  <conditionalFormatting sqref="V2563">
    <cfRule type="expression" dxfId="457" priority="461">
      <formula>AND(U2563=0,(V2563&gt;0))</formula>
    </cfRule>
    <cfRule type="expression" dxfId="456" priority="462">
      <formula>((V2563-U2563)/U2563)&gt;0.05</formula>
    </cfRule>
  </conditionalFormatting>
  <conditionalFormatting sqref="AD2563">
    <cfRule type="expression" dxfId="455" priority="459">
      <formula>AND(AC2563=0,(AD2563&gt;0))</formula>
    </cfRule>
    <cfRule type="expression" dxfId="454" priority="460">
      <formula>((AD2563-AC2563)/AC2563)&gt;0.05</formula>
    </cfRule>
  </conditionalFormatting>
  <conditionalFormatting sqref="Z2563:AA2563">
    <cfRule type="expression" dxfId="453" priority="457">
      <formula>AND(W2563=0,(Z2563&gt;0))</formula>
    </cfRule>
    <cfRule type="expression" dxfId="452" priority="458">
      <formula>((Z2563-W2563)/W2563)&gt;0.05</formula>
    </cfRule>
  </conditionalFormatting>
  <conditionalFormatting sqref="H2573">
    <cfRule type="expression" dxfId="451" priority="453">
      <formula>AND(G2573=0,(H2573&gt;0))</formula>
    </cfRule>
    <cfRule type="expression" dxfId="450" priority="454">
      <formula>((H2573-G2573)/G2573)&gt;0.05</formula>
    </cfRule>
  </conditionalFormatting>
  <conditionalFormatting sqref="P2573:Q2573">
    <cfRule type="expression" dxfId="449" priority="451">
      <formula>AND(M2573=0,(P2573&gt;0))</formula>
    </cfRule>
    <cfRule type="expression" dxfId="448" priority="452">
      <formula>((P2573-M2573)/M2573)&gt;0.05</formula>
    </cfRule>
  </conditionalFormatting>
  <conditionalFormatting sqref="J2573">
    <cfRule type="expression" dxfId="447" priority="449">
      <formula>AND(I2573=0,(J2573&gt;0))</formula>
    </cfRule>
    <cfRule type="expression" dxfId="446" priority="450">
      <formula>((J2573-I2573)/I2573)&gt;0.05</formula>
    </cfRule>
  </conditionalFormatting>
  <conditionalFormatting sqref="L2573">
    <cfRule type="expression" dxfId="445" priority="447">
      <formula>AND(K2573=0,(L2573&gt;0))</formula>
    </cfRule>
    <cfRule type="expression" dxfId="444" priority="448">
      <formula>((L2573-K2573)/K2573)&gt;0.05</formula>
    </cfRule>
  </conditionalFormatting>
  <conditionalFormatting sqref="V2573">
    <cfRule type="expression" dxfId="443" priority="445">
      <formula>AND(U2573=0,(V2573&gt;0))</formula>
    </cfRule>
    <cfRule type="expression" dxfId="442" priority="446">
      <formula>((V2573-U2573)/U2573)&gt;0.05</formula>
    </cfRule>
  </conditionalFormatting>
  <conditionalFormatting sqref="AD2573">
    <cfRule type="expression" dxfId="441" priority="443">
      <formula>AND(AC2573=0,(AD2573&gt;0))</formula>
    </cfRule>
    <cfRule type="expression" dxfId="440" priority="444">
      <formula>((AD2573-AC2573)/AC2573)&gt;0.05</formula>
    </cfRule>
  </conditionalFormatting>
  <conditionalFormatting sqref="Z2573:AA2573">
    <cfRule type="expression" dxfId="439" priority="441">
      <formula>AND(W2573=0,(Z2573&gt;0))</formula>
    </cfRule>
    <cfRule type="expression" dxfId="438" priority="442">
      <formula>((Z2573-W2573)/W2573)&gt;0.05</formula>
    </cfRule>
  </conditionalFormatting>
  <conditionalFormatting sqref="AG2468:AH2468">
    <cfRule type="expression" dxfId="437" priority="393">
      <formula>AND(AD2468=0,(AG2468&gt;0))</formula>
    </cfRule>
    <cfRule type="expression" dxfId="436" priority="394">
      <formula>((AG2468-AD2468)/AD2468)&gt;0.05</formula>
    </cfRule>
  </conditionalFormatting>
  <conditionalFormatting sqref="H2629">
    <cfRule type="expression" dxfId="435" priority="437">
      <formula>AND(G2629=0,(H2629&gt;0))</formula>
    </cfRule>
    <cfRule type="expression" dxfId="434" priority="438">
      <formula>((H2629-G2629)/G2629)&gt;0.05</formula>
    </cfRule>
  </conditionalFormatting>
  <conditionalFormatting sqref="P2629:Q2629">
    <cfRule type="expression" dxfId="433" priority="435">
      <formula>AND(M2629=0,(P2629&gt;0))</formula>
    </cfRule>
    <cfRule type="expression" dxfId="432" priority="436">
      <formula>((P2629-M2629)/M2629)&gt;0.05</formula>
    </cfRule>
  </conditionalFormatting>
  <conditionalFormatting sqref="J2629">
    <cfRule type="expression" dxfId="431" priority="433">
      <formula>AND(I2629=0,(J2629&gt;0))</formula>
    </cfRule>
    <cfRule type="expression" dxfId="430" priority="434">
      <formula>((J2629-I2629)/I2629)&gt;0.05</formula>
    </cfRule>
  </conditionalFormatting>
  <conditionalFormatting sqref="L2629">
    <cfRule type="expression" dxfId="429" priority="431">
      <formula>AND(K2629=0,(L2629&gt;0))</formula>
    </cfRule>
    <cfRule type="expression" dxfId="428" priority="432">
      <formula>((L2629-K2629)/K2629)&gt;0.05</formula>
    </cfRule>
  </conditionalFormatting>
  <conditionalFormatting sqref="V2629">
    <cfRule type="expression" dxfId="427" priority="429">
      <formula>AND(U2629=0,(V2629&gt;0))</formula>
    </cfRule>
    <cfRule type="expression" dxfId="426" priority="430">
      <formula>((V2629-U2629)/U2629)&gt;0.05</formula>
    </cfRule>
  </conditionalFormatting>
  <conditionalFormatting sqref="AD2629">
    <cfRule type="expression" dxfId="425" priority="427">
      <formula>AND(AC2629=0,(AD2629&gt;0))</formula>
    </cfRule>
    <cfRule type="expression" dxfId="424" priority="428">
      <formula>((AD2629-AC2629)/AC2629)&gt;0.05</formula>
    </cfRule>
  </conditionalFormatting>
  <conditionalFormatting sqref="Z2629:AA2629">
    <cfRule type="expression" dxfId="423" priority="425">
      <formula>AND(W2629=0,(Z2629&gt;0))</formula>
    </cfRule>
    <cfRule type="expression" dxfId="422" priority="426">
      <formula>((Z2629-W2629)/W2629)&gt;0.05</formula>
    </cfRule>
  </conditionalFormatting>
  <conditionalFormatting sqref="H2443">
    <cfRule type="expression" dxfId="421" priority="421">
      <formula>AND(G2443=0,(H2443&gt;0))</formula>
    </cfRule>
    <cfRule type="expression" dxfId="420" priority="422">
      <formula>((H2443-G2443)/G2443)&gt;0.05</formula>
    </cfRule>
  </conditionalFormatting>
  <conditionalFormatting sqref="P2443:Q2443">
    <cfRule type="expression" dxfId="419" priority="419">
      <formula>AND(M2443=0,(P2443&gt;0))</formula>
    </cfRule>
    <cfRule type="expression" dxfId="418" priority="420">
      <formula>((P2443-M2443)/M2443)&gt;0.05</formula>
    </cfRule>
  </conditionalFormatting>
  <conditionalFormatting sqref="J2441:J2444">
    <cfRule type="expression" dxfId="417" priority="417">
      <formula>AND(K2441=0,(J2441&gt;0))</formula>
    </cfRule>
    <cfRule type="expression" dxfId="416" priority="418">
      <formula>((J2441-K2441)/K2441)&gt;0.05</formula>
    </cfRule>
  </conditionalFormatting>
  <conditionalFormatting sqref="V2443">
    <cfRule type="expression" dxfId="415" priority="415">
      <formula>AND(U2443=0,(V2443&gt;0))</formula>
    </cfRule>
    <cfRule type="expression" dxfId="414" priority="416">
      <formula>((V2443-U2443)/U2443)&gt;0.05</formula>
    </cfRule>
  </conditionalFormatting>
  <conditionalFormatting sqref="AD2443">
    <cfRule type="expression" dxfId="413" priority="413">
      <formula>AND(AC2443=0,(AD2443&gt;0))</formula>
    </cfRule>
    <cfRule type="expression" dxfId="412" priority="414">
      <formula>((AD2443-AC2443)/AC2443)&gt;0.05</formula>
    </cfRule>
  </conditionalFormatting>
  <conditionalFormatting sqref="Z2443:AA2443">
    <cfRule type="expression" dxfId="411" priority="411">
      <formula>AND(W2443=0,(Z2443&gt;0))</formula>
    </cfRule>
    <cfRule type="expression" dxfId="410" priority="412">
      <formula>((Z2443-W2443)/W2443)&gt;0.05</formula>
    </cfRule>
  </conditionalFormatting>
  <conditionalFormatting sqref="AG2494:AH2494">
    <cfRule type="expression" dxfId="409" priority="377">
      <formula>AND(AD2494=0,(AG2494&gt;0))</formula>
    </cfRule>
    <cfRule type="expression" dxfId="408" priority="378">
      <formula>((AG2494-AD2494)/AD2494)&gt;0.05</formula>
    </cfRule>
  </conditionalFormatting>
  <conditionalFormatting sqref="AG2507:AH2507">
    <cfRule type="expression" dxfId="407" priority="361">
      <formula>AND(AD2507=0,(AG2507&gt;0))</formula>
    </cfRule>
    <cfRule type="expression" dxfId="406" priority="362">
      <formula>((AG2507-AD2507)/AD2507)&gt;0.05</formula>
    </cfRule>
  </conditionalFormatting>
  <conditionalFormatting sqref="H2468">
    <cfRule type="expression" dxfId="405" priority="407">
      <formula>AND(G2468=0,(H2468&gt;0))</formula>
    </cfRule>
    <cfRule type="expression" dxfId="404" priority="408">
      <formula>((H2468-G2468)/G2468)&gt;0.05</formula>
    </cfRule>
  </conditionalFormatting>
  <conditionalFormatting sqref="P2468:Q2468">
    <cfRule type="expression" dxfId="403" priority="405">
      <formula>AND(M2468=0,(P2468&gt;0))</formula>
    </cfRule>
    <cfRule type="expression" dxfId="402" priority="406">
      <formula>((P2468-M2468)/M2468)&gt;0.05</formula>
    </cfRule>
  </conditionalFormatting>
  <conditionalFormatting sqref="J2468">
    <cfRule type="expression" dxfId="401" priority="403">
      <formula>AND(I2468=0,(J2468&gt;0))</formula>
    </cfRule>
    <cfRule type="expression" dxfId="400" priority="404">
      <formula>((J2468-I2468)/I2468)&gt;0.05</formula>
    </cfRule>
  </conditionalFormatting>
  <conditionalFormatting sqref="L2468">
    <cfRule type="expression" dxfId="399" priority="401">
      <formula>AND(K2468=0,(L2468&gt;0))</formula>
    </cfRule>
    <cfRule type="expression" dxfId="398" priority="402">
      <formula>((L2468-K2468)/K2468)&gt;0.05</formula>
    </cfRule>
  </conditionalFormatting>
  <conditionalFormatting sqref="V2468">
    <cfRule type="expression" dxfId="397" priority="399">
      <formula>AND(U2468=0,(V2468&gt;0))</formula>
    </cfRule>
    <cfRule type="expression" dxfId="396" priority="400">
      <formula>((V2468-U2468)/U2468)&gt;0.05</formula>
    </cfRule>
  </conditionalFormatting>
  <conditionalFormatting sqref="AD2468">
    <cfRule type="expression" dxfId="395" priority="397">
      <formula>AND(AC2468=0,(AD2468&gt;0))</formula>
    </cfRule>
    <cfRule type="expression" dxfId="394" priority="398">
      <formula>((AD2468-AC2468)/AC2468)&gt;0.05</formula>
    </cfRule>
  </conditionalFormatting>
  <conditionalFormatting sqref="Z2468:AA2468">
    <cfRule type="expression" dxfId="393" priority="395">
      <formula>AND(W2468=0,(Z2468&gt;0))</formula>
    </cfRule>
    <cfRule type="expression" dxfId="392" priority="396">
      <formula>((Z2468-W2468)/W2468)&gt;0.05</formula>
    </cfRule>
  </conditionalFormatting>
  <conditionalFormatting sqref="AG2520:AH2520">
    <cfRule type="expression" dxfId="391" priority="345">
      <formula>AND(AD2520=0,(AG2520&gt;0))</formula>
    </cfRule>
    <cfRule type="expression" dxfId="390" priority="346">
      <formula>((AG2520-AD2520)/AD2520)&gt;0.05</formula>
    </cfRule>
  </conditionalFormatting>
  <conditionalFormatting sqref="AG2534:AH2534">
    <cfRule type="expression" dxfId="389" priority="329">
      <formula>AND(AD2534=0,(AG2534&gt;0))</formula>
    </cfRule>
    <cfRule type="expression" dxfId="388" priority="330">
      <formula>((AG2534-AD2534)/AD2534)&gt;0.05</formula>
    </cfRule>
  </conditionalFormatting>
  <conditionalFormatting sqref="H2494">
    <cfRule type="expression" dxfId="387" priority="391">
      <formula>AND(G2494=0,(H2494&gt;0))</formula>
    </cfRule>
    <cfRule type="expression" dxfId="386" priority="392">
      <formula>((H2494-G2494)/G2494)&gt;0.05</formula>
    </cfRule>
  </conditionalFormatting>
  <conditionalFormatting sqref="P2494:Q2494">
    <cfRule type="expression" dxfId="385" priority="389">
      <formula>AND(M2494=0,(P2494&gt;0))</formula>
    </cfRule>
    <cfRule type="expression" dxfId="384" priority="390">
      <formula>((P2494-M2494)/M2494)&gt;0.05</formula>
    </cfRule>
  </conditionalFormatting>
  <conditionalFormatting sqref="J2494">
    <cfRule type="expression" dxfId="383" priority="387">
      <formula>AND(I2494=0,(J2494&gt;0))</formula>
    </cfRule>
    <cfRule type="expression" dxfId="382" priority="388">
      <formula>((J2494-I2494)/I2494)&gt;0.05</formula>
    </cfRule>
  </conditionalFormatting>
  <conditionalFormatting sqref="L2494">
    <cfRule type="expression" dxfId="381" priority="385">
      <formula>AND(K2494=0,(L2494&gt;0))</formula>
    </cfRule>
    <cfRule type="expression" dxfId="380" priority="386">
      <formula>((L2494-K2494)/K2494)&gt;0.05</formula>
    </cfRule>
  </conditionalFormatting>
  <conditionalFormatting sqref="V2494">
    <cfRule type="expression" dxfId="379" priority="383">
      <formula>AND(U2494=0,(V2494&gt;0))</formula>
    </cfRule>
    <cfRule type="expression" dxfId="378" priority="384">
      <formula>((V2494-U2494)/U2494)&gt;0.05</formula>
    </cfRule>
  </conditionalFormatting>
  <conditionalFormatting sqref="AD2494">
    <cfRule type="expression" dxfId="377" priority="381">
      <formula>AND(AC2494=0,(AD2494&gt;0))</formula>
    </cfRule>
    <cfRule type="expression" dxfId="376" priority="382">
      <formula>((AD2494-AC2494)/AC2494)&gt;0.05</formula>
    </cfRule>
  </conditionalFormatting>
  <conditionalFormatting sqref="Z2494:AA2494">
    <cfRule type="expression" dxfId="375" priority="379">
      <formula>AND(W2494=0,(Z2494&gt;0))</formula>
    </cfRule>
    <cfRule type="expression" dxfId="374" priority="380">
      <formula>((Z2494-W2494)/W2494)&gt;0.05</formula>
    </cfRule>
  </conditionalFormatting>
  <conditionalFormatting sqref="H2507">
    <cfRule type="expression" dxfId="373" priority="375">
      <formula>AND(G2507=0,(H2507&gt;0))</formula>
    </cfRule>
    <cfRule type="expression" dxfId="372" priority="376">
      <formula>((H2507-G2507)/G2507)&gt;0.05</formula>
    </cfRule>
  </conditionalFormatting>
  <conditionalFormatting sqref="P2507:Q2507">
    <cfRule type="expression" dxfId="371" priority="373">
      <formula>AND(M2507=0,(P2507&gt;0))</formula>
    </cfRule>
    <cfRule type="expression" dxfId="370" priority="374">
      <formula>((P2507-M2507)/M2507)&gt;0.05</formula>
    </cfRule>
  </conditionalFormatting>
  <conditionalFormatting sqref="J2507">
    <cfRule type="expression" dxfId="369" priority="371">
      <formula>AND(I2507=0,(J2507&gt;0))</formula>
    </cfRule>
    <cfRule type="expression" dxfId="368" priority="372">
      <formula>((J2507-I2507)/I2507)&gt;0.05</formula>
    </cfRule>
  </conditionalFormatting>
  <conditionalFormatting sqref="L2507">
    <cfRule type="expression" dxfId="367" priority="369">
      <formula>AND(K2507=0,(L2507&gt;0))</formula>
    </cfRule>
    <cfRule type="expression" dxfId="366" priority="370">
      <formula>((L2507-K2507)/K2507)&gt;0.05</formula>
    </cfRule>
  </conditionalFormatting>
  <conditionalFormatting sqref="V2507">
    <cfRule type="expression" dxfId="365" priority="367">
      <formula>AND(U2507=0,(V2507&gt;0))</formula>
    </cfRule>
    <cfRule type="expression" dxfId="364" priority="368">
      <formula>((V2507-U2507)/U2507)&gt;0.05</formula>
    </cfRule>
  </conditionalFormatting>
  <conditionalFormatting sqref="AD2507">
    <cfRule type="expression" dxfId="363" priority="365">
      <formula>AND(AC2507=0,(AD2507&gt;0))</formula>
    </cfRule>
    <cfRule type="expression" dxfId="362" priority="366">
      <formula>((AD2507-AC2507)/AC2507)&gt;0.05</formula>
    </cfRule>
  </conditionalFormatting>
  <conditionalFormatting sqref="Z2507:AA2507">
    <cfRule type="expression" dxfId="361" priority="363">
      <formula>AND(W2507=0,(Z2507&gt;0))</formula>
    </cfRule>
    <cfRule type="expression" dxfId="360" priority="364">
      <formula>((Z2507-W2507)/W2507)&gt;0.05</formula>
    </cfRule>
  </conditionalFormatting>
  <conditionalFormatting sqref="H2520">
    <cfRule type="expression" dxfId="359" priority="359">
      <formula>AND(G2520=0,(H2520&gt;0))</formula>
    </cfRule>
    <cfRule type="expression" dxfId="358" priority="360">
      <formula>((H2520-G2520)/G2520)&gt;0.05</formula>
    </cfRule>
  </conditionalFormatting>
  <conditionalFormatting sqref="P2520:Q2520">
    <cfRule type="expression" dxfId="357" priority="357">
      <formula>AND(M2520=0,(P2520&gt;0))</formula>
    </cfRule>
    <cfRule type="expression" dxfId="356" priority="358">
      <formula>((P2520-M2520)/M2520)&gt;0.05</formula>
    </cfRule>
  </conditionalFormatting>
  <conditionalFormatting sqref="J2520">
    <cfRule type="expression" dxfId="355" priority="355">
      <formula>AND(I2520=0,(J2520&gt;0))</formula>
    </cfRule>
    <cfRule type="expression" dxfId="354" priority="356">
      <formula>((J2520-I2520)/I2520)&gt;0.05</formula>
    </cfRule>
  </conditionalFormatting>
  <conditionalFormatting sqref="L2520">
    <cfRule type="expression" dxfId="353" priority="353">
      <formula>AND(K2520=0,(L2520&gt;0))</formula>
    </cfRule>
    <cfRule type="expression" dxfId="352" priority="354">
      <formula>((L2520-K2520)/K2520)&gt;0.05</formula>
    </cfRule>
  </conditionalFormatting>
  <conditionalFormatting sqref="V2520">
    <cfRule type="expression" dxfId="351" priority="351">
      <formula>AND(U2520=0,(V2520&gt;0))</formula>
    </cfRule>
    <cfRule type="expression" dxfId="350" priority="352">
      <formula>((V2520-U2520)/U2520)&gt;0.05</formula>
    </cfRule>
  </conditionalFormatting>
  <conditionalFormatting sqref="AD2520">
    <cfRule type="expression" dxfId="349" priority="349">
      <formula>AND(AC2520=0,(AD2520&gt;0))</formula>
    </cfRule>
    <cfRule type="expression" dxfId="348" priority="350">
      <formula>((AD2520-AC2520)/AC2520)&gt;0.05</formula>
    </cfRule>
  </conditionalFormatting>
  <conditionalFormatting sqref="Z2520:AA2520">
    <cfRule type="expression" dxfId="347" priority="347">
      <formula>AND(W2520=0,(Z2520&gt;0))</formula>
    </cfRule>
    <cfRule type="expression" dxfId="346" priority="348">
      <formula>((Z2520-W2520)/W2520)&gt;0.05</formula>
    </cfRule>
  </conditionalFormatting>
  <conditionalFormatting sqref="H2534">
    <cfRule type="expression" dxfId="345" priority="343">
      <formula>AND(G2534=0,(H2534&gt;0))</formula>
    </cfRule>
    <cfRule type="expression" dxfId="344" priority="344">
      <formula>((H2534-G2534)/G2534)&gt;0.05</formula>
    </cfRule>
  </conditionalFormatting>
  <conditionalFormatting sqref="P2534:Q2534">
    <cfRule type="expression" dxfId="343" priority="341">
      <formula>AND(M2534=0,(P2534&gt;0))</formula>
    </cfRule>
    <cfRule type="expression" dxfId="342" priority="342">
      <formula>((P2534-M2534)/M2534)&gt;0.05</formula>
    </cfRule>
  </conditionalFormatting>
  <conditionalFormatting sqref="J2534">
    <cfRule type="expression" dxfId="341" priority="339">
      <formula>AND(I2534=0,(J2534&gt;0))</formula>
    </cfRule>
    <cfRule type="expression" dxfId="340" priority="340">
      <formula>((J2534-I2534)/I2534)&gt;0.05</formula>
    </cfRule>
  </conditionalFormatting>
  <conditionalFormatting sqref="L2534">
    <cfRule type="expression" dxfId="339" priority="337">
      <formula>AND(K2534=0,(L2534&gt;0))</formula>
    </cfRule>
    <cfRule type="expression" dxfId="338" priority="338">
      <formula>((L2534-K2534)/K2534)&gt;0.05</formula>
    </cfRule>
  </conditionalFormatting>
  <conditionalFormatting sqref="V2534">
    <cfRule type="expression" dxfId="337" priority="335">
      <formula>AND(U2534=0,(V2534&gt;0))</formula>
    </cfRule>
    <cfRule type="expression" dxfId="336" priority="336">
      <formula>((V2534-U2534)/U2534)&gt;0.05</formula>
    </cfRule>
  </conditionalFormatting>
  <conditionalFormatting sqref="AD2534">
    <cfRule type="expression" dxfId="335" priority="333">
      <formula>AND(AC2534=0,(AD2534&gt;0))</formula>
    </cfRule>
    <cfRule type="expression" dxfId="334" priority="334">
      <formula>((AD2534-AC2534)/AC2534)&gt;0.05</formula>
    </cfRule>
  </conditionalFormatting>
  <conditionalFormatting sqref="Z2534:AA2534">
    <cfRule type="expression" dxfId="333" priority="331">
      <formula>AND(W2534=0,(Z2534&gt;0))</formula>
    </cfRule>
    <cfRule type="expression" dxfId="332" priority="332">
      <formula>((Z2534-W2534)/W2534)&gt;0.05</formula>
    </cfRule>
  </conditionalFormatting>
  <conditionalFormatting sqref="J2440">
    <cfRule type="expression" dxfId="331" priority="1383">
      <formula>AND(K2438=0,(J2440&gt;0))</formula>
    </cfRule>
    <cfRule type="expression" dxfId="330" priority="1384">
      <formula>((J2440-K2438)/K2438)&gt;0.05</formula>
    </cfRule>
  </conditionalFormatting>
  <conditionalFormatting sqref="J2508">
    <cfRule type="expression" dxfId="329" priority="327">
      <formula>AND(I2508=0,(J2508&gt;0))</formula>
    </cfRule>
    <cfRule type="expression" dxfId="328" priority="328">
      <formula>((J2508-I2508)/I2508)&gt;0.05</formula>
    </cfRule>
  </conditionalFormatting>
  <conditionalFormatting sqref="J2588">
    <cfRule type="expression" dxfId="327" priority="1385">
      <formula>AND(I2587=0,(J2588&gt;0))</formula>
    </cfRule>
    <cfRule type="expression" dxfId="326" priority="1386">
      <formula>((J2588-I2587)/I2587)&gt;0.05</formula>
    </cfRule>
  </conditionalFormatting>
  <conditionalFormatting sqref="AD2696 V2696 L2696 J2696 H2696">
    <cfRule type="expression" dxfId="325" priority="325">
      <formula>AND(G2696=0,(H2696&gt;0))</formula>
    </cfRule>
    <cfRule type="expression" dxfId="324" priority="326">
      <formula>((H2696-G2696)/G2696)&gt;0.05</formula>
    </cfRule>
  </conditionalFormatting>
  <conditionalFormatting sqref="AG2696:AH2696 Z2696:AA2696 P2696:Q2696">
    <cfRule type="expression" dxfId="323" priority="323">
      <formula>AND(M2696=0,(P2696&gt;0))</formula>
    </cfRule>
    <cfRule type="expression" dxfId="322" priority="324">
      <formula>((P2696-M2696)/M2696)&gt;0.05</formula>
    </cfRule>
  </conditionalFormatting>
  <conditionalFormatting sqref="J264 H21:H26 J21:J26 L21:L26 V21:V26 AD21:AD26 H29 J29 L29 V29 AD29 H222:H242 J222:J242 L222:L242 V222:V242 AD222:AD242 H10:H19 J10:J19 L10:L19 V10:V19 AD10:AD19 H53:H140 J53:J140 L53:L140 V53:V140 AD53:AD140 H176 J176 L176 V176 AD176 H42:H51 J42:J51 L42:L51 V42:V51 AD42:AD51 H280:H384 J280:J384 L280:L384 V280:V384 AD280:AD384">
    <cfRule type="expression" dxfId="321" priority="243">
      <formula>AND(G10=0,(H10&gt;0))</formula>
    </cfRule>
    <cfRule type="expression" dxfId="320" priority="244">
      <formula>((H10-G10)/G10)&gt;0.05</formula>
    </cfRule>
  </conditionalFormatting>
  <conditionalFormatting sqref="V41">
    <cfRule type="expression" dxfId="319" priority="195">
      <formula>AND(U41=0,(V41&gt;0))</formula>
    </cfRule>
    <cfRule type="expression" dxfId="318" priority="196">
      <formula>((V41-U41)/U41)&gt;0.05</formula>
    </cfRule>
  </conditionalFormatting>
  <conditionalFormatting sqref="V268">
    <cfRule type="expression" dxfId="317" priority="193">
      <formula>AND(U268=0,(V268&gt;0))</formula>
    </cfRule>
    <cfRule type="expression" dxfId="316" priority="194">
      <formula>((V268-U268)/U268)&gt;0.05</formula>
    </cfRule>
  </conditionalFormatting>
  <conditionalFormatting sqref="V269">
    <cfRule type="expression" dxfId="315" priority="191">
      <formula>AND(U269=0,(V269&gt;0))</formula>
    </cfRule>
    <cfRule type="expression" dxfId="314" priority="192">
      <formula>((V269-U269)/U269)&gt;0.05</formula>
    </cfRule>
  </conditionalFormatting>
  <conditionalFormatting sqref="H264">
    <cfRule type="expression" dxfId="313" priority="275">
      <formula>AND(G264=0,(H264&gt;0))</formula>
    </cfRule>
    <cfRule type="expression" dxfId="312" priority="276">
      <formula>((H264-G264)/G264)&gt;0.05</formula>
    </cfRule>
  </conditionalFormatting>
  <conditionalFormatting sqref="P264:Q264 P21:Q26 Z21:AA26 AG21:AH26 P29:Q29 Z29:AA29 AG29:AH29 P222:Q242 Z222:AA242 AG222:AH242 P10:Q19 Z10:AA19 AG10:AH19 P53:Q140 Z53:AA140 AG53:AH140 P176:Q176 Z176:AA176 AG176:AH176 P42:Q51 Z42:AA51 AG42:AH51 P280:Q384 Z280:AA384 AG280:AH384">
    <cfRule type="expression" dxfId="311" priority="273">
      <formula>AND(M10=0,(P10&gt;0))</formula>
    </cfRule>
    <cfRule type="expression" dxfId="310" priority="274">
      <formula>((P10-M10)/M10)&gt;0.05</formula>
    </cfRule>
  </conditionalFormatting>
  <conditionalFormatting sqref="H221">
    <cfRule type="expression" dxfId="309" priority="271">
      <formula>AND(G221=0,(H221&gt;0))</formula>
    </cfRule>
    <cfRule type="expression" dxfId="308" priority="272">
      <formula>((H221-G221)/G221)&gt;0.05</formula>
    </cfRule>
  </conditionalFormatting>
  <conditionalFormatting sqref="P221:Q221">
    <cfRule type="expression" dxfId="307" priority="269">
      <formula>AND(M221=0,(P221&gt;0))</formula>
    </cfRule>
    <cfRule type="expression" dxfId="306" priority="270">
      <formula>((P221-M221)/M221)&gt;0.05</formula>
    </cfRule>
  </conditionalFormatting>
  <conditionalFormatting sqref="H152:H175 H177:H179 H30:H32 H270:H271 H244:H263 H265:H267 H35:H40">
    <cfRule type="expression" dxfId="305" priority="321">
      <formula>AND(G30=0,(H30&gt;0))</formula>
    </cfRule>
    <cfRule type="expression" dxfId="304" priority="322">
      <formula>((H30-G30)/G30)&gt;0.05</formula>
    </cfRule>
  </conditionalFormatting>
  <conditionalFormatting sqref="P152:Q175 P177:Q179 P30:Q32 P270:Q271 P244:Q263 P265:Q267 P35:Q40">
    <cfRule type="expression" dxfId="303" priority="319">
      <formula>AND(M30=0,(P30&gt;0))</formula>
    </cfRule>
    <cfRule type="expression" dxfId="302" priority="320">
      <formula>((P30-M30)/M30)&gt;0.05</formula>
    </cfRule>
  </conditionalFormatting>
  <conditionalFormatting sqref="H141:H151">
    <cfRule type="expression" dxfId="301" priority="317">
      <formula>AND(G141=0,(H141&gt;0))</formula>
    </cfRule>
    <cfRule type="expression" dxfId="300" priority="318">
      <formula>((H141-G141)/G141)&gt;0.05</formula>
    </cfRule>
  </conditionalFormatting>
  <conditionalFormatting sqref="P141:Q151">
    <cfRule type="expression" dxfId="299" priority="315">
      <formula>AND(M141=0,(P141&gt;0))</formula>
    </cfRule>
    <cfRule type="expression" dxfId="298" priority="316">
      <formula>((P141-M141)/M141)&gt;0.05</formula>
    </cfRule>
  </conditionalFormatting>
  <conditionalFormatting sqref="H180:H218">
    <cfRule type="expression" dxfId="297" priority="313">
      <formula>AND(G180=0,(H180&gt;0))</formula>
    </cfRule>
    <cfRule type="expression" dxfId="296" priority="314">
      <formula>((H180-G180)/G180)&gt;0.05</formula>
    </cfRule>
  </conditionalFormatting>
  <conditionalFormatting sqref="P180:Q218">
    <cfRule type="expression" dxfId="295" priority="311">
      <formula>AND(M180=0,(P180&gt;0))</formula>
    </cfRule>
    <cfRule type="expression" dxfId="294" priority="312">
      <formula>((P180-M180)/M180)&gt;0.05</formula>
    </cfRule>
  </conditionalFormatting>
  <conditionalFormatting sqref="H219:H220 H273:H277">
    <cfRule type="expression" dxfId="293" priority="309">
      <formula>AND(G219=0,(H219&gt;0))</formula>
    </cfRule>
    <cfRule type="expression" dxfId="292" priority="310">
      <formula>((H219-G219)/G219)&gt;0.05</formula>
    </cfRule>
  </conditionalFormatting>
  <conditionalFormatting sqref="P219:Q220 P273:Q277">
    <cfRule type="expression" dxfId="291" priority="307">
      <formula>AND(M219=0,(P219&gt;0))</formula>
    </cfRule>
    <cfRule type="expression" dxfId="290" priority="308">
      <formula>((P219-M219)/M219)&gt;0.05</formula>
    </cfRule>
  </conditionalFormatting>
  <conditionalFormatting sqref="H243">
    <cfRule type="expression" dxfId="289" priority="305">
      <formula>AND(G243=0,(H243&gt;0))</formula>
    </cfRule>
    <cfRule type="expression" dxfId="288" priority="306">
      <formula>((H243-G243)/G243)&gt;0.05</formula>
    </cfRule>
  </conditionalFormatting>
  <conditionalFormatting sqref="P243:Q243">
    <cfRule type="expression" dxfId="287" priority="303">
      <formula>AND(M243=0,(P243&gt;0))</formula>
    </cfRule>
    <cfRule type="expression" dxfId="286" priority="304">
      <formula>((P243-M243)/M243)&gt;0.05</formula>
    </cfRule>
  </conditionalFormatting>
  <conditionalFormatting sqref="H272">
    <cfRule type="expression" dxfId="285" priority="301">
      <formula>AND(G272=0,(H272&gt;0))</formula>
    </cfRule>
    <cfRule type="expression" dxfId="284" priority="302">
      <formula>((H272-G272)/G272)&gt;0.05</formula>
    </cfRule>
  </conditionalFormatting>
  <conditionalFormatting sqref="P272:Q272">
    <cfRule type="expression" dxfId="283" priority="299">
      <formula>AND(M272=0,(P272&gt;0))</formula>
    </cfRule>
    <cfRule type="expression" dxfId="282" priority="300">
      <formula>((P272-M272)/M272)&gt;0.05</formula>
    </cfRule>
  </conditionalFormatting>
  <conditionalFormatting sqref="H279">
    <cfRule type="expression" dxfId="281" priority="297">
      <formula>AND(G279=0,(H279&gt;0))</formula>
    </cfRule>
    <cfRule type="expression" dxfId="280" priority="298">
      <formula>((H279-G279)/G279)&gt;0.05</formula>
    </cfRule>
  </conditionalFormatting>
  <conditionalFormatting sqref="P279:Q279">
    <cfRule type="expression" dxfId="279" priority="295">
      <formula>AND(M279=0,(P279&gt;0))</formula>
    </cfRule>
    <cfRule type="expression" dxfId="278" priority="296">
      <formula>((P279-M279)/M279)&gt;0.05</formula>
    </cfRule>
  </conditionalFormatting>
  <conditionalFormatting sqref="H28">
    <cfRule type="expression" dxfId="277" priority="293">
      <formula>AND(G28=0,(H28&gt;0))</formula>
    </cfRule>
    <cfRule type="expression" dxfId="276" priority="294">
      <formula>((H28-G28)/G28)&gt;0.05</formula>
    </cfRule>
  </conditionalFormatting>
  <conditionalFormatting sqref="P28:Q28">
    <cfRule type="expression" dxfId="275" priority="291">
      <formula>AND(M28=0,(P28&gt;0))</formula>
    </cfRule>
    <cfRule type="expression" dxfId="274" priority="292">
      <formula>((P28-M28)/M28)&gt;0.05</formula>
    </cfRule>
  </conditionalFormatting>
  <conditionalFormatting sqref="H41">
    <cfRule type="expression" dxfId="273" priority="289">
      <formula>AND(G41=0,(H41&gt;0))</formula>
    </cfRule>
    <cfRule type="expression" dxfId="272" priority="290">
      <formula>((H41-G41)/G41)&gt;0.05</formula>
    </cfRule>
  </conditionalFormatting>
  <conditionalFormatting sqref="P41:Q41">
    <cfRule type="expression" dxfId="271" priority="287">
      <formula>AND(M41=0,(P41&gt;0))</formula>
    </cfRule>
    <cfRule type="expression" dxfId="270" priority="288">
      <formula>((P41-M41)/M41)&gt;0.05</formula>
    </cfRule>
  </conditionalFormatting>
  <conditionalFormatting sqref="H268">
    <cfRule type="expression" dxfId="269" priority="285">
      <formula>AND(G268=0,(H268&gt;0))</formula>
    </cfRule>
    <cfRule type="expression" dxfId="268" priority="286">
      <formula>((H268-G268)/G268)&gt;0.05</formula>
    </cfRule>
  </conditionalFormatting>
  <conditionalFormatting sqref="P268:Q268">
    <cfRule type="expression" dxfId="267" priority="283">
      <formula>AND(M268=0,(P268&gt;0))</formula>
    </cfRule>
    <cfRule type="expression" dxfId="266" priority="284">
      <formula>((P268-M268)/M268)&gt;0.05</formula>
    </cfRule>
  </conditionalFormatting>
  <conditionalFormatting sqref="H269">
    <cfRule type="expression" dxfId="265" priority="281">
      <formula>AND(G269=0,(H269&gt;0))</formula>
    </cfRule>
    <cfRule type="expression" dxfId="264" priority="282">
      <formula>((H269-G269)/G269)&gt;0.05</formula>
    </cfRule>
  </conditionalFormatting>
  <conditionalFormatting sqref="P269:Q269">
    <cfRule type="expression" dxfId="263" priority="279">
      <formula>AND(M269=0,(P269&gt;0))</formula>
    </cfRule>
    <cfRule type="expression" dxfId="262" priority="280">
      <formula>((P269-M269)/M269)&gt;0.05</formula>
    </cfRule>
  </conditionalFormatting>
  <conditionalFormatting sqref="P278:Q278">
    <cfRule type="expression" dxfId="261" priority="277">
      <formula>AND(M278=0,(P278&gt;0))</formula>
    </cfRule>
    <cfRule type="expression" dxfId="260" priority="278">
      <formula>((P278-M278)/M278)&gt;0.05</formula>
    </cfRule>
  </conditionalFormatting>
  <conditionalFormatting sqref="J221">
    <cfRule type="expression" dxfId="259" priority="241">
      <formula>AND(I221=0,(J221&gt;0))</formula>
    </cfRule>
    <cfRule type="expression" dxfId="258" priority="242">
      <formula>((J221-I221)/I221)&gt;0.05</formula>
    </cfRule>
  </conditionalFormatting>
  <conditionalFormatting sqref="J152:J175 J177:J179 J30:J32 J270:J271 J244:J263 J265:J267 J35:J40">
    <cfRule type="expression" dxfId="257" priority="267">
      <formula>AND(I30=0,(J30&gt;0))</formula>
    </cfRule>
    <cfRule type="expression" dxfId="256" priority="268">
      <formula>((J30-I30)/I30)&gt;0.05</formula>
    </cfRule>
  </conditionalFormatting>
  <conditionalFormatting sqref="J141:J151">
    <cfRule type="expression" dxfId="255" priority="265">
      <formula>AND(I141=0,(J141&gt;0))</formula>
    </cfRule>
    <cfRule type="expression" dxfId="254" priority="266">
      <formula>((J141-I141)/I141)&gt;0.05</formula>
    </cfRule>
  </conditionalFormatting>
  <conditionalFormatting sqref="J180:J218">
    <cfRule type="expression" dxfId="253" priority="263">
      <formula>AND(I180=0,(J180&gt;0))</formula>
    </cfRule>
    <cfRule type="expression" dxfId="252" priority="264">
      <formula>((J180-I180)/I180)&gt;0.05</formula>
    </cfRule>
  </conditionalFormatting>
  <conditionalFormatting sqref="J219:J220 J273:J277">
    <cfRule type="expression" dxfId="251" priority="261">
      <formula>AND(I219=0,(J219&gt;0))</formula>
    </cfRule>
    <cfRule type="expression" dxfId="250" priority="262">
      <formula>((J219-I219)/I219)&gt;0.05</formula>
    </cfRule>
  </conditionalFormatting>
  <conditionalFormatting sqref="J243">
    <cfRule type="expression" dxfId="249" priority="259">
      <formula>AND(I243=0,(J243&gt;0))</formula>
    </cfRule>
    <cfRule type="expression" dxfId="248" priority="260">
      <formula>((J243-I243)/I243)&gt;0.05</formula>
    </cfRule>
  </conditionalFormatting>
  <conditionalFormatting sqref="J272">
    <cfRule type="expression" dxfId="247" priority="257">
      <formula>AND(I272=0,(J272&gt;0))</formula>
    </cfRule>
    <cfRule type="expression" dxfId="246" priority="258">
      <formula>((J272-I272)/I272)&gt;0.05</formula>
    </cfRule>
  </conditionalFormatting>
  <conditionalFormatting sqref="J279">
    <cfRule type="expression" dxfId="245" priority="255">
      <formula>AND(I279=0,(J279&gt;0))</formula>
    </cfRule>
    <cfRule type="expression" dxfId="244" priority="256">
      <formula>((J279-I279)/I279)&gt;0.05</formula>
    </cfRule>
  </conditionalFormatting>
  <conditionalFormatting sqref="J28">
    <cfRule type="expression" dxfId="243" priority="253">
      <formula>AND(I28=0,(J28&gt;0))</formula>
    </cfRule>
    <cfRule type="expression" dxfId="242" priority="254">
      <formula>((J28-I28)/I28)&gt;0.05</formula>
    </cfRule>
  </conditionalFormatting>
  <conditionalFormatting sqref="J41">
    <cfRule type="expression" dxfId="241" priority="251">
      <formula>AND(I41=0,(J41&gt;0))</formula>
    </cfRule>
    <cfRule type="expression" dxfId="240" priority="252">
      <formula>((J41-I41)/I41)&gt;0.05</formula>
    </cfRule>
  </conditionalFormatting>
  <conditionalFormatting sqref="J268">
    <cfRule type="expression" dxfId="239" priority="249">
      <formula>AND(I268=0,(J268&gt;0))</formula>
    </cfRule>
    <cfRule type="expression" dxfId="238" priority="250">
      <formula>((J268-I268)/I268)&gt;0.05</formula>
    </cfRule>
  </conditionalFormatting>
  <conditionalFormatting sqref="J269">
    <cfRule type="expression" dxfId="237" priority="247">
      <formula>AND(I269=0,(J269&gt;0))</formula>
    </cfRule>
    <cfRule type="expression" dxfId="236" priority="248">
      <formula>((J269-I269)/I269)&gt;0.05</formula>
    </cfRule>
  </conditionalFormatting>
  <conditionalFormatting sqref="J278">
    <cfRule type="expression" dxfId="235" priority="245">
      <formula>AND(I278=0,(J278&gt;0))</formula>
    </cfRule>
    <cfRule type="expression" dxfId="234" priority="246">
      <formula>((J278-I278)/I278)&gt;0.05</formula>
    </cfRule>
  </conditionalFormatting>
  <conditionalFormatting sqref="L264">
    <cfRule type="expression" dxfId="233" priority="215">
      <formula>AND(K264=0,(L264&gt;0))</formula>
    </cfRule>
    <cfRule type="expression" dxfId="232" priority="216">
      <formula>((L264-K264)/K264)&gt;0.05</formula>
    </cfRule>
  </conditionalFormatting>
  <conditionalFormatting sqref="L221">
    <cfRule type="expression" dxfId="231" priority="213">
      <formula>AND(K221=0,(L221&gt;0))</formula>
    </cfRule>
    <cfRule type="expression" dxfId="230" priority="214">
      <formula>((L221-K221)/K221)&gt;0.05</formula>
    </cfRule>
  </conditionalFormatting>
  <conditionalFormatting sqref="L152:L175 L177:L179 L30:L32 L270:L271 L244:L263 L265:L267 L35:L40">
    <cfRule type="expression" dxfId="229" priority="239">
      <formula>AND(K30=0,(L30&gt;0))</formula>
    </cfRule>
    <cfRule type="expression" dxfId="228" priority="240">
      <formula>((L30-K30)/K30)&gt;0.05</formula>
    </cfRule>
  </conditionalFormatting>
  <conditionalFormatting sqref="L141:L151">
    <cfRule type="expression" dxfId="227" priority="237">
      <formula>AND(K141=0,(L141&gt;0))</formula>
    </cfRule>
    <cfRule type="expression" dxfId="226" priority="238">
      <formula>((L141-K141)/K141)&gt;0.05</formula>
    </cfRule>
  </conditionalFormatting>
  <conditionalFormatting sqref="L180:L218">
    <cfRule type="expression" dxfId="225" priority="235">
      <formula>AND(K180=0,(L180&gt;0))</formula>
    </cfRule>
    <cfRule type="expression" dxfId="224" priority="236">
      <formula>((L180-K180)/K180)&gt;0.05</formula>
    </cfRule>
  </conditionalFormatting>
  <conditionalFormatting sqref="L219:L220 L273:L277">
    <cfRule type="expression" dxfId="223" priority="233">
      <formula>AND(K219=0,(L219&gt;0))</formula>
    </cfRule>
    <cfRule type="expression" dxfId="222" priority="234">
      <formula>((L219-K219)/K219)&gt;0.05</formula>
    </cfRule>
  </conditionalFormatting>
  <conditionalFormatting sqref="L243">
    <cfRule type="expression" dxfId="221" priority="231">
      <formula>AND(K243=0,(L243&gt;0))</formula>
    </cfRule>
    <cfRule type="expression" dxfId="220" priority="232">
      <formula>((L243-K243)/K243)&gt;0.05</formula>
    </cfRule>
  </conditionalFormatting>
  <conditionalFormatting sqref="L272">
    <cfRule type="expression" dxfId="219" priority="229">
      <formula>AND(K272=0,(L272&gt;0))</formula>
    </cfRule>
    <cfRule type="expression" dxfId="218" priority="230">
      <formula>((L272-K272)/K272)&gt;0.05</formula>
    </cfRule>
  </conditionalFormatting>
  <conditionalFormatting sqref="L279">
    <cfRule type="expression" dxfId="217" priority="227">
      <formula>AND(K279=0,(L279&gt;0))</formula>
    </cfRule>
    <cfRule type="expression" dxfId="216" priority="228">
      <formula>((L279-K279)/K279)&gt;0.05</formula>
    </cfRule>
  </conditionalFormatting>
  <conditionalFormatting sqref="L28">
    <cfRule type="expression" dxfId="215" priority="225">
      <formula>AND(K28=0,(L28&gt;0))</formula>
    </cfRule>
    <cfRule type="expression" dxfId="214" priority="226">
      <formula>((L28-K28)/K28)&gt;0.05</formula>
    </cfRule>
  </conditionalFormatting>
  <conditionalFormatting sqref="L41">
    <cfRule type="expression" dxfId="213" priority="223">
      <formula>AND(K41=0,(L41&gt;0))</formula>
    </cfRule>
    <cfRule type="expression" dxfId="212" priority="224">
      <formula>((L41-K41)/K41)&gt;0.05</formula>
    </cfRule>
  </conditionalFormatting>
  <conditionalFormatting sqref="L268">
    <cfRule type="expression" dxfId="211" priority="221">
      <formula>AND(K268=0,(L268&gt;0))</formula>
    </cfRule>
    <cfRule type="expression" dxfId="210" priority="222">
      <formula>((L268-K268)/K268)&gt;0.05</formula>
    </cfRule>
  </conditionalFormatting>
  <conditionalFormatting sqref="L269">
    <cfRule type="expression" dxfId="209" priority="219">
      <formula>AND(K269=0,(L269&gt;0))</formula>
    </cfRule>
    <cfRule type="expression" dxfId="208" priority="220">
      <formula>((L269-K269)/K269)&gt;0.05</formula>
    </cfRule>
  </conditionalFormatting>
  <conditionalFormatting sqref="L278">
    <cfRule type="expression" dxfId="207" priority="217">
      <formula>AND(K278=0,(L278&gt;0))</formula>
    </cfRule>
    <cfRule type="expression" dxfId="206" priority="218">
      <formula>((L278-K278)/K278)&gt;0.05</formula>
    </cfRule>
  </conditionalFormatting>
  <conditionalFormatting sqref="V264">
    <cfRule type="expression" dxfId="205" priority="187">
      <formula>AND(U264=0,(V264&gt;0))</formula>
    </cfRule>
    <cfRule type="expression" dxfId="204" priority="188">
      <formula>((V264-U264)/U264)&gt;0.05</formula>
    </cfRule>
  </conditionalFormatting>
  <conditionalFormatting sqref="V221">
    <cfRule type="expression" dxfId="203" priority="185">
      <formula>AND(U221=0,(V221&gt;0))</formula>
    </cfRule>
    <cfRule type="expression" dxfId="202" priority="186">
      <formula>((V221-U221)/U221)&gt;0.05</formula>
    </cfRule>
  </conditionalFormatting>
  <conditionalFormatting sqref="V152:V175 V177:V179 V30:V32 V270:V271 V244:V263 V265:V267 V35:V40">
    <cfRule type="expression" dxfId="201" priority="211">
      <formula>AND(U30=0,(V30&gt;0))</formula>
    </cfRule>
    <cfRule type="expression" dxfId="200" priority="212">
      <formula>((V30-U30)/U30)&gt;0.05</formula>
    </cfRule>
  </conditionalFormatting>
  <conditionalFormatting sqref="V141:V151">
    <cfRule type="expression" dxfId="199" priority="209">
      <formula>AND(U141=0,(V141&gt;0))</formula>
    </cfRule>
    <cfRule type="expression" dxfId="198" priority="210">
      <formula>((V141-U141)/U141)&gt;0.05</formula>
    </cfRule>
  </conditionalFormatting>
  <conditionalFormatting sqref="V180:V218">
    <cfRule type="expression" dxfId="197" priority="207">
      <formula>AND(U180=0,(V180&gt;0))</formula>
    </cfRule>
    <cfRule type="expression" dxfId="196" priority="208">
      <formula>((V180-U180)/U180)&gt;0.05</formula>
    </cfRule>
  </conditionalFormatting>
  <conditionalFormatting sqref="V219:V220 V273:V277">
    <cfRule type="expression" dxfId="195" priority="205">
      <formula>AND(U219=0,(V219&gt;0))</formula>
    </cfRule>
    <cfRule type="expression" dxfId="194" priority="206">
      <formula>((V219-U219)/U219)&gt;0.05</formula>
    </cfRule>
  </conditionalFormatting>
  <conditionalFormatting sqref="V243">
    <cfRule type="expression" dxfId="193" priority="203">
      <formula>AND(U243=0,(V243&gt;0))</formula>
    </cfRule>
    <cfRule type="expression" dxfId="192" priority="204">
      <formula>((V243-U243)/U243)&gt;0.05</formula>
    </cfRule>
  </conditionalFormatting>
  <conditionalFormatting sqref="V272">
    <cfRule type="expression" dxfId="191" priority="201">
      <formula>AND(U272=0,(V272&gt;0))</formula>
    </cfRule>
    <cfRule type="expression" dxfId="190" priority="202">
      <formula>((V272-U272)/U272)&gt;0.05</formula>
    </cfRule>
  </conditionalFormatting>
  <conditionalFormatting sqref="V279">
    <cfRule type="expression" dxfId="189" priority="199">
      <formula>AND(U279=0,(V279&gt;0))</formula>
    </cfRule>
    <cfRule type="expression" dxfId="188" priority="200">
      <formula>((V279-U279)/U279)&gt;0.05</formula>
    </cfRule>
  </conditionalFormatting>
  <conditionalFormatting sqref="V28">
    <cfRule type="expression" dxfId="187" priority="197">
      <formula>AND(U28=0,(V28&gt;0))</formula>
    </cfRule>
    <cfRule type="expression" dxfId="186" priority="198">
      <formula>((V28-U28)/U28)&gt;0.05</formula>
    </cfRule>
  </conditionalFormatting>
  <conditionalFormatting sqref="V278">
    <cfRule type="expression" dxfId="185" priority="189">
      <formula>AND(U278=0,(V278&gt;0))</formula>
    </cfRule>
    <cfRule type="expression" dxfId="184" priority="190">
      <formula>((V278-U278)/U278)&gt;0.05</formula>
    </cfRule>
  </conditionalFormatting>
  <conditionalFormatting sqref="AD264">
    <cfRule type="expression" dxfId="183" priority="159">
      <formula>AND(AC264=0,(AD264&gt;0))</formula>
    </cfRule>
    <cfRule type="expression" dxfId="182" priority="160">
      <formula>((AD264-AC264)/AC264)&gt;0.05</formula>
    </cfRule>
  </conditionalFormatting>
  <conditionalFormatting sqref="AD221">
    <cfRule type="expression" dxfId="181" priority="157">
      <formula>AND(AC221=0,(AD221&gt;0))</formula>
    </cfRule>
    <cfRule type="expression" dxfId="180" priority="158">
      <formula>((AD221-AC221)/AC221)&gt;0.05</formula>
    </cfRule>
  </conditionalFormatting>
  <conditionalFormatting sqref="AD152:AD175 AD177:AD179 AD30:AD32 AD270:AD271 AD244:AD263 AD265:AD267 AD35:AD40">
    <cfRule type="expression" dxfId="179" priority="183">
      <formula>AND(AC30=0,(AD30&gt;0))</formula>
    </cfRule>
    <cfRule type="expression" dxfId="178" priority="184">
      <formula>((AD30-AC30)/AC30)&gt;0.05</formula>
    </cfRule>
  </conditionalFormatting>
  <conditionalFormatting sqref="AD141:AD151">
    <cfRule type="expression" dxfId="177" priority="181">
      <formula>AND(AC141=0,(AD141&gt;0))</formula>
    </cfRule>
    <cfRule type="expression" dxfId="176" priority="182">
      <formula>((AD141-AC141)/AC141)&gt;0.05</formula>
    </cfRule>
  </conditionalFormatting>
  <conditionalFormatting sqref="AD180:AD218">
    <cfRule type="expression" dxfId="175" priority="179">
      <formula>AND(AC180=0,(AD180&gt;0))</formula>
    </cfRule>
    <cfRule type="expression" dxfId="174" priority="180">
      <formula>((AD180-AC180)/AC180)&gt;0.05</formula>
    </cfRule>
  </conditionalFormatting>
  <conditionalFormatting sqref="AD219:AD220 AD273:AD277">
    <cfRule type="expression" dxfId="173" priority="177">
      <formula>AND(AC219=0,(AD219&gt;0))</formula>
    </cfRule>
    <cfRule type="expression" dxfId="172" priority="178">
      <formula>((AD219-AC219)/AC219)&gt;0.05</formula>
    </cfRule>
  </conditionalFormatting>
  <conditionalFormatting sqref="AD243">
    <cfRule type="expression" dxfId="171" priority="175">
      <formula>AND(AC243=0,(AD243&gt;0))</formula>
    </cfRule>
    <cfRule type="expression" dxfId="170" priority="176">
      <formula>((AD243-AC243)/AC243)&gt;0.05</formula>
    </cfRule>
  </conditionalFormatting>
  <conditionalFormatting sqref="AD272">
    <cfRule type="expression" dxfId="169" priority="173">
      <formula>AND(AC272=0,(AD272&gt;0))</formula>
    </cfRule>
    <cfRule type="expression" dxfId="168" priority="174">
      <formula>((AD272-AC272)/AC272)&gt;0.05</formula>
    </cfRule>
  </conditionalFormatting>
  <conditionalFormatting sqref="AD279">
    <cfRule type="expression" dxfId="167" priority="171">
      <formula>AND(AC279=0,(AD279&gt;0))</formula>
    </cfRule>
    <cfRule type="expression" dxfId="166" priority="172">
      <formula>((AD279-AC279)/AC279)&gt;0.05</formula>
    </cfRule>
  </conditionalFormatting>
  <conditionalFormatting sqref="AD28">
    <cfRule type="expression" dxfId="165" priority="169">
      <formula>AND(AC28=0,(AD28&gt;0))</formula>
    </cfRule>
    <cfRule type="expression" dxfId="164" priority="170">
      <formula>((AD28-AC28)/AC28)&gt;0.05</formula>
    </cfRule>
  </conditionalFormatting>
  <conditionalFormatting sqref="AD41">
    <cfRule type="expression" dxfId="163" priority="167">
      <formula>AND(AC41=0,(AD41&gt;0))</formula>
    </cfRule>
    <cfRule type="expression" dxfId="162" priority="168">
      <formula>((AD41-AC41)/AC41)&gt;0.05</formula>
    </cfRule>
  </conditionalFormatting>
  <conditionalFormatting sqref="AD268">
    <cfRule type="expression" dxfId="161" priority="165">
      <formula>AND(AC268=0,(AD268&gt;0))</formula>
    </cfRule>
    <cfRule type="expression" dxfId="160" priority="166">
      <formula>((AD268-AC268)/AC268)&gt;0.05</formula>
    </cfRule>
  </conditionalFormatting>
  <conditionalFormatting sqref="AD269">
    <cfRule type="expression" dxfId="159" priority="163">
      <formula>AND(AC269=0,(AD269&gt;0))</formula>
    </cfRule>
    <cfRule type="expression" dxfId="158" priority="164">
      <formula>((AD269-AC269)/AC269)&gt;0.05</formula>
    </cfRule>
  </conditionalFormatting>
  <conditionalFormatting sqref="AD278">
    <cfRule type="expression" dxfId="157" priority="161">
      <formula>AND(AC278=0,(AD278&gt;0))</formula>
    </cfRule>
    <cfRule type="expression" dxfId="156" priority="162">
      <formula>((AD278-AC278)/AC278)&gt;0.05</formula>
    </cfRule>
  </conditionalFormatting>
  <conditionalFormatting sqref="Z264:AA264">
    <cfRule type="expression" dxfId="155" priority="131">
      <formula>AND(W264=0,(Z264&gt;0))</formula>
    </cfRule>
    <cfRule type="expression" dxfId="154" priority="132">
      <formula>((Z264-W264)/W264)&gt;0.05</formula>
    </cfRule>
  </conditionalFormatting>
  <conditionalFormatting sqref="Z221:AA221">
    <cfRule type="expression" dxfId="153" priority="129">
      <formula>AND(W221=0,(Z221&gt;0))</formula>
    </cfRule>
    <cfRule type="expression" dxfId="152" priority="130">
      <formula>((Z221-W221)/W221)&gt;0.05</formula>
    </cfRule>
  </conditionalFormatting>
  <conditionalFormatting sqref="Z152:AA175 Z177:AA179 Z30:AA32 Z270:AA271 Z244:AA263 Z265:AA267 Z35:AA40">
    <cfRule type="expression" dxfId="151" priority="155">
      <formula>AND(W30=0,(Z30&gt;0))</formula>
    </cfRule>
    <cfRule type="expression" dxfId="150" priority="156">
      <formula>((Z30-W30)/W30)&gt;0.05</formula>
    </cfRule>
  </conditionalFormatting>
  <conditionalFormatting sqref="Z141:AA151">
    <cfRule type="expression" dxfId="149" priority="153">
      <formula>AND(W141=0,(Z141&gt;0))</formula>
    </cfRule>
    <cfRule type="expression" dxfId="148" priority="154">
      <formula>((Z141-W141)/W141)&gt;0.05</formula>
    </cfRule>
  </conditionalFormatting>
  <conditionalFormatting sqref="Z180:AA218">
    <cfRule type="expression" dxfId="147" priority="151">
      <formula>AND(W180=0,(Z180&gt;0))</formula>
    </cfRule>
    <cfRule type="expression" dxfId="146" priority="152">
      <formula>((Z180-W180)/W180)&gt;0.05</formula>
    </cfRule>
  </conditionalFormatting>
  <conditionalFormatting sqref="Z219:AA220 Z273:AA277">
    <cfRule type="expression" dxfId="145" priority="149">
      <formula>AND(W219=0,(Z219&gt;0))</formula>
    </cfRule>
    <cfRule type="expression" dxfId="144" priority="150">
      <formula>((Z219-W219)/W219)&gt;0.05</formula>
    </cfRule>
  </conditionalFormatting>
  <conditionalFormatting sqref="Z243:AA243">
    <cfRule type="expression" dxfId="143" priority="147">
      <formula>AND(W243=0,(Z243&gt;0))</formula>
    </cfRule>
    <cfRule type="expression" dxfId="142" priority="148">
      <formula>((Z243-W243)/W243)&gt;0.05</formula>
    </cfRule>
  </conditionalFormatting>
  <conditionalFormatting sqref="Z272:AA272">
    <cfRule type="expression" dxfId="141" priority="145">
      <formula>AND(W272=0,(Z272&gt;0))</formula>
    </cfRule>
    <cfRule type="expression" dxfId="140" priority="146">
      <formula>((Z272-W272)/W272)&gt;0.05</formula>
    </cfRule>
  </conditionalFormatting>
  <conditionalFormatting sqref="Z279:AA279">
    <cfRule type="expression" dxfId="139" priority="143">
      <formula>AND(W279=0,(Z279&gt;0))</formula>
    </cfRule>
    <cfRule type="expression" dxfId="138" priority="144">
      <formula>((Z279-W279)/W279)&gt;0.05</formula>
    </cfRule>
  </conditionalFormatting>
  <conditionalFormatting sqref="Z28:AA28">
    <cfRule type="expression" dxfId="137" priority="141">
      <formula>AND(W28=0,(Z28&gt;0))</formula>
    </cfRule>
    <cfRule type="expression" dxfId="136" priority="142">
      <formula>((Z28-W28)/W28)&gt;0.05</formula>
    </cfRule>
  </conditionalFormatting>
  <conditionalFormatting sqref="Z41:AA41">
    <cfRule type="expression" dxfId="135" priority="139">
      <formula>AND(W41=0,(Z41&gt;0))</formula>
    </cfRule>
    <cfRule type="expression" dxfId="134" priority="140">
      <formula>((Z41-W41)/W41)&gt;0.05</formula>
    </cfRule>
  </conditionalFormatting>
  <conditionalFormatting sqref="Z268:AA268">
    <cfRule type="expression" dxfId="133" priority="137">
      <formula>AND(W268=0,(Z268&gt;0))</formula>
    </cfRule>
    <cfRule type="expression" dxfId="132" priority="138">
      <formula>((Z268-W268)/W268)&gt;0.05</formula>
    </cfRule>
  </conditionalFormatting>
  <conditionalFormatting sqref="Z269:AA269">
    <cfRule type="expression" dxfId="131" priority="135">
      <formula>AND(W269=0,(Z269&gt;0))</formula>
    </cfRule>
    <cfRule type="expression" dxfId="130" priority="136">
      <formula>((Z269-W269)/W269)&gt;0.05</formula>
    </cfRule>
  </conditionalFormatting>
  <conditionalFormatting sqref="Z278:AA278">
    <cfRule type="expression" dxfId="129" priority="133">
      <formula>AND(W278=0,(Z278&gt;0))</formula>
    </cfRule>
    <cfRule type="expression" dxfId="128" priority="134">
      <formula>((Z278-W278)/W278)&gt;0.05</formula>
    </cfRule>
  </conditionalFormatting>
  <conditionalFormatting sqref="AG264:AH264">
    <cfRule type="expression" dxfId="127" priority="103">
      <formula>AND(AD264=0,(AG264&gt;0))</formula>
    </cfRule>
    <cfRule type="expression" dxfId="126" priority="104">
      <formula>((AG264-AD264)/AD264)&gt;0.05</formula>
    </cfRule>
  </conditionalFormatting>
  <conditionalFormatting sqref="AG221:AH221">
    <cfRule type="expression" dxfId="125" priority="101">
      <formula>AND(AD221=0,(AG221&gt;0))</formula>
    </cfRule>
    <cfRule type="expression" dxfId="124" priority="102">
      <formula>((AG221-AD221)/AD221)&gt;0.05</formula>
    </cfRule>
  </conditionalFormatting>
  <conditionalFormatting sqref="AG152:AH175 AG177:AH179 AG30:AH32 AG270:AH271 AG244:AH263 AG265:AH267 AG35:AH40">
    <cfRule type="expression" dxfId="123" priority="127">
      <formula>AND(AD30=0,(AG30&gt;0))</formula>
    </cfRule>
    <cfRule type="expression" dxfId="122" priority="128">
      <formula>((AG30-AD30)/AD30)&gt;0.05</formula>
    </cfRule>
  </conditionalFormatting>
  <conditionalFormatting sqref="AG141:AH151">
    <cfRule type="expression" dxfId="121" priority="125">
      <formula>AND(AD141=0,(AG141&gt;0))</formula>
    </cfRule>
    <cfRule type="expression" dxfId="120" priority="126">
      <formula>((AG141-AD141)/AD141)&gt;0.05</formula>
    </cfRule>
  </conditionalFormatting>
  <conditionalFormatting sqref="AG180:AH218">
    <cfRule type="expression" dxfId="119" priority="123">
      <formula>AND(AD180=0,(AG180&gt;0))</formula>
    </cfRule>
    <cfRule type="expression" dxfId="118" priority="124">
      <formula>((AG180-AD180)/AD180)&gt;0.05</formula>
    </cfRule>
  </conditionalFormatting>
  <conditionalFormatting sqref="AG219:AH220 AG273:AH277">
    <cfRule type="expression" dxfId="117" priority="121">
      <formula>AND(AD219=0,(AG219&gt;0))</formula>
    </cfRule>
    <cfRule type="expression" dxfId="116" priority="122">
      <formula>((AG219-AD219)/AD219)&gt;0.05</formula>
    </cfRule>
  </conditionalFormatting>
  <conditionalFormatting sqref="AG243:AH243">
    <cfRule type="expression" dxfId="115" priority="119">
      <formula>AND(AD243=0,(AG243&gt;0))</formula>
    </cfRule>
    <cfRule type="expression" dxfId="114" priority="120">
      <formula>((AG243-AD243)/AD243)&gt;0.05</formula>
    </cfRule>
  </conditionalFormatting>
  <conditionalFormatting sqref="AG272:AH272">
    <cfRule type="expression" dxfId="113" priority="117">
      <formula>AND(AD272=0,(AG272&gt;0))</formula>
    </cfRule>
    <cfRule type="expression" dxfId="112" priority="118">
      <formula>((AG272-AD272)/AD272)&gt;0.05</formula>
    </cfRule>
  </conditionalFormatting>
  <conditionalFormatting sqref="AG279:AH279">
    <cfRule type="expression" dxfId="111" priority="115">
      <formula>AND(AD279=0,(AG279&gt;0))</formula>
    </cfRule>
    <cfRule type="expression" dxfId="110" priority="116">
      <formula>((AG279-AD279)/AD279)&gt;0.05</formula>
    </cfRule>
  </conditionalFormatting>
  <conditionalFormatting sqref="AG28:AH28">
    <cfRule type="expression" dxfId="109" priority="113">
      <formula>AND(AD28=0,(AG28&gt;0))</formula>
    </cfRule>
    <cfRule type="expression" dxfId="108" priority="114">
      <formula>((AG28-AD28)/AD28)&gt;0.05</formula>
    </cfRule>
  </conditionalFormatting>
  <conditionalFormatting sqref="AG41:AH41">
    <cfRule type="expression" dxfId="107" priority="111">
      <formula>AND(AD41=0,(AG41&gt;0))</formula>
    </cfRule>
    <cfRule type="expression" dxfId="106" priority="112">
      <formula>((AG41-AD41)/AD41)&gt;0.05</formula>
    </cfRule>
  </conditionalFormatting>
  <conditionalFormatting sqref="AG268:AH268">
    <cfRule type="expression" dxfId="105" priority="109">
      <formula>AND(AD268=0,(AG268&gt;0))</formula>
    </cfRule>
    <cfRule type="expression" dxfId="104" priority="110">
      <formula>((AG268-AD268)/AD268)&gt;0.05</formula>
    </cfRule>
  </conditionalFormatting>
  <conditionalFormatting sqref="AG269:AH269">
    <cfRule type="expression" dxfId="103" priority="107">
      <formula>AND(AD269=0,(AG269&gt;0))</formula>
    </cfRule>
    <cfRule type="expression" dxfId="102" priority="108">
      <formula>((AG269-AD269)/AD269)&gt;0.05</formula>
    </cfRule>
  </conditionalFormatting>
  <conditionalFormatting sqref="AG278:AH278">
    <cfRule type="expression" dxfId="101" priority="105">
      <formula>AND(AD278=0,(AG278&gt;0))</formula>
    </cfRule>
    <cfRule type="expression" dxfId="100" priority="106">
      <formula>((AG278-AD278)/AD278)&gt;0.05</formula>
    </cfRule>
  </conditionalFormatting>
  <conditionalFormatting sqref="H278">
    <cfRule type="expression" dxfId="99" priority="99">
      <formula>AND(G278=0,(H278&gt;0))</formula>
    </cfRule>
    <cfRule type="expression" dxfId="98" priority="100">
      <formula>((H278-G278)/G278)&gt;0.05</formula>
    </cfRule>
  </conditionalFormatting>
  <conditionalFormatting sqref="H52">
    <cfRule type="expression" dxfId="97" priority="97">
      <formula>AND(G52=0,(H52&gt;0))</formula>
    </cfRule>
    <cfRule type="expression" dxfId="96" priority="98">
      <formula>((H52-G52)/G52)&gt;0.05</formula>
    </cfRule>
  </conditionalFormatting>
  <conditionalFormatting sqref="P52:Q52">
    <cfRule type="expression" dxfId="95" priority="95">
      <formula>AND(M52=0,(P52&gt;0))</formula>
    </cfRule>
    <cfRule type="expression" dxfId="94" priority="96">
      <formula>((P52-M52)/M52)&gt;0.05</formula>
    </cfRule>
  </conditionalFormatting>
  <conditionalFormatting sqref="J52">
    <cfRule type="expression" dxfId="93" priority="93">
      <formula>AND(I52=0,(J52&gt;0))</formula>
    </cfRule>
    <cfRule type="expression" dxfId="92" priority="94">
      <formula>((J52-I52)/I52)&gt;0.05</formula>
    </cfRule>
  </conditionalFormatting>
  <conditionalFormatting sqref="L52">
    <cfRule type="expression" dxfId="91" priority="91">
      <formula>AND(K52=0,(L52&gt;0))</formula>
    </cfRule>
    <cfRule type="expression" dxfId="90" priority="92">
      <formula>((L52-K52)/K52)&gt;0.05</formula>
    </cfRule>
  </conditionalFormatting>
  <conditionalFormatting sqref="V52">
    <cfRule type="expression" dxfId="89" priority="89">
      <formula>AND(U52=0,(V52&gt;0))</formula>
    </cfRule>
    <cfRule type="expression" dxfId="88" priority="90">
      <formula>((V52-U52)/U52)&gt;0.05</formula>
    </cfRule>
  </conditionalFormatting>
  <conditionalFormatting sqref="AD52">
    <cfRule type="expression" dxfId="87" priority="87">
      <formula>AND(AC52=0,(AD52&gt;0))</formula>
    </cfRule>
    <cfRule type="expression" dxfId="86" priority="88">
      <formula>((AD52-AC52)/AC52)&gt;0.05</formula>
    </cfRule>
  </conditionalFormatting>
  <conditionalFormatting sqref="Z52:AA52">
    <cfRule type="expression" dxfId="85" priority="85">
      <formula>AND(W52=0,(Z52&gt;0))</formula>
    </cfRule>
    <cfRule type="expression" dxfId="84" priority="86">
      <formula>((Z52-W52)/W52)&gt;0.05</formula>
    </cfRule>
  </conditionalFormatting>
  <conditionalFormatting sqref="AG52:AH52">
    <cfRule type="expression" dxfId="83" priority="83">
      <formula>AND(AD52=0,(AG52&gt;0))</formula>
    </cfRule>
    <cfRule type="expression" dxfId="82" priority="84">
      <formula>((AG52-AD52)/AD52)&gt;0.05</formula>
    </cfRule>
  </conditionalFormatting>
  <conditionalFormatting sqref="H20">
    <cfRule type="expression" dxfId="81" priority="81">
      <formula>AND(G20=0,(H20&gt;0))</formula>
    </cfRule>
    <cfRule type="expression" dxfId="80" priority="82">
      <formula>((H20-G20)/G20)&gt;0.05</formula>
    </cfRule>
  </conditionalFormatting>
  <conditionalFormatting sqref="P20:Q20">
    <cfRule type="expression" dxfId="79" priority="79">
      <formula>AND(M20=0,(P20&gt;0))</formula>
    </cfRule>
    <cfRule type="expression" dxfId="78" priority="80">
      <formula>((P20-M20)/M20)&gt;0.05</formula>
    </cfRule>
  </conditionalFormatting>
  <conditionalFormatting sqref="J20">
    <cfRule type="expression" dxfId="77" priority="77">
      <formula>AND(I20=0,(J20&gt;0))</formula>
    </cfRule>
    <cfRule type="expression" dxfId="76" priority="78">
      <formula>((J20-I20)/I20)&gt;0.05</formula>
    </cfRule>
  </conditionalFormatting>
  <conditionalFormatting sqref="L20">
    <cfRule type="expression" dxfId="75" priority="75">
      <formula>AND(K20=0,(L20&gt;0))</formula>
    </cfRule>
    <cfRule type="expression" dxfId="74" priority="76">
      <formula>((L20-K20)/K20)&gt;0.05</formula>
    </cfRule>
  </conditionalFormatting>
  <conditionalFormatting sqref="V20">
    <cfRule type="expression" dxfId="73" priority="73">
      <formula>AND(U20=0,(V20&gt;0))</formula>
    </cfRule>
    <cfRule type="expression" dxfId="72" priority="74">
      <formula>((V20-U20)/U20)&gt;0.05</formula>
    </cfRule>
  </conditionalFormatting>
  <conditionalFormatting sqref="AD20">
    <cfRule type="expression" dxfId="71" priority="71">
      <formula>AND(AC20=0,(AD20&gt;0))</formula>
    </cfRule>
    <cfRule type="expression" dxfId="70" priority="72">
      <formula>((AD20-AC20)/AC20)&gt;0.05</formula>
    </cfRule>
  </conditionalFormatting>
  <conditionalFormatting sqref="Z20:AA20">
    <cfRule type="expression" dxfId="69" priority="69">
      <formula>AND(W20=0,(Z20&gt;0))</formula>
    </cfRule>
    <cfRule type="expression" dxfId="68" priority="70">
      <formula>((Z20-W20)/W20)&gt;0.05</formula>
    </cfRule>
  </conditionalFormatting>
  <conditionalFormatting sqref="AG20:AH20">
    <cfRule type="expression" dxfId="67" priority="67">
      <formula>AND(AD20=0,(AG20&gt;0))</formula>
    </cfRule>
    <cfRule type="expression" dxfId="66" priority="68">
      <formula>((AG20-AD20)/AD20)&gt;0.05</formula>
    </cfRule>
  </conditionalFormatting>
  <conditionalFormatting sqref="H33">
    <cfRule type="expression" dxfId="65" priority="65">
      <formula>AND(G33=0,(H33&gt;0))</formula>
    </cfRule>
    <cfRule type="expression" dxfId="64" priority="66">
      <formula>((H33-G33)/G33)&gt;0.05</formula>
    </cfRule>
  </conditionalFormatting>
  <conditionalFormatting sqref="P33:Q33">
    <cfRule type="expression" dxfId="63" priority="63">
      <formula>AND(M33=0,(P33&gt;0))</formula>
    </cfRule>
    <cfRule type="expression" dxfId="62" priority="64">
      <formula>((P33-M33)/M33)&gt;0.05</formula>
    </cfRule>
  </conditionalFormatting>
  <conditionalFormatting sqref="J33">
    <cfRule type="expression" dxfId="61" priority="61">
      <formula>AND(I33=0,(J33&gt;0))</formula>
    </cfRule>
    <cfRule type="expression" dxfId="60" priority="62">
      <formula>((J33-I33)/I33)&gt;0.05</formula>
    </cfRule>
  </conditionalFormatting>
  <conditionalFormatting sqref="L33">
    <cfRule type="expression" dxfId="59" priority="59">
      <formula>AND(K33=0,(L33&gt;0))</formula>
    </cfRule>
    <cfRule type="expression" dxfId="58" priority="60">
      <formula>((L33-K33)/K33)&gt;0.05</formula>
    </cfRule>
  </conditionalFormatting>
  <conditionalFormatting sqref="V33">
    <cfRule type="expression" dxfId="57" priority="57">
      <formula>AND(U33=0,(V33&gt;0))</formula>
    </cfRule>
    <cfRule type="expression" dxfId="56" priority="58">
      <formula>((V33-U33)/U33)&gt;0.05</formula>
    </cfRule>
  </conditionalFormatting>
  <conditionalFormatting sqref="AD33">
    <cfRule type="expression" dxfId="55" priority="55">
      <formula>AND(AC33=0,(AD33&gt;0))</formula>
    </cfRule>
    <cfRule type="expression" dxfId="54" priority="56">
      <formula>((AD33-AC33)/AC33)&gt;0.05</formula>
    </cfRule>
  </conditionalFormatting>
  <conditionalFormatting sqref="Z33:AA33">
    <cfRule type="expression" dxfId="53" priority="53">
      <formula>AND(W33=0,(Z33&gt;0))</formula>
    </cfRule>
    <cfRule type="expression" dxfId="52" priority="54">
      <formula>((Z33-W33)/W33)&gt;0.05</formula>
    </cfRule>
  </conditionalFormatting>
  <conditionalFormatting sqref="AG33:AH33">
    <cfRule type="expression" dxfId="51" priority="51">
      <formula>AND(AD33=0,(AG33&gt;0))</formula>
    </cfRule>
    <cfRule type="expression" dxfId="50" priority="52">
      <formula>((AG33-AD33)/AD33)&gt;0.05</formula>
    </cfRule>
  </conditionalFormatting>
  <conditionalFormatting sqref="H34">
    <cfRule type="expression" dxfId="49" priority="49">
      <formula>AND(G34=0,(H34&gt;0))</formula>
    </cfRule>
    <cfRule type="expression" dxfId="48" priority="50">
      <formula>((H34-G34)/G34)&gt;0.05</formula>
    </cfRule>
  </conditionalFormatting>
  <conditionalFormatting sqref="P34:Q34">
    <cfRule type="expression" dxfId="47" priority="47">
      <formula>AND(M34=0,(P34&gt;0))</formula>
    </cfRule>
    <cfRule type="expression" dxfId="46" priority="48">
      <formula>((P34-M34)/M34)&gt;0.05</formula>
    </cfRule>
  </conditionalFormatting>
  <conditionalFormatting sqref="J34">
    <cfRule type="expression" dxfId="45" priority="45">
      <formula>AND(I34=0,(J34&gt;0))</formula>
    </cfRule>
    <cfRule type="expression" dxfId="44" priority="46">
      <formula>((J34-I34)/I34)&gt;0.05</formula>
    </cfRule>
  </conditionalFormatting>
  <conditionalFormatting sqref="L34">
    <cfRule type="expression" dxfId="43" priority="43">
      <formula>AND(K34=0,(L34&gt;0))</formula>
    </cfRule>
    <cfRule type="expression" dxfId="42" priority="44">
      <formula>((L34-K34)/K34)&gt;0.05</formula>
    </cfRule>
  </conditionalFormatting>
  <conditionalFormatting sqref="V34">
    <cfRule type="expression" dxfId="41" priority="41">
      <formula>AND(U34=0,(V34&gt;0))</formula>
    </cfRule>
    <cfRule type="expression" dxfId="40" priority="42">
      <formula>((V34-U34)/U34)&gt;0.05</formula>
    </cfRule>
  </conditionalFormatting>
  <conditionalFormatting sqref="AD34">
    <cfRule type="expression" dxfId="39" priority="39">
      <formula>AND(AC34=0,(AD34&gt;0))</formula>
    </cfRule>
    <cfRule type="expression" dxfId="38" priority="40">
      <formula>((AD34-AC34)/AC34)&gt;0.05</formula>
    </cfRule>
  </conditionalFormatting>
  <conditionalFormatting sqref="Z34:AA34">
    <cfRule type="expression" dxfId="37" priority="37">
      <formula>AND(W34=0,(Z34&gt;0))</formula>
    </cfRule>
    <cfRule type="expression" dxfId="36" priority="38">
      <formula>((Z34-W34)/W34)&gt;0.05</formula>
    </cfRule>
  </conditionalFormatting>
  <conditionalFormatting sqref="AG34:AH34">
    <cfRule type="expression" dxfId="35" priority="35">
      <formula>AND(AD34=0,(AG34&gt;0))</formula>
    </cfRule>
    <cfRule type="expression" dxfId="34" priority="36">
      <formula>((AG34-AD34)/AD34)&gt;0.05</formula>
    </cfRule>
  </conditionalFormatting>
  <conditionalFormatting sqref="H27">
    <cfRule type="expression" dxfId="33" priority="33">
      <formula>AND(G27=0,(H27&gt;0))</formula>
    </cfRule>
    <cfRule type="expression" dxfId="32" priority="34">
      <formula>((H27-G27)/G27)&gt;0.05</formula>
    </cfRule>
  </conditionalFormatting>
  <conditionalFormatting sqref="P27:Q27">
    <cfRule type="expression" dxfId="31" priority="31">
      <formula>AND(M27=0,(P27&gt;0))</formula>
    </cfRule>
    <cfRule type="expression" dxfId="30" priority="32">
      <formula>((P27-M27)/M27)&gt;0.05</formula>
    </cfRule>
  </conditionalFormatting>
  <conditionalFormatting sqref="J27">
    <cfRule type="expression" dxfId="29" priority="29">
      <formula>AND(I27=0,(J27&gt;0))</formula>
    </cfRule>
    <cfRule type="expression" dxfId="28" priority="30">
      <formula>((J27-I27)/I27)&gt;0.05</formula>
    </cfRule>
  </conditionalFormatting>
  <conditionalFormatting sqref="L27">
    <cfRule type="expression" dxfId="27" priority="27">
      <formula>AND(K27=0,(L27&gt;0))</formula>
    </cfRule>
    <cfRule type="expression" dxfId="26" priority="28">
      <formula>((L27-K27)/K27)&gt;0.05</formula>
    </cfRule>
  </conditionalFormatting>
  <conditionalFormatting sqref="V27">
    <cfRule type="expression" dxfId="25" priority="25">
      <formula>AND(U27=0,(V27&gt;0))</formula>
    </cfRule>
    <cfRule type="expression" dxfId="24" priority="26">
      <formula>((V27-U27)/U27)&gt;0.05</formula>
    </cfRule>
  </conditionalFormatting>
  <conditionalFormatting sqref="AD27">
    <cfRule type="expression" dxfId="23" priority="23">
      <formula>AND(AC27=0,(AD27&gt;0))</formula>
    </cfRule>
    <cfRule type="expression" dxfId="22" priority="24">
      <formula>((AD27-AC27)/AC27)&gt;0.05</formula>
    </cfRule>
  </conditionalFormatting>
  <conditionalFormatting sqref="Z27:AA27">
    <cfRule type="expression" dxfId="21" priority="21">
      <formula>AND(W27=0,(Z27&gt;0))</formula>
    </cfRule>
    <cfRule type="expression" dxfId="20" priority="22">
      <formula>((Z27-W27)/W27)&gt;0.05</formula>
    </cfRule>
  </conditionalFormatting>
  <conditionalFormatting sqref="AG27:AH27">
    <cfRule type="expression" dxfId="19" priority="19">
      <formula>AND(AD27=0,(AG27&gt;0))</formula>
    </cfRule>
    <cfRule type="expression" dxfId="18" priority="20">
      <formula>((AG27-AD27)/AD27)&gt;0.05</formula>
    </cfRule>
  </conditionalFormatting>
  <conditionalFormatting sqref="H1488:H1583">
    <cfRule type="expression" dxfId="17" priority="17">
      <formula>AND(G1488=0,(H1488&gt;0))</formula>
    </cfRule>
    <cfRule type="expression" dxfId="16" priority="18">
      <formula>((H1488-G1488)/G1488)&gt;0.05</formula>
    </cfRule>
  </conditionalFormatting>
  <conditionalFormatting sqref="P1488:Q1583">
    <cfRule type="expression" dxfId="15" priority="15">
      <formula>AND(M1488=0,(P1488&gt;0))</formula>
    </cfRule>
    <cfRule type="expression" dxfId="14" priority="16">
      <formula>((P1488-M1488)/M1488)&gt;0.05</formula>
    </cfRule>
  </conditionalFormatting>
  <conditionalFormatting sqref="J1488:J1583">
    <cfRule type="expression" dxfId="13" priority="13">
      <formula>AND(I1488=0,(J1488&gt;0))</formula>
    </cfRule>
    <cfRule type="expression" dxfId="12" priority="14">
      <formula>((J1488-I1488)/I1488)&gt;0.05</formula>
    </cfRule>
  </conditionalFormatting>
  <conditionalFormatting sqref="L1488:L1583">
    <cfRule type="expression" dxfId="11" priority="11">
      <formula>AND(K1488=0,(L1488&gt;0))</formula>
    </cfRule>
    <cfRule type="expression" dxfId="10" priority="12">
      <formula>((L1488-K1488)/K1488)&gt;0.05</formula>
    </cfRule>
  </conditionalFormatting>
  <conditionalFormatting sqref="V1488:V1529">
    <cfRule type="expression" dxfId="9" priority="9">
      <formula>AND(U1488=0,(V1488&gt;0))</formula>
    </cfRule>
    <cfRule type="expression" dxfId="8" priority="10">
      <formula>((V1488-U1488)/U1488)&gt;0.05</formula>
    </cfRule>
  </conditionalFormatting>
  <conditionalFormatting sqref="AD1488:AD1583">
    <cfRule type="expression" dxfId="7" priority="7">
      <formula>AND(AC1488=0,(AD1488&gt;0))</formula>
    </cfRule>
    <cfRule type="expression" dxfId="6" priority="8">
      <formula>((AD1488-AC1488)/AC1488)&gt;0.05</formula>
    </cfRule>
  </conditionalFormatting>
  <conditionalFormatting sqref="Z1488:AA1583">
    <cfRule type="expression" dxfId="5" priority="5">
      <formula>AND(W1488=0,(Z1488&gt;0))</formula>
    </cfRule>
    <cfRule type="expression" dxfId="4" priority="6">
      <formula>((Z1488-W1488)/W1488)&gt;0.05</formula>
    </cfRule>
  </conditionalFormatting>
  <conditionalFormatting sqref="AG1488:AH1583">
    <cfRule type="expression" dxfId="3" priority="3">
      <formula>AND(AD1488=0,(AG1488&gt;0))</formula>
    </cfRule>
    <cfRule type="expression" dxfId="2" priority="4">
      <formula>((AG1488-AD1488)/AD1488)&gt;0.05</formula>
    </cfRule>
  </conditionalFormatting>
  <conditionalFormatting sqref="V1530:V1583">
    <cfRule type="expression" dxfId="1" priority="1">
      <formula>AND(U1530=0,(V1530&gt;0))</formula>
    </cfRule>
    <cfRule type="expression" dxfId="0" priority="2">
      <formula>((V1530-U1530)/U1530)&gt;0.05</formula>
    </cfRule>
  </conditionalFormatting>
  <pageMargins left="0.5" right="0.5" top="0.4" bottom="0.4" header="0.35" footer="0.17"/>
  <pageSetup paperSize="5" scale="89" orientation="landscape" r:id="rId1"/>
  <headerFooter alignWithMargins="0">
    <oddFooter>&amp;L&amp;"Arial,Regular"SREB-State Data Exchange&amp;C&amp;"Arial,Regular"&amp;D&amp;R&amp;"Arial,Regular"&amp;P</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B707"/>
  <sheetViews>
    <sheetView workbookViewId="0">
      <selection sqref="A1:XFD1048576"/>
    </sheetView>
  </sheetViews>
  <sheetFormatPr defaultColWidth="12.75" defaultRowHeight="12.75"/>
  <cols>
    <col min="1" max="1" width="5.375" style="587" customWidth="1"/>
    <col min="2" max="2" width="27.625" style="587" customWidth="1"/>
    <col min="3" max="3" width="12.75" style="588"/>
    <col min="4" max="9" width="12.75" style="587"/>
    <col min="10" max="14" width="12.25" style="587" customWidth="1"/>
    <col min="15" max="15" width="12.75" style="587" customWidth="1"/>
    <col min="16" max="18" width="11" style="587" customWidth="1"/>
    <col min="19" max="19" width="11.75" style="587" customWidth="1"/>
    <col min="20" max="20" width="12.125" style="587" customWidth="1"/>
    <col min="21" max="21" width="11.625" style="587" customWidth="1"/>
    <col min="22" max="22" width="13.125" style="589" customWidth="1"/>
    <col min="23" max="23" width="12.75" style="587"/>
    <col min="24" max="24" width="12.75" style="589"/>
    <col min="25" max="25" width="12.75" style="587"/>
    <col min="26" max="28" width="12.75" style="589"/>
    <col min="29" max="16384" width="12.75" style="587"/>
  </cols>
  <sheetData>
    <row r="1" spans="1:28">
      <c r="A1" s="434"/>
      <c r="B1" s="379"/>
      <c r="C1" s="587"/>
      <c r="D1" s="636"/>
      <c r="V1" s="587"/>
      <c r="X1" s="587"/>
      <c r="Z1" s="587"/>
      <c r="AA1" s="587"/>
      <c r="AB1" s="587"/>
    </row>
    <row r="2" spans="1:28">
      <c r="C2" s="587"/>
      <c r="V2" s="587"/>
      <c r="X2" s="587"/>
      <c r="Z2" s="587"/>
      <c r="AA2" s="587"/>
      <c r="AB2" s="587"/>
    </row>
    <row r="3" spans="1:28" s="214" customFormat="1">
      <c r="A3" s="382"/>
      <c r="B3" s="383"/>
      <c r="C3" s="230"/>
      <c r="D3" s="213"/>
      <c r="E3" s="213"/>
      <c r="F3" s="213"/>
      <c r="G3" s="213"/>
      <c r="H3" s="213"/>
      <c r="I3" s="213"/>
      <c r="J3" s="213"/>
      <c r="K3" s="213"/>
      <c r="L3" s="213"/>
      <c r="M3" s="213"/>
      <c r="N3" s="213"/>
      <c r="O3" s="213"/>
      <c r="P3" s="213"/>
      <c r="Q3" s="213"/>
      <c r="R3" s="213"/>
      <c r="S3" s="213"/>
      <c r="T3" s="213"/>
      <c r="U3" s="213"/>
      <c r="V3" s="231"/>
      <c r="W3" s="633"/>
      <c r="X3" s="378"/>
      <c r="Y3" s="180"/>
      <c r="Z3" s="180"/>
      <c r="AA3" s="180"/>
      <c r="AB3" s="180"/>
    </row>
    <row r="4" spans="1:28" s="214" customFormat="1">
      <c r="A4" s="381"/>
      <c r="B4" s="384"/>
      <c r="C4" s="230"/>
      <c r="D4" s="213"/>
      <c r="E4" s="213"/>
      <c r="F4" s="213"/>
      <c r="G4" s="213"/>
      <c r="H4" s="213"/>
      <c r="I4" s="748"/>
      <c r="J4" s="232"/>
      <c r="K4" s="213"/>
      <c r="L4" s="213"/>
      <c r="M4" s="213"/>
      <c r="N4" s="213"/>
      <c r="O4" s="748"/>
      <c r="P4" s="388"/>
      <c r="Q4" s="390"/>
      <c r="R4" s="390"/>
      <c r="S4" s="828"/>
      <c r="T4" s="232"/>
      <c r="U4" s="828"/>
      <c r="V4" s="230"/>
      <c r="W4" s="748"/>
      <c r="X4" s="378"/>
      <c r="Y4" s="180"/>
      <c r="Z4" s="180"/>
      <c r="AA4" s="180"/>
      <c r="AB4" s="180"/>
    </row>
    <row r="5" spans="1:28" s="214" customFormat="1" ht="13.5" thickBot="1">
      <c r="A5" s="380"/>
      <c r="B5" s="232"/>
      <c r="C5" s="230"/>
      <c r="D5" s="755"/>
      <c r="E5" s="755"/>
      <c r="F5" s="755"/>
      <c r="G5" s="755"/>
      <c r="H5" s="756"/>
      <c r="I5" s="757"/>
      <c r="J5" s="230"/>
      <c r="K5" s="755"/>
      <c r="L5" s="755"/>
      <c r="M5" s="758"/>
      <c r="N5" s="759"/>
      <c r="O5" s="757"/>
      <c r="P5" s="388"/>
      <c r="Q5" s="637"/>
      <c r="R5" s="637"/>
      <c r="S5" s="829"/>
      <c r="T5" s="760"/>
      <c r="U5" s="830"/>
      <c r="V5" s="760"/>
      <c r="W5" s="748"/>
      <c r="X5" s="378"/>
      <c r="Y5" s="180"/>
      <c r="Z5" s="180"/>
      <c r="AA5" s="180"/>
      <c r="AB5" s="180"/>
    </row>
    <row r="6" spans="1:28" ht="13.5" thickTop="1">
      <c r="A6" s="230"/>
      <c r="B6" s="764"/>
      <c r="C6" s="765"/>
      <c r="D6" s="765"/>
      <c r="E6" s="765"/>
      <c r="F6" s="765"/>
      <c r="G6" s="765"/>
      <c r="H6" s="765"/>
      <c r="I6" s="766"/>
      <c r="J6" s="765"/>
      <c r="K6" s="765"/>
      <c r="L6" s="765"/>
      <c r="M6" s="765"/>
      <c r="N6" s="765"/>
      <c r="O6" s="766"/>
      <c r="P6" s="765"/>
      <c r="Q6" s="765"/>
      <c r="R6" s="765"/>
      <c r="S6" s="766"/>
      <c r="T6" s="765"/>
      <c r="U6" s="766"/>
      <c r="V6" s="765"/>
      <c r="W6" s="766"/>
      <c r="X6" s="378"/>
      <c r="Y6" s="180"/>
      <c r="Z6" s="180"/>
      <c r="AA6" s="180"/>
      <c r="AB6" s="180"/>
    </row>
    <row r="7" spans="1:28" s="203" customFormat="1">
      <c r="A7" s="631"/>
      <c r="B7" s="389"/>
      <c r="C7" s="392"/>
      <c r="D7" s="392"/>
      <c r="E7" s="392"/>
      <c r="F7" s="392"/>
      <c r="G7" s="392"/>
      <c r="H7" s="392"/>
      <c r="I7" s="750"/>
      <c r="J7" s="392"/>
      <c r="K7" s="392"/>
      <c r="L7" s="392"/>
      <c r="M7" s="392"/>
      <c r="N7" s="392"/>
      <c r="O7" s="750"/>
      <c r="P7" s="392"/>
      <c r="Q7" s="392"/>
      <c r="R7" s="392"/>
      <c r="S7" s="750"/>
      <c r="T7" s="392"/>
      <c r="U7" s="750"/>
      <c r="V7" s="392"/>
      <c r="W7" s="750"/>
      <c r="X7" s="378"/>
      <c r="Y7" s="180"/>
      <c r="Z7" s="180"/>
      <c r="AA7" s="180"/>
      <c r="AB7" s="180"/>
    </row>
    <row r="8" spans="1:28" s="202" customFormat="1">
      <c r="A8" s="632"/>
      <c r="B8" s="634"/>
      <c r="C8" s="466"/>
      <c r="D8" s="1461"/>
      <c r="E8" s="466"/>
      <c r="F8" s="466"/>
      <c r="G8" s="466"/>
      <c r="H8" s="466"/>
      <c r="I8" s="751"/>
      <c r="J8" s="466"/>
      <c r="K8" s="466"/>
      <c r="L8" s="466"/>
      <c r="M8" s="466"/>
      <c r="N8" s="466"/>
      <c r="O8" s="751"/>
      <c r="P8" s="466"/>
      <c r="Q8" s="466"/>
      <c r="R8" s="466"/>
      <c r="S8" s="751"/>
      <c r="T8" s="466"/>
      <c r="U8" s="751"/>
      <c r="V8" s="466"/>
      <c r="W8" s="751"/>
      <c r="X8" s="378"/>
      <c r="Y8" s="180"/>
      <c r="Z8" s="180"/>
      <c r="AA8" s="180"/>
      <c r="AB8" s="180"/>
    </row>
    <row r="9" spans="1:28">
      <c r="A9" s="631"/>
      <c r="B9" s="388"/>
      <c r="C9" s="391"/>
      <c r="D9" s="391"/>
      <c r="E9" s="391"/>
      <c r="F9" s="391"/>
      <c r="G9" s="391"/>
      <c r="H9" s="391"/>
      <c r="I9" s="749"/>
      <c r="J9" s="391"/>
      <c r="K9" s="391"/>
      <c r="L9" s="391"/>
      <c r="M9" s="391"/>
      <c r="N9" s="391"/>
      <c r="O9" s="749"/>
      <c r="P9" s="391"/>
      <c r="Q9" s="391"/>
      <c r="R9" s="391"/>
      <c r="S9" s="749"/>
      <c r="T9" s="391"/>
      <c r="U9" s="749"/>
      <c r="V9" s="391"/>
      <c r="W9" s="749"/>
      <c r="X9" s="378"/>
      <c r="Y9" s="180"/>
      <c r="Z9" s="180"/>
      <c r="AA9" s="180"/>
      <c r="AB9" s="180"/>
    </row>
    <row r="10" spans="1:28" s="203" customFormat="1">
      <c r="A10" s="631"/>
      <c r="B10" s="389"/>
      <c r="C10" s="392"/>
      <c r="D10" s="392"/>
      <c r="E10" s="392"/>
      <c r="F10" s="392"/>
      <c r="G10" s="392"/>
      <c r="H10" s="392"/>
      <c r="I10" s="750"/>
      <c r="J10" s="392"/>
      <c r="K10" s="392"/>
      <c r="L10" s="392"/>
      <c r="M10" s="392"/>
      <c r="N10" s="392"/>
      <c r="O10" s="750"/>
      <c r="P10" s="392"/>
      <c r="Q10" s="392"/>
      <c r="R10" s="392"/>
      <c r="S10" s="750"/>
      <c r="T10" s="392"/>
      <c r="U10" s="750"/>
      <c r="V10" s="392"/>
      <c r="W10" s="750"/>
      <c r="X10" s="378"/>
      <c r="Y10" s="180"/>
      <c r="Z10" s="180"/>
      <c r="AA10" s="180"/>
      <c r="AB10" s="180"/>
    </row>
    <row r="11" spans="1:28" s="202" customFormat="1">
      <c r="A11" s="631"/>
      <c r="B11" s="634"/>
      <c r="C11" s="466"/>
      <c r="D11" s="1461"/>
      <c r="E11" s="466"/>
      <c r="F11" s="466"/>
      <c r="G11" s="1461"/>
      <c r="H11" s="466"/>
      <c r="I11" s="751"/>
      <c r="J11" s="466"/>
      <c r="K11" s="1461"/>
      <c r="L11" s="466"/>
      <c r="M11" s="466"/>
      <c r="N11" s="466"/>
      <c r="O11" s="751"/>
      <c r="P11" s="1461"/>
      <c r="Q11" s="1461"/>
      <c r="R11" s="466"/>
      <c r="S11" s="751"/>
      <c r="T11" s="466"/>
      <c r="U11" s="751"/>
      <c r="V11" s="1461"/>
      <c r="W11" s="751"/>
      <c r="X11" s="378"/>
      <c r="Y11" s="180"/>
      <c r="Z11" s="180"/>
      <c r="AA11" s="180"/>
      <c r="AB11" s="180"/>
    </row>
    <row r="12" spans="1:28">
      <c r="A12" s="631"/>
      <c r="B12" s="388"/>
      <c r="C12" s="391"/>
      <c r="D12" s="391"/>
      <c r="E12" s="391"/>
      <c r="F12" s="391"/>
      <c r="G12" s="391"/>
      <c r="H12" s="391"/>
      <c r="I12" s="749"/>
      <c r="J12" s="391"/>
      <c r="K12" s="391"/>
      <c r="L12" s="391"/>
      <c r="M12" s="391"/>
      <c r="N12" s="391"/>
      <c r="O12" s="749"/>
      <c r="P12" s="391"/>
      <c r="Q12" s="391"/>
      <c r="R12" s="391"/>
      <c r="S12" s="749"/>
      <c r="T12" s="391"/>
      <c r="U12" s="749"/>
      <c r="V12" s="391"/>
      <c r="W12" s="749"/>
      <c r="X12" s="378"/>
      <c r="Y12" s="180"/>
      <c r="Z12" s="180"/>
      <c r="AA12" s="180"/>
      <c r="AB12" s="180"/>
    </row>
    <row r="13" spans="1:28" s="203" customFormat="1">
      <c r="A13" s="631"/>
      <c r="B13" s="389"/>
      <c r="C13" s="392"/>
      <c r="D13" s="392"/>
      <c r="E13" s="392"/>
      <c r="F13" s="392"/>
      <c r="G13" s="392"/>
      <c r="H13" s="392"/>
      <c r="I13" s="750"/>
      <c r="J13" s="392"/>
      <c r="K13" s="392"/>
      <c r="L13" s="392"/>
      <c r="M13" s="392"/>
      <c r="N13" s="392"/>
      <c r="O13" s="750"/>
      <c r="P13" s="392"/>
      <c r="Q13" s="392"/>
      <c r="R13" s="392"/>
      <c r="S13" s="750"/>
      <c r="T13" s="392"/>
      <c r="U13" s="750"/>
      <c r="V13" s="392"/>
      <c r="W13" s="750"/>
      <c r="X13" s="378"/>
      <c r="Y13" s="180"/>
      <c r="Z13" s="180"/>
      <c r="AA13" s="180"/>
      <c r="AB13" s="180"/>
    </row>
    <row r="14" spans="1:28" s="202" customFormat="1">
      <c r="A14" s="631"/>
      <c r="B14" s="634"/>
      <c r="C14" s="466"/>
      <c r="D14" s="466"/>
      <c r="E14" s="466"/>
      <c r="F14" s="466"/>
      <c r="G14" s="466"/>
      <c r="H14" s="466"/>
      <c r="I14" s="751"/>
      <c r="J14" s="466"/>
      <c r="K14" s="1461"/>
      <c r="L14" s="466"/>
      <c r="M14" s="466"/>
      <c r="N14" s="466"/>
      <c r="O14" s="751"/>
      <c r="P14" s="466"/>
      <c r="Q14" s="466"/>
      <c r="R14" s="466"/>
      <c r="S14" s="751"/>
      <c r="T14" s="466"/>
      <c r="U14" s="751"/>
      <c r="V14" s="466"/>
      <c r="W14" s="751"/>
      <c r="X14" s="378"/>
      <c r="Y14" s="180"/>
      <c r="Z14" s="180"/>
      <c r="AA14" s="180"/>
      <c r="AB14" s="180"/>
    </row>
    <row r="15" spans="1:28">
      <c r="A15" s="631"/>
      <c r="B15" s="388"/>
      <c r="C15" s="391"/>
      <c r="D15" s="391"/>
      <c r="E15" s="391"/>
      <c r="F15" s="391"/>
      <c r="G15" s="391"/>
      <c r="H15" s="391"/>
      <c r="I15" s="749"/>
      <c r="J15" s="391"/>
      <c r="K15" s="391"/>
      <c r="L15" s="391"/>
      <c r="M15" s="391"/>
      <c r="N15" s="391"/>
      <c r="O15" s="749"/>
      <c r="P15" s="391"/>
      <c r="Q15" s="391"/>
      <c r="R15" s="391"/>
      <c r="S15" s="749"/>
      <c r="T15" s="391"/>
      <c r="U15" s="749"/>
      <c r="V15" s="391"/>
      <c r="W15" s="749"/>
      <c r="X15" s="378"/>
      <c r="Y15" s="180"/>
      <c r="Z15" s="180"/>
      <c r="AA15" s="180"/>
      <c r="AB15" s="180"/>
    </row>
    <row r="16" spans="1:28" s="590" customFormat="1">
      <c r="A16" s="631"/>
      <c r="B16" s="389"/>
      <c r="C16" s="392"/>
      <c r="D16" s="392"/>
      <c r="E16" s="392"/>
      <c r="F16" s="392"/>
      <c r="G16" s="392"/>
      <c r="H16" s="392"/>
      <c r="I16" s="750"/>
      <c r="J16" s="392"/>
      <c r="K16" s="392"/>
      <c r="L16" s="392"/>
      <c r="M16" s="392"/>
      <c r="N16" s="392"/>
      <c r="O16" s="750"/>
      <c r="P16" s="392"/>
      <c r="Q16" s="392"/>
      <c r="R16" s="392"/>
      <c r="S16" s="750"/>
      <c r="T16" s="392"/>
      <c r="U16" s="750"/>
      <c r="V16" s="392"/>
      <c r="W16" s="750"/>
      <c r="X16" s="378"/>
      <c r="Y16" s="180"/>
      <c r="Z16" s="180"/>
      <c r="AA16" s="180"/>
      <c r="AB16" s="180"/>
    </row>
    <row r="17" spans="1:28" s="202" customFormat="1">
      <c r="A17" s="631"/>
      <c r="B17" s="634"/>
      <c r="C17" s="466"/>
      <c r="D17" s="466"/>
      <c r="E17" s="466"/>
      <c r="F17" s="1461"/>
      <c r="G17" s="466"/>
      <c r="H17" s="466"/>
      <c r="I17" s="751"/>
      <c r="J17" s="466"/>
      <c r="K17" s="466"/>
      <c r="L17" s="466"/>
      <c r="M17" s="466"/>
      <c r="N17" s="466"/>
      <c r="O17" s="751"/>
      <c r="P17" s="466"/>
      <c r="Q17" s="466"/>
      <c r="R17" s="466"/>
      <c r="S17" s="751"/>
      <c r="T17" s="466"/>
      <c r="U17" s="751"/>
      <c r="V17" s="466"/>
      <c r="W17" s="751"/>
      <c r="X17" s="378"/>
      <c r="Y17" s="180"/>
      <c r="Z17" s="180"/>
      <c r="AA17" s="180"/>
      <c r="AB17" s="180"/>
    </row>
    <row r="18" spans="1:28">
      <c r="A18" s="631"/>
      <c r="B18" s="388"/>
      <c r="C18" s="391"/>
      <c r="D18" s="391"/>
      <c r="E18" s="391"/>
      <c r="F18" s="391"/>
      <c r="G18" s="391"/>
      <c r="H18" s="391"/>
      <c r="I18" s="749"/>
      <c r="J18" s="391"/>
      <c r="K18" s="391"/>
      <c r="L18" s="391"/>
      <c r="M18" s="391"/>
      <c r="N18" s="391"/>
      <c r="O18" s="749"/>
      <c r="P18" s="391"/>
      <c r="Q18" s="391"/>
      <c r="R18" s="391"/>
      <c r="S18" s="749"/>
      <c r="T18" s="391"/>
      <c r="U18" s="749"/>
      <c r="V18" s="391"/>
      <c r="W18" s="749"/>
      <c r="X18" s="378"/>
      <c r="Y18" s="180"/>
      <c r="Z18" s="180"/>
      <c r="AA18" s="180"/>
      <c r="AB18" s="180"/>
    </row>
    <row r="19" spans="1:28" s="590" customFormat="1">
      <c r="A19" s="631"/>
      <c r="B19" s="389"/>
      <c r="C19" s="392"/>
      <c r="D19" s="392"/>
      <c r="E19" s="392"/>
      <c r="F19" s="392"/>
      <c r="G19" s="392"/>
      <c r="H19" s="392"/>
      <c r="I19" s="750"/>
      <c r="J19" s="392"/>
      <c r="K19" s="392"/>
      <c r="L19" s="392"/>
      <c r="M19" s="392"/>
      <c r="N19" s="392"/>
      <c r="O19" s="750"/>
      <c r="P19" s="392"/>
      <c r="Q19" s="392"/>
      <c r="R19" s="392"/>
      <c r="S19" s="750"/>
      <c r="T19" s="392"/>
      <c r="U19" s="750"/>
      <c r="V19" s="392"/>
      <c r="W19" s="750"/>
      <c r="X19" s="378"/>
      <c r="Y19" s="180"/>
      <c r="Z19" s="180"/>
      <c r="AA19" s="180"/>
      <c r="AB19" s="180"/>
    </row>
    <row r="20" spans="1:28" s="202" customFormat="1">
      <c r="A20" s="631"/>
      <c r="B20" s="634"/>
      <c r="C20" s="466"/>
      <c r="D20" s="466"/>
      <c r="E20" s="466"/>
      <c r="F20" s="466"/>
      <c r="G20" s="466"/>
      <c r="H20" s="1461"/>
      <c r="I20" s="751"/>
      <c r="J20" s="466"/>
      <c r="K20" s="466"/>
      <c r="L20" s="466"/>
      <c r="M20" s="1461"/>
      <c r="N20" s="466"/>
      <c r="O20" s="751"/>
      <c r="P20" s="466"/>
      <c r="Q20" s="1461"/>
      <c r="R20" s="466"/>
      <c r="S20" s="751"/>
      <c r="T20" s="466"/>
      <c r="U20" s="751"/>
      <c r="V20" s="466"/>
      <c r="W20" s="751"/>
      <c r="X20" s="378"/>
      <c r="Y20" s="180"/>
      <c r="Z20" s="180"/>
      <c r="AA20" s="180"/>
      <c r="AB20" s="180"/>
    </row>
    <row r="21" spans="1:28">
      <c r="A21" s="631"/>
      <c r="B21" s="752"/>
      <c r="C21" s="749"/>
      <c r="D21" s="749"/>
      <c r="E21" s="749"/>
      <c r="F21" s="749"/>
      <c r="G21" s="749"/>
      <c r="H21" s="749"/>
      <c r="I21" s="749"/>
      <c r="J21" s="749"/>
      <c r="K21" s="749"/>
      <c r="L21" s="749"/>
      <c r="M21" s="749"/>
      <c r="N21" s="749"/>
      <c r="O21" s="749"/>
      <c r="P21" s="749"/>
      <c r="Q21" s="749"/>
      <c r="R21" s="749"/>
      <c r="S21" s="749"/>
      <c r="T21" s="749"/>
      <c r="U21" s="749"/>
      <c r="V21" s="749"/>
      <c r="W21" s="749"/>
      <c r="X21" s="378"/>
      <c r="Y21" s="180"/>
      <c r="Z21" s="180"/>
      <c r="AA21" s="180"/>
      <c r="AB21" s="180"/>
    </row>
    <row r="22" spans="1:28" s="203" customFormat="1">
      <c r="A22" s="631"/>
      <c r="B22" s="753"/>
      <c r="C22" s="750"/>
      <c r="D22" s="750"/>
      <c r="E22" s="750"/>
      <c r="F22" s="750"/>
      <c r="G22" s="750"/>
      <c r="H22" s="750"/>
      <c r="I22" s="750"/>
      <c r="J22" s="750"/>
      <c r="K22" s="750"/>
      <c r="L22" s="750"/>
      <c r="M22" s="750"/>
      <c r="N22" s="750"/>
      <c r="O22" s="750"/>
      <c r="P22" s="750"/>
      <c r="Q22" s="750"/>
      <c r="R22" s="750"/>
      <c r="S22" s="750"/>
      <c r="T22" s="750"/>
      <c r="U22" s="750"/>
      <c r="V22" s="750"/>
      <c r="W22" s="750"/>
      <c r="X22" s="378"/>
      <c r="Y22" s="180"/>
      <c r="Z22" s="180"/>
      <c r="AA22" s="180"/>
      <c r="AB22" s="180"/>
    </row>
    <row r="23" spans="1:28" s="202" customFormat="1">
      <c r="A23" s="631"/>
      <c r="B23" s="754"/>
      <c r="C23" s="751"/>
      <c r="D23" s="751"/>
      <c r="E23" s="751"/>
      <c r="F23" s="751"/>
      <c r="G23" s="751"/>
      <c r="H23" s="751"/>
      <c r="I23" s="751"/>
      <c r="J23" s="751"/>
      <c r="K23" s="751"/>
      <c r="L23" s="751"/>
      <c r="M23" s="751"/>
      <c r="N23" s="751"/>
      <c r="O23" s="751"/>
      <c r="P23" s="751"/>
      <c r="Q23" s="751"/>
      <c r="R23" s="751"/>
      <c r="S23" s="751"/>
      <c r="T23" s="751"/>
      <c r="U23" s="751"/>
      <c r="V23" s="751"/>
      <c r="W23" s="751"/>
      <c r="X23" s="378"/>
      <c r="Y23" s="180"/>
      <c r="Z23" s="180"/>
      <c r="AA23" s="180"/>
      <c r="AB23" s="180"/>
    </row>
    <row r="24" spans="1:28">
      <c r="A24" s="631"/>
      <c r="B24" s="388"/>
      <c r="C24" s="391"/>
      <c r="D24" s="391"/>
      <c r="E24" s="391"/>
      <c r="F24" s="391"/>
      <c r="G24" s="391"/>
      <c r="H24" s="391"/>
      <c r="I24" s="749"/>
      <c r="J24" s="391"/>
      <c r="K24" s="391"/>
      <c r="L24" s="391"/>
      <c r="M24" s="391"/>
      <c r="N24" s="391"/>
      <c r="O24" s="749"/>
      <c r="P24" s="391"/>
      <c r="Q24" s="391"/>
      <c r="R24" s="391"/>
      <c r="S24" s="749"/>
      <c r="T24" s="391"/>
      <c r="U24" s="749"/>
      <c r="V24" s="391"/>
      <c r="W24" s="749"/>
      <c r="X24" s="378"/>
      <c r="Y24" s="180"/>
      <c r="Z24" s="180"/>
      <c r="AA24" s="180"/>
      <c r="AB24" s="180"/>
    </row>
    <row r="25" spans="1:28" s="203" customFormat="1">
      <c r="A25" s="631"/>
      <c r="B25" s="389"/>
      <c r="C25" s="392"/>
      <c r="D25" s="392"/>
      <c r="E25" s="392"/>
      <c r="F25" s="392"/>
      <c r="G25" s="392"/>
      <c r="H25" s="392"/>
      <c r="I25" s="750"/>
      <c r="J25" s="392"/>
      <c r="K25" s="392"/>
      <c r="L25" s="392"/>
      <c r="M25" s="392"/>
      <c r="N25" s="392"/>
      <c r="O25" s="750"/>
      <c r="P25" s="392"/>
      <c r="Q25" s="392"/>
      <c r="R25" s="392"/>
      <c r="S25" s="750"/>
      <c r="T25" s="392"/>
      <c r="U25" s="750"/>
      <c r="V25" s="392"/>
      <c r="W25" s="750"/>
      <c r="X25" s="378"/>
      <c r="Y25" s="180"/>
      <c r="Z25" s="180"/>
      <c r="AA25" s="180"/>
      <c r="AB25" s="180"/>
    </row>
    <row r="26" spans="1:28" s="202" customFormat="1">
      <c r="A26" s="631"/>
      <c r="B26" s="634"/>
      <c r="C26" s="466"/>
      <c r="D26" s="466"/>
      <c r="E26" s="466"/>
      <c r="F26" s="466"/>
      <c r="G26" s="466"/>
      <c r="H26" s="466"/>
      <c r="I26" s="751"/>
      <c r="J26" s="466"/>
      <c r="K26" s="466"/>
      <c r="L26" s="466"/>
      <c r="M26" s="466"/>
      <c r="N26" s="466"/>
      <c r="O26" s="751"/>
      <c r="P26" s="466"/>
      <c r="Q26" s="466"/>
      <c r="R26" s="466"/>
      <c r="S26" s="751"/>
      <c r="T26" s="466"/>
      <c r="U26" s="751"/>
      <c r="V26" s="466"/>
      <c r="W26" s="751"/>
      <c r="X26" s="378"/>
      <c r="Y26" s="180"/>
      <c r="Z26" s="180"/>
      <c r="AA26" s="180"/>
      <c r="AB26" s="180"/>
    </row>
    <row r="27" spans="1:28">
      <c r="A27" s="631"/>
      <c r="B27" s="388"/>
      <c r="C27" s="391"/>
      <c r="D27" s="391"/>
      <c r="E27" s="391"/>
      <c r="F27" s="391"/>
      <c r="G27" s="391"/>
      <c r="H27" s="391"/>
      <c r="I27" s="749"/>
      <c r="J27" s="391"/>
      <c r="K27" s="391"/>
      <c r="L27" s="391"/>
      <c r="M27" s="391"/>
      <c r="N27" s="391"/>
      <c r="O27" s="749"/>
      <c r="P27" s="391"/>
      <c r="Q27" s="391"/>
      <c r="R27" s="391"/>
      <c r="S27" s="749"/>
      <c r="T27" s="391"/>
      <c r="U27" s="749"/>
      <c r="V27" s="391"/>
      <c r="W27" s="749"/>
      <c r="X27" s="378"/>
      <c r="Y27" s="180"/>
      <c r="Z27" s="180"/>
      <c r="AA27" s="180"/>
      <c r="AB27" s="180"/>
    </row>
    <row r="28" spans="1:28" s="203" customFormat="1">
      <c r="A28" s="631"/>
      <c r="B28" s="389"/>
      <c r="C28" s="392"/>
      <c r="D28" s="392"/>
      <c r="E28" s="392"/>
      <c r="F28" s="392"/>
      <c r="G28" s="392"/>
      <c r="H28" s="392"/>
      <c r="I28" s="750"/>
      <c r="J28" s="392"/>
      <c r="K28" s="392"/>
      <c r="L28" s="392"/>
      <c r="M28" s="392"/>
      <c r="N28" s="392"/>
      <c r="O28" s="750"/>
      <c r="P28" s="392"/>
      <c r="Q28" s="392"/>
      <c r="R28" s="392"/>
      <c r="S28" s="750"/>
      <c r="T28" s="392"/>
      <c r="U28" s="750"/>
      <c r="V28" s="392"/>
      <c r="W28" s="750"/>
      <c r="X28" s="378"/>
      <c r="Y28" s="180"/>
      <c r="Z28" s="180"/>
      <c r="AA28" s="180"/>
      <c r="AB28" s="180"/>
    </row>
    <row r="29" spans="1:28" s="202" customFormat="1">
      <c r="A29" s="631"/>
      <c r="B29" s="634"/>
      <c r="C29" s="466"/>
      <c r="D29" s="466"/>
      <c r="E29" s="466"/>
      <c r="F29" s="466"/>
      <c r="G29" s="466"/>
      <c r="H29" s="466"/>
      <c r="I29" s="751"/>
      <c r="J29" s="466"/>
      <c r="K29" s="466"/>
      <c r="L29" s="466"/>
      <c r="M29" s="466"/>
      <c r="N29" s="466"/>
      <c r="O29" s="751"/>
      <c r="P29" s="466"/>
      <c r="Q29" s="466"/>
      <c r="R29" s="466"/>
      <c r="S29" s="751"/>
      <c r="T29" s="466"/>
      <c r="U29" s="751"/>
      <c r="V29" s="466"/>
      <c r="W29" s="751"/>
      <c r="X29" s="378"/>
      <c r="Y29" s="180"/>
      <c r="Z29" s="180"/>
      <c r="AA29" s="180"/>
      <c r="AB29" s="180"/>
    </row>
    <row r="30" spans="1:28">
      <c r="A30" s="631"/>
      <c r="B30" s="388"/>
      <c r="C30" s="391"/>
      <c r="D30" s="391"/>
      <c r="E30" s="391"/>
      <c r="F30" s="391"/>
      <c r="G30" s="391"/>
      <c r="H30" s="391"/>
      <c r="I30" s="749"/>
      <c r="J30" s="391"/>
      <c r="K30" s="391"/>
      <c r="L30" s="391"/>
      <c r="M30" s="391"/>
      <c r="N30" s="391"/>
      <c r="O30" s="749"/>
      <c r="P30" s="391"/>
      <c r="Q30" s="391"/>
      <c r="R30" s="391"/>
      <c r="S30" s="749"/>
      <c r="T30" s="391"/>
      <c r="U30" s="749"/>
      <c r="V30" s="391"/>
      <c r="W30" s="749"/>
      <c r="X30" s="378"/>
      <c r="Y30" s="180"/>
      <c r="Z30" s="180"/>
      <c r="AA30" s="180"/>
      <c r="AB30" s="180"/>
    </row>
    <row r="31" spans="1:28" s="203" customFormat="1">
      <c r="A31" s="631"/>
      <c r="B31" s="389"/>
      <c r="C31" s="392"/>
      <c r="D31" s="392"/>
      <c r="E31" s="392"/>
      <c r="F31" s="392"/>
      <c r="G31" s="392"/>
      <c r="H31" s="392"/>
      <c r="I31" s="750"/>
      <c r="J31" s="392"/>
      <c r="K31" s="392"/>
      <c r="L31" s="392"/>
      <c r="M31" s="392"/>
      <c r="N31" s="392"/>
      <c r="O31" s="750"/>
      <c r="P31" s="392"/>
      <c r="Q31" s="392"/>
      <c r="R31" s="392"/>
      <c r="S31" s="750"/>
      <c r="T31" s="392"/>
      <c r="U31" s="750"/>
      <c r="V31" s="392"/>
      <c r="W31" s="750"/>
      <c r="X31" s="378"/>
      <c r="Y31" s="180"/>
      <c r="Z31" s="180"/>
      <c r="AA31" s="180"/>
      <c r="AB31" s="180"/>
    </row>
    <row r="32" spans="1:28" s="202" customFormat="1">
      <c r="A32" s="631"/>
      <c r="B32" s="634"/>
      <c r="C32" s="466"/>
      <c r="D32" s="466"/>
      <c r="E32" s="466"/>
      <c r="F32" s="466"/>
      <c r="G32" s="466"/>
      <c r="H32" s="466"/>
      <c r="I32" s="751"/>
      <c r="J32" s="466"/>
      <c r="K32" s="466"/>
      <c r="L32" s="466"/>
      <c r="M32" s="466"/>
      <c r="N32" s="466"/>
      <c r="O32" s="751"/>
      <c r="P32" s="466"/>
      <c r="Q32" s="466"/>
      <c r="R32" s="466"/>
      <c r="S32" s="751"/>
      <c r="T32" s="466"/>
      <c r="U32" s="751"/>
      <c r="V32" s="466"/>
      <c r="W32" s="751"/>
      <c r="X32" s="378"/>
      <c r="Y32" s="180"/>
      <c r="Z32" s="180"/>
      <c r="AA32" s="180"/>
      <c r="AB32" s="180"/>
    </row>
    <row r="33" spans="1:28">
      <c r="A33" s="631"/>
      <c r="B33" s="388"/>
      <c r="C33" s="391"/>
      <c r="D33" s="391"/>
      <c r="E33" s="391"/>
      <c r="F33" s="391"/>
      <c r="G33" s="391"/>
      <c r="H33" s="391"/>
      <c r="I33" s="749"/>
      <c r="J33" s="391"/>
      <c r="K33" s="391"/>
      <c r="L33" s="391"/>
      <c r="M33" s="391"/>
      <c r="N33" s="391"/>
      <c r="O33" s="749"/>
      <c r="P33" s="391"/>
      <c r="Q33" s="391"/>
      <c r="R33" s="391"/>
      <c r="S33" s="749"/>
      <c r="T33" s="391"/>
      <c r="U33" s="749"/>
      <c r="V33" s="391"/>
      <c r="W33" s="749"/>
      <c r="X33" s="378"/>
      <c r="Y33" s="180"/>
      <c r="Z33" s="180"/>
      <c r="AA33" s="180"/>
      <c r="AB33" s="180"/>
    </row>
    <row r="34" spans="1:28" s="203" customFormat="1">
      <c r="A34" s="631"/>
      <c r="B34" s="389"/>
      <c r="C34" s="392"/>
      <c r="D34" s="392"/>
      <c r="E34" s="392"/>
      <c r="F34" s="392"/>
      <c r="G34" s="392"/>
      <c r="H34" s="392"/>
      <c r="I34" s="750"/>
      <c r="J34" s="392"/>
      <c r="K34" s="392"/>
      <c r="L34" s="392"/>
      <c r="M34" s="392"/>
      <c r="N34" s="392"/>
      <c r="O34" s="750"/>
      <c r="P34" s="392"/>
      <c r="Q34" s="392"/>
      <c r="R34" s="392"/>
      <c r="S34" s="750"/>
      <c r="T34" s="392"/>
      <c r="U34" s="750"/>
      <c r="V34" s="392"/>
      <c r="W34" s="750"/>
      <c r="X34" s="378"/>
      <c r="Y34" s="180"/>
      <c r="Z34" s="180"/>
      <c r="AA34" s="180"/>
      <c r="AB34" s="180"/>
    </row>
    <row r="35" spans="1:28" s="202" customFormat="1">
      <c r="A35" s="631"/>
      <c r="B35" s="634"/>
      <c r="C35" s="466"/>
      <c r="D35" s="466"/>
      <c r="E35" s="466"/>
      <c r="F35" s="466"/>
      <c r="G35" s="466"/>
      <c r="H35" s="466"/>
      <c r="I35" s="751"/>
      <c r="J35" s="466"/>
      <c r="K35" s="466"/>
      <c r="L35" s="466"/>
      <c r="M35" s="466"/>
      <c r="N35" s="466"/>
      <c r="O35" s="751"/>
      <c r="P35" s="466"/>
      <c r="Q35" s="466"/>
      <c r="R35" s="466"/>
      <c r="S35" s="751"/>
      <c r="T35" s="466"/>
      <c r="U35" s="751"/>
      <c r="V35" s="466"/>
      <c r="W35" s="751"/>
      <c r="X35" s="378"/>
      <c r="Y35" s="180"/>
      <c r="Z35" s="180"/>
      <c r="AA35" s="180"/>
      <c r="AB35" s="180"/>
    </row>
    <row r="36" spans="1:28">
      <c r="A36" s="631"/>
      <c r="B36" s="388"/>
      <c r="C36" s="391"/>
      <c r="D36" s="391"/>
      <c r="E36" s="391"/>
      <c r="F36" s="391"/>
      <c r="G36" s="391"/>
      <c r="H36" s="391"/>
      <c r="I36" s="749"/>
      <c r="J36" s="391"/>
      <c r="K36" s="391"/>
      <c r="L36" s="391"/>
      <c r="M36" s="391"/>
      <c r="N36" s="391"/>
      <c r="O36" s="749"/>
      <c r="P36" s="391"/>
      <c r="Q36" s="391"/>
      <c r="R36" s="391"/>
      <c r="S36" s="749"/>
      <c r="T36" s="391"/>
      <c r="U36" s="749"/>
      <c r="V36" s="391"/>
      <c r="W36" s="749"/>
      <c r="X36" s="378"/>
      <c r="Y36" s="180"/>
      <c r="Z36" s="180"/>
      <c r="AA36" s="180"/>
      <c r="AB36" s="180"/>
    </row>
    <row r="37" spans="1:28" s="203" customFormat="1">
      <c r="A37" s="631"/>
      <c r="B37" s="389"/>
      <c r="C37" s="392"/>
      <c r="D37" s="392"/>
      <c r="E37" s="392"/>
      <c r="F37" s="392"/>
      <c r="G37" s="392"/>
      <c r="H37" s="392"/>
      <c r="I37" s="750"/>
      <c r="J37" s="392"/>
      <c r="K37" s="392"/>
      <c r="L37" s="392"/>
      <c r="M37" s="392"/>
      <c r="N37" s="392"/>
      <c r="O37" s="750"/>
      <c r="P37" s="392"/>
      <c r="Q37" s="392"/>
      <c r="R37" s="392"/>
      <c r="S37" s="750"/>
      <c r="T37" s="392"/>
      <c r="U37" s="750"/>
      <c r="V37" s="392"/>
      <c r="W37" s="750"/>
      <c r="X37" s="378"/>
      <c r="Y37" s="180"/>
      <c r="Z37" s="180"/>
      <c r="AA37" s="180"/>
      <c r="AB37" s="180"/>
    </row>
    <row r="38" spans="1:28" s="202" customFormat="1">
      <c r="A38" s="631"/>
      <c r="B38" s="634"/>
      <c r="C38" s="466"/>
      <c r="D38" s="466"/>
      <c r="E38" s="466"/>
      <c r="F38" s="466"/>
      <c r="G38" s="466"/>
      <c r="H38" s="466"/>
      <c r="I38" s="751"/>
      <c r="J38" s="466"/>
      <c r="K38" s="466"/>
      <c r="L38" s="466"/>
      <c r="M38" s="466"/>
      <c r="N38" s="466"/>
      <c r="O38" s="751"/>
      <c r="P38" s="466"/>
      <c r="Q38" s="466"/>
      <c r="R38" s="466"/>
      <c r="S38" s="751"/>
      <c r="T38" s="466"/>
      <c r="U38" s="751"/>
      <c r="V38" s="466"/>
      <c r="W38" s="751"/>
      <c r="X38" s="378"/>
      <c r="Y38" s="180"/>
      <c r="Z38" s="180"/>
      <c r="AA38" s="180"/>
      <c r="AB38" s="180"/>
    </row>
    <row r="39" spans="1:28">
      <c r="A39" s="631"/>
      <c r="B39" s="388"/>
      <c r="C39" s="391"/>
      <c r="D39" s="391"/>
      <c r="E39" s="391"/>
      <c r="F39" s="391"/>
      <c r="G39" s="391"/>
      <c r="H39" s="391"/>
      <c r="I39" s="749"/>
      <c r="J39" s="391"/>
      <c r="K39" s="391"/>
      <c r="L39" s="391"/>
      <c r="M39" s="391"/>
      <c r="N39" s="391"/>
      <c r="O39" s="749"/>
      <c r="P39" s="391"/>
      <c r="Q39" s="391"/>
      <c r="R39" s="391"/>
      <c r="S39" s="749"/>
      <c r="T39" s="391"/>
      <c r="U39" s="749"/>
      <c r="V39" s="391"/>
      <c r="W39" s="749"/>
      <c r="X39" s="378"/>
      <c r="Y39" s="180"/>
      <c r="Z39" s="180"/>
      <c r="AA39" s="180"/>
      <c r="AB39" s="180"/>
    </row>
    <row r="40" spans="1:28" s="203" customFormat="1">
      <c r="A40" s="631"/>
      <c r="B40" s="389"/>
      <c r="C40" s="392"/>
      <c r="D40" s="392"/>
      <c r="E40" s="392"/>
      <c r="F40" s="392"/>
      <c r="G40" s="392"/>
      <c r="H40" s="392"/>
      <c r="I40" s="750"/>
      <c r="J40" s="392"/>
      <c r="K40" s="392"/>
      <c r="L40" s="392"/>
      <c r="M40" s="392"/>
      <c r="N40" s="392"/>
      <c r="O40" s="750"/>
      <c r="P40" s="392"/>
      <c r="Q40" s="392"/>
      <c r="R40" s="392"/>
      <c r="S40" s="750"/>
      <c r="T40" s="392"/>
      <c r="U40" s="750"/>
      <c r="V40" s="392"/>
      <c r="W40" s="750"/>
      <c r="X40" s="378"/>
      <c r="Y40" s="180"/>
      <c r="Z40" s="180"/>
      <c r="AA40" s="180"/>
      <c r="AB40" s="180"/>
    </row>
    <row r="41" spans="1:28" s="202" customFormat="1">
      <c r="A41" s="631"/>
      <c r="B41" s="634"/>
      <c r="C41" s="1461"/>
      <c r="D41" s="466"/>
      <c r="E41" s="466"/>
      <c r="F41" s="466"/>
      <c r="G41" s="466"/>
      <c r="H41" s="466"/>
      <c r="I41" s="751"/>
      <c r="J41" s="466"/>
      <c r="K41" s="466"/>
      <c r="L41" s="466"/>
      <c r="M41" s="466"/>
      <c r="N41" s="466"/>
      <c r="O41" s="751"/>
      <c r="P41" s="466"/>
      <c r="Q41" s="466"/>
      <c r="R41" s="466"/>
      <c r="S41" s="751"/>
      <c r="T41" s="466"/>
      <c r="U41" s="751"/>
      <c r="V41" s="466"/>
      <c r="W41" s="751"/>
      <c r="X41" s="378"/>
      <c r="Y41" s="180"/>
      <c r="Z41" s="180"/>
      <c r="AA41" s="180"/>
      <c r="AB41" s="180"/>
    </row>
    <row r="42" spans="1:28">
      <c r="A42" s="631"/>
      <c r="B42" s="388"/>
      <c r="C42" s="391"/>
      <c r="D42" s="391"/>
      <c r="E42" s="391"/>
      <c r="F42" s="391"/>
      <c r="G42" s="391"/>
      <c r="H42" s="391"/>
      <c r="I42" s="749"/>
      <c r="J42" s="391"/>
      <c r="K42" s="391"/>
      <c r="L42" s="391"/>
      <c r="M42" s="391"/>
      <c r="N42" s="391"/>
      <c r="O42" s="749"/>
      <c r="P42" s="391"/>
      <c r="Q42" s="391"/>
      <c r="R42" s="391"/>
      <c r="S42" s="749"/>
      <c r="T42" s="391"/>
      <c r="U42" s="749"/>
      <c r="V42" s="391"/>
      <c r="W42" s="749"/>
      <c r="X42" s="378"/>
      <c r="Y42" s="180"/>
      <c r="Z42" s="180"/>
      <c r="AA42" s="180"/>
      <c r="AB42" s="180"/>
    </row>
    <row r="43" spans="1:28" s="203" customFormat="1">
      <c r="A43" s="631"/>
      <c r="B43" s="389"/>
      <c r="C43" s="392"/>
      <c r="D43" s="392"/>
      <c r="E43" s="392"/>
      <c r="F43" s="392"/>
      <c r="G43" s="392"/>
      <c r="H43" s="392"/>
      <c r="I43" s="750"/>
      <c r="J43" s="392"/>
      <c r="K43" s="392"/>
      <c r="L43" s="392"/>
      <c r="M43" s="392"/>
      <c r="N43" s="392"/>
      <c r="O43" s="750"/>
      <c r="P43" s="392"/>
      <c r="Q43" s="392"/>
      <c r="R43" s="392"/>
      <c r="S43" s="750"/>
      <c r="T43" s="392"/>
      <c r="U43" s="750"/>
      <c r="V43" s="392"/>
      <c r="W43" s="750"/>
      <c r="X43" s="378"/>
      <c r="Y43" s="180"/>
      <c r="Z43" s="180"/>
      <c r="AA43" s="180"/>
      <c r="AB43" s="180"/>
    </row>
    <row r="44" spans="1:28" s="215" customFormat="1" ht="13.5" thickBot="1">
      <c r="A44" s="635"/>
      <c r="B44" s="761"/>
      <c r="C44" s="762"/>
      <c r="D44" s="762"/>
      <c r="E44" s="762"/>
      <c r="F44" s="762"/>
      <c r="G44" s="762"/>
      <c r="H44" s="762"/>
      <c r="I44" s="763"/>
      <c r="J44" s="762"/>
      <c r="K44" s="762"/>
      <c r="L44" s="762"/>
      <c r="M44" s="762"/>
      <c r="N44" s="762"/>
      <c r="O44" s="763"/>
      <c r="P44" s="762"/>
      <c r="Q44" s="762"/>
      <c r="R44" s="762"/>
      <c r="S44" s="763"/>
      <c r="T44" s="762"/>
      <c r="U44" s="763"/>
      <c r="V44" s="1462"/>
      <c r="W44" s="763"/>
      <c r="X44" s="378"/>
      <c r="Y44" s="180"/>
      <c r="Z44" s="180"/>
      <c r="AA44" s="180"/>
      <c r="AB44" s="180"/>
    </row>
    <row r="45" spans="1:28" ht="13.5" thickTop="1">
      <c r="A45" s="230"/>
      <c r="B45" s="764"/>
      <c r="C45" s="765"/>
      <c r="D45" s="765"/>
      <c r="E45" s="765"/>
      <c r="F45" s="765"/>
      <c r="G45" s="765"/>
      <c r="H45" s="765"/>
      <c r="I45" s="766"/>
      <c r="J45" s="765"/>
      <c r="K45" s="765"/>
      <c r="L45" s="765"/>
      <c r="M45" s="765"/>
      <c r="N45" s="765"/>
      <c r="O45" s="766"/>
      <c r="P45" s="765"/>
      <c r="Q45" s="765"/>
      <c r="R45" s="765"/>
      <c r="S45" s="766"/>
      <c r="T45" s="765"/>
      <c r="U45" s="766"/>
      <c r="V45" s="765"/>
      <c r="W45" s="766"/>
      <c r="X45" s="378"/>
      <c r="Y45" s="180"/>
      <c r="Z45" s="180"/>
      <c r="AA45" s="180"/>
      <c r="AB45" s="180"/>
    </row>
    <row r="46" spans="1:28" s="203" customFormat="1">
      <c r="A46" s="631"/>
      <c r="B46" s="389"/>
      <c r="C46" s="392"/>
      <c r="D46" s="392"/>
      <c r="E46" s="392"/>
      <c r="F46" s="392"/>
      <c r="G46" s="392"/>
      <c r="H46" s="392"/>
      <c r="I46" s="750"/>
      <c r="J46" s="392"/>
      <c r="K46" s="392"/>
      <c r="L46" s="392"/>
      <c r="M46" s="392"/>
      <c r="N46" s="392"/>
      <c r="O46" s="750"/>
      <c r="P46" s="392"/>
      <c r="Q46" s="392"/>
      <c r="R46" s="392"/>
      <c r="S46" s="750"/>
      <c r="T46" s="392"/>
      <c r="U46" s="750"/>
      <c r="V46" s="392"/>
      <c r="W46" s="750"/>
      <c r="X46" s="378"/>
      <c r="Y46" s="180"/>
      <c r="Z46" s="180"/>
      <c r="AA46" s="180"/>
      <c r="AB46" s="180"/>
    </row>
    <row r="47" spans="1:28" s="202" customFormat="1">
      <c r="A47" s="632"/>
      <c r="B47" s="634"/>
      <c r="C47" s="466"/>
      <c r="D47" s="466"/>
      <c r="E47" s="466"/>
      <c r="F47" s="466"/>
      <c r="G47" s="466"/>
      <c r="H47" s="466"/>
      <c r="I47" s="751"/>
      <c r="J47" s="466"/>
      <c r="K47" s="466"/>
      <c r="L47" s="466"/>
      <c r="M47" s="466"/>
      <c r="N47" s="466"/>
      <c r="O47" s="751"/>
      <c r="P47" s="466"/>
      <c r="Q47" s="466"/>
      <c r="R47" s="466"/>
      <c r="S47" s="751"/>
      <c r="T47" s="466"/>
      <c r="U47" s="751"/>
      <c r="V47" s="466"/>
      <c r="W47" s="751"/>
      <c r="X47" s="378"/>
      <c r="Y47" s="180"/>
      <c r="Z47" s="180"/>
      <c r="AA47" s="180"/>
      <c r="AB47" s="180"/>
    </row>
    <row r="48" spans="1:28">
      <c r="A48" s="631"/>
      <c r="B48" s="388"/>
      <c r="C48" s="391"/>
      <c r="D48" s="391"/>
      <c r="E48" s="391"/>
      <c r="F48" s="391"/>
      <c r="G48" s="391"/>
      <c r="H48" s="391"/>
      <c r="I48" s="749"/>
      <c r="J48" s="391"/>
      <c r="K48" s="391"/>
      <c r="L48" s="391"/>
      <c r="M48" s="391"/>
      <c r="N48" s="391"/>
      <c r="O48" s="749"/>
      <c r="P48" s="391"/>
      <c r="Q48" s="391"/>
      <c r="R48" s="391"/>
      <c r="S48" s="749"/>
      <c r="T48" s="391"/>
      <c r="U48" s="749"/>
      <c r="V48" s="391"/>
      <c r="W48" s="749"/>
      <c r="X48" s="378"/>
      <c r="Y48" s="180"/>
      <c r="Z48" s="180"/>
      <c r="AA48" s="180"/>
      <c r="AB48" s="180"/>
    </row>
    <row r="49" spans="1:28" s="203" customFormat="1">
      <c r="A49" s="631"/>
      <c r="B49" s="389"/>
      <c r="C49" s="392"/>
      <c r="D49" s="392"/>
      <c r="E49" s="392"/>
      <c r="F49" s="392"/>
      <c r="G49" s="392"/>
      <c r="H49" s="392"/>
      <c r="I49" s="750"/>
      <c r="J49" s="392"/>
      <c r="K49" s="392"/>
      <c r="L49" s="392"/>
      <c r="M49" s="392"/>
      <c r="N49" s="392"/>
      <c r="O49" s="750"/>
      <c r="P49" s="392"/>
      <c r="Q49" s="392"/>
      <c r="R49" s="392"/>
      <c r="S49" s="750"/>
      <c r="T49" s="392"/>
      <c r="U49" s="750"/>
      <c r="V49" s="392"/>
      <c r="W49" s="750"/>
      <c r="X49" s="378"/>
      <c r="Y49" s="180"/>
      <c r="Z49" s="180"/>
      <c r="AA49" s="180"/>
      <c r="AB49" s="180"/>
    </row>
    <row r="50" spans="1:28" s="202" customFormat="1">
      <c r="A50" s="631"/>
      <c r="B50" s="634"/>
      <c r="C50" s="466"/>
      <c r="D50" s="1461"/>
      <c r="E50" s="466"/>
      <c r="F50" s="466"/>
      <c r="G50" s="466"/>
      <c r="H50" s="466"/>
      <c r="I50" s="751"/>
      <c r="J50" s="466"/>
      <c r="K50" s="466"/>
      <c r="L50" s="466"/>
      <c r="M50" s="466"/>
      <c r="N50" s="466"/>
      <c r="O50" s="751"/>
      <c r="P50" s="466"/>
      <c r="Q50" s="466"/>
      <c r="R50" s="466"/>
      <c r="S50" s="751"/>
      <c r="T50" s="466"/>
      <c r="U50" s="751"/>
      <c r="V50" s="466"/>
      <c r="W50" s="751"/>
      <c r="X50" s="378"/>
      <c r="Y50" s="180"/>
      <c r="Z50" s="180"/>
      <c r="AA50" s="180"/>
      <c r="AB50" s="180"/>
    </row>
    <row r="51" spans="1:28">
      <c r="A51" s="631"/>
      <c r="B51" s="388"/>
      <c r="C51" s="391"/>
      <c r="D51" s="391"/>
      <c r="E51" s="391"/>
      <c r="F51" s="391"/>
      <c r="G51" s="391"/>
      <c r="H51" s="391"/>
      <c r="I51" s="749"/>
      <c r="J51" s="391"/>
      <c r="K51" s="391"/>
      <c r="L51" s="391"/>
      <c r="M51" s="391"/>
      <c r="N51" s="391"/>
      <c r="O51" s="749"/>
      <c r="P51" s="391"/>
      <c r="Q51" s="391"/>
      <c r="R51" s="391"/>
      <c r="S51" s="749"/>
      <c r="T51" s="391"/>
      <c r="U51" s="749"/>
      <c r="V51" s="391"/>
      <c r="W51" s="749"/>
      <c r="X51" s="378"/>
      <c r="Y51" s="180"/>
      <c r="Z51" s="180"/>
      <c r="AA51" s="180"/>
      <c r="AB51" s="180"/>
    </row>
    <row r="52" spans="1:28" s="203" customFormat="1">
      <c r="A52" s="631"/>
      <c r="B52" s="389"/>
      <c r="C52" s="392"/>
      <c r="D52" s="392"/>
      <c r="E52" s="392"/>
      <c r="F52" s="392"/>
      <c r="G52" s="392"/>
      <c r="H52" s="392"/>
      <c r="I52" s="750"/>
      <c r="J52" s="392"/>
      <c r="K52" s="392"/>
      <c r="L52" s="392"/>
      <c r="M52" s="392"/>
      <c r="N52" s="392"/>
      <c r="O52" s="750"/>
      <c r="P52" s="392"/>
      <c r="Q52" s="392"/>
      <c r="R52" s="392"/>
      <c r="S52" s="750"/>
      <c r="T52" s="392"/>
      <c r="U52" s="750"/>
      <c r="V52" s="392"/>
      <c r="W52" s="750"/>
      <c r="X52" s="378"/>
      <c r="Y52" s="180"/>
      <c r="Z52" s="180"/>
      <c r="AA52" s="180"/>
      <c r="AB52" s="180"/>
    </row>
    <row r="53" spans="1:28" s="202" customFormat="1">
      <c r="A53" s="631"/>
      <c r="B53" s="634"/>
      <c r="C53" s="466"/>
      <c r="D53" s="466"/>
      <c r="E53" s="466"/>
      <c r="F53" s="466"/>
      <c r="G53" s="466"/>
      <c r="H53" s="466"/>
      <c r="I53" s="751"/>
      <c r="J53" s="466"/>
      <c r="K53" s="466"/>
      <c r="L53" s="466"/>
      <c r="M53" s="466"/>
      <c r="N53" s="466"/>
      <c r="O53" s="751"/>
      <c r="P53" s="466"/>
      <c r="Q53" s="466"/>
      <c r="R53" s="466"/>
      <c r="S53" s="751"/>
      <c r="T53" s="466"/>
      <c r="U53" s="751"/>
      <c r="V53" s="466"/>
      <c r="W53" s="751"/>
      <c r="X53" s="378"/>
      <c r="Y53" s="180"/>
      <c r="Z53" s="180"/>
      <c r="AA53" s="180"/>
      <c r="AB53" s="180"/>
    </row>
    <row r="54" spans="1:28">
      <c r="A54" s="631"/>
      <c r="B54" s="388"/>
      <c r="C54" s="391"/>
      <c r="D54" s="391"/>
      <c r="E54" s="391"/>
      <c r="F54" s="391"/>
      <c r="G54" s="391"/>
      <c r="H54" s="391"/>
      <c r="I54" s="749"/>
      <c r="J54" s="391"/>
      <c r="K54" s="391"/>
      <c r="L54" s="391"/>
      <c r="M54" s="391"/>
      <c r="N54" s="391"/>
      <c r="O54" s="749"/>
      <c r="P54" s="391"/>
      <c r="Q54" s="391"/>
      <c r="R54" s="391"/>
      <c r="S54" s="749"/>
      <c r="T54" s="391"/>
      <c r="U54" s="749"/>
      <c r="V54" s="391"/>
      <c r="W54" s="749"/>
      <c r="X54" s="378"/>
      <c r="Y54" s="180"/>
      <c r="Z54" s="180"/>
      <c r="AA54" s="180"/>
      <c r="AB54" s="180"/>
    </row>
    <row r="55" spans="1:28" s="203" customFormat="1">
      <c r="A55" s="631"/>
      <c r="B55" s="389"/>
      <c r="C55" s="392"/>
      <c r="D55" s="392"/>
      <c r="E55" s="392"/>
      <c r="F55" s="392"/>
      <c r="G55" s="392"/>
      <c r="H55" s="392"/>
      <c r="I55" s="750"/>
      <c r="J55" s="392"/>
      <c r="K55" s="392"/>
      <c r="L55" s="392"/>
      <c r="M55" s="392"/>
      <c r="N55" s="392"/>
      <c r="O55" s="750"/>
      <c r="P55" s="392"/>
      <c r="Q55" s="392"/>
      <c r="R55" s="392"/>
      <c r="S55" s="750"/>
      <c r="T55" s="392"/>
      <c r="U55" s="750"/>
      <c r="V55" s="392"/>
      <c r="W55" s="750"/>
      <c r="X55" s="378"/>
      <c r="Y55" s="180"/>
      <c r="Z55" s="180"/>
      <c r="AA55" s="180"/>
      <c r="AB55" s="180"/>
    </row>
    <row r="56" spans="1:28" s="202" customFormat="1">
      <c r="A56" s="631"/>
      <c r="B56" s="634"/>
      <c r="C56" s="1461"/>
      <c r="D56" s="466"/>
      <c r="E56" s="466"/>
      <c r="F56" s="466"/>
      <c r="G56" s="466"/>
      <c r="H56" s="466"/>
      <c r="I56" s="751"/>
      <c r="J56" s="466"/>
      <c r="K56" s="466"/>
      <c r="L56" s="466"/>
      <c r="M56" s="466"/>
      <c r="N56" s="466"/>
      <c r="O56" s="751"/>
      <c r="P56" s="466"/>
      <c r="Q56" s="466"/>
      <c r="R56" s="466"/>
      <c r="S56" s="751"/>
      <c r="T56" s="466"/>
      <c r="U56" s="751"/>
      <c r="V56" s="466"/>
      <c r="W56" s="751"/>
      <c r="X56" s="378"/>
      <c r="Y56" s="180"/>
      <c r="Z56" s="180"/>
      <c r="AA56" s="180"/>
      <c r="AB56" s="180"/>
    </row>
    <row r="57" spans="1:28">
      <c r="A57" s="631"/>
      <c r="B57" s="388"/>
      <c r="C57" s="391"/>
      <c r="D57" s="391"/>
      <c r="E57" s="391"/>
      <c r="F57" s="391"/>
      <c r="G57" s="391"/>
      <c r="H57" s="391"/>
      <c r="I57" s="749"/>
      <c r="J57" s="391"/>
      <c r="K57" s="391"/>
      <c r="L57" s="391"/>
      <c r="M57" s="391"/>
      <c r="N57" s="391"/>
      <c r="O57" s="749"/>
      <c r="P57" s="391"/>
      <c r="Q57" s="391"/>
      <c r="R57" s="391"/>
      <c r="S57" s="749"/>
      <c r="T57" s="391"/>
      <c r="U57" s="749"/>
      <c r="V57" s="391"/>
      <c r="W57" s="749"/>
      <c r="X57" s="378"/>
      <c r="Y57" s="180"/>
      <c r="Z57" s="180"/>
      <c r="AA57" s="180"/>
      <c r="AB57" s="180"/>
    </row>
    <row r="58" spans="1:28" s="203" customFormat="1">
      <c r="A58" s="631"/>
      <c r="B58" s="389"/>
      <c r="C58" s="392"/>
      <c r="D58" s="392"/>
      <c r="E58" s="392"/>
      <c r="F58" s="392"/>
      <c r="G58" s="392"/>
      <c r="H58" s="392"/>
      <c r="I58" s="750"/>
      <c r="J58" s="392"/>
      <c r="K58" s="392"/>
      <c r="L58" s="392"/>
      <c r="M58" s="392"/>
      <c r="N58" s="392"/>
      <c r="O58" s="750"/>
      <c r="P58" s="392"/>
      <c r="Q58" s="392"/>
      <c r="R58" s="392"/>
      <c r="S58" s="750"/>
      <c r="T58" s="392"/>
      <c r="U58" s="750"/>
      <c r="V58" s="392"/>
      <c r="W58" s="750"/>
      <c r="X58" s="378"/>
      <c r="Y58" s="180"/>
      <c r="Z58" s="180"/>
      <c r="AA58" s="180"/>
      <c r="AB58" s="180"/>
    </row>
    <row r="59" spans="1:28" s="202" customFormat="1">
      <c r="A59" s="631"/>
      <c r="B59" s="634"/>
      <c r="C59" s="466"/>
      <c r="D59" s="1461"/>
      <c r="E59" s="1461"/>
      <c r="F59" s="1461"/>
      <c r="G59" s="466"/>
      <c r="H59" s="466"/>
      <c r="I59" s="751"/>
      <c r="J59" s="466"/>
      <c r="K59" s="466"/>
      <c r="L59" s="466"/>
      <c r="M59" s="1461"/>
      <c r="N59" s="466"/>
      <c r="O59" s="751"/>
      <c r="P59" s="466"/>
      <c r="Q59" s="466"/>
      <c r="R59" s="466"/>
      <c r="S59" s="751"/>
      <c r="T59" s="466"/>
      <c r="U59" s="751"/>
      <c r="V59" s="466"/>
      <c r="W59" s="751"/>
      <c r="X59" s="378"/>
      <c r="Y59" s="180"/>
      <c r="Z59" s="180"/>
      <c r="AA59" s="180"/>
      <c r="AB59" s="180"/>
    </row>
    <row r="60" spans="1:28">
      <c r="A60" s="631"/>
      <c r="B60" s="752"/>
      <c r="C60" s="749"/>
      <c r="D60" s="749"/>
      <c r="E60" s="749"/>
      <c r="F60" s="749"/>
      <c r="G60" s="749"/>
      <c r="H60" s="749"/>
      <c r="I60" s="749"/>
      <c r="J60" s="749"/>
      <c r="K60" s="749"/>
      <c r="L60" s="749"/>
      <c r="M60" s="749"/>
      <c r="N60" s="749"/>
      <c r="O60" s="749"/>
      <c r="P60" s="749"/>
      <c r="Q60" s="749"/>
      <c r="R60" s="749"/>
      <c r="S60" s="749"/>
      <c r="T60" s="749"/>
      <c r="U60" s="749"/>
      <c r="V60" s="749"/>
      <c r="W60" s="749"/>
      <c r="X60" s="378"/>
      <c r="Y60" s="180"/>
      <c r="Z60" s="180"/>
      <c r="AA60" s="180"/>
      <c r="AB60" s="180"/>
    </row>
    <row r="61" spans="1:28" s="203" customFormat="1">
      <c r="A61" s="631"/>
      <c r="B61" s="753"/>
      <c r="C61" s="750"/>
      <c r="D61" s="750"/>
      <c r="E61" s="750"/>
      <c r="F61" s="750"/>
      <c r="G61" s="750"/>
      <c r="H61" s="750"/>
      <c r="I61" s="750"/>
      <c r="J61" s="750"/>
      <c r="K61" s="750"/>
      <c r="L61" s="750"/>
      <c r="M61" s="750"/>
      <c r="N61" s="750"/>
      <c r="O61" s="750"/>
      <c r="P61" s="750"/>
      <c r="Q61" s="750"/>
      <c r="R61" s="750"/>
      <c r="S61" s="750"/>
      <c r="T61" s="750"/>
      <c r="U61" s="750"/>
      <c r="V61" s="750"/>
      <c r="W61" s="750"/>
      <c r="X61" s="378"/>
      <c r="Y61" s="180"/>
      <c r="Z61" s="180"/>
      <c r="AA61" s="180"/>
      <c r="AB61" s="180"/>
    </row>
    <row r="62" spans="1:28" s="202" customFormat="1">
      <c r="A62" s="631"/>
      <c r="B62" s="754"/>
      <c r="C62" s="751"/>
      <c r="D62" s="751"/>
      <c r="E62" s="751"/>
      <c r="F62" s="751"/>
      <c r="G62" s="751"/>
      <c r="H62" s="751"/>
      <c r="I62" s="751"/>
      <c r="J62" s="751"/>
      <c r="K62" s="751"/>
      <c r="L62" s="751"/>
      <c r="M62" s="751"/>
      <c r="N62" s="751"/>
      <c r="O62" s="751"/>
      <c r="P62" s="751"/>
      <c r="Q62" s="751"/>
      <c r="R62" s="751"/>
      <c r="S62" s="751"/>
      <c r="T62" s="751"/>
      <c r="U62" s="751"/>
      <c r="V62" s="751"/>
      <c r="W62" s="751"/>
      <c r="X62" s="378"/>
      <c r="Y62" s="180"/>
      <c r="Z62" s="180"/>
      <c r="AA62" s="180"/>
      <c r="AB62" s="180"/>
    </row>
    <row r="63" spans="1:28">
      <c r="A63" s="631"/>
      <c r="B63" s="388"/>
      <c r="C63" s="391"/>
      <c r="D63" s="391"/>
      <c r="E63" s="391"/>
      <c r="F63" s="391"/>
      <c r="G63" s="391"/>
      <c r="H63" s="391"/>
      <c r="I63" s="749"/>
      <c r="J63" s="391"/>
      <c r="K63" s="391"/>
      <c r="L63" s="391"/>
      <c r="M63" s="391"/>
      <c r="N63" s="391"/>
      <c r="O63" s="749"/>
      <c r="P63" s="391"/>
      <c r="Q63" s="391"/>
      <c r="R63" s="391"/>
      <c r="S63" s="749"/>
      <c r="T63" s="391"/>
      <c r="U63" s="749"/>
      <c r="V63" s="391"/>
      <c r="W63" s="749"/>
      <c r="X63" s="378"/>
      <c r="Y63" s="180"/>
      <c r="Z63" s="180"/>
      <c r="AA63" s="180"/>
      <c r="AB63" s="180"/>
    </row>
    <row r="64" spans="1:28" s="203" customFormat="1">
      <c r="A64" s="631"/>
      <c r="B64" s="389"/>
      <c r="C64" s="392"/>
      <c r="D64" s="392"/>
      <c r="E64" s="392"/>
      <c r="F64" s="392"/>
      <c r="G64" s="392"/>
      <c r="H64" s="392"/>
      <c r="I64" s="750"/>
      <c r="J64" s="392"/>
      <c r="K64" s="392"/>
      <c r="L64" s="392"/>
      <c r="M64" s="392"/>
      <c r="N64" s="392"/>
      <c r="O64" s="750"/>
      <c r="P64" s="392"/>
      <c r="Q64" s="392"/>
      <c r="R64" s="392"/>
      <c r="S64" s="750"/>
      <c r="T64" s="392"/>
      <c r="U64" s="750"/>
      <c r="V64" s="392"/>
      <c r="W64" s="750"/>
      <c r="X64" s="378"/>
      <c r="Y64" s="180"/>
      <c r="Z64" s="180"/>
      <c r="AA64" s="180"/>
      <c r="AB64" s="180"/>
    </row>
    <row r="65" spans="1:28" s="202" customFormat="1">
      <c r="A65" s="631"/>
      <c r="B65" s="634"/>
      <c r="C65" s="466"/>
      <c r="D65" s="466"/>
      <c r="E65" s="466"/>
      <c r="F65" s="466"/>
      <c r="G65" s="466"/>
      <c r="H65" s="466"/>
      <c r="I65" s="751"/>
      <c r="J65" s="466"/>
      <c r="K65" s="466"/>
      <c r="L65" s="466"/>
      <c r="M65" s="466"/>
      <c r="N65" s="466"/>
      <c r="O65" s="751"/>
      <c r="P65" s="466"/>
      <c r="Q65" s="466"/>
      <c r="R65" s="466"/>
      <c r="S65" s="751"/>
      <c r="T65" s="466"/>
      <c r="U65" s="751"/>
      <c r="V65" s="466"/>
      <c r="W65" s="751"/>
      <c r="X65" s="378"/>
      <c r="Y65" s="180"/>
      <c r="Z65" s="180"/>
      <c r="AA65" s="180"/>
      <c r="AB65" s="180"/>
    </row>
    <row r="66" spans="1:28">
      <c r="A66" s="631"/>
      <c r="B66" s="388"/>
      <c r="C66" s="391"/>
      <c r="D66" s="391"/>
      <c r="E66" s="391"/>
      <c r="F66" s="391"/>
      <c r="G66" s="391"/>
      <c r="H66" s="391"/>
      <c r="I66" s="749"/>
      <c r="J66" s="391"/>
      <c r="K66" s="391"/>
      <c r="L66" s="391"/>
      <c r="M66" s="391"/>
      <c r="N66" s="391"/>
      <c r="O66" s="749"/>
      <c r="P66" s="391"/>
      <c r="Q66" s="391"/>
      <c r="R66" s="391"/>
      <c r="S66" s="749"/>
      <c r="T66" s="391"/>
      <c r="U66" s="749"/>
      <c r="V66" s="391"/>
      <c r="W66" s="749"/>
      <c r="X66" s="378"/>
      <c r="Y66" s="180"/>
      <c r="Z66" s="180"/>
      <c r="AA66" s="180"/>
      <c r="AB66" s="180"/>
    </row>
    <row r="67" spans="1:28" s="203" customFormat="1">
      <c r="A67" s="631"/>
      <c r="B67" s="389"/>
      <c r="C67" s="392"/>
      <c r="D67" s="392"/>
      <c r="E67" s="392"/>
      <c r="F67" s="392"/>
      <c r="G67" s="392"/>
      <c r="H67" s="392"/>
      <c r="I67" s="750"/>
      <c r="J67" s="392"/>
      <c r="K67" s="392"/>
      <c r="L67" s="392"/>
      <c r="M67" s="392"/>
      <c r="N67" s="392"/>
      <c r="O67" s="750"/>
      <c r="P67" s="392"/>
      <c r="Q67" s="392"/>
      <c r="R67" s="392"/>
      <c r="S67" s="750"/>
      <c r="T67" s="392"/>
      <c r="U67" s="750"/>
      <c r="V67" s="392"/>
      <c r="W67" s="750"/>
      <c r="X67" s="378"/>
      <c r="Y67" s="180"/>
      <c r="Z67" s="180"/>
      <c r="AA67" s="180"/>
      <c r="AB67" s="180"/>
    </row>
    <row r="68" spans="1:28" s="202" customFormat="1">
      <c r="A68" s="631"/>
      <c r="B68" s="634"/>
      <c r="C68" s="466"/>
      <c r="D68" s="466"/>
      <c r="E68" s="466"/>
      <c r="F68" s="466"/>
      <c r="G68" s="466"/>
      <c r="H68" s="466"/>
      <c r="I68" s="751"/>
      <c r="J68" s="466"/>
      <c r="K68" s="466"/>
      <c r="L68" s="466"/>
      <c r="M68" s="466"/>
      <c r="N68" s="466"/>
      <c r="O68" s="751"/>
      <c r="P68" s="466"/>
      <c r="Q68" s="466"/>
      <c r="R68" s="466"/>
      <c r="S68" s="751"/>
      <c r="T68" s="466"/>
      <c r="U68" s="751"/>
      <c r="V68" s="466"/>
      <c r="W68" s="751"/>
      <c r="X68" s="378"/>
      <c r="Y68" s="180"/>
      <c r="Z68" s="180"/>
      <c r="AA68" s="180"/>
      <c r="AB68" s="180"/>
    </row>
    <row r="69" spans="1:28">
      <c r="A69" s="631"/>
      <c r="B69" s="388"/>
      <c r="C69" s="391"/>
      <c r="D69" s="391"/>
      <c r="E69" s="391"/>
      <c r="F69" s="391"/>
      <c r="G69" s="391"/>
      <c r="H69" s="391"/>
      <c r="I69" s="749"/>
      <c r="J69" s="391"/>
      <c r="K69" s="391"/>
      <c r="L69" s="391"/>
      <c r="M69" s="391"/>
      <c r="N69" s="391"/>
      <c r="O69" s="749"/>
      <c r="P69" s="391"/>
      <c r="Q69" s="391"/>
      <c r="R69" s="391"/>
      <c r="S69" s="749"/>
      <c r="T69" s="391"/>
      <c r="U69" s="749"/>
      <c r="V69" s="391"/>
      <c r="W69" s="749"/>
      <c r="X69" s="378"/>
      <c r="Y69" s="180"/>
      <c r="Z69" s="180"/>
      <c r="AA69" s="180"/>
      <c r="AB69" s="180"/>
    </row>
    <row r="70" spans="1:28" s="203" customFormat="1">
      <c r="A70" s="631"/>
      <c r="B70" s="389"/>
      <c r="C70" s="392"/>
      <c r="D70" s="392"/>
      <c r="E70" s="392"/>
      <c r="F70" s="392"/>
      <c r="G70" s="392"/>
      <c r="H70" s="392"/>
      <c r="I70" s="750"/>
      <c r="J70" s="392"/>
      <c r="K70" s="392"/>
      <c r="L70" s="392"/>
      <c r="M70" s="392"/>
      <c r="N70" s="392"/>
      <c r="O70" s="750"/>
      <c r="P70" s="392"/>
      <c r="Q70" s="392"/>
      <c r="R70" s="392"/>
      <c r="S70" s="750"/>
      <c r="T70" s="392"/>
      <c r="U70" s="750"/>
      <c r="V70" s="392"/>
      <c r="W70" s="750"/>
      <c r="X70" s="378"/>
      <c r="Y70" s="180"/>
      <c r="Z70" s="180"/>
      <c r="AA70" s="180"/>
      <c r="AB70" s="180"/>
    </row>
    <row r="71" spans="1:28" s="202" customFormat="1">
      <c r="A71" s="631"/>
      <c r="B71" s="634"/>
      <c r="C71" s="466"/>
      <c r="D71" s="466"/>
      <c r="E71" s="466"/>
      <c r="F71" s="466"/>
      <c r="G71" s="466"/>
      <c r="H71" s="466"/>
      <c r="I71" s="751"/>
      <c r="J71" s="466"/>
      <c r="K71" s="466"/>
      <c r="L71" s="466"/>
      <c r="M71" s="466"/>
      <c r="N71" s="466"/>
      <c r="O71" s="751"/>
      <c r="P71" s="466"/>
      <c r="Q71" s="466"/>
      <c r="R71" s="466"/>
      <c r="S71" s="751"/>
      <c r="T71" s="466"/>
      <c r="U71" s="751"/>
      <c r="V71" s="466"/>
      <c r="W71" s="751"/>
      <c r="X71" s="378"/>
      <c r="Y71" s="180"/>
      <c r="Z71" s="180"/>
      <c r="AA71" s="180"/>
      <c r="AB71" s="180"/>
    </row>
    <row r="72" spans="1:28">
      <c r="A72" s="631"/>
      <c r="B72" s="388"/>
      <c r="C72" s="391"/>
      <c r="D72" s="391"/>
      <c r="E72" s="391"/>
      <c r="F72" s="391"/>
      <c r="G72" s="391"/>
      <c r="H72" s="391"/>
      <c r="I72" s="749"/>
      <c r="J72" s="391"/>
      <c r="K72" s="391"/>
      <c r="L72" s="391"/>
      <c r="M72" s="391"/>
      <c r="N72" s="391"/>
      <c r="O72" s="749"/>
      <c r="P72" s="391"/>
      <c r="Q72" s="391"/>
      <c r="R72" s="391"/>
      <c r="S72" s="749"/>
      <c r="T72" s="391"/>
      <c r="U72" s="749"/>
      <c r="V72" s="391"/>
      <c r="W72" s="749"/>
      <c r="X72" s="378"/>
      <c r="Y72" s="180"/>
      <c r="Z72" s="180"/>
      <c r="AA72" s="180"/>
      <c r="AB72" s="180"/>
    </row>
    <row r="73" spans="1:28" s="203" customFormat="1">
      <c r="A73" s="631"/>
      <c r="B73" s="389"/>
      <c r="C73" s="392"/>
      <c r="D73" s="392"/>
      <c r="E73" s="392"/>
      <c r="F73" s="392"/>
      <c r="G73" s="392"/>
      <c r="H73" s="392"/>
      <c r="I73" s="750"/>
      <c r="J73" s="392"/>
      <c r="K73" s="392"/>
      <c r="L73" s="392"/>
      <c r="M73" s="392"/>
      <c r="N73" s="392"/>
      <c r="O73" s="750"/>
      <c r="P73" s="392"/>
      <c r="Q73" s="392"/>
      <c r="R73" s="392"/>
      <c r="S73" s="750"/>
      <c r="T73" s="392"/>
      <c r="U73" s="750"/>
      <c r="V73" s="392"/>
      <c r="W73" s="750"/>
      <c r="X73" s="378"/>
      <c r="Y73" s="180"/>
      <c r="Z73" s="180"/>
      <c r="AA73" s="180"/>
      <c r="AB73" s="180"/>
    </row>
    <row r="74" spans="1:28" s="202" customFormat="1">
      <c r="A74" s="631"/>
      <c r="B74" s="634"/>
      <c r="C74" s="466"/>
      <c r="D74" s="466"/>
      <c r="E74" s="466"/>
      <c r="F74" s="466"/>
      <c r="G74" s="466"/>
      <c r="H74" s="466"/>
      <c r="I74" s="751"/>
      <c r="J74" s="466"/>
      <c r="K74" s="466"/>
      <c r="L74" s="466"/>
      <c r="M74" s="466"/>
      <c r="N74" s="466"/>
      <c r="O74" s="751"/>
      <c r="P74" s="466"/>
      <c r="Q74" s="466"/>
      <c r="R74" s="466"/>
      <c r="S74" s="751"/>
      <c r="T74" s="466"/>
      <c r="U74" s="751"/>
      <c r="V74" s="466"/>
      <c r="W74" s="751"/>
      <c r="X74" s="378"/>
      <c r="Y74" s="180"/>
      <c r="Z74" s="180"/>
      <c r="AA74" s="180"/>
      <c r="AB74" s="180"/>
    </row>
    <row r="75" spans="1:28">
      <c r="A75" s="631"/>
      <c r="B75" s="388"/>
      <c r="C75" s="391"/>
      <c r="D75" s="391"/>
      <c r="E75" s="391"/>
      <c r="F75" s="391"/>
      <c r="G75" s="391"/>
      <c r="H75" s="391"/>
      <c r="I75" s="749"/>
      <c r="J75" s="391"/>
      <c r="K75" s="391"/>
      <c r="L75" s="391"/>
      <c r="M75" s="391"/>
      <c r="N75" s="391"/>
      <c r="O75" s="749"/>
      <c r="P75" s="391"/>
      <c r="Q75" s="391"/>
      <c r="R75" s="391"/>
      <c r="S75" s="749"/>
      <c r="T75" s="391"/>
      <c r="U75" s="749"/>
      <c r="V75" s="391"/>
      <c r="W75" s="749"/>
      <c r="X75" s="378"/>
      <c r="Y75" s="180"/>
      <c r="Z75" s="180"/>
      <c r="AA75" s="180"/>
      <c r="AB75" s="180"/>
    </row>
    <row r="76" spans="1:28" s="203" customFormat="1">
      <c r="A76" s="631"/>
      <c r="B76" s="389"/>
      <c r="C76" s="392"/>
      <c r="D76" s="392"/>
      <c r="E76" s="392"/>
      <c r="F76" s="392"/>
      <c r="G76" s="392"/>
      <c r="H76" s="392"/>
      <c r="I76" s="750"/>
      <c r="J76" s="392"/>
      <c r="K76" s="392"/>
      <c r="L76" s="392"/>
      <c r="M76" s="392"/>
      <c r="N76" s="392"/>
      <c r="O76" s="750"/>
      <c r="P76" s="392"/>
      <c r="Q76" s="392"/>
      <c r="R76" s="392"/>
      <c r="S76" s="750"/>
      <c r="T76" s="392"/>
      <c r="U76" s="750"/>
      <c r="V76" s="392"/>
      <c r="W76" s="750"/>
      <c r="X76" s="378"/>
      <c r="Y76" s="180"/>
      <c r="Z76" s="180"/>
      <c r="AA76" s="180"/>
      <c r="AB76" s="180"/>
    </row>
    <row r="77" spans="1:28" s="202" customFormat="1">
      <c r="A77" s="631"/>
      <c r="B77" s="634"/>
      <c r="C77" s="466"/>
      <c r="D77" s="466"/>
      <c r="E77" s="466"/>
      <c r="F77" s="466"/>
      <c r="G77" s="466"/>
      <c r="H77" s="466"/>
      <c r="I77" s="751"/>
      <c r="J77" s="466"/>
      <c r="K77" s="466"/>
      <c r="L77" s="466"/>
      <c r="M77" s="466"/>
      <c r="N77" s="466"/>
      <c r="O77" s="751"/>
      <c r="P77" s="466"/>
      <c r="Q77" s="466"/>
      <c r="R77" s="466"/>
      <c r="S77" s="751"/>
      <c r="T77" s="466"/>
      <c r="U77" s="751"/>
      <c r="V77" s="466"/>
      <c r="W77" s="751"/>
      <c r="X77" s="378"/>
      <c r="Y77" s="180"/>
      <c r="Z77" s="180"/>
      <c r="AA77" s="180"/>
      <c r="AB77" s="180"/>
    </row>
    <row r="78" spans="1:28">
      <c r="A78" s="631"/>
      <c r="B78" s="388"/>
      <c r="C78" s="391"/>
      <c r="D78" s="391"/>
      <c r="E78" s="391"/>
      <c r="F78" s="391"/>
      <c r="G78" s="391"/>
      <c r="H78" s="391"/>
      <c r="I78" s="749"/>
      <c r="J78" s="391"/>
      <c r="K78" s="391"/>
      <c r="L78" s="391"/>
      <c r="M78" s="391"/>
      <c r="N78" s="391"/>
      <c r="O78" s="749"/>
      <c r="P78" s="391"/>
      <c r="Q78" s="391"/>
      <c r="R78" s="391"/>
      <c r="S78" s="749"/>
      <c r="T78" s="391"/>
      <c r="U78" s="749"/>
      <c r="V78" s="391"/>
      <c r="W78" s="749"/>
      <c r="X78" s="378"/>
      <c r="Y78" s="180"/>
      <c r="Z78" s="180"/>
      <c r="AA78" s="180"/>
      <c r="AB78" s="180"/>
    </row>
    <row r="79" spans="1:28" s="203" customFormat="1">
      <c r="A79" s="631"/>
      <c r="B79" s="389"/>
      <c r="C79" s="392"/>
      <c r="D79" s="392"/>
      <c r="E79" s="392"/>
      <c r="F79" s="392"/>
      <c r="G79" s="392"/>
      <c r="H79" s="392"/>
      <c r="I79" s="750"/>
      <c r="J79" s="392"/>
      <c r="K79" s="392"/>
      <c r="L79" s="392"/>
      <c r="M79" s="392"/>
      <c r="N79" s="392"/>
      <c r="O79" s="750"/>
      <c r="P79" s="392"/>
      <c r="Q79" s="392"/>
      <c r="R79" s="392"/>
      <c r="S79" s="750"/>
      <c r="T79" s="392"/>
      <c r="U79" s="750"/>
      <c r="V79" s="392"/>
      <c r="W79" s="750"/>
      <c r="X79" s="378"/>
      <c r="Y79" s="180"/>
      <c r="Z79" s="180"/>
      <c r="AA79" s="180"/>
      <c r="AB79" s="180"/>
    </row>
    <row r="80" spans="1:28" s="202" customFormat="1">
      <c r="A80" s="631"/>
      <c r="B80" s="634"/>
      <c r="C80" s="466"/>
      <c r="D80" s="466"/>
      <c r="E80" s="466"/>
      <c r="F80" s="466"/>
      <c r="G80" s="466"/>
      <c r="H80" s="466"/>
      <c r="I80" s="751"/>
      <c r="J80" s="466"/>
      <c r="K80" s="466"/>
      <c r="L80" s="466"/>
      <c r="M80" s="466"/>
      <c r="N80" s="466"/>
      <c r="O80" s="751"/>
      <c r="P80" s="466"/>
      <c r="Q80" s="466"/>
      <c r="R80" s="466"/>
      <c r="S80" s="751"/>
      <c r="T80" s="1461"/>
      <c r="U80" s="751"/>
      <c r="V80" s="466"/>
      <c r="W80" s="751"/>
      <c r="X80" s="378"/>
      <c r="Y80" s="180"/>
      <c r="Z80" s="180"/>
      <c r="AA80" s="180"/>
      <c r="AB80" s="180"/>
    </row>
    <row r="81" spans="1:28">
      <c r="A81" s="631"/>
      <c r="B81" s="388"/>
      <c r="C81" s="391"/>
      <c r="D81" s="391"/>
      <c r="E81" s="391"/>
      <c r="F81" s="391"/>
      <c r="G81" s="391"/>
      <c r="H81" s="391"/>
      <c r="I81" s="749"/>
      <c r="J81" s="391"/>
      <c r="K81" s="391"/>
      <c r="L81" s="391"/>
      <c r="M81" s="391"/>
      <c r="N81" s="391"/>
      <c r="O81" s="749"/>
      <c r="P81" s="391"/>
      <c r="Q81" s="391"/>
      <c r="R81" s="391"/>
      <c r="S81" s="749"/>
      <c r="T81" s="391"/>
      <c r="U81" s="749"/>
      <c r="V81" s="391"/>
      <c r="W81" s="749"/>
      <c r="X81" s="378"/>
      <c r="Y81" s="180"/>
      <c r="Z81" s="180"/>
      <c r="AA81" s="180"/>
      <c r="AB81" s="180"/>
    </row>
    <row r="82" spans="1:28" s="203" customFormat="1">
      <c r="A82" s="631"/>
      <c r="B82" s="389"/>
      <c r="C82" s="392"/>
      <c r="D82" s="392"/>
      <c r="E82" s="392"/>
      <c r="F82" s="392"/>
      <c r="G82" s="392"/>
      <c r="H82" s="392"/>
      <c r="I82" s="750"/>
      <c r="J82" s="392"/>
      <c r="K82" s="392"/>
      <c r="L82" s="392"/>
      <c r="M82" s="392"/>
      <c r="N82" s="392"/>
      <c r="O82" s="750"/>
      <c r="P82" s="392"/>
      <c r="Q82" s="392"/>
      <c r="R82" s="392"/>
      <c r="S82" s="750"/>
      <c r="T82" s="392"/>
      <c r="U82" s="750"/>
      <c r="V82" s="392"/>
      <c r="W82" s="750"/>
      <c r="X82" s="378"/>
      <c r="Y82" s="180"/>
      <c r="Z82" s="180"/>
      <c r="AA82" s="180"/>
      <c r="AB82" s="180"/>
    </row>
    <row r="83" spans="1:28" s="212" customFormat="1" ht="13.5" thickBot="1">
      <c r="A83" s="635"/>
      <c r="B83" s="761"/>
      <c r="C83" s="762"/>
      <c r="D83" s="762"/>
      <c r="E83" s="762"/>
      <c r="F83" s="762"/>
      <c r="G83" s="762"/>
      <c r="H83" s="762"/>
      <c r="I83" s="763"/>
      <c r="J83" s="762"/>
      <c r="K83" s="762"/>
      <c r="L83" s="762"/>
      <c r="M83" s="762"/>
      <c r="N83" s="762"/>
      <c r="O83" s="763"/>
      <c r="P83" s="762"/>
      <c r="Q83" s="762"/>
      <c r="R83" s="762"/>
      <c r="S83" s="763"/>
      <c r="T83" s="762"/>
      <c r="U83" s="763"/>
      <c r="V83" s="762"/>
      <c r="W83" s="763"/>
      <c r="X83" s="378"/>
      <c r="Y83" s="180"/>
      <c r="Z83" s="180"/>
      <c r="AA83" s="180"/>
      <c r="AB83" s="180"/>
    </row>
    <row r="84" spans="1:28" ht="13.5" thickTop="1">
      <c r="A84" s="230"/>
      <c r="B84" s="764"/>
      <c r="C84" s="765"/>
      <c r="D84" s="765"/>
      <c r="E84" s="765"/>
      <c r="F84" s="765"/>
      <c r="G84" s="765"/>
      <c r="H84" s="765"/>
      <c r="I84" s="766"/>
      <c r="J84" s="765"/>
      <c r="K84" s="765"/>
      <c r="L84" s="765"/>
      <c r="M84" s="765"/>
      <c r="N84" s="765"/>
      <c r="O84" s="766"/>
      <c r="P84" s="765"/>
      <c r="Q84" s="765"/>
      <c r="R84" s="765"/>
      <c r="S84" s="766"/>
      <c r="T84" s="765"/>
      <c r="U84" s="766"/>
      <c r="V84" s="765"/>
      <c r="W84" s="766"/>
      <c r="X84" s="378"/>
      <c r="Y84" s="180"/>
      <c r="Z84" s="180"/>
      <c r="AA84" s="180"/>
      <c r="AB84" s="180"/>
    </row>
    <row r="85" spans="1:28" s="203" customFormat="1">
      <c r="A85" s="631"/>
      <c r="B85" s="389"/>
      <c r="C85" s="392"/>
      <c r="D85" s="392"/>
      <c r="E85" s="392"/>
      <c r="F85" s="392"/>
      <c r="G85" s="392"/>
      <c r="H85" s="392"/>
      <c r="I85" s="750"/>
      <c r="J85" s="392"/>
      <c r="K85" s="392"/>
      <c r="L85" s="392"/>
      <c r="M85" s="392"/>
      <c r="N85" s="392"/>
      <c r="O85" s="750"/>
      <c r="P85" s="392"/>
      <c r="Q85" s="392"/>
      <c r="R85" s="392"/>
      <c r="S85" s="750"/>
      <c r="T85" s="392"/>
      <c r="U85" s="750"/>
      <c r="V85" s="392"/>
      <c r="W85" s="750"/>
      <c r="X85" s="378"/>
      <c r="Y85" s="180"/>
      <c r="Z85" s="180"/>
      <c r="AA85" s="180"/>
      <c r="AB85" s="180"/>
    </row>
    <row r="86" spans="1:28" s="202" customFormat="1">
      <c r="A86" s="632"/>
      <c r="B86" s="634"/>
      <c r="C86" s="466"/>
      <c r="D86" s="466"/>
      <c r="E86" s="466"/>
      <c r="F86" s="466"/>
      <c r="G86" s="466"/>
      <c r="H86" s="466"/>
      <c r="I86" s="751"/>
      <c r="J86" s="466"/>
      <c r="K86" s="466"/>
      <c r="L86" s="466"/>
      <c r="M86" s="466"/>
      <c r="N86" s="466"/>
      <c r="O86" s="751"/>
      <c r="P86" s="466"/>
      <c r="Q86" s="466"/>
      <c r="R86" s="466"/>
      <c r="S86" s="751"/>
      <c r="T86" s="466"/>
      <c r="U86" s="751"/>
      <c r="V86" s="466"/>
      <c r="W86" s="751"/>
      <c r="X86" s="378"/>
      <c r="Y86" s="180"/>
      <c r="Z86" s="180"/>
      <c r="AA86" s="180"/>
      <c r="AB86" s="180"/>
    </row>
    <row r="87" spans="1:28">
      <c r="A87" s="631"/>
      <c r="B87" s="388"/>
      <c r="C87" s="391"/>
      <c r="D87" s="391"/>
      <c r="E87" s="391"/>
      <c r="F87" s="391"/>
      <c r="G87" s="391"/>
      <c r="H87" s="391"/>
      <c r="I87" s="749"/>
      <c r="J87" s="391"/>
      <c r="K87" s="391"/>
      <c r="L87" s="391"/>
      <c r="M87" s="391"/>
      <c r="N87" s="391"/>
      <c r="O87" s="749"/>
      <c r="P87" s="391"/>
      <c r="Q87" s="391"/>
      <c r="R87" s="391"/>
      <c r="S87" s="749"/>
      <c r="T87" s="391"/>
      <c r="U87" s="749"/>
      <c r="V87" s="391"/>
      <c r="W87" s="749"/>
      <c r="X87" s="378"/>
      <c r="Y87" s="180"/>
      <c r="Z87" s="180"/>
      <c r="AA87" s="180"/>
      <c r="AB87" s="180"/>
    </row>
    <row r="88" spans="1:28" s="203" customFormat="1">
      <c r="A88" s="631"/>
      <c r="B88" s="389"/>
      <c r="C88" s="392"/>
      <c r="D88" s="392"/>
      <c r="E88" s="392"/>
      <c r="F88" s="392"/>
      <c r="G88" s="392"/>
      <c r="H88" s="392"/>
      <c r="I88" s="750"/>
      <c r="J88" s="392"/>
      <c r="K88" s="392"/>
      <c r="L88" s="392"/>
      <c r="M88" s="392"/>
      <c r="N88" s="392"/>
      <c r="O88" s="750"/>
      <c r="P88" s="392"/>
      <c r="Q88" s="392"/>
      <c r="R88" s="392"/>
      <c r="S88" s="750"/>
      <c r="T88" s="392"/>
      <c r="U88" s="750"/>
      <c r="V88" s="392"/>
      <c r="W88" s="750"/>
      <c r="X88" s="378"/>
      <c r="Y88" s="180"/>
      <c r="Z88" s="180"/>
      <c r="AA88" s="180"/>
      <c r="AB88" s="180"/>
    </row>
    <row r="89" spans="1:28" s="202" customFormat="1">
      <c r="A89" s="631"/>
      <c r="B89" s="634"/>
      <c r="C89" s="466"/>
      <c r="D89" s="466"/>
      <c r="E89" s="466"/>
      <c r="F89" s="466"/>
      <c r="G89" s="466"/>
      <c r="H89" s="466"/>
      <c r="I89" s="751"/>
      <c r="J89" s="466"/>
      <c r="K89" s="466"/>
      <c r="L89" s="466"/>
      <c r="M89" s="466"/>
      <c r="N89" s="466"/>
      <c r="O89" s="751"/>
      <c r="P89" s="466"/>
      <c r="Q89" s="466"/>
      <c r="R89" s="466"/>
      <c r="S89" s="751"/>
      <c r="T89" s="466"/>
      <c r="U89" s="751"/>
      <c r="V89" s="466"/>
      <c r="W89" s="751"/>
      <c r="X89" s="378"/>
      <c r="Y89" s="180"/>
      <c r="Z89" s="180"/>
      <c r="AA89" s="180"/>
      <c r="AB89" s="180"/>
    </row>
    <row r="90" spans="1:28">
      <c r="A90" s="631"/>
      <c r="B90" s="388"/>
      <c r="C90" s="391"/>
      <c r="D90" s="391"/>
      <c r="E90" s="391"/>
      <c r="F90" s="391"/>
      <c r="G90" s="391"/>
      <c r="H90" s="391"/>
      <c r="I90" s="749"/>
      <c r="J90" s="391"/>
      <c r="K90" s="391"/>
      <c r="L90" s="391"/>
      <c r="M90" s="391"/>
      <c r="N90" s="391"/>
      <c r="O90" s="749"/>
      <c r="P90" s="391"/>
      <c r="Q90" s="391"/>
      <c r="R90" s="391"/>
      <c r="S90" s="749"/>
      <c r="T90" s="391"/>
      <c r="U90" s="749"/>
      <c r="V90" s="391"/>
      <c r="W90" s="749"/>
      <c r="X90" s="378"/>
      <c r="Y90" s="180"/>
      <c r="Z90" s="180"/>
      <c r="AA90" s="180"/>
      <c r="AB90" s="180"/>
    </row>
    <row r="91" spans="1:28" s="203" customFormat="1">
      <c r="A91" s="631"/>
      <c r="B91" s="389"/>
      <c r="C91" s="392"/>
      <c r="D91" s="392"/>
      <c r="E91" s="392"/>
      <c r="F91" s="392"/>
      <c r="G91" s="392"/>
      <c r="H91" s="392"/>
      <c r="I91" s="750"/>
      <c r="J91" s="392"/>
      <c r="K91" s="392"/>
      <c r="L91" s="392"/>
      <c r="M91" s="392"/>
      <c r="N91" s="392"/>
      <c r="O91" s="750"/>
      <c r="P91" s="392"/>
      <c r="Q91" s="392"/>
      <c r="R91" s="392"/>
      <c r="S91" s="750"/>
      <c r="T91" s="392"/>
      <c r="U91" s="750"/>
      <c r="V91" s="392"/>
      <c r="W91" s="750"/>
      <c r="X91" s="378"/>
      <c r="Y91" s="180"/>
      <c r="Z91" s="180"/>
      <c r="AA91" s="180"/>
      <c r="AB91" s="180"/>
    </row>
    <row r="92" spans="1:28" s="202" customFormat="1">
      <c r="A92" s="631"/>
      <c r="B92" s="634"/>
      <c r="C92" s="466"/>
      <c r="D92" s="466"/>
      <c r="E92" s="466"/>
      <c r="F92" s="466"/>
      <c r="G92" s="466"/>
      <c r="H92" s="466"/>
      <c r="I92" s="751"/>
      <c r="J92" s="466"/>
      <c r="K92" s="466"/>
      <c r="L92" s="466"/>
      <c r="M92" s="466"/>
      <c r="N92" s="466"/>
      <c r="O92" s="751"/>
      <c r="P92" s="466"/>
      <c r="Q92" s="466"/>
      <c r="R92" s="466"/>
      <c r="S92" s="751"/>
      <c r="T92" s="466"/>
      <c r="U92" s="751"/>
      <c r="V92" s="466"/>
      <c r="W92" s="751"/>
      <c r="X92" s="378"/>
      <c r="Y92" s="180"/>
      <c r="Z92" s="180"/>
      <c r="AA92" s="180"/>
      <c r="AB92" s="180"/>
    </row>
    <row r="93" spans="1:28">
      <c r="A93" s="631"/>
      <c r="B93" s="388"/>
      <c r="C93" s="391"/>
      <c r="D93" s="391"/>
      <c r="E93" s="391"/>
      <c r="F93" s="391"/>
      <c r="G93" s="391"/>
      <c r="H93" s="391"/>
      <c r="I93" s="749"/>
      <c r="J93" s="391"/>
      <c r="K93" s="391"/>
      <c r="L93" s="391"/>
      <c r="M93" s="391"/>
      <c r="N93" s="391"/>
      <c r="O93" s="749"/>
      <c r="P93" s="391"/>
      <c r="Q93" s="391"/>
      <c r="R93" s="391"/>
      <c r="S93" s="749"/>
      <c r="T93" s="391"/>
      <c r="U93" s="749"/>
      <c r="V93" s="391"/>
      <c r="W93" s="749"/>
      <c r="X93" s="378"/>
      <c r="Y93" s="180"/>
      <c r="Z93" s="180"/>
      <c r="AA93" s="180"/>
      <c r="AB93" s="180"/>
    </row>
    <row r="94" spans="1:28" s="203" customFormat="1">
      <c r="A94" s="631"/>
      <c r="B94" s="389"/>
      <c r="C94" s="392"/>
      <c r="D94" s="392"/>
      <c r="E94" s="392"/>
      <c r="F94" s="392"/>
      <c r="G94" s="392"/>
      <c r="H94" s="392"/>
      <c r="I94" s="750"/>
      <c r="J94" s="392"/>
      <c r="K94" s="392"/>
      <c r="L94" s="392"/>
      <c r="M94" s="392"/>
      <c r="N94" s="392"/>
      <c r="O94" s="750"/>
      <c r="P94" s="392"/>
      <c r="Q94" s="392"/>
      <c r="R94" s="392"/>
      <c r="S94" s="750"/>
      <c r="T94" s="392"/>
      <c r="U94" s="750"/>
      <c r="V94" s="392"/>
      <c r="W94" s="750"/>
      <c r="X94" s="378"/>
      <c r="Y94" s="180"/>
      <c r="Z94" s="180"/>
      <c r="AA94" s="180"/>
      <c r="AB94" s="180"/>
    </row>
    <row r="95" spans="1:28" s="202" customFormat="1">
      <c r="A95" s="631"/>
      <c r="B95" s="634"/>
      <c r="C95" s="466"/>
      <c r="D95" s="466"/>
      <c r="E95" s="466"/>
      <c r="F95" s="466"/>
      <c r="G95" s="466"/>
      <c r="H95" s="466"/>
      <c r="I95" s="751"/>
      <c r="J95" s="466"/>
      <c r="K95" s="466"/>
      <c r="L95" s="466"/>
      <c r="M95" s="466"/>
      <c r="N95" s="466"/>
      <c r="O95" s="751"/>
      <c r="P95" s="466"/>
      <c r="Q95" s="466"/>
      <c r="R95" s="466"/>
      <c r="S95" s="751"/>
      <c r="T95" s="466"/>
      <c r="U95" s="751"/>
      <c r="V95" s="466"/>
      <c r="W95" s="751"/>
      <c r="X95" s="378"/>
      <c r="Y95" s="180"/>
      <c r="Z95" s="180"/>
      <c r="AA95" s="180"/>
      <c r="AB95" s="180"/>
    </row>
    <row r="96" spans="1:28">
      <c r="A96" s="631"/>
      <c r="B96" s="388"/>
      <c r="C96" s="391"/>
      <c r="D96" s="391"/>
      <c r="E96" s="391"/>
      <c r="F96" s="391"/>
      <c r="G96" s="391"/>
      <c r="H96" s="391"/>
      <c r="I96" s="749"/>
      <c r="J96" s="391"/>
      <c r="K96" s="391"/>
      <c r="L96" s="391"/>
      <c r="M96" s="391"/>
      <c r="N96" s="391"/>
      <c r="O96" s="749"/>
      <c r="P96" s="391"/>
      <c r="Q96" s="391"/>
      <c r="R96" s="391"/>
      <c r="S96" s="749"/>
      <c r="T96" s="391"/>
      <c r="U96" s="749"/>
      <c r="V96" s="391"/>
      <c r="W96" s="749"/>
      <c r="X96" s="378"/>
      <c r="Y96" s="180"/>
      <c r="Z96" s="180"/>
      <c r="AA96" s="180"/>
      <c r="AB96" s="180"/>
    </row>
    <row r="97" spans="1:28" s="203" customFormat="1">
      <c r="A97" s="631"/>
      <c r="B97" s="389"/>
      <c r="C97" s="392"/>
      <c r="D97" s="392"/>
      <c r="E97" s="392"/>
      <c r="F97" s="392"/>
      <c r="G97" s="392"/>
      <c r="H97" s="392"/>
      <c r="I97" s="750"/>
      <c r="J97" s="392"/>
      <c r="K97" s="392"/>
      <c r="L97" s="392"/>
      <c r="M97" s="392"/>
      <c r="N97" s="392"/>
      <c r="O97" s="750"/>
      <c r="P97" s="392"/>
      <c r="Q97" s="392"/>
      <c r="R97" s="392"/>
      <c r="S97" s="750"/>
      <c r="T97" s="392"/>
      <c r="U97" s="750"/>
      <c r="V97" s="392"/>
      <c r="W97" s="750"/>
      <c r="X97" s="378"/>
      <c r="Y97" s="180"/>
      <c r="Z97" s="180"/>
      <c r="AA97" s="180"/>
      <c r="AB97" s="180"/>
    </row>
    <row r="98" spans="1:28" s="202" customFormat="1">
      <c r="A98" s="631"/>
      <c r="B98" s="634"/>
      <c r="C98" s="466"/>
      <c r="D98" s="466"/>
      <c r="E98" s="466"/>
      <c r="F98" s="466"/>
      <c r="G98" s="466"/>
      <c r="H98" s="466"/>
      <c r="I98" s="751"/>
      <c r="J98" s="466"/>
      <c r="K98" s="466"/>
      <c r="L98" s="466"/>
      <c r="M98" s="466"/>
      <c r="N98" s="466"/>
      <c r="O98" s="751"/>
      <c r="P98" s="466"/>
      <c r="Q98" s="466"/>
      <c r="R98" s="466"/>
      <c r="S98" s="751"/>
      <c r="T98" s="466"/>
      <c r="U98" s="751"/>
      <c r="V98" s="466"/>
      <c r="W98" s="751"/>
      <c r="X98" s="378"/>
      <c r="Y98" s="180"/>
      <c r="Z98" s="180"/>
      <c r="AA98" s="180"/>
      <c r="AB98" s="180"/>
    </row>
    <row r="99" spans="1:28">
      <c r="A99" s="631"/>
      <c r="B99" s="752"/>
      <c r="C99" s="749"/>
      <c r="D99" s="749"/>
      <c r="E99" s="749"/>
      <c r="F99" s="749"/>
      <c r="G99" s="749"/>
      <c r="H99" s="749"/>
      <c r="I99" s="749"/>
      <c r="J99" s="749"/>
      <c r="K99" s="749"/>
      <c r="L99" s="749"/>
      <c r="M99" s="749"/>
      <c r="N99" s="749"/>
      <c r="O99" s="749"/>
      <c r="P99" s="749"/>
      <c r="Q99" s="749"/>
      <c r="R99" s="749"/>
      <c r="S99" s="749"/>
      <c r="T99" s="749"/>
      <c r="U99" s="749"/>
      <c r="V99" s="749"/>
      <c r="W99" s="749"/>
      <c r="X99" s="378"/>
      <c r="Y99" s="180"/>
      <c r="Z99" s="180"/>
      <c r="AA99" s="180"/>
      <c r="AB99" s="180"/>
    </row>
    <row r="100" spans="1:28" s="203" customFormat="1">
      <c r="A100" s="631"/>
      <c r="B100" s="753"/>
      <c r="C100" s="750"/>
      <c r="D100" s="750"/>
      <c r="E100" s="750"/>
      <c r="F100" s="750"/>
      <c r="G100" s="750"/>
      <c r="H100" s="750"/>
      <c r="I100" s="750"/>
      <c r="J100" s="750"/>
      <c r="K100" s="750"/>
      <c r="L100" s="750"/>
      <c r="M100" s="750"/>
      <c r="N100" s="750"/>
      <c r="O100" s="750"/>
      <c r="P100" s="750"/>
      <c r="Q100" s="750"/>
      <c r="R100" s="750"/>
      <c r="S100" s="750"/>
      <c r="T100" s="750"/>
      <c r="U100" s="750"/>
      <c r="V100" s="750"/>
      <c r="W100" s="750"/>
      <c r="X100" s="378"/>
      <c r="Y100" s="180"/>
      <c r="Z100" s="180"/>
      <c r="AA100" s="180"/>
      <c r="AB100" s="180"/>
    </row>
    <row r="101" spans="1:28" s="202" customFormat="1">
      <c r="A101" s="631"/>
      <c r="B101" s="754"/>
      <c r="C101" s="751"/>
      <c r="D101" s="751"/>
      <c r="E101" s="751"/>
      <c r="F101" s="751"/>
      <c r="G101" s="751"/>
      <c r="H101" s="751"/>
      <c r="I101" s="751"/>
      <c r="J101" s="751"/>
      <c r="K101" s="751"/>
      <c r="L101" s="751"/>
      <c r="M101" s="751"/>
      <c r="N101" s="751"/>
      <c r="O101" s="751"/>
      <c r="P101" s="751"/>
      <c r="Q101" s="751"/>
      <c r="R101" s="751"/>
      <c r="S101" s="751"/>
      <c r="T101" s="751"/>
      <c r="U101" s="751"/>
      <c r="V101" s="751"/>
      <c r="W101" s="751"/>
      <c r="X101" s="378"/>
      <c r="Y101" s="180"/>
      <c r="Z101" s="180"/>
      <c r="AA101" s="180"/>
      <c r="AB101" s="180"/>
    </row>
    <row r="102" spans="1:28">
      <c r="A102" s="631"/>
      <c r="B102" s="388"/>
      <c r="C102" s="391"/>
      <c r="D102" s="391"/>
      <c r="E102" s="391"/>
      <c r="F102" s="391"/>
      <c r="G102" s="391"/>
      <c r="H102" s="391"/>
      <c r="I102" s="749"/>
      <c r="J102" s="391"/>
      <c r="K102" s="391"/>
      <c r="L102" s="391"/>
      <c r="M102" s="391"/>
      <c r="N102" s="391"/>
      <c r="O102" s="749"/>
      <c r="P102" s="391"/>
      <c r="Q102" s="391"/>
      <c r="R102" s="391"/>
      <c r="S102" s="749"/>
      <c r="T102" s="391"/>
      <c r="U102" s="749"/>
      <c r="V102" s="391"/>
      <c r="W102" s="749"/>
      <c r="X102" s="378"/>
      <c r="Y102" s="180"/>
      <c r="Z102" s="180"/>
      <c r="AA102" s="180"/>
      <c r="AB102" s="180"/>
    </row>
    <row r="103" spans="1:28" s="203" customFormat="1">
      <c r="A103" s="631"/>
      <c r="B103" s="389"/>
      <c r="C103" s="392"/>
      <c r="D103" s="392"/>
      <c r="E103" s="392"/>
      <c r="F103" s="392"/>
      <c r="G103" s="392"/>
      <c r="H103" s="392"/>
      <c r="I103" s="750"/>
      <c r="J103" s="392"/>
      <c r="K103" s="392"/>
      <c r="L103" s="392"/>
      <c r="M103" s="392"/>
      <c r="N103" s="392"/>
      <c r="O103" s="750"/>
      <c r="P103" s="392"/>
      <c r="Q103" s="392"/>
      <c r="R103" s="392"/>
      <c r="S103" s="750"/>
      <c r="T103" s="392"/>
      <c r="U103" s="750"/>
      <c r="V103" s="392"/>
      <c r="W103" s="750"/>
      <c r="X103" s="378"/>
      <c r="Y103" s="180"/>
      <c r="Z103" s="180"/>
      <c r="AA103" s="180"/>
      <c r="AB103" s="180"/>
    </row>
    <row r="104" spans="1:28" s="202" customFormat="1">
      <c r="A104" s="631"/>
      <c r="B104" s="634"/>
      <c r="C104" s="466"/>
      <c r="D104" s="466"/>
      <c r="E104" s="466"/>
      <c r="F104" s="466"/>
      <c r="G104" s="466"/>
      <c r="H104" s="466"/>
      <c r="I104" s="751"/>
      <c r="J104" s="466"/>
      <c r="K104" s="466"/>
      <c r="L104" s="466"/>
      <c r="M104" s="466"/>
      <c r="N104" s="466"/>
      <c r="O104" s="751"/>
      <c r="P104" s="466"/>
      <c r="Q104" s="466"/>
      <c r="R104" s="466"/>
      <c r="S104" s="751"/>
      <c r="T104" s="466"/>
      <c r="U104" s="751"/>
      <c r="V104" s="466"/>
      <c r="W104" s="751"/>
      <c r="X104" s="378"/>
      <c r="Y104" s="180"/>
      <c r="Z104" s="180"/>
      <c r="AA104" s="180"/>
      <c r="AB104" s="180"/>
    </row>
    <row r="105" spans="1:28">
      <c r="A105" s="631"/>
      <c r="B105" s="388"/>
      <c r="C105" s="391"/>
      <c r="D105" s="391"/>
      <c r="E105" s="391"/>
      <c r="F105" s="391"/>
      <c r="G105" s="391"/>
      <c r="H105" s="391"/>
      <c r="I105" s="749"/>
      <c r="J105" s="391"/>
      <c r="K105" s="391"/>
      <c r="L105" s="391"/>
      <c r="M105" s="391"/>
      <c r="N105" s="391"/>
      <c r="O105" s="749"/>
      <c r="P105" s="391"/>
      <c r="Q105" s="391"/>
      <c r="R105" s="391"/>
      <c r="S105" s="749"/>
      <c r="T105" s="391"/>
      <c r="U105" s="749"/>
      <c r="V105" s="391"/>
      <c r="W105" s="749"/>
      <c r="X105" s="378"/>
      <c r="Y105" s="180"/>
      <c r="Z105" s="180"/>
      <c r="AA105" s="180"/>
      <c r="AB105" s="180"/>
    </row>
    <row r="106" spans="1:28" s="203" customFormat="1">
      <c r="A106" s="631"/>
      <c r="B106" s="389"/>
      <c r="C106" s="392"/>
      <c r="D106" s="392"/>
      <c r="E106" s="392"/>
      <c r="F106" s="392"/>
      <c r="G106" s="392"/>
      <c r="H106" s="392"/>
      <c r="I106" s="750"/>
      <c r="J106" s="392"/>
      <c r="K106" s="392"/>
      <c r="L106" s="392"/>
      <c r="M106" s="392"/>
      <c r="N106" s="392"/>
      <c r="O106" s="750"/>
      <c r="P106" s="392"/>
      <c r="Q106" s="392"/>
      <c r="R106" s="392"/>
      <c r="S106" s="750"/>
      <c r="T106" s="392"/>
      <c r="U106" s="750"/>
      <c r="V106" s="392"/>
      <c r="W106" s="750"/>
      <c r="X106" s="378"/>
      <c r="Y106" s="180"/>
      <c r="Z106" s="180"/>
      <c r="AA106" s="180"/>
      <c r="AB106" s="180"/>
    </row>
    <row r="107" spans="1:28" s="202" customFormat="1">
      <c r="A107" s="631"/>
      <c r="B107" s="634"/>
      <c r="C107" s="466"/>
      <c r="D107" s="466"/>
      <c r="E107" s="466"/>
      <c r="F107" s="466"/>
      <c r="G107" s="466"/>
      <c r="H107" s="466"/>
      <c r="I107" s="751"/>
      <c r="J107" s="466"/>
      <c r="K107" s="466"/>
      <c r="L107" s="466"/>
      <c r="M107" s="466"/>
      <c r="N107" s="466"/>
      <c r="O107" s="751"/>
      <c r="P107" s="466"/>
      <c r="Q107" s="466"/>
      <c r="R107" s="466"/>
      <c r="S107" s="751"/>
      <c r="T107" s="466"/>
      <c r="U107" s="751"/>
      <c r="V107" s="466"/>
      <c r="W107" s="751"/>
      <c r="X107" s="378"/>
      <c r="Y107" s="180"/>
      <c r="Z107" s="180"/>
      <c r="AA107" s="180"/>
      <c r="AB107" s="180"/>
    </row>
    <row r="108" spans="1:28">
      <c r="A108" s="631"/>
      <c r="B108" s="388"/>
      <c r="C108" s="391"/>
      <c r="D108" s="391"/>
      <c r="E108" s="391"/>
      <c r="F108" s="391"/>
      <c r="G108" s="391"/>
      <c r="H108" s="391"/>
      <c r="I108" s="749"/>
      <c r="J108" s="391"/>
      <c r="K108" s="391"/>
      <c r="L108" s="391"/>
      <c r="M108" s="391"/>
      <c r="N108" s="391"/>
      <c r="O108" s="749"/>
      <c r="P108" s="391"/>
      <c r="Q108" s="391"/>
      <c r="R108" s="391"/>
      <c r="S108" s="749"/>
      <c r="T108" s="391"/>
      <c r="U108" s="749"/>
      <c r="V108" s="391"/>
      <c r="W108" s="749"/>
      <c r="X108" s="378"/>
      <c r="Y108" s="180"/>
      <c r="Z108" s="180"/>
      <c r="AA108" s="180"/>
      <c r="AB108" s="180"/>
    </row>
    <row r="109" spans="1:28" s="203" customFormat="1">
      <c r="A109" s="631"/>
      <c r="B109" s="389"/>
      <c r="C109" s="392"/>
      <c r="D109" s="392"/>
      <c r="E109" s="392"/>
      <c r="F109" s="392"/>
      <c r="G109" s="392"/>
      <c r="H109" s="392"/>
      <c r="I109" s="750"/>
      <c r="J109" s="392"/>
      <c r="K109" s="392"/>
      <c r="L109" s="392"/>
      <c r="M109" s="392"/>
      <c r="N109" s="392"/>
      <c r="O109" s="750"/>
      <c r="P109" s="392"/>
      <c r="Q109" s="392"/>
      <c r="R109" s="392"/>
      <c r="S109" s="750"/>
      <c r="T109" s="392"/>
      <c r="U109" s="750"/>
      <c r="V109" s="392"/>
      <c r="W109" s="750"/>
      <c r="X109" s="378"/>
      <c r="Y109" s="180"/>
      <c r="Z109" s="180"/>
      <c r="AA109" s="180"/>
      <c r="AB109" s="180"/>
    </row>
    <row r="110" spans="1:28" s="202" customFormat="1">
      <c r="A110" s="631"/>
      <c r="B110" s="634"/>
      <c r="C110" s="466"/>
      <c r="D110" s="466"/>
      <c r="E110" s="466"/>
      <c r="F110" s="466"/>
      <c r="G110" s="466"/>
      <c r="H110" s="466"/>
      <c r="I110" s="751"/>
      <c r="J110" s="466"/>
      <c r="K110" s="466"/>
      <c r="L110" s="466"/>
      <c r="M110" s="466"/>
      <c r="N110" s="466"/>
      <c r="O110" s="751"/>
      <c r="P110" s="466"/>
      <c r="Q110" s="466"/>
      <c r="R110" s="466"/>
      <c r="S110" s="751"/>
      <c r="T110" s="466"/>
      <c r="U110" s="751"/>
      <c r="V110" s="466"/>
      <c r="W110" s="751"/>
      <c r="X110" s="378"/>
      <c r="Y110" s="180"/>
      <c r="Z110" s="180"/>
      <c r="AA110" s="180"/>
      <c r="AB110" s="180"/>
    </row>
    <row r="111" spans="1:28">
      <c r="A111" s="631"/>
      <c r="B111" s="388"/>
      <c r="C111" s="391"/>
      <c r="D111" s="391"/>
      <c r="E111" s="391"/>
      <c r="F111" s="391"/>
      <c r="G111" s="391"/>
      <c r="H111" s="391"/>
      <c r="I111" s="749"/>
      <c r="J111" s="391"/>
      <c r="K111" s="391"/>
      <c r="L111" s="391"/>
      <c r="M111" s="391"/>
      <c r="N111" s="391"/>
      <c r="O111" s="749"/>
      <c r="P111" s="391"/>
      <c r="Q111" s="391"/>
      <c r="R111" s="391"/>
      <c r="S111" s="749"/>
      <c r="T111" s="391"/>
      <c r="U111" s="749"/>
      <c r="V111" s="391"/>
      <c r="W111" s="749"/>
      <c r="X111" s="378"/>
      <c r="Y111" s="180"/>
      <c r="Z111" s="180"/>
      <c r="AA111" s="180"/>
      <c r="AB111" s="180"/>
    </row>
    <row r="112" spans="1:28" s="203" customFormat="1">
      <c r="A112" s="631"/>
      <c r="B112" s="389"/>
      <c r="C112" s="392"/>
      <c r="D112" s="392"/>
      <c r="E112" s="392"/>
      <c r="F112" s="392"/>
      <c r="G112" s="392"/>
      <c r="H112" s="392"/>
      <c r="I112" s="750"/>
      <c r="J112" s="392"/>
      <c r="K112" s="392"/>
      <c r="L112" s="392"/>
      <c r="M112" s="392"/>
      <c r="N112" s="392"/>
      <c r="O112" s="750"/>
      <c r="P112" s="392"/>
      <c r="Q112" s="392"/>
      <c r="R112" s="392"/>
      <c r="S112" s="750"/>
      <c r="T112" s="392"/>
      <c r="U112" s="750"/>
      <c r="V112" s="392"/>
      <c r="W112" s="750"/>
      <c r="X112" s="378"/>
      <c r="Y112" s="180"/>
      <c r="Z112" s="180"/>
      <c r="AA112" s="180"/>
      <c r="AB112" s="180"/>
    </row>
    <row r="113" spans="1:28" s="202" customFormat="1">
      <c r="A113" s="631"/>
      <c r="B113" s="634"/>
      <c r="C113" s="466"/>
      <c r="D113" s="466"/>
      <c r="E113" s="466"/>
      <c r="F113" s="466"/>
      <c r="G113" s="466"/>
      <c r="H113" s="466"/>
      <c r="I113" s="751"/>
      <c r="J113" s="466"/>
      <c r="K113" s="466"/>
      <c r="L113" s="466"/>
      <c r="M113" s="466"/>
      <c r="N113" s="466"/>
      <c r="O113" s="751"/>
      <c r="P113" s="466"/>
      <c r="Q113" s="466"/>
      <c r="R113" s="466"/>
      <c r="S113" s="751"/>
      <c r="T113" s="466"/>
      <c r="U113" s="751"/>
      <c r="V113" s="466"/>
      <c r="W113" s="751"/>
      <c r="X113" s="378"/>
      <c r="Y113" s="180"/>
      <c r="Z113" s="180"/>
      <c r="AA113" s="180"/>
      <c r="AB113" s="180"/>
    </row>
    <row r="114" spans="1:28">
      <c r="A114" s="631"/>
      <c r="B114" s="388"/>
      <c r="C114" s="391"/>
      <c r="D114" s="391"/>
      <c r="E114" s="391"/>
      <c r="F114" s="391"/>
      <c r="G114" s="391"/>
      <c r="H114" s="391"/>
      <c r="I114" s="749"/>
      <c r="J114" s="391"/>
      <c r="K114" s="391"/>
      <c r="L114" s="391"/>
      <c r="M114" s="391"/>
      <c r="N114" s="391"/>
      <c r="O114" s="749"/>
      <c r="P114" s="391"/>
      <c r="Q114" s="391"/>
      <c r="R114" s="391"/>
      <c r="S114" s="749"/>
      <c r="T114" s="391"/>
      <c r="U114" s="749"/>
      <c r="V114" s="391"/>
      <c r="W114" s="749"/>
      <c r="X114" s="378"/>
      <c r="Y114" s="180"/>
      <c r="Z114" s="180"/>
      <c r="AA114" s="180"/>
      <c r="AB114" s="180"/>
    </row>
    <row r="115" spans="1:28" s="203" customFormat="1">
      <c r="A115" s="631"/>
      <c r="B115" s="389"/>
      <c r="C115" s="392"/>
      <c r="D115" s="392"/>
      <c r="E115" s="392"/>
      <c r="F115" s="392"/>
      <c r="G115" s="392"/>
      <c r="H115" s="392"/>
      <c r="I115" s="750"/>
      <c r="J115" s="392"/>
      <c r="K115" s="392"/>
      <c r="L115" s="392"/>
      <c r="M115" s="392"/>
      <c r="N115" s="392"/>
      <c r="O115" s="750"/>
      <c r="P115" s="392"/>
      <c r="Q115" s="392"/>
      <c r="R115" s="392"/>
      <c r="S115" s="750"/>
      <c r="T115" s="392"/>
      <c r="U115" s="750"/>
      <c r="V115" s="392"/>
      <c r="W115" s="750"/>
      <c r="X115" s="378"/>
      <c r="Y115" s="180"/>
      <c r="Z115" s="180"/>
      <c r="AA115" s="180"/>
      <c r="AB115" s="180"/>
    </row>
    <row r="116" spans="1:28" s="202" customFormat="1">
      <c r="A116" s="631"/>
      <c r="B116" s="634"/>
      <c r="C116" s="466"/>
      <c r="D116" s="466"/>
      <c r="E116" s="466"/>
      <c r="F116" s="466"/>
      <c r="G116" s="466"/>
      <c r="H116" s="466"/>
      <c r="I116" s="751"/>
      <c r="J116" s="466"/>
      <c r="K116" s="466"/>
      <c r="L116" s="466"/>
      <c r="M116" s="466"/>
      <c r="N116" s="466"/>
      <c r="O116" s="751"/>
      <c r="P116" s="466"/>
      <c r="Q116" s="466"/>
      <c r="R116" s="466"/>
      <c r="S116" s="751"/>
      <c r="T116" s="466"/>
      <c r="U116" s="751"/>
      <c r="V116" s="466"/>
      <c r="W116" s="751"/>
      <c r="X116" s="378"/>
      <c r="Y116" s="180"/>
      <c r="Z116" s="180"/>
      <c r="AA116" s="180"/>
      <c r="AB116" s="180"/>
    </row>
    <row r="117" spans="1:28">
      <c r="A117" s="631"/>
      <c r="B117" s="388"/>
      <c r="C117" s="391"/>
      <c r="D117" s="391"/>
      <c r="E117" s="391"/>
      <c r="F117" s="391"/>
      <c r="G117" s="391"/>
      <c r="H117" s="391"/>
      <c r="I117" s="749"/>
      <c r="J117" s="391"/>
      <c r="K117" s="391"/>
      <c r="L117" s="391"/>
      <c r="M117" s="391"/>
      <c r="N117" s="391"/>
      <c r="O117" s="749"/>
      <c r="P117" s="391"/>
      <c r="Q117" s="391"/>
      <c r="R117" s="391"/>
      <c r="S117" s="749"/>
      <c r="T117" s="391"/>
      <c r="U117" s="749"/>
      <c r="V117" s="391"/>
      <c r="W117" s="749"/>
      <c r="X117" s="378"/>
      <c r="Y117" s="180"/>
      <c r="Z117" s="180"/>
      <c r="AA117" s="180"/>
      <c r="AB117" s="180"/>
    </row>
    <row r="118" spans="1:28" s="203" customFormat="1">
      <c r="A118" s="631"/>
      <c r="B118" s="389"/>
      <c r="C118" s="392"/>
      <c r="D118" s="392"/>
      <c r="E118" s="392"/>
      <c r="F118" s="392"/>
      <c r="G118" s="392"/>
      <c r="H118" s="392"/>
      <c r="I118" s="750"/>
      <c r="J118" s="392"/>
      <c r="K118" s="392"/>
      <c r="L118" s="392"/>
      <c r="M118" s="392"/>
      <c r="N118" s="392"/>
      <c r="O118" s="750"/>
      <c r="P118" s="392"/>
      <c r="Q118" s="392"/>
      <c r="R118" s="392"/>
      <c r="S118" s="750"/>
      <c r="T118" s="392"/>
      <c r="U118" s="750"/>
      <c r="V118" s="392"/>
      <c r="W118" s="750"/>
      <c r="X118" s="378"/>
      <c r="Y118" s="180"/>
      <c r="Z118" s="180"/>
      <c r="AA118" s="180"/>
      <c r="AB118" s="180"/>
    </row>
    <row r="119" spans="1:28" s="202" customFormat="1">
      <c r="A119" s="631"/>
      <c r="B119" s="634"/>
      <c r="C119" s="466"/>
      <c r="D119" s="466"/>
      <c r="E119" s="466"/>
      <c r="F119" s="466"/>
      <c r="G119" s="466"/>
      <c r="H119" s="466"/>
      <c r="I119" s="751"/>
      <c r="J119" s="466"/>
      <c r="K119" s="466"/>
      <c r="L119" s="466"/>
      <c r="M119" s="466"/>
      <c r="N119" s="466"/>
      <c r="O119" s="751"/>
      <c r="P119" s="466"/>
      <c r="Q119" s="466"/>
      <c r="R119" s="466"/>
      <c r="S119" s="751"/>
      <c r="T119" s="466"/>
      <c r="U119" s="751"/>
      <c r="V119" s="466"/>
      <c r="W119" s="751"/>
      <c r="X119" s="378"/>
      <c r="Y119" s="180"/>
      <c r="Z119" s="180"/>
      <c r="AA119" s="180"/>
      <c r="AB119" s="180"/>
    </row>
    <row r="120" spans="1:28">
      <c r="A120" s="631"/>
      <c r="B120" s="388"/>
      <c r="C120" s="391"/>
      <c r="D120" s="391"/>
      <c r="E120" s="391"/>
      <c r="F120" s="391"/>
      <c r="G120" s="391"/>
      <c r="H120" s="391"/>
      <c r="I120" s="749"/>
      <c r="J120" s="391"/>
      <c r="K120" s="391"/>
      <c r="L120" s="391"/>
      <c r="M120" s="391"/>
      <c r="N120" s="391"/>
      <c r="O120" s="749"/>
      <c r="P120" s="391"/>
      <c r="Q120" s="391"/>
      <c r="R120" s="391"/>
      <c r="S120" s="749"/>
      <c r="T120" s="391"/>
      <c r="U120" s="749"/>
      <c r="V120" s="391"/>
      <c r="W120" s="749"/>
      <c r="X120" s="378"/>
      <c r="Y120" s="180"/>
      <c r="Z120" s="180"/>
      <c r="AA120" s="180"/>
      <c r="AB120" s="180"/>
    </row>
    <row r="121" spans="1:28" s="203" customFormat="1">
      <c r="A121" s="631"/>
      <c r="B121" s="389"/>
      <c r="C121" s="392"/>
      <c r="D121" s="392"/>
      <c r="E121" s="392"/>
      <c r="F121" s="392"/>
      <c r="G121" s="392"/>
      <c r="H121" s="392"/>
      <c r="I121" s="750"/>
      <c r="J121" s="392"/>
      <c r="K121" s="392"/>
      <c r="L121" s="392"/>
      <c r="M121" s="392"/>
      <c r="N121" s="392"/>
      <c r="O121" s="750"/>
      <c r="P121" s="392"/>
      <c r="Q121" s="392"/>
      <c r="R121" s="392"/>
      <c r="S121" s="750"/>
      <c r="T121" s="392"/>
      <c r="U121" s="750"/>
      <c r="V121" s="392"/>
      <c r="W121" s="750"/>
      <c r="X121" s="378"/>
      <c r="Y121" s="180"/>
      <c r="Z121" s="180"/>
      <c r="AA121" s="180"/>
      <c r="AB121" s="180"/>
    </row>
    <row r="122" spans="1:28" s="212" customFormat="1" ht="13.5" thickBot="1">
      <c r="A122" s="635"/>
      <c r="B122" s="761"/>
      <c r="C122" s="762"/>
      <c r="D122" s="762"/>
      <c r="E122" s="762"/>
      <c r="F122" s="762"/>
      <c r="G122" s="762"/>
      <c r="H122" s="762"/>
      <c r="I122" s="763"/>
      <c r="J122" s="762"/>
      <c r="K122" s="762"/>
      <c r="L122" s="762"/>
      <c r="M122" s="762"/>
      <c r="N122" s="762"/>
      <c r="O122" s="763"/>
      <c r="P122" s="762"/>
      <c r="Q122" s="762"/>
      <c r="R122" s="762"/>
      <c r="S122" s="763"/>
      <c r="T122" s="762"/>
      <c r="U122" s="763"/>
      <c r="V122" s="762"/>
      <c r="W122" s="763"/>
      <c r="X122" s="378"/>
      <c r="Y122" s="180"/>
      <c r="Z122" s="180"/>
      <c r="AA122" s="180"/>
      <c r="AB122" s="180"/>
    </row>
    <row r="123" spans="1:28" ht="13.5" thickTop="1">
      <c r="A123" s="230"/>
      <c r="B123" s="764"/>
      <c r="C123" s="765"/>
      <c r="D123" s="765"/>
      <c r="E123" s="765"/>
      <c r="F123" s="765"/>
      <c r="G123" s="765"/>
      <c r="H123" s="765"/>
      <c r="I123" s="766"/>
      <c r="J123" s="765"/>
      <c r="K123" s="765"/>
      <c r="L123" s="765"/>
      <c r="M123" s="765"/>
      <c r="N123" s="765"/>
      <c r="O123" s="766"/>
      <c r="P123" s="765"/>
      <c r="Q123" s="765"/>
      <c r="R123" s="765"/>
      <c r="S123" s="766"/>
      <c r="T123" s="765"/>
      <c r="U123" s="766"/>
      <c r="V123" s="765"/>
      <c r="W123" s="766"/>
      <c r="X123" s="378"/>
      <c r="Y123" s="180"/>
      <c r="Z123" s="180"/>
      <c r="AA123" s="180"/>
      <c r="AB123" s="180"/>
    </row>
    <row r="124" spans="1:28" s="203" customFormat="1">
      <c r="A124" s="631"/>
      <c r="B124" s="389"/>
      <c r="C124" s="392"/>
      <c r="D124" s="392"/>
      <c r="E124" s="392"/>
      <c r="F124" s="392"/>
      <c r="G124" s="392"/>
      <c r="H124" s="392"/>
      <c r="I124" s="750"/>
      <c r="J124" s="392"/>
      <c r="K124" s="392"/>
      <c r="L124" s="392"/>
      <c r="M124" s="392"/>
      <c r="N124" s="392"/>
      <c r="O124" s="750"/>
      <c r="P124" s="392"/>
      <c r="Q124" s="392"/>
      <c r="R124" s="392"/>
      <c r="S124" s="750"/>
      <c r="T124" s="392"/>
      <c r="U124" s="750"/>
      <c r="V124" s="392"/>
      <c r="W124" s="750"/>
      <c r="X124" s="378"/>
      <c r="Y124" s="180"/>
      <c r="Z124" s="180"/>
      <c r="AA124" s="180"/>
      <c r="AB124" s="180"/>
    </row>
    <row r="125" spans="1:28" s="202" customFormat="1">
      <c r="A125" s="632"/>
      <c r="B125" s="634"/>
      <c r="C125" s="466"/>
      <c r="D125" s="466"/>
      <c r="E125" s="466"/>
      <c r="F125" s="466"/>
      <c r="G125" s="466"/>
      <c r="H125" s="1461"/>
      <c r="I125" s="751"/>
      <c r="J125" s="466"/>
      <c r="K125" s="466"/>
      <c r="L125" s="466"/>
      <c r="M125" s="466"/>
      <c r="N125" s="466"/>
      <c r="O125" s="751"/>
      <c r="P125" s="466"/>
      <c r="Q125" s="466"/>
      <c r="R125" s="466"/>
      <c r="S125" s="751"/>
      <c r="T125" s="466"/>
      <c r="U125" s="751"/>
      <c r="V125" s="466"/>
      <c r="W125" s="751"/>
      <c r="X125" s="378"/>
      <c r="Y125" s="180"/>
      <c r="Z125" s="180"/>
      <c r="AA125" s="180"/>
      <c r="AB125" s="180"/>
    </row>
    <row r="126" spans="1:28">
      <c r="A126" s="631"/>
      <c r="B126" s="388"/>
      <c r="C126" s="391"/>
      <c r="D126" s="391"/>
      <c r="E126" s="391"/>
      <c r="F126" s="391"/>
      <c r="G126" s="391"/>
      <c r="H126" s="391"/>
      <c r="I126" s="749"/>
      <c r="J126" s="391"/>
      <c r="K126" s="391"/>
      <c r="L126" s="391"/>
      <c r="M126" s="391"/>
      <c r="N126" s="391"/>
      <c r="O126" s="749"/>
      <c r="P126" s="391"/>
      <c r="Q126" s="391"/>
      <c r="R126" s="391"/>
      <c r="S126" s="749"/>
      <c r="T126" s="391"/>
      <c r="U126" s="749"/>
      <c r="V126" s="391"/>
      <c r="W126" s="749"/>
      <c r="X126" s="378"/>
      <c r="Y126" s="180"/>
      <c r="Z126" s="180"/>
      <c r="AA126" s="180"/>
      <c r="AB126" s="180"/>
    </row>
    <row r="127" spans="1:28" s="203" customFormat="1">
      <c r="A127" s="631"/>
      <c r="B127" s="389"/>
      <c r="C127" s="392"/>
      <c r="D127" s="392"/>
      <c r="E127" s="392"/>
      <c r="F127" s="392"/>
      <c r="G127" s="392"/>
      <c r="H127" s="392"/>
      <c r="I127" s="750"/>
      <c r="J127" s="392"/>
      <c r="K127" s="392"/>
      <c r="L127" s="392"/>
      <c r="M127" s="392"/>
      <c r="N127" s="392"/>
      <c r="O127" s="750"/>
      <c r="P127" s="392"/>
      <c r="Q127" s="392"/>
      <c r="R127" s="392"/>
      <c r="S127" s="750"/>
      <c r="T127" s="392"/>
      <c r="U127" s="750"/>
      <c r="V127" s="392"/>
      <c r="W127" s="750"/>
      <c r="X127" s="378"/>
      <c r="Y127" s="180"/>
      <c r="Z127" s="180"/>
      <c r="AA127" s="180"/>
      <c r="AB127" s="180"/>
    </row>
    <row r="128" spans="1:28" s="202" customFormat="1">
      <c r="A128" s="631"/>
      <c r="B128" s="634"/>
      <c r="C128" s="466"/>
      <c r="D128" s="466"/>
      <c r="E128" s="466"/>
      <c r="F128" s="466"/>
      <c r="G128" s="466"/>
      <c r="H128" s="466"/>
      <c r="I128" s="751"/>
      <c r="J128" s="466"/>
      <c r="K128" s="466"/>
      <c r="L128" s="466"/>
      <c r="M128" s="466"/>
      <c r="N128" s="466"/>
      <c r="O128" s="751"/>
      <c r="P128" s="466"/>
      <c r="Q128" s="466"/>
      <c r="R128" s="466"/>
      <c r="S128" s="751"/>
      <c r="T128" s="466"/>
      <c r="U128" s="751"/>
      <c r="V128" s="1461"/>
      <c r="W128" s="751"/>
      <c r="X128" s="378"/>
      <c r="Y128" s="180"/>
      <c r="Z128" s="180"/>
      <c r="AA128" s="180"/>
      <c r="AB128" s="180"/>
    </row>
    <row r="129" spans="1:28">
      <c r="A129" s="631"/>
      <c r="B129" s="388"/>
      <c r="C129" s="391"/>
      <c r="D129" s="391"/>
      <c r="E129" s="391"/>
      <c r="F129" s="391"/>
      <c r="G129" s="391"/>
      <c r="H129" s="391"/>
      <c r="I129" s="749"/>
      <c r="J129" s="391"/>
      <c r="K129" s="391"/>
      <c r="L129" s="391"/>
      <c r="M129" s="391"/>
      <c r="N129" s="391"/>
      <c r="O129" s="749"/>
      <c r="P129" s="391"/>
      <c r="Q129" s="391"/>
      <c r="R129" s="391"/>
      <c r="S129" s="749"/>
      <c r="T129" s="391"/>
      <c r="U129" s="749"/>
      <c r="V129" s="391"/>
      <c r="W129" s="749"/>
      <c r="X129" s="378"/>
      <c r="Y129" s="180"/>
      <c r="Z129" s="180"/>
      <c r="AA129" s="180"/>
      <c r="AB129" s="180"/>
    </row>
    <row r="130" spans="1:28" s="203" customFormat="1">
      <c r="A130" s="631"/>
      <c r="B130" s="389"/>
      <c r="C130" s="392"/>
      <c r="D130" s="392"/>
      <c r="E130" s="392"/>
      <c r="F130" s="392"/>
      <c r="G130" s="392"/>
      <c r="H130" s="392"/>
      <c r="I130" s="750"/>
      <c r="J130" s="392"/>
      <c r="K130" s="392"/>
      <c r="L130" s="392"/>
      <c r="M130" s="392"/>
      <c r="N130" s="392"/>
      <c r="O130" s="750"/>
      <c r="P130" s="392"/>
      <c r="Q130" s="392"/>
      <c r="R130" s="392"/>
      <c r="S130" s="750"/>
      <c r="T130" s="392"/>
      <c r="U130" s="750"/>
      <c r="V130" s="392"/>
      <c r="W130" s="750"/>
      <c r="X130" s="378"/>
      <c r="Y130" s="180"/>
      <c r="Z130" s="180"/>
      <c r="AA130" s="180"/>
      <c r="AB130" s="180"/>
    </row>
    <row r="131" spans="1:28" s="202" customFormat="1">
      <c r="A131" s="631"/>
      <c r="B131" s="634"/>
      <c r="C131" s="466"/>
      <c r="D131" s="466"/>
      <c r="E131" s="466"/>
      <c r="F131" s="466"/>
      <c r="G131" s="466"/>
      <c r="H131" s="466"/>
      <c r="I131" s="751"/>
      <c r="J131" s="466"/>
      <c r="K131" s="466"/>
      <c r="L131" s="466"/>
      <c r="M131" s="466"/>
      <c r="N131" s="466"/>
      <c r="O131" s="751"/>
      <c r="P131" s="466"/>
      <c r="Q131" s="466"/>
      <c r="R131" s="466"/>
      <c r="S131" s="751"/>
      <c r="T131" s="466"/>
      <c r="U131" s="751"/>
      <c r="V131" s="466"/>
      <c r="W131" s="751"/>
      <c r="X131" s="378"/>
      <c r="Y131" s="180"/>
      <c r="Z131" s="180"/>
      <c r="AA131" s="180"/>
      <c r="AB131" s="180"/>
    </row>
    <row r="132" spans="1:28">
      <c r="A132" s="631"/>
      <c r="B132" s="388"/>
      <c r="C132" s="391"/>
      <c r="D132" s="391"/>
      <c r="E132" s="391"/>
      <c r="F132" s="391"/>
      <c r="G132" s="391"/>
      <c r="H132" s="391"/>
      <c r="I132" s="749"/>
      <c r="J132" s="391"/>
      <c r="K132" s="391"/>
      <c r="L132" s="391"/>
      <c r="M132" s="391"/>
      <c r="N132" s="391"/>
      <c r="O132" s="749"/>
      <c r="P132" s="391"/>
      <c r="Q132" s="391"/>
      <c r="R132" s="391"/>
      <c r="S132" s="749"/>
      <c r="T132" s="391"/>
      <c r="U132" s="749"/>
      <c r="V132" s="391"/>
      <c r="W132" s="749"/>
      <c r="X132" s="378"/>
      <c r="Y132" s="180"/>
      <c r="Z132" s="180"/>
      <c r="AA132" s="180"/>
      <c r="AB132" s="180"/>
    </row>
    <row r="133" spans="1:28" s="203" customFormat="1">
      <c r="A133" s="631"/>
      <c r="B133" s="389"/>
      <c r="C133" s="392"/>
      <c r="D133" s="392"/>
      <c r="E133" s="392"/>
      <c r="F133" s="392"/>
      <c r="G133" s="392"/>
      <c r="H133" s="392"/>
      <c r="I133" s="750"/>
      <c r="J133" s="392"/>
      <c r="K133" s="392"/>
      <c r="L133" s="392"/>
      <c r="M133" s="392"/>
      <c r="N133" s="392"/>
      <c r="O133" s="750"/>
      <c r="P133" s="392"/>
      <c r="Q133" s="392"/>
      <c r="R133" s="392"/>
      <c r="S133" s="750"/>
      <c r="T133" s="392"/>
      <c r="U133" s="750"/>
      <c r="V133" s="392"/>
      <c r="W133" s="750"/>
      <c r="X133" s="378"/>
      <c r="Y133" s="180"/>
      <c r="Z133" s="180"/>
      <c r="AA133" s="180"/>
      <c r="AB133" s="180"/>
    </row>
    <row r="134" spans="1:28" s="202" customFormat="1">
      <c r="A134" s="631"/>
      <c r="B134" s="634"/>
      <c r="C134" s="466"/>
      <c r="D134" s="466"/>
      <c r="E134" s="466"/>
      <c r="F134" s="466"/>
      <c r="G134" s="466"/>
      <c r="H134" s="466"/>
      <c r="I134" s="751"/>
      <c r="J134" s="466"/>
      <c r="K134" s="466"/>
      <c r="L134" s="1461"/>
      <c r="M134" s="466"/>
      <c r="N134" s="466"/>
      <c r="O134" s="751"/>
      <c r="P134" s="466"/>
      <c r="Q134" s="466"/>
      <c r="R134" s="466"/>
      <c r="S134" s="751"/>
      <c r="T134" s="466"/>
      <c r="U134" s="751"/>
      <c r="V134" s="466"/>
      <c r="W134" s="751"/>
      <c r="X134" s="378"/>
      <c r="Y134" s="180"/>
      <c r="Z134" s="180"/>
      <c r="AA134" s="180"/>
      <c r="AB134" s="180"/>
    </row>
    <row r="135" spans="1:28">
      <c r="A135" s="631"/>
      <c r="B135" s="388"/>
      <c r="C135" s="391"/>
      <c r="D135" s="391"/>
      <c r="E135" s="391"/>
      <c r="F135" s="391"/>
      <c r="G135" s="391"/>
      <c r="H135" s="391"/>
      <c r="I135" s="749"/>
      <c r="J135" s="391"/>
      <c r="K135" s="391"/>
      <c r="L135" s="391"/>
      <c r="M135" s="391"/>
      <c r="N135" s="391"/>
      <c r="O135" s="749"/>
      <c r="P135" s="391"/>
      <c r="Q135" s="391"/>
      <c r="R135" s="391"/>
      <c r="S135" s="749"/>
      <c r="T135" s="391"/>
      <c r="U135" s="749"/>
      <c r="V135" s="391"/>
      <c r="W135" s="749"/>
      <c r="X135" s="378"/>
      <c r="Y135" s="180"/>
      <c r="Z135" s="180"/>
      <c r="AA135" s="180"/>
      <c r="AB135" s="180"/>
    </row>
    <row r="136" spans="1:28" s="203" customFormat="1">
      <c r="A136" s="631"/>
      <c r="B136" s="389"/>
      <c r="C136" s="392"/>
      <c r="D136" s="392"/>
      <c r="E136" s="392"/>
      <c r="F136" s="392"/>
      <c r="G136" s="392"/>
      <c r="H136" s="392"/>
      <c r="I136" s="750"/>
      <c r="J136" s="392"/>
      <c r="K136" s="392"/>
      <c r="L136" s="392"/>
      <c r="M136" s="392"/>
      <c r="N136" s="392"/>
      <c r="O136" s="750"/>
      <c r="P136" s="392"/>
      <c r="Q136" s="392"/>
      <c r="R136" s="392"/>
      <c r="S136" s="750"/>
      <c r="T136" s="392"/>
      <c r="U136" s="750"/>
      <c r="V136" s="392"/>
      <c r="W136" s="750"/>
      <c r="X136" s="378"/>
      <c r="Y136" s="180"/>
      <c r="Z136" s="180"/>
      <c r="AA136" s="180"/>
      <c r="AB136" s="180"/>
    </row>
    <row r="137" spans="1:28" s="202" customFormat="1">
      <c r="A137" s="631"/>
      <c r="B137" s="634"/>
      <c r="C137" s="466"/>
      <c r="D137" s="466"/>
      <c r="E137" s="466"/>
      <c r="F137" s="1461"/>
      <c r="G137" s="466"/>
      <c r="H137" s="466"/>
      <c r="I137" s="751"/>
      <c r="J137" s="466"/>
      <c r="K137" s="466"/>
      <c r="L137" s="466"/>
      <c r="M137" s="466"/>
      <c r="N137" s="466"/>
      <c r="O137" s="751"/>
      <c r="P137" s="466"/>
      <c r="Q137" s="466"/>
      <c r="R137" s="466"/>
      <c r="S137" s="751"/>
      <c r="T137" s="466"/>
      <c r="U137" s="751"/>
      <c r="V137" s="466"/>
      <c r="W137" s="751"/>
      <c r="X137" s="378"/>
      <c r="Y137" s="180"/>
      <c r="Z137" s="180"/>
      <c r="AA137" s="180"/>
      <c r="AB137" s="180"/>
    </row>
    <row r="138" spans="1:28">
      <c r="A138" s="631"/>
      <c r="B138" s="752"/>
      <c r="C138" s="749"/>
      <c r="D138" s="749"/>
      <c r="E138" s="749"/>
      <c r="F138" s="749"/>
      <c r="G138" s="749"/>
      <c r="H138" s="749"/>
      <c r="I138" s="749"/>
      <c r="J138" s="749"/>
      <c r="K138" s="749"/>
      <c r="L138" s="749"/>
      <c r="M138" s="749"/>
      <c r="N138" s="749"/>
      <c r="O138" s="749"/>
      <c r="P138" s="749"/>
      <c r="Q138" s="749"/>
      <c r="R138" s="749"/>
      <c r="S138" s="749"/>
      <c r="T138" s="749"/>
      <c r="U138" s="749"/>
      <c r="V138" s="749"/>
      <c r="W138" s="749"/>
      <c r="X138" s="378"/>
      <c r="Y138" s="180"/>
      <c r="Z138" s="180"/>
      <c r="AA138" s="180"/>
      <c r="AB138" s="180"/>
    </row>
    <row r="139" spans="1:28" s="203" customFormat="1">
      <c r="A139" s="631"/>
      <c r="B139" s="753"/>
      <c r="C139" s="750"/>
      <c r="D139" s="750"/>
      <c r="E139" s="750"/>
      <c r="F139" s="750"/>
      <c r="G139" s="750"/>
      <c r="H139" s="750"/>
      <c r="I139" s="750"/>
      <c r="J139" s="750"/>
      <c r="K139" s="750"/>
      <c r="L139" s="750"/>
      <c r="M139" s="750"/>
      <c r="N139" s="750"/>
      <c r="O139" s="750"/>
      <c r="P139" s="750"/>
      <c r="Q139" s="750"/>
      <c r="R139" s="750"/>
      <c r="S139" s="750"/>
      <c r="T139" s="750"/>
      <c r="U139" s="750"/>
      <c r="V139" s="750"/>
      <c r="W139" s="750"/>
      <c r="X139" s="378"/>
      <c r="Y139" s="180"/>
      <c r="Z139" s="180"/>
      <c r="AA139" s="180"/>
      <c r="AB139" s="180"/>
    </row>
    <row r="140" spans="1:28" s="202" customFormat="1">
      <c r="A140" s="631"/>
      <c r="B140" s="754"/>
      <c r="C140" s="751"/>
      <c r="D140" s="751"/>
      <c r="E140" s="751"/>
      <c r="F140" s="751"/>
      <c r="G140" s="751"/>
      <c r="H140" s="751"/>
      <c r="I140" s="751"/>
      <c r="J140" s="751"/>
      <c r="K140" s="751"/>
      <c r="L140" s="751"/>
      <c r="M140" s="751"/>
      <c r="N140" s="751"/>
      <c r="O140" s="751"/>
      <c r="P140" s="751"/>
      <c r="Q140" s="751"/>
      <c r="R140" s="751"/>
      <c r="S140" s="751"/>
      <c r="T140" s="751"/>
      <c r="U140" s="751"/>
      <c r="V140" s="751"/>
      <c r="W140" s="751"/>
      <c r="X140" s="378"/>
      <c r="Y140" s="180"/>
      <c r="Z140" s="180"/>
      <c r="AA140" s="180"/>
      <c r="AB140" s="180"/>
    </row>
    <row r="141" spans="1:28">
      <c r="A141" s="631"/>
      <c r="B141" s="388"/>
      <c r="C141" s="391"/>
      <c r="D141" s="391"/>
      <c r="E141" s="391"/>
      <c r="F141" s="391"/>
      <c r="G141" s="391"/>
      <c r="H141" s="391"/>
      <c r="I141" s="749"/>
      <c r="J141" s="391"/>
      <c r="K141" s="391"/>
      <c r="L141" s="391"/>
      <c r="M141" s="391"/>
      <c r="N141" s="391"/>
      <c r="O141" s="749"/>
      <c r="P141" s="391"/>
      <c r="Q141" s="391"/>
      <c r="R141" s="391"/>
      <c r="S141" s="749"/>
      <c r="T141" s="391"/>
      <c r="U141" s="749"/>
      <c r="V141" s="391"/>
      <c r="W141" s="749"/>
      <c r="X141" s="378"/>
      <c r="Y141" s="180"/>
      <c r="Z141" s="180"/>
      <c r="AA141" s="180"/>
      <c r="AB141" s="180"/>
    </row>
    <row r="142" spans="1:28" s="203" customFormat="1">
      <c r="A142" s="631"/>
      <c r="B142" s="389"/>
      <c r="C142" s="392"/>
      <c r="D142" s="392"/>
      <c r="E142" s="392"/>
      <c r="F142" s="392"/>
      <c r="G142" s="392"/>
      <c r="H142" s="392"/>
      <c r="I142" s="750"/>
      <c r="J142" s="392"/>
      <c r="K142" s="392"/>
      <c r="L142" s="392"/>
      <c r="M142" s="392"/>
      <c r="N142" s="392"/>
      <c r="O142" s="750"/>
      <c r="P142" s="392"/>
      <c r="Q142" s="392"/>
      <c r="R142" s="392"/>
      <c r="S142" s="750"/>
      <c r="T142" s="392"/>
      <c r="U142" s="750"/>
      <c r="V142" s="392"/>
      <c r="W142" s="750"/>
      <c r="X142" s="378"/>
      <c r="Y142" s="180"/>
      <c r="Z142" s="180"/>
      <c r="AA142" s="180"/>
      <c r="AB142" s="180"/>
    </row>
    <row r="143" spans="1:28" s="202" customFormat="1">
      <c r="A143" s="631"/>
      <c r="B143" s="634"/>
      <c r="C143" s="466"/>
      <c r="D143" s="466"/>
      <c r="E143" s="466"/>
      <c r="F143" s="466"/>
      <c r="G143" s="466"/>
      <c r="H143" s="466"/>
      <c r="I143" s="751"/>
      <c r="J143" s="466"/>
      <c r="K143" s="466"/>
      <c r="L143" s="466"/>
      <c r="M143" s="466"/>
      <c r="N143" s="466"/>
      <c r="O143" s="751"/>
      <c r="P143" s="466"/>
      <c r="Q143" s="466"/>
      <c r="R143" s="466"/>
      <c r="S143" s="751"/>
      <c r="T143" s="466"/>
      <c r="U143" s="751"/>
      <c r="V143" s="466"/>
      <c r="W143" s="751"/>
      <c r="X143" s="378"/>
      <c r="Y143" s="180"/>
      <c r="Z143" s="180"/>
      <c r="AA143" s="180"/>
      <c r="AB143" s="180"/>
    </row>
    <row r="144" spans="1:28">
      <c r="A144" s="631"/>
      <c r="B144" s="388"/>
      <c r="C144" s="391"/>
      <c r="D144" s="391"/>
      <c r="E144" s="391"/>
      <c r="F144" s="391"/>
      <c r="G144" s="391"/>
      <c r="H144" s="391"/>
      <c r="I144" s="749"/>
      <c r="J144" s="391"/>
      <c r="K144" s="391"/>
      <c r="L144" s="391"/>
      <c r="M144" s="391"/>
      <c r="N144" s="391"/>
      <c r="O144" s="749"/>
      <c r="P144" s="391"/>
      <c r="Q144" s="391"/>
      <c r="R144" s="391"/>
      <c r="S144" s="749"/>
      <c r="T144" s="391"/>
      <c r="U144" s="749"/>
      <c r="V144" s="391"/>
      <c r="W144" s="749"/>
      <c r="X144" s="378"/>
      <c r="Y144" s="180"/>
      <c r="Z144" s="180"/>
      <c r="AA144" s="180"/>
      <c r="AB144" s="180"/>
    </row>
    <row r="145" spans="1:28" s="203" customFormat="1">
      <c r="A145" s="631"/>
      <c r="B145" s="389"/>
      <c r="C145" s="392"/>
      <c r="D145" s="392"/>
      <c r="E145" s="392"/>
      <c r="F145" s="392"/>
      <c r="G145" s="392"/>
      <c r="H145" s="392"/>
      <c r="I145" s="750"/>
      <c r="J145" s="392"/>
      <c r="K145" s="392"/>
      <c r="L145" s="392"/>
      <c r="M145" s="392"/>
      <c r="N145" s="392"/>
      <c r="O145" s="750"/>
      <c r="P145" s="392"/>
      <c r="Q145" s="392"/>
      <c r="R145" s="392"/>
      <c r="S145" s="750"/>
      <c r="T145" s="392"/>
      <c r="U145" s="750"/>
      <c r="V145" s="392"/>
      <c r="W145" s="750"/>
      <c r="X145" s="378"/>
      <c r="Y145" s="180"/>
      <c r="Z145" s="180"/>
      <c r="AA145" s="180"/>
      <c r="AB145" s="180"/>
    </row>
    <row r="146" spans="1:28" s="202" customFormat="1">
      <c r="A146" s="631"/>
      <c r="B146" s="634"/>
      <c r="C146" s="466"/>
      <c r="D146" s="466"/>
      <c r="E146" s="466"/>
      <c r="F146" s="466"/>
      <c r="G146" s="466"/>
      <c r="H146" s="466"/>
      <c r="I146" s="751"/>
      <c r="J146" s="466"/>
      <c r="K146" s="466"/>
      <c r="L146" s="466"/>
      <c r="M146" s="466"/>
      <c r="N146" s="466"/>
      <c r="O146" s="751"/>
      <c r="P146" s="466"/>
      <c r="Q146" s="466"/>
      <c r="R146" s="466"/>
      <c r="S146" s="751"/>
      <c r="T146" s="466"/>
      <c r="U146" s="751"/>
      <c r="V146" s="466"/>
      <c r="W146" s="751"/>
      <c r="X146" s="378"/>
      <c r="Y146" s="180"/>
      <c r="Z146" s="180"/>
      <c r="AA146" s="180"/>
      <c r="AB146" s="180"/>
    </row>
    <row r="147" spans="1:28">
      <c r="A147" s="631"/>
      <c r="B147" s="388"/>
      <c r="C147" s="391"/>
      <c r="D147" s="391"/>
      <c r="E147" s="391"/>
      <c r="F147" s="391"/>
      <c r="G147" s="391"/>
      <c r="H147" s="391"/>
      <c r="I147" s="749"/>
      <c r="J147" s="391"/>
      <c r="K147" s="391"/>
      <c r="L147" s="391"/>
      <c r="M147" s="391"/>
      <c r="N147" s="391"/>
      <c r="O147" s="749"/>
      <c r="P147" s="391"/>
      <c r="Q147" s="391"/>
      <c r="R147" s="391"/>
      <c r="S147" s="749"/>
      <c r="T147" s="391"/>
      <c r="U147" s="749"/>
      <c r="V147" s="391"/>
      <c r="W147" s="749"/>
      <c r="X147" s="378"/>
      <c r="Y147" s="180"/>
      <c r="Z147" s="180"/>
      <c r="AA147" s="180"/>
      <c r="AB147" s="180"/>
    </row>
    <row r="148" spans="1:28" s="203" customFormat="1">
      <c r="A148" s="631"/>
      <c r="B148" s="389"/>
      <c r="C148" s="392"/>
      <c r="D148" s="392"/>
      <c r="E148" s="392"/>
      <c r="F148" s="392"/>
      <c r="G148" s="392"/>
      <c r="H148" s="392"/>
      <c r="I148" s="750"/>
      <c r="J148" s="392"/>
      <c r="K148" s="392"/>
      <c r="L148" s="392"/>
      <c r="M148" s="392"/>
      <c r="N148" s="392"/>
      <c r="O148" s="750"/>
      <c r="P148" s="392"/>
      <c r="Q148" s="392"/>
      <c r="R148" s="392"/>
      <c r="S148" s="750"/>
      <c r="T148" s="392"/>
      <c r="U148" s="750"/>
      <c r="V148" s="392"/>
      <c r="W148" s="750"/>
      <c r="X148" s="378"/>
      <c r="Y148" s="180"/>
      <c r="Z148" s="180"/>
      <c r="AA148" s="180"/>
      <c r="AB148" s="180"/>
    </row>
    <row r="149" spans="1:28" s="202" customFormat="1">
      <c r="A149" s="631"/>
      <c r="B149" s="634"/>
      <c r="C149" s="466"/>
      <c r="D149" s="466"/>
      <c r="E149" s="466"/>
      <c r="F149" s="466"/>
      <c r="G149" s="466"/>
      <c r="H149" s="466"/>
      <c r="I149" s="751"/>
      <c r="J149" s="466"/>
      <c r="K149" s="466"/>
      <c r="L149" s="466"/>
      <c r="M149" s="466"/>
      <c r="N149" s="466"/>
      <c r="O149" s="751"/>
      <c r="P149" s="466"/>
      <c r="Q149" s="466"/>
      <c r="R149" s="466"/>
      <c r="S149" s="751"/>
      <c r="T149" s="466"/>
      <c r="U149" s="751"/>
      <c r="V149" s="466"/>
      <c r="W149" s="751"/>
      <c r="X149" s="378"/>
      <c r="Y149" s="180"/>
      <c r="Z149" s="180"/>
      <c r="AA149" s="180"/>
      <c r="AB149" s="180"/>
    </row>
    <row r="150" spans="1:28">
      <c r="A150" s="631"/>
      <c r="B150" s="388"/>
      <c r="C150" s="391"/>
      <c r="D150" s="391"/>
      <c r="E150" s="391"/>
      <c r="F150" s="391"/>
      <c r="G150" s="391"/>
      <c r="H150" s="391"/>
      <c r="I150" s="749"/>
      <c r="J150" s="391"/>
      <c r="K150" s="391"/>
      <c r="L150" s="391"/>
      <c r="M150" s="391"/>
      <c r="N150" s="391"/>
      <c r="O150" s="749"/>
      <c r="P150" s="391"/>
      <c r="Q150" s="391"/>
      <c r="R150" s="391"/>
      <c r="S150" s="749"/>
      <c r="T150" s="391"/>
      <c r="U150" s="749"/>
      <c r="V150" s="391"/>
      <c r="W150" s="749"/>
      <c r="X150" s="378"/>
      <c r="Y150" s="180"/>
      <c r="Z150" s="180"/>
      <c r="AA150" s="180"/>
      <c r="AB150" s="180"/>
    </row>
    <row r="151" spans="1:28" s="203" customFormat="1">
      <c r="A151" s="631"/>
      <c r="B151" s="389"/>
      <c r="C151" s="392"/>
      <c r="D151" s="392"/>
      <c r="E151" s="392"/>
      <c r="F151" s="392"/>
      <c r="G151" s="392"/>
      <c r="H151" s="392"/>
      <c r="I151" s="750"/>
      <c r="J151" s="392"/>
      <c r="K151" s="392"/>
      <c r="L151" s="392"/>
      <c r="M151" s="392"/>
      <c r="N151" s="392"/>
      <c r="O151" s="750"/>
      <c r="P151" s="392"/>
      <c r="Q151" s="392"/>
      <c r="R151" s="392"/>
      <c r="S151" s="750"/>
      <c r="T151" s="392"/>
      <c r="U151" s="750"/>
      <c r="V151" s="392"/>
      <c r="W151" s="750"/>
      <c r="X151" s="378"/>
      <c r="Y151" s="180"/>
      <c r="Z151" s="180"/>
      <c r="AA151" s="180"/>
      <c r="AB151" s="180"/>
    </row>
    <row r="152" spans="1:28" s="202" customFormat="1">
      <c r="A152" s="631"/>
      <c r="B152" s="634"/>
      <c r="C152" s="466"/>
      <c r="D152" s="466"/>
      <c r="E152" s="466"/>
      <c r="F152" s="466"/>
      <c r="G152" s="466"/>
      <c r="H152" s="466"/>
      <c r="I152" s="751"/>
      <c r="J152" s="466"/>
      <c r="K152" s="466"/>
      <c r="L152" s="466"/>
      <c r="M152" s="466"/>
      <c r="N152" s="466"/>
      <c r="O152" s="751"/>
      <c r="P152" s="466"/>
      <c r="Q152" s="466"/>
      <c r="R152" s="466"/>
      <c r="S152" s="751"/>
      <c r="T152" s="466"/>
      <c r="U152" s="751"/>
      <c r="V152" s="466"/>
      <c r="W152" s="751"/>
      <c r="X152" s="378"/>
      <c r="Y152" s="180"/>
      <c r="Z152" s="180"/>
      <c r="AA152" s="180"/>
      <c r="AB152" s="180"/>
    </row>
    <row r="153" spans="1:28">
      <c r="A153" s="631"/>
      <c r="B153" s="388"/>
      <c r="C153" s="391"/>
      <c r="D153" s="391"/>
      <c r="E153" s="391"/>
      <c r="F153" s="391"/>
      <c r="G153" s="391"/>
      <c r="H153" s="391"/>
      <c r="I153" s="749"/>
      <c r="J153" s="391"/>
      <c r="K153" s="391"/>
      <c r="L153" s="391"/>
      <c r="M153" s="391"/>
      <c r="N153" s="391"/>
      <c r="O153" s="749"/>
      <c r="P153" s="391"/>
      <c r="Q153" s="391"/>
      <c r="R153" s="391"/>
      <c r="S153" s="749"/>
      <c r="T153" s="391"/>
      <c r="U153" s="749"/>
      <c r="V153" s="391"/>
      <c r="W153" s="749"/>
      <c r="X153" s="378"/>
      <c r="Y153" s="180"/>
      <c r="Z153" s="180"/>
      <c r="AA153" s="180"/>
      <c r="AB153" s="180"/>
    </row>
    <row r="154" spans="1:28" s="203" customFormat="1">
      <c r="A154" s="631"/>
      <c r="B154" s="389"/>
      <c r="C154" s="392"/>
      <c r="D154" s="392"/>
      <c r="E154" s="392"/>
      <c r="F154" s="392"/>
      <c r="G154" s="392"/>
      <c r="H154" s="392"/>
      <c r="I154" s="750"/>
      <c r="J154" s="392"/>
      <c r="K154" s="392"/>
      <c r="L154" s="392"/>
      <c r="M154" s="392"/>
      <c r="N154" s="392"/>
      <c r="O154" s="750"/>
      <c r="P154" s="392"/>
      <c r="Q154" s="392"/>
      <c r="R154" s="392"/>
      <c r="S154" s="750"/>
      <c r="T154" s="392"/>
      <c r="U154" s="750"/>
      <c r="V154" s="392"/>
      <c r="W154" s="750"/>
      <c r="X154" s="378"/>
      <c r="Y154" s="180"/>
      <c r="Z154" s="180"/>
      <c r="AA154" s="180"/>
      <c r="AB154" s="180"/>
    </row>
    <row r="155" spans="1:28" s="202" customFormat="1">
      <c r="A155" s="631"/>
      <c r="B155" s="634"/>
      <c r="C155" s="466"/>
      <c r="D155" s="466"/>
      <c r="E155" s="466"/>
      <c r="F155" s="466"/>
      <c r="G155" s="466"/>
      <c r="H155" s="466"/>
      <c r="I155" s="751"/>
      <c r="J155" s="466"/>
      <c r="K155" s="466"/>
      <c r="L155" s="466"/>
      <c r="M155" s="466"/>
      <c r="N155" s="466"/>
      <c r="O155" s="751"/>
      <c r="P155" s="466"/>
      <c r="Q155" s="466"/>
      <c r="R155" s="466"/>
      <c r="S155" s="751"/>
      <c r="T155" s="466"/>
      <c r="U155" s="751"/>
      <c r="V155" s="466"/>
      <c r="W155" s="751"/>
      <c r="X155" s="378"/>
      <c r="Y155" s="180"/>
      <c r="Z155" s="180"/>
      <c r="AA155" s="180"/>
      <c r="AB155" s="180"/>
    </row>
    <row r="156" spans="1:28">
      <c r="A156" s="631"/>
      <c r="B156" s="388"/>
      <c r="C156" s="391"/>
      <c r="D156" s="391"/>
      <c r="E156" s="391"/>
      <c r="F156" s="391"/>
      <c r="G156" s="391"/>
      <c r="H156" s="391"/>
      <c r="I156" s="749"/>
      <c r="J156" s="391"/>
      <c r="K156" s="391"/>
      <c r="L156" s="391"/>
      <c r="M156" s="391"/>
      <c r="N156" s="391"/>
      <c r="O156" s="749"/>
      <c r="P156" s="391"/>
      <c r="Q156" s="391"/>
      <c r="R156" s="391"/>
      <c r="S156" s="749"/>
      <c r="T156" s="391"/>
      <c r="U156" s="749"/>
      <c r="V156" s="391"/>
      <c r="W156" s="749"/>
      <c r="X156" s="378"/>
      <c r="Y156" s="180"/>
      <c r="Z156" s="180"/>
      <c r="AA156" s="180"/>
      <c r="AB156" s="180"/>
    </row>
    <row r="157" spans="1:28" s="203" customFormat="1">
      <c r="A157" s="631"/>
      <c r="B157" s="389"/>
      <c r="C157" s="392"/>
      <c r="D157" s="392"/>
      <c r="E157" s="392"/>
      <c r="F157" s="392"/>
      <c r="G157" s="392"/>
      <c r="H157" s="392"/>
      <c r="I157" s="750"/>
      <c r="J157" s="392"/>
      <c r="K157" s="392"/>
      <c r="L157" s="392"/>
      <c r="M157" s="392"/>
      <c r="N157" s="392"/>
      <c r="O157" s="750"/>
      <c r="P157" s="392"/>
      <c r="Q157" s="392"/>
      <c r="R157" s="392"/>
      <c r="S157" s="750"/>
      <c r="T157" s="392"/>
      <c r="U157" s="750"/>
      <c r="V157" s="392"/>
      <c r="W157" s="750"/>
      <c r="X157" s="378"/>
      <c r="Y157" s="180"/>
      <c r="Z157" s="180"/>
      <c r="AA157" s="180"/>
      <c r="AB157" s="180"/>
    </row>
    <row r="158" spans="1:28" s="202" customFormat="1">
      <c r="A158" s="631"/>
      <c r="B158" s="634"/>
      <c r="C158" s="466"/>
      <c r="D158" s="466"/>
      <c r="E158" s="466"/>
      <c r="F158" s="466"/>
      <c r="G158" s="466"/>
      <c r="H158" s="466"/>
      <c r="I158" s="751"/>
      <c r="J158" s="466"/>
      <c r="K158" s="466"/>
      <c r="L158" s="466"/>
      <c r="M158" s="466"/>
      <c r="N158" s="466"/>
      <c r="O158" s="751"/>
      <c r="P158" s="466"/>
      <c r="Q158" s="466"/>
      <c r="R158" s="466"/>
      <c r="S158" s="751"/>
      <c r="T158" s="466"/>
      <c r="U158" s="751"/>
      <c r="V158" s="466"/>
      <c r="W158" s="751"/>
      <c r="X158" s="378"/>
      <c r="Y158" s="180"/>
      <c r="Z158" s="180"/>
      <c r="AA158" s="180"/>
      <c r="AB158" s="180"/>
    </row>
    <row r="159" spans="1:28">
      <c r="A159" s="631"/>
      <c r="B159" s="388"/>
      <c r="C159" s="391"/>
      <c r="D159" s="391"/>
      <c r="E159" s="391"/>
      <c r="F159" s="391"/>
      <c r="G159" s="391"/>
      <c r="H159" s="391"/>
      <c r="I159" s="749"/>
      <c r="J159" s="391"/>
      <c r="K159" s="391"/>
      <c r="L159" s="391"/>
      <c r="M159" s="391"/>
      <c r="N159" s="391"/>
      <c r="O159" s="749"/>
      <c r="P159" s="391"/>
      <c r="Q159" s="391"/>
      <c r="R159" s="391"/>
      <c r="S159" s="749"/>
      <c r="T159" s="391"/>
      <c r="U159" s="749"/>
      <c r="V159" s="391"/>
      <c r="W159" s="749"/>
      <c r="X159" s="378"/>
      <c r="Y159" s="180"/>
      <c r="Z159" s="180"/>
      <c r="AA159" s="180"/>
      <c r="AB159" s="180"/>
    </row>
    <row r="160" spans="1:28" s="203" customFormat="1">
      <c r="A160" s="631"/>
      <c r="B160" s="389"/>
      <c r="C160" s="392"/>
      <c r="D160" s="392"/>
      <c r="E160" s="392"/>
      <c r="F160" s="392"/>
      <c r="G160" s="392"/>
      <c r="H160" s="392"/>
      <c r="I160" s="750"/>
      <c r="J160" s="392"/>
      <c r="K160" s="392"/>
      <c r="L160" s="392"/>
      <c r="M160" s="392"/>
      <c r="N160" s="392"/>
      <c r="O160" s="750"/>
      <c r="P160" s="392"/>
      <c r="Q160" s="392"/>
      <c r="R160" s="392"/>
      <c r="S160" s="750"/>
      <c r="T160" s="392"/>
      <c r="U160" s="750"/>
      <c r="V160" s="392"/>
      <c r="W160" s="750"/>
      <c r="X160" s="378"/>
      <c r="Y160" s="180"/>
      <c r="Z160" s="180"/>
      <c r="AA160" s="180"/>
      <c r="AB160" s="180"/>
    </row>
    <row r="161" spans="1:28" s="212" customFormat="1" ht="13.5" thickBot="1">
      <c r="A161" s="635"/>
      <c r="B161" s="761"/>
      <c r="C161" s="762"/>
      <c r="D161" s="762"/>
      <c r="E161" s="762"/>
      <c r="F161" s="762"/>
      <c r="G161" s="762"/>
      <c r="H161" s="762"/>
      <c r="I161" s="763"/>
      <c r="J161" s="762"/>
      <c r="K161" s="762"/>
      <c r="L161" s="762"/>
      <c r="M161" s="762"/>
      <c r="N161" s="762"/>
      <c r="O161" s="763"/>
      <c r="P161" s="762"/>
      <c r="Q161" s="762"/>
      <c r="R161" s="762"/>
      <c r="S161" s="763"/>
      <c r="T161" s="762"/>
      <c r="U161" s="763"/>
      <c r="V161" s="762"/>
      <c r="W161" s="763"/>
      <c r="X161" s="378"/>
      <c r="Y161" s="180"/>
      <c r="Z161" s="180"/>
      <c r="AA161" s="180"/>
      <c r="AB161" s="180"/>
    </row>
    <row r="162" spans="1:28" ht="13.5" thickTop="1">
      <c r="A162" s="230"/>
      <c r="B162" s="764"/>
      <c r="C162" s="765"/>
      <c r="D162" s="765"/>
      <c r="E162" s="765"/>
      <c r="F162" s="765"/>
      <c r="G162" s="765"/>
      <c r="H162" s="765"/>
      <c r="I162" s="766"/>
      <c r="J162" s="765"/>
      <c r="K162" s="765"/>
      <c r="L162" s="765"/>
      <c r="M162" s="765"/>
      <c r="N162" s="765"/>
      <c r="O162" s="766"/>
      <c r="P162" s="765"/>
      <c r="Q162" s="765"/>
      <c r="R162" s="765"/>
      <c r="S162" s="766"/>
      <c r="T162" s="765"/>
      <c r="U162" s="766"/>
      <c r="V162" s="765"/>
      <c r="W162" s="766"/>
      <c r="X162" s="378"/>
      <c r="Y162" s="180"/>
      <c r="Z162" s="180"/>
      <c r="AA162" s="180"/>
      <c r="AB162" s="180"/>
    </row>
    <row r="163" spans="1:28" s="203" customFormat="1">
      <c r="A163" s="631"/>
      <c r="B163" s="389"/>
      <c r="C163" s="392"/>
      <c r="D163" s="392"/>
      <c r="E163" s="392"/>
      <c r="F163" s="392"/>
      <c r="G163" s="392"/>
      <c r="H163" s="392"/>
      <c r="I163" s="750"/>
      <c r="J163" s="392"/>
      <c r="K163" s="392"/>
      <c r="L163" s="392"/>
      <c r="M163" s="392"/>
      <c r="N163" s="392"/>
      <c r="O163" s="750"/>
      <c r="P163" s="392"/>
      <c r="Q163" s="392"/>
      <c r="R163" s="392"/>
      <c r="S163" s="750"/>
      <c r="T163" s="392"/>
      <c r="U163" s="750"/>
      <c r="V163" s="392"/>
      <c r="W163" s="750"/>
      <c r="X163" s="378"/>
      <c r="Y163" s="180"/>
      <c r="Z163" s="180"/>
      <c r="AA163" s="180"/>
      <c r="AB163" s="180"/>
    </row>
    <row r="164" spans="1:28" s="202" customFormat="1">
      <c r="A164" s="632"/>
      <c r="B164" s="634"/>
      <c r="C164" s="466"/>
      <c r="D164" s="466"/>
      <c r="E164" s="466"/>
      <c r="F164" s="466"/>
      <c r="G164" s="466"/>
      <c r="H164" s="466"/>
      <c r="I164" s="751"/>
      <c r="J164" s="466"/>
      <c r="K164" s="466"/>
      <c r="L164" s="466"/>
      <c r="M164" s="466"/>
      <c r="N164" s="466"/>
      <c r="O164" s="751"/>
      <c r="P164" s="466"/>
      <c r="Q164" s="466"/>
      <c r="R164" s="466"/>
      <c r="S164" s="751"/>
      <c r="T164" s="466"/>
      <c r="U164" s="751"/>
      <c r="V164" s="466"/>
      <c r="W164" s="751"/>
      <c r="X164" s="378"/>
      <c r="Y164" s="180"/>
      <c r="Z164" s="180"/>
      <c r="AA164" s="180"/>
      <c r="AB164" s="180"/>
    </row>
    <row r="165" spans="1:28">
      <c r="A165" s="631"/>
      <c r="B165" s="388"/>
      <c r="C165" s="391"/>
      <c r="D165" s="391"/>
      <c r="E165" s="391"/>
      <c r="F165" s="391"/>
      <c r="G165" s="391"/>
      <c r="H165" s="391"/>
      <c r="I165" s="749"/>
      <c r="J165" s="391"/>
      <c r="K165" s="391"/>
      <c r="L165" s="391"/>
      <c r="M165" s="391"/>
      <c r="N165" s="391"/>
      <c r="O165" s="749"/>
      <c r="P165" s="391"/>
      <c r="Q165" s="391"/>
      <c r="R165" s="391"/>
      <c r="S165" s="749"/>
      <c r="T165" s="391"/>
      <c r="U165" s="749"/>
      <c r="V165" s="391"/>
      <c r="W165" s="749"/>
      <c r="X165" s="378"/>
      <c r="Y165" s="180"/>
      <c r="Z165" s="180"/>
      <c r="AA165" s="180"/>
      <c r="AB165" s="180"/>
    </row>
    <row r="166" spans="1:28" s="203" customFormat="1">
      <c r="A166" s="631"/>
      <c r="B166" s="389"/>
      <c r="C166" s="392"/>
      <c r="D166" s="392"/>
      <c r="E166" s="392"/>
      <c r="F166" s="392"/>
      <c r="G166" s="392"/>
      <c r="H166" s="392"/>
      <c r="I166" s="750"/>
      <c r="J166" s="392"/>
      <c r="K166" s="392"/>
      <c r="L166" s="392"/>
      <c r="M166" s="392"/>
      <c r="N166" s="392"/>
      <c r="O166" s="750"/>
      <c r="P166" s="392"/>
      <c r="Q166" s="392"/>
      <c r="R166" s="392"/>
      <c r="S166" s="750"/>
      <c r="T166" s="392"/>
      <c r="U166" s="750"/>
      <c r="V166" s="392"/>
      <c r="W166" s="750"/>
      <c r="X166" s="378"/>
      <c r="Y166" s="180"/>
      <c r="Z166" s="180"/>
      <c r="AA166" s="180"/>
      <c r="AB166" s="180"/>
    </row>
    <row r="167" spans="1:28" s="202" customFormat="1">
      <c r="A167" s="631"/>
      <c r="B167" s="634"/>
      <c r="C167" s="466"/>
      <c r="D167" s="466"/>
      <c r="E167" s="466"/>
      <c r="F167" s="466"/>
      <c r="G167" s="466"/>
      <c r="H167" s="466"/>
      <c r="I167" s="751"/>
      <c r="J167" s="466"/>
      <c r="K167" s="466"/>
      <c r="L167" s="466"/>
      <c r="M167" s="466"/>
      <c r="N167" s="466"/>
      <c r="O167" s="751"/>
      <c r="P167" s="1461"/>
      <c r="Q167" s="466"/>
      <c r="R167" s="466"/>
      <c r="S167" s="751"/>
      <c r="T167" s="466"/>
      <c r="U167" s="751"/>
      <c r="V167" s="466"/>
      <c r="W167" s="751"/>
      <c r="X167" s="378"/>
      <c r="Y167" s="180"/>
      <c r="Z167" s="180"/>
      <c r="AA167" s="180"/>
      <c r="AB167" s="180"/>
    </row>
    <row r="168" spans="1:28">
      <c r="A168" s="631"/>
      <c r="B168" s="388"/>
      <c r="C168" s="391"/>
      <c r="D168" s="391"/>
      <c r="E168" s="391"/>
      <c r="F168" s="391"/>
      <c r="G168" s="391"/>
      <c r="H168" s="391"/>
      <c r="I168" s="749"/>
      <c r="J168" s="391"/>
      <c r="K168" s="391"/>
      <c r="L168" s="391"/>
      <c r="M168" s="391"/>
      <c r="N168" s="391"/>
      <c r="O168" s="749"/>
      <c r="P168" s="391"/>
      <c r="Q168" s="391"/>
      <c r="R168" s="391"/>
      <c r="S168" s="749"/>
      <c r="T168" s="391"/>
      <c r="U168" s="749"/>
      <c r="V168" s="391"/>
      <c r="W168" s="749"/>
      <c r="X168" s="378"/>
      <c r="Y168" s="180"/>
      <c r="Z168" s="180"/>
      <c r="AA168" s="180"/>
      <c r="AB168" s="180"/>
    </row>
    <row r="169" spans="1:28" s="203" customFormat="1">
      <c r="A169" s="631"/>
      <c r="B169" s="389"/>
      <c r="C169" s="392"/>
      <c r="D169" s="392"/>
      <c r="E169" s="392"/>
      <c r="F169" s="392"/>
      <c r="G169" s="392"/>
      <c r="H169" s="392"/>
      <c r="I169" s="750"/>
      <c r="J169" s="392"/>
      <c r="K169" s="392"/>
      <c r="L169" s="392"/>
      <c r="M169" s="392"/>
      <c r="N169" s="392"/>
      <c r="O169" s="750"/>
      <c r="P169" s="392"/>
      <c r="Q169" s="392"/>
      <c r="R169" s="392"/>
      <c r="S169" s="750"/>
      <c r="T169" s="392"/>
      <c r="U169" s="750"/>
      <c r="V169" s="392"/>
      <c r="W169" s="750"/>
      <c r="X169" s="378"/>
      <c r="Y169" s="180"/>
      <c r="Z169" s="180"/>
      <c r="AA169" s="180"/>
      <c r="AB169" s="180"/>
    </row>
    <row r="170" spans="1:28" s="202" customFormat="1">
      <c r="A170" s="631"/>
      <c r="B170" s="634"/>
      <c r="C170" s="466"/>
      <c r="D170" s="466"/>
      <c r="E170" s="466"/>
      <c r="F170" s="466"/>
      <c r="G170" s="466"/>
      <c r="H170" s="466"/>
      <c r="I170" s="751"/>
      <c r="J170" s="466"/>
      <c r="K170" s="466"/>
      <c r="L170" s="466"/>
      <c r="M170" s="466"/>
      <c r="N170" s="466"/>
      <c r="O170" s="751"/>
      <c r="P170" s="466"/>
      <c r="Q170" s="466"/>
      <c r="R170" s="466"/>
      <c r="S170" s="751"/>
      <c r="T170" s="466"/>
      <c r="U170" s="751"/>
      <c r="V170" s="466"/>
      <c r="W170" s="751"/>
      <c r="X170" s="378"/>
      <c r="Y170" s="180"/>
      <c r="Z170" s="180"/>
      <c r="AA170" s="180"/>
      <c r="AB170" s="180"/>
    </row>
    <row r="171" spans="1:28">
      <c r="A171" s="631"/>
      <c r="B171" s="388"/>
      <c r="C171" s="391"/>
      <c r="D171" s="391"/>
      <c r="E171" s="391"/>
      <c r="F171" s="391"/>
      <c r="G171" s="391"/>
      <c r="H171" s="391"/>
      <c r="I171" s="749"/>
      <c r="J171" s="391"/>
      <c r="K171" s="391"/>
      <c r="L171" s="391"/>
      <c r="M171" s="391"/>
      <c r="N171" s="391"/>
      <c r="O171" s="749"/>
      <c r="P171" s="391"/>
      <c r="Q171" s="391"/>
      <c r="R171" s="391"/>
      <c r="S171" s="749"/>
      <c r="T171" s="391"/>
      <c r="U171" s="749"/>
      <c r="V171" s="391"/>
      <c r="W171" s="749"/>
      <c r="X171" s="378"/>
      <c r="Y171" s="180"/>
      <c r="Z171" s="180"/>
      <c r="AA171" s="180"/>
      <c r="AB171" s="180"/>
    </row>
    <row r="172" spans="1:28" s="203" customFormat="1">
      <c r="A172" s="631"/>
      <c r="B172" s="389"/>
      <c r="C172" s="392"/>
      <c r="D172" s="392"/>
      <c r="E172" s="392"/>
      <c r="F172" s="392"/>
      <c r="G172" s="392"/>
      <c r="H172" s="392"/>
      <c r="I172" s="750"/>
      <c r="J172" s="392"/>
      <c r="K172" s="392"/>
      <c r="L172" s="392"/>
      <c r="M172" s="392"/>
      <c r="N172" s="392"/>
      <c r="O172" s="750"/>
      <c r="P172" s="392"/>
      <c r="Q172" s="392"/>
      <c r="R172" s="392"/>
      <c r="S172" s="750"/>
      <c r="T172" s="392"/>
      <c r="U172" s="750"/>
      <c r="V172" s="392"/>
      <c r="W172" s="750"/>
      <c r="X172" s="378"/>
      <c r="Y172" s="180"/>
      <c r="Z172" s="180"/>
      <c r="AA172" s="180"/>
      <c r="AB172" s="180"/>
    </row>
    <row r="173" spans="1:28" s="202" customFormat="1">
      <c r="A173" s="631"/>
      <c r="B173" s="634"/>
      <c r="C173" s="466"/>
      <c r="D173" s="466"/>
      <c r="E173" s="466"/>
      <c r="F173" s="466"/>
      <c r="G173" s="466"/>
      <c r="H173" s="466"/>
      <c r="I173" s="751"/>
      <c r="J173" s="466"/>
      <c r="K173" s="466"/>
      <c r="L173" s="466"/>
      <c r="M173" s="466"/>
      <c r="N173" s="466"/>
      <c r="O173" s="751"/>
      <c r="P173" s="466"/>
      <c r="Q173" s="466"/>
      <c r="R173" s="466"/>
      <c r="S173" s="751"/>
      <c r="T173" s="466"/>
      <c r="U173" s="751"/>
      <c r="V173" s="466"/>
      <c r="W173" s="751"/>
      <c r="X173" s="378"/>
      <c r="Y173" s="180"/>
      <c r="Z173" s="180"/>
      <c r="AA173" s="180"/>
      <c r="AB173" s="180"/>
    </row>
    <row r="174" spans="1:28">
      <c r="A174" s="631"/>
      <c r="B174" s="388"/>
      <c r="C174" s="391"/>
      <c r="D174" s="391"/>
      <c r="E174" s="391"/>
      <c r="F174" s="391"/>
      <c r="G174" s="391"/>
      <c r="H174" s="391"/>
      <c r="I174" s="749"/>
      <c r="J174" s="391"/>
      <c r="K174" s="391"/>
      <c r="L174" s="391"/>
      <c r="M174" s="391"/>
      <c r="N174" s="391"/>
      <c r="O174" s="749"/>
      <c r="P174" s="391"/>
      <c r="Q174" s="391"/>
      <c r="R174" s="391"/>
      <c r="S174" s="749"/>
      <c r="T174" s="391"/>
      <c r="U174" s="749"/>
      <c r="V174" s="391"/>
      <c r="W174" s="749"/>
      <c r="X174" s="378"/>
      <c r="Y174" s="180"/>
      <c r="Z174" s="180"/>
      <c r="AA174" s="180"/>
      <c r="AB174" s="180"/>
    </row>
    <row r="175" spans="1:28" s="203" customFormat="1">
      <c r="A175" s="631"/>
      <c r="B175" s="389"/>
      <c r="C175" s="392"/>
      <c r="D175" s="392"/>
      <c r="E175" s="392"/>
      <c r="F175" s="392"/>
      <c r="G175" s="392"/>
      <c r="H175" s="392"/>
      <c r="I175" s="750"/>
      <c r="J175" s="392"/>
      <c r="K175" s="392"/>
      <c r="L175" s="392"/>
      <c r="M175" s="392"/>
      <c r="N175" s="392"/>
      <c r="O175" s="750"/>
      <c r="P175" s="392"/>
      <c r="Q175" s="392"/>
      <c r="R175" s="392"/>
      <c r="S175" s="750"/>
      <c r="T175" s="392"/>
      <c r="U175" s="750"/>
      <c r="V175" s="392"/>
      <c r="W175" s="750"/>
      <c r="X175" s="378"/>
      <c r="Y175" s="180"/>
      <c r="Z175" s="180"/>
      <c r="AA175" s="180"/>
      <c r="AB175" s="180"/>
    </row>
    <row r="176" spans="1:28" s="202" customFormat="1">
      <c r="A176" s="631"/>
      <c r="B176" s="634"/>
      <c r="C176" s="466"/>
      <c r="D176" s="466"/>
      <c r="E176" s="466"/>
      <c r="F176" s="466"/>
      <c r="G176" s="466"/>
      <c r="H176" s="466"/>
      <c r="I176" s="751"/>
      <c r="J176" s="466"/>
      <c r="K176" s="466"/>
      <c r="L176" s="466"/>
      <c r="M176" s="466"/>
      <c r="N176" s="466"/>
      <c r="O176" s="751"/>
      <c r="P176" s="466"/>
      <c r="Q176" s="466"/>
      <c r="R176" s="466"/>
      <c r="S176" s="751"/>
      <c r="T176" s="466"/>
      <c r="U176" s="751"/>
      <c r="V176" s="466"/>
      <c r="W176" s="751"/>
      <c r="X176" s="378"/>
      <c r="Y176" s="180"/>
      <c r="Z176" s="180"/>
      <c r="AA176" s="180"/>
      <c r="AB176" s="180"/>
    </row>
    <row r="177" spans="1:28">
      <c r="A177" s="631"/>
      <c r="B177" s="752"/>
      <c r="C177" s="749"/>
      <c r="D177" s="749"/>
      <c r="E177" s="749"/>
      <c r="F177" s="749"/>
      <c r="G177" s="749"/>
      <c r="H177" s="749"/>
      <c r="I177" s="749"/>
      <c r="J177" s="749"/>
      <c r="K177" s="749"/>
      <c r="L177" s="749"/>
      <c r="M177" s="749"/>
      <c r="N177" s="749"/>
      <c r="O177" s="749"/>
      <c r="P177" s="749"/>
      <c r="Q177" s="749"/>
      <c r="R177" s="749"/>
      <c r="S177" s="749"/>
      <c r="T177" s="749"/>
      <c r="U177" s="749"/>
      <c r="V177" s="749"/>
      <c r="W177" s="749"/>
      <c r="X177" s="378"/>
      <c r="Y177" s="180"/>
      <c r="Z177" s="180"/>
      <c r="AA177" s="180"/>
      <c r="AB177" s="180"/>
    </row>
    <row r="178" spans="1:28" s="203" customFormat="1">
      <c r="A178" s="631"/>
      <c r="B178" s="753"/>
      <c r="C178" s="750"/>
      <c r="D178" s="750"/>
      <c r="E178" s="750"/>
      <c r="F178" s="750"/>
      <c r="G178" s="750"/>
      <c r="H178" s="750"/>
      <c r="I178" s="750"/>
      <c r="J178" s="750"/>
      <c r="K178" s="750"/>
      <c r="L178" s="750"/>
      <c r="M178" s="750"/>
      <c r="N178" s="750"/>
      <c r="O178" s="750"/>
      <c r="P178" s="750"/>
      <c r="Q178" s="750"/>
      <c r="R178" s="750"/>
      <c r="S178" s="750"/>
      <c r="T178" s="750"/>
      <c r="U178" s="750"/>
      <c r="V178" s="750"/>
      <c r="W178" s="750"/>
      <c r="X178" s="378"/>
      <c r="Y178" s="180"/>
      <c r="Z178" s="180"/>
      <c r="AA178" s="180"/>
      <c r="AB178" s="180"/>
    </row>
    <row r="179" spans="1:28" s="202" customFormat="1">
      <c r="A179" s="631"/>
      <c r="B179" s="754"/>
      <c r="C179" s="751"/>
      <c r="D179" s="751"/>
      <c r="E179" s="751"/>
      <c r="F179" s="751"/>
      <c r="G179" s="751"/>
      <c r="H179" s="751"/>
      <c r="I179" s="751"/>
      <c r="J179" s="751"/>
      <c r="K179" s="751"/>
      <c r="L179" s="751"/>
      <c r="M179" s="751"/>
      <c r="N179" s="751"/>
      <c r="O179" s="751"/>
      <c r="P179" s="751"/>
      <c r="Q179" s="751"/>
      <c r="R179" s="751"/>
      <c r="S179" s="751"/>
      <c r="T179" s="751"/>
      <c r="U179" s="751"/>
      <c r="V179" s="751"/>
      <c r="W179" s="751"/>
      <c r="X179" s="378"/>
      <c r="Y179" s="180"/>
      <c r="Z179" s="180"/>
      <c r="AA179" s="180"/>
      <c r="AB179" s="180"/>
    </row>
    <row r="180" spans="1:28">
      <c r="A180" s="631"/>
      <c r="B180" s="388"/>
      <c r="C180" s="391"/>
      <c r="D180" s="391"/>
      <c r="E180" s="391"/>
      <c r="F180" s="391"/>
      <c r="G180" s="391"/>
      <c r="H180" s="391"/>
      <c r="I180" s="749"/>
      <c r="J180" s="391"/>
      <c r="K180" s="391"/>
      <c r="L180" s="391"/>
      <c r="M180" s="391"/>
      <c r="N180" s="391"/>
      <c r="O180" s="749"/>
      <c r="P180" s="391"/>
      <c r="Q180" s="391"/>
      <c r="R180" s="391"/>
      <c r="S180" s="749"/>
      <c r="T180" s="391"/>
      <c r="U180" s="749"/>
      <c r="V180" s="391"/>
      <c r="W180" s="749"/>
      <c r="X180" s="378"/>
      <c r="Y180" s="180"/>
      <c r="Z180" s="180"/>
      <c r="AA180" s="180"/>
      <c r="AB180" s="180"/>
    </row>
    <row r="181" spans="1:28" s="203" customFormat="1">
      <c r="A181" s="631"/>
      <c r="B181" s="389"/>
      <c r="C181" s="392"/>
      <c r="D181" s="392"/>
      <c r="E181" s="392"/>
      <c r="F181" s="392"/>
      <c r="G181" s="392"/>
      <c r="H181" s="392"/>
      <c r="I181" s="750"/>
      <c r="J181" s="392"/>
      <c r="K181" s="392"/>
      <c r="L181" s="392"/>
      <c r="M181" s="392"/>
      <c r="N181" s="392"/>
      <c r="O181" s="750"/>
      <c r="P181" s="392"/>
      <c r="Q181" s="392"/>
      <c r="R181" s="392"/>
      <c r="S181" s="750"/>
      <c r="T181" s="392"/>
      <c r="U181" s="750"/>
      <c r="V181" s="392"/>
      <c r="W181" s="750"/>
      <c r="X181" s="378"/>
      <c r="Y181" s="180"/>
      <c r="Z181" s="180"/>
      <c r="AA181" s="180"/>
      <c r="AB181" s="180"/>
    </row>
    <row r="182" spans="1:28" s="202" customFormat="1">
      <c r="A182" s="631"/>
      <c r="B182" s="634"/>
      <c r="C182" s="466"/>
      <c r="D182" s="466"/>
      <c r="E182" s="466"/>
      <c r="F182" s="466"/>
      <c r="G182" s="466"/>
      <c r="H182" s="466"/>
      <c r="I182" s="751"/>
      <c r="J182" s="466"/>
      <c r="K182" s="466"/>
      <c r="L182" s="466"/>
      <c r="M182" s="466"/>
      <c r="N182" s="466"/>
      <c r="O182" s="751"/>
      <c r="P182" s="466"/>
      <c r="Q182" s="466"/>
      <c r="R182" s="466"/>
      <c r="S182" s="751"/>
      <c r="T182" s="466"/>
      <c r="U182" s="751"/>
      <c r="V182" s="466"/>
      <c r="W182" s="751"/>
      <c r="X182" s="378"/>
      <c r="Y182" s="180"/>
      <c r="Z182" s="180"/>
      <c r="AA182" s="180"/>
      <c r="AB182" s="180"/>
    </row>
    <row r="183" spans="1:28">
      <c r="A183" s="631"/>
      <c r="B183" s="388"/>
      <c r="C183" s="391"/>
      <c r="D183" s="391"/>
      <c r="E183" s="391"/>
      <c r="F183" s="391"/>
      <c r="G183" s="391"/>
      <c r="H183" s="391"/>
      <c r="I183" s="749"/>
      <c r="J183" s="391"/>
      <c r="K183" s="391"/>
      <c r="L183" s="391"/>
      <c r="M183" s="391"/>
      <c r="N183" s="391"/>
      <c r="O183" s="749"/>
      <c r="P183" s="391"/>
      <c r="Q183" s="391"/>
      <c r="R183" s="391"/>
      <c r="S183" s="749"/>
      <c r="T183" s="391"/>
      <c r="U183" s="749"/>
      <c r="V183" s="391"/>
      <c r="W183" s="749"/>
      <c r="X183" s="378"/>
      <c r="Y183" s="180"/>
      <c r="Z183" s="180"/>
      <c r="AA183" s="180"/>
      <c r="AB183" s="180"/>
    </row>
    <row r="184" spans="1:28" s="203" customFormat="1">
      <c r="A184" s="631"/>
      <c r="B184" s="389"/>
      <c r="C184" s="392"/>
      <c r="D184" s="392"/>
      <c r="E184" s="392"/>
      <c r="F184" s="392"/>
      <c r="G184" s="392"/>
      <c r="H184" s="392"/>
      <c r="I184" s="750"/>
      <c r="J184" s="392"/>
      <c r="K184" s="392"/>
      <c r="L184" s="392"/>
      <c r="M184" s="392"/>
      <c r="N184" s="392"/>
      <c r="O184" s="750"/>
      <c r="P184" s="392"/>
      <c r="Q184" s="392"/>
      <c r="R184" s="392"/>
      <c r="S184" s="750"/>
      <c r="T184" s="392"/>
      <c r="U184" s="750"/>
      <c r="V184" s="392"/>
      <c r="W184" s="750"/>
      <c r="X184" s="378"/>
      <c r="Y184" s="180"/>
      <c r="Z184" s="180"/>
      <c r="AA184" s="180"/>
      <c r="AB184" s="180"/>
    </row>
    <row r="185" spans="1:28" s="202" customFormat="1">
      <c r="A185" s="631"/>
      <c r="B185" s="634"/>
      <c r="C185" s="466"/>
      <c r="D185" s="466"/>
      <c r="E185" s="466"/>
      <c r="F185" s="466"/>
      <c r="G185" s="466"/>
      <c r="H185" s="466"/>
      <c r="I185" s="751"/>
      <c r="J185" s="466"/>
      <c r="K185" s="466"/>
      <c r="L185" s="466"/>
      <c r="M185" s="466"/>
      <c r="N185" s="466"/>
      <c r="O185" s="751"/>
      <c r="P185" s="466"/>
      <c r="Q185" s="466"/>
      <c r="R185" s="466"/>
      <c r="S185" s="751"/>
      <c r="T185" s="466"/>
      <c r="U185" s="751"/>
      <c r="V185" s="466"/>
      <c r="W185" s="751"/>
      <c r="X185" s="378"/>
      <c r="Y185" s="180"/>
      <c r="Z185" s="180"/>
      <c r="AA185" s="180"/>
      <c r="AB185" s="180"/>
    </row>
    <row r="186" spans="1:28">
      <c r="A186" s="631"/>
      <c r="B186" s="388"/>
      <c r="C186" s="391"/>
      <c r="D186" s="391"/>
      <c r="E186" s="391"/>
      <c r="F186" s="391"/>
      <c r="G186" s="391"/>
      <c r="H186" s="391"/>
      <c r="I186" s="749"/>
      <c r="J186" s="391"/>
      <c r="K186" s="391"/>
      <c r="L186" s="391"/>
      <c r="M186" s="391"/>
      <c r="N186" s="391"/>
      <c r="O186" s="749"/>
      <c r="P186" s="391"/>
      <c r="Q186" s="391"/>
      <c r="R186" s="391"/>
      <c r="S186" s="749"/>
      <c r="T186" s="391"/>
      <c r="U186" s="749"/>
      <c r="V186" s="391"/>
      <c r="W186" s="749"/>
      <c r="X186" s="378"/>
      <c r="Y186" s="180"/>
      <c r="Z186" s="180"/>
      <c r="AA186" s="180"/>
      <c r="AB186" s="180"/>
    </row>
    <row r="187" spans="1:28" s="203" customFormat="1">
      <c r="A187" s="631"/>
      <c r="B187" s="389"/>
      <c r="C187" s="392"/>
      <c r="D187" s="392"/>
      <c r="E187" s="392"/>
      <c r="F187" s="392"/>
      <c r="G187" s="392"/>
      <c r="H187" s="392"/>
      <c r="I187" s="750"/>
      <c r="J187" s="392"/>
      <c r="K187" s="392"/>
      <c r="L187" s="392"/>
      <c r="M187" s="392"/>
      <c r="N187" s="392"/>
      <c r="O187" s="750"/>
      <c r="P187" s="392"/>
      <c r="Q187" s="392"/>
      <c r="R187" s="392"/>
      <c r="S187" s="750"/>
      <c r="T187" s="392"/>
      <c r="U187" s="750"/>
      <c r="V187" s="392"/>
      <c r="W187" s="750"/>
      <c r="X187" s="378"/>
      <c r="Y187" s="180"/>
      <c r="Z187" s="180"/>
      <c r="AA187" s="180"/>
      <c r="AB187" s="180"/>
    </row>
    <row r="188" spans="1:28" s="202" customFormat="1">
      <c r="A188" s="631"/>
      <c r="B188" s="634"/>
      <c r="C188" s="466"/>
      <c r="D188" s="466"/>
      <c r="E188" s="466"/>
      <c r="F188" s="466"/>
      <c r="G188" s="466"/>
      <c r="H188" s="466"/>
      <c r="I188" s="751"/>
      <c r="J188" s="466"/>
      <c r="K188" s="466"/>
      <c r="L188" s="466"/>
      <c r="M188" s="466"/>
      <c r="N188" s="466"/>
      <c r="O188" s="751"/>
      <c r="P188" s="466"/>
      <c r="Q188" s="466"/>
      <c r="R188" s="466"/>
      <c r="S188" s="751"/>
      <c r="T188" s="466"/>
      <c r="U188" s="751"/>
      <c r="V188" s="466"/>
      <c r="W188" s="751"/>
      <c r="X188" s="378"/>
      <c r="Y188" s="180"/>
      <c r="Z188" s="180"/>
      <c r="AA188" s="180"/>
      <c r="AB188" s="180"/>
    </row>
    <row r="189" spans="1:28">
      <c r="A189" s="631"/>
      <c r="B189" s="388"/>
      <c r="C189" s="391"/>
      <c r="D189" s="391"/>
      <c r="E189" s="391"/>
      <c r="F189" s="391"/>
      <c r="G189" s="391"/>
      <c r="H189" s="391"/>
      <c r="I189" s="749"/>
      <c r="J189" s="391"/>
      <c r="K189" s="391"/>
      <c r="L189" s="391"/>
      <c r="M189" s="391"/>
      <c r="N189" s="391"/>
      <c r="O189" s="749"/>
      <c r="P189" s="391"/>
      <c r="Q189" s="391"/>
      <c r="R189" s="391"/>
      <c r="S189" s="749"/>
      <c r="T189" s="391"/>
      <c r="U189" s="749"/>
      <c r="V189" s="391"/>
      <c r="W189" s="749"/>
      <c r="X189" s="378"/>
      <c r="Y189" s="180"/>
      <c r="Z189" s="180"/>
      <c r="AA189" s="180"/>
      <c r="AB189" s="180"/>
    </row>
    <row r="190" spans="1:28" s="203" customFormat="1">
      <c r="A190" s="631"/>
      <c r="B190" s="389"/>
      <c r="C190" s="392"/>
      <c r="D190" s="392"/>
      <c r="E190" s="392"/>
      <c r="F190" s="392"/>
      <c r="G190" s="392"/>
      <c r="H190" s="392"/>
      <c r="I190" s="750"/>
      <c r="J190" s="392"/>
      <c r="K190" s="392"/>
      <c r="L190" s="392"/>
      <c r="M190" s="392"/>
      <c r="N190" s="392"/>
      <c r="O190" s="750"/>
      <c r="P190" s="392"/>
      <c r="Q190" s="392"/>
      <c r="R190" s="392"/>
      <c r="S190" s="750"/>
      <c r="T190" s="392"/>
      <c r="U190" s="750"/>
      <c r="V190" s="392"/>
      <c r="W190" s="750"/>
      <c r="X190" s="378"/>
      <c r="Y190" s="180"/>
      <c r="Z190" s="180"/>
      <c r="AA190" s="180"/>
      <c r="AB190" s="180"/>
    </row>
    <row r="191" spans="1:28" s="202" customFormat="1">
      <c r="A191" s="631"/>
      <c r="B191" s="634"/>
      <c r="C191" s="466"/>
      <c r="D191" s="466"/>
      <c r="E191" s="466"/>
      <c r="F191" s="466"/>
      <c r="G191" s="466"/>
      <c r="H191" s="466"/>
      <c r="I191" s="751"/>
      <c r="J191" s="466"/>
      <c r="K191" s="466"/>
      <c r="L191" s="466"/>
      <c r="M191" s="466"/>
      <c r="N191" s="466"/>
      <c r="O191" s="751"/>
      <c r="P191" s="466"/>
      <c r="Q191" s="466"/>
      <c r="R191" s="466"/>
      <c r="S191" s="751"/>
      <c r="T191" s="466"/>
      <c r="U191" s="751"/>
      <c r="V191" s="466"/>
      <c r="W191" s="751"/>
      <c r="X191" s="378"/>
      <c r="Y191" s="180"/>
      <c r="Z191" s="180"/>
      <c r="AA191" s="180"/>
      <c r="AB191" s="180"/>
    </row>
    <row r="192" spans="1:28">
      <c r="A192" s="631"/>
      <c r="B192" s="388"/>
      <c r="C192" s="391"/>
      <c r="D192" s="391"/>
      <c r="E192" s="391"/>
      <c r="F192" s="391"/>
      <c r="G192" s="391"/>
      <c r="H192" s="391"/>
      <c r="I192" s="749"/>
      <c r="J192" s="391"/>
      <c r="K192" s="391"/>
      <c r="L192" s="391"/>
      <c r="M192" s="391"/>
      <c r="N192" s="391"/>
      <c r="O192" s="749"/>
      <c r="P192" s="391"/>
      <c r="Q192" s="391"/>
      <c r="R192" s="391"/>
      <c r="S192" s="749"/>
      <c r="T192" s="391"/>
      <c r="U192" s="749"/>
      <c r="V192" s="391"/>
      <c r="W192" s="749"/>
      <c r="X192" s="378"/>
      <c r="Y192" s="180"/>
      <c r="Z192" s="180"/>
      <c r="AA192" s="180"/>
      <c r="AB192" s="180"/>
    </row>
    <row r="193" spans="1:28" s="203" customFormat="1">
      <c r="A193" s="631"/>
      <c r="B193" s="389"/>
      <c r="C193" s="392"/>
      <c r="D193" s="392"/>
      <c r="E193" s="392"/>
      <c r="F193" s="392"/>
      <c r="G193" s="392"/>
      <c r="H193" s="392"/>
      <c r="I193" s="750"/>
      <c r="J193" s="392"/>
      <c r="K193" s="392"/>
      <c r="L193" s="392"/>
      <c r="M193" s="392"/>
      <c r="N193" s="392"/>
      <c r="O193" s="750"/>
      <c r="P193" s="392"/>
      <c r="Q193" s="392"/>
      <c r="R193" s="392"/>
      <c r="S193" s="750"/>
      <c r="T193" s="392"/>
      <c r="U193" s="750"/>
      <c r="V193" s="392"/>
      <c r="W193" s="750"/>
      <c r="X193" s="378"/>
      <c r="Y193" s="180"/>
      <c r="Z193" s="180"/>
      <c r="AA193" s="180"/>
      <c r="AB193" s="180"/>
    </row>
    <row r="194" spans="1:28" s="202" customFormat="1">
      <c r="A194" s="631"/>
      <c r="B194" s="634"/>
      <c r="C194" s="466"/>
      <c r="D194" s="466"/>
      <c r="E194" s="466"/>
      <c r="F194" s="466"/>
      <c r="G194" s="466"/>
      <c r="H194" s="466"/>
      <c r="I194" s="751"/>
      <c r="J194" s="466"/>
      <c r="K194" s="466"/>
      <c r="L194" s="466"/>
      <c r="M194" s="466"/>
      <c r="N194" s="466"/>
      <c r="O194" s="751"/>
      <c r="P194" s="466"/>
      <c r="Q194" s="466"/>
      <c r="R194" s="466"/>
      <c r="S194" s="751"/>
      <c r="T194" s="466"/>
      <c r="U194" s="751"/>
      <c r="V194" s="466"/>
      <c r="W194" s="751"/>
      <c r="X194" s="378"/>
      <c r="Y194" s="180"/>
      <c r="Z194" s="180"/>
      <c r="AA194" s="180"/>
      <c r="AB194" s="180"/>
    </row>
    <row r="195" spans="1:28">
      <c r="A195" s="631"/>
      <c r="B195" s="388"/>
      <c r="C195" s="391"/>
      <c r="D195" s="391"/>
      <c r="E195" s="391"/>
      <c r="F195" s="391"/>
      <c r="G195" s="391"/>
      <c r="H195" s="391"/>
      <c r="I195" s="749"/>
      <c r="J195" s="391"/>
      <c r="K195" s="391"/>
      <c r="L195" s="391"/>
      <c r="M195" s="391"/>
      <c r="N195" s="391"/>
      <c r="O195" s="749"/>
      <c r="P195" s="391"/>
      <c r="Q195" s="391"/>
      <c r="R195" s="391"/>
      <c r="S195" s="749"/>
      <c r="T195" s="391"/>
      <c r="U195" s="749"/>
      <c r="V195" s="391"/>
      <c r="W195" s="749"/>
      <c r="X195" s="378"/>
      <c r="Y195" s="180"/>
      <c r="Z195" s="180"/>
      <c r="AA195" s="180"/>
      <c r="AB195" s="180"/>
    </row>
    <row r="196" spans="1:28" s="203" customFormat="1">
      <c r="A196" s="631"/>
      <c r="B196" s="389"/>
      <c r="C196" s="392"/>
      <c r="D196" s="392"/>
      <c r="E196" s="392"/>
      <c r="F196" s="392"/>
      <c r="G196" s="392"/>
      <c r="H196" s="392"/>
      <c r="I196" s="750"/>
      <c r="J196" s="392"/>
      <c r="K196" s="392"/>
      <c r="L196" s="392"/>
      <c r="M196" s="392"/>
      <c r="N196" s="392"/>
      <c r="O196" s="750"/>
      <c r="P196" s="392"/>
      <c r="Q196" s="392"/>
      <c r="R196" s="392"/>
      <c r="S196" s="750"/>
      <c r="T196" s="392"/>
      <c r="U196" s="750"/>
      <c r="V196" s="392"/>
      <c r="W196" s="750"/>
      <c r="X196" s="378"/>
      <c r="Y196" s="180"/>
      <c r="Z196" s="180"/>
      <c r="AA196" s="180"/>
      <c r="AB196" s="180"/>
    </row>
    <row r="197" spans="1:28" s="202" customFormat="1">
      <c r="A197" s="631"/>
      <c r="B197" s="634"/>
      <c r="C197" s="1461"/>
      <c r="D197" s="466"/>
      <c r="E197" s="466"/>
      <c r="F197" s="1461"/>
      <c r="G197" s="466"/>
      <c r="H197" s="466"/>
      <c r="I197" s="751"/>
      <c r="J197" s="466"/>
      <c r="K197" s="466"/>
      <c r="L197" s="466"/>
      <c r="M197" s="466"/>
      <c r="N197" s="466"/>
      <c r="O197" s="751"/>
      <c r="P197" s="466"/>
      <c r="Q197" s="466"/>
      <c r="R197" s="466"/>
      <c r="S197" s="751"/>
      <c r="T197" s="466"/>
      <c r="U197" s="751"/>
      <c r="V197" s="466"/>
      <c r="W197" s="751"/>
      <c r="X197" s="378"/>
      <c r="Y197" s="180"/>
      <c r="Z197" s="180"/>
      <c r="AA197" s="180"/>
      <c r="AB197" s="180"/>
    </row>
    <row r="198" spans="1:28">
      <c r="A198" s="631"/>
      <c r="B198" s="388"/>
      <c r="C198" s="391"/>
      <c r="D198" s="391"/>
      <c r="E198" s="391"/>
      <c r="F198" s="391"/>
      <c r="G198" s="391"/>
      <c r="H198" s="391"/>
      <c r="I198" s="749"/>
      <c r="J198" s="391"/>
      <c r="K198" s="391"/>
      <c r="L198" s="391"/>
      <c r="M198" s="391"/>
      <c r="N198" s="391"/>
      <c r="O198" s="749"/>
      <c r="P198" s="391"/>
      <c r="Q198" s="391"/>
      <c r="R198" s="391"/>
      <c r="S198" s="749"/>
      <c r="T198" s="391"/>
      <c r="U198" s="749"/>
      <c r="V198" s="391"/>
      <c r="W198" s="749"/>
      <c r="X198" s="378"/>
      <c r="Y198" s="180"/>
      <c r="Z198" s="180"/>
      <c r="AA198" s="180"/>
      <c r="AB198" s="180"/>
    </row>
    <row r="199" spans="1:28" s="203" customFormat="1">
      <c r="A199" s="631"/>
      <c r="B199" s="389"/>
      <c r="C199" s="392"/>
      <c r="D199" s="392"/>
      <c r="E199" s="392"/>
      <c r="F199" s="392"/>
      <c r="G199" s="392"/>
      <c r="H199" s="392"/>
      <c r="I199" s="750"/>
      <c r="J199" s="392"/>
      <c r="K199" s="392"/>
      <c r="L199" s="392"/>
      <c r="M199" s="392"/>
      <c r="N199" s="392"/>
      <c r="O199" s="750"/>
      <c r="P199" s="392"/>
      <c r="Q199" s="392"/>
      <c r="R199" s="392"/>
      <c r="S199" s="750"/>
      <c r="T199" s="392"/>
      <c r="U199" s="750"/>
      <c r="V199" s="392"/>
      <c r="W199" s="750"/>
      <c r="X199" s="378"/>
      <c r="Y199" s="180"/>
      <c r="Z199" s="180"/>
      <c r="AA199" s="180"/>
      <c r="AB199" s="180"/>
    </row>
    <row r="200" spans="1:28" s="212" customFormat="1" ht="13.5" thickBot="1">
      <c r="A200" s="635"/>
      <c r="B200" s="761"/>
      <c r="C200" s="762"/>
      <c r="D200" s="762"/>
      <c r="E200" s="762"/>
      <c r="F200" s="762"/>
      <c r="G200" s="762"/>
      <c r="H200" s="762"/>
      <c r="I200" s="763"/>
      <c r="J200" s="762"/>
      <c r="K200" s="762"/>
      <c r="L200" s="762"/>
      <c r="M200" s="762"/>
      <c r="N200" s="762"/>
      <c r="O200" s="763"/>
      <c r="P200" s="762"/>
      <c r="Q200" s="762"/>
      <c r="R200" s="762"/>
      <c r="S200" s="763"/>
      <c r="T200" s="762"/>
      <c r="U200" s="763"/>
      <c r="V200" s="762"/>
      <c r="W200" s="763"/>
      <c r="X200" s="378"/>
      <c r="Y200" s="180"/>
      <c r="Z200" s="180"/>
      <c r="AA200" s="180"/>
      <c r="AB200" s="180"/>
    </row>
    <row r="201" spans="1:28" ht="13.5" thickTop="1">
      <c r="A201" s="230"/>
      <c r="B201" s="764"/>
      <c r="C201" s="765"/>
      <c r="D201" s="765"/>
      <c r="E201" s="765"/>
      <c r="F201" s="765"/>
      <c r="G201" s="765"/>
      <c r="H201" s="765"/>
      <c r="I201" s="766"/>
      <c r="J201" s="765"/>
      <c r="K201" s="765"/>
      <c r="L201" s="765"/>
      <c r="M201" s="765"/>
      <c r="N201" s="765"/>
      <c r="O201" s="766"/>
      <c r="P201" s="765"/>
      <c r="Q201" s="765"/>
      <c r="R201" s="765"/>
      <c r="S201" s="766"/>
      <c r="T201" s="765"/>
      <c r="U201" s="766"/>
      <c r="V201" s="765"/>
      <c r="W201" s="766"/>
      <c r="X201" s="378"/>
      <c r="Y201" s="180"/>
      <c r="Z201" s="180"/>
      <c r="AA201" s="180"/>
      <c r="AB201" s="180"/>
    </row>
    <row r="202" spans="1:28" s="203" customFormat="1">
      <c r="A202" s="631"/>
      <c r="B202" s="389"/>
      <c r="C202" s="392"/>
      <c r="D202" s="392"/>
      <c r="E202" s="392"/>
      <c r="F202" s="392"/>
      <c r="G202" s="392"/>
      <c r="H202" s="392"/>
      <c r="I202" s="750"/>
      <c r="J202" s="392"/>
      <c r="K202" s="392"/>
      <c r="L202" s="392"/>
      <c r="M202" s="392"/>
      <c r="N202" s="392"/>
      <c r="O202" s="750"/>
      <c r="P202" s="392"/>
      <c r="Q202" s="392"/>
      <c r="R202" s="392"/>
      <c r="S202" s="750"/>
      <c r="T202" s="392"/>
      <c r="U202" s="750"/>
      <c r="V202" s="392"/>
      <c r="W202" s="750"/>
      <c r="X202" s="378"/>
      <c r="Y202" s="180"/>
      <c r="Z202" s="180"/>
      <c r="AA202" s="180"/>
      <c r="AB202" s="180"/>
    </row>
    <row r="203" spans="1:28" s="202" customFormat="1">
      <c r="A203" s="632"/>
      <c r="B203" s="634"/>
      <c r="C203" s="466"/>
      <c r="D203" s="466"/>
      <c r="E203" s="466"/>
      <c r="F203" s="466"/>
      <c r="G203" s="466"/>
      <c r="H203" s="466"/>
      <c r="I203" s="751"/>
      <c r="J203" s="466"/>
      <c r="K203" s="466"/>
      <c r="L203" s="466"/>
      <c r="M203" s="466"/>
      <c r="N203" s="466"/>
      <c r="O203" s="751"/>
      <c r="P203" s="466"/>
      <c r="Q203" s="466"/>
      <c r="R203" s="466"/>
      <c r="S203" s="751"/>
      <c r="T203" s="466"/>
      <c r="U203" s="751"/>
      <c r="V203" s="466"/>
      <c r="W203" s="751"/>
      <c r="X203" s="378"/>
      <c r="Y203" s="180"/>
      <c r="Z203" s="180"/>
      <c r="AA203" s="180"/>
      <c r="AB203" s="180"/>
    </row>
    <row r="204" spans="1:28">
      <c r="A204" s="631"/>
      <c r="B204" s="388"/>
      <c r="C204" s="391"/>
      <c r="D204" s="391"/>
      <c r="E204" s="391"/>
      <c r="F204" s="391"/>
      <c r="G204" s="391"/>
      <c r="H204" s="391"/>
      <c r="I204" s="749"/>
      <c r="J204" s="391"/>
      <c r="K204" s="391"/>
      <c r="L204" s="391"/>
      <c r="M204" s="391"/>
      <c r="N204" s="391"/>
      <c r="O204" s="749"/>
      <c r="P204" s="391"/>
      <c r="Q204" s="391"/>
      <c r="R204" s="391"/>
      <c r="S204" s="749"/>
      <c r="T204" s="391"/>
      <c r="U204" s="749"/>
      <c r="V204" s="391"/>
      <c r="W204" s="749"/>
      <c r="X204" s="378"/>
      <c r="Y204" s="180"/>
      <c r="Z204" s="180"/>
      <c r="AA204" s="180"/>
      <c r="AB204" s="180"/>
    </row>
    <row r="205" spans="1:28" s="203" customFormat="1">
      <c r="A205" s="631"/>
      <c r="B205" s="389"/>
      <c r="C205" s="392"/>
      <c r="D205" s="392"/>
      <c r="E205" s="392"/>
      <c r="F205" s="392"/>
      <c r="G205" s="392"/>
      <c r="H205" s="392"/>
      <c r="I205" s="750"/>
      <c r="J205" s="392"/>
      <c r="K205" s="392"/>
      <c r="L205" s="392"/>
      <c r="M205" s="392"/>
      <c r="N205" s="392"/>
      <c r="O205" s="750"/>
      <c r="P205" s="392"/>
      <c r="Q205" s="392"/>
      <c r="R205" s="392"/>
      <c r="S205" s="750"/>
      <c r="T205" s="392"/>
      <c r="U205" s="750"/>
      <c r="V205" s="392"/>
      <c r="W205" s="750"/>
      <c r="X205" s="378"/>
      <c r="Y205" s="180"/>
      <c r="Z205" s="180"/>
      <c r="AA205" s="180"/>
      <c r="AB205" s="180"/>
    </row>
    <row r="206" spans="1:28" s="202" customFormat="1">
      <c r="A206" s="631"/>
      <c r="B206" s="634"/>
      <c r="C206" s="466"/>
      <c r="D206" s="466"/>
      <c r="E206" s="466"/>
      <c r="F206" s="466"/>
      <c r="G206" s="466"/>
      <c r="H206" s="466"/>
      <c r="I206" s="751"/>
      <c r="J206" s="466"/>
      <c r="K206" s="466"/>
      <c r="L206" s="466"/>
      <c r="M206" s="466"/>
      <c r="N206" s="466"/>
      <c r="O206" s="751"/>
      <c r="P206" s="466"/>
      <c r="Q206" s="466"/>
      <c r="R206" s="466"/>
      <c r="S206" s="751"/>
      <c r="T206" s="466"/>
      <c r="U206" s="751"/>
      <c r="V206" s="466"/>
      <c r="W206" s="751"/>
      <c r="X206" s="378"/>
      <c r="Y206" s="180"/>
      <c r="Z206" s="180"/>
      <c r="AA206" s="180"/>
      <c r="AB206" s="180"/>
    </row>
    <row r="207" spans="1:28">
      <c r="A207" s="631"/>
      <c r="B207" s="388"/>
      <c r="C207" s="391"/>
      <c r="D207" s="391"/>
      <c r="E207" s="391"/>
      <c r="F207" s="391"/>
      <c r="G207" s="391"/>
      <c r="H207" s="391"/>
      <c r="I207" s="749"/>
      <c r="J207" s="391"/>
      <c r="K207" s="391"/>
      <c r="L207" s="391"/>
      <c r="M207" s="391"/>
      <c r="N207" s="391"/>
      <c r="O207" s="749"/>
      <c r="P207" s="391"/>
      <c r="Q207" s="391"/>
      <c r="R207" s="391"/>
      <c r="S207" s="749"/>
      <c r="T207" s="391"/>
      <c r="U207" s="749"/>
      <c r="V207" s="391"/>
      <c r="W207" s="749"/>
      <c r="X207" s="378"/>
      <c r="Y207" s="180"/>
      <c r="Z207" s="180"/>
      <c r="AA207" s="180"/>
      <c r="AB207" s="180"/>
    </row>
    <row r="208" spans="1:28" s="203" customFormat="1">
      <c r="A208" s="631"/>
      <c r="B208" s="389"/>
      <c r="C208" s="392"/>
      <c r="D208" s="392"/>
      <c r="E208" s="392"/>
      <c r="F208" s="392"/>
      <c r="G208" s="392"/>
      <c r="H208" s="392"/>
      <c r="I208" s="750"/>
      <c r="J208" s="392"/>
      <c r="K208" s="392"/>
      <c r="L208" s="392"/>
      <c r="M208" s="392"/>
      <c r="N208" s="392"/>
      <c r="O208" s="750"/>
      <c r="P208" s="392"/>
      <c r="Q208" s="392"/>
      <c r="R208" s="392"/>
      <c r="S208" s="750"/>
      <c r="T208" s="392"/>
      <c r="U208" s="750"/>
      <c r="V208" s="392"/>
      <c r="W208" s="750"/>
      <c r="X208" s="378"/>
      <c r="Y208" s="180"/>
      <c r="Z208" s="180"/>
      <c r="AA208" s="180"/>
      <c r="AB208" s="180"/>
    </row>
    <row r="209" spans="1:28" s="202" customFormat="1">
      <c r="A209" s="631"/>
      <c r="B209" s="634"/>
      <c r="C209" s="466"/>
      <c r="D209" s="466"/>
      <c r="E209" s="466"/>
      <c r="F209" s="466"/>
      <c r="G209" s="466"/>
      <c r="H209" s="466"/>
      <c r="I209" s="751"/>
      <c r="J209" s="466"/>
      <c r="K209" s="466"/>
      <c r="L209" s="466"/>
      <c r="M209" s="466"/>
      <c r="N209" s="466"/>
      <c r="O209" s="751"/>
      <c r="P209" s="466"/>
      <c r="Q209" s="466"/>
      <c r="R209" s="466"/>
      <c r="S209" s="751"/>
      <c r="T209" s="466"/>
      <c r="U209" s="751"/>
      <c r="V209" s="466"/>
      <c r="W209" s="751"/>
      <c r="X209" s="378"/>
      <c r="Y209" s="180"/>
      <c r="Z209" s="180"/>
      <c r="AA209" s="180"/>
      <c r="AB209" s="180"/>
    </row>
    <row r="210" spans="1:28">
      <c r="A210" s="631"/>
      <c r="B210" s="388"/>
      <c r="C210" s="391"/>
      <c r="D210" s="391"/>
      <c r="E210" s="391"/>
      <c r="F210" s="391"/>
      <c r="G210" s="391"/>
      <c r="H210" s="391"/>
      <c r="I210" s="749"/>
      <c r="J210" s="391"/>
      <c r="K210" s="391"/>
      <c r="L210" s="391"/>
      <c r="M210" s="391"/>
      <c r="N210" s="391"/>
      <c r="O210" s="749"/>
      <c r="P210" s="391"/>
      <c r="Q210" s="391"/>
      <c r="R210" s="391"/>
      <c r="S210" s="749"/>
      <c r="T210" s="391"/>
      <c r="U210" s="749"/>
      <c r="V210" s="391"/>
      <c r="W210" s="749"/>
      <c r="X210" s="378"/>
      <c r="Y210" s="180"/>
      <c r="Z210" s="180"/>
      <c r="AA210" s="180"/>
      <c r="AB210" s="180"/>
    </row>
    <row r="211" spans="1:28" s="203" customFormat="1">
      <c r="A211" s="631"/>
      <c r="B211" s="389"/>
      <c r="C211" s="392"/>
      <c r="D211" s="392"/>
      <c r="E211" s="392"/>
      <c r="F211" s="392"/>
      <c r="G211" s="392"/>
      <c r="H211" s="392"/>
      <c r="I211" s="750"/>
      <c r="J211" s="392"/>
      <c r="K211" s="392"/>
      <c r="L211" s="392"/>
      <c r="M211" s="392"/>
      <c r="N211" s="392"/>
      <c r="O211" s="750"/>
      <c r="P211" s="392"/>
      <c r="Q211" s="392"/>
      <c r="R211" s="392"/>
      <c r="S211" s="750"/>
      <c r="T211" s="392"/>
      <c r="U211" s="750"/>
      <c r="V211" s="392"/>
      <c r="W211" s="750"/>
      <c r="X211" s="378"/>
      <c r="Y211" s="180"/>
      <c r="Z211" s="180"/>
      <c r="AA211" s="180"/>
      <c r="AB211" s="180"/>
    </row>
    <row r="212" spans="1:28" s="202" customFormat="1">
      <c r="A212" s="631"/>
      <c r="B212" s="634"/>
      <c r="C212" s="466"/>
      <c r="D212" s="466"/>
      <c r="E212" s="466"/>
      <c r="F212" s="466"/>
      <c r="G212" s="466"/>
      <c r="H212" s="466"/>
      <c r="I212" s="751"/>
      <c r="J212" s="466"/>
      <c r="K212" s="466"/>
      <c r="L212" s="466"/>
      <c r="M212" s="466"/>
      <c r="N212" s="466"/>
      <c r="O212" s="751"/>
      <c r="P212" s="466"/>
      <c r="Q212" s="466"/>
      <c r="R212" s="466"/>
      <c r="S212" s="751"/>
      <c r="T212" s="466"/>
      <c r="U212" s="751"/>
      <c r="V212" s="466"/>
      <c r="W212" s="751"/>
      <c r="X212" s="378"/>
      <c r="Y212" s="180"/>
      <c r="Z212" s="180"/>
      <c r="AA212" s="180"/>
      <c r="AB212" s="180"/>
    </row>
    <row r="213" spans="1:28">
      <c r="A213" s="631"/>
      <c r="B213" s="388"/>
      <c r="C213" s="391"/>
      <c r="D213" s="391"/>
      <c r="E213" s="391"/>
      <c r="F213" s="391"/>
      <c r="G213" s="391"/>
      <c r="H213" s="391"/>
      <c r="I213" s="749"/>
      <c r="J213" s="391"/>
      <c r="K213" s="391"/>
      <c r="L213" s="391"/>
      <c r="M213" s="391"/>
      <c r="N213" s="391"/>
      <c r="O213" s="749"/>
      <c r="P213" s="391"/>
      <c r="Q213" s="391"/>
      <c r="R213" s="391"/>
      <c r="S213" s="749"/>
      <c r="T213" s="391"/>
      <c r="U213" s="749"/>
      <c r="V213" s="391"/>
      <c r="W213" s="749"/>
      <c r="X213" s="378"/>
      <c r="Y213" s="180"/>
      <c r="Z213" s="180"/>
      <c r="AA213" s="180"/>
      <c r="AB213" s="180"/>
    </row>
    <row r="214" spans="1:28" s="203" customFormat="1">
      <c r="A214" s="631"/>
      <c r="B214" s="389"/>
      <c r="C214" s="392"/>
      <c r="D214" s="392"/>
      <c r="E214" s="392"/>
      <c r="F214" s="392"/>
      <c r="G214" s="392"/>
      <c r="H214" s="392"/>
      <c r="I214" s="750"/>
      <c r="J214" s="392"/>
      <c r="K214" s="392"/>
      <c r="L214" s="392"/>
      <c r="M214" s="392"/>
      <c r="N214" s="392"/>
      <c r="O214" s="750"/>
      <c r="P214" s="392"/>
      <c r="Q214" s="392"/>
      <c r="R214" s="392"/>
      <c r="S214" s="750"/>
      <c r="T214" s="392"/>
      <c r="U214" s="750"/>
      <c r="V214" s="392"/>
      <c r="W214" s="750"/>
      <c r="X214" s="378"/>
      <c r="Y214" s="180"/>
      <c r="Z214" s="180"/>
      <c r="AA214" s="180"/>
      <c r="AB214" s="180"/>
    </row>
    <row r="215" spans="1:28" s="202" customFormat="1">
      <c r="A215" s="631"/>
      <c r="B215" s="634"/>
      <c r="C215" s="1461"/>
      <c r="D215" s="466"/>
      <c r="E215" s="1461"/>
      <c r="F215" s="466"/>
      <c r="G215" s="466"/>
      <c r="H215" s="466"/>
      <c r="I215" s="751"/>
      <c r="J215" s="466"/>
      <c r="K215" s="466"/>
      <c r="L215" s="466"/>
      <c r="M215" s="466"/>
      <c r="N215" s="466"/>
      <c r="O215" s="751"/>
      <c r="P215" s="466"/>
      <c r="Q215" s="466"/>
      <c r="R215" s="466"/>
      <c r="S215" s="751"/>
      <c r="T215" s="466"/>
      <c r="U215" s="751"/>
      <c r="V215" s="466"/>
      <c r="W215" s="751"/>
      <c r="X215" s="378"/>
      <c r="Y215" s="180"/>
      <c r="Z215" s="180"/>
      <c r="AA215" s="180"/>
      <c r="AB215" s="180"/>
    </row>
    <row r="216" spans="1:28">
      <c r="A216" s="631"/>
      <c r="B216" s="752"/>
      <c r="C216" s="749"/>
      <c r="D216" s="749"/>
      <c r="E216" s="749"/>
      <c r="F216" s="749"/>
      <c r="G216" s="749"/>
      <c r="H216" s="749"/>
      <c r="I216" s="749"/>
      <c r="J216" s="749"/>
      <c r="K216" s="749"/>
      <c r="L216" s="749"/>
      <c r="M216" s="749"/>
      <c r="N216" s="749"/>
      <c r="O216" s="749"/>
      <c r="P216" s="749"/>
      <c r="Q216" s="749"/>
      <c r="R216" s="749"/>
      <c r="S216" s="749"/>
      <c r="T216" s="749"/>
      <c r="U216" s="749"/>
      <c r="V216" s="749"/>
      <c r="W216" s="749"/>
      <c r="X216" s="378"/>
      <c r="Y216" s="180"/>
      <c r="Z216" s="180"/>
      <c r="AA216" s="180"/>
      <c r="AB216" s="180"/>
    </row>
    <row r="217" spans="1:28" s="203" customFormat="1">
      <c r="A217" s="631"/>
      <c r="B217" s="753"/>
      <c r="C217" s="750"/>
      <c r="D217" s="750"/>
      <c r="E217" s="750"/>
      <c r="F217" s="750"/>
      <c r="G217" s="750"/>
      <c r="H217" s="750"/>
      <c r="I217" s="750"/>
      <c r="J217" s="750"/>
      <c r="K217" s="750"/>
      <c r="L217" s="750"/>
      <c r="M217" s="750"/>
      <c r="N217" s="750"/>
      <c r="O217" s="750"/>
      <c r="P217" s="750"/>
      <c r="Q217" s="750"/>
      <c r="R217" s="750"/>
      <c r="S217" s="750"/>
      <c r="T217" s="750"/>
      <c r="U217" s="750"/>
      <c r="V217" s="750"/>
      <c r="W217" s="750"/>
      <c r="X217" s="378"/>
      <c r="Y217" s="180"/>
      <c r="Z217" s="180"/>
      <c r="AA217" s="180"/>
      <c r="AB217" s="180"/>
    </row>
    <row r="218" spans="1:28" s="202" customFormat="1">
      <c r="A218" s="631"/>
      <c r="B218" s="754"/>
      <c r="C218" s="751"/>
      <c r="D218" s="751"/>
      <c r="E218" s="751"/>
      <c r="F218" s="751"/>
      <c r="G218" s="751"/>
      <c r="H218" s="751"/>
      <c r="I218" s="751"/>
      <c r="J218" s="751"/>
      <c r="K218" s="751"/>
      <c r="L218" s="751"/>
      <c r="M218" s="751"/>
      <c r="N218" s="751"/>
      <c r="O218" s="751"/>
      <c r="P218" s="751"/>
      <c r="Q218" s="751"/>
      <c r="R218" s="751"/>
      <c r="S218" s="751"/>
      <c r="T218" s="751"/>
      <c r="U218" s="751"/>
      <c r="V218" s="751"/>
      <c r="W218" s="751"/>
      <c r="X218" s="378"/>
      <c r="Y218" s="180"/>
      <c r="Z218" s="180"/>
      <c r="AA218" s="180"/>
      <c r="AB218" s="180"/>
    </row>
    <row r="219" spans="1:28">
      <c r="A219" s="631"/>
      <c r="B219" s="388"/>
      <c r="C219" s="391"/>
      <c r="D219" s="391"/>
      <c r="E219" s="391"/>
      <c r="F219" s="391"/>
      <c r="G219" s="391"/>
      <c r="H219" s="391"/>
      <c r="I219" s="749"/>
      <c r="J219" s="391"/>
      <c r="K219" s="391"/>
      <c r="L219" s="391"/>
      <c r="M219" s="391"/>
      <c r="N219" s="391"/>
      <c r="O219" s="749"/>
      <c r="P219" s="391"/>
      <c r="Q219" s="391"/>
      <c r="R219" s="391"/>
      <c r="S219" s="749"/>
      <c r="T219" s="391"/>
      <c r="U219" s="749"/>
      <c r="V219" s="391"/>
      <c r="W219" s="749"/>
      <c r="X219" s="378"/>
      <c r="Y219" s="180"/>
      <c r="Z219" s="180"/>
      <c r="AA219" s="180"/>
      <c r="AB219" s="180"/>
    </row>
    <row r="220" spans="1:28" s="203" customFormat="1">
      <c r="A220" s="631"/>
      <c r="B220" s="389"/>
      <c r="C220" s="392"/>
      <c r="D220" s="392"/>
      <c r="E220" s="392"/>
      <c r="F220" s="392"/>
      <c r="G220" s="392"/>
      <c r="H220" s="392"/>
      <c r="I220" s="750"/>
      <c r="J220" s="392"/>
      <c r="K220" s="392"/>
      <c r="L220" s="392"/>
      <c r="M220" s="392"/>
      <c r="N220" s="392"/>
      <c r="O220" s="750"/>
      <c r="P220" s="392"/>
      <c r="Q220" s="392"/>
      <c r="R220" s="392"/>
      <c r="S220" s="750"/>
      <c r="T220" s="392"/>
      <c r="U220" s="750"/>
      <c r="V220" s="392"/>
      <c r="W220" s="750"/>
      <c r="X220" s="378"/>
      <c r="Y220" s="180"/>
      <c r="Z220" s="180"/>
      <c r="AA220" s="180"/>
      <c r="AB220" s="180"/>
    </row>
    <row r="221" spans="1:28" s="202" customFormat="1">
      <c r="A221" s="631"/>
      <c r="B221" s="634"/>
      <c r="C221" s="466"/>
      <c r="D221" s="466"/>
      <c r="E221" s="466"/>
      <c r="F221" s="466"/>
      <c r="G221" s="466"/>
      <c r="H221" s="466"/>
      <c r="I221" s="751"/>
      <c r="J221" s="466"/>
      <c r="K221" s="466"/>
      <c r="L221" s="466"/>
      <c r="M221" s="466"/>
      <c r="N221" s="466"/>
      <c r="O221" s="751"/>
      <c r="P221" s="466"/>
      <c r="Q221" s="466"/>
      <c r="R221" s="466"/>
      <c r="S221" s="751"/>
      <c r="T221" s="466"/>
      <c r="U221" s="751"/>
      <c r="V221" s="466"/>
      <c r="W221" s="751"/>
      <c r="X221" s="378"/>
      <c r="Y221" s="180"/>
      <c r="Z221" s="180"/>
      <c r="AA221" s="180"/>
      <c r="AB221" s="180"/>
    </row>
    <row r="222" spans="1:28">
      <c r="A222" s="631"/>
      <c r="B222" s="388"/>
      <c r="C222" s="391"/>
      <c r="D222" s="391"/>
      <c r="E222" s="391"/>
      <c r="F222" s="391"/>
      <c r="G222" s="391"/>
      <c r="H222" s="391"/>
      <c r="I222" s="749"/>
      <c r="J222" s="391"/>
      <c r="K222" s="391"/>
      <c r="L222" s="391"/>
      <c r="M222" s="391"/>
      <c r="N222" s="391"/>
      <c r="O222" s="749"/>
      <c r="P222" s="391"/>
      <c r="Q222" s="391"/>
      <c r="R222" s="391"/>
      <c r="S222" s="749"/>
      <c r="T222" s="391"/>
      <c r="U222" s="749"/>
      <c r="V222" s="391"/>
      <c r="W222" s="749"/>
      <c r="X222" s="378"/>
      <c r="Y222" s="180"/>
      <c r="Z222" s="180"/>
      <c r="AA222" s="180"/>
      <c r="AB222" s="180"/>
    </row>
    <row r="223" spans="1:28" s="203" customFormat="1">
      <c r="A223" s="631"/>
      <c r="B223" s="389"/>
      <c r="C223" s="392"/>
      <c r="D223" s="392"/>
      <c r="E223" s="392"/>
      <c r="F223" s="392"/>
      <c r="G223" s="392"/>
      <c r="H223" s="392"/>
      <c r="I223" s="750"/>
      <c r="J223" s="392"/>
      <c r="K223" s="392"/>
      <c r="L223" s="392"/>
      <c r="M223" s="392"/>
      <c r="N223" s="392"/>
      <c r="O223" s="750"/>
      <c r="P223" s="392"/>
      <c r="Q223" s="392"/>
      <c r="R223" s="392"/>
      <c r="S223" s="750"/>
      <c r="T223" s="392"/>
      <c r="U223" s="750"/>
      <c r="V223" s="392"/>
      <c r="W223" s="750"/>
      <c r="X223" s="378"/>
      <c r="Y223" s="180"/>
      <c r="Z223" s="180"/>
      <c r="AA223" s="180"/>
      <c r="AB223" s="180"/>
    </row>
    <row r="224" spans="1:28" s="202" customFormat="1">
      <c r="A224" s="631"/>
      <c r="B224" s="634"/>
      <c r="C224" s="466"/>
      <c r="D224" s="466"/>
      <c r="E224" s="466"/>
      <c r="F224" s="466"/>
      <c r="G224" s="466"/>
      <c r="H224" s="466"/>
      <c r="I224" s="751"/>
      <c r="J224" s="466"/>
      <c r="K224" s="466"/>
      <c r="L224" s="466"/>
      <c r="M224" s="466"/>
      <c r="N224" s="466"/>
      <c r="O224" s="751"/>
      <c r="P224" s="466"/>
      <c r="Q224" s="466"/>
      <c r="R224" s="466"/>
      <c r="S224" s="751"/>
      <c r="T224" s="466"/>
      <c r="U224" s="751"/>
      <c r="V224" s="466"/>
      <c r="W224" s="751"/>
      <c r="X224" s="378"/>
      <c r="Y224" s="180"/>
      <c r="Z224" s="180"/>
      <c r="AA224" s="180"/>
      <c r="AB224" s="180"/>
    </row>
    <row r="225" spans="1:28">
      <c r="A225" s="631"/>
      <c r="B225" s="388"/>
      <c r="C225" s="391"/>
      <c r="D225" s="391"/>
      <c r="E225" s="391"/>
      <c r="F225" s="391"/>
      <c r="G225" s="391"/>
      <c r="H225" s="391"/>
      <c r="I225" s="749"/>
      <c r="J225" s="391"/>
      <c r="K225" s="391"/>
      <c r="L225" s="391"/>
      <c r="M225" s="391"/>
      <c r="N225" s="391"/>
      <c r="O225" s="749"/>
      <c r="P225" s="391"/>
      <c r="Q225" s="391"/>
      <c r="R225" s="391"/>
      <c r="S225" s="749"/>
      <c r="T225" s="391"/>
      <c r="U225" s="749"/>
      <c r="V225" s="391"/>
      <c r="W225" s="749"/>
      <c r="X225" s="378"/>
      <c r="Y225" s="180"/>
      <c r="Z225" s="180"/>
      <c r="AA225" s="180"/>
      <c r="AB225" s="180"/>
    </row>
    <row r="226" spans="1:28" s="203" customFormat="1">
      <c r="A226" s="631"/>
      <c r="B226" s="389"/>
      <c r="C226" s="392"/>
      <c r="D226" s="392"/>
      <c r="E226" s="392"/>
      <c r="F226" s="392"/>
      <c r="G226" s="392"/>
      <c r="H226" s="392"/>
      <c r="I226" s="750"/>
      <c r="J226" s="392"/>
      <c r="K226" s="392"/>
      <c r="L226" s="392"/>
      <c r="M226" s="392"/>
      <c r="N226" s="392"/>
      <c r="O226" s="750"/>
      <c r="P226" s="392"/>
      <c r="Q226" s="392"/>
      <c r="R226" s="392"/>
      <c r="S226" s="750"/>
      <c r="T226" s="392"/>
      <c r="U226" s="750"/>
      <c r="V226" s="392"/>
      <c r="W226" s="750"/>
      <c r="X226" s="378"/>
      <c r="Y226" s="180"/>
      <c r="Z226" s="180"/>
      <c r="AA226" s="180"/>
      <c r="AB226" s="180"/>
    </row>
    <row r="227" spans="1:28" s="202" customFormat="1">
      <c r="A227" s="631"/>
      <c r="B227" s="634"/>
      <c r="C227" s="466"/>
      <c r="D227" s="466"/>
      <c r="E227" s="466"/>
      <c r="F227" s="466"/>
      <c r="G227" s="466"/>
      <c r="H227" s="466"/>
      <c r="I227" s="751"/>
      <c r="J227" s="466"/>
      <c r="K227" s="466"/>
      <c r="L227" s="466"/>
      <c r="M227" s="466"/>
      <c r="N227" s="466"/>
      <c r="O227" s="751"/>
      <c r="P227" s="466"/>
      <c r="Q227" s="466"/>
      <c r="R227" s="466"/>
      <c r="S227" s="751"/>
      <c r="T227" s="466"/>
      <c r="U227" s="751"/>
      <c r="V227" s="466"/>
      <c r="W227" s="751"/>
      <c r="X227" s="378"/>
      <c r="Y227" s="180"/>
      <c r="Z227" s="180"/>
      <c r="AA227" s="180"/>
      <c r="AB227" s="180"/>
    </row>
    <row r="228" spans="1:28">
      <c r="A228" s="631"/>
      <c r="B228" s="388"/>
      <c r="C228" s="391"/>
      <c r="D228" s="391"/>
      <c r="E228" s="391"/>
      <c r="F228" s="391"/>
      <c r="G228" s="391"/>
      <c r="H228" s="391"/>
      <c r="I228" s="749"/>
      <c r="J228" s="391"/>
      <c r="K228" s="391"/>
      <c r="L228" s="391"/>
      <c r="M228" s="391"/>
      <c r="N228" s="391"/>
      <c r="O228" s="749"/>
      <c r="P228" s="391"/>
      <c r="Q228" s="391"/>
      <c r="R228" s="391"/>
      <c r="S228" s="749"/>
      <c r="T228" s="391"/>
      <c r="U228" s="749"/>
      <c r="V228" s="391"/>
      <c r="W228" s="749"/>
      <c r="X228" s="378"/>
      <c r="Y228" s="180"/>
      <c r="Z228" s="180"/>
      <c r="AA228" s="180"/>
      <c r="AB228" s="180"/>
    </row>
    <row r="229" spans="1:28" s="203" customFormat="1">
      <c r="A229" s="631"/>
      <c r="B229" s="389"/>
      <c r="C229" s="392"/>
      <c r="D229" s="392"/>
      <c r="E229" s="392"/>
      <c r="F229" s="392"/>
      <c r="G229" s="392"/>
      <c r="H229" s="392"/>
      <c r="I229" s="750"/>
      <c r="J229" s="392"/>
      <c r="K229" s="392"/>
      <c r="L229" s="392"/>
      <c r="M229" s="392"/>
      <c r="N229" s="392"/>
      <c r="O229" s="750"/>
      <c r="P229" s="392"/>
      <c r="Q229" s="392"/>
      <c r="R229" s="392"/>
      <c r="S229" s="750"/>
      <c r="T229" s="392"/>
      <c r="U229" s="750"/>
      <c r="V229" s="392"/>
      <c r="W229" s="750"/>
      <c r="X229" s="378"/>
      <c r="Y229" s="180"/>
      <c r="Z229" s="180"/>
      <c r="AA229" s="180"/>
      <c r="AB229" s="180"/>
    </row>
    <row r="230" spans="1:28" s="202" customFormat="1">
      <c r="A230" s="631"/>
      <c r="B230" s="634"/>
      <c r="C230" s="466"/>
      <c r="D230" s="466"/>
      <c r="E230" s="466"/>
      <c r="F230" s="466"/>
      <c r="G230" s="466"/>
      <c r="H230" s="466"/>
      <c r="I230" s="751"/>
      <c r="J230" s="466"/>
      <c r="K230" s="466"/>
      <c r="L230" s="466"/>
      <c r="M230" s="466"/>
      <c r="N230" s="466"/>
      <c r="O230" s="751"/>
      <c r="P230" s="466"/>
      <c r="Q230" s="466"/>
      <c r="R230" s="466"/>
      <c r="S230" s="751"/>
      <c r="T230" s="466"/>
      <c r="U230" s="751"/>
      <c r="V230" s="466"/>
      <c r="W230" s="751"/>
      <c r="X230" s="378"/>
      <c r="Y230" s="180"/>
      <c r="Z230" s="180"/>
      <c r="AA230" s="180"/>
      <c r="AB230" s="180"/>
    </row>
    <row r="231" spans="1:28">
      <c r="A231" s="631"/>
      <c r="B231" s="388"/>
      <c r="C231" s="391"/>
      <c r="D231" s="391"/>
      <c r="E231" s="391"/>
      <c r="F231" s="391"/>
      <c r="G231" s="391"/>
      <c r="H231" s="391"/>
      <c r="I231" s="749"/>
      <c r="J231" s="391"/>
      <c r="K231" s="391"/>
      <c r="L231" s="391"/>
      <c r="M231" s="391"/>
      <c r="N231" s="391"/>
      <c r="O231" s="749"/>
      <c r="P231" s="391"/>
      <c r="Q231" s="391"/>
      <c r="R231" s="391"/>
      <c r="S231" s="749"/>
      <c r="T231" s="391"/>
      <c r="U231" s="749"/>
      <c r="V231" s="391"/>
      <c r="W231" s="749"/>
      <c r="X231" s="378"/>
      <c r="Y231" s="180"/>
      <c r="Z231" s="180"/>
      <c r="AA231" s="180"/>
      <c r="AB231" s="180"/>
    </row>
    <row r="232" spans="1:28" s="203" customFormat="1">
      <c r="A232" s="631"/>
      <c r="B232" s="389"/>
      <c r="C232" s="392"/>
      <c r="D232" s="392"/>
      <c r="E232" s="392"/>
      <c r="F232" s="392"/>
      <c r="G232" s="392"/>
      <c r="H232" s="392"/>
      <c r="I232" s="750"/>
      <c r="J232" s="392"/>
      <c r="K232" s="392"/>
      <c r="L232" s="392"/>
      <c r="M232" s="392"/>
      <c r="N232" s="392"/>
      <c r="O232" s="750"/>
      <c r="P232" s="392"/>
      <c r="Q232" s="392"/>
      <c r="R232" s="392"/>
      <c r="S232" s="750"/>
      <c r="T232" s="392"/>
      <c r="U232" s="750"/>
      <c r="V232" s="392"/>
      <c r="W232" s="750"/>
      <c r="X232" s="378"/>
      <c r="Y232" s="180"/>
      <c r="Z232" s="180"/>
      <c r="AA232" s="180"/>
      <c r="AB232" s="180"/>
    </row>
    <row r="233" spans="1:28" s="202" customFormat="1">
      <c r="A233" s="631"/>
      <c r="B233" s="634"/>
      <c r="C233" s="1461"/>
      <c r="D233" s="466"/>
      <c r="E233" s="466"/>
      <c r="F233" s="466"/>
      <c r="G233" s="466"/>
      <c r="H233" s="466"/>
      <c r="I233" s="751"/>
      <c r="J233" s="466"/>
      <c r="K233" s="466"/>
      <c r="L233" s="466"/>
      <c r="M233" s="466"/>
      <c r="N233" s="466"/>
      <c r="O233" s="751"/>
      <c r="P233" s="466"/>
      <c r="Q233" s="466"/>
      <c r="R233" s="466"/>
      <c r="S233" s="751"/>
      <c r="T233" s="466"/>
      <c r="U233" s="751"/>
      <c r="V233" s="466"/>
      <c r="W233" s="751"/>
      <c r="X233" s="378"/>
      <c r="Y233" s="180"/>
      <c r="Z233" s="180"/>
      <c r="AA233" s="180"/>
      <c r="AB233" s="180"/>
    </row>
    <row r="234" spans="1:28">
      <c r="A234" s="631"/>
      <c r="B234" s="388"/>
      <c r="C234" s="391"/>
      <c r="D234" s="391"/>
      <c r="E234" s="391"/>
      <c r="F234" s="391"/>
      <c r="G234" s="391"/>
      <c r="H234" s="391"/>
      <c r="I234" s="749"/>
      <c r="J234" s="391"/>
      <c r="K234" s="391"/>
      <c r="L234" s="391"/>
      <c r="M234" s="391"/>
      <c r="N234" s="391"/>
      <c r="O234" s="749"/>
      <c r="P234" s="391"/>
      <c r="Q234" s="391"/>
      <c r="R234" s="391"/>
      <c r="S234" s="749"/>
      <c r="T234" s="391"/>
      <c r="U234" s="749"/>
      <c r="V234" s="391"/>
      <c r="W234" s="749"/>
      <c r="X234" s="378"/>
      <c r="Y234" s="180"/>
      <c r="Z234" s="180"/>
      <c r="AA234" s="180"/>
      <c r="AB234" s="180"/>
    </row>
    <row r="235" spans="1:28" s="203" customFormat="1">
      <c r="A235" s="631"/>
      <c r="B235" s="389"/>
      <c r="C235" s="392"/>
      <c r="D235" s="392"/>
      <c r="E235" s="392"/>
      <c r="F235" s="392"/>
      <c r="G235" s="392"/>
      <c r="H235" s="392"/>
      <c r="I235" s="750"/>
      <c r="J235" s="392"/>
      <c r="K235" s="392"/>
      <c r="L235" s="392"/>
      <c r="M235" s="392"/>
      <c r="N235" s="392"/>
      <c r="O235" s="750"/>
      <c r="P235" s="392"/>
      <c r="Q235" s="392"/>
      <c r="R235" s="392"/>
      <c r="S235" s="750"/>
      <c r="T235" s="392"/>
      <c r="U235" s="750"/>
      <c r="V235" s="392"/>
      <c r="W235" s="750"/>
      <c r="X235" s="378"/>
      <c r="Y235" s="180"/>
      <c r="Z235" s="180"/>
      <c r="AA235" s="180"/>
      <c r="AB235" s="180"/>
    </row>
    <row r="236" spans="1:28" s="202" customFormat="1">
      <c r="A236" s="631"/>
      <c r="B236" s="634"/>
      <c r="C236" s="466"/>
      <c r="D236" s="466"/>
      <c r="E236" s="466"/>
      <c r="F236" s="466"/>
      <c r="G236" s="466"/>
      <c r="H236" s="466"/>
      <c r="I236" s="751"/>
      <c r="J236" s="466"/>
      <c r="K236" s="466"/>
      <c r="L236" s="466"/>
      <c r="M236" s="466"/>
      <c r="N236" s="466"/>
      <c r="O236" s="751"/>
      <c r="P236" s="466"/>
      <c r="Q236" s="466"/>
      <c r="R236" s="466"/>
      <c r="S236" s="751"/>
      <c r="T236" s="466"/>
      <c r="U236" s="751"/>
      <c r="V236" s="466"/>
      <c r="W236" s="751"/>
      <c r="X236" s="378"/>
      <c r="Y236" s="180"/>
      <c r="Z236" s="180"/>
      <c r="AA236" s="180"/>
      <c r="AB236" s="180"/>
    </row>
    <row r="237" spans="1:28">
      <c r="A237" s="631"/>
      <c r="B237" s="388"/>
      <c r="C237" s="391"/>
      <c r="D237" s="391"/>
      <c r="E237" s="391"/>
      <c r="F237" s="391"/>
      <c r="G237" s="391"/>
      <c r="H237" s="391"/>
      <c r="I237" s="749"/>
      <c r="J237" s="391"/>
      <c r="K237" s="391"/>
      <c r="L237" s="391"/>
      <c r="M237" s="391"/>
      <c r="N237" s="391"/>
      <c r="O237" s="749"/>
      <c r="P237" s="391"/>
      <c r="Q237" s="391"/>
      <c r="R237" s="391"/>
      <c r="S237" s="749"/>
      <c r="T237" s="391"/>
      <c r="U237" s="749"/>
      <c r="V237" s="391"/>
      <c r="W237" s="749"/>
      <c r="X237" s="378"/>
      <c r="Y237" s="180"/>
      <c r="Z237" s="180"/>
      <c r="AA237" s="180"/>
      <c r="AB237" s="180"/>
    </row>
    <row r="238" spans="1:28" s="203" customFormat="1">
      <c r="A238" s="631"/>
      <c r="B238" s="389"/>
      <c r="C238" s="392"/>
      <c r="D238" s="392"/>
      <c r="E238" s="392"/>
      <c r="F238" s="392"/>
      <c r="G238" s="392"/>
      <c r="H238" s="392"/>
      <c r="I238" s="750"/>
      <c r="J238" s="392"/>
      <c r="K238" s="392"/>
      <c r="L238" s="392"/>
      <c r="M238" s="392"/>
      <c r="N238" s="392"/>
      <c r="O238" s="750"/>
      <c r="P238" s="392"/>
      <c r="Q238" s="392"/>
      <c r="R238" s="392"/>
      <c r="S238" s="750"/>
      <c r="T238" s="392"/>
      <c r="U238" s="750"/>
      <c r="V238" s="392"/>
      <c r="W238" s="750"/>
      <c r="X238" s="378"/>
      <c r="Y238" s="180"/>
      <c r="Z238" s="180"/>
      <c r="AA238" s="180"/>
      <c r="AB238" s="180"/>
    </row>
    <row r="239" spans="1:28" s="212" customFormat="1" ht="13.5" thickBot="1">
      <c r="A239" s="635"/>
      <c r="B239" s="761"/>
      <c r="C239" s="762"/>
      <c r="D239" s="762"/>
      <c r="E239" s="762"/>
      <c r="F239" s="762"/>
      <c r="G239" s="762"/>
      <c r="H239" s="762"/>
      <c r="I239" s="763"/>
      <c r="J239" s="762"/>
      <c r="K239" s="762"/>
      <c r="L239" s="762"/>
      <c r="M239" s="762"/>
      <c r="N239" s="762"/>
      <c r="O239" s="763"/>
      <c r="P239" s="762"/>
      <c r="Q239" s="762"/>
      <c r="R239" s="762"/>
      <c r="S239" s="763"/>
      <c r="T239" s="762"/>
      <c r="U239" s="763"/>
      <c r="V239" s="762"/>
      <c r="W239" s="763"/>
      <c r="X239" s="378"/>
      <c r="Y239" s="180"/>
      <c r="Z239" s="180"/>
      <c r="AA239" s="180"/>
      <c r="AB239" s="180"/>
    </row>
    <row r="240" spans="1:28" ht="13.5" thickTop="1">
      <c r="A240" s="230"/>
      <c r="B240" s="764"/>
      <c r="C240" s="765"/>
      <c r="D240" s="765"/>
      <c r="E240" s="765"/>
      <c r="F240" s="765"/>
      <c r="G240" s="765"/>
      <c r="H240" s="765"/>
      <c r="I240" s="766"/>
      <c r="J240" s="765"/>
      <c r="K240" s="765"/>
      <c r="L240" s="765"/>
      <c r="M240" s="765"/>
      <c r="N240" s="765"/>
      <c r="O240" s="766"/>
      <c r="P240" s="765"/>
      <c r="Q240" s="765"/>
      <c r="R240" s="765"/>
      <c r="S240" s="766"/>
      <c r="T240" s="765"/>
      <c r="U240" s="766"/>
      <c r="V240" s="765"/>
      <c r="W240" s="766"/>
      <c r="X240" s="378"/>
      <c r="Y240" s="180"/>
      <c r="Z240" s="180"/>
      <c r="AA240" s="180"/>
      <c r="AB240" s="180"/>
    </row>
    <row r="241" spans="1:28" s="203" customFormat="1">
      <c r="A241" s="631"/>
      <c r="B241" s="389"/>
      <c r="C241" s="392"/>
      <c r="D241" s="392"/>
      <c r="E241" s="392"/>
      <c r="F241" s="392"/>
      <c r="G241" s="392"/>
      <c r="H241" s="392"/>
      <c r="I241" s="750"/>
      <c r="J241" s="392"/>
      <c r="K241" s="392"/>
      <c r="L241" s="392"/>
      <c r="M241" s="392"/>
      <c r="N241" s="392"/>
      <c r="O241" s="750"/>
      <c r="P241" s="392"/>
      <c r="Q241" s="392"/>
      <c r="R241" s="392"/>
      <c r="S241" s="750"/>
      <c r="T241" s="392"/>
      <c r="U241" s="750"/>
      <c r="V241" s="392"/>
      <c r="W241" s="750"/>
      <c r="X241" s="378"/>
      <c r="Y241" s="180"/>
      <c r="Z241" s="180"/>
      <c r="AA241" s="180"/>
      <c r="AB241" s="180"/>
    </row>
    <row r="242" spans="1:28" s="202" customFormat="1">
      <c r="A242" s="632"/>
      <c r="B242" s="634"/>
      <c r="C242" s="466"/>
      <c r="D242" s="466"/>
      <c r="E242" s="466"/>
      <c r="F242" s="466"/>
      <c r="G242" s="1461"/>
      <c r="H242" s="466"/>
      <c r="I242" s="751"/>
      <c r="J242" s="466"/>
      <c r="K242" s="466"/>
      <c r="L242" s="466"/>
      <c r="M242" s="466"/>
      <c r="N242" s="466"/>
      <c r="O242" s="751"/>
      <c r="P242" s="1461"/>
      <c r="Q242" s="466"/>
      <c r="R242" s="466"/>
      <c r="S242" s="751"/>
      <c r="T242" s="466"/>
      <c r="U242" s="751"/>
      <c r="V242" s="466"/>
      <c r="W242" s="751"/>
      <c r="X242" s="378"/>
      <c r="Y242" s="180"/>
      <c r="Z242" s="180"/>
      <c r="AA242" s="180"/>
      <c r="AB242" s="180"/>
    </row>
    <row r="243" spans="1:28">
      <c r="A243" s="631"/>
      <c r="B243" s="388"/>
      <c r="C243" s="391"/>
      <c r="D243" s="391"/>
      <c r="E243" s="391"/>
      <c r="F243" s="391"/>
      <c r="G243" s="391"/>
      <c r="H243" s="391"/>
      <c r="I243" s="749"/>
      <c r="J243" s="391"/>
      <c r="K243" s="391"/>
      <c r="L243" s="391"/>
      <c r="M243" s="391"/>
      <c r="N243" s="391"/>
      <c r="O243" s="749"/>
      <c r="P243" s="391"/>
      <c r="Q243" s="391"/>
      <c r="R243" s="391"/>
      <c r="S243" s="749"/>
      <c r="T243" s="391"/>
      <c r="U243" s="749"/>
      <c r="V243" s="391"/>
      <c r="W243" s="749"/>
      <c r="X243" s="378"/>
      <c r="Y243" s="180"/>
      <c r="Z243" s="180"/>
      <c r="AA243" s="180"/>
      <c r="AB243" s="180"/>
    </row>
    <row r="244" spans="1:28" s="203" customFormat="1">
      <c r="A244" s="631"/>
      <c r="B244" s="389"/>
      <c r="C244" s="392"/>
      <c r="D244" s="392"/>
      <c r="E244" s="392"/>
      <c r="F244" s="392"/>
      <c r="G244" s="392"/>
      <c r="H244" s="392"/>
      <c r="I244" s="750"/>
      <c r="J244" s="392"/>
      <c r="K244" s="392"/>
      <c r="L244" s="392"/>
      <c r="M244" s="392"/>
      <c r="N244" s="392"/>
      <c r="O244" s="750"/>
      <c r="P244" s="392"/>
      <c r="Q244" s="392"/>
      <c r="R244" s="392"/>
      <c r="S244" s="750"/>
      <c r="T244" s="392"/>
      <c r="U244" s="750"/>
      <c r="V244" s="392"/>
      <c r="W244" s="750"/>
      <c r="X244" s="378"/>
      <c r="Y244" s="180"/>
      <c r="Z244" s="180"/>
      <c r="AA244" s="180"/>
      <c r="AB244" s="180"/>
    </row>
    <row r="245" spans="1:28" s="202" customFormat="1">
      <c r="A245" s="631"/>
      <c r="B245" s="634"/>
      <c r="C245" s="466"/>
      <c r="D245" s="466"/>
      <c r="E245" s="1461"/>
      <c r="F245" s="466"/>
      <c r="G245" s="466"/>
      <c r="H245" s="466"/>
      <c r="I245" s="751"/>
      <c r="J245" s="466"/>
      <c r="K245" s="466"/>
      <c r="L245" s="466"/>
      <c r="M245" s="466"/>
      <c r="N245" s="466"/>
      <c r="O245" s="751"/>
      <c r="P245" s="466"/>
      <c r="Q245" s="466"/>
      <c r="R245" s="466"/>
      <c r="S245" s="751"/>
      <c r="T245" s="466"/>
      <c r="U245" s="751"/>
      <c r="V245" s="466"/>
      <c r="W245" s="751"/>
      <c r="X245" s="378"/>
      <c r="Y245" s="180"/>
      <c r="Z245" s="180"/>
      <c r="AA245" s="180"/>
      <c r="AB245" s="180"/>
    </row>
    <row r="246" spans="1:28">
      <c r="A246" s="631"/>
      <c r="B246" s="388"/>
      <c r="C246" s="391"/>
      <c r="D246" s="391"/>
      <c r="E246" s="391"/>
      <c r="F246" s="391"/>
      <c r="G246" s="391"/>
      <c r="H246" s="391"/>
      <c r="I246" s="749"/>
      <c r="J246" s="391"/>
      <c r="K246" s="391"/>
      <c r="L246" s="391"/>
      <c r="M246" s="391"/>
      <c r="N246" s="391"/>
      <c r="O246" s="749"/>
      <c r="P246" s="391"/>
      <c r="Q246" s="391"/>
      <c r="R246" s="391"/>
      <c r="S246" s="749"/>
      <c r="T246" s="391"/>
      <c r="U246" s="749"/>
      <c r="V246" s="391"/>
      <c r="W246" s="749"/>
      <c r="X246" s="378"/>
      <c r="Y246" s="180"/>
      <c r="Z246" s="180"/>
      <c r="AA246" s="180"/>
      <c r="AB246" s="180"/>
    </row>
    <row r="247" spans="1:28" s="203" customFormat="1">
      <c r="A247" s="631"/>
      <c r="B247" s="389"/>
      <c r="C247" s="392"/>
      <c r="D247" s="392"/>
      <c r="E247" s="392"/>
      <c r="F247" s="392"/>
      <c r="G247" s="392"/>
      <c r="H247" s="392"/>
      <c r="I247" s="750"/>
      <c r="J247" s="392"/>
      <c r="K247" s="392"/>
      <c r="L247" s="392"/>
      <c r="M247" s="392"/>
      <c r="N247" s="392"/>
      <c r="O247" s="750"/>
      <c r="P247" s="392"/>
      <c r="Q247" s="392"/>
      <c r="R247" s="392"/>
      <c r="S247" s="750"/>
      <c r="T247" s="392"/>
      <c r="U247" s="750"/>
      <c r="V247" s="392"/>
      <c r="W247" s="750"/>
      <c r="X247" s="378"/>
      <c r="Y247" s="180"/>
      <c r="Z247" s="180"/>
      <c r="AA247" s="180"/>
      <c r="AB247" s="180"/>
    </row>
    <row r="248" spans="1:28" s="202" customFormat="1">
      <c r="A248" s="631"/>
      <c r="B248" s="634"/>
      <c r="C248" s="466"/>
      <c r="D248" s="466"/>
      <c r="E248" s="466"/>
      <c r="F248" s="466"/>
      <c r="G248" s="466"/>
      <c r="H248" s="466"/>
      <c r="I248" s="751"/>
      <c r="J248" s="466"/>
      <c r="K248" s="466"/>
      <c r="L248" s="466"/>
      <c r="M248" s="466"/>
      <c r="N248" s="466"/>
      <c r="O248" s="751"/>
      <c r="P248" s="466"/>
      <c r="Q248" s="466"/>
      <c r="R248" s="466"/>
      <c r="S248" s="751"/>
      <c r="T248" s="466"/>
      <c r="U248" s="751"/>
      <c r="V248" s="466"/>
      <c r="W248" s="751"/>
      <c r="X248" s="378"/>
      <c r="Y248" s="180"/>
      <c r="Z248" s="180"/>
      <c r="AA248" s="180"/>
      <c r="AB248" s="180"/>
    </row>
    <row r="249" spans="1:28">
      <c r="A249" s="631"/>
      <c r="B249" s="388"/>
      <c r="C249" s="391"/>
      <c r="D249" s="391"/>
      <c r="E249" s="391"/>
      <c r="F249" s="391"/>
      <c r="G249" s="391"/>
      <c r="H249" s="391"/>
      <c r="I249" s="749"/>
      <c r="J249" s="391"/>
      <c r="K249" s="391"/>
      <c r="L249" s="391"/>
      <c r="M249" s="391"/>
      <c r="N249" s="391"/>
      <c r="O249" s="749"/>
      <c r="P249" s="391"/>
      <c r="Q249" s="391"/>
      <c r="R249" s="391"/>
      <c r="S249" s="749"/>
      <c r="T249" s="391"/>
      <c r="U249" s="749"/>
      <c r="V249" s="391"/>
      <c r="W249" s="749"/>
      <c r="X249" s="378"/>
      <c r="Y249" s="180"/>
      <c r="Z249" s="180"/>
      <c r="AA249" s="180"/>
      <c r="AB249" s="180"/>
    </row>
    <row r="250" spans="1:28" s="203" customFormat="1">
      <c r="A250" s="631"/>
      <c r="B250" s="389"/>
      <c r="C250" s="392"/>
      <c r="D250" s="392"/>
      <c r="E250" s="392"/>
      <c r="F250" s="392"/>
      <c r="G250" s="392"/>
      <c r="H250" s="392"/>
      <c r="I250" s="750"/>
      <c r="J250" s="392"/>
      <c r="K250" s="392"/>
      <c r="L250" s="392"/>
      <c r="M250" s="392"/>
      <c r="N250" s="392"/>
      <c r="O250" s="750"/>
      <c r="P250" s="392"/>
      <c r="Q250" s="392"/>
      <c r="R250" s="392"/>
      <c r="S250" s="750"/>
      <c r="T250" s="392"/>
      <c r="U250" s="750"/>
      <c r="V250" s="392"/>
      <c r="W250" s="750"/>
      <c r="X250" s="378"/>
      <c r="Y250" s="180"/>
      <c r="Z250" s="180"/>
      <c r="AA250" s="180"/>
      <c r="AB250" s="180"/>
    </row>
    <row r="251" spans="1:28" s="202" customFormat="1">
      <c r="A251" s="631"/>
      <c r="B251" s="634"/>
      <c r="C251" s="466"/>
      <c r="D251" s="466"/>
      <c r="E251" s="466"/>
      <c r="F251" s="466"/>
      <c r="G251" s="466"/>
      <c r="H251" s="466"/>
      <c r="I251" s="751"/>
      <c r="J251" s="466"/>
      <c r="K251" s="466"/>
      <c r="L251" s="1461"/>
      <c r="M251" s="1461"/>
      <c r="N251" s="466"/>
      <c r="O251" s="751"/>
      <c r="P251" s="1461"/>
      <c r="Q251" s="466"/>
      <c r="R251" s="466"/>
      <c r="S251" s="751"/>
      <c r="T251" s="466"/>
      <c r="U251" s="751"/>
      <c r="V251" s="466"/>
      <c r="W251" s="751"/>
      <c r="X251" s="378"/>
      <c r="Y251" s="180"/>
      <c r="Z251" s="180"/>
      <c r="AA251" s="180"/>
      <c r="AB251" s="180"/>
    </row>
    <row r="252" spans="1:28">
      <c r="A252" s="631"/>
      <c r="B252" s="388"/>
      <c r="C252" s="391"/>
      <c r="D252" s="391"/>
      <c r="E252" s="391"/>
      <c r="F252" s="391"/>
      <c r="G252" s="391"/>
      <c r="H252" s="391"/>
      <c r="I252" s="749"/>
      <c r="J252" s="391"/>
      <c r="K252" s="391"/>
      <c r="L252" s="391"/>
      <c r="M252" s="391"/>
      <c r="N252" s="391"/>
      <c r="O252" s="749"/>
      <c r="P252" s="391"/>
      <c r="Q252" s="391"/>
      <c r="R252" s="391"/>
      <c r="S252" s="749"/>
      <c r="T252" s="391"/>
      <c r="U252" s="749"/>
      <c r="V252" s="391"/>
      <c r="W252" s="749"/>
      <c r="X252" s="378"/>
      <c r="Y252" s="180"/>
      <c r="Z252" s="180"/>
      <c r="AA252" s="180"/>
      <c r="AB252" s="180"/>
    </row>
    <row r="253" spans="1:28" s="203" customFormat="1">
      <c r="A253" s="631"/>
      <c r="B253" s="389"/>
      <c r="C253" s="392"/>
      <c r="D253" s="392"/>
      <c r="E253" s="392"/>
      <c r="F253" s="392"/>
      <c r="G253" s="392"/>
      <c r="H253" s="392"/>
      <c r="I253" s="750"/>
      <c r="J253" s="392"/>
      <c r="K253" s="392"/>
      <c r="L253" s="392"/>
      <c r="M253" s="392"/>
      <c r="N253" s="392"/>
      <c r="O253" s="750"/>
      <c r="P253" s="392"/>
      <c r="Q253" s="392"/>
      <c r="R253" s="392"/>
      <c r="S253" s="750"/>
      <c r="T253" s="392"/>
      <c r="U253" s="750"/>
      <c r="V253" s="392"/>
      <c r="W253" s="750"/>
      <c r="X253" s="378"/>
      <c r="Y253" s="180"/>
      <c r="Z253" s="180"/>
      <c r="AA253" s="180"/>
      <c r="AB253" s="180"/>
    </row>
    <row r="254" spans="1:28" s="202" customFormat="1">
      <c r="A254" s="631"/>
      <c r="B254" s="634"/>
      <c r="C254" s="466"/>
      <c r="D254" s="466"/>
      <c r="E254" s="466"/>
      <c r="F254" s="466"/>
      <c r="G254" s="466"/>
      <c r="H254" s="466"/>
      <c r="I254" s="751"/>
      <c r="J254" s="466"/>
      <c r="K254" s="466"/>
      <c r="L254" s="466"/>
      <c r="M254" s="466"/>
      <c r="N254" s="466"/>
      <c r="O254" s="751"/>
      <c r="P254" s="466"/>
      <c r="Q254" s="466"/>
      <c r="R254" s="466"/>
      <c r="S254" s="751"/>
      <c r="T254" s="466"/>
      <c r="U254" s="751"/>
      <c r="V254" s="466"/>
      <c r="W254" s="751"/>
      <c r="X254" s="378"/>
      <c r="Y254" s="180"/>
      <c r="Z254" s="180"/>
      <c r="AA254" s="180"/>
      <c r="AB254" s="180"/>
    </row>
    <row r="255" spans="1:28">
      <c r="A255" s="631"/>
      <c r="B255" s="752"/>
      <c r="C255" s="749"/>
      <c r="D255" s="749"/>
      <c r="E255" s="749"/>
      <c r="F255" s="749"/>
      <c r="G255" s="749"/>
      <c r="H255" s="749"/>
      <c r="I255" s="749"/>
      <c r="J255" s="749"/>
      <c r="K255" s="749"/>
      <c r="L255" s="749"/>
      <c r="M255" s="749"/>
      <c r="N255" s="749"/>
      <c r="O255" s="749"/>
      <c r="P255" s="749"/>
      <c r="Q255" s="749"/>
      <c r="R255" s="749"/>
      <c r="S255" s="749"/>
      <c r="T255" s="749"/>
      <c r="U255" s="749"/>
      <c r="V255" s="749"/>
      <c r="W255" s="749"/>
      <c r="X255" s="378"/>
      <c r="Y255" s="180"/>
      <c r="Z255" s="180"/>
      <c r="AA255" s="180"/>
      <c r="AB255" s="180"/>
    </row>
    <row r="256" spans="1:28" s="203" customFormat="1">
      <c r="A256" s="631"/>
      <c r="B256" s="753"/>
      <c r="C256" s="750"/>
      <c r="D256" s="750"/>
      <c r="E256" s="750"/>
      <c r="F256" s="750"/>
      <c r="G256" s="750"/>
      <c r="H256" s="750"/>
      <c r="I256" s="750"/>
      <c r="J256" s="750"/>
      <c r="K256" s="750"/>
      <c r="L256" s="750"/>
      <c r="M256" s="750"/>
      <c r="N256" s="750"/>
      <c r="O256" s="750"/>
      <c r="P256" s="750"/>
      <c r="Q256" s="750"/>
      <c r="R256" s="750"/>
      <c r="S256" s="750"/>
      <c r="T256" s="750"/>
      <c r="U256" s="750"/>
      <c r="V256" s="750"/>
      <c r="W256" s="750"/>
      <c r="X256" s="378"/>
      <c r="Y256" s="180"/>
      <c r="Z256" s="180"/>
      <c r="AA256" s="180"/>
      <c r="AB256" s="180"/>
    </row>
    <row r="257" spans="1:28" s="202" customFormat="1">
      <c r="A257" s="631"/>
      <c r="B257" s="754"/>
      <c r="C257" s="751"/>
      <c r="D257" s="751"/>
      <c r="E257" s="751"/>
      <c r="F257" s="751"/>
      <c r="G257" s="751"/>
      <c r="H257" s="751"/>
      <c r="I257" s="751"/>
      <c r="J257" s="751"/>
      <c r="K257" s="751"/>
      <c r="L257" s="751"/>
      <c r="M257" s="751"/>
      <c r="N257" s="751"/>
      <c r="O257" s="751"/>
      <c r="P257" s="751"/>
      <c r="Q257" s="751"/>
      <c r="R257" s="751"/>
      <c r="S257" s="751"/>
      <c r="T257" s="751"/>
      <c r="U257" s="751"/>
      <c r="V257" s="751"/>
      <c r="W257" s="751"/>
      <c r="X257" s="378"/>
      <c r="Y257" s="180"/>
      <c r="Z257" s="180"/>
      <c r="AA257" s="180"/>
      <c r="AB257" s="180"/>
    </row>
    <row r="258" spans="1:28">
      <c r="A258" s="631"/>
      <c r="B258" s="388"/>
      <c r="C258" s="391"/>
      <c r="D258" s="391"/>
      <c r="E258" s="391"/>
      <c r="F258" s="391"/>
      <c r="G258" s="391"/>
      <c r="H258" s="391"/>
      <c r="I258" s="749"/>
      <c r="J258" s="391"/>
      <c r="K258" s="391"/>
      <c r="L258" s="391"/>
      <c r="M258" s="391"/>
      <c r="N258" s="391"/>
      <c r="O258" s="749"/>
      <c r="P258" s="391"/>
      <c r="Q258" s="391"/>
      <c r="R258" s="391"/>
      <c r="S258" s="749"/>
      <c r="T258" s="391"/>
      <c r="U258" s="749"/>
      <c r="V258" s="391"/>
      <c r="W258" s="749"/>
      <c r="X258" s="378"/>
      <c r="Y258" s="180"/>
      <c r="Z258" s="180"/>
      <c r="AA258" s="180"/>
      <c r="AB258" s="180"/>
    </row>
    <row r="259" spans="1:28" s="203" customFormat="1">
      <c r="A259" s="631"/>
      <c r="B259" s="389"/>
      <c r="C259" s="392"/>
      <c r="D259" s="392"/>
      <c r="E259" s="392"/>
      <c r="F259" s="392"/>
      <c r="G259" s="392"/>
      <c r="H259" s="392"/>
      <c r="I259" s="750"/>
      <c r="J259" s="392"/>
      <c r="K259" s="392"/>
      <c r="L259" s="392"/>
      <c r="M259" s="392"/>
      <c r="N259" s="392"/>
      <c r="O259" s="750"/>
      <c r="P259" s="392"/>
      <c r="Q259" s="392"/>
      <c r="R259" s="392"/>
      <c r="S259" s="750"/>
      <c r="T259" s="392"/>
      <c r="U259" s="750"/>
      <c r="V259" s="392"/>
      <c r="W259" s="750"/>
      <c r="X259" s="378"/>
      <c r="Y259" s="180"/>
      <c r="Z259" s="180"/>
      <c r="AA259" s="180"/>
      <c r="AB259" s="180"/>
    </row>
    <row r="260" spans="1:28" s="202" customFormat="1">
      <c r="A260" s="631"/>
      <c r="B260" s="634"/>
      <c r="C260" s="466"/>
      <c r="D260" s="466"/>
      <c r="E260" s="466"/>
      <c r="F260" s="466"/>
      <c r="G260" s="466"/>
      <c r="H260" s="466"/>
      <c r="I260" s="751"/>
      <c r="J260" s="466"/>
      <c r="K260" s="466"/>
      <c r="L260" s="466"/>
      <c r="M260" s="466"/>
      <c r="N260" s="466"/>
      <c r="O260" s="751"/>
      <c r="P260" s="466"/>
      <c r="Q260" s="466"/>
      <c r="R260" s="466"/>
      <c r="S260" s="751"/>
      <c r="T260" s="466"/>
      <c r="U260" s="751"/>
      <c r="V260" s="466"/>
      <c r="W260" s="751"/>
      <c r="X260" s="378"/>
      <c r="Y260" s="180"/>
      <c r="Z260" s="180"/>
      <c r="AA260" s="180"/>
      <c r="AB260" s="180"/>
    </row>
    <row r="261" spans="1:28">
      <c r="A261" s="631"/>
      <c r="B261" s="388"/>
      <c r="C261" s="391"/>
      <c r="D261" s="391"/>
      <c r="E261" s="391"/>
      <c r="F261" s="391"/>
      <c r="G261" s="391"/>
      <c r="H261" s="391"/>
      <c r="I261" s="749"/>
      <c r="J261" s="391"/>
      <c r="K261" s="391"/>
      <c r="L261" s="391"/>
      <c r="M261" s="391"/>
      <c r="N261" s="391"/>
      <c r="O261" s="749"/>
      <c r="P261" s="391"/>
      <c r="Q261" s="391"/>
      <c r="R261" s="391"/>
      <c r="S261" s="749"/>
      <c r="T261" s="391"/>
      <c r="U261" s="749"/>
      <c r="V261" s="391"/>
      <c r="W261" s="749"/>
      <c r="X261" s="378"/>
      <c r="Y261" s="180"/>
      <c r="Z261" s="180"/>
      <c r="AA261" s="180"/>
      <c r="AB261" s="180"/>
    </row>
    <row r="262" spans="1:28" s="203" customFormat="1">
      <c r="A262" s="631"/>
      <c r="B262" s="389"/>
      <c r="C262" s="392"/>
      <c r="D262" s="392"/>
      <c r="E262" s="392"/>
      <c r="F262" s="392"/>
      <c r="G262" s="392"/>
      <c r="H262" s="392"/>
      <c r="I262" s="750"/>
      <c r="J262" s="392"/>
      <c r="K262" s="392"/>
      <c r="L262" s="392"/>
      <c r="M262" s="392"/>
      <c r="N262" s="392"/>
      <c r="O262" s="750"/>
      <c r="P262" s="392"/>
      <c r="Q262" s="392"/>
      <c r="R262" s="392"/>
      <c r="S262" s="750"/>
      <c r="T262" s="392"/>
      <c r="U262" s="750"/>
      <c r="V262" s="392"/>
      <c r="W262" s="750"/>
      <c r="X262" s="378"/>
      <c r="Y262" s="180"/>
      <c r="Z262" s="180"/>
      <c r="AA262" s="180"/>
      <c r="AB262" s="180"/>
    </row>
    <row r="263" spans="1:28" s="202" customFormat="1">
      <c r="A263" s="631"/>
      <c r="B263" s="634"/>
      <c r="C263" s="466"/>
      <c r="D263" s="466"/>
      <c r="E263" s="466"/>
      <c r="F263" s="466"/>
      <c r="G263" s="466"/>
      <c r="H263" s="466"/>
      <c r="I263" s="751"/>
      <c r="J263" s="466"/>
      <c r="K263" s="466"/>
      <c r="L263" s="466"/>
      <c r="M263" s="466"/>
      <c r="N263" s="466"/>
      <c r="O263" s="751"/>
      <c r="P263" s="466"/>
      <c r="Q263" s="466"/>
      <c r="R263" s="466"/>
      <c r="S263" s="751"/>
      <c r="T263" s="466"/>
      <c r="U263" s="751"/>
      <c r="V263" s="466"/>
      <c r="W263" s="751"/>
      <c r="X263" s="378"/>
      <c r="Y263" s="180"/>
      <c r="Z263" s="180"/>
      <c r="AA263" s="180"/>
      <c r="AB263" s="180"/>
    </row>
    <row r="264" spans="1:28">
      <c r="A264" s="631"/>
      <c r="B264" s="388"/>
      <c r="C264" s="391"/>
      <c r="D264" s="391"/>
      <c r="E264" s="391"/>
      <c r="F264" s="391"/>
      <c r="G264" s="391"/>
      <c r="H264" s="391"/>
      <c r="I264" s="749"/>
      <c r="J264" s="391"/>
      <c r="K264" s="391"/>
      <c r="L264" s="391"/>
      <c r="M264" s="391"/>
      <c r="N264" s="391"/>
      <c r="O264" s="749"/>
      <c r="P264" s="391"/>
      <c r="Q264" s="391"/>
      <c r="R264" s="391"/>
      <c r="S264" s="749"/>
      <c r="T264" s="391"/>
      <c r="U264" s="749"/>
      <c r="V264" s="391"/>
      <c r="W264" s="749"/>
      <c r="X264" s="378"/>
      <c r="Y264" s="180"/>
      <c r="Z264" s="180"/>
      <c r="AA264" s="180"/>
      <c r="AB264" s="180"/>
    </row>
    <row r="265" spans="1:28" s="203" customFormat="1">
      <c r="A265" s="631"/>
      <c r="B265" s="389"/>
      <c r="C265" s="392"/>
      <c r="D265" s="392"/>
      <c r="E265" s="392"/>
      <c r="F265" s="392"/>
      <c r="G265" s="392"/>
      <c r="H265" s="392"/>
      <c r="I265" s="750"/>
      <c r="J265" s="392"/>
      <c r="K265" s="392"/>
      <c r="L265" s="392"/>
      <c r="M265" s="392"/>
      <c r="N265" s="392"/>
      <c r="O265" s="750"/>
      <c r="P265" s="392"/>
      <c r="Q265" s="392"/>
      <c r="R265" s="392"/>
      <c r="S265" s="750"/>
      <c r="T265" s="392"/>
      <c r="U265" s="750"/>
      <c r="V265" s="392"/>
      <c r="W265" s="750"/>
      <c r="X265" s="378"/>
      <c r="Y265" s="180"/>
      <c r="Z265" s="180"/>
      <c r="AA265" s="180"/>
      <c r="AB265" s="180"/>
    </row>
    <row r="266" spans="1:28" s="202" customFormat="1">
      <c r="A266" s="631"/>
      <c r="B266" s="634"/>
      <c r="C266" s="466"/>
      <c r="D266" s="466"/>
      <c r="E266" s="466"/>
      <c r="F266" s="466"/>
      <c r="G266" s="466"/>
      <c r="H266" s="466"/>
      <c r="I266" s="751"/>
      <c r="J266" s="466"/>
      <c r="K266" s="466"/>
      <c r="L266" s="466"/>
      <c r="M266" s="466"/>
      <c r="N266" s="466"/>
      <c r="O266" s="751"/>
      <c r="P266" s="466"/>
      <c r="Q266" s="466"/>
      <c r="R266" s="466"/>
      <c r="S266" s="751"/>
      <c r="T266" s="466"/>
      <c r="U266" s="751"/>
      <c r="V266" s="466"/>
      <c r="W266" s="751"/>
      <c r="X266" s="378"/>
      <c r="Y266" s="180"/>
      <c r="Z266" s="180"/>
      <c r="AA266" s="180"/>
      <c r="AB266" s="180"/>
    </row>
    <row r="267" spans="1:28">
      <c r="A267" s="631"/>
      <c r="B267" s="388"/>
      <c r="C267" s="391"/>
      <c r="D267" s="391"/>
      <c r="E267" s="391"/>
      <c r="F267" s="391"/>
      <c r="G267" s="391"/>
      <c r="H267" s="391"/>
      <c r="I267" s="749"/>
      <c r="J267" s="391"/>
      <c r="K267" s="391"/>
      <c r="L267" s="391"/>
      <c r="M267" s="391"/>
      <c r="N267" s="391"/>
      <c r="O267" s="749"/>
      <c r="P267" s="391"/>
      <c r="Q267" s="391"/>
      <c r="R267" s="391"/>
      <c r="S267" s="749"/>
      <c r="T267" s="391"/>
      <c r="U267" s="749"/>
      <c r="V267" s="391"/>
      <c r="W267" s="749"/>
      <c r="X267" s="378"/>
      <c r="Y267" s="180"/>
      <c r="Z267" s="180"/>
      <c r="AA267" s="180"/>
      <c r="AB267" s="180"/>
    </row>
    <row r="268" spans="1:28" s="203" customFormat="1">
      <c r="A268" s="631"/>
      <c r="B268" s="389"/>
      <c r="C268" s="392"/>
      <c r="D268" s="392"/>
      <c r="E268" s="392"/>
      <c r="F268" s="392"/>
      <c r="G268" s="392"/>
      <c r="H268" s="392"/>
      <c r="I268" s="750"/>
      <c r="J268" s="392"/>
      <c r="K268" s="392"/>
      <c r="L268" s="392"/>
      <c r="M268" s="392"/>
      <c r="N268" s="392"/>
      <c r="O268" s="750"/>
      <c r="P268" s="392"/>
      <c r="Q268" s="392"/>
      <c r="R268" s="392"/>
      <c r="S268" s="750"/>
      <c r="T268" s="392"/>
      <c r="U268" s="750"/>
      <c r="V268" s="392"/>
      <c r="W268" s="750"/>
      <c r="X268" s="378"/>
      <c r="Y268" s="180"/>
      <c r="Z268" s="180"/>
      <c r="AA268" s="180"/>
      <c r="AB268" s="180"/>
    </row>
    <row r="269" spans="1:28" s="202" customFormat="1">
      <c r="A269" s="631"/>
      <c r="B269" s="634"/>
      <c r="C269" s="466"/>
      <c r="D269" s="466"/>
      <c r="E269" s="466"/>
      <c r="F269" s="466"/>
      <c r="G269" s="466"/>
      <c r="H269" s="466"/>
      <c r="I269" s="751"/>
      <c r="J269" s="466"/>
      <c r="K269" s="466"/>
      <c r="L269" s="466"/>
      <c r="M269" s="466"/>
      <c r="N269" s="466"/>
      <c r="O269" s="751"/>
      <c r="P269" s="466"/>
      <c r="Q269" s="466"/>
      <c r="R269" s="466"/>
      <c r="S269" s="751"/>
      <c r="T269" s="466"/>
      <c r="U269" s="751"/>
      <c r="V269" s="466"/>
      <c r="W269" s="751"/>
      <c r="X269" s="378"/>
      <c r="Y269" s="180"/>
      <c r="Z269" s="180"/>
      <c r="AA269" s="180"/>
      <c r="AB269" s="180"/>
    </row>
    <row r="270" spans="1:28">
      <c r="A270" s="631"/>
      <c r="B270" s="388"/>
      <c r="C270" s="391"/>
      <c r="D270" s="391"/>
      <c r="E270" s="391"/>
      <c r="F270" s="391"/>
      <c r="G270" s="391"/>
      <c r="H270" s="391"/>
      <c r="I270" s="749"/>
      <c r="J270" s="391"/>
      <c r="K270" s="391"/>
      <c r="L270" s="391"/>
      <c r="M270" s="391"/>
      <c r="N270" s="391"/>
      <c r="O270" s="749"/>
      <c r="P270" s="391"/>
      <c r="Q270" s="391"/>
      <c r="R270" s="391"/>
      <c r="S270" s="749"/>
      <c r="T270" s="391"/>
      <c r="U270" s="749"/>
      <c r="V270" s="391"/>
      <c r="W270" s="749"/>
      <c r="X270" s="378"/>
      <c r="Y270" s="180"/>
      <c r="Z270" s="180"/>
      <c r="AA270" s="180"/>
      <c r="AB270" s="180"/>
    </row>
    <row r="271" spans="1:28" s="203" customFormat="1">
      <c r="A271" s="631"/>
      <c r="B271" s="389"/>
      <c r="C271" s="392"/>
      <c r="D271" s="392"/>
      <c r="E271" s="392"/>
      <c r="F271" s="392"/>
      <c r="G271" s="392"/>
      <c r="H271" s="392"/>
      <c r="I271" s="750"/>
      <c r="J271" s="392"/>
      <c r="K271" s="392"/>
      <c r="L271" s="392"/>
      <c r="M271" s="392"/>
      <c r="N271" s="392"/>
      <c r="O271" s="750"/>
      <c r="P271" s="392"/>
      <c r="Q271" s="392"/>
      <c r="R271" s="392"/>
      <c r="S271" s="750"/>
      <c r="T271" s="392"/>
      <c r="U271" s="750"/>
      <c r="V271" s="392"/>
      <c r="W271" s="750"/>
      <c r="X271" s="378"/>
      <c r="Y271" s="180"/>
      <c r="Z271" s="180"/>
      <c r="AA271" s="180"/>
      <c r="AB271" s="180"/>
    </row>
    <row r="272" spans="1:28" s="202" customFormat="1">
      <c r="A272" s="631"/>
      <c r="B272" s="634"/>
      <c r="C272" s="466"/>
      <c r="D272" s="466"/>
      <c r="E272" s="466"/>
      <c r="F272" s="466"/>
      <c r="G272" s="466"/>
      <c r="H272" s="466"/>
      <c r="I272" s="751"/>
      <c r="J272" s="466"/>
      <c r="K272" s="466"/>
      <c r="L272" s="466"/>
      <c r="M272" s="466"/>
      <c r="N272" s="466"/>
      <c r="O272" s="751"/>
      <c r="P272" s="466"/>
      <c r="Q272" s="466"/>
      <c r="R272" s="466"/>
      <c r="S272" s="751"/>
      <c r="T272" s="466"/>
      <c r="U272" s="751"/>
      <c r="V272" s="466"/>
      <c r="W272" s="751"/>
      <c r="X272" s="378"/>
      <c r="Y272" s="180"/>
      <c r="Z272" s="180"/>
      <c r="AA272" s="180"/>
      <c r="AB272" s="180"/>
    </row>
    <row r="273" spans="1:28">
      <c r="A273" s="631"/>
      <c r="B273" s="388"/>
      <c r="C273" s="391"/>
      <c r="D273" s="391"/>
      <c r="E273" s="391"/>
      <c r="F273" s="391"/>
      <c r="G273" s="391"/>
      <c r="H273" s="391"/>
      <c r="I273" s="749"/>
      <c r="J273" s="391"/>
      <c r="K273" s="391"/>
      <c r="L273" s="391"/>
      <c r="M273" s="391"/>
      <c r="N273" s="391"/>
      <c r="O273" s="749"/>
      <c r="P273" s="391"/>
      <c r="Q273" s="391"/>
      <c r="R273" s="391"/>
      <c r="S273" s="749"/>
      <c r="T273" s="391"/>
      <c r="U273" s="749"/>
      <c r="V273" s="391"/>
      <c r="W273" s="749"/>
      <c r="X273" s="378"/>
      <c r="Y273" s="180"/>
      <c r="Z273" s="180"/>
      <c r="AA273" s="180"/>
      <c r="AB273" s="180"/>
    </row>
    <row r="274" spans="1:28" s="203" customFormat="1">
      <c r="A274" s="631"/>
      <c r="B274" s="389"/>
      <c r="C274" s="392"/>
      <c r="D274" s="392"/>
      <c r="E274" s="392"/>
      <c r="F274" s="392"/>
      <c r="G274" s="392"/>
      <c r="H274" s="392"/>
      <c r="I274" s="750"/>
      <c r="J274" s="392"/>
      <c r="K274" s="392"/>
      <c r="L274" s="392"/>
      <c r="M274" s="392"/>
      <c r="N274" s="392"/>
      <c r="O274" s="750"/>
      <c r="P274" s="392"/>
      <c r="Q274" s="392"/>
      <c r="R274" s="392"/>
      <c r="S274" s="750"/>
      <c r="T274" s="392"/>
      <c r="U274" s="750"/>
      <c r="V274" s="392"/>
      <c r="W274" s="750"/>
      <c r="X274" s="378"/>
      <c r="Y274" s="180"/>
      <c r="Z274" s="180"/>
      <c r="AA274" s="180"/>
      <c r="AB274" s="180"/>
    </row>
    <row r="275" spans="1:28" s="202" customFormat="1">
      <c r="A275" s="631"/>
      <c r="B275" s="634"/>
      <c r="C275" s="1461"/>
      <c r="D275" s="466"/>
      <c r="E275" s="466"/>
      <c r="F275" s="466"/>
      <c r="G275" s="466"/>
      <c r="H275" s="466"/>
      <c r="I275" s="751"/>
      <c r="J275" s="466"/>
      <c r="K275" s="466"/>
      <c r="L275" s="466"/>
      <c r="M275" s="466"/>
      <c r="N275" s="466"/>
      <c r="O275" s="751"/>
      <c r="P275" s="466"/>
      <c r="Q275" s="466"/>
      <c r="R275" s="466"/>
      <c r="S275" s="751"/>
      <c r="T275" s="466"/>
      <c r="U275" s="751"/>
      <c r="V275" s="466"/>
      <c r="W275" s="751"/>
      <c r="X275" s="378"/>
      <c r="Y275" s="180"/>
      <c r="Z275" s="180"/>
      <c r="AA275" s="180"/>
      <c r="AB275" s="180"/>
    </row>
    <row r="276" spans="1:28">
      <c r="A276" s="631"/>
      <c r="B276" s="388"/>
      <c r="C276" s="391"/>
      <c r="D276" s="391"/>
      <c r="E276" s="391"/>
      <c r="F276" s="391"/>
      <c r="G276" s="391"/>
      <c r="H276" s="391"/>
      <c r="I276" s="749"/>
      <c r="J276" s="391"/>
      <c r="K276" s="391"/>
      <c r="L276" s="391"/>
      <c r="M276" s="391"/>
      <c r="N276" s="391"/>
      <c r="O276" s="749"/>
      <c r="P276" s="391"/>
      <c r="Q276" s="391"/>
      <c r="R276" s="391"/>
      <c r="S276" s="749"/>
      <c r="T276" s="391"/>
      <c r="U276" s="749"/>
      <c r="V276" s="391"/>
      <c r="W276" s="749"/>
      <c r="X276" s="378"/>
      <c r="Y276" s="180"/>
      <c r="Z276" s="180"/>
      <c r="AA276" s="180"/>
      <c r="AB276" s="180"/>
    </row>
    <row r="277" spans="1:28" s="203" customFormat="1">
      <c r="A277" s="631"/>
      <c r="B277" s="389"/>
      <c r="C277" s="392"/>
      <c r="D277" s="392"/>
      <c r="E277" s="392"/>
      <c r="F277" s="392"/>
      <c r="G277" s="392"/>
      <c r="H277" s="392"/>
      <c r="I277" s="750"/>
      <c r="J277" s="392"/>
      <c r="K277" s="392"/>
      <c r="L277" s="392"/>
      <c r="M277" s="392"/>
      <c r="N277" s="392"/>
      <c r="O277" s="750"/>
      <c r="P277" s="392"/>
      <c r="Q277" s="392"/>
      <c r="R277" s="392"/>
      <c r="S277" s="750"/>
      <c r="T277" s="392"/>
      <c r="U277" s="750"/>
      <c r="V277" s="392"/>
      <c r="W277" s="750"/>
      <c r="X277" s="378"/>
      <c r="Y277" s="180"/>
      <c r="Z277" s="180"/>
      <c r="AA277" s="180"/>
      <c r="AB277" s="180"/>
    </row>
    <row r="278" spans="1:28" s="212" customFormat="1" ht="13.5" thickBot="1">
      <c r="A278" s="635"/>
      <c r="B278" s="761"/>
      <c r="C278" s="762"/>
      <c r="D278" s="762"/>
      <c r="E278" s="762"/>
      <c r="F278" s="762"/>
      <c r="G278" s="762"/>
      <c r="H278" s="762"/>
      <c r="I278" s="763"/>
      <c r="J278" s="762"/>
      <c r="K278" s="762"/>
      <c r="L278" s="762"/>
      <c r="M278" s="1462"/>
      <c r="N278" s="762"/>
      <c r="O278" s="763"/>
      <c r="P278" s="1462"/>
      <c r="Q278" s="762"/>
      <c r="R278" s="762"/>
      <c r="S278" s="763"/>
      <c r="T278" s="762"/>
      <c r="U278" s="763"/>
      <c r="V278" s="762"/>
      <c r="W278" s="763"/>
      <c r="X278" s="378"/>
      <c r="Y278" s="180"/>
      <c r="Z278" s="180"/>
      <c r="AA278" s="180"/>
      <c r="AB278" s="180"/>
    </row>
    <row r="279" spans="1:28" ht="13.5" thickTop="1">
      <c r="A279" s="230"/>
      <c r="B279" s="764"/>
      <c r="C279" s="765"/>
      <c r="D279" s="765"/>
      <c r="E279" s="765"/>
      <c r="F279" s="765"/>
      <c r="G279" s="765"/>
      <c r="H279" s="765"/>
      <c r="I279" s="766"/>
      <c r="J279" s="765"/>
      <c r="K279" s="765"/>
      <c r="L279" s="765"/>
      <c r="M279" s="765"/>
      <c r="N279" s="765"/>
      <c r="O279" s="766"/>
      <c r="P279" s="765"/>
      <c r="Q279" s="765"/>
      <c r="R279" s="765"/>
      <c r="S279" s="766"/>
      <c r="T279" s="765"/>
      <c r="U279" s="766"/>
      <c r="V279" s="765"/>
      <c r="W279" s="766"/>
      <c r="X279" s="378"/>
      <c r="Y279" s="180"/>
      <c r="Z279" s="180"/>
      <c r="AA279" s="180"/>
      <c r="AB279" s="180"/>
    </row>
    <row r="280" spans="1:28" s="203" customFormat="1">
      <c r="A280" s="631"/>
      <c r="B280" s="389"/>
      <c r="C280" s="392"/>
      <c r="D280" s="392"/>
      <c r="E280" s="392"/>
      <c r="F280" s="392"/>
      <c r="G280" s="392"/>
      <c r="H280" s="392"/>
      <c r="I280" s="750"/>
      <c r="J280" s="392"/>
      <c r="K280" s="392"/>
      <c r="L280" s="392"/>
      <c r="M280" s="392"/>
      <c r="N280" s="392"/>
      <c r="O280" s="750"/>
      <c r="P280" s="392"/>
      <c r="Q280" s="392"/>
      <c r="R280" s="392"/>
      <c r="S280" s="750"/>
      <c r="T280" s="392"/>
      <c r="U280" s="750"/>
      <c r="V280" s="392"/>
      <c r="W280" s="750"/>
      <c r="X280" s="378"/>
      <c r="Y280" s="180"/>
      <c r="Z280" s="180"/>
      <c r="AA280" s="180"/>
      <c r="AB280" s="180"/>
    </row>
    <row r="281" spans="1:28" s="202" customFormat="1">
      <c r="A281" s="632"/>
      <c r="B281" s="634"/>
      <c r="C281" s="466"/>
      <c r="D281" s="466"/>
      <c r="E281" s="466"/>
      <c r="F281" s="466"/>
      <c r="G281" s="466"/>
      <c r="H281" s="1461"/>
      <c r="I281" s="751"/>
      <c r="J281" s="466"/>
      <c r="K281" s="466"/>
      <c r="L281" s="466"/>
      <c r="M281" s="466"/>
      <c r="N281" s="466"/>
      <c r="O281" s="751"/>
      <c r="P281" s="466"/>
      <c r="Q281" s="466"/>
      <c r="R281" s="466"/>
      <c r="S281" s="751"/>
      <c r="T281" s="466"/>
      <c r="U281" s="751"/>
      <c r="V281" s="466"/>
      <c r="W281" s="751"/>
      <c r="X281" s="378"/>
      <c r="Y281" s="180"/>
      <c r="Z281" s="180"/>
      <c r="AA281" s="180"/>
      <c r="AB281" s="180"/>
    </row>
    <row r="282" spans="1:28">
      <c r="A282" s="631"/>
      <c r="B282" s="388"/>
      <c r="C282" s="391"/>
      <c r="D282" s="391"/>
      <c r="E282" s="391"/>
      <c r="F282" s="391"/>
      <c r="G282" s="391"/>
      <c r="H282" s="391"/>
      <c r="I282" s="749"/>
      <c r="J282" s="391"/>
      <c r="K282" s="391"/>
      <c r="L282" s="391"/>
      <c r="M282" s="391"/>
      <c r="N282" s="391"/>
      <c r="O282" s="749"/>
      <c r="P282" s="391"/>
      <c r="Q282" s="391"/>
      <c r="R282" s="391"/>
      <c r="S282" s="749"/>
      <c r="T282" s="391"/>
      <c r="U282" s="749"/>
      <c r="V282" s="391"/>
      <c r="W282" s="749"/>
      <c r="X282" s="378"/>
      <c r="Y282" s="180"/>
      <c r="Z282" s="180"/>
      <c r="AA282" s="180"/>
      <c r="AB282" s="180"/>
    </row>
    <row r="283" spans="1:28" s="203" customFormat="1">
      <c r="A283" s="631"/>
      <c r="B283" s="389"/>
      <c r="C283" s="392"/>
      <c r="D283" s="392"/>
      <c r="E283" s="392"/>
      <c r="F283" s="392"/>
      <c r="G283" s="392"/>
      <c r="H283" s="392"/>
      <c r="I283" s="750"/>
      <c r="J283" s="392"/>
      <c r="K283" s="392"/>
      <c r="L283" s="392"/>
      <c r="M283" s="392"/>
      <c r="N283" s="392"/>
      <c r="O283" s="750"/>
      <c r="P283" s="392"/>
      <c r="Q283" s="392"/>
      <c r="R283" s="392"/>
      <c r="S283" s="750"/>
      <c r="T283" s="392"/>
      <c r="U283" s="750"/>
      <c r="V283" s="392"/>
      <c r="W283" s="750"/>
      <c r="X283" s="378"/>
      <c r="Y283" s="180"/>
      <c r="Z283" s="180"/>
      <c r="AA283" s="180"/>
      <c r="AB283" s="180"/>
    </row>
    <row r="284" spans="1:28" s="202" customFormat="1">
      <c r="A284" s="631"/>
      <c r="B284" s="634"/>
      <c r="C284" s="1461"/>
      <c r="D284" s="466"/>
      <c r="E284" s="466"/>
      <c r="F284" s="466"/>
      <c r="G284" s="466"/>
      <c r="H284" s="466"/>
      <c r="I284" s="751"/>
      <c r="J284" s="466"/>
      <c r="K284" s="466"/>
      <c r="L284" s="466"/>
      <c r="M284" s="466"/>
      <c r="N284" s="466"/>
      <c r="O284" s="751"/>
      <c r="P284" s="466"/>
      <c r="Q284" s="466"/>
      <c r="R284" s="466"/>
      <c r="S284" s="751"/>
      <c r="T284" s="466"/>
      <c r="U284" s="751"/>
      <c r="V284" s="466"/>
      <c r="W284" s="751"/>
      <c r="X284" s="378"/>
      <c r="Y284" s="180"/>
      <c r="Z284" s="180"/>
      <c r="AA284" s="180"/>
      <c r="AB284" s="180"/>
    </row>
    <row r="285" spans="1:28">
      <c r="A285" s="631"/>
      <c r="B285" s="388"/>
      <c r="C285" s="391"/>
      <c r="D285" s="391"/>
      <c r="E285" s="391"/>
      <c r="F285" s="391"/>
      <c r="G285" s="391"/>
      <c r="H285" s="391"/>
      <c r="I285" s="749"/>
      <c r="J285" s="391"/>
      <c r="K285" s="391"/>
      <c r="L285" s="391"/>
      <c r="M285" s="391"/>
      <c r="N285" s="391"/>
      <c r="O285" s="749"/>
      <c r="P285" s="391"/>
      <c r="Q285" s="391"/>
      <c r="R285" s="391"/>
      <c r="S285" s="749"/>
      <c r="T285" s="391"/>
      <c r="U285" s="749"/>
      <c r="V285" s="391"/>
      <c r="W285" s="749"/>
      <c r="X285" s="378"/>
      <c r="Y285" s="180"/>
      <c r="Z285" s="180"/>
      <c r="AA285" s="180"/>
      <c r="AB285" s="180"/>
    </row>
    <row r="286" spans="1:28" s="203" customFormat="1">
      <c r="A286" s="631"/>
      <c r="B286" s="389"/>
      <c r="C286" s="392"/>
      <c r="D286" s="392"/>
      <c r="E286" s="392"/>
      <c r="F286" s="392"/>
      <c r="G286" s="392"/>
      <c r="H286" s="392"/>
      <c r="I286" s="750"/>
      <c r="J286" s="392"/>
      <c r="K286" s="392"/>
      <c r="L286" s="392"/>
      <c r="M286" s="392"/>
      <c r="N286" s="392"/>
      <c r="O286" s="750"/>
      <c r="P286" s="392"/>
      <c r="Q286" s="392"/>
      <c r="R286" s="392"/>
      <c r="S286" s="750"/>
      <c r="T286" s="392"/>
      <c r="U286" s="750"/>
      <c r="V286" s="392"/>
      <c r="W286" s="750"/>
      <c r="X286" s="378"/>
      <c r="Y286" s="180"/>
      <c r="Z286" s="180"/>
      <c r="AA286" s="180"/>
      <c r="AB286" s="180"/>
    </row>
    <row r="287" spans="1:28" s="202" customFormat="1">
      <c r="A287" s="631"/>
      <c r="B287" s="634"/>
      <c r="C287" s="466"/>
      <c r="D287" s="466"/>
      <c r="E287" s="466"/>
      <c r="F287" s="466"/>
      <c r="G287" s="466"/>
      <c r="H287" s="466"/>
      <c r="I287" s="751"/>
      <c r="J287" s="466"/>
      <c r="K287" s="1461"/>
      <c r="L287" s="466"/>
      <c r="M287" s="466"/>
      <c r="N287" s="466"/>
      <c r="O287" s="751"/>
      <c r="P287" s="466"/>
      <c r="Q287" s="466"/>
      <c r="R287" s="466"/>
      <c r="S287" s="751"/>
      <c r="T287" s="466"/>
      <c r="U287" s="751"/>
      <c r="V287" s="466"/>
      <c r="W287" s="751"/>
      <c r="X287" s="378"/>
      <c r="Y287" s="180"/>
      <c r="Z287" s="180"/>
      <c r="AA287" s="180"/>
      <c r="AB287" s="180"/>
    </row>
    <row r="288" spans="1:28">
      <c r="A288" s="631"/>
      <c r="B288" s="388"/>
      <c r="C288" s="391"/>
      <c r="D288" s="391"/>
      <c r="E288" s="391"/>
      <c r="F288" s="391"/>
      <c r="G288" s="391"/>
      <c r="H288" s="391"/>
      <c r="I288" s="749"/>
      <c r="J288" s="391"/>
      <c r="K288" s="391"/>
      <c r="L288" s="391"/>
      <c r="M288" s="391"/>
      <c r="N288" s="391"/>
      <c r="O288" s="749"/>
      <c r="P288" s="391"/>
      <c r="Q288" s="391"/>
      <c r="R288" s="391"/>
      <c r="S288" s="749"/>
      <c r="T288" s="391"/>
      <c r="U288" s="749"/>
      <c r="V288" s="391"/>
      <c r="W288" s="749"/>
      <c r="X288" s="378"/>
      <c r="Y288" s="180"/>
      <c r="Z288" s="180"/>
      <c r="AA288" s="180"/>
      <c r="AB288" s="180"/>
    </row>
    <row r="289" spans="1:28" s="203" customFormat="1">
      <c r="A289" s="631"/>
      <c r="B289" s="389"/>
      <c r="C289" s="392"/>
      <c r="D289" s="392"/>
      <c r="E289" s="392"/>
      <c r="F289" s="392"/>
      <c r="G289" s="392"/>
      <c r="H289" s="392"/>
      <c r="I289" s="750"/>
      <c r="J289" s="392"/>
      <c r="K289" s="392"/>
      <c r="L289" s="392"/>
      <c r="M289" s="392"/>
      <c r="N289" s="392"/>
      <c r="O289" s="750"/>
      <c r="P289" s="392"/>
      <c r="Q289" s="392"/>
      <c r="R289" s="392"/>
      <c r="S289" s="750"/>
      <c r="T289" s="392"/>
      <c r="U289" s="750"/>
      <c r="V289" s="392"/>
      <c r="W289" s="750"/>
      <c r="X289" s="378"/>
      <c r="Y289" s="180"/>
      <c r="Z289" s="180"/>
      <c r="AA289" s="180"/>
      <c r="AB289" s="180"/>
    </row>
    <row r="290" spans="1:28" s="202" customFormat="1">
      <c r="A290" s="631"/>
      <c r="B290" s="634"/>
      <c r="C290" s="466"/>
      <c r="D290" s="466"/>
      <c r="E290" s="466"/>
      <c r="F290" s="466"/>
      <c r="G290" s="466"/>
      <c r="H290" s="1461"/>
      <c r="I290" s="751"/>
      <c r="J290" s="466"/>
      <c r="K290" s="466"/>
      <c r="L290" s="466"/>
      <c r="M290" s="466"/>
      <c r="N290" s="466"/>
      <c r="O290" s="751"/>
      <c r="P290" s="466"/>
      <c r="Q290" s="466"/>
      <c r="R290" s="466"/>
      <c r="S290" s="751"/>
      <c r="T290" s="466"/>
      <c r="U290" s="751"/>
      <c r="V290" s="466"/>
      <c r="W290" s="751"/>
      <c r="X290" s="378"/>
      <c r="Y290" s="180"/>
      <c r="Z290" s="180"/>
      <c r="AA290" s="180"/>
      <c r="AB290" s="180"/>
    </row>
    <row r="291" spans="1:28">
      <c r="A291" s="631"/>
      <c r="B291" s="388"/>
      <c r="C291" s="391"/>
      <c r="D291" s="391"/>
      <c r="E291" s="391"/>
      <c r="F291" s="391"/>
      <c r="G291" s="391"/>
      <c r="H291" s="391"/>
      <c r="I291" s="749"/>
      <c r="J291" s="391"/>
      <c r="K291" s="391"/>
      <c r="L291" s="391"/>
      <c r="M291" s="391"/>
      <c r="N291" s="391"/>
      <c r="O291" s="749"/>
      <c r="P291" s="391"/>
      <c r="Q291" s="391"/>
      <c r="R291" s="391"/>
      <c r="S291" s="749"/>
      <c r="T291" s="391"/>
      <c r="U291" s="749"/>
      <c r="V291" s="391"/>
      <c r="W291" s="749"/>
      <c r="X291" s="378"/>
      <c r="Y291" s="180"/>
      <c r="Z291" s="180"/>
      <c r="AA291" s="180"/>
      <c r="AB291" s="180"/>
    </row>
    <row r="292" spans="1:28" s="203" customFormat="1">
      <c r="A292" s="631"/>
      <c r="B292" s="389"/>
      <c r="C292" s="392"/>
      <c r="D292" s="392"/>
      <c r="E292" s="392"/>
      <c r="F292" s="392"/>
      <c r="G292" s="392"/>
      <c r="H292" s="392"/>
      <c r="I292" s="750"/>
      <c r="J292" s="392"/>
      <c r="K292" s="392"/>
      <c r="L292" s="392"/>
      <c r="M292" s="392"/>
      <c r="N292" s="392"/>
      <c r="O292" s="750"/>
      <c r="P292" s="392"/>
      <c r="Q292" s="392"/>
      <c r="R292" s="392"/>
      <c r="S292" s="750"/>
      <c r="T292" s="392"/>
      <c r="U292" s="750"/>
      <c r="V292" s="392"/>
      <c r="W292" s="750"/>
      <c r="X292" s="378"/>
      <c r="Y292" s="180"/>
      <c r="Z292" s="180"/>
      <c r="AA292" s="180"/>
      <c r="AB292" s="180"/>
    </row>
    <row r="293" spans="1:28" s="202" customFormat="1">
      <c r="A293" s="631"/>
      <c r="B293" s="634"/>
      <c r="C293" s="466"/>
      <c r="D293" s="466"/>
      <c r="E293" s="466"/>
      <c r="F293" s="466"/>
      <c r="G293" s="466"/>
      <c r="H293" s="466"/>
      <c r="I293" s="751"/>
      <c r="J293" s="466"/>
      <c r="K293" s="466"/>
      <c r="L293" s="466"/>
      <c r="M293" s="466"/>
      <c r="N293" s="466"/>
      <c r="O293" s="751"/>
      <c r="P293" s="466"/>
      <c r="Q293" s="466"/>
      <c r="R293" s="466"/>
      <c r="S293" s="751"/>
      <c r="T293" s="466"/>
      <c r="U293" s="751"/>
      <c r="V293" s="466"/>
      <c r="W293" s="751"/>
      <c r="X293" s="378"/>
      <c r="Y293" s="180"/>
      <c r="Z293" s="180"/>
      <c r="AA293" s="180"/>
      <c r="AB293" s="180"/>
    </row>
    <row r="294" spans="1:28">
      <c r="A294" s="631"/>
      <c r="B294" s="752"/>
      <c r="C294" s="749"/>
      <c r="D294" s="749"/>
      <c r="E294" s="749"/>
      <c r="F294" s="749"/>
      <c r="G294" s="749"/>
      <c r="H294" s="749"/>
      <c r="I294" s="749"/>
      <c r="J294" s="749"/>
      <c r="K294" s="749"/>
      <c r="L294" s="749"/>
      <c r="M294" s="749"/>
      <c r="N294" s="749"/>
      <c r="O294" s="749"/>
      <c r="P294" s="749"/>
      <c r="Q294" s="749"/>
      <c r="R294" s="749"/>
      <c r="S294" s="749"/>
      <c r="T294" s="749"/>
      <c r="U294" s="749"/>
      <c r="V294" s="749"/>
      <c r="W294" s="749"/>
      <c r="X294" s="378"/>
      <c r="Y294" s="180"/>
      <c r="Z294" s="180"/>
      <c r="AA294" s="180"/>
      <c r="AB294" s="180"/>
    </row>
    <row r="295" spans="1:28" s="203" customFormat="1">
      <c r="A295" s="631"/>
      <c r="B295" s="753"/>
      <c r="C295" s="750"/>
      <c r="D295" s="750"/>
      <c r="E295" s="750"/>
      <c r="F295" s="750"/>
      <c r="G295" s="750"/>
      <c r="H295" s="750"/>
      <c r="I295" s="750"/>
      <c r="J295" s="750"/>
      <c r="K295" s="750"/>
      <c r="L295" s="750"/>
      <c r="M295" s="750"/>
      <c r="N295" s="750"/>
      <c r="O295" s="750"/>
      <c r="P295" s="750"/>
      <c r="Q295" s="750"/>
      <c r="R295" s="750"/>
      <c r="S295" s="750"/>
      <c r="T295" s="750"/>
      <c r="U295" s="750"/>
      <c r="V295" s="750"/>
      <c r="W295" s="750"/>
      <c r="X295" s="378"/>
      <c r="Y295" s="180"/>
      <c r="Z295" s="180"/>
      <c r="AA295" s="180"/>
      <c r="AB295" s="180"/>
    </row>
    <row r="296" spans="1:28" s="202" customFormat="1">
      <c r="A296" s="631"/>
      <c r="B296" s="754"/>
      <c r="C296" s="751"/>
      <c r="D296" s="751"/>
      <c r="E296" s="751"/>
      <c r="F296" s="751"/>
      <c r="G296" s="751"/>
      <c r="H296" s="751"/>
      <c r="I296" s="751"/>
      <c r="J296" s="751"/>
      <c r="K296" s="751"/>
      <c r="L296" s="751"/>
      <c r="M296" s="751"/>
      <c r="N296" s="751"/>
      <c r="O296" s="751"/>
      <c r="P296" s="751"/>
      <c r="Q296" s="751"/>
      <c r="R296" s="751"/>
      <c r="S296" s="751"/>
      <c r="T296" s="751"/>
      <c r="U296" s="751"/>
      <c r="V296" s="751"/>
      <c r="W296" s="751"/>
      <c r="X296" s="378"/>
      <c r="Y296" s="180"/>
      <c r="Z296" s="180"/>
      <c r="AA296" s="180"/>
      <c r="AB296" s="180"/>
    </row>
    <row r="297" spans="1:28">
      <c r="A297" s="631"/>
      <c r="B297" s="388"/>
      <c r="C297" s="391"/>
      <c r="D297" s="391"/>
      <c r="E297" s="391"/>
      <c r="F297" s="391"/>
      <c r="G297" s="391"/>
      <c r="H297" s="391"/>
      <c r="I297" s="749"/>
      <c r="J297" s="391"/>
      <c r="K297" s="391"/>
      <c r="L297" s="391"/>
      <c r="M297" s="391"/>
      <c r="N297" s="391"/>
      <c r="O297" s="749"/>
      <c r="P297" s="391"/>
      <c r="Q297" s="391"/>
      <c r="R297" s="391"/>
      <c r="S297" s="749"/>
      <c r="T297" s="391"/>
      <c r="U297" s="749"/>
      <c r="V297" s="391"/>
      <c r="W297" s="749"/>
      <c r="X297" s="378"/>
      <c r="Y297" s="180"/>
      <c r="Z297" s="180"/>
      <c r="AA297" s="180"/>
      <c r="AB297" s="180"/>
    </row>
    <row r="298" spans="1:28" s="203" customFormat="1">
      <c r="A298" s="631"/>
      <c r="B298" s="389"/>
      <c r="C298" s="392"/>
      <c r="D298" s="392"/>
      <c r="E298" s="392"/>
      <c r="F298" s="392"/>
      <c r="G298" s="392"/>
      <c r="H298" s="392"/>
      <c r="I298" s="750"/>
      <c r="J298" s="392"/>
      <c r="K298" s="392"/>
      <c r="L298" s="392"/>
      <c r="M298" s="392"/>
      <c r="N298" s="392"/>
      <c r="O298" s="750"/>
      <c r="P298" s="392"/>
      <c r="Q298" s="392"/>
      <c r="R298" s="392"/>
      <c r="S298" s="750"/>
      <c r="T298" s="392"/>
      <c r="U298" s="750"/>
      <c r="V298" s="392"/>
      <c r="W298" s="750"/>
      <c r="X298" s="378"/>
      <c r="Y298" s="180"/>
      <c r="Z298" s="180"/>
      <c r="AA298" s="180"/>
      <c r="AB298" s="180"/>
    </row>
    <row r="299" spans="1:28" s="202" customFormat="1">
      <c r="A299" s="631"/>
      <c r="B299" s="634"/>
      <c r="C299" s="466"/>
      <c r="D299" s="466"/>
      <c r="E299" s="466"/>
      <c r="F299" s="466"/>
      <c r="G299" s="466"/>
      <c r="H299" s="466"/>
      <c r="I299" s="751"/>
      <c r="J299" s="466"/>
      <c r="K299" s="466"/>
      <c r="L299" s="466"/>
      <c r="M299" s="466"/>
      <c r="N299" s="466"/>
      <c r="O299" s="751"/>
      <c r="P299" s="466"/>
      <c r="Q299" s="466"/>
      <c r="R299" s="466"/>
      <c r="S299" s="751"/>
      <c r="T299" s="466"/>
      <c r="U299" s="751"/>
      <c r="V299" s="466"/>
      <c r="W299" s="751"/>
      <c r="X299" s="378"/>
      <c r="Y299" s="180"/>
      <c r="Z299" s="180"/>
      <c r="AA299" s="180"/>
      <c r="AB299" s="180"/>
    </row>
    <row r="300" spans="1:28">
      <c r="A300" s="631"/>
      <c r="B300" s="388"/>
      <c r="C300" s="391"/>
      <c r="D300" s="391"/>
      <c r="E300" s="391"/>
      <c r="F300" s="391"/>
      <c r="G300" s="391"/>
      <c r="H300" s="391"/>
      <c r="I300" s="749"/>
      <c r="J300" s="391"/>
      <c r="K300" s="391"/>
      <c r="L300" s="391"/>
      <c r="M300" s="391"/>
      <c r="N300" s="391"/>
      <c r="O300" s="749"/>
      <c r="P300" s="391"/>
      <c r="Q300" s="391"/>
      <c r="R300" s="391"/>
      <c r="S300" s="749"/>
      <c r="T300" s="391"/>
      <c r="U300" s="749"/>
      <c r="V300" s="391"/>
      <c r="W300" s="749"/>
      <c r="X300" s="378"/>
      <c r="Y300" s="180"/>
      <c r="Z300" s="180"/>
      <c r="AA300" s="180"/>
      <c r="AB300" s="180"/>
    </row>
    <row r="301" spans="1:28" s="203" customFormat="1">
      <c r="A301" s="631"/>
      <c r="B301" s="389"/>
      <c r="C301" s="392"/>
      <c r="D301" s="392"/>
      <c r="E301" s="392"/>
      <c r="F301" s="392"/>
      <c r="G301" s="392"/>
      <c r="H301" s="392"/>
      <c r="I301" s="750"/>
      <c r="J301" s="392"/>
      <c r="K301" s="392"/>
      <c r="L301" s="392"/>
      <c r="M301" s="392"/>
      <c r="N301" s="392"/>
      <c r="O301" s="750"/>
      <c r="P301" s="392"/>
      <c r="Q301" s="392"/>
      <c r="R301" s="392"/>
      <c r="S301" s="750"/>
      <c r="T301" s="392"/>
      <c r="U301" s="750"/>
      <c r="V301" s="392"/>
      <c r="W301" s="750"/>
      <c r="X301" s="378"/>
      <c r="Y301" s="180"/>
      <c r="Z301" s="180"/>
      <c r="AA301" s="180"/>
      <c r="AB301" s="180"/>
    </row>
    <row r="302" spans="1:28" s="202" customFormat="1">
      <c r="A302" s="631"/>
      <c r="B302" s="634"/>
      <c r="C302" s="466"/>
      <c r="D302" s="466"/>
      <c r="E302" s="466"/>
      <c r="F302" s="466"/>
      <c r="G302" s="466"/>
      <c r="H302" s="466"/>
      <c r="I302" s="751"/>
      <c r="J302" s="466"/>
      <c r="K302" s="466"/>
      <c r="L302" s="466"/>
      <c r="M302" s="466"/>
      <c r="N302" s="466"/>
      <c r="O302" s="751"/>
      <c r="P302" s="466"/>
      <c r="Q302" s="466"/>
      <c r="R302" s="466"/>
      <c r="S302" s="751"/>
      <c r="T302" s="466"/>
      <c r="U302" s="751"/>
      <c r="V302" s="466"/>
      <c r="W302" s="751"/>
      <c r="X302" s="378"/>
      <c r="Y302" s="180"/>
      <c r="Z302" s="180"/>
      <c r="AA302" s="180"/>
      <c r="AB302" s="180"/>
    </row>
    <row r="303" spans="1:28">
      <c r="A303" s="631"/>
      <c r="B303" s="388"/>
      <c r="C303" s="391"/>
      <c r="D303" s="391"/>
      <c r="E303" s="391"/>
      <c r="F303" s="391"/>
      <c r="G303" s="391"/>
      <c r="H303" s="391"/>
      <c r="I303" s="749"/>
      <c r="J303" s="391"/>
      <c r="K303" s="391"/>
      <c r="L303" s="391"/>
      <c r="M303" s="391"/>
      <c r="N303" s="391"/>
      <c r="O303" s="749"/>
      <c r="P303" s="391"/>
      <c r="Q303" s="391"/>
      <c r="R303" s="391"/>
      <c r="S303" s="749"/>
      <c r="T303" s="391"/>
      <c r="U303" s="749"/>
      <c r="V303" s="391"/>
      <c r="W303" s="749"/>
      <c r="X303" s="378"/>
      <c r="Y303" s="180"/>
      <c r="Z303" s="180"/>
      <c r="AA303" s="180"/>
      <c r="AB303" s="180"/>
    </row>
    <row r="304" spans="1:28" s="203" customFormat="1">
      <c r="A304" s="631"/>
      <c r="B304" s="389"/>
      <c r="C304" s="392"/>
      <c r="D304" s="392"/>
      <c r="E304" s="392"/>
      <c r="F304" s="392"/>
      <c r="G304" s="392"/>
      <c r="H304" s="392"/>
      <c r="I304" s="750"/>
      <c r="J304" s="392"/>
      <c r="K304" s="392"/>
      <c r="L304" s="392"/>
      <c r="M304" s="392"/>
      <c r="N304" s="392"/>
      <c r="O304" s="750"/>
      <c r="P304" s="392"/>
      <c r="Q304" s="392"/>
      <c r="R304" s="392"/>
      <c r="S304" s="750"/>
      <c r="T304" s="392"/>
      <c r="U304" s="750"/>
      <c r="V304" s="392"/>
      <c r="W304" s="750"/>
      <c r="X304" s="378"/>
      <c r="Y304" s="180"/>
      <c r="Z304" s="180"/>
      <c r="AA304" s="180"/>
      <c r="AB304" s="180"/>
    </row>
    <row r="305" spans="1:28" s="202" customFormat="1">
      <c r="A305" s="631"/>
      <c r="B305" s="634"/>
      <c r="C305" s="466"/>
      <c r="D305" s="466"/>
      <c r="E305" s="466"/>
      <c r="F305" s="466"/>
      <c r="G305" s="466"/>
      <c r="H305" s="466"/>
      <c r="I305" s="751"/>
      <c r="J305" s="466"/>
      <c r="K305" s="466"/>
      <c r="L305" s="466"/>
      <c r="M305" s="466"/>
      <c r="N305" s="466"/>
      <c r="O305" s="751"/>
      <c r="P305" s="466"/>
      <c r="Q305" s="466"/>
      <c r="R305" s="466"/>
      <c r="S305" s="751"/>
      <c r="T305" s="466"/>
      <c r="U305" s="751"/>
      <c r="V305" s="466"/>
      <c r="W305" s="751"/>
      <c r="X305" s="378"/>
      <c r="Y305" s="180"/>
      <c r="Z305" s="180"/>
      <c r="AA305" s="180"/>
      <c r="AB305" s="180"/>
    </row>
    <row r="306" spans="1:28">
      <c r="A306" s="631"/>
      <c r="B306" s="388"/>
      <c r="C306" s="391"/>
      <c r="D306" s="391"/>
      <c r="E306" s="391"/>
      <c r="F306" s="391"/>
      <c r="G306" s="391"/>
      <c r="H306" s="391"/>
      <c r="I306" s="749"/>
      <c r="J306" s="391"/>
      <c r="K306" s="391"/>
      <c r="L306" s="391"/>
      <c r="M306" s="391"/>
      <c r="N306" s="391"/>
      <c r="O306" s="749"/>
      <c r="P306" s="391"/>
      <c r="Q306" s="391"/>
      <c r="R306" s="391"/>
      <c r="S306" s="749"/>
      <c r="T306" s="391"/>
      <c r="U306" s="749"/>
      <c r="V306" s="391"/>
      <c r="W306" s="749"/>
      <c r="X306" s="378"/>
      <c r="Y306" s="180"/>
      <c r="Z306" s="180"/>
      <c r="AA306" s="180"/>
      <c r="AB306" s="180"/>
    </row>
    <row r="307" spans="1:28" s="203" customFormat="1">
      <c r="A307" s="631"/>
      <c r="B307" s="389"/>
      <c r="C307" s="392"/>
      <c r="D307" s="392"/>
      <c r="E307" s="392"/>
      <c r="F307" s="392"/>
      <c r="G307" s="392"/>
      <c r="H307" s="392"/>
      <c r="I307" s="750"/>
      <c r="J307" s="392"/>
      <c r="K307" s="392"/>
      <c r="L307" s="392"/>
      <c r="M307" s="392"/>
      <c r="N307" s="392"/>
      <c r="O307" s="750"/>
      <c r="P307" s="392"/>
      <c r="Q307" s="392"/>
      <c r="R307" s="392"/>
      <c r="S307" s="750"/>
      <c r="T307" s="392"/>
      <c r="U307" s="750"/>
      <c r="V307" s="392"/>
      <c r="W307" s="750"/>
      <c r="X307" s="378"/>
      <c r="Y307" s="180"/>
      <c r="Z307" s="180"/>
      <c r="AA307" s="180"/>
      <c r="AB307" s="180"/>
    </row>
    <row r="308" spans="1:28" s="202" customFormat="1">
      <c r="A308" s="631"/>
      <c r="B308" s="634"/>
      <c r="C308" s="466"/>
      <c r="D308" s="466"/>
      <c r="E308" s="466"/>
      <c r="F308" s="466"/>
      <c r="G308" s="466"/>
      <c r="H308" s="466"/>
      <c r="I308" s="751"/>
      <c r="J308" s="466"/>
      <c r="K308" s="466"/>
      <c r="L308" s="466"/>
      <c r="M308" s="466"/>
      <c r="N308" s="466"/>
      <c r="O308" s="751"/>
      <c r="P308" s="466"/>
      <c r="Q308" s="466"/>
      <c r="R308" s="466"/>
      <c r="S308" s="751"/>
      <c r="T308" s="466"/>
      <c r="U308" s="751"/>
      <c r="V308" s="466"/>
      <c r="W308" s="751"/>
      <c r="X308" s="378"/>
      <c r="Y308" s="180"/>
      <c r="Z308" s="180"/>
      <c r="AA308" s="180"/>
      <c r="AB308" s="180"/>
    </row>
    <row r="309" spans="1:28">
      <c r="A309" s="631"/>
      <c r="B309" s="388"/>
      <c r="C309" s="391"/>
      <c r="D309" s="391"/>
      <c r="E309" s="391"/>
      <c r="F309" s="391"/>
      <c r="G309" s="391"/>
      <c r="H309" s="391"/>
      <c r="I309" s="749"/>
      <c r="J309" s="391"/>
      <c r="K309" s="391"/>
      <c r="L309" s="391"/>
      <c r="M309" s="391"/>
      <c r="N309" s="391"/>
      <c r="O309" s="749"/>
      <c r="P309" s="391"/>
      <c r="Q309" s="391"/>
      <c r="R309" s="391"/>
      <c r="S309" s="749"/>
      <c r="T309" s="391"/>
      <c r="U309" s="749"/>
      <c r="V309" s="391"/>
      <c r="W309" s="749"/>
      <c r="X309" s="378"/>
      <c r="Y309" s="180"/>
      <c r="Z309" s="180"/>
      <c r="AA309" s="180"/>
      <c r="AB309" s="180"/>
    </row>
    <row r="310" spans="1:28" s="203" customFormat="1">
      <c r="A310" s="631"/>
      <c r="B310" s="389"/>
      <c r="C310" s="392"/>
      <c r="D310" s="392"/>
      <c r="E310" s="392"/>
      <c r="F310" s="392"/>
      <c r="G310" s="392"/>
      <c r="H310" s="392"/>
      <c r="I310" s="750"/>
      <c r="J310" s="392"/>
      <c r="K310" s="392"/>
      <c r="L310" s="392"/>
      <c r="M310" s="392"/>
      <c r="N310" s="392"/>
      <c r="O310" s="750"/>
      <c r="P310" s="392"/>
      <c r="Q310" s="392"/>
      <c r="R310" s="392"/>
      <c r="S310" s="750"/>
      <c r="T310" s="392"/>
      <c r="U310" s="750"/>
      <c r="V310" s="392"/>
      <c r="W310" s="750"/>
      <c r="X310" s="378"/>
      <c r="Y310" s="180"/>
      <c r="Z310" s="180"/>
      <c r="AA310" s="180"/>
      <c r="AB310" s="180"/>
    </row>
    <row r="311" spans="1:28" s="202" customFormat="1">
      <c r="A311" s="631"/>
      <c r="B311" s="634"/>
      <c r="C311" s="466"/>
      <c r="D311" s="466"/>
      <c r="E311" s="466"/>
      <c r="F311" s="466"/>
      <c r="G311" s="466"/>
      <c r="H311" s="466"/>
      <c r="I311" s="751"/>
      <c r="J311" s="466"/>
      <c r="K311" s="466"/>
      <c r="L311" s="466"/>
      <c r="M311" s="466"/>
      <c r="N311" s="466"/>
      <c r="O311" s="751"/>
      <c r="P311" s="466"/>
      <c r="Q311" s="466"/>
      <c r="R311" s="466"/>
      <c r="S311" s="751"/>
      <c r="T311" s="466"/>
      <c r="U311" s="751"/>
      <c r="V311" s="466"/>
      <c r="W311" s="751"/>
      <c r="X311" s="378"/>
      <c r="Y311" s="180"/>
      <c r="Z311" s="180"/>
      <c r="AA311" s="180"/>
      <c r="AB311" s="180"/>
    </row>
    <row r="312" spans="1:28">
      <c r="A312" s="631"/>
      <c r="B312" s="388"/>
      <c r="C312" s="391"/>
      <c r="D312" s="391"/>
      <c r="E312" s="391"/>
      <c r="F312" s="391"/>
      <c r="G312" s="391"/>
      <c r="H312" s="391"/>
      <c r="I312" s="749"/>
      <c r="J312" s="391"/>
      <c r="K312" s="391"/>
      <c r="L312" s="391"/>
      <c r="M312" s="391"/>
      <c r="N312" s="391"/>
      <c r="O312" s="749"/>
      <c r="P312" s="391"/>
      <c r="Q312" s="391"/>
      <c r="R312" s="391"/>
      <c r="S312" s="749"/>
      <c r="T312" s="391"/>
      <c r="U312" s="749"/>
      <c r="V312" s="391"/>
      <c r="W312" s="749"/>
      <c r="X312" s="378"/>
      <c r="Y312" s="180"/>
      <c r="Z312" s="180"/>
      <c r="AA312" s="180"/>
      <c r="AB312" s="180"/>
    </row>
    <row r="313" spans="1:28" s="203" customFormat="1">
      <c r="A313" s="631"/>
      <c r="B313" s="389"/>
      <c r="C313" s="392"/>
      <c r="D313" s="392"/>
      <c r="E313" s="392"/>
      <c r="F313" s="392"/>
      <c r="G313" s="392"/>
      <c r="H313" s="392"/>
      <c r="I313" s="750"/>
      <c r="J313" s="392"/>
      <c r="K313" s="392"/>
      <c r="L313" s="392"/>
      <c r="M313" s="392"/>
      <c r="N313" s="392"/>
      <c r="O313" s="750"/>
      <c r="P313" s="392"/>
      <c r="Q313" s="392"/>
      <c r="R313" s="392"/>
      <c r="S313" s="750"/>
      <c r="T313" s="392"/>
      <c r="U313" s="750"/>
      <c r="V313" s="392"/>
      <c r="W313" s="750"/>
      <c r="X313" s="378"/>
      <c r="Y313" s="180"/>
      <c r="Z313" s="180"/>
      <c r="AA313" s="180"/>
      <c r="AB313" s="180"/>
    </row>
    <row r="314" spans="1:28" s="202" customFormat="1">
      <c r="A314" s="631"/>
      <c r="B314" s="634"/>
      <c r="C314" s="466"/>
      <c r="D314" s="466"/>
      <c r="E314" s="466"/>
      <c r="F314" s="466"/>
      <c r="G314" s="466"/>
      <c r="H314" s="466"/>
      <c r="I314" s="751"/>
      <c r="J314" s="466"/>
      <c r="K314" s="466"/>
      <c r="L314" s="466"/>
      <c r="M314" s="466"/>
      <c r="N314" s="466"/>
      <c r="O314" s="751"/>
      <c r="P314" s="466"/>
      <c r="Q314" s="466"/>
      <c r="R314" s="466"/>
      <c r="S314" s="751"/>
      <c r="T314" s="466"/>
      <c r="U314" s="751"/>
      <c r="V314" s="466"/>
      <c r="W314" s="751"/>
      <c r="X314" s="378"/>
      <c r="Y314" s="180"/>
      <c r="Z314" s="180"/>
      <c r="AA314" s="180"/>
      <c r="AB314" s="180"/>
    </row>
    <row r="315" spans="1:28">
      <c r="A315" s="631"/>
      <c r="B315" s="388"/>
      <c r="C315" s="391"/>
      <c r="D315" s="391"/>
      <c r="E315" s="391"/>
      <c r="F315" s="391"/>
      <c r="G315" s="391"/>
      <c r="H315" s="391"/>
      <c r="I315" s="749"/>
      <c r="J315" s="391"/>
      <c r="K315" s="391"/>
      <c r="L315" s="391"/>
      <c r="M315" s="391"/>
      <c r="N315" s="391"/>
      <c r="O315" s="749"/>
      <c r="P315" s="391"/>
      <c r="Q315" s="391"/>
      <c r="R315" s="391"/>
      <c r="S315" s="749"/>
      <c r="T315" s="391"/>
      <c r="U315" s="749"/>
      <c r="V315" s="391"/>
      <c r="W315" s="749"/>
      <c r="X315" s="378"/>
      <c r="Y315" s="180"/>
      <c r="Z315" s="180"/>
      <c r="AA315" s="180"/>
      <c r="AB315" s="180"/>
    </row>
    <row r="316" spans="1:28" s="203" customFormat="1">
      <c r="A316" s="631"/>
      <c r="B316" s="389"/>
      <c r="C316" s="392"/>
      <c r="D316" s="392"/>
      <c r="E316" s="392"/>
      <c r="F316" s="392"/>
      <c r="G316" s="392"/>
      <c r="H316" s="392"/>
      <c r="I316" s="750"/>
      <c r="J316" s="392"/>
      <c r="K316" s="392"/>
      <c r="L316" s="392"/>
      <c r="M316" s="392"/>
      <c r="N316" s="392"/>
      <c r="O316" s="750"/>
      <c r="P316" s="392"/>
      <c r="Q316" s="392"/>
      <c r="R316" s="392"/>
      <c r="S316" s="750"/>
      <c r="T316" s="392"/>
      <c r="U316" s="750"/>
      <c r="V316" s="392"/>
      <c r="W316" s="750"/>
      <c r="X316" s="378"/>
      <c r="Y316" s="180"/>
      <c r="Z316" s="180"/>
      <c r="AA316" s="180"/>
      <c r="AB316" s="180"/>
    </row>
    <row r="317" spans="1:28" s="212" customFormat="1" ht="13.5" thickBot="1">
      <c r="A317" s="635"/>
      <c r="B317" s="761"/>
      <c r="C317" s="762"/>
      <c r="D317" s="762"/>
      <c r="E317" s="762"/>
      <c r="F317" s="762"/>
      <c r="G317" s="762"/>
      <c r="H317" s="762"/>
      <c r="I317" s="763"/>
      <c r="J317" s="762"/>
      <c r="K317" s="762"/>
      <c r="L317" s="762"/>
      <c r="M317" s="762"/>
      <c r="N317" s="762"/>
      <c r="O317" s="763"/>
      <c r="P317" s="762"/>
      <c r="Q317" s="762"/>
      <c r="R317" s="762"/>
      <c r="S317" s="763"/>
      <c r="T317" s="762"/>
      <c r="U317" s="763"/>
      <c r="V317" s="762"/>
      <c r="W317" s="763"/>
      <c r="X317" s="378"/>
      <c r="Y317" s="180"/>
      <c r="Z317" s="180"/>
      <c r="AA317" s="180"/>
      <c r="AB317" s="180"/>
    </row>
    <row r="318" spans="1:28" ht="13.5" thickTop="1">
      <c r="A318" s="230"/>
      <c r="B318" s="764"/>
      <c r="C318" s="765"/>
      <c r="D318" s="765"/>
      <c r="E318" s="765"/>
      <c r="F318" s="765"/>
      <c r="G318" s="765"/>
      <c r="H318" s="765"/>
      <c r="I318" s="766"/>
      <c r="J318" s="765"/>
      <c r="K318" s="765"/>
      <c r="L318" s="765"/>
      <c r="M318" s="765"/>
      <c r="N318" s="765"/>
      <c r="O318" s="766"/>
      <c r="P318" s="765"/>
      <c r="Q318" s="765"/>
      <c r="R318" s="765"/>
      <c r="S318" s="766"/>
      <c r="T318" s="765"/>
      <c r="U318" s="766"/>
      <c r="V318" s="765"/>
      <c r="W318" s="766"/>
      <c r="X318" s="378"/>
      <c r="Y318" s="180"/>
      <c r="Z318" s="180"/>
      <c r="AA318" s="180"/>
      <c r="AB318" s="180"/>
    </row>
    <row r="319" spans="1:28" s="203" customFormat="1">
      <c r="A319" s="631"/>
      <c r="B319" s="389"/>
      <c r="C319" s="392"/>
      <c r="D319" s="392"/>
      <c r="E319" s="392"/>
      <c r="F319" s="392"/>
      <c r="G319" s="392"/>
      <c r="H319" s="392"/>
      <c r="I319" s="750"/>
      <c r="J319" s="392"/>
      <c r="K319" s="392"/>
      <c r="L319" s="392"/>
      <c r="M319" s="392"/>
      <c r="N319" s="392"/>
      <c r="O319" s="750"/>
      <c r="P319" s="392"/>
      <c r="Q319" s="392"/>
      <c r="R319" s="392"/>
      <c r="S319" s="750"/>
      <c r="T319" s="392"/>
      <c r="U319" s="750"/>
      <c r="V319" s="392"/>
      <c r="W319" s="750"/>
      <c r="X319" s="378"/>
      <c r="Y319" s="180"/>
      <c r="Z319" s="180"/>
      <c r="AA319" s="180"/>
      <c r="AB319" s="180"/>
    </row>
    <row r="320" spans="1:28" s="202" customFormat="1">
      <c r="A320" s="632"/>
      <c r="B320" s="634"/>
      <c r="C320" s="466"/>
      <c r="D320" s="1461"/>
      <c r="E320" s="466"/>
      <c r="F320" s="466"/>
      <c r="G320" s="1461"/>
      <c r="H320" s="466"/>
      <c r="I320" s="751"/>
      <c r="J320" s="466"/>
      <c r="K320" s="466"/>
      <c r="L320" s="466"/>
      <c r="M320" s="466"/>
      <c r="N320" s="466"/>
      <c r="O320" s="751"/>
      <c r="P320" s="466"/>
      <c r="Q320" s="466"/>
      <c r="R320" s="466"/>
      <c r="S320" s="751"/>
      <c r="T320" s="466"/>
      <c r="U320" s="751"/>
      <c r="V320" s="466"/>
      <c r="W320" s="751"/>
      <c r="X320" s="378"/>
      <c r="Y320" s="180"/>
      <c r="Z320" s="180"/>
      <c r="AA320" s="180"/>
      <c r="AB320" s="180"/>
    </row>
    <row r="321" spans="1:28">
      <c r="A321" s="631"/>
      <c r="B321" s="388"/>
      <c r="C321" s="391"/>
      <c r="D321" s="391"/>
      <c r="E321" s="391"/>
      <c r="F321" s="391"/>
      <c r="G321" s="391"/>
      <c r="H321" s="391"/>
      <c r="I321" s="749"/>
      <c r="J321" s="391"/>
      <c r="K321" s="391"/>
      <c r="L321" s="391"/>
      <c r="M321" s="391"/>
      <c r="N321" s="391"/>
      <c r="O321" s="749"/>
      <c r="P321" s="391"/>
      <c r="Q321" s="391"/>
      <c r="R321" s="391"/>
      <c r="S321" s="749"/>
      <c r="T321" s="391"/>
      <c r="U321" s="749"/>
      <c r="V321" s="391"/>
      <c r="W321" s="749"/>
      <c r="X321" s="378"/>
      <c r="Y321" s="180"/>
      <c r="Z321" s="180"/>
      <c r="AA321" s="180"/>
      <c r="AB321" s="180"/>
    </row>
    <row r="322" spans="1:28" s="203" customFormat="1">
      <c r="A322" s="631"/>
      <c r="B322" s="389"/>
      <c r="C322" s="392"/>
      <c r="D322" s="392"/>
      <c r="E322" s="392"/>
      <c r="F322" s="392"/>
      <c r="G322" s="392"/>
      <c r="H322" s="392"/>
      <c r="I322" s="750"/>
      <c r="J322" s="392"/>
      <c r="K322" s="392"/>
      <c r="L322" s="392"/>
      <c r="M322" s="392"/>
      <c r="N322" s="392"/>
      <c r="O322" s="750"/>
      <c r="P322" s="392"/>
      <c r="Q322" s="392"/>
      <c r="R322" s="392"/>
      <c r="S322" s="750"/>
      <c r="T322" s="392"/>
      <c r="U322" s="750"/>
      <c r="V322" s="392"/>
      <c r="W322" s="750"/>
      <c r="X322" s="378"/>
      <c r="Y322" s="180"/>
      <c r="Z322" s="180"/>
      <c r="AA322" s="180"/>
      <c r="AB322" s="180"/>
    </row>
    <row r="323" spans="1:28" s="202" customFormat="1">
      <c r="A323" s="631"/>
      <c r="B323" s="634"/>
      <c r="C323" s="466"/>
      <c r="D323" s="466"/>
      <c r="E323" s="466"/>
      <c r="F323" s="466"/>
      <c r="G323" s="466"/>
      <c r="H323" s="466"/>
      <c r="I323" s="751"/>
      <c r="J323" s="466"/>
      <c r="K323" s="466"/>
      <c r="L323" s="466"/>
      <c r="M323" s="466"/>
      <c r="N323" s="466"/>
      <c r="O323" s="751"/>
      <c r="P323" s="466"/>
      <c r="Q323" s="466"/>
      <c r="R323" s="466"/>
      <c r="S323" s="751"/>
      <c r="T323" s="466"/>
      <c r="U323" s="751"/>
      <c r="V323" s="466"/>
      <c r="W323" s="751"/>
      <c r="X323" s="378"/>
      <c r="Y323" s="180"/>
      <c r="Z323" s="180"/>
      <c r="AA323" s="180"/>
      <c r="AB323" s="180"/>
    </row>
    <row r="324" spans="1:28">
      <c r="A324" s="631"/>
      <c r="B324" s="388"/>
      <c r="C324" s="391"/>
      <c r="D324" s="391"/>
      <c r="E324" s="391"/>
      <c r="F324" s="391"/>
      <c r="G324" s="391"/>
      <c r="H324" s="391"/>
      <c r="I324" s="749"/>
      <c r="J324" s="391"/>
      <c r="K324" s="391"/>
      <c r="L324" s="391"/>
      <c r="M324" s="391"/>
      <c r="N324" s="391"/>
      <c r="O324" s="749"/>
      <c r="P324" s="391"/>
      <c r="Q324" s="391"/>
      <c r="R324" s="391"/>
      <c r="S324" s="749"/>
      <c r="T324" s="391"/>
      <c r="U324" s="749"/>
      <c r="V324" s="391"/>
      <c r="W324" s="749"/>
      <c r="X324" s="378"/>
      <c r="Y324" s="180"/>
      <c r="Z324" s="180"/>
      <c r="AA324" s="180"/>
      <c r="AB324" s="180"/>
    </row>
    <row r="325" spans="1:28" s="203" customFormat="1">
      <c r="A325" s="631"/>
      <c r="B325" s="389"/>
      <c r="C325" s="392"/>
      <c r="D325" s="392"/>
      <c r="E325" s="392"/>
      <c r="F325" s="392"/>
      <c r="G325" s="392"/>
      <c r="H325" s="392"/>
      <c r="I325" s="750"/>
      <c r="J325" s="392"/>
      <c r="K325" s="392"/>
      <c r="L325" s="392"/>
      <c r="M325" s="392"/>
      <c r="N325" s="392"/>
      <c r="O325" s="750"/>
      <c r="P325" s="392"/>
      <c r="Q325" s="392"/>
      <c r="R325" s="392"/>
      <c r="S325" s="750"/>
      <c r="T325" s="392"/>
      <c r="U325" s="750"/>
      <c r="V325" s="392"/>
      <c r="W325" s="750"/>
      <c r="X325" s="378"/>
      <c r="Y325" s="180"/>
      <c r="Z325" s="180"/>
      <c r="AA325" s="180"/>
      <c r="AB325" s="180"/>
    </row>
    <row r="326" spans="1:28" s="202" customFormat="1">
      <c r="A326" s="631"/>
      <c r="B326" s="634"/>
      <c r="C326" s="466"/>
      <c r="D326" s="466"/>
      <c r="E326" s="466"/>
      <c r="F326" s="466"/>
      <c r="G326" s="466"/>
      <c r="H326" s="466"/>
      <c r="I326" s="751"/>
      <c r="J326" s="466"/>
      <c r="K326" s="466"/>
      <c r="L326" s="466"/>
      <c r="M326" s="466"/>
      <c r="N326" s="466"/>
      <c r="O326" s="751"/>
      <c r="P326" s="466"/>
      <c r="Q326" s="466"/>
      <c r="R326" s="466"/>
      <c r="S326" s="751"/>
      <c r="T326" s="466"/>
      <c r="U326" s="751"/>
      <c r="V326" s="466"/>
      <c r="W326" s="751"/>
      <c r="X326" s="378"/>
      <c r="Y326" s="180"/>
      <c r="Z326" s="180"/>
      <c r="AA326" s="180"/>
      <c r="AB326" s="180"/>
    </row>
    <row r="327" spans="1:28">
      <c r="A327" s="631"/>
      <c r="B327" s="388"/>
      <c r="C327" s="391"/>
      <c r="D327" s="391"/>
      <c r="E327" s="391"/>
      <c r="F327" s="391"/>
      <c r="G327" s="391"/>
      <c r="H327" s="391"/>
      <c r="I327" s="749"/>
      <c r="J327" s="391"/>
      <c r="K327" s="391"/>
      <c r="L327" s="391"/>
      <c r="M327" s="391"/>
      <c r="N327" s="391"/>
      <c r="O327" s="749"/>
      <c r="P327" s="391"/>
      <c r="Q327" s="391"/>
      <c r="R327" s="391"/>
      <c r="S327" s="749"/>
      <c r="T327" s="391"/>
      <c r="U327" s="749"/>
      <c r="V327" s="391"/>
      <c r="W327" s="749"/>
      <c r="X327" s="378"/>
      <c r="Y327" s="180"/>
      <c r="Z327" s="180"/>
      <c r="AA327" s="180"/>
      <c r="AB327" s="180"/>
    </row>
    <row r="328" spans="1:28" s="203" customFormat="1">
      <c r="A328" s="631"/>
      <c r="B328" s="389"/>
      <c r="C328" s="392"/>
      <c r="D328" s="392"/>
      <c r="E328" s="392"/>
      <c r="F328" s="392"/>
      <c r="G328" s="392"/>
      <c r="H328" s="392"/>
      <c r="I328" s="750"/>
      <c r="J328" s="392"/>
      <c r="K328" s="392"/>
      <c r="L328" s="392"/>
      <c r="M328" s="392"/>
      <c r="N328" s="392"/>
      <c r="O328" s="750"/>
      <c r="P328" s="392"/>
      <c r="Q328" s="392"/>
      <c r="R328" s="392"/>
      <c r="S328" s="750"/>
      <c r="T328" s="392"/>
      <c r="U328" s="750"/>
      <c r="V328" s="392"/>
      <c r="W328" s="750"/>
      <c r="X328" s="378"/>
      <c r="Y328" s="180"/>
      <c r="Z328" s="180"/>
      <c r="AA328" s="180"/>
      <c r="AB328" s="180"/>
    </row>
    <row r="329" spans="1:28" s="202" customFormat="1">
      <c r="A329" s="631"/>
      <c r="B329" s="634"/>
      <c r="C329" s="466"/>
      <c r="D329" s="466"/>
      <c r="E329" s="466"/>
      <c r="F329" s="466"/>
      <c r="G329" s="466"/>
      <c r="H329" s="466"/>
      <c r="I329" s="751"/>
      <c r="J329" s="466"/>
      <c r="K329" s="466"/>
      <c r="L329" s="466"/>
      <c r="M329" s="466"/>
      <c r="N329" s="466"/>
      <c r="O329" s="751"/>
      <c r="P329" s="466"/>
      <c r="Q329" s="466"/>
      <c r="R329" s="466"/>
      <c r="S329" s="751"/>
      <c r="T329" s="466"/>
      <c r="U329" s="751"/>
      <c r="V329" s="466"/>
      <c r="W329" s="751"/>
      <c r="X329" s="378"/>
      <c r="Y329" s="180"/>
      <c r="Z329" s="180"/>
      <c r="AA329" s="180"/>
      <c r="AB329" s="180"/>
    </row>
    <row r="330" spans="1:28">
      <c r="A330" s="631"/>
      <c r="B330" s="388"/>
      <c r="C330" s="391"/>
      <c r="D330" s="391"/>
      <c r="E330" s="391"/>
      <c r="F330" s="391"/>
      <c r="G330" s="391"/>
      <c r="H330" s="391"/>
      <c r="I330" s="749"/>
      <c r="J330" s="391"/>
      <c r="K330" s="391"/>
      <c r="L330" s="391"/>
      <c r="M330" s="391"/>
      <c r="N330" s="391"/>
      <c r="O330" s="749"/>
      <c r="P330" s="391"/>
      <c r="Q330" s="391"/>
      <c r="R330" s="391"/>
      <c r="S330" s="749"/>
      <c r="T330" s="391"/>
      <c r="U330" s="749"/>
      <c r="V330" s="391"/>
      <c r="W330" s="749"/>
      <c r="X330" s="378"/>
      <c r="Y330" s="180"/>
      <c r="Z330" s="180"/>
      <c r="AA330" s="180"/>
      <c r="AB330" s="180"/>
    </row>
    <row r="331" spans="1:28" s="203" customFormat="1">
      <c r="A331" s="631"/>
      <c r="B331" s="389"/>
      <c r="C331" s="392"/>
      <c r="D331" s="392"/>
      <c r="E331" s="392"/>
      <c r="F331" s="392"/>
      <c r="G331" s="392"/>
      <c r="H331" s="392"/>
      <c r="I331" s="750"/>
      <c r="J331" s="392"/>
      <c r="K331" s="392"/>
      <c r="L331" s="392"/>
      <c r="M331" s="392"/>
      <c r="N331" s="392"/>
      <c r="O331" s="750"/>
      <c r="P331" s="392"/>
      <c r="Q331" s="392"/>
      <c r="R331" s="392"/>
      <c r="S331" s="750"/>
      <c r="T331" s="392"/>
      <c r="U331" s="750"/>
      <c r="V331" s="392"/>
      <c r="W331" s="750"/>
      <c r="X331" s="378"/>
      <c r="Y331" s="180"/>
      <c r="Z331" s="180"/>
      <c r="AA331" s="180"/>
      <c r="AB331" s="180"/>
    </row>
    <row r="332" spans="1:28" s="202" customFormat="1">
      <c r="A332" s="631"/>
      <c r="B332" s="634"/>
      <c r="C332" s="466"/>
      <c r="D332" s="466"/>
      <c r="E332" s="466"/>
      <c r="F332" s="466"/>
      <c r="G332" s="466"/>
      <c r="H332" s="466"/>
      <c r="I332" s="751"/>
      <c r="J332" s="466"/>
      <c r="K332" s="466"/>
      <c r="L332" s="466"/>
      <c r="M332" s="466"/>
      <c r="N332" s="466"/>
      <c r="O332" s="751"/>
      <c r="P332" s="466"/>
      <c r="Q332" s="466"/>
      <c r="R332" s="466"/>
      <c r="S332" s="751"/>
      <c r="T332" s="466"/>
      <c r="U332" s="751"/>
      <c r="V332" s="466"/>
      <c r="W332" s="751"/>
      <c r="X332" s="378"/>
      <c r="Y332" s="180"/>
      <c r="Z332" s="180"/>
      <c r="AA332" s="180"/>
      <c r="AB332" s="180"/>
    </row>
    <row r="333" spans="1:28">
      <c r="A333" s="631"/>
      <c r="B333" s="752"/>
      <c r="C333" s="749"/>
      <c r="D333" s="749"/>
      <c r="E333" s="749"/>
      <c r="F333" s="749"/>
      <c r="G333" s="749"/>
      <c r="H333" s="749"/>
      <c r="I333" s="749"/>
      <c r="J333" s="749"/>
      <c r="K333" s="749"/>
      <c r="L333" s="749"/>
      <c r="M333" s="749"/>
      <c r="N333" s="749"/>
      <c r="O333" s="749"/>
      <c r="P333" s="749"/>
      <c r="Q333" s="749"/>
      <c r="R333" s="749"/>
      <c r="S333" s="749"/>
      <c r="T333" s="749"/>
      <c r="U333" s="749"/>
      <c r="V333" s="749"/>
      <c r="W333" s="749"/>
      <c r="X333" s="378"/>
      <c r="Y333" s="180"/>
      <c r="Z333" s="180"/>
      <c r="AA333" s="180"/>
      <c r="AB333" s="180"/>
    </row>
    <row r="334" spans="1:28" s="203" customFormat="1">
      <c r="A334" s="631"/>
      <c r="B334" s="753"/>
      <c r="C334" s="750"/>
      <c r="D334" s="750"/>
      <c r="E334" s="750"/>
      <c r="F334" s="750"/>
      <c r="G334" s="750"/>
      <c r="H334" s="750"/>
      <c r="I334" s="750"/>
      <c r="J334" s="750"/>
      <c r="K334" s="750"/>
      <c r="L334" s="750"/>
      <c r="M334" s="750"/>
      <c r="N334" s="750"/>
      <c r="O334" s="750"/>
      <c r="P334" s="750"/>
      <c r="Q334" s="750"/>
      <c r="R334" s="750"/>
      <c r="S334" s="750"/>
      <c r="T334" s="750"/>
      <c r="U334" s="750"/>
      <c r="V334" s="750"/>
      <c r="W334" s="750"/>
      <c r="X334" s="378"/>
      <c r="Y334" s="180"/>
      <c r="Z334" s="180"/>
      <c r="AA334" s="180"/>
      <c r="AB334" s="180"/>
    </row>
    <row r="335" spans="1:28" s="202" customFormat="1">
      <c r="A335" s="631"/>
      <c r="B335" s="754"/>
      <c r="C335" s="751"/>
      <c r="D335" s="751"/>
      <c r="E335" s="751"/>
      <c r="F335" s="751"/>
      <c r="G335" s="751"/>
      <c r="H335" s="751"/>
      <c r="I335" s="751"/>
      <c r="J335" s="751"/>
      <c r="K335" s="751"/>
      <c r="L335" s="751"/>
      <c r="M335" s="751"/>
      <c r="N335" s="751"/>
      <c r="O335" s="751"/>
      <c r="P335" s="751"/>
      <c r="Q335" s="751"/>
      <c r="R335" s="751"/>
      <c r="S335" s="751"/>
      <c r="T335" s="751"/>
      <c r="U335" s="751"/>
      <c r="V335" s="751"/>
      <c r="W335" s="751"/>
      <c r="X335" s="378"/>
      <c r="Y335" s="180"/>
      <c r="Z335" s="180"/>
      <c r="AA335" s="180"/>
      <c r="AB335" s="180"/>
    </row>
    <row r="336" spans="1:28">
      <c r="A336" s="631"/>
      <c r="B336" s="388"/>
      <c r="C336" s="391"/>
      <c r="D336" s="391"/>
      <c r="E336" s="391"/>
      <c r="F336" s="391"/>
      <c r="G336" s="391"/>
      <c r="H336" s="391"/>
      <c r="I336" s="749"/>
      <c r="J336" s="391"/>
      <c r="K336" s="391"/>
      <c r="L336" s="391"/>
      <c r="M336" s="391"/>
      <c r="N336" s="391"/>
      <c r="O336" s="749"/>
      <c r="P336" s="391"/>
      <c r="Q336" s="391"/>
      <c r="R336" s="391"/>
      <c r="S336" s="749"/>
      <c r="T336" s="391"/>
      <c r="U336" s="749"/>
      <c r="V336" s="391"/>
      <c r="W336" s="749"/>
      <c r="X336" s="378"/>
      <c r="Y336" s="180"/>
      <c r="Z336" s="180"/>
      <c r="AA336" s="180"/>
      <c r="AB336" s="180"/>
    </row>
    <row r="337" spans="1:28" s="203" customFormat="1">
      <c r="A337" s="631"/>
      <c r="B337" s="389"/>
      <c r="C337" s="392"/>
      <c r="D337" s="392"/>
      <c r="E337" s="392"/>
      <c r="F337" s="392"/>
      <c r="G337" s="392"/>
      <c r="H337" s="392"/>
      <c r="I337" s="750"/>
      <c r="J337" s="392"/>
      <c r="K337" s="392"/>
      <c r="L337" s="392"/>
      <c r="M337" s="392"/>
      <c r="N337" s="392"/>
      <c r="O337" s="750"/>
      <c r="P337" s="392"/>
      <c r="Q337" s="392"/>
      <c r="R337" s="392"/>
      <c r="S337" s="750"/>
      <c r="T337" s="392"/>
      <c r="U337" s="750"/>
      <c r="V337" s="392"/>
      <c r="W337" s="750"/>
      <c r="X337" s="378"/>
      <c r="Y337" s="180"/>
      <c r="Z337" s="180"/>
      <c r="AA337" s="180"/>
      <c r="AB337" s="180"/>
    </row>
    <row r="338" spans="1:28" s="202" customFormat="1">
      <c r="A338" s="631"/>
      <c r="B338" s="634"/>
      <c r="C338" s="466"/>
      <c r="D338" s="466"/>
      <c r="E338" s="466"/>
      <c r="F338" s="466"/>
      <c r="G338" s="466"/>
      <c r="H338" s="466"/>
      <c r="I338" s="751"/>
      <c r="J338" s="466"/>
      <c r="K338" s="466"/>
      <c r="L338" s="466"/>
      <c r="M338" s="466"/>
      <c r="N338" s="466"/>
      <c r="O338" s="751"/>
      <c r="P338" s="466"/>
      <c r="Q338" s="466"/>
      <c r="R338" s="466"/>
      <c r="S338" s="751"/>
      <c r="T338" s="466"/>
      <c r="U338" s="751"/>
      <c r="V338" s="466"/>
      <c r="W338" s="751"/>
      <c r="X338" s="378"/>
      <c r="Y338" s="180"/>
      <c r="Z338" s="180"/>
      <c r="AA338" s="180"/>
      <c r="AB338" s="180"/>
    </row>
    <row r="339" spans="1:28">
      <c r="A339" s="631"/>
      <c r="B339" s="388"/>
      <c r="C339" s="391"/>
      <c r="D339" s="391"/>
      <c r="E339" s="391"/>
      <c r="F339" s="391"/>
      <c r="G339" s="391"/>
      <c r="H339" s="391"/>
      <c r="I339" s="749"/>
      <c r="J339" s="391"/>
      <c r="K339" s="391"/>
      <c r="L339" s="391"/>
      <c r="M339" s="391"/>
      <c r="N339" s="391"/>
      <c r="O339" s="749"/>
      <c r="P339" s="391"/>
      <c r="Q339" s="391"/>
      <c r="R339" s="391"/>
      <c r="S339" s="749"/>
      <c r="T339" s="391"/>
      <c r="U339" s="749"/>
      <c r="V339" s="391"/>
      <c r="W339" s="749"/>
      <c r="X339" s="378"/>
      <c r="Y339" s="180"/>
      <c r="Z339" s="180"/>
      <c r="AA339" s="180"/>
      <c r="AB339" s="180"/>
    </row>
    <row r="340" spans="1:28" s="203" customFormat="1">
      <c r="A340" s="631"/>
      <c r="B340" s="389"/>
      <c r="C340" s="392"/>
      <c r="D340" s="392"/>
      <c r="E340" s="392"/>
      <c r="F340" s="392"/>
      <c r="G340" s="392"/>
      <c r="H340" s="392"/>
      <c r="I340" s="750"/>
      <c r="J340" s="392"/>
      <c r="K340" s="392"/>
      <c r="L340" s="392"/>
      <c r="M340" s="392"/>
      <c r="N340" s="392"/>
      <c r="O340" s="750"/>
      <c r="P340" s="392"/>
      <c r="Q340" s="392"/>
      <c r="R340" s="392"/>
      <c r="S340" s="750"/>
      <c r="T340" s="392"/>
      <c r="U340" s="750"/>
      <c r="V340" s="392"/>
      <c r="W340" s="750"/>
      <c r="X340" s="378"/>
      <c r="Y340" s="180"/>
      <c r="Z340" s="180"/>
      <c r="AA340" s="180"/>
      <c r="AB340" s="180"/>
    </row>
    <row r="341" spans="1:28" s="202" customFormat="1">
      <c r="A341" s="631"/>
      <c r="B341" s="634"/>
      <c r="C341" s="466"/>
      <c r="D341" s="466"/>
      <c r="E341" s="466"/>
      <c r="F341" s="466"/>
      <c r="G341" s="466"/>
      <c r="H341" s="466"/>
      <c r="I341" s="751"/>
      <c r="J341" s="466"/>
      <c r="K341" s="466"/>
      <c r="L341" s="466"/>
      <c r="M341" s="466"/>
      <c r="N341" s="466"/>
      <c r="O341" s="751"/>
      <c r="P341" s="466"/>
      <c r="Q341" s="466"/>
      <c r="R341" s="466"/>
      <c r="S341" s="751"/>
      <c r="T341" s="466"/>
      <c r="U341" s="751"/>
      <c r="V341" s="466"/>
      <c r="W341" s="751"/>
      <c r="X341" s="378"/>
      <c r="Y341" s="180"/>
      <c r="Z341" s="180"/>
      <c r="AA341" s="180"/>
      <c r="AB341" s="180"/>
    </row>
    <row r="342" spans="1:28">
      <c r="A342" s="631"/>
      <c r="B342" s="388"/>
      <c r="C342" s="391"/>
      <c r="D342" s="391"/>
      <c r="E342" s="391"/>
      <c r="F342" s="391"/>
      <c r="G342" s="391"/>
      <c r="H342" s="391"/>
      <c r="I342" s="749"/>
      <c r="J342" s="391"/>
      <c r="K342" s="391"/>
      <c r="L342" s="391"/>
      <c r="M342" s="391"/>
      <c r="N342" s="391"/>
      <c r="O342" s="749"/>
      <c r="P342" s="391"/>
      <c r="Q342" s="391"/>
      <c r="R342" s="391"/>
      <c r="S342" s="749"/>
      <c r="T342" s="391"/>
      <c r="U342" s="749"/>
      <c r="V342" s="391"/>
      <c r="W342" s="749"/>
      <c r="X342" s="378"/>
      <c r="Y342" s="180"/>
      <c r="Z342" s="180"/>
      <c r="AA342" s="180"/>
      <c r="AB342" s="180"/>
    </row>
    <row r="343" spans="1:28" s="203" customFormat="1">
      <c r="A343" s="631"/>
      <c r="B343" s="389"/>
      <c r="C343" s="392"/>
      <c r="D343" s="392"/>
      <c r="E343" s="392"/>
      <c r="F343" s="392"/>
      <c r="G343" s="392"/>
      <c r="H343" s="392"/>
      <c r="I343" s="750"/>
      <c r="J343" s="392"/>
      <c r="K343" s="392"/>
      <c r="L343" s="392"/>
      <c r="M343" s="392"/>
      <c r="N343" s="392"/>
      <c r="O343" s="750"/>
      <c r="P343" s="392"/>
      <c r="Q343" s="392"/>
      <c r="R343" s="392"/>
      <c r="S343" s="750"/>
      <c r="T343" s="392"/>
      <c r="U343" s="750"/>
      <c r="V343" s="392"/>
      <c r="W343" s="750"/>
      <c r="X343" s="378"/>
      <c r="Y343" s="180"/>
      <c r="Z343" s="180"/>
      <c r="AA343" s="180"/>
      <c r="AB343" s="180"/>
    </row>
    <row r="344" spans="1:28" s="202" customFormat="1">
      <c r="A344" s="631"/>
      <c r="B344" s="634"/>
      <c r="C344" s="466"/>
      <c r="D344" s="466"/>
      <c r="E344" s="466"/>
      <c r="F344" s="466"/>
      <c r="G344" s="466"/>
      <c r="H344" s="466"/>
      <c r="I344" s="751"/>
      <c r="J344" s="466"/>
      <c r="K344" s="466"/>
      <c r="L344" s="466"/>
      <c r="M344" s="466"/>
      <c r="N344" s="466"/>
      <c r="O344" s="751"/>
      <c r="P344" s="466"/>
      <c r="Q344" s="466"/>
      <c r="R344" s="466"/>
      <c r="S344" s="751"/>
      <c r="T344" s="466"/>
      <c r="U344" s="751"/>
      <c r="V344" s="466"/>
      <c r="W344" s="751"/>
      <c r="X344" s="378"/>
      <c r="Y344" s="180"/>
      <c r="Z344" s="180"/>
      <c r="AA344" s="180"/>
      <c r="AB344" s="180"/>
    </row>
    <row r="345" spans="1:28">
      <c r="A345" s="631"/>
      <c r="B345" s="388"/>
      <c r="C345" s="391"/>
      <c r="D345" s="391"/>
      <c r="E345" s="391"/>
      <c r="F345" s="391"/>
      <c r="G345" s="391"/>
      <c r="H345" s="391"/>
      <c r="I345" s="749"/>
      <c r="J345" s="391"/>
      <c r="K345" s="391"/>
      <c r="L345" s="391"/>
      <c r="M345" s="391"/>
      <c r="N345" s="391"/>
      <c r="O345" s="749"/>
      <c r="P345" s="391"/>
      <c r="Q345" s="391"/>
      <c r="R345" s="391"/>
      <c r="S345" s="749"/>
      <c r="T345" s="391"/>
      <c r="U345" s="749"/>
      <c r="V345" s="391"/>
      <c r="W345" s="749"/>
      <c r="X345" s="378"/>
      <c r="Y345" s="180"/>
      <c r="Z345" s="180"/>
      <c r="AA345" s="180"/>
      <c r="AB345" s="180"/>
    </row>
    <row r="346" spans="1:28" s="203" customFormat="1">
      <c r="A346" s="631"/>
      <c r="B346" s="389"/>
      <c r="C346" s="392"/>
      <c r="D346" s="392"/>
      <c r="E346" s="392"/>
      <c r="F346" s="392"/>
      <c r="G346" s="392"/>
      <c r="H346" s="392"/>
      <c r="I346" s="750"/>
      <c r="J346" s="392"/>
      <c r="K346" s="392"/>
      <c r="L346" s="392"/>
      <c r="M346" s="392"/>
      <c r="N346" s="392"/>
      <c r="O346" s="750"/>
      <c r="P346" s="392"/>
      <c r="Q346" s="392"/>
      <c r="R346" s="392"/>
      <c r="S346" s="750"/>
      <c r="T346" s="392"/>
      <c r="U346" s="750"/>
      <c r="V346" s="392"/>
      <c r="W346" s="750"/>
      <c r="X346" s="378"/>
      <c r="Y346" s="180"/>
      <c r="Z346" s="180"/>
      <c r="AA346" s="180"/>
      <c r="AB346" s="180"/>
    </row>
    <row r="347" spans="1:28" s="202" customFormat="1">
      <c r="A347" s="631"/>
      <c r="B347" s="634"/>
      <c r="C347" s="466"/>
      <c r="D347" s="466"/>
      <c r="E347" s="466"/>
      <c r="F347" s="466"/>
      <c r="G347" s="466"/>
      <c r="H347" s="466"/>
      <c r="I347" s="751"/>
      <c r="J347" s="466"/>
      <c r="K347" s="466"/>
      <c r="L347" s="466"/>
      <c r="M347" s="466"/>
      <c r="N347" s="466"/>
      <c r="O347" s="751"/>
      <c r="P347" s="466"/>
      <c r="Q347" s="466"/>
      <c r="R347" s="466"/>
      <c r="S347" s="751"/>
      <c r="T347" s="466"/>
      <c r="U347" s="751"/>
      <c r="V347" s="466"/>
      <c r="W347" s="751"/>
      <c r="X347" s="378"/>
      <c r="Y347" s="180"/>
      <c r="Z347" s="180"/>
      <c r="AA347" s="180"/>
      <c r="AB347" s="180"/>
    </row>
    <row r="348" spans="1:28">
      <c r="A348" s="631"/>
      <c r="B348" s="388"/>
      <c r="C348" s="391"/>
      <c r="D348" s="391"/>
      <c r="E348" s="391"/>
      <c r="F348" s="391"/>
      <c r="G348" s="391"/>
      <c r="H348" s="391"/>
      <c r="I348" s="749"/>
      <c r="J348" s="391"/>
      <c r="K348" s="391"/>
      <c r="L348" s="391"/>
      <c r="M348" s="391"/>
      <c r="N348" s="391"/>
      <c r="O348" s="749"/>
      <c r="P348" s="391"/>
      <c r="Q348" s="391"/>
      <c r="R348" s="391"/>
      <c r="S348" s="749"/>
      <c r="T348" s="391"/>
      <c r="U348" s="749"/>
      <c r="V348" s="391"/>
      <c r="W348" s="749"/>
      <c r="X348" s="378"/>
      <c r="Y348" s="180"/>
      <c r="Z348" s="180"/>
      <c r="AA348" s="180"/>
      <c r="AB348" s="180"/>
    </row>
    <row r="349" spans="1:28" s="203" customFormat="1">
      <c r="A349" s="631"/>
      <c r="B349" s="389"/>
      <c r="C349" s="392"/>
      <c r="D349" s="392"/>
      <c r="E349" s="392"/>
      <c r="F349" s="392"/>
      <c r="G349" s="392"/>
      <c r="H349" s="392"/>
      <c r="I349" s="750"/>
      <c r="J349" s="392"/>
      <c r="K349" s="392"/>
      <c r="L349" s="392"/>
      <c r="M349" s="392"/>
      <c r="N349" s="392"/>
      <c r="O349" s="750"/>
      <c r="P349" s="392"/>
      <c r="Q349" s="392"/>
      <c r="R349" s="392"/>
      <c r="S349" s="750"/>
      <c r="T349" s="392"/>
      <c r="U349" s="750"/>
      <c r="V349" s="392"/>
      <c r="W349" s="750"/>
      <c r="X349" s="378"/>
      <c r="Y349" s="180"/>
      <c r="Z349" s="180"/>
      <c r="AA349" s="180"/>
      <c r="AB349" s="180"/>
    </row>
    <row r="350" spans="1:28" s="202" customFormat="1">
      <c r="A350" s="631"/>
      <c r="B350" s="634"/>
      <c r="C350" s="466"/>
      <c r="D350" s="466"/>
      <c r="E350" s="466"/>
      <c r="F350" s="466"/>
      <c r="G350" s="466"/>
      <c r="H350" s="466"/>
      <c r="I350" s="751"/>
      <c r="J350" s="466"/>
      <c r="K350" s="466"/>
      <c r="L350" s="466"/>
      <c r="M350" s="466"/>
      <c r="N350" s="466"/>
      <c r="O350" s="751"/>
      <c r="P350" s="466"/>
      <c r="Q350" s="466"/>
      <c r="R350" s="466"/>
      <c r="S350" s="751"/>
      <c r="T350" s="466"/>
      <c r="U350" s="751"/>
      <c r="V350" s="466"/>
      <c r="W350" s="751"/>
      <c r="X350" s="378"/>
      <c r="Y350" s="180"/>
      <c r="Z350" s="180"/>
      <c r="AA350" s="180"/>
      <c r="AB350" s="180"/>
    </row>
    <row r="351" spans="1:28">
      <c r="A351" s="631"/>
      <c r="B351" s="388"/>
      <c r="C351" s="391"/>
      <c r="D351" s="391"/>
      <c r="E351" s="391"/>
      <c r="F351" s="391"/>
      <c r="G351" s="391"/>
      <c r="H351" s="391"/>
      <c r="I351" s="749"/>
      <c r="J351" s="391"/>
      <c r="K351" s="391"/>
      <c r="L351" s="391"/>
      <c r="M351" s="391"/>
      <c r="N351" s="391"/>
      <c r="O351" s="749"/>
      <c r="P351" s="391"/>
      <c r="Q351" s="391"/>
      <c r="R351" s="391"/>
      <c r="S351" s="749"/>
      <c r="T351" s="391"/>
      <c r="U351" s="749"/>
      <c r="V351" s="391"/>
      <c r="W351" s="749"/>
      <c r="X351" s="378"/>
      <c r="Y351" s="180"/>
      <c r="Z351" s="180"/>
      <c r="AA351" s="180"/>
      <c r="AB351" s="180"/>
    </row>
    <row r="352" spans="1:28" s="203" customFormat="1">
      <c r="A352" s="631"/>
      <c r="B352" s="389"/>
      <c r="C352" s="392"/>
      <c r="D352" s="392"/>
      <c r="E352" s="392"/>
      <c r="F352" s="392"/>
      <c r="G352" s="392"/>
      <c r="H352" s="392"/>
      <c r="I352" s="750"/>
      <c r="J352" s="392"/>
      <c r="K352" s="392"/>
      <c r="L352" s="392"/>
      <c r="M352" s="392"/>
      <c r="N352" s="392"/>
      <c r="O352" s="750"/>
      <c r="P352" s="392"/>
      <c r="Q352" s="392"/>
      <c r="R352" s="392"/>
      <c r="S352" s="750"/>
      <c r="T352" s="392"/>
      <c r="U352" s="750"/>
      <c r="V352" s="392"/>
      <c r="W352" s="750"/>
      <c r="X352" s="378"/>
      <c r="Y352" s="180"/>
      <c r="Z352" s="180"/>
      <c r="AA352" s="180"/>
      <c r="AB352" s="180"/>
    </row>
    <row r="353" spans="1:28" s="202" customFormat="1">
      <c r="A353" s="631"/>
      <c r="B353" s="634"/>
      <c r="C353" s="466"/>
      <c r="D353" s="466"/>
      <c r="E353" s="466"/>
      <c r="F353" s="466"/>
      <c r="G353" s="466"/>
      <c r="H353" s="466"/>
      <c r="I353" s="751"/>
      <c r="J353" s="466"/>
      <c r="K353" s="466"/>
      <c r="L353" s="466"/>
      <c r="M353" s="466"/>
      <c r="N353" s="466"/>
      <c r="O353" s="751"/>
      <c r="P353" s="466"/>
      <c r="Q353" s="466"/>
      <c r="R353" s="466"/>
      <c r="S353" s="751"/>
      <c r="T353" s="466"/>
      <c r="U353" s="751"/>
      <c r="V353" s="466"/>
      <c r="W353" s="751"/>
      <c r="X353" s="378"/>
      <c r="Y353" s="180"/>
      <c r="Z353" s="180"/>
      <c r="AA353" s="180"/>
      <c r="AB353" s="180"/>
    </row>
    <row r="354" spans="1:28">
      <c r="A354" s="631"/>
      <c r="B354" s="388"/>
      <c r="C354" s="391"/>
      <c r="D354" s="391"/>
      <c r="E354" s="391"/>
      <c r="F354" s="391"/>
      <c r="G354" s="391"/>
      <c r="H354" s="391"/>
      <c r="I354" s="749"/>
      <c r="J354" s="391"/>
      <c r="K354" s="391"/>
      <c r="L354" s="391"/>
      <c r="M354" s="391"/>
      <c r="N354" s="391"/>
      <c r="O354" s="749"/>
      <c r="P354" s="391"/>
      <c r="Q354" s="391"/>
      <c r="R354" s="391"/>
      <c r="S354" s="749"/>
      <c r="T354" s="391"/>
      <c r="U354" s="749"/>
      <c r="V354" s="391"/>
      <c r="W354" s="749"/>
      <c r="X354" s="378"/>
      <c r="Y354" s="180"/>
      <c r="Z354" s="180"/>
      <c r="AA354" s="180"/>
      <c r="AB354" s="180"/>
    </row>
    <row r="355" spans="1:28" s="203" customFormat="1">
      <c r="A355" s="631"/>
      <c r="B355" s="389"/>
      <c r="C355" s="392"/>
      <c r="D355" s="392"/>
      <c r="E355" s="392"/>
      <c r="F355" s="392"/>
      <c r="G355" s="392"/>
      <c r="H355" s="392"/>
      <c r="I355" s="750"/>
      <c r="J355" s="392"/>
      <c r="K355" s="392"/>
      <c r="L355" s="392"/>
      <c r="M355" s="392"/>
      <c r="N355" s="392"/>
      <c r="O355" s="750"/>
      <c r="P355" s="392"/>
      <c r="Q355" s="392"/>
      <c r="R355" s="392"/>
      <c r="S355" s="750"/>
      <c r="T355" s="392"/>
      <c r="U355" s="750"/>
      <c r="V355" s="392"/>
      <c r="W355" s="750"/>
      <c r="X355" s="378"/>
      <c r="Y355" s="180"/>
      <c r="Z355" s="180"/>
      <c r="AA355" s="180"/>
      <c r="AB355" s="180"/>
    </row>
    <row r="356" spans="1:28" s="212" customFormat="1" ht="13.5" thickBot="1">
      <c r="A356" s="635"/>
      <c r="B356" s="761"/>
      <c r="C356" s="762"/>
      <c r="D356" s="1462"/>
      <c r="E356" s="762"/>
      <c r="F356" s="762"/>
      <c r="G356" s="762"/>
      <c r="H356" s="762"/>
      <c r="I356" s="763"/>
      <c r="J356" s="762"/>
      <c r="K356" s="762"/>
      <c r="L356" s="762"/>
      <c r="M356" s="762"/>
      <c r="N356" s="762"/>
      <c r="O356" s="763"/>
      <c r="P356" s="762"/>
      <c r="Q356" s="762"/>
      <c r="R356" s="762"/>
      <c r="S356" s="763"/>
      <c r="T356" s="762"/>
      <c r="U356" s="763"/>
      <c r="V356" s="762"/>
      <c r="W356" s="763"/>
      <c r="X356" s="378"/>
      <c r="Y356" s="180"/>
      <c r="Z356" s="180"/>
      <c r="AA356" s="180"/>
      <c r="AB356" s="180"/>
    </row>
    <row r="357" spans="1:28" ht="13.5" thickTop="1">
      <c r="A357" s="230"/>
      <c r="B357" s="764"/>
      <c r="C357" s="765"/>
      <c r="D357" s="765"/>
      <c r="E357" s="765"/>
      <c r="F357" s="765"/>
      <c r="G357" s="765"/>
      <c r="H357" s="765"/>
      <c r="I357" s="766"/>
      <c r="J357" s="765"/>
      <c r="K357" s="765"/>
      <c r="L357" s="765"/>
      <c r="M357" s="765"/>
      <c r="N357" s="765"/>
      <c r="O357" s="766"/>
      <c r="P357" s="765"/>
      <c r="Q357" s="765"/>
      <c r="R357" s="765"/>
      <c r="S357" s="766"/>
      <c r="T357" s="765"/>
      <c r="U357" s="766"/>
      <c r="V357" s="765"/>
      <c r="W357" s="766"/>
      <c r="X357" s="378"/>
      <c r="Y357" s="180"/>
      <c r="Z357" s="180"/>
      <c r="AA357" s="180"/>
      <c r="AB357" s="180"/>
    </row>
    <row r="358" spans="1:28" s="203" customFormat="1">
      <c r="A358" s="631"/>
      <c r="B358" s="389"/>
      <c r="C358" s="392"/>
      <c r="D358" s="392"/>
      <c r="E358" s="392"/>
      <c r="F358" s="392"/>
      <c r="G358" s="392"/>
      <c r="H358" s="392"/>
      <c r="I358" s="750"/>
      <c r="J358" s="392"/>
      <c r="K358" s="392"/>
      <c r="L358" s="392"/>
      <c r="M358" s="392"/>
      <c r="N358" s="392"/>
      <c r="O358" s="750"/>
      <c r="P358" s="392"/>
      <c r="Q358" s="392"/>
      <c r="R358" s="392"/>
      <c r="S358" s="750"/>
      <c r="T358" s="392"/>
      <c r="U358" s="750"/>
      <c r="V358" s="392"/>
      <c r="W358" s="750"/>
      <c r="X358" s="378"/>
      <c r="Y358" s="180"/>
      <c r="Z358" s="180"/>
      <c r="AA358" s="180"/>
      <c r="AB358" s="180"/>
    </row>
    <row r="359" spans="1:28" s="202" customFormat="1">
      <c r="A359" s="632"/>
      <c r="B359" s="634"/>
      <c r="C359" s="466"/>
      <c r="D359" s="466"/>
      <c r="E359" s="466"/>
      <c r="F359" s="466"/>
      <c r="G359" s="466"/>
      <c r="H359" s="466"/>
      <c r="I359" s="751"/>
      <c r="J359" s="466"/>
      <c r="K359" s="466"/>
      <c r="L359" s="466"/>
      <c r="M359" s="466"/>
      <c r="N359" s="466"/>
      <c r="O359" s="751"/>
      <c r="P359" s="466"/>
      <c r="Q359" s="466"/>
      <c r="R359" s="466"/>
      <c r="S359" s="751"/>
      <c r="T359" s="466"/>
      <c r="U359" s="751"/>
      <c r="V359" s="466"/>
      <c r="W359" s="751"/>
      <c r="X359" s="378"/>
      <c r="Y359" s="180"/>
      <c r="Z359" s="180"/>
      <c r="AA359" s="180"/>
      <c r="AB359" s="180"/>
    </row>
    <row r="360" spans="1:28">
      <c r="A360" s="631"/>
      <c r="B360" s="388"/>
      <c r="C360" s="391"/>
      <c r="D360" s="391"/>
      <c r="E360" s="391"/>
      <c r="F360" s="391"/>
      <c r="G360" s="391"/>
      <c r="H360" s="391"/>
      <c r="I360" s="749"/>
      <c r="J360" s="391"/>
      <c r="K360" s="391"/>
      <c r="L360" s="391"/>
      <c r="M360" s="391"/>
      <c r="N360" s="391"/>
      <c r="O360" s="749"/>
      <c r="P360" s="391"/>
      <c r="Q360" s="391"/>
      <c r="R360" s="391"/>
      <c r="S360" s="749"/>
      <c r="T360" s="391"/>
      <c r="U360" s="749"/>
      <c r="V360" s="391"/>
      <c r="W360" s="749"/>
      <c r="X360" s="378"/>
      <c r="Y360" s="180"/>
      <c r="Z360" s="180"/>
      <c r="AA360" s="180"/>
      <c r="AB360" s="180"/>
    </row>
    <row r="361" spans="1:28" s="203" customFormat="1">
      <c r="A361" s="631"/>
      <c r="B361" s="389"/>
      <c r="C361" s="392"/>
      <c r="D361" s="392"/>
      <c r="E361" s="392"/>
      <c r="F361" s="392"/>
      <c r="G361" s="392"/>
      <c r="H361" s="392"/>
      <c r="I361" s="750"/>
      <c r="J361" s="392"/>
      <c r="K361" s="392"/>
      <c r="L361" s="392"/>
      <c r="M361" s="392"/>
      <c r="N361" s="392"/>
      <c r="O361" s="750"/>
      <c r="P361" s="392"/>
      <c r="Q361" s="392"/>
      <c r="R361" s="392"/>
      <c r="S361" s="750"/>
      <c r="T361" s="392"/>
      <c r="U361" s="750"/>
      <c r="V361" s="392"/>
      <c r="W361" s="750"/>
      <c r="X361" s="378"/>
      <c r="Y361" s="180"/>
      <c r="Z361" s="180"/>
      <c r="AA361" s="180"/>
      <c r="AB361" s="180"/>
    </row>
    <row r="362" spans="1:28" s="202" customFormat="1">
      <c r="A362" s="631"/>
      <c r="B362" s="634"/>
      <c r="C362" s="466"/>
      <c r="D362" s="466"/>
      <c r="E362" s="466"/>
      <c r="F362" s="466"/>
      <c r="G362" s="466"/>
      <c r="H362" s="466"/>
      <c r="I362" s="751"/>
      <c r="J362" s="466"/>
      <c r="K362" s="466"/>
      <c r="L362" s="466"/>
      <c r="M362" s="466"/>
      <c r="N362" s="466"/>
      <c r="O362" s="751"/>
      <c r="P362" s="466"/>
      <c r="Q362" s="466"/>
      <c r="R362" s="466"/>
      <c r="S362" s="751"/>
      <c r="T362" s="466"/>
      <c r="U362" s="751"/>
      <c r="V362" s="1461"/>
      <c r="W362" s="751"/>
      <c r="X362" s="378"/>
      <c r="Y362" s="180"/>
      <c r="Z362" s="180"/>
      <c r="AA362" s="180"/>
      <c r="AB362" s="180"/>
    </row>
    <row r="363" spans="1:28">
      <c r="A363" s="631"/>
      <c r="B363" s="388"/>
      <c r="C363" s="391"/>
      <c r="D363" s="391"/>
      <c r="E363" s="391"/>
      <c r="F363" s="391"/>
      <c r="G363" s="391"/>
      <c r="H363" s="391"/>
      <c r="I363" s="749"/>
      <c r="J363" s="391"/>
      <c r="K363" s="391"/>
      <c r="L363" s="391"/>
      <c r="M363" s="391"/>
      <c r="N363" s="391"/>
      <c r="O363" s="749"/>
      <c r="P363" s="391"/>
      <c r="Q363" s="391"/>
      <c r="R363" s="391"/>
      <c r="S363" s="749"/>
      <c r="T363" s="391"/>
      <c r="U363" s="749"/>
      <c r="V363" s="391"/>
      <c r="W363" s="749"/>
      <c r="X363" s="378"/>
      <c r="Y363" s="180"/>
      <c r="Z363" s="180"/>
      <c r="AA363" s="180"/>
      <c r="AB363" s="180"/>
    </row>
    <row r="364" spans="1:28" s="203" customFormat="1">
      <c r="A364" s="631"/>
      <c r="B364" s="389"/>
      <c r="C364" s="392"/>
      <c r="D364" s="392"/>
      <c r="E364" s="392"/>
      <c r="F364" s="392"/>
      <c r="G364" s="392"/>
      <c r="H364" s="392"/>
      <c r="I364" s="750"/>
      <c r="J364" s="392"/>
      <c r="K364" s="392"/>
      <c r="L364" s="392"/>
      <c r="M364" s="392"/>
      <c r="N364" s="392"/>
      <c r="O364" s="750"/>
      <c r="P364" s="392"/>
      <c r="Q364" s="392"/>
      <c r="R364" s="392"/>
      <c r="S364" s="750"/>
      <c r="T364" s="392"/>
      <c r="U364" s="750"/>
      <c r="V364" s="392"/>
      <c r="W364" s="750"/>
      <c r="X364" s="378"/>
      <c r="Y364" s="180"/>
      <c r="Z364" s="180"/>
      <c r="AA364" s="180"/>
      <c r="AB364" s="180"/>
    </row>
    <row r="365" spans="1:28" s="202" customFormat="1">
      <c r="A365" s="631"/>
      <c r="B365" s="634"/>
      <c r="C365" s="466"/>
      <c r="D365" s="466"/>
      <c r="E365" s="466"/>
      <c r="F365" s="466"/>
      <c r="G365" s="466"/>
      <c r="H365" s="466"/>
      <c r="I365" s="751"/>
      <c r="J365" s="466"/>
      <c r="K365" s="466"/>
      <c r="L365" s="466"/>
      <c r="M365" s="466"/>
      <c r="N365" s="466"/>
      <c r="O365" s="751"/>
      <c r="P365" s="466"/>
      <c r="Q365" s="466"/>
      <c r="R365" s="466"/>
      <c r="S365" s="751"/>
      <c r="T365" s="466"/>
      <c r="U365" s="751"/>
      <c r="V365" s="466"/>
      <c r="W365" s="751"/>
      <c r="X365" s="378"/>
      <c r="Y365" s="180"/>
      <c r="Z365" s="180"/>
      <c r="AA365" s="180"/>
      <c r="AB365" s="180"/>
    </row>
    <row r="366" spans="1:28">
      <c r="A366" s="631"/>
      <c r="B366" s="388"/>
      <c r="C366" s="391"/>
      <c r="D366" s="391"/>
      <c r="E366" s="391"/>
      <c r="F366" s="391"/>
      <c r="G366" s="391"/>
      <c r="H366" s="391"/>
      <c r="I366" s="749"/>
      <c r="J366" s="391"/>
      <c r="K366" s="391"/>
      <c r="L366" s="391"/>
      <c r="M366" s="391"/>
      <c r="N366" s="391"/>
      <c r="O366" s="749"/>
      <c r="P366" s="391"/>
      <c r="Q366" s="391"/>
      <c r="R366" s="391"/>
      <c r="S366" s="749"/>
      <c r="T366" s="391"/>
      <c r="U366" s="749"/>
      <c r="V366" s="391"/>
      <c r="W366" s="749"/>
      <c r="X366" s="378"/>
      <c r="Y366" s="180"/>
      <c r="Z366" s="180"/>
      <c r="AA366" s="180"/>
      <c r="AB366" s="180"/>
    </row>
    <row r="367" spans="1:28" s="203" customFormat="1">
      <c r="A367" s="631"/>
      <c r="B367" s="389"/>
      <c r="C367" s="392"/>
      <c r="D367" s="392"/>
      <c r="E367" s="392"/>
      <c r="F367" s="392"/>
      <c r="G367" s="392"/>
      <c r="H367" s="392"/>
      <c r="I367" s="750"/>
      <c r="J367" s="392"/>
      <c r="K367" s="392"/>
      <c r="L367" s="392"/>
      <c r="M367" s="392"/>
      <c r="N367" s="392"/>
      <c r="O367" s="750"/>
      <c r="P367" s="392"/>
      <c r="Q367" s="392"/>
      <c r="R367" s="392"/>
      <c r="S367" s="750"/>
      <c r="T367" s="392"/>
      <c r="U367" s="750"/>
      <c r="V367" s="392"/>
      <c r="W367" s="750"/>
      <c r="X367" s="378"/>
      <c r="Y367" s="180"/>
      <c r="Z367" s="180"/>
      <c r="AA367" s="180"/>
      <c r="AB367" s="180"/>
    </row>
    <row r="368" spans="1:28" s="202" customFormat="1">
      <c r="A368" s="631"/>
      <c r="B368" s="634"/>
      <c r="C368" s="466"/>
      <c r="D368" s="466"/>
      <c r="E368" s="466"/>
      <c r="F368" s="466"/>
      <c r="G368" s="1461"/>
      <c r="H368" s="466"/>
      <c r="I368" s="751"/>
      <c r="J368" s="466"/>
      <c r="K368" s="466"/>
      <c r="L368" s="466"/>
      <c r="M368" s="466"/>
      <c r="N368" s="466"/>
      <c r="O368" s="751"/>
      <c r="P368" s="466"/>
      <c r="Q368" s="466"/>
      <c r="R368" s="466"/>
      <c r="S368" s="751"/>
      <c r="T368" s="466"/>
      <c r="U368" s="751"/>
      <c r="V368" s="466"/>
      <c r="W368" s="751"/>
      <c r="X368" s="378"/>
      <c r="Y368" s="180"/>
      <c r="Z368" s="180"/>
      <c r="AA368" s="180"/>
      <c r="AB368" s="180"/>
    </row>
    <row r="369" spans="1:28">
      <c r="A369" s="631"/>
      <c r="B369" s="388"/>
      <c r="C369" s="391"/>
      <c r="D369" s="391"/>
      <c r="E369" s="391"/>
      <c r="F369" s="391"/>
      <c r="G369" s="391"/>
      <c r="H369" s="391"/>
      <c r="I369" s="749"/>
      <c r="J369" s="391"/>
      <c r="K369" s="391"/>
      <c r="L369" s="391"/>
      <c r="M369" s="391"/>
      <c r="N369" s="391"/>
      <c r="O369" s="749"/>
      <c r="P369" s="391"/>
      <c r="Q369" s="391"/>
      <c r="R369" s="391"/>
      <c r="S369" s="749"/>
      <c r="T369" s="391"/>
      <c r="U369" s="749"/>
      <c r="V369" s="391"/>
      <c r="W369" s="749"/>
      <c r="X369" s="378"/>
      <c r="Y369" s="180"/>
      <c r="Z369" s="180"/>
      <c r="AA369" s="180"/>
      <c r="AB369" s="180"/>
    </row>
    <row r="370" spans="1:28" s="203" customFormat="1">
      <c r="A370" s="631"/>
      <c r="B370" s="389"/>
      <c r="C370" s="392"/>
      <c r="D370" s="392"/>
      <c r="E370" s="392"/>
      <c r="F370" s="392"/>
      <c r="G370" s="392"/>
      <c r="H370" s="392"/>
      <c r="I370" s="750"/>
      <c r="J370" s="392"/>
      <c r="K370" s="392"/>
      <c r="L370" s="392"/>
      <c r="M370" s="392"/>
      <c r="N370" s="392"/>
      <c r="O370" s="750"/>
      <c r="P370" s="392"/>
      <c r="Q370" s="392"/>
      <c r="R370" s="392"/>
      <c r="S370" s="750"/>
      <c r="T370" s="392"/>
      <c r="U370" s="750"/>
      <c r="V370" s="392"/>
      <c r="W370" s="750"/>
      <c r="X370" s="378"/>
      <c r="Y370" s="180"/>
      <c r="Z370" s="180"/>
      <c r="AA370" s="180"/>
      <c r="AB370" s="180"/>
    </row>
    <row r="371" spans="1:28" s="202" customFormat="1">
      <c r="A371" s="631"/>
      <c r="B371" s="634"/>
      <c r="C371" s="466"/>
      <c r="D371" s="466"/>
      <c r="E371" s="466"/>
      <c r="F371" s="466"/>
      <c r="G371" s="466"/>
      <c r="H371" s="466"/>
      <c r="I371" s="751"/>
      <c r="J371" s="466"/>
      <c r="K371" s="466"/>
      <c r="L371" s="466"/>
      <c r="M371" s="466"/>
      <c r="N371" s="466"/>
      <c r="O371" s="751"/>
      <c r="P371" s="466"/>
      <c r="Q371" s="466"/>
      <c r="R371" s="466"/>
      <c r="S371" s="751"/>
      <c r="T371" s="466"/>
      <c r="U371" s="751"/>
      <c r="V371" s="466"/>
      <c r="W371" s="751"/>
      <c r="X371" s="378"/>
      <c r="Y371" s="180"/>
      <c r="Z371" s="180"/>
      <c r="AA371" s="180"/>
      <c r="AB371" s="180"/>
    </row>
    <row r="372" spans="1:28">
      <c r="A372" s="631"/>
      <c r="B372" s="752"/>
      <c r="C372" s="749"/>
      <c r="D372" s="749"/>
      <c r="E372" s="749"/>
      <c r="F372" s="749"/>
      <c r="G372" s="749"/>
      <c r="H372" s="749"/>
      <c r="I372" s="749"/>
      <c r="J372" s="749"/>
      <c r="K372" s="749"/>
      <c r="L372" s="749"/>
      <c r="M372" s="749"/>
      <c r="N372" s="749"/>
      <c r="O372" s="749"/>
      <c r="P372" s="749"/>
      <c r="Q372" s="749"/>
      <c r="R372" s="749"/>
      <c r="S372" s="749"/>
      <c r="T372" s="749"/>
      <c r="U372" s="749"/>
      <c r="V372" s="749"/>
      <c r="W372" s="749"/>
      <c r="X372" s="378"/>
      <c r="Y372" s="180"/>
      <c r="Z372" s="180"/>
      <c r="AA372" s="180"/>
      <c r="AB372" s="180"/>
    </row>
    <row r="373" spans="1:28" s="203" customFormat="1">
      <c r="A373" s="631"/>
      <c r="B373" s="753"/>
      <c r="C373" s="750"/>
      <c r="D373" s="750"/>
      <c r="E373" s="750"/>
      <c r="F373" s="750"/>
      <c r="G373" s="750"/>
      <c r="H373" s="750"/>
      <c r="I373" s="750"/>
      <c r="J373" s="750"/>
      <c r="K373" s="750"/>
      <c r="L373" s="750"/>
      <c r="M373" s="750"/>
      <c r="N373" s="750"/>
      <c r="O373" s="750"/>
      <c r="P373" s="750"/>
      <c r="Q373" s="750"/>
      <c r="R373" s="750"/>
      <c r="S373" s="750"/>
      <c r="T373" s="750"/>
      <c r="U373" s="750"/>
      <c r="V373" s="750"/>
      <c r="W373" s="750"/>
      <c r="X373" s="378"/>
      <c r="Y373" s="180"/>
      <c r="Z373" s="180"/>
      <c r="AA373" s="180"/>
      <c r="AB373" s="180"/>
    </row>
    <row r="374" spans="1:28" s="202" customFormat="1">
      <c r="A374" s="631"/>
      <c r="B374" s="754"/>
      <c r="C374" s="751"/>
      <c r="D374" s="751"/>
      <c r="E374" s="751"/>
      <c r="F374" s="751"/>
      <c r="G374" s="751"/>
      <c r="H374" s="751"/>
      <c r="I374" s="751"/>
      <c r="J374" s="751"/>
      <c r="K374" s="751"/>
      <c r="L374" s="751"/>
      <c r="M374" s="751"/>
      <c r="N374" s="751"/>
      <c r="O374" s="751"/>
      <c r="P374" s="751"/>
      <c r="Q374" s="751"/>
      <c r="R374" s="751"/>
      <c r="S374" s="751"/>
      <c r="T374" s="751"/>
      <c r="U374" s="751"/>
      <c r="V374" s="751"/>
      <c r="W374" s="751"/>
      <c r="X374" s="378"/>
      <c r="Y374" s="180"/>
      <c r="Z374" s="180"/>
      <c r="AA374" s="180"/>
      <c r="AB374" s="180"/>
    </row>
    <row r="375" spans="1:28">
      <c r="A375" s="631"/>
      <c r="B375" s="388"/>
      <c r="C375" s="391"/>
      <c r="D375" s="391"/>
      <c r="E375" s="391"/>
      <c r="F375" s="391"/>
      <c r="G375" s="391"/>
      <c r="H375" s="391"/>
      <c r="I375" s="749"/>
      <c r="J375" s="391"/>
      <c r="K375" s="391"/>
      <c r="L375" s="391"/>
      <c r="M375" s="391"/>
      <c r="N375" s="391"/>
      <c r="O375" s="749"/>
      <c r="P375" s="391"/>
      <c r="Q375" s="391"/>
      <c r="R375" s="391"/>
      <c r="S375" s="749"/>
      <c r="T375" s="391"/>
      <c r="U375" s="749"/>
      <c r="V375" s="391"/>
      <c r="W375" s="749"/>
      <c r="X375" s="378"/>
      <c r="Y375" s="180"/>
      <c r="Z375" s="180"/>
      <c r="AA375" s="180"/>
      <c r="AB375" s="180"/>
    </row>
    <row r="376" spans="1:28" s="203" customFormat="1">
      <c r="A376" s="631"/>
      <c r="B376" s="389"/>
      <c r="C376" s="392"/>
      <c r="D376" s="392"/>
      <c r="E376" s="392"/>
      <c r="F376" s="392"/>
      <c r="G376" s="392"/>
      <c r="H376" s="392"/>
      <c r="I376" s="750"/>
      <c r="J376" s="392"/>
      <c r="K376" s="392"/>
      <c r="L376" s="392"/>
      <c r="M376" s="392"/>
      <c r="N376" s="392"/>
      <c r="O376" s="750"/>
      <c r="P376" s="392"/>
      <c r="Q376" s="392"/>
      <c r="R376" s="392"/>
      <c r="S376" s="750"/>
      <c r="T376" s="392"/>
      <c r="U376" s="750"/>
      <c r="V376" s="392"/>
      <c r="W376" s="750"/>
      <c r="X376" s="378"/>
      <c r="Y376" s="180"/>
      <c r="Z376" s="180"/>
      <c r="AA376" s="180"/>
      <c r="AB376" s="180"/>
    </row>
    <row r="377" spans="1:28" s="202" customFormat="1">
      <c r="A377" s="631"/>
      <c r="B377" s="634"/>
      <c r="C377" s="466"/>
      <c r="D377" s="466"/>
      <c r="E377" s="466"/>
      <c r="F377" s="466"/>
      <c r="G377" s="466"/>
      <c r="H377" s="466"/>
      <c r="I377" s="751"/>
      <c r="J377" s="466"/>
      <c r="K377" s="466"/>
      <c r="L377" s="466"/>
      <c r="M377" s="466"/>
      <c r="N377" s="466"/>
      <c r="O377" s="751"/>
      <c r="P377" s="466"/>
      <c r="Q377" s="466"/>
      <c r="R377" s="466"/>
      <c r="S377" s="751"/>
      <c r="T377" s="466"/>
      <c r="U377" s="751"/>
      <c r="V377" s="466"/>
      <c r="W377" s="751"/>
      <c r="X377" s="378"/>
      <c r="Y377" s="180"/>
      <c r="Z377" s="180"/>
      <c r="AA377" s="180"/>
      <c r="AB377" s="180"/>
    </row>
    <row r="378" spans="1:28">
      <c r="A378" s="631"/>
      <c r="B378" s="388"/>
      <c r="C378" s="391"/>
      <c r="D378" s="391"/>
      <c r="E378" s="391"/>
      <c r="F378" s="391"/>
      <c r="G378" s="391"/>
      <c r="H378" s="391"/>
      <c r="I378" s="749"/>
      <c r="J378" s="391"/>
      <c r="K378" s="391"/>
      <c r="L378" s="391"/>
      <c r="M378" s="391"/>
      <c r="N378" s="391"/>
      <c r="O378" s="749"/>
      <c r="P378" s="391"/>
      <c r="Q378" s="391"/>
      <c r="R378" s="391"/>
      <c r="S378" s="749"/>
      <c r="T378" s="391"/>
      <c r="U378" s="749"/>
      <c r="V378" s="391"/>
      <c r="W378" s="749"/>
      <c r="X378" s="378"/>
      <c r="Y378" s="180"/>
      <c r="Z378" s="180"/>
      <c r="AA378" s="180"/>
      <c r="AB378" s="180"/>
    </row>
    <row r="379" spans="1:28" s="203" customFormat="1">
      <c r="A379" s="631"/>
      <c r="B379" s="389"/>
      <c r="C379" s="392"/>
      <c r="D379" s="392"/>
      <c r="E379" s="392"/>
      <c r="F379" s="392"/>
      <c r="G379" s="392"/>
      <c r="H379" s="392"/>
      <c r="I379" s="750"/>
      <c r="J379" s="392"/>
      <c r="K379" s="392"/>
      <c r="L379" s="392"/>
      <c r="M379" s="392"/>
      <c r="N379" s="392"/>
      <c r="O379" s="750"/>
      <c r="P379" s="392"/>
      <c r="Q379" s="392"/>
      <c r="R379" s="392"/>
      <c r="S379" s="750"/>
      <c r="T379" s="392"/>
      <c r="U379" s="750"/>
      <c r="V379" s="392"/>
      <c r="W379" s="750"/>
      <c r="X379" s="378"/>
      <c r="Y379" s="180"/>
      <c r="Z379" s="180"/>
      <c r="AA379" s="180"/>
      <c r="AB379" s="180"/>
    </row>
    <row r="380" spans="1:28" s="202" customFormat="1">
      <c r="A380" s="631"/>
      <c r="B380" s="634"/>
      <c r="C380" s="466"/>
      <c r="D380" s="466"/>
      <c r="E380" s="466"/>
      <c r="F380" s="466"/>
      <c r="G380" s="466"/>
      <c r="H380" s="466"/>
      <c r="I380" s="751"/>
      <c r="J380" s="466"/>
      <c r="K380" s="466"/>
      <c r="L380" s="466"/>
      <c r="M380" s="466"/>
      <c r="N380" s="466"/>
      <c r="O380" s="751"/>
      <c r="P380" s="466"/>
      <c r="Q380" s="466"/>
      <c r="R380" s="466"/>
      <c r="S380" s="751"/>
      <c r="T380" s="466"/>
      <c r="U380" s="751"/>
      <c r="V380" s="466"/>
      <c r="W380" s="751"/>
      <c r="X380" s="378"/>
      <c r="Y380" s="180"/>
      <c r="Z380" s="180"/>
      <c r="AA380" s="180"/>
      <c r="AB380" s="180"/>
    </row>
    <row r="381" spans="1:28">
      <c r="A381" s="631"/>
      <c r="B381" s="388"/>
      <c r="C381" s="391"/>
      <c r="D381" s="391"/>
      <c r="E381" s="391"/>
      <c r="F381" s="391"/>
      <c r="G381" s="391"/>
      <c r="H381" s="391"/>
      <c r="I381" s="749"/>
      <c r="J381" s="391"/>
      <c r="K381" s="391"/>
      <c r="L381" s="391"/>
      <c r="M381" s="391"/>
      <c r="N381" s="391"/>
      <c r="O381" s="749"/>
      <c r="P381" s="391"/>
      <c r="Q381" s="391"/>
      <c r="R381" s="391"/>
      <c r="S381" s="749"/>
      <c r="T381" s="391"/>
      <c r="U381" s="749"/>
      <c r="V381" s="391"/>
      <c r="W381" s="749"/>
      <c r="X381" s="378"/>
      <c r="Y381" s="180"/>
      <c r="Z381" s="180"/>
      <c r="AA381" s="180"/>
      <c r="AB381" s="180"/>
    </row>
    <row r="382" spans="1:28" s="203" customFormat="1">
      <c r="A382" s="631"/>
      <c r="B382" s="389"/>
      <c r="C382" s="392"/>
      <c r="D382" s="392"/>
      <c r="E382" s="392"/>
      <c r="F382" s="392"/>
      <c r="G382" s="392"/>
      <c r="H382" s="392"/>
      <c r="I382" s="750"/>
      <c r="J382" s="392"/>
      <c r="K382" s="392"/>
      <c r="L382" s="392"/>
      <c r="M382" s="392"/>
      <c r="N382" s="392"/>
      <c r="O382" s="750"/>
      <c r="P382" s="392"/>
      <c r="Q382" s="392"/>
      <c r="R382" s="392"/>
      <c r="S382" s="750"/>
      <c r="T382" s="392"/>
      <c r="U382" s="750"/>
      <c r="V382" s="392"/>
      <c r="W382" s="750"/>
      <c r="X382" s="378"/>
      <c r="Y382" s="180"/>
      <c r="Z382" s="180"/>
      <c r="AA382" s="180"/>
      <c r="AB382" s="180"/>
    </row>
    <row r="383" spans="1:28" s="202" customFormat="1">
      <c r="A383" s="631"/>
      <c r="B383" s="634"/>
      <c r="C383" s="466"/>
      <c r="D383" s="466"/>
      <c r="E383" s="466"/>
      <c r="F383" s="466"/>
      <c r="G383" s="466"/>
      <c r="H383" s="466"/>
      <c r="I383" s="751"/>
      <c r="J383" s="466"/>
      <c r="K383" s="466"/>
      <c r="L383" s="466"/>
      <c r="M383" s="466"/>
      <c r="N383" s="466"/>
      <c r="O383" s="751"/>
      <c r="P383" s="466"/>
      <c r="Q383" s="466"/>
      <c r="R383" s="466"/>
      <c r="S383" s="751"/>
      <c r="T383" s="466"/>
      <c r="U383" s="751"/>
      <c r="V383" s="466"/>
      <c r="W383" s="751"/>
      <c r="X383" s="378"/>
      <c r="Y383" s="180"/>
      <c r="Z383" s="180"/>
      <c r="AA383" s="180"/>
      <c r="AB383" s="180"/>
    </row>
    <row r="384" spans="1:28">
      <c r="A384" s="631"/>
      <c r="B384" s="388"/>
      <c r="C384" s="391"/>
      <c r="D384" s="391"/>
      <c r="E384" s="391"/>
      <c r="F384" s="391"/>
      <c r="G384" s="391"/>
      <c r="H384" s="391"/>
      <c r="I384" s="749"/>
      <c r="J384" s="391"/>
      <c r="K384" s="391"/>
      <c r="L384" s="391"/>
      <c r="M384" s="391"/>
      <c r="N384" s="391"/>
      <c r="O384" s="749"/>
      <c r="P384" s="391"/>
      <c r="Q384" s="391"/>
      <c r="R384" s="391"/>
      <c r="S384" s="749"/>
      <c r="T384" s="391"/>
      <c r="U384" s="749"/>
      <c r="V384" s="391"/>
      <c r="W384" s="749"/>
      <c r="X384" s="378"/>
      <c r="Y384" s="180"/>
      <c r="Z384" s="180"/>
      <c r="AA384" s="180"/>
      <c r="AB384" s="180"/>
    </row>
    <row r="385" spans="1:28" s="203" customFormat="1">
      <c r="A385" s="631"/>
      <c r="B385" s="389"/>
      <c r="C385" s="392"/>
      <c r="D385" s="392"/>
      <c r="E385" s="392"/>
      <c r="F385" s="392"/>
      <c r="G385" s="392"/>
      <c r="H385" s="392"/>
      <c r="I385" s="750"/>
      <c r="J385" s="392"/>
      <c r="K385" s="392"/>
      <c r="L385" s="392"/>
      <c r="M385" s="392"/>
      <c r="N385" s="392"/>
      <c r="O385" s="750"/>
      <c r="P385" s="392"/>
      <c r="Q385" s="392"/>
      <c r="R385" s="392"/>
      <c r="S385" s="750"/>
      <c r="T385" s="392"/>
      <c r="U385" s="750"/>
      <c r="V385" s="392"/>
      <c r="W385" s="750"/>
      <c r="X385" s="378"/>
      <c r="Y385" s="180"/>
      <c r="Z385" s="180"/>
      <c r="AA385" s="180"/>
      <c r="AB385" s="180"/>
    </row>
    <row r="386" spans="1:28" s="202" customFormat="1">
      <c r="A386" s="631"/>
      <c r="B386" s="634"/>
      <c r="C386" s="466"/>
      <c r="D386" s="466"/>
      <c r="E386" s="466"/>
      <c r="F386" s="466"/>
      <c r="G386" s="466"/>
      <c r="H386" s="466"/>
      <c r="I386" s="751"/>
      <c r="J386" s="466"/>
      <c r="K386" s="466"/>
      <c r="L386" s="466"/>
      <c r="M386" s="466"/>
      <c r="N386" s="466"/>
      <c r="O386" s="751"/>
      <c r="P386" s="466"/>
      <c r="Q386" s="466"/>
      <c r="R386" s="466"/>
      <c r="S386" s="751"/>
      <c r="T386" s="466"/>
      <c r="U386" s="751"/>
      <c r="V386" s="466"/>
      <c r="W386" s="751"/>
      <c r="X386" s="378"/>
      <c r="Y386" s="180"/>
      <c r="Z386" s="180"/>
      <c r="AA386" s="180"/>
      <c r="AB386" s="180"/>
    </row>
    <row r="387" spans="1:28">
      <c r="A387" s="631"/>
      <c r="B387" s="388"/>
      <c r="C387" s="391"/>
      <c r="D387" s="391"/>
      <c r="E387" s="391"/>
      <c r="F387" s="391"/>
      <c r="G387" s="391"/>
      <c r="H387" s="391"/>
      <c r="I387" s="749"/>
      <c r="J387" s="391"/>
      <c r="K387" s="391"/>
      <c r="L387" s="391"/>
      <c r="M387" s="391"/>
      <c r="N387" s="391"/>
      <c r="O387" s="749"/>
      <c r="P387" s="391"/>
      <c r="Q387" s="391"/>
      <c r="R387" s="391"/>
      <c r="S387" s="749"/>
      <c r="T387" s="391"/>
      <c r="U387" s="749"/>
      <c r="V387" s="391"/>
      <c r="W387" s="749"/>
      <c r="X387" s="378"/>
      <c r="Y387" s="180"/>
      <c r="Z387" s="180"/>
      <c r="AA387" s="180"/>
      <c r="AB387" s="180"/>
    </row>
    <row r="388" spans="1:28" s="203" customFormat="1">
      <c r="A388" s="631"/>
      <c r="B388" s="389"/>
      <c r="C388" s="392"/>
      <c r="D388" s="392"/>
      <c r="E388" s="392"/>
      <c r="F388" s="392"/>
      <c r="G388" s="392"/>
      <c r="H388" s="392"/>
      <c r="I388" s="750"/>
      <c r="J388" s="392"/>
      <c r="K388" s="392"/>
      <c r="L388" s="392"/>
      <c r="M388" s="392"/>
      <c r="N388" s="392"/>
      <c r="O388" s="750"/>
      <c r="P388" s="392"/>
      <c r="Q388" s="392"/>
      <c r="R388" s="392"/>
      <c r="S388" s="750"/>
      <c r="T388" s="392"/>
      <c r="U388" s="750"/>
      <c r="V388" s="392"/>
      <c r="W388" s="750"/>
      <c r="X388" s="378"/>
      <c r="Y388" s="180"/>
      <c r="Z388" s="180"/>
      <c r="AA388" s="180"/>
      <c r="AB388" s="180"/>
    </row>
    <row r="389" spans="1:28" s="202" customFormat="1">
      <c r="A389" s="631"/>
      <c r="B389" s="634"/>
      <c r="C389" s="466"/>
      <c r="D389" s="466"/>
      <c r="E389" s="466"/>
      <c r="F389" s="466"/>
      <c r="G389" s="466"/>
      <c r="H389" s="466"/>
      <c r="I389" s="751"/>
      <c r="J389" s="466"/>
      <c r="K389" s="466"/>
      <c r="L389" s="466"/>
      <c r="M389" s="466"/>
      <c r="N389" s="466"/>
      <c r="O389" s="751"/>
      <c r="P389" s="466"/>
      <c r="Q389" s="466"/>
      <c r="R389" s="466"/>
      <c r="S389" s="751"/>
      <c r="T389" s="466"/>
      <c r="U389" s="751"/>
      <c r="V389" s="466"/>
      <c r="W389" s="751"/>
      <c r="X389" s="378"/>
      <c r="Y389" s="180"/>
      <c r="Z389" s="180"/>
      <c r="AA389" s="180"/>
      <c r="AB389" s="180"/>
    </row>
    <row r="390" spans="1:28">
      <c r="A390" s="631"/>
      <c r="B390" s="388"/>
      <c r="C390" s="391"/>
      <c r="D390" s="391"/>
      <c r="E390" s="391"/>
      <c r="F390" s="391"/>
      <c r="G390" s="391"/>
      <c r="H390" s="391"/>
      <c r="I390" s="749"/>
      <c r="J390" s="391"/>
      <c r="K390" s="391"/>
      <c r="L390" s="391"/>
      <c r="M390" s="391"/>
      <c r="N390" s="391"/>
      <c r="O390" s="749"/>
      <c r="P390" s="391"/>
      <c r="Q390" s="391"/>
      <c r="R390" s="391"/>
      <c r="S390" s="749"/>
      <c r="T390" s="391"/>
      <c r="U390" s="749"/>
      <c r="V390" s="391"/>
      <c r="W390" s="749"/>
      <c r="X390" s="378"/>
      <c r="Y390" s="180"/>
      <c r="Z390" s="180"/>
      <c r="AA390" s="180"/>
      <c r="AB390" s="180"/>
    </row>
    <row r="391" spans="1:28" s="203" customFormat="1">
      <c r="A391" s="631"/>
      <c r="B391" s="389"/>
      <c r="C391" s="392"/>
      <c r="D391" s="392"/>
      <c r="E391" s="392"/>
      <c r="F391" s="392"/>
      <c r="G391" s="392"/>
      <c r="H391" s="392"/>
      <c r="I391" s="750"/>
      <c r="J391" s="392"/>
      <c r="K391" s="392"/>
      <c r="L391" s="392"/>
      <c r="M391" s="392"/>
      <c r="N391" s="392"/>
      <c r="O391" s="750"/>
      <c r="P391" s="392"/>
      <c r="Q391" s="392"/>
      <c r="R391" s="392"/>
      <c r="S391" s="750"/>
      <c r="T391" s="392"/>
      <c r="U391" s="750"/>
      <c r="V391" s="392"/>
      <c r="W391" s="750"/>
      <c r="X391" s="378"/>
      <c r="Y391" s="180"/>
      <c r="Z391" s="180"/>
      <c r="AA391" s="180"/>
      <c r="AB391" s="180"/>
    </row>
    <row r="392" spans="1:28" s="202" customFormat="1">
      <c r="A392" s="631"/>
      <c r="B392" s="634"/>
      <c r="C392" s="1461"/>
      <c r="D392" s="1461"/>
      <c r="E392" s="466"/>
      <c r="F392" s="466"/>
      <c r="G392" s="466"/>
      <c r="H392" s="466"/>
      <c r="I392" s="751"/>
      <c r="J392" s="466"/>
      <c r="K392" s="466"/>
      <c r="L392" s="466"/>
      <c r="M392" s="466"/>
      <c r="N392" s="466"/>
      <c r="O392" s="751"/>
      <c r="P392" s="466"/>
      <c r="Q392" s="466"/>
      <c r="R392" s="466"/>
      <c r="S392" s="751"/>
      <c r="T392" s="466"/>
      <c r="U392" s="751"/>
      <c r="V392" s="466"/>
      <c r="W392" s="751"/>
      <c r="X392" s="378"/>
      <c r="Y392" s="180"/>
      <c r="Z392" s="180"/>
      <c r="AA392" s="180"/>
      <c r="AB392" s="180"/>
    </row>
    <row r="393" spans="1:28">
      <c r="A393" s="631"/>
      <c r="B393" s="388"/>
      <c r="C393" s="391"/>
      <c r="D393" s="391"/>
      <c r="E393" s="391"/>
      <c r="F393" s="391"/>
      <c r="G393" s="391"/>
      <c r="H393" s="391"/>
      <c r="I393" s="749"/>
      <c r="J393" s="391"/>
      <c r="K393" s="391"/>
      <c r="L393" s="391"/>
      <c r="M393" s="391"/>
      <c r="N393" s="391"/>
      <c r="O393" s="749"/>
      <c r="P393" s="391"/>
      <c r="Q393" s="391"/>
      <c r="R393" s="391"/>
      <c r="S393" s="749"/>
      <c r="T393" s="391"/>
      <c r="U393" s="749"/>
      <c r="V393" s="391"/>
      <c r="W393" s="749"/>
      <c r="X393" s="378"/>
      <c r="Y393" s="180"/>
      <c r="Z393" s="180"/>
      <c r="AA393" s="180"/>
      <c r="AB393" s="180"/>
    </row>
    <row r="394" spans="1:28" s="203" customFormat="1">
      <c r="A394" s="631"/>
      <c r="B394" s="389"/>
      <c r="C394" s="392"/>
      <c r="D394" s="392"/>
      <c r="E394" s="392"/>
      <c r="F394" s="392"/>
      <c r="G394" s="392"/>
      <c r="H394" s="392"/>
      <c r="I394" s="750"/>
      <c r="J394" s="392"/>
      <c r="K394" s="392"/>
      <c r="L394" s="392"/>
      <c r="M394" s="392"/>
      <c r="N394" s="392"/>
      <c r="O394" s="750"/>
      <c r="P394" s="392"/>
      <c r="Q394" s="392"/>
      <c r="R394" s="392"/>
      <c r="S394" s="750"/>
      <c r="T394" s="392"/>
      <c r="U394" s="750"/>
      <c r="V394" s="392"/>
      <c r="W394" s="750"/>
      <c r="X394" s="378"/>
      <c r="Y394" s="180"/>
      <c r="Z394" s="180"/>
      <c r="AA394" s="180"/>
      <c r="AB394" s="180"/>
    </row>
    <row r="395" spans="1:28" s="212" customFormat="1" ht="13.5" thickBot="1">
      <c r="A395" s="635"/>
      <c r="B395" s="761"/>
      <c r="C395" s="762"/>
      <c r="D395" s="762"/>
      <c r="E395" s="762"/>
      <c r="F395" s="762"/>
      <c r="G395" s="762"/>
      <c r="H395" s="762"/>
      <c r="I395" s="763"/>
      <c r="J395" s="762"/>
      <c r="K395" s="762"/>
      <c r="L395" s="762"/>
      <c r="M395" s="762"/>
      <c r="N395" s="762"/>
      <c r="O395" s="763"/>
      <c r="P395" s="762"/>
      <c r="Q395" s="762"/>
      <c r="R395" s="762"/>
      <c r="S395" s="763"/>
      <c r="T395" s="762"/>
      <c r="U395" s="763"/>
      <c r="V395" s="762"/>
      <c r="W395" s="763"/>
      <c r="X395" s="378"/>
      <c r="Y395" s="180"/>
      <c r="Z395" s="180"/>
      <c r="AA395" s="180"/>
      <c r="AB395" s="180"/>
    </row>
    <row r="396" spans="1:28" ht="13.5" thickTop="1">
      <c r="A396" s="230"/>
      <c r="B396" s="764"/>
      <c r="C396" s="765"/>
      <c r="D396" s="765"/>
      <c r="E396" s="765"/>
      <c r="F396" s="765"/>
      <c r="G396" s="765"/>
      <c r="H396" s="765"/>
      <c r="I396" s="766"/>
      <c r="J396" s="765"/>
      <c r="K396" s="765"/>
      <c r="L396" s="765"/>
      <c r="M396" s="765"/>
      <c r="N396" s="765"/>
      <c r="O396" s="766"/>
      <c r="P396" s="765"/>
      <c r="Q396" s="765"/>
      <c r="R396" s="765"/>
      <c r="S396" s="766"/>
      <c r="T396" s="765"/>
      <c r="U396" s="766"/>
      <c r="V396" s="765"/>
      <c r="W396" s="766"/>
      <c r="X396" s="378"/>
      <c r="Y396" s="180"/>
      <c r="Z396" s="180"/>
      <c r="AA396" s="180"/>
      <c r="AB396" s="180"/>
    </row>
    <row r="397" spans="1:28" s="203" customFormat="1">
      <c r="A397" s="631"/>
      <c r="B397" s="389"/>
      <c r="C397" s="392"/>
      <c r="D397" s="392"/>
      <c r="E397" s="392"/>
      <c r="F397" s="392"/>
      <c r="G397" s="392"/>
      <c r="H397" s="392"/>
      <c r="I397" s="750"/>
      <c r="J397" s="392"/>
      <c r="K397" s="392"/>
      <c r="L397" s="392"/>
      <c r="M397" s="392"/>
      <c r="N397" s="392"/>
      <c r="O397" s="750"/>
      <c r="P397" s="392"/>
      <c r="Q397" s="392"/>
      <c r="R397" s="392"/>
      <c r="S397" s="750"/>
      <c r="T397" s="392"/>
      <c r="U397" s="750"/>
      <c r="V397" s="392"/>
      <c r="W397" s="750"/>
      <c r="X397" s="378"/>
      <c r="Y397" s="180"/>
      <c r="Z397" s="180"/>
      <c r="AA397" s="180"/>
      <c r="AB397" s="180"/>
    </row>
    <row r="398" spans="1:28" s="202" customFormat="1">
      <c r="A398" s="632"/>
      <c r="B398" s="634"/>
      <c r="C398" s="466"/>
      <c r="D398" s="466"/>
      <c r="E398" s="466"/>
      <c r="F398" s="466"/>
      <c r="G398" s="466"/>
      <c r="H398" s="466"/>
      <c r="I398" s="751"/>
      <c r="J398" s="466"/>
      <c r="K398" s="466"/>
      <c r="L398" s="466"/>
      <c r="M398" s="466"/>
      <c r="N398" s="466"/>
      <c r="O398" s="751"/>
      <c r="P398" s="466"/>
      <c r="Q398" s="466"/>
      <c r="R398" s="466"/>
      <c r="S398" s="751"/>
      <c r="T398" s="466"/>
      <c r="U398" s="751"/>
      <c r="V398" s="466"/>
      <c r="W398" s="751"/>
      <c r="X398" s="378"/>
      <c r="Y398" s="180"/>
      <c r="Z398" s="180"/>
      <c r="AA398" s="180"/>
      <c r="AB398" s="180"/>
    </row>
    <row r="399" spans="1:28">
      <c r="A399" s="631"/>
      <c r="B399" s="388"/>
      <c r="C399" s="391"/>
      <c r="D399" s="391"/>
      <c r="E399" s="391"/>
      <c r="F399" s="391"/>
      <c r="G399" s="391"/>
      <c r="H399" s="391"/>
      <c r="I399" s="749"/>
      <c r="J399" s="391"/>
      <c r="K399" s="391"/>
      <c r="L399" s="391"/>
      <c r="M399" s="391"/>
      <c r="N399" s="391"/>
      <c r="O399" s="749"/>
      <c r="P399" s="391"/>
      <c r="Q399" s="391"/>
      <c r="R399" s="391"/>
      <c r="S399" s="749"/>
      <c r="T399" s="391"/>
      <c r="U399" s="749"/>
      <c r="V399" s="391"/>
      <c r="W399" s="749"/>
      <c r="X399" s="378"/>
      <c r="Y399" s="180"/>
      <c r="Z399" s="180"/>
      <c r="AA399" s="180"/>
      <c r="AB399" s="180"/>
    </row>
    <row r="400" spans="1:28" s="203" customFormat="1">
      <c r="A400" s="631"/>
      <c r="B400" s="389"/>
      <c r="C400" s="392"/>
      <c r="D400" s="392"/>
      <c r="E400" s="392"/>
      <c r="F400" s="392"/>
      <c r="G400" s="392"/>
      <c r="H400" s="392"/>
      <c r="I400" s="750"/>
      <c r="J400" s="392"/>
      <c r="K400" s="392"/>
      <c r="L400" s="392"/>
      <c r="M400" s="392"/>
      <c r="N400" s="392"/>
      <c r="O400" s="750"/>
      <c r="P400" s="392"/>
      <c r="Q400" s="392"/>
      <c r="R400" s="392"/>
      <c r="S400" s="750"/>
      <c r="T400" s="392"/>
      <c r="U400" s="750"/>
      <c r="V400" s="392"/>
      <c r="W400" s="750"/>
      <c r="X400" s="378"/>
      <c r="Y400" s="180"/>
      <c r="Z400" s="180"/>
      <c r="AA400" s="180"/>
      <c r="AB400" s="180"/>
    </row>
    <row r="401" spans="1:28" s="202" customFormat="1">
      <c r="A401" s="631"/>
      <c r="B401" s="634"/>
      <c r="C401" s="466"/>
      <c r="D401" s="466"/>
      <c r="E401" s="466"/>
      <c r="F401" s="466"/>
      <c r="G401" s="466"/>
      <c r="H401" s="466"/>
      <c r="I401" s="751"/>
      <c r="J401" s="466"/>
      <c r="K401" s="466"/>
      <c r="L401" s="466"/>
      <c r="M401" s="466"/>
      <c r="N401" s="466"/>
      <c r="O401" s="751"/>
      <c r="P401" s="466"/>
      <c r="Q401" s="466"/>
      <c r="R401" s="466"/>
      <c r="S401" s="751"/>
      <c r="T401" s="466"/>
      <c r="U401" s="751"/>
      <c r="V401" s="466"/>
      <c r="W401" s="751"/>
      <c r="X401" s="378"/>
      <c r="Y401" s="180"/>
      <c r="Z401" s="180"/>
      <c r="AA401" s="180"/>
      <c r="AB401" s="180"/>
    </row>
    <row r="402" spans="1:28">
      <c r="A402" s="631"/>
      <c r="B402" s="388"/>
      <c r="C402" s="391"/>
      <c r="D402" s="391"/>
      <c r="E402" s="391"/>
      <c r="F402" s="391"/>
      <c r="G402" s="391"/>
      <c r="H402" s="391"/>
      <c r="I402" s="749"/>
      <c r="J402" s="391"/>
      <c r="K402" s="391"/>
      <c r="L402" s="391"/>
      <c r="M402" s="391"/>
      <c r="N402" s="391"/>
      <c r="O402" s="749"/>
      <c r="P402" s="391"/>
      <c r="Q402" s="391"/>
      <c r="R402" s="391"/>
      <c r="S402" s="749"/>
      <c r="T402" s="391"/>
      <c r="U402" s="749"/>
      <c r="V402" s="391"/>
      <c r="W402" s="749"/>
      <c r="X402" s="378"/>
      <c r="Y402" s="180"/>
      <c r="Z402" s="180"/>
      <c r="AA402" s="180"/>
      <c r="AB402" s="180"/>
    </row>
    <row r="403" spans="1:28" s="203" customFormat="1">
      <c r="A403" s="631"/>
      <c r="B403" s="389"/>
      <c r="C403" s="392"/>
      <c r="D403" s="392"/>
      <c r="E403" s="392"/>
      <c r="F403" s="392"/>
      <c r="G403" s="392"/>
      <c r="H403" s="392"/>
      <c r="I403" s="750"/>
      <c r="J403" s="392"/>
      <c r="K403" s="392"/>
      <c r="L403" s="392"/>
      <c r="M403" s="392"/>
      <c r="N403" s="392"/>
      <c r="O403" s="750"/>
      <c r="P403" s="392"/>
      <c r="Q403" s="392"/>
      <c r="R403" s="392"/>
      <c r="S403" s="750"/>
      <c r="T403" s="392"/>
      <c r="U403" s="750"/>
      <c r="V403" s="392"/>
      <c r="W403" s="750"/>
      <c r="X403" s="378"/>
      <c r="Y403" s="180"/>
      <c r="Z403" s="180"/>
      <c r="AA403" s="180"/>
      <c r="AB403" s="180"/>
    </row>
    <row r="404" spans="1:28" s="202" customFormat="1">
      <c r="A404" s="631"/>
      <c r="B404" s="634"/>
      <c r="C404" s="466"/>
      <c r="D404" s="466"/>
      <c r="E404" s="466"/>
      <c r="F404" s="466"/>
      <c r="G404" s="466"/>
      <c r="H404" s="466"/>
      <c r="I404" s="751"/>
      <c r="J404" s="466"/>
      <c r="K404" s="466"/>
      <c r="L404" s="466"/>
      <c r="M404" s="466"/>
      <c r="N404" s="466"/>
      <c r="O404" s="751"/>
      <c r="P404" s="466"/>
      <c r="Q404" s="466"/>
      <c r="R404" s="466"/>
      <c r="S404" s="751"/>
      <c r="T404" s="466"/>
      <c r="U404" s="751"/>
      <c r="V404" s="466"/>
      <c r="W404" s="751"/>
      <c r="X404" s="378"/>
      <c r="Y404" s="180"/>
      <c r="Z404" s="180"/>
      <c r="AA404" s="180"/>
      <c r="AB404" s="180"/>
    </row>
    <row r="405" spans="1:28">
      <c r="A405" s="631"/>
      <c r="B405" s="388"/>
      <c r="C405" s="391"/>
      <c r="D405" s="391"/>
      <c r="E405" s="391"/>
      <c r="F405" s="391"/>
      <c r="G405" s="391"/>
      <c r="H405" s="391"/>
      <c r="I405" s="749"/>
      <c r="J405" s="391"/>
      <c r="K405" s="391"/>
      <c r="L405" s="391"/>
      <c r="M405" s="391"/>
      <c r="N405" s="391"/>
      <c r="O405" s="749"/>
      <c r="P405" s="391"/>
      <c r="Q405" s="391"/>
      <c r="R405" s="391"/>
      <c r="S405" s="749"/>
      <c r="T405" s="391"/>
      <c r="U405" s="749"/>
      <c r="V405" s="391"/>
      <c r="W405" s="749"/>
      <c r="X405" s="378"/>
      <c r="Y405" s="180"/>
      <c r="Z405" s="180"/>
      <c r="AA405" s="180"/>
      <c r="AB405" s="180"/>
    </row>
    <row r="406" spans="1:28" s="203" customFormat="1">
      <c r="A406" s="631"/>
      <c r="B406" s="389"/>
      <c r="C406" s="392"/>
      <c r="D406" s="392"/>
      <c r="E406" s="392"/>
      <c r="F406" s="392"/>
      <c r="G406" s="392"/>
      <c r="H406" s="392"/>
      <c r="I406" s="750"/>
      <c r="J406" s="392"/>
      <c r="K406" s="392"/>
      <c r="L406" s="392"/>
      <c r="M406" s="392"/>
      <c r="N406" s="392"/>
      <c r="O406" s="750"/>
      <c r="P406" s="392"/>
      <c r="Q406" s="392"/>
      <c r="R406" s="392"/>
      <c r="S406" s="750"/>
      <c r="T406" s="392"/>
      <c r="U406" s="750"/>
      <c r="V406" s="392"/>
      <c r="W406" s="750"/>
      <c r="X406" s="378"/>
      <c r="Y406" s="180"/>
      <c r="Z406" s="180"/>
      <c r="AA406" s="180"/>
      <c r="AB406" s="180"/>
    </row>
    <row r="407" spans="1:28" s="202" customFormat="1">
      <c r="A407" s="631"/>
      <c r="B407" s="634"/>
      <c r="C407" s="466"/>
      <c r="D407" s="466"/>
      <c r="E407" s="466"/>
      <c r="F407" s="466"/>
      <c r="G407" s="466"/>
      <c r="H407" s="466"/>
      <c r="I407" s="751"/>
      <c r="J407" s="466"/>
      <c r="K407" s="466"/>
      <c r="L407" s="466"/>
      <c r="M407" s="466"/>
      <c r="N407" s="466"/>
      <c r="O407" s="751"/>
      <c r="P407" s="1461"/>
      <c r="Q407" s="466"/>
      <c r="R407" s="466"/>
      <c r="S407" s="751"/>
      <c r="T407" s="466"/>
      <c r="U407" s="751"/>
      <c r="V407" s="466"/>
      <c r="W407" s="751"/>
      <c r="X407" s="378"/>
      <c r="Y407" s="180"/>
      <c r="Z407" s="180"/>
      <c r="AA407" s="180"/>
      <c r="AB407" s="180"/>
    </row>
    <row r="408" spans="1:28">
      <c r="A408" s="631"/>
      <c r="B408" s="388"/>
      <c r="C408" s="391"/>
      <c r="D408" s="391"/>
      <c r="E408" s="391"/>
      <c r="F408" s="391"/>
      <c r="G408" s="391"/>
      <c r="H408" s="391"/>
      <c r="I408" s="749"/>
      <c r="J408" s="391"/>
      <c r="K408" s="391"/>
      <c r="L408" s="391"/>
      <c r="M408" s="391"/>
      <c r="N408" s="391"/>
      <c r="O408" s="749"/>
      <c r="P408" s="391"/>
      <c r="Q408" s="391"/>
      <c r="R408" s="391"/>
      <c r="S408" s="749"/>
      <c r="T408" s="391"/>
      <c r="U408" s="749"/>
      <c r="V408" s="391"/>
      <c r="W408" s="749"/>
      <c r="X408" s="378"/>
      <c r="Y408" s="180"/>
      <c r="Z408" s="180"/>
      <c r="AA408" s="180"/>
      <c r="AB408" s="180"/>
    </row>
    <row r="409" spans="1:28" s="203" customFormat="1">
      <c r="A409" s="631"/>
      <c r="B409" s="389"/>
      <c r="C409" s="392"/>
      <c r="D409" s="392"/>
      <c r="E409" s="392"/>
      <c r="F409" s="392"/>
      <c r="G409" s="392"/>
      <c r="H409" s="392"/>
      <c r="I409" s="750"/>
      <c r="J409" s="392"/>
      <c r="K409" s="392"/>
      <c r="L409" s="392"/>
      <c r="M409" s="392"/>
      <c r="N409" s="392"/>
      <c r="O409" s="750"/>
      <c r="P409" s="392"/>
      <c r="Q409" s="392"/>
      <c r="R409" s="392"/>
      <c r="S409" s="750"/>
      <c r="T409" s="392"/>
      <c r="U409" s="750"/>
      <c r="V409" s="392"/>
      <c r="W409" s="750"/>
      <c r="X409" s="378"/>
      <c r="Y409" s="180"/>
      <c r="Z409" s="180"/>
      <c r="AA409" s="180"/>
      <c r="AB409" s="180"/>
    </row>
    <row r="410" spans="1:28" s="202" customFormat="1">
      <c r="A410" s="631"/>
      <c r="B410" s="634"/>
      <c r="C410" s="466"/>
      <c r="D410" s="466"/>
      <c r="E410" s="466"/>
      <c r="F410" s="466"/>
      <c r="G410" s="466"/>
      <c r="H410" s="466"/>
      <c r="I410" s="751"/>
      <c r="J410" s="466"/>
      <c r="K410" s="466"/>
      <c r="L410" s="466"/>
      <c r="M410" s="466"/>
      <c r="N410" s="466"/>
      <c r="O410" s="751"/>
      <c r="P410" s="466"/>
      <c r="Q410" s="466"/>
      <c r="R410" s="466"/>
      <c r="S410" s="751"/>
      <c r="T410" s="466"/>
      <c r="U410" s="751"/>
      <c r="V410" s="466"/>
      <c r="W410" s="751"/>
      <c r="X410" s="378"/>
      <c r="Y410" s="180"/>
      <c r="Z410" s="180"/>
      <c r="AA410" s="180"/>
      <c r="AB410" s="180"/>
    </row>
    <row r="411" spans="1:28">
      <c r="A411" s="631"/>
      <c r="B411" s="752"/>
      <c r="C411" s="749"/>
      <c r="D411" s="749"/>
      <c r="E411" s="749"/>
      <c r="F411" s="749"/>
      <c r="G411" s="749"/>
      <c r="H411" s="749"/>
      <c r="I411" s="749"/>
      <c r="J411" s="749"/>
      <c r="K411" s="749"/>
      <c r="L411" s="749"/>
      <c r="M411" s="749"/>
      <c r="N411" s="749"/>
      <c r="O411" s="749"/>
      <c r="P411" s="749"/>
      <c r="Q411" s="749"/>
      <c r="R411" s="749"/>
      <c r="S411" s="749"/>
      <c r="T411" s="749"/>
      <c r="U411" s="749"/>
      <c r="V411" s="749"/>
      <c r="W411" s="749"/>
      <c r="X411" s="378"/>
      <c r="Y411" s="180"/>
      <c r="Z411" s="180"/>
      <c r="AA411" s="180"/>
      <c r="AB411" s="180"/>
    </row>
    <row r="412" spans="1:28" s="203" customFormat="1">
      <c r="A412" s="631"/>
      <c r="B412" s="753"/>
      <c r="C412" s="750"/>
      <c r="D412" s="750"/>
      <c r="E412" s="750"/>
      <c r="F412" s="750"/>
      <c r="G412" s="750"/>
      <c r="H412" s="750"/>
      <c r="I412" s="750"/>
      <c r="J412" s="750"/>
      <c r="K412" s="750"/>
      <c r="L412" s="750"/>
      <c r="M412" s="750"/>
      <c r="N412" s="750"/>
      <c r="O412" s="750"/>
      <c r="P412" s="750"/>
      <c r="Q412" s="750"/>
      <c r="R412" s="750"/>
      <c r="S412" s="750"/>
      <c r="T412" s="750"/>
      <c r="U412" s="750"/>
      <c r="V412" s="750"/>
      <c r="W412" s="750"/>
      <c r="X412" s="378"/>
      <c r="Y412" s="180"/>
      <c r="Z412" s="180"/>
      <c r="AA412" s="180"/>
      <c r="AB412" s="180"/>
    </row>
    <row r="413" spans="1:28" s="202" customFormat="1">
      <c r="A413" s="631"/>
      <c r="B413" s="754"/>
      <c r="C413" s="751"/>
      <c r="D413" s="751"/>
      <c r="E413" s="751"/>
      <c r="F413" s="751"/>
      <c r="G413" s="751"/>
      <c r="H413" s="751"/>
      <c r="I413" s="751"/>
      <c r="J413" s="751"/>
      <c r="K413" s="751"/>
      <c r="L413" s="751"/>
      <c r="M413" s="751"/>
      <c r="N413" s="751"/>
      <c r="O413" s="751"/>
      <c r="P413" s="751"/>
      <c r="Q413" s="751"/>
      <c r="R413" s="751"/>
      <c r="S413" s="751"/>
      <c r="T413" s="751"/>
      <c r="U413" s="751"/>
      <c r="V413" s="751"/>
      <c r="W413" s="751"/>
      <c r="X413" s="378"/>
      <c r="Y413" s="180"/>
      <c r="Z413" s="180"/>
      <c r="AA413" s="180"/>
      <c r="AB413" s="180"/>
    </row>
    <row r="414" spans="1:28">
      <c r="A414" s="631"/>
      <c r="B414" s="388"/>
      <c r="C414" s="391"/>
      <c r="D414" s="391"/>
      <c r="E414" s="391"/>
      <c r="F414" s="391"/>
      <c r="G414" s="391"/>
      <c r="H414" s="391"/>
      <c r="I414" s="749"/>
      <c r="J414" s="391"/>
      <c r="K414" s="391"/>
      <c r="L414" s="391"/>
      <c r="M414" s="391"/>
      <c r="N414" s="391"/>
      <c r="O414" s="749"/>
      <c r="P414" s="391"/>
      <c r="Q414" s="391"/>
      <c r="R414" s="391"/>
      <c r="S414" s="749"/>
      <c r="T414" s="391"/>
      <c r="U414" s="749"/>
      <c r="V414" s="391"/>
      <c r="W414" s="749"/>
      <c r="X414" s="378"/>
      <c r="Y414" s="180"/>
      <c r="Z414" s="180"/>
      <c r="AA414" s="180"/>
      <c r="AB414" s="180"/>
    </row>
    <row r="415" spans="1:28" s="203" customFormat="1">
      <c r="A415" s="631"/>
      <c r="B415" s="389"/>
      <c r="C415" s="392"/>
      <c r="D415" s="392"/>
      <c r="E415" s="392"/>
      <c r="F415" s="392"/>
      <c r="G415" s="392"/>
      <c r="H415" s="392"/>
      <c r="I415" s="750"/>
      <c r="J415" s="392"/>
      <c r="K415" s="392"/>
      <c r="L415" s="392"/>
      <c r="M415" s="392"/>
      <c r="N415" s="392"/>
      <c r="O415" s="750"/>
      <c r="P415" s="392"/>
      <c r="Q415" s="392"/>
      <c r="R415" s="392"/>
      <c r="S415" s="750"/>
      <c r="T415" s="392"/>
      <c r="U415" s="750"/>
      <c r="V415" s="392"/>
      <c r="W415" s="750"/>
      <c r="X415" s="378"/>
      <c r="Y415" s="180"/>
      <c r="Z415" s="180"/>
      <c r="AA415" s="180"/>
      <c r="AB415" s="180"/>
    </row>
    <row r="416" spans="1:28" s="202" customFormat="1">
      <c r="A416" s="631"/>
      <c r="B416" s="634"/>
      <c r="C416" s="466"/>
      <c r="D416" s="466"/>
      <c r="E416" s="466"/>
      <c r="F416" s="466"/>
      <c r="G416" s="466"/>
      <c r="H416" s="466"/>
      <c r="I416" s="751"/>
      <c r="J416" s="466"/>
      <c r="K416" s="466"/>
      <c r="L416" s="466"/>
      <c r="M416" s="466"/>
      <c r="N416" s="466"/>
      <c r="O416" s="751"/>
      <c r="P416" s="466"/>
      <c r="Q416" s="466"/>
      <c r="R416" s="466"/>
      <c r="S416" s="751"/>
      <c r="T416" s="466"/>
      <c r="U416" s="751"/>
      <c r="V416" s="466"/>
      <c r="W416" s="751"/>
      <c r="X416" s="378"/>
      <c r="Y416" s="180"/>
      <c r="Z416" s="180"/>
      <c r="AA416" s="180"/>
      <c r="AB416" s="180"/>
    </row>
    <row r="417" spans="1:28">
      <c r="A417" s="631"/>
      <c r="B417" s="388"/>
      <c r="C417" s="391"/>
      <c r="D417" s="391"/>
      <c r="E417" s="391"/>
      <c r="F417" s="391"/>
      <c r="G417" s="391"/>
      <c r="H417" s="391"/>
      <c r="I417" s="749"/>
      <c r="J417" s="391"/>
      <c r="K417" s="391"/>
      <c r="L417" s="391"/>
      <c r="M417" s="391"/>
      <c r="N417" s="391"/>
      <c r="O417" s="749"/>
      <c r="P417" s="391"/>
      <c r="Q417" s="391"/>
      <c r="R417" s="391"/>
      <c r="S417" s="749"/>
      <c r="T417" s="391"/>
      <c r="U417" s="749"/>
      <c r="V417" s="391"/>
      <c r="W417" s="749"/>
      <c r="X417" s="378"/>
      <c r="Y417" s="180"/>
      <c r="Z417" s="180"/>
      <c r="AA417" s="180"/>
      <c r="AB417" s="180"/>
    </row>
    <row r="418" spans="1:28" s="203" customFormat="1">
      <c r="A418" s="631"/>
      <c r="B418" s="389"/>
      <c r="C418" s="392"/>
      <c r="D418" s="392"/>
      <c r="E418" s="392"/>
      <c r="F418" s="392"/>
      <c r="G418" s="392"/>
      <c r="H418" s="392"/>
      <c r="I418" s="750"/>
      <c r="J418" s="392"/>
      <c r="K418" s="392"/>
      <c r="L418" s="392"/>
      <c r="M418" s="392"/>
      <c r="N418" s="392"/>
      <c r="O418" s="750"/>
      <c r="P418" s="392"/>
      <c r="Q418" s="392"/>
      <c r="R418" s="392"/>
      <c r="S418" s="750"/>
      <c r="T418" s="392"/>
      <c r="U418" s="750"/>
      <c r="V418" s="392"/>
      <c r="W418" s="750"/>
      <c r="X418" s="378"/>
      <c r="Y418" s="180"/>
      <c r="Z418" s="180"/>
      <c r="AA418" s="180"/>
      <c r="AB418" s="180"/>
    </row>
    <row r="419" spans="1:28" s="202" customFormat="1">
      <c r="A419" s="631"/>
      <c r="B419" s="634"/>
      <c r="C419" s="466"/>
      <c r="D419" s="466"/>
      <c r="E419" s="466"/>
      <c r="F419" s="466"/>
      <c r="G419" s="466"/>
      <c r="H419" s="466"/>
      <c r="I419" s="751"/>
      <c r="J419" s="466"/>
      <c r="K419" s="466"/>
      <c r="L419" s="466"/>
      <c r="M419" s="466"/>
      <c r="N419" s="466"/>
      <c r="O419" s="751"/>
      <c r="P419" s="466"/>
      <c r="Q419" s="466"/>
      <c r="R419" s="466"/>
      <c r="S419" s="751"/>
      <c r="T419" s="466"/>
      <c r="U419" s="751"/>
      <c r="V419" s="466"/>
      <c r="W419" s="751"/>
      <c r="X419" s="378"/>
      <c r="Y419" s="180"/>
      <c r="Z419" s="180"/>
      <c r="AA419" s="180"/>
      <c r="AB419" s="180"/>
    </row>
    <row r="420" spans="1:28">
      <c r="A420" s="631"/>
      <c r="B420" s="388"/>
      <c r="C420" s="391"/>
      <c r="D420" s="391"/>
      <c r="E420" s="391"/>
      <c r="F420" s="391"/>
      <c r="G420" s="391"/>
      <c r="H420" s="391"/>
      <c r="I420" s="749"/>
      <c r="J420" s="391"/>
      <c r="K420" s="391"/>
      <c r="L420" s="391"/>
      <c r="M420" s="391"/>
      <c r="N420" s="391"/>
      <c r="O420" s="749"/>
      <c r="P420" s="391"/>
      <c r="Q420" s="391"/>
      <c r="R420" s="391"/>
      <c r="S420" s="749"/>
      <c r="T420" s="391"/>
      <c r="U420" s="749"/>
      <c r="V420" s="391"/>
      <c r="W420" s="749"/>
      <c r="X420" s="378"/>
      <c r="Y420" s="180"/>
      <c r="Z420" s="180"/>
      <c r="AA420" s="180"/>
      <c r="AB420" s="180"/>
    </row>
    <row r="421" spans="1:28" s="203" customFormat="1">
      <c r="A421" s="631"/>
      <c r="B421" s="389"/>
      <c r="C421" s="392"/>
      <c r="D421" s="392"/>
      <c r="E421" s="392"/>
      <c r="F421" s="392"/>
      <c r="G421" s="392"/>
      <c r="H421" s="392"/>
      <c r="I421" s="750"/>
      <c r="J421" s="392"/>
      <c r="K421" s="392"/>
      <c r="L421" s="392"/>
      <c r="M421" s="392"/>
      <c r="N421" s="392"/>
      <c r="O421" s="750"/>
      <c r="P421" s="392"/>
      <c r="Q421" s="392"/>
      <c r="R421" s="392"/>
      <c r="S421" s="750"/>
      <c r="T421" s="392"/>
      <c r="U421" s="750"/>
      <c r="V421" s="392"/>
      <c r="W421" s="750"/>
      <c r="X421" s="378"/>
      <c r="Y421" s="180"/>
      <c r="Z421" s="180"/>
      <c r="AA421" s="180"/>
      <c r="AB421" s="180"/>
    </row>
    <row r="422" spans="1:28" s="202" customFormat="1">
      <c r="A422" s="631"/>
      <c r="B422" s="634"/>
      <c r="C422" s="466"/>
      <c r="D422" s="466"/>
      <c r="E422" s="466"/>
      <c r="F422" s="466"/>
      <c r="G422" s="466"/>
      <c r="H422" s="466"/>
      <c r="I422" s="751"/>
      <c r="J422" s="466"/>
      <c r="K422" s="466"/>
      <c r="L422" s="466"/>
      <c r="M422" s="466"/>
      <c r="N422" s="466"/>
      <c r="O422" s="751"/>
      <c r="P422" s="466"/>
      <c r="Q422" s="466"/>
      <c r="R422" s="466"/>
      <c r="S422" s="751"/>
      <c r="T422" s="466"/>
      <c r="U422" s="751"/>
      <c r="V422" s="466"/>
      <c r="W422" s="751"/>
      <c r="X422" s="378"/>
      <c r="Y422" s="180"/>
      <c r="Z422" s="180"/>
      <c r="AA422" s="180"/>
      <c r="AB422" s="180"/>
    </row>
    <row r="423" spans="1:28">
      <c r="A423" s="631"/>
      <c r="B423" s="388"/>
      <c r="C423" s="391"/>
      <c r="D423" s="391"/>
      <c r="E423" s="391"/>
      <c r="F423" s="391"/>
      <c r="G423" s="391"/>
      <c r="H423" s="391"/>
      <c r="I423" s="749"/>
      <c r="J423" s="391"/>
      <c r="K423" s="391"/>
      <c r="L423" s="391"/>
      <c r="M423" s="391"/>
      <c r="N423" s="391"/>
      <c r="O423" s="749"/>
      <c r="P423" s="391"/>
      <c r="Q423" s="391"/>
      <c r="R423" s="391"/>
      <c r="S423" s="749"/>
      <c r="T423" s="391"/>
      <c r="U423" s="749"/>
      <c r="V423" s="391"/>
      <c r="W423" s="749"/>
      <c r="X423" s="378"/>
      <c r="Y423" s="180"/>
      <c r="Z423" s="180"/>
      <c r="AA423" s="180"/>
      <c r="AB423" s="180"/>
    </row>
    <row r="424" spans="1:28" s="203" customFormat="1">
      <c r="A424" s="631"/>
      <c r="B424" s="389"/>
      <c r="C424" s="392"/>
      <c r="D424" s="392"/>
      <c r="E424" s="392"/>
      <c r="F424" s="392"/>
      <c r="G424" s="392"/>
      <c r="H424" s="392"/>
      <c r="I424" s="750"/>
      <c r="J424" s="392"/>
      <c r="K424" s="392"/>
      <c r="L424" s="392"/>
      <c r="M424" s="392"/>
      <c r="N424" s="392"/>
      <c r="O424" s="750"/>
      <c r="P424" s="392"/>
      <c r="Q424" s="392"/>
      <c r="R424" s="392"/>
      <c r="S424" s="750"/>
      <c r="T424" s="392"/>
      <c r="U424" s="750"/>
      <c r="V424" s="392"/>
      <c r="W424" s="750"/>
      <c r="X424" s="378"/>
      <c r="Y424" s="180"/>
      <c r="Z424" s="180"/>
      <c r="AA424" s="180"/>
      <c r="AB424" s="180"/>
    </row>
    <row r="425" spans="1:28" s="202" customFormat="1">
      <c r="A425" s="631"/>
      <c r="B425" s="634"/>
      <c r="C425" s="466"/>
      <c r="D425" s="466"/>
      <c r="E425" s="466"/>
      <c r="F425" s="466"/>
      <c r="G425" s="466"/>
      <c r="H425" s="466"/>
      <c r="I425" s="751"/>
      <c r="J425" s="466"/>
      <c r="K425" s="466"/>
      <c r="L425" s="466"/>
      <c r="M425" s="466"/>
      <c r="N425" s="466"/>
      <c r="O425" s="751"/>
      <c r="P425" s="466"/>
      <c r="Q425" s="466"/>
      <c r="R425" s="466"/>
      <c r="S425" s="751"/>
      <c r="T425" s="466"/>
      <c r="U425" s="751"/>
      <c r="V425" s="466"/>
      <c r="W425" s="751"/>
      <c r="X425" s="378"/>
      <c r="Y425" s="180"/>
      <c r="Z425" s="180"/>
      <c r="AA425" s="180"/>
      <c r="AB425" s="180"/>
    </row>
    <row r="426" spans="1:28">
      <c r="A426" s="631"/>
      <c r="B426" s="388"/>
      <c r="C426" s="391"/>
      <c r="D426" s="391"/>
      <c r="E426" s="391"/>
      <c r="F426" s="391"/>
      <c r="G426" s="391"/>
      <c r="H426" s="391"/>
      <c r="I426" s="749"/>
      <c r="J426" s="391"/>
      <c r="K426" s="391"/>
      <c r="L426" s="391"/>
      <c r="M426" s="391"/>
      <c r="N426" s="391"/>
      <c r="O426" s="749"/>
      <c r="P426" s="391"/>
      <c r="Q426" s="391"/>
      <c r="R426" s="391"/>
      <c r="S426" s="749"/>
      <c r="T426" s="391"/>
      <c r="U426" s="749"/>
      <c r="V426" s="391"/>
      <c r="W426" s="749"/>
      <c r="X426" s="378"/>
      <c r="Y426" s="180"/>
      <c r="Z426" s="180"/>
      <c r="AA426" s="180"/>
      <c r="AB426" s="180"/>
    </row>
    <row r="427" spans="1:28" s="203" customFormat="1">
      <c r="A427" s="631"/>
      <c r="B427" s="389"/>
      <c r="C427" s="392"/>
      <c r="D427" s="392"/>
      <c r="E427" s="392"/>
      <c r="F427" s="392"/>
      <c r="G427" s="392"/>
      <c r="H427" s="392"/>
      <c r="I427" s="750"/>
      <c r="J427" s="392"/>
      <c r="K427" s="392"/>
      <c r="L427" s="392"/>
      <c r="M427" s="392"/>
      <c r="N427" s="392"/>
      <c r="O427" s="750"/>
      <c r="P427" s="392"/>
      <c r="Q427" s="392"/>
      <c r="R427" s="392"/>
      <c r="S427" s="750"/>
      <c r="T427" s="392"/>
      <c r="U427" s="750"/>
      <c r="V427" s="392"/>
      <c r="W427" s="750"/>
      <c r="X427" s="378"/>
      <c r="Y427" s="180"/>
      <c r="Z427" s="180"/>
      <c r="AA427" s="180"/>
      <c r="AB427" s="180"/>
    </row>
    <row r="428" spans="1:28" s="202" customFormat="1">
      <c r="A428" s="631"/>
      <c r="B428" s="634"/>
      <c r="C428" s="466"/>
      <c r="D428" s="466"/>
      <c r="E428" s="466"/>
      <c r="F428" s="466"/>
      <c r="G428" s="466"/>
      <c r="H428" s="466"/>
      <c r="I428" s="751"/>
      <c r="J428" s="466"/>
      <c r="K428" s="466"/>
      <c r="L428" s="466"/>
      <c r="M428" s="466"/>
      <c r="N428" s="466"/>
      <c r="O428" s="751"/>
      <c r="P428" s="466"/>
      <c r="Q428" s="466"/>
      <c r="R428" s="466"/>
      <c r="S428" s="751"/>
      <c r="T428" s="466"/>
      <c r="U428" s="751"/>
      <c r="V428" s="466"/>
      <c r="W428" s="751"/>
      <c r="X428" s="378"/>
      <c r="Y428" s="180"/>
      <c r="Z428" s="180"/>
      <c r="AA428" s="180"/>
      <c r="AB428" s="180"/>
    </row>
    <row r="429" spans="1:28">
      <c r="A429" s="631"/>
      <c r="B429" s="388"/>
      <c r="C429" s="391"/>
      <c r="D429" s="391"/>
      <c r="E429" s="391"/>
      <c r="F429" s="391"/>
      <c r="G429" s="391"/>
      <c r="H429" s="391"/>
      <c r="I429" s="749"/>
      <c r="J429" s="391"/>
      <c r="K429" s="391"/>
      <c r="L429" s="391"/>
      <c r="M429" s="391"/>
      <c r="N429" s="391"/>
      <c r="O429" s="749"/>
      <c r="P429" s="391"/>
      <c r="Q429" s="391"/>
      <c r="R429" s="391"/>
      <c r="S429" s="749"/>
      <c r="T429" s="391"/>
      <c r="U429" s="749"/>
      <c r="V429" s="391"/>
      <c r="W429" s="749"/>
      <c r="X429" s="378"/>
      <c r="Y429" s="180"/>
      <c r="Z429" s="180"/>
      <c r="AA429" s="180"/>
      <c r="AB429" s="180"/>
    </row>
    <row r="430" spans="1:28" s="203" customFormat="1">
      <c r="A430" s="631"/>
      <c r="B430" s="389"/>
      <c r="C430" s="392"/>
      <c r="D430" s="392"/>
      <c r="E430" s="392"/>
      <c r="F430" s="392"/>
      <c r="G430" s="392"/>
      <c r="H430" s="392"/>
      <c r="I430" s="750"/>
      <c r="J430" s="392"/>
      <c r="K430" s="392"/>
      <c r="L430" s="392"/>
      <c r="M430" s="392"/>
      <c r="N430" s="392"/>
      <c r="O430" s="750"/>
      <c r="P430" s="392"/>
      <c r="Q430" s="392"/>
      <c r="R430" s="392"/>
      <c r="S430" s="750"/>
      <c r="T430" s="392"/>
      <c r="U430" s="750"/>
      <c r="V430" s="392"/>
      <c r="W430" s="750"/>
      <c r="X430" s="378"/>
      <c r="Y430" s="180"/>
      <c r="Z430" s="180"/>
      <c r="AA430" s="180"/>
      <c r="AB430" s="180"/>
    </row>
    <row r="431" spans="1:28" s="202" customFormat="1">
      <c r="A431" s="631"/>
      <c r="B431" s="634"/>
      <c r="C431" s="466"/>
      <c r="D431" s="466"/>
      <c r="E431" s="466"/>
      <c r="F431" s="466"/>
      <c r="G431" s="466"/>
      <c r="H431" s="466"/>
      <c r="I431" s="751"/>
      <c r="J431" s="466"/>
      <c r="K431" s="466"/>
      <c r="L431" s="466"/>
      <c r="M431" s="466"/>
      <c r="N431" s="466"/>
      <c r="O431" s="751"/>
      <c r="P431" s="466"/>
      <c r="Q431" s="466"/>
      <c r="R431" s="466"/>
      <c r="S431" s="751"/>
      <c r="T431" s="466"/>
      <c r="U431" s="751"/>
      <c r="V431" s="466"/>
      <c r="W431" s="751"/>
      <c r="X431" s="378"/>
      <c r="Y431" s="180"/>
      <c r="Z431" s="180"/>
      <c r="AA431" s="180"/>
      <c r="AB431" s="180"/>
    </row>
    <row r="432" spans="1:28">
      <c r="A432" s="631"/>
      <c r="B432" s="388"/>
      <c r="C432" s="391"/>
      <c r="D432" s="391"/>
      <c r="E432" s="391"/>
      <c r="F432" s="391"/>
      <c r="G432" s="391"/>
      <c r="H432" s="391"/>
      <c r="I432" s="749"/>
      <c r="J432" s="391"/>
      <c r="K432" s="391"/>
      <c r="L432" s="391"/>
      <c r="M432" s="391"/>
      <c r="N432" s="391"/>
      <c r="O432" s="749"/>
      <c r="P432" s="391"/>
      <c r="Q432" s="391"/>
      <c r="R432" s="391"/>
      <c r="S432" s="749"/>
      <c r="T432" s="391"/>
      <c r="U432" s="749"/>
      <c r="V432" s="391"/>
      <c r="W432" s="749"/>
      <c r="X432" s="378"/>
      <c r="Y432" s="180"/>
      <c r="Z432" s="180"/>
      <c r="AA432" s="180"/>
      <c r="AB432" s="180"/>
    </row>
    <row r="433" spans="1:28" s="203" customFormat="1">
      <c r="A433" s="631"/>
      <c r="B433" s="389"/>
      <c r="C433" s="392"/>
      <c r="D433" s="392"/>
      <c r="E433" s="392"/>
      <c r="F433" s="392"/>
      <c r="G433" s="392"/>
      <c r="H433" s="392"/>
      <c r="I433" s="750"/>
      <c r="J433" s="392"/>
      <c r="K433" s="392"/>
      <c r="L433" s="392"/>
      <c r="M433" s="392"/>
      <c r="N433" s="392"/>
      <c r="O433" s="750"/>
      <c r="P433" s="392"/>
      <c r="Q433" s="392"/>
      <c r="R433" s="392"/>
      <c r="S433" s="750"/>
      <c r="T433" s="392"/>
      <c r="U433" s="750"/>
      <c r="V433" s="392"/>
      <c r="W433" s="750"/>
      <c r="X433" s="378"/>
      <c r="Y433" s="180"/>
      <c r="Z433" s="180"/>
      <c r="AA433" s="180"/>
      <c r="AB433" s="180"/>
    </row>
    <row r="434" spans="1:28" s="212" customFormat="1" ht="13.5" thickBot="1">
      <c r="A434" s="635"/>
      <c r="B434" s="761"/>
      <c r="C434" s="762"/>
      <c r="D434" s="762"/>
      <c r="E434" s="762"/>
      <c r="F434" s="762"/>
      <c r="G434" s="762"/>
      <c r="H434" s="762"/>
      <c r="I434" s="763"/>
      <c r="J434" s="762"/>
      <c r="K434" s="762"/>
      <c r="L434" s="762"/>
      <c r="M434" s="762"/>
      <c r="N434" s="762"/>
      <c r="O434" s="763"/>
      <c r="P434" s="762"/>
      <c r="Q434" s="762"/>
      <c r="R434" s="762"/>
      <c r="S434" s="763"/>
      <c r="T434" s="762"/>
      <c r="U434" s="763"/>
      <c r="V434" s="762"/>
      <c r="W434" s="763"/>
      <c r="X434" s="378"/>
      <c r="Y434" s="180"/>
      <c r="Z434" s="180"/>
      <c r="AA434" s="180"/>
      <c r="AB434" s="180"/>
    </row>
    <row r="435" spans="1:28" ht="13.5" thickTop="1">
      <c r="A435" s="230"/>
      <c r="B435" s="764"/>
      <c r="C435" s="765"/>
      <c r="D435" s="765"/>
      <c r="E435" s="765"/>
      <c r="F435" s="765"/>
      <c r="G435" s="765"/>
      <c r="H435" s="765"/>
      <c r="I435" s="766"/>
      <c r="J435" s="765"/>
      <c r="K435" s="765"/>
      <c r="L435" s="765"/>
      <c r="M435" s="765"/>
      <c r="N435" s="765"/>
      <c r="O435" s="766"/>
      <c r="P435" s="765"/>
      <c r="Q435" s="765"/>
      <c r="R435" s="765"/>
      <c r="S435" s="766"/>
      <c r="T435" s="765"/>
      <c r="U435" s="766"/>
      <c r="V435" s="765"/>
      <c r="W435" s="766"/>
      <c r="X435" s="378"/>
      <c r="Y435" s="180"/>
      <c r="Z435" s="180"/>
      <c r="AA435" s="180"/>
      <c r="AB435" s="180"/>
    </row>
    <row r="436" spans="1:28" s="203" customFormat="1">
      <c r="A436" s="631"/>
      <c r="B436" s="389"/>
      <c r="C436" s="392"/>
      <c r="D436" s="392"/>
      <c r="E436" s="392"/>
      <c r="F436" s="392"/>
      <c r="G436" s="392"/>
      <c r="H436" s="392"/>
      <c r="I436" s="750"/>
      <c r="J436" s="392"/>
      <c r="K436" s="392"/>
      <c r="L436" s="392"/>
      <c r="M436" s="392"/>
      <c r="N436" s="392"/>
      <c r="O436" s="750"/>
      <c r="P436" s="392"/>
      <c r="Q436" s="392"/>
      <c r="R436" s="392"/>
      <c r="S436" s="750"/>
      <c r="T436" s="392"/>
      <c r="U436" s="750"/>
      <c r="V436" s="392"/>
      <c r="W436" s="750"/>
      <c r="X436" s="378"/>
      <c r="Y436" s="180"/>
      <c r="Z436" s="180"/>
      <c r="AA436" s="180"/>
      <c r="AB436" s="180"/>
    </row>
    <row r="437" spans="1:28" s="202" customFormat="1">
      <c r="A437" s="632"/>
      <c r="B437" s="634"/>
      <c r="C437" s="466"/>
      <c r="D437" s="466"/>
      <c r="E437" s="466"/>
      <c r="F437" s="466"/>
      <c r="G437" s="466"/>
      <c r="H437" s="1461"/>
      <c r="I437" s="751"/>
      <c r="J437" s="466"/>
      <c r="K437" s="466"/>
      <c r="L437" s="466"/>
      <c r="M437" s="466"/>
      <c r="N437" s="466"/>
      <c r="O437" s="751"/>
      <c r="P437" s="466"/>
      <c r="Q437" s="466"/>
      <c r="R437" s="466"/>
      <c r="S437" s="751"/>
      <c r="T437" s="466"/>
      <c r="U437" s="751"/>
      <c r="V437" s="466"/>
      <c r="W437" s="751"/>
      <c r="X437" s="378"/>
      <c r="Y437" s="180"/>
      <c r="Z437" s="180"/>
      <c r="AA437" s="180"/>
      <c r="AB437" s="180"/>
    </row>
    <row r="438" spans="1:28">
      <c r="A438" s="631"/>
      <c r="B438" s="388"/>
      <c r="C438" s="391"/>
      <c r="D438" s="391"/>
      <c r="E438" s="391"/>
      <c r="F438" s="391"/>
      <c r="G438" s="391"/>
      <c r="H438" s="391"/>
      <c r="I438" s="749"/>
      <c r="J438" s="391"/>
      <c r="K438" s="391"/>
      <c r="L438" s="391"/>
      <c r="M438" s="391"/>
      <c r="N438" s="391"/>
      <c r="O438" s="749"/>
      <c r="P438" s="391"/>
      <c r="Q438" s="391"/>
      <c r="R438" s="391"/>
      <c r="S438" s="749"/>
      <c r="T438" s="391"/>
      <c r="U438" s="749"/>
      <c r="V438" s="391"/>
      <c r="W438" s="749"/>
      <c r="X438" s="378"/>
      <c r="Y438" s="180"/>
      <c r="Z438" s="180"/>
      <c r="AA438" s="180"/>
      <c r="AB438" s="180"/>
    </row>
    <row r="439" spans="1:28" s="203" customFormat="1">
      <c r="A439" s="631"/>
      <c r="B439" s="389"/>
      <c r="C439" s="392"/>
      <c r="D439" s="392"/>
      <c r="E439" s="392"/>
      <c r="F439" s="392"/>
      <c r="G439" s="392"/>
      <c r="H439" s="392"/>
      <c r="I439" s="750"/>
      <c r="J439" s="392"/>
      <c r="K439" s="392"/>
      <c r="L439" s="392"/>
      <c r="M439" s="392"/>
      <c r="N439" s="392"/>
      <c r="O439" s="750"/>
      <c r="P439" s="392"/>
      <c r="Q439" s="392"/>
      <c r="R439" s="392"/>
      <c r="S439" s="750"/>
      <c r="T439" s="392"/>
      <c r="U439" s="750"/>
      <c r="V439" s="392"/>
      <c r="W439" s="750"/>
      <c r="X439" s="378"/>
      <c r="Y439" s="180"/>
      <c r="Z439" s="180"/>
      <c r="AA439" s="180"/>
      <c r="AB439" s="180"/>
    </row>
    <row r="440" spans="1:28" s="202" customFormat="1">
      <c r="A440" s="631"/>
      <c r="B440" s="634"/>
      <c r="C440" s="466"/>
      <c r="D440" s="466"/>
      <c r="E440" s="1461"/>
      <c r="F440" s="466"/>
      <c r="G440" s="466"/>
      <c r="H440" s="1461"/>
      <c r="I440" s="751"/>
      <c r="J440" s="466"/>
      <c r="K440" s="1461"/>
      <c r="L440" s="1461"/>
      <c r="M440" s="1461"/>
      <c r="N440" s="466"/>
      <c r="O440" s="751"/>
      <c r="P440" s="466"/>
      <c r="Q440" s="466"/>
      <c r="R440" s="466"/>
      <c r="S440" s="751"/>
      <c r="T440" s="466"/>
      <c r="U440" s="751"/>
      <c r="V440" s="466"/>
      <c r="W440" s="751"/>
      <c r="X440" s="378"/>
      <c r="Y440" s="180"/>
      <c r="Z440" s="180"/>
      <c r="AA440" s="180"/>
      <c r="AB440" s="180"/>
    </row>
    <row r="441" spans="1:28">
      <c r="A441" s="631"/>
      <c r="B441" s="388"/>
      <c r="C441" s="391"/>
      <c r="D441" s="391"/>
      <c r="E441" s="391"/>
      <c r="F441" s="391"/>
      <c r="G441" s="391"/>
      <c r="H441" s="391"/>
      <c r="I441" s="749"/>
      <c r="J441" s="391"/>
      <c r="K441" s="391"/>
      <c r="L441" s="391"/>
      <c r="M441" s="391"/>
      <c r="N441" s="391"/>
      <c r="O441" s="749"/>
      <c r="P441" s="391"/>
      <c r="Q441" s="391"/>
      <c r="R441" s="391"/>
      <c r="S441" s="749"/>
      <c r="T441" s="391"/>
      <c r="U441" s="749"/>
      <c r="V441" s="391"/>
      <c r="W441" s="749"/>
      <c r="X441" s="378"/>
      <c r="Y441" s="180"/>
      <c r="Z441" s="180"/>
      <c r="AA441" s="180"/>
      <c r="AB441" s="180"/>
    </row>
    <row r="442" spans="1:28" s="203" customFormat="1">
      <c r="A442" s="631"/>
      <c r="B442" s="389"/>
      <c r="C442" s="392"/>
      <c r="D442" s="392"/>
      <c r="E442" s="392"/>
      <c r="F442" s="392"/>
      <c r="G442" s="392"/>
      <c r="H442" s="392"/>
      <c r="I442" s="750"/>
      <c r="J442" s="392"/>
      <c r="K442" s="392"/>
      <c r="L442" s="392"/>
      <c r="M442" s="392"/>
      <c r="N442" s="392"/>
      <c r="O442" s="750"/>
      <c r="P442" s="392"/>
      <c r="Q442" s="392"/>
      <c r="R442" s="392"/>
      <c r="S442" s="750"/>
      <c r="T442" s="392"/>
      <c r="U442" s="750"/>
      <c r="V442" s="392"/>
      <c r="W442" s="750"/>
      <c r="X442" s="378"/>
      <c r="Y442" s="180"/>
      <c r="Z442" s="180"/>
      <c r="AA442" s="180"/>
      <c r="AB442" s="180"/>
    </row>
    <row r="443" spans="1:28" s="202" customFormat="1">
      <c r="A443" s="631"/>
      <c r="B443" s="634"/>
      <c r="C443" s="466"/>
      <c r="D443" s="466"/>
      <c r="E443" s="466"/>
      <c r="F443" s="466"/>
      <c r="G443" s="466"/>
      <c r="H443" s="466"/>
      <c r="I443" s="751"/>
      <c r="J443" s="466"/>
      <c r="K443" s="466"/>
      <c r="L443" s="466"/>
      <c r="M443" s="466"/>
      <c r="N443" s="466"/>
      <c r="O443" s="751"/>
      <c r="P443" s="466"/>
      <c r="Q443" s="466"/>
      <c r="R443" s="466"/>
      <c r="S443" s="751"/>
      <c r="T443" s="466"/>
      <c r="U443" s="751"/>
      <c r="V443" s="466"/>
      <c r="W443" s="751"/>
      <c r="X443" s="378"/>
      <c r="Y443" s="180"/>
      <c r="Z443" s="180"/>
      <c r="AA443" s="180"/>
      <c r="AB443" s="180"/>
    </row>
    <row r="444" spans="1:28">
      <c r="A444" s="631"/>
      <c r="B444" s="388"/>
      <c r="C444" s="391"/>
      <c r="D444" s="391"/>
      <c r="E444" s="391"/>
      <c r="F444" s="391"/>
      <c r="G444" s="391"/>
      <c r="H444" s="391"/>
      <c r="I444" s="749"/>
      <c r="J444" s="391"/>
      <c r="K444" s="391"/>
      <c r="L444" s="391"/>
      <c r="M444" s="391"/>
      <c r="N444" s="391"/>
      <c r="O444" s="749"/>
      <c r="P444" s="391"/>
      <c r="Q444" s="391"/>
      <c r="R444" s="391"/>
      <c r="S444" s="749"/>
      <c r="T444" s="391"/>
      <c r="U444" s="749"/>
      <c r="V444" s="391"/>
      <c r="W444" s="749"/>
      <c r="X444" s="378"/>
      <c r="Y444" s="180"/>
      <c r="Z444" s="180"/>
      <c r="AA444" s="180"/>
      <c r="AB444" s="180"/>
    </row>
    <row r="445" spans="1:28" s="203" customFormat="1">
      <c r="A445" s="631"/>
      <c r="B445" s="389"/>
      <c r="C445" s="392"/>
      <c r="D445" s="392"/>
      <c r="E445" s="392"/>
      <c r="F445" s="392"/>
      <c r="G445" s="392"/>
      <c r="H445" s="392"/>
      <c r="I445" s="750"/>
      <c r="J445" s="392"/>
      <c r="K445" s="392"/>
      <c r="L445" s="392"/>
      <c r="M445" s="392"/>
      <c r="N445" s="392"/>
      <c r="O445" s="750"/>
      <c r="P445" s="392"/>
      <c r="Q445" s="392"/>
      <c r="R445" s="392"/>
      <c r="S445" s="750"/>
      <c r="T445" s="392"/>
      <c r="U445" s="750"/>
      <c r="V445" s="392"/>
      <c r="W445" s="750"/>
      <c r="X445" s="378"/>
      <c r="Y445" s="180"/>
      <c r="Z445" s="180"/>
      <c r="AA445" s="180"/>
      <c r="AB445" s="180"/>
    </row>
    <row r="446" spans="1:28" s="202" customFormat="1">
      <c r="A446" s="631"/>
      <c r="B446" s="634"/>
      <c r="C446" s="466"/>
      <c r="D446" s="466"/>
      <c r="E446" s="466"/>
      <c r="F446" s="466"/>
      <c r="G446" s="466"/>
      <c r="H446" s="466"/>
      <c r="I446" s="751"/>
      <c r="J446" s="466"/>
      <c r="K446" s="1461"/>
      <c r="L446" s="466"/>
      <c r="M446" s="466"/>
      <c r="N446" s="466"/>
      <c r="O446" s="751"/>
      <c r="P446" s="466"/>
      <c r="Q446" s="466"/>
      <c r="R446" s="466"/>
      <c r="S446" s="751"/>
      <c r="T446" s="466"/>
      <c r="U446" s="751"/>
      <c r="V446" s="466"/>
      <c r="W446" s="751"/>
      <c r="X446" s="703"/>
      <c r="Y446" s="180"/>
      <c r="Z446" s="180"/>
      <c r="AA446" s="180"/>
      <c r="AB446" s="180"/>
    </row>
    <row r="447" spans="1:28">
      <c r="A447" s="631"/>
      <c r="B447" s="388"/>
      <c r="C447" s="391"/>
      <c r="D447" s="391"/>
      <c r="E447" s="391"/>
      <c r="F447" s="391"/>
      <c r="G447" s="391"/>
      <c r="H447" s="391"/>
      <c r="I447" s="749"/>
      <c r="J447" s="391"/>
      <c r="K447" s="391"/>
      <c r="L447" s="391"/>
      <c r="M447" s="391"/>
      <c r="N447" s="391"/>
      <c r="O447" s="749"/>
      <c r="P447" s="391"/>
      <c r="Q447" s="391"/>
      <c r="R447" s="391"/>
      <c r="S447" s="749"/>
      <c r="T447" s="391"/>
      <c r="U447" s="749"/>
      <c r="V447" s="391"/>
      <c r="W447" s="749"/>
      <c r="X447" s="378"/>
      <c r="Y447" s="180"/>
      <c r="Z447" s="180"/>
      <c r="AA447" s="180"/>
      <c r="AB447" s="180"/>
    </row>
    <row r="448" spans="1:28" s="203" customFormat="1">
      <c r="A448" s="631"/>
      <c r="B448" s="389"/>
      <c r="C448" s="392"/>
      <c r="D448" s="392"/>
      <c r="E448" s="392"/>
      <c r="F448" s="392"/>
      <c r="G448" s="392"/>
      <c r="H448" s="392"/>
      <c r="I448" s="750"/>
      <c r="J448" s="392"/>
      <c r="K448" s="392"/>
      <c r="L448" s="392"/>
      <c r="M448" s="392"/>
      <c r="N448" s="392"/>
      <c r="O448" s="750"/>
      <c r="P448" s="392"/>
      <c r="Q448" s="392"/>
      <c r="R448" s="392"/>
      <c r="S448" s="750"/>
      <c r="T448" s="392"/>
      <c r="U448" s="750"/>
      <c r="V448" s="392"/>
      <c r="W448" s="750"/>
      <c r="X448" s="378"/>
      <c r="Y448" s="180"/>
      <c r="Z448" s="180"/>
      <c r="AA448" s="180"/>
      <c r="AB448" s="180"/>
    </row>
    <row r="449" spans="1:28" s="202" customFormat="1">
      <c r="A449" s="631"/>
      <c r="B449" s="634"/>
      <c r="C449" s="466"/>
      <c r="D449" s="466"/>
      <c r="E449" s="466"/>
      <c r="F449" s="466"/>
      <c r="G449" s="466"/>
      <c r="H449" s="466"/>
      <c r="I449" s="751"/>
      <c r="J449" s="466"/>
      <c r="K449" s="466"/>
      <c r="L449" s="1461"/>
      <c r="M449" s="1461"/>
      <c r="N449" s="466"/>
      <c r="O449" s="751"/>
      <c r="P449" s="466"/>
      <c r="Q449" s="466"/>
      <c r="R449" s="466"/>
      <c r="S449" s="751"/>
      <c r="T449" s="466"/>
      <c r="U449" s="751"/>
      <c r="V449" s="466"/>
      <c r="W449" s="751"/>
      <c r="X449" s="378"/>
      <c r="Y449" s="180"/>
      <c r="Z449" s="180"/>
      <c r="AA449" s="180"/>
      <c r="AB449" s="180"/>
    </row>
    <row r="450" spans="1:28">
      <c r="A450" s="631"/>
      <c r="B450" s="752"/>
      <c r="C450" s="749"/>
      <c r="D450" s="749"/>
      <c r="E450" s="749"/>
      <c r="F450" s="749"/>
      <c r="G450" s="749"/>
      <c r="H450" s="749"/>
      <c r="I450" s="749"/>
      <c r="J450" s="749"/>
      <c r="K450" s="749"/>
      <c r="L450" s="749"/>
      <c r="M450" s="749"/>
      <c r="N450" s="749"/>
      <c r="O450" s="749"/>
      <c r="P450" s="749"/>
      <c r="Q450" s="749"/>
      <c r="R450" s="749"/>
      <c r="S450" s="749"/>
      <c r="T450" s="749"/>
      <c r="U450" s="749"/>
      <c r="V450" s="749"/>
      <c r="W450" s="749"/>
      <c r="X450" s="378"/>
      <c r="Y450" s="180"/>
      <c r="Z450" s="180"/>
      <c r="AA450" s="180"/>
      <c r="AB450" s="180"/>
    </row>
    <row r="451" spans="1:28" s="203" customFormat="1">
      <c r="A451" s="631"/>
      <c r="B451" s="753"/>
      <c r="C451" s="750"/>
      <c r="D451" s="750"/>
      <c r="E451" s="750"/>
      <c r="F451" s="750"/>
      <c r="G451" s="750"/>
      <c r="H451" s="750"/>
      <c r="I451" s="750"/>
      <c r="J451" s="750"/>
      <c r="K451" s="750"/>
      <c r="L451" s="750"/>
      <c r="M451" s="750"/>
      <c r="N451" s="750"/>
      <c r="O451" s="750"/>
      <c r="P451" s="750"/>
      <c r="Q451" s="750"/>
      <c r="R451" s="750"/>
      <c r="S451" s="750"/>
      <c r="T451" s="750"/>
      <c r="U451" s="750"/>
      <c r="V451" s="750"/>
      <c r="W451" s="750"/>
      <c r="X451" s="378"/>
      <c r="Y451" s="180"/>
      <c r="Z451" s="180"/>
      <c r="AA451" s="180"/>
      <c r="AB451" s="180"/>
    </row>
    <row r="452" spans="1:28" s="202" customFormat="1">
      <c r="A452" s="631"/>
      <c r="B452" s="754"/>
      <c r="C452" s="751"/>
      <c r="D452" s="751"/>
      <c r="E452" s="751"/>
      <c r="F452" s="751"/>
      <c r="G452" s="751"/>
      <c r="H452" s="751"/>
      <c r="I452" s="751"/>
      <c r="J452" s="751"/>
      <c r="K452" s="751"/>
      <c r="L452" s="751"/>
      <c r="M452" s="751"/>
      <c r="N452" s="751"/>
      <c r="O452" s="751"/>
      <c r="P452" s="751"/>
      <c r="Q452" s="751"/>
      <c r="R452" s="751"/>
      <c r="S452" s="751"/>
      <c r="T452" s="751"/>
      <c r="U452" s="751"/>
      <c r="V452" s="751"/>
      <c r="W452" s="751"/>
      <c r="X452" s="378"/>
      <c r="Y452" s="180"/>
      <c r="Z452" s="180"/>
      <c r="AA452" s="180"/>
      <c r="AB452" s="180"/>
    </row>
    <row r="453" spans="1:28">
      <c r="A453" s="631"/>
      <c r="B453" s="388"/>
      <c r="C453" s="391"/>
      <c r="D453" s="391"/>
      <c r="E453" s="391"/>
      <c r="F453" s="391"/>
      <c r="G453" s="391"/>
      <c r="H453" s="391"/>
      <c r="I453" s="749"/>
      <c r="J453" s="391"/>
      <c r="K453" s="391"/>
      <c r="L453" s="391"/>
      <c r="M453" s="391"/>
      <c r="N453" s="391"/>
      <c r="O453" s="749"/>
      <c r="P453" s="391"/>
      <c r="Q453" s="391"/>
      <c r="R453" s="391"/>
      <c r="S453" s="749"/>
      <c r="T453" s="391"/>
      <c r="U453" s="749"/>
      <c r="V453" s="391"/>
      <c r="W453" s="749"/>
      <c r="X453" s="378"/>
      <c r="Y453" s="180"/>
      <c r="Z453" s="180"/>
      <c r="AA453" s="180"/>
      <c r="AB453" s="180"/>
    </row>
    <row r="454" spans="1:28" s="203" customFormat="1">
      <c r="A454" s="631"/>
      <c r="B454" s="389"/>
      <c r="C454" s="392"/>
      <c r="D454" s="392"/>
      <c r="E454" s="392"/>
      <c r="F454" s="392"/>
      <c r="G454" s="392"/>
      <c r="H454" s="392"/>
      <c r="I454" s="750"/>
      <c r="J454" s="392"/>
      <c r="K454" s="392"/>
      <c r="L454" s="392"/>
      <c r="M454" s="392"/>
      <c r="N454" s="392"/>
      <c r="O454" s="750"/>
      <c r="P454" s="392"/>
      <c r="Q454" s="392"/>
      <c r="R454" s="392"/>
      <c r="S454" s="750"/>
      <c r="T454" s="392"/>
      <c r="U454" s="750"/>
      <c r="V454" s="392"/>
      <c r="W454" s="750"/>
      <c r="X454" s="378"/>
      <c r="Y454" s="180"/>
      <c r="Z454" s="180"/>
      <c r="AA454" s="180"/>
      <c r="AB454" s="180"/>
    </row>
    <row r="455" spans="1:28" s="202" customFormat="1">
      <c r="A455" s="631"/>
      <c r="B455" s="634"/>
      <c r="C455" s="466"/>
      <c r="D455" s="466"/>
      <c r="E455" s="466"/>
      <c r="F455" s="466"/>
      <c r="G455" s="466"/>
      <c r="H455" s="466"/>
      <c r="I455" s="751"/>
      <c r="J455" s="466"/>
      <c r="K455" s="466"/>
      <c r="L455" s="466"/>
      <c r="M455" s="466"/>
      <c r="N455" s="466"/>
      <c r="O455" s="751"/>
      <c r="P455" s="466"/>
      <c r="Q455" s="466"/>
      <c r="R455" s="466"/>
      <c r="S455" s="751"/>
      <c r="T455" s="466"/>
      <c r="U455" s="751"/>
      <c r="V455" s="466"/>
      <c r="W455" s="751"/>
      <c r="X455" s="378"/>
      <c r="Y455" s="180"/>
      <c r="Z455" s="180"/>
      <c r="AA455" s="180"/>
      <c r="AB455" s="180"/>
    </row>
    <row r="456" spans="1:28">
      <c r="A456" s="631"/>
      <c r="B456" s="388"/>
      <c r="C456" s="391"/>
      <c r="D456" s="391"/>
      <c r="E456" s="391"/>
      <c r="F456" s="391"/>
      <c r="G456" s="391"/>
      <c r="H456" s="391"/>
      <c r="I456" s="749"/>
      <c r="J456" s="391"/>
      <c r="K456" s="391"/>
      <c r="L456" s="391"/>
      <c r="M456" s="391"/>
      <c r="N456" s="391"/>
      <c r="O456" s="749"/>
      <c r="P456" s="391"/>
      <c r="Q456" s="391"/>
      <c r="R456" s="391"/>
      <c r="S456" s="749"/>
      <c r="T456" s="391"/>
      <c r="U456" s="749"/>
      <c r="V456" s="391"/>
      <c r="W456" s="749"/>
      <c r="X456" s="378"/>
      <c r="Y456" s="180"/>
      <c r="Z456" s="180"/>
      <c r="AA456" s="180"/>
      <c r="AB456" s="180"/>
    </row>
    <row r="457" spans="1:28" s="203" customFormat="1">
      <c r="A457" s="631"/>
      <c r="B457" s="389"/>
      <c r="C457" s="392"/>
      <c r="D457" s="392"/>
      <c r="E457" s="392"/>
      <c r="F457" s="392"/>
      <c r="G457" s="392"/>
      <c r="H457" s="392"/>
      <c r="I457" s="750"/>
      <c r="J457" s="392"/>
      <c r="K457" s="392"/>
      <c r="L457" s="392"/>
      <c r="M457" s="392"/>
      <c r="N457" s="392"/>
      <c r="O457" s="750"/>
      <c r="P457" s="392"/>
      <c r="Q457" s="392"/>
      <c r="R457" s="392"/>
      <c r="S457" s="750"/>
      <c r="T457" s="392"/>
      <c r="U457" s="750"/>
      <c r="V457" s="392"/>
      <c r="W457" s="750"/>
      <c r="X457" s="378"/>
      <c r="Y457" s="180"/>
      <c r="Z457" s="180"/>
      <c r="AA457" s="180"/>
      <c r="AB457" s="180"/>
    </row>
    <row r="458" spans="1:28" s="202" customFormat="1">
      <c r="A458" s="631"/>
      <c r="B458" s="634"/>
      <c r="C458" s="466"/>
      <c r="D458" s="466"/>
      <c r="E458" s="466"/>
      <c r="F458" s="466"/>
      <c r="G458" s="466"/>
      <c r="H458" s="466"/>
      <c r="I458" s="751"/>
      <c r="J458" s="466"/>
      <c r="K458" s="466"/>
      <c r="L458" s="466"/>
      <c r="M458" s="466"/>
      <c r="N458" s="466"/>
      <c r="O458" s="751"/>
      <c r="P458" s="466"/>
      <c r="Q458" s="466"/>
      <c r="R458" s="466"/>
      <c r="S458" s="751"/>
      <c r="T458" s="466"/>
      <c r="U458" s="751"/>
      <c r="V458" s="466"/>
      <c r="W458" s="751"/>
      <c r="X458" s="378"/>
      <c r="Y458" s="180"/>
      <c r="Z458" s="180"/>
      <c r="AA458" s="180"/>
      <c r="AB458" s="180"/>
    </row>
    <row r="459" spans="1:28">
      <c r="A459" s="631"/>
      <c r="B459" s="388"/>
      <c r="C459" s="391"/>
      <c r="D459" s="391"/>
      <c r="E459" s="391"/>
      <c r="F459" s="391"/>
      <c r="G459" s="391"/>
      <c r="H459" s="391"/>
      <c r="I459" s="749"/>
      <c r="J459" s="391"/>
      <c r="K459" s="391"/>
      <c r="L459" s="391"/>
      <c r="M459" s="391"/>
      <c r="N459" s="391"/>
      <c r="O459" s="749"/>
      <c r="P459" s="391"/>
      <c r="Q459" s="391"/>
      <c r="R459" s="391"/>
      <c r="S459" s="749"/>
      <c r="T459" s="391"/>
      <c r="U459" s="749"/>
      <c r="V459" s="391"/>
      <c r="W459" s="749"/>
      <c r="X459" s="378"/>
      <c r="Y459" s="180"/>
      <c r="Z459" s="180"/>
      <c r="AA459" s="180"/>
      <c r="AB459" s="180"/>
    </row>
    <row r="460" spans="1:28" s="203" customFormat="1">
      <c r="A460" s="631"/>
      <c r="B460" s="389"/>
      <c r="C460" s="392"/>
      <c r="D460" s="392"/>
      <c r="E460" s="392"/>
      <c r="F460" s="392"/>
      <c r="G460" s="392"/>
      <c r="H460" s="392"/>
      <c r="I460" s="750"/>
      <c r="J460" s="392"/>
      <c r="K460" s="392"/>
      <c r="L460" s="392"/>
      <c r="M460" s="392"/>
      <c r="N460" s="392"/>
      <c r="O460" s="750"/>
      <c r="P460" s="392"/>
      <c r="Q460" s="392"/>
      <c r="R460" s="392"/>
      <c r="S460" s="750"/>
      <c r="T460" s="392"/>
      <c r="U460" s="750"/>
      <c r="V460" s="392"/>
      <c r="W460" s="750"/>
      <c r="X460" s="378"/>
      <c r="Y460" s="180"/>
      <c r="Z460" s="180"/>
      <c r="AA460" s="180"/>
      <c r="AB460" s="180"/>
    </row>
    <row r="461" spans="1:28" s="202" customFormat="1">
      <c r="A461" s="631"/>
      <c r="B461" s="634"/>
      <c r="C461" s="466"/>
      <c r="D461" s="466"/>
      <c r="E461" s="466"/>
      <c r="F461" s="466"/>
      <c r="G461" s="466"/>
      <c r="H461" s="466"/>
      <c r="I461" s="751"/>
      <c r="J461" s="466"/>
      <c r="K461" s="466"/>
      <c r="L461" s="466"/>
      <c r="M461" s="466"/>
      <c r="N461" s="466"/>
      <c r="O461" s="751"/>
      <c r="P461" s="466"/>
      <c r="Q461" s="466"/>
      <c r="R461" s="466"/>
      <c r="S461" s="751"/>
      <c r="T461" s="466"/>
      <c r="U461" s="751"/>
      <c r="V461" s="466"/>
      <c r="W461" s="751"/>
      <c r="X461" s="378"/>
      <c r="Y461" s="180"/>
      <c r="Z461" s="180"/>
      <c r="AA461" s="180"/>
      <c r="AB461" s="180"/>
    </row>
    <row r="462" spans="1:28">
      <c r="A462" s="631"/>
      <c r="B462" s="388"/>
      <c r="C462" s="391"/>
      <c r="D462" s="391"/>
      <c r="E462" s="391"/>
      <c r="F462" s="391"/>
      <c r="G462" s="391"/>
      <c r="H462" s="391"/>
      <c r="I462" s="749"/>
      <c r="J462" s="391"/>
      <c r="K462" s="391"/>
      <c r="L462" s="391"/>
      <c r="M462" s="391"/>
      <c r="N462" s="391"/>
      <c r="O462" s="749"/>
      <c r="P462" s="391"/>
      <c r="Q462" s="391"/>
      <c r="R462" s="391"/>
      <c r="S462" s="749"/>
      <c r="T462" s="391"/>
      <c r="U462" s="749"/>
      <c r="V462" s="391"/>
      <c r="W462" s="749"/>
      <c r="X462" s="378"/>
      <c r="Y462" s="180"/>
      <c r="Z462" s="180"/>
      <c r="AA462" s="180"/>
      <c r="AB462" s="180"/>
    </row>
    <row r="463" spans="1:28" s="203" customFormat="1">
      <c r="A463" s="631"/>
      <c r="B463" s="389"/>
      <c r="C463" s="392"/>
      <c r="D463" s="392"/>
      <c r="E463" s="392"/>
      <c r="F463" s="392"/>
      <c r="G463" s="392"/>
      <c r="H463" s="392"/>
      <c r="I463" s="750"/>
      <c r="J463" s="392"/>
      <c r="K463" s="392"/>
      <c r="L463" s="392"/>
      <c r="M463" s="392"/>
      <c r="N463" s="392"/>
      <c r="O463" s="750"/>
      <c r="P463" s="392"/>
      <c r="Q463" s="392"/>
      <c r="R463" s="392"/>
      <c r="S463" s="750"/>
      <c r="T463" s="392"/>
      <c r="U463" s="750"/>
      <c r="V463" s="392"/>
      <c r="W463" s="750"/>
      <c r="X463" s="378"/>
      <c r="Y463" s="180"/>
      <c r="Z463" s="180"/>
      <c r="AA463" s="180"/>
      <c r="AB463" s="180"/>
    </row>
    <row r="464" spans="1:28" s="202" customFormat="1">
      <c r="A464" s="631"/>
      <c r="B464" s="634"/>
      <c r="C464" s="466"/>
      <c r="D464" s="466"/>
      <c r="E464" s="466"/>
      <c r="F464" s="466"/>
      <c r="G464" s="466"/>
      <c r="H464" s="466"/>
      <c r="I464" s="751"/>
      <c r="J464" s="466"/>
      <c r="K464" s="466"/>
      <c r="L464" s="466"/>
      <c r="M464" s="466"/>
      <c r="N464" s="466"/>
      <c r="O464" s="751"/>
      <c r="P464" s="466"/>
      <c r="Q464" s="466"/>
      <c r="R464" s="466"/>
      <c r="S464" s="751"/>
      <c r="T464" s="466"/>
      <c r="U464" s="751"/>
      <c r="V464" s="466"/>
      <c r="W464" s="751"/>
      <c r="X464" s="378"/>
      <c r="Y464" s="180"/>
      <c r="Z464" s="180"/>
      <c r="AA464" s="180"/>
      <c r="AB464" s="180"/>
    </row>
    <row r="465" spans="1:28">
      <c r="A465" s="631"/>
      <c r="B465" s="388"/>
      <c r="C465" s="391"/>
      <c r="D465" s="391"/>
      <c r="E465" s="391"/>
      <c r="F465" s="391"/>
      <c r="G465" s="391"/>
      <c r="H465" s="391"/>
      <c r="I465" s="749"/>
      <c r="J465" s="391"/>
      <c r="K465" s="391"/>
      <c r="L465" s="391"/>
      <c r="M465" s="391"/>
      <c r="N465" s="391"/>
      <c r="O465" s="749"/>
      <c r="P465" s="391"/>
      <c r="Q465" s="391"/>
      <c r="R465" s="391"/>
      <c r="S465" s="749"/>
      <c r="T465" s="391"/>
      <c r="U465" s="749"/>
      <c r="V465" s="391"/>
      <c r="W465" s="749"/>
      <c r="X465" s="378"/>
      <c r="Y465" s="180"/>
      <c r="Z465" s="180"/>
      <c r="AA465" s="180"/>
      <c r="AB465" s="180"/>
    </row>
    <row r="466" spans="1:28" s="203" customFormat="1">
      <c r="A466" s="631"/>
      <c r="B466" s="389"/>
      <c r="C466" s="392"/>
      <c r="D466" s="392"/>
      <c r="E466" s="392"/>
      <c r="F466" s="392"/>
      <c r="G466" s="392"/>
      <c r="H466" s="392"/>
      <c r="I466" s="750"/>
      <c r="J466" s="392"/>
      <c r="K466" s="392"/>
      <c r="L466" s="392"/>
      <c r="M466" s="392"/>
      <c r="N466" s="392"/>
      <c r="O466" s="750"/>
      <c r="P466" s="392"/>
      <c r="Q466" s="392"/>
      <c r="R466" s="392"/>
      <c r="S466" s="750"/>
      <c r="T466" s="392"/>
      <c r="U466" s="750"/>
      <c r="V466" s="392"/>
      <c r="W466" s="750"/>
      <c r="X466" s="378"/>
      <c r="Y466" s="180"/>
      <c r="Z466" s="180"/>
      <c r="AA466" s="180"/>
      <c r="AB466" s="180"/>
    </row>
    <row r="467" spans="1:28" s="202" customFormat="1">
      <c r="A467" s="631"/>
      <c r="B467" s="634"/>
      <c r="C467" s="466"/>
      <c r="D467" s="466"/>
      <c r="E467" s="466"/>
      <c r="F467" s="466"/>
      <c r="G467" s="466"/>
      <c r="H467" s="466"/>
      <c r="I467" s="751"/>
      <c r="J467" s="466"/>
      <c r="K467" s="466"/>
      <c r="L467" s="466"/>
      <c r="M467" s="466"/>
      <c r="N467" s="466"/>
      <c r="O467" s="751"/>
      <c r="P467" s="466"/>
      <c r="Q467" s="466"/>
      <c r="R467" s="466"/>
      <c r="S467" s="751"/>
      <c r="T467" s="1461"/>
      <c r="U467" s="751"/>
      <c r="V467" s="466"/>
      <c r="W467" s="751"/>
      <c r="X467" s="703"/>
      <c r="Y467" s="180"/>
      <c r="Z467" s="180"/>
      <c r="AA467" s="180"/>
      <c r="AB467" s="180"/>
    </row>
    <row r="468" spans="1:28">
      <c r="A468" s="631"/>
      <c r="B468" s="388"/>
      <c r="C468" s="391"/>
      <c r="D468" s="391"/>
      <c r="E468" s="391"/>
      <c r="F468" s="391"/>
      <c r="G468" s="391"/>
      <c r="H468" s="391"/>
      <c r="I468" s="749"/>
      <c r="J468" s="391"/>
      <c r="K468" s="391"/>
      <c r="L468" s="391"/>
      <c r="M468" s="391"/>
      <c r="N468" s="391"/>
      <c r="O468" s="749"/>
      <c r="P468" s="391"/>
      <c r="Q468" s="391"/>
      <c r="R468" s="391"/>
      <c r="S468" s="749"/>
      <c r="T468" s="391"/>
      <c r="U468" s="749"/>
      <c r="V468" s="391"/>
      <c r="W468" s="749"/>
      <c r="X468" s="378"/>
      <c r="Y468" s="180"/>
      <c r="Z468" s="180"/>
      <c r="AA468" s="180"/>
      <c r="AB468" s="180"/>
    </row>
    <row r="469" spans="1:28" s="203" customFormat="1">
      <c r="A469" s="631"/>
      <c r="B469" s="389"/>
      <c r="C469" s="392"/>
      <c r="D469" s="392"/>
      <c r="E469" s="392"/>
      <c r="F469" s="392"/>
      <c r="G469" s="392"/>
      <c r="H469" s="392"/>
      <c r="I469" s="750"/>
      <c r="J469" s="392"/>
      <c r="K469" s="392"/>
      <c r="L469" s="392"/>
      <c r="M469" s="392"/>
      <c r="N469" s="392"/>
      <c r="O469" s="750"/>
      <c r="P469" s="392"/>
      <c r="Q469" s="392"/>
      <c r="R469" s="392"/>
      <c r="S469" s="750"/>
      <c r="T469" s="392"/>
      <c r="U469" s="750"/>
      <c r="V469" s="392"/>
      <c r="W469" s="750"/>
      <c r="X469" s="378"/>
      <c r="Y469" s="180"/>
      <c r="Z469" s="180"/>
      <c r="AA469" s="180"/>
      <c r="AB469" s="180"/>
    </row>
    <row r="470" spans="1:28" s="202" customFormat="1">
      <c r="A470" s="631"/>
      <c r="B470" s="634"/>
      <c r="C470" s="466"/>
      <c r="D470" s="466"/>
      <c r="E470" s="466"/>
      <c r="F470" s="466"/>
      <c r="G470" s="466"/>
      <c r="H470" s="466"/>
      <c r="I470" s="751"/>
      <c r="J470" s="466"/>
      <c r="K470" s="466"/>
      <c r="L470" s="466"/>
      <c r="M470" s="466"/>
      <c r="N470" s="466"/>
      <c r="O470" s="751"/>
      <c r="P470" s="466"/>
      <c r="Q470" s="466"/>
      <c r="R470" s="466"/>
      <c r="S470" s="751"/>
      <c r="T470" s="466"/>
      <c r="U470" s="751"/>
      <c r="V470" s="466"/>
      <c r="W470" s="751"/>
      <c r="X470" s="378"/>
      <c r="Y470" s="180"/>
      <c r="Z470" s="180"/>
      <c r="AA470" s="180"/>
      <c r="AB470" s="180"/>
    </row>
    <row r="471" spans="1:28">
      <c r="A471" s="631"/>
      <c r="B471" s="388"/>
      <c r="C471" s="391"/>
      <c r="D471" s="391"/>
      <c r="E471" s="391"/>
      <c r="F471" s="391"/>
      <c r="G471" s="391"/>
      <c r="H471" s="391"/>
      <c r="I471" s="749"/>
      <c r="J471" s="391"/>
      <c r="K471" s="391"/>
      <c r="L471" s="391"/>
      <c r="M471" s="391"/>
      <c r="N471" s="391"/>
      <c r="O471" s="749"/>
      <c r="P471" s="391"/>
      <c r="Q471" s="391"/>
      <c r="R471" s="391"/>
      <c r="S471" s="749"/>
      <c r="T471" s="391"/>
      <c r="U471" s="749"/>
      <c r="V471" s="391"/>
      <c r="W471" s="749"/>
      <c r="X471" s="378"/>
      <c r="Y471" s="180"/>
      <c r="Z471" s="180"/>
      <c r="AA471" s="180"/>
      <c r="AB471" s="180"/>
    </row>
    <row r="472" spans="1:28" s="203" customFormat="1">
      <c r="A472" s="631"/>
      <c r="B472" s="389"/>
      <c r="C472" s="392"/>
      <c r="D472" s="392"/>
      <c r="E472" s="392"/>
      <c r="F472" s="392"/>
      <c r="G472" s="392"/>
      <c r="H472" s="392"/>
      <c r="I472" s="750"/>
      <c r="J472" s="392"/>
      <c r="K472" s="392"/>
      <c r="L472" s="392"/>
      <c r="M472" s="392"/>
      <c r="N472" s="392"/>
      <c r="O472" s="750"/>
      <c r="P472" s="392"/>
      <c r="Q472" s="392"/>
      <c r="R472" s="392"/>
      <c r="S472" s="750"/>
      <c r="T472" s="392"/>
      <c r="U472" s="750"/>
      <c r="V472" s="392"/>
      <c r="W472" s="750"/>
      <c r="X472" s="378"/>
      <c r="Y472" s="180"/>
      <c r="Z472" s="180"/>
      <c r="AA472" s="180"/>
      <c r="AB472" s="180"/>
    </row>
    <row r="473" spans="1:28" s="212" customFormat="1" ht="13.5" thickBot="1">
      <c r="A473" s="635"/>
      <c r="B473" s="761"/>
      <c r="C473" s="762"/>
      <c r="D473" s="762"/>
      <c r="E473" s="762"/>
      <c r="F473" s="762"/>
      <c r="G473" s="762"/>
      <c r="H473" s="762"/>
      <c r="I473" s="763"/>
      <c r="J473" s="762"/>
      <c r="K473" s="762"/>
      <c r="L473" s="762"/>
      <c r="M473" s="762"/>
      <c r="N473" s="762"/>
      <c r="O473" s="763"/>
      <c r="P473" s="762"/>
      <c r="Q473" s="762"/>
      <c r="R473" s="762"/>
      <c r="S473" s="763"/>
      <c r="T473" s="762"/>
      <c r="U473" s="763"/>
      <c r="V473" s="762"/>
      <c r="W473" s="763"/>
      <c r="X473" s="378"/>
      <c r="Y473" s="180"/>
      <c r="Z473" s="180"/>
      <c r="AA473" s="180"/>
      <c r="AB473" s="180"/>
    </row>
    <row r="474" spans="1:28" ht="13.5" thickTop="1">
      <c r="A474" s="230"/>
      <c r="B474" s="764"/>
      <c r="C474" s="765"/>
      <c r="D474" s="765"/>
      <c r="E474" s="765"/>
      <c r="F474" s="765"/>
      <c r="G474" s="765"/>
      <c r="H474" s="765"/>
      <c r="I474" s="766"/>
      <c r="J474" s="765"/>
      <c r="K474" s="765"/>
      <c r="L474" s="765"/>
      <c r="M474" s="765"/>
      <c r="N474" s="765"/>
      <c r="O474" s="766"/>
      <c r="P474" s="765"/>
      <c r="Q474" s="765"/>
      <c r="R474" s="765"/>
      <c r="S474" s="766"/>
      <c r="T474" s="765"/>
      <c r="U474" s="766"/>
      <c r="V474" s="765"/>
      <c r="W474" s="766"/>
      <c r="X474" s="378"/>
      <c r="Y474" s="180"/>
      <c r="Z474" s="180"/>
      <c r="AA474" s="180"/>
      <c r="AB474" s="180"/>
    </row>
    <row r="475" spans="1:28" s="203" customFormat="1">
      <c r="A475" s="631"/>
      <c r="B475" s="389"/>
      <c r="C475" s="392"/>
      <c r="D475" s="392"/>
      <c r="E475" s="392"/>
      <c r="F475" s="392"/>
      <c r="G475" s="392"/>
      <c r="H475" s="392"/>
      <c r="I475" s="750"/>
      <c r="J475" s="392"/>
      <c r="K475" s="392"/>
      <c r="L475" s="392"/>
      <c r="M475" s="392"/>
      <c r="N475" s="392"/>
      <c r="O475" s="750"/>
      <c r="P475" s="392"/>
      <c r="Q475" s="392"/>
      <c r="R475" s="392"/>
      <c r="S475" s="750"/>
      <c r="T475" s="392"/>
      <c r="U475" s="750"/>
      <c r="V475" s="392"/>
      <c r="W475" s="750"/>
      <c r="X475" s="378"/>
      <c r="Y475" s="180"/>
      <c r="Z475" s="180"/>
      <c r="AA475" s="180"/>
      <c r="AB475" s="180"/>
    </row>
    <row r="476" spans="1:28" s="202" customFormat="1">
      <c r="A476" s="632"/>
      <c r="B476" s="634"/>
      <c r="C476" s="466"/>
      <c r="D476" s="466"/>
      <c r="E476" s="466"/>
      <c r="F476" s="466"/>
      <c r="G476" s="466"/>
      <c r="H476" s="466"/>
      <c r="I476" s="751"/>
      <c r="J476" s="466"/>
      <c r="K476" s="466"/>
      <c r="L476" s="466"/>
      <c r="M476" s="466"/>
      <c r="N476" s="466"/>
      <c r="O476" s="751"/>
      <c r="P476" s="466"/>
      <c r="Q476" s="466"/>
      <c r="R476" s="466"/>
      <c r="S476" s="751"/>
      <c r="T476" s="466"/>
      <c r="U476" s="751"/>
      <c r="V476" s="466"/>
      <c r="W476" s="751"/>
      <c r="X476" s="378"/>
      <c r="Y476" s="180"/>
      <c r="Z476" s="180"/>
      <c r="AA476" s="180"/>
      <c r="AB476" s="180"/>
    </row>
    <row r="477" spans="1:28">
      <c r="A477" s="631"/>
      <c r="B477" s="388"/>
      <c r="C477" s="391"/>
      <c r="D477" s="391"/>
      <c r="E477" s="391"/>
      <c r="F477" s="391"/>
      <c r="G477" s="391"/>
      <c r="H477" s="391"/>
      <c r="I477" s="749"/>
      <c r="J477" s="391"/>
      <c r="K477" s="391"/>
      <c r="L477" s="391"/>
      <c r="M477" s="391"/>
      <c r="N477" s="391"/>
      <c r="O477" s="749"/>
      <c r="P477" s="391"/>
      <c r="Q477" s="391"/>
      <c r="R477" s="391"/>
      <c r="S477" s="749"/>
      <c r="T477" s="391"/>
      <c r="U477" s="749"/>
      <c r="V477" s="391"/>
      <c r="W477" s="749"/>
      <c r="X477" s="378"/>
      <c r="Y477" s="180"/>
      <c r="Z477" s="180"/>
      <c r="AA477" s="180"/>
      <c r="AB477" s="180"/>
    </row>
    <row r="478" spans="1:28" s="203" customFormat="1">
      <c r="A478" s="631"/>
      <c r="B478" s="389"/>
      <c r="C478" s="392"/>
      <c r="D478" s="392"/>
      <c r="E478" s="392"/>
      <c r="F478" s="392"/>
      <c r="G478" s="392"/>
      <c r="H478" s="392"/>
      <c r="I478" s="750"/>
      <c r="J478" s="392"/>
      <c r="K478" s="392"/>
      <c r="L478" s="392"/>
      <c r="M478" s="392"/>
      <c r="N478" s="392"/>
      <c r="O478" s="750"/>
      <c r="P478" s="392"/>
      <c r="Q478" s="392"/>
      <c r="R478" s="392"/>
      <c r="S478" s="750"/>
      <c r="T478" s="392"/>
      <c r="U478" s="750"/>
      <c r="V478" s="392"/>
      <c r="W478" s="750"/>
      <c r="X478" s="378"/>
      <c r="Y478" s="180"/>
      <c r="Z478" s="180"/>
      <c r="AA478" s="180"/>
      <c r="AB478" s="180"/>
    </row>
    <row r="479" spans="1:28" s="202" customFormat="1">
      <c r="A479" s="631"/>
      <c r="B479" s="634"/>
      <c r="C479" s="466"/>
      <c r="D479" s="466"/>
      <c r="E479" s="466"/>
      <c r="F479" s="466"/>
      <c r="G479" s="466"/>
      <c r="H479" s="466"/>
      <c r="I479" s="751"/>
      <c r="J479" s="466"/>
      <c r="K479" s="466"/>
      <c r="L479" s="466"/>
      <c r="M479" s="466"/>
      <c r="N479" s="466"/>
      <c r="O479" s="751"/>
      <c r="P479" s="466"/>
      <c r="Q479" s="466"/>
      <c r="R479" s="466"/>
      <c r="S479" s="751"/>
      <c r="T479" s="466"/>
      <c r="U479" s="751"/>
      <c r="V479" s="466"/>
      <c r="W479" s="751"/>
      <c r="X479" s="378"/>
      <c r="Y479" s="180"/>
      <c r="Z479" s="180"/>
      <c r="AA479" s="180"/>
      <c r="AB479" s="180"/>
    </row>
    <row r="480" spans="1:28">
      <c r="A480" s="631"/>
      <c r="B480" s="388"/>
      <c r="C480" s="391"/>
      <c r="D480" s="391"/>
      <c r="E480" s="391"/>
      <c r="F480" s="391"/>
      <c r="G480" s="391"/>
      <c r="H480" s="391"/>
      <c r="I480" s="749"/>
      <c r="J480" s="391"/>
      <c r="K480" s="391"/>
      <c r="L480" s="391"/>
      <c r="M480" s="391"/>
      <c r="N480" s="391"/>
      <c r="O480" s="749"/>
      <c r="P480" s="391"/>
      <c r="Q480" s="391"/>
      <c r="R480" s="391"/>
      <c r="S480" s="749"/>
      <c r="T480" s="391"/>
      <c r="U480" s="749"/>
      <c r="V480" s="391"/>
      <c r="W480" s="749"/>
      <c r="X480" s="378"/>
      <c r="Y480" s="180"/>
      <c r="Z480" s="180"/>
      <c r="AA480" s="180"/>
      <c r="AB480" s="180"/>
    </row>
    <row r="481" spans="1:28" s="203" customFormat="1">
      <c r="A481" s="631"/>
      <c r="B481" s="389"/>
      <c r="C481" s="392"/>
      <c r="D481" s="392"/>
      <c r="E481" s="392"/>
      <c r="F481" s="392"/>
      <c r="G481" s="392"/>
      <c r="H481" s="392"/>
      <c r="I481" s="750"/>
      <c r="J481" s="392"/>
      <c r="K481" s="392"/>
      <c r="L481" s="392"/>
      <c r="M481" s="392"/>
      <c r="N481" s="392"/>
      <c r="O481" s="750"/>
      <c r="P481" s="392"/>
      <c r="Q481" s="392"/>
      <c r="R481" s="392"/>
      <c r="S481" s="750"/>
      <c r="T481" s="392"/>
      <c r="U481" s="750"/>
      <c r="V481" s="392"/>
      <c r="W481" s="750"/>
      <c r="X481" s="378"/>
      <c r="Y481" s="180"/>
      <c r="Z481" s="180"/>
      <c r="AA481" s="180"/>
      <c r="AB481" s="180"/>
    </row>
    <row r="482" spans="1:28" s="202" customFormat="1">
      <c r="A482" s="631"/>
      <c r="B482" s="634"/>
      <c r="C482" s="466"/>
      <c r="D482" s="466"/>
      <c r="E482" s="466"/>
      <c r="F482" s="466"/>
      <c r="G482" s="466"/>
      <c r="H482" s="466"/>
      <c r="I482" s="751"/>
      <c r="J482" s="466"/>
      <c r="K482" s="466"/>
      <c r="L482" s="466"/>
      <c r="M482" s="466"/>
      <c r="N482" s="466"/>
      <c r="O482" s="751"/>
      <c r="P482" s="466"/>
      <c r="Q482" s="466"/>
      <c r="R482" s="466"/>
      <c r="S482" s="751"/>
      <c r="T482" s="466"/>
      <c r="U482" s="751"/>
      <c r="V482" s="466"/>
      <c r="W482" s="751"/>
      <c r="X482" s="378"/>
      <c r="Y482" s="180"/>
      <c r="Z482" s="180"/>
      <c r="AA482" s="180"/>
      <c r="AB482" s="180"/>
    </row>
    <row r="483" spans="1:28">
      <c r="A483" s="631"/>
      <c r="B483" s="388"/>
      <c r="C483" s="391"/>
      <c r="D483" s="391"/>
      <c r="E483" s="391"/>
      <c r="F483" s="391"/>
      <c r="G483" s="391"/>
      <c r="H483" s="391"/>
      <c r="I483" s="749"/>
      <c r="J483" s="391"/>
      <c r="K483" s="391"/>
      <c r="L483" s="391"/>
      <c r="M483" s="391"/>
      <c r="N483" s="391"/>
      <c r="O483" s="749"/>
      <c r="P483" s="391"/>
      <c r="Q483" s="391"/>
      <c r="R483" s="391"/>
      <c r="S483" s="749"/>
      <c r="T483" s="391"/>
      <c r="U483" s="749"/>
      <c r="V483" s="391"/>
      <c r="W483" s="749"/>
      <c r="X483" s="378"/>
      <c r="Y483" s="180"/>
      <c r="Z483" s="180"/>
      <c r="AA483" s="180"/>
      <c r="AB483" s="180"/>
    </row>
    <row r="484" spans="1:28" s="203" customFormat="1">
      <c r="A484" s="631"/>
      <c r="B484" s="389"/>
      <c r="C484" s="392"/>
      <c r="D484" s="392"/>
      <c r="E484" s="392"/>
      <c r="F484" s="392"/>
      <c r="G484" s="392"/>
      <c r="H484" s="392"/>
      <c r="I484" s="750"/>
      <c r="J484" s="392"/>
      <c r="K484" s="392"/>
      <c r="L484" s="392"/>
      <c r="M484" s="392"/>
      <c r="N484" s="392"/>
      <c r="O484" s="750"/>
      <c r="P484" s="392"/>
      <c r="Q484" s="392"/>
      <c r="R484" s="392"/>
      <c r="S484" s="750"/>
      <c r="T484" s="392"/>
      <c r="U484" s="750"/>
      <c r="V484" s="392"/>
      <c r="W484" s="750"/>
      <c r="X484" s="378"/>
      <c r="Y484" s="180"/>
      <c r="Z484" s="180"/>
      <c r="AA484" s="180"/>
      <c r="AB484" s="180"/>
    </row>
    <row r="485" spans="1:28" s="202" customFormat="1">
      <c r="A485" s="631"/>
      <c r="B485" s="634"/>
      <c r="C485" s="466"/>
      <c r="D485" s="1461"/>
      <c r="E485" s="466"/>
      <c r="F485" s="466"/>
      <c r="G485" s="466"/>
      <c r="H485" s="466"/>
      <c r="I485" s="751"/>
      <c r="J485" s="466"/>
      <c r="K485" s="466"/>
      <c r="L485" s="466"/>
      <c r="M485" s="466"/>
      <c r="N485" s="466"/>
      <c r="O485" s="751"/>
      <c r="P485" s="466"/>
      <c r="Q485" s="466"/>
      <c r="R485" s="466"/>
      <c r="S485" s="751"/>
      <c r="T485" s="466"/>
      <c r="U485" s="751"/>
      <c r="V485" s="466"/>
      <c r="W485" s="751"/>
      <c r="X485" s="378"/>
      <c r="Y485" s="180"/>
      <c r="Z485" s="180"/>
      <c r="AA485" s="180"/>
      <c r="AB485" s="180"/>
    </row>
    <row r="486" spans="1:28">
      <c r="A486" s="631"/>
      <c r="B486" s="388"/>
      <c r="C486" s="391"/>
      <c r="D486" s="391"/>
      <c r="E486" s="391"/>
      <c r="F486" s="391"/>
      <c r="G486" s="391"/>
      <c r="H486" s="391"/>
      <c r="I486" s="749"/>
      <c r="J486" s="391"/>
      <c r="K486" s="391"/>
      <c r="L486" s="391"/>
      <c r="M486" s="391"/>
      <c r="N486" s="391"/>
      <c r="O486" s="749"/>
      <c r="P486" s="391"/>
      <c r="Q486" s="391"/>
      <c r="R486" s="391"/>
      <c r="S486" s="749"/>
      <c r="T486" s="391"/>
      <c r="U486" s="749"/>
      <c r="V486" s="391"/>
      <c r="W486" s="749"/>
      <c r="X486" s="378"/>
      <c r="Y486" s="180"/>
      <c r="Z486" s="180"/>
      <c r="AA486" s="180"/>
      <c r="AB486" s="180"/>
    </row>
    <row r="487" spans="1:28" s="203" customFormat="1">
      <c r="A487" s="631"/>
      <c r="B487" s="389"/>
      <c r="C487" s="392"/>
      <c r="D487" s="392"/>
      <c r="E487" s="392"/>
      <c r="F487" s="392"/>
      <c r="G487" s="392"/>
      <c r="H487" s="392"/>
      <c r="I487" s="750"/>
      <c r="J487" s="392"/>
      <c r="K487" s="392"/>
      <c r="L487" s="392"/>
      <c r="M487" s="392"/>
      <c r="N487" s="392"/>
      <c r="O487" s="750"/>
      <c r="P487" s="392"/>
      <c r="Q487" s="392"/>
      <c r="R487" s="392"/>
      <c r="S487" s="750"/>
      <c r="T487" s="392"/>
      <c r="U487" s="750"/>
      <c r="V487" s="392"/>
      <c r="W487" s="750"/>
      <c r="X487" s="378"/>
      <c r="Y487" s="180"/>
      <c r="Z487" s="180"/>
      <c r="AA487" s="180"/>
      <c r="AB487" s="180"/>
    </row>
    <row r="488" spans="1:28" s="202" customFormat="1">
      <c r="A488" s="631"/>
      <c r="B488" s="634"/>
      <c r="C488" s="466"/>
      <c r="D488" s="466"/>
      <c r="E488" s="466"/>
      <c r="F488" s="466"/>
      <c r="G488" s="466"/>
      <c r="H488" s="466"/>
      <c r="I488" s="751"/>
      <c r="J488" s="466"/>
      <c r="K488" s="466"/>
      <c r="L488" s="466"/>
      <c r="M488" s="466"/>
      <c r="N488" s="466"/>
      <c r="O488" s="751"/>
      <c r="P488" s="466"/>
      <c r="Q488" s="466"/>
      <c r="R488" s="466"/>
      <c r="S488" s="751"/>
      <c r="T488" s="466"/>
      <c r="U488" s="751"/>
      <c r="V488" s="466"/>
      <c r="W488" s="751"/>
      <c r="X488" s="378"/>
      <c r="Y488" s="180"/>
      <c r="Z488" s="180"/>
      <c r="AA488" s="180"/>
      <c r="AB488" s="180"/>
    </row>
    <row r="489" spans="1:28">
      <c r="A489" s="631"/>
      <c r="B489" s="752"/>
      <c r="C489" s="749"/>
      <c r="D489" s="749"/>
      <c r="E489" s="749"/>
      <c r="F489" s="749"/>
      <c r="G489" s="749"/>
      <c r="H489" s="749"/>
      <c r="I489" s="749"/>
      <c r="J489" s="749"/>
      <c r="K489" s="749"/>
      <c r="L489" s="749"/>
      <c r="M489" s="749"/>
      <c r="N489" s="749"/>
      <c r="O489" s="749"/>
      <c r="P489" s="749"/>
      <c r="Q489" s="749"/>
      <c r="R489" s="749"/>
      <c r="S489" s="749"/>
      <c r="T489" s="749"/>
      <c r="U489" s="749"/>
      <c r="V489" s="749"/>
      <c r="W489" s="749"/>
      <c r="X489" s="378"/>
      <c r="Y489" s="180"/>
      <c r="Z489" s="180"/>
      <c r="AA489" s="180"/>
      <c r="AB489" s="180"/>
    </row>
    <row r="490" spans="1:28" s="203" customFormat="1">
      <c r="A490" s="631"/>
      <c r="B490" s="753"/>
      <c r="C490" s="750"/>
      <c r="D490" s="750"/>
      <c r="E490" s="750"/>
      <c r="F490" s="750"/>
      <c r="G490" s="750"/>
      <c r="H490" s="750"/>
      <c r="I490" s="750"/>
      <c r="J490" s="750"/>
      <c r="K490" s="750"/>
      <c r="L490" s="750"/>
      <c r="M490" s="750"/>
      <c r="N490" s="750"/>
      <c r="O490" s="750"/>
      <c r="P490" s="750"/>
      <c r="Q490" s="750"/>
      <c r="R490" s="750"/>
      <c r="S490" s="750"/>
      <c r="T490" s="750"/>
      <c r="U490" s="750"/>
      <c r="V490" s="750"/>
      <c r="W490" s="750"/>
      <c r="X490" s="378"/>
      <c r="Y490" s="180"/>
      <c r="Z490" s="180"/>
      <c r="AA490" s="180"/>
      <c r="AB490" s="180"/>
    </row>
    <row r="491" spans="1:28" s="202" customFormat="1">
      <c r="A491" s="631"/>
      <c r="B491" s="754"/>
      <c r="C491" s="751"/>
      <c r="D491" s="751"/>
      <c r="E491" s="751"/>
      <c r="F491" s="751"/>
      <c r="G491" s="751"/>
      <c r="H491" s="751"/>
      <c r="I491" s="751"/>
      <c r="J491" s="751"/>
      <c r="K491" s="751"/>
      <c r="L491" s="751"/>
      <c r="M491" s="751"/>
      <c r="N491" s="751"/>
      <c r="O491" s="751"/>
      <c r="P491" s="751"/>
      <c r="Q491" s="751"/>
      <c r="R491" s="751"/>
      <c r="S491" s="751"/>
      <c r="T491" s="751"/>
      <c r="U491" s="751"/>
      <c r="V491" s="751"/>
      <c r="W491" s="751"/>
      <c r="X491" s="378"/>
      <c r="Y491" s="180"/>
      <c r="Z491" s="180"/>
      <c r="AA491" s="180"/>
      <c r="AB491" s="180"/>
    </row>
    <row r="492" spans="1:28">
      <c r="A492" s="631"/>
      <c r="B492" s="388"/>
      <c r="C492" s="391"/>
      <c r="D492" s="391"/>
      <c r="E492" s="391"/>
      <c r="F492" s="391"/>
      <c r="G492" s="391"/>
      <c r="H492" s="391"/>
      <c r="I492" s="749"/>
      <c r="J492" s="391"/>
      <c r="K492" s="391"/>
      <c r="L492" s="391"/>
      <c r="M492" s="391"/>
      <c r="N492" s="391"/>
      <c r="O492" s="749"/>
      <c r="P492" s="391"/>
      <c r="Q492" s="391"/>
      <c r="R492" s="391"/>
      <c r="S492" s="749"/>
      <c r="T492" s="391"/>
      <c r="U492" s="749"/>
      <c r="V492" s="391"/>
      <c r="W492" s="749"/>
      <c r="X492" s="378"/>
      <c r="Y492" s="180"/>
      <c r="Z492" s="180"/>
      <c r="AA492" s="180"/>
      <c r="AB492" s="180"/>
    </row>
    <row r="493" spans="1:28" s="203" customFormat="1">
      <c r="A493" s="631"/>
      <c r="B493" s="389"/>
      <c r="C493" s="392"/>
      <c r="D493" s="392"/>
      <c r="E493" s="392"/>
      <c r="F493" s="392"/>
      <c r="G493" s="392"/>
      <c r="H493" s="392"/>
      <c r="I493" s="750"/>
      <c r="J493" s="392"/>
      <c r="K493" s="392"/>
      <c r="L493" s="392"/>
      <c r="M493" s="392"/>
      <c r="N493" s="392"/>
      <c r="O493" s="750"/>
      <c r="P493" s="392"/>
      <c r="Q493" s="392"/>
      <c r="R493" s="392"/>
      <c r="S493" s="750"/>
      <c r="T493" s="392"/>
      <c r="U493" s="750"/>
      <c r="V493" s="392"/>
      <c r="W493" s="750"/>
      <c r="X493" s="378"/>
      <c r="Y493" s="180"/>
      <c r="Z493" s="180"/>
      <c r="AA493" s="180"/>
      <c r="AB493" s="180"/>
    </row>
    <row r="494" spans="1:28" s="202" customFormat="1">
      <c r="A494" s="631"/>
      <c r="B494" s="634"/>
      <c r="C494" s="466"/>
      <c r="D494" s="466"/>
      <c r="E494" s="466"/>
      <c r="F494" s="466"/>
      <c r="G494" s="466"/>
      <c r="H494" s="466"/>
      <c r="I494" s="751"/>
      <c r="J494" s="466"/>
      <c r="K494" s="466"/>
      <c r="L494" s="466"/>
      <c r="M494" s="466"/>
      <c r="N494" s="466"/>
      <c r="O494" s="751"/>
      <c r="P494" s="466"/>
      <c r="Q494" s="466"/>
      <c r="R494" s="466"/>
      <c r="S494" s="751"/>
      <c r="T494" s="466"/>
      <c r="U494" s="751"/>
      <c r="V494" s="466"/>
      <c r="W494" s="751"/>
      <c r="X494" s="378"/>
      <c r="Y494" s="180"/>
      <c r="Z494" s="180"/>
      <c r="AA494" s="180"/>
      <c r="AB494" s="180"/>
    </row>
    <row r="495" spans="1:28">
      <c r="A495" s="631"/>
      <c r="B495" s="388"/>
      <c r="C495" s="391"/>
      <c r="D495" s="391"/>
      <c r="E495" s="391"/>
      <c r="F495" s="391"/>
      <c r="G495" s="391"/>
      <c r="H495" s="391"/>
      <c r="I495" s="749"/>
      <c r="J495" s="391"/>
      <c r="K495" s="391"/>
      <c r="L495" s="391"/>
      <c r="M495" s="391"/>
      <c r="N495" s="391"/>
      <c r="O495" s="749"/>
      <c r="P495" s="391"/>
      <c r="Q495" s="391"/>
      <c r="R495" s="391"/>
      <c r="S495" s="749"/>
      <c r="T495" s="391"/>
      <c r="U495" s="749"/>
      <c r="V495" s="391"/>
      <c r="W495" s="749"/>
      <c r="X495" s="378"/>
      <c r="Y495" s="180"/>
      <c r="Z495" s="180"/>
      <c r="AA495" s="180"/>
      <c r="AB495" s="180"/>
    </row>
    <row r="496" spans="1:28" s="203" customFormat="1">
      <c r="A496" s="631"/>
      <c r="B496" s="389"/>
      <c r="C496" s="392"/>
      <c r="D496" s="392"/>
      <c r="E496" s="392"/>
      <c r="F496" s="392"/>
      <c r="G496" s="392"/>
      <c r="H496" s="392"/>
      <c r="I496" s="750"/>
      <c r="J496" s="392"/>
      <c r="K496" s="392"/>
      <c r="L496" s="392"/>
      <c r="M496" s="392"/>
      <c r="N496" s="392"/>
      <c r="O496" s="750"/>
      <c r="P496" s="392"/>
      <c r="Q496" s="392"/>
      <c r="R496" s="392"/>
      <c r="S496" s="750"/>
      <c r="T496" s="392"/>
      <c r="U496" s="750"/>
      <c r="V496" s="392"/>
      <c r="W496" s="750"/>
      <c r="X496" s="378"/>
      <c r="Y496" s="180"/>
      <c r="Z496" s="180"/>
      <c r="AA496" s="180"/>
      <c r="AB496" s="180"/>
    </row>
    <row r="497" spans="1:28" s="202" customFormat="1">
      <c r="A497" s="631"/>
      <c r="B497" s="634"/>
      <c r="C497" s="466"/>
      <c r="D497" s="466"/>
      <c r="E497" s="466"/>
      <c r="F497" s="466"/>
      <c r="G497" s="466"/>
      <c r="H497" s="466"/>
      <c r="I497" s="751"/>
      <c r="J497" s="466"/>
      <c r="K497" s="466"/>
      <c r="L497" s="466"/>
      <c r="M497" s="466"/>
      <c r="N497" s="466"/>
      <c r="O497" s="751"/>
      <c r="P497" s="466"/>
      <c r="Q497" s="466"/>
      <c r="R497" s="466"/>
      <c r="S497" s="751"/>
      <c r="T497" s="1461"/>
      <c r="U497" s="751"/>
      <c r="V497" s="466"/>
      <c r="W497" s="751"/>
      <c r="X497" s="378"/>
      <c r="Y497" s="180"/>
      <c r="Z497" s="180"/>
      <c r="AA497" s="180"/>
      <c r="AB497" s="180"/>
    </row>
    <row r="498" spans="1:28">
      <c r="A498" s="631"/>
      <c r="B498" s="388"/>
      <c r="C498" s="391"/>
      <c r="D498" s="391"/>
      <c r="E498" s="391"/>
      <c r="F498" s="391"/>
      <c r="G498" s="391"/>
      <c r="H498" s="391"/>
      <c r="I498" s="749"/>
      <c r="J498" s="391"/>
      <c r="K498" s="391"/>
      <c r="L498" s="391"/>
      <c r="M498" s="391"/>
      <c r="N498" s="391"/>
      <c r="O498" s="749"/>
      <c r="P498" s="391"/>
      <c r="Q498" s="391"/>
      <c r="R498" s="391"/>
      <c r="S498" s="749"/>
      <c r="T498" s="391"/>
      <c r="U498" s="749"/>
      <c r="V498" s="391"/>
      <c r="W498" s="749"/>
      <c r="X498" s="378"/>
      <c r="Y498" s="180"/>
      <c r="Z498" s="180"/>
      <c r="AA498" s="180"/>
      <c r="AB498" s="180"/>
    </row>
    <row r="499" spans="1:28" s="203" customFormat="1">
      <c r="A499" s="631"/>
      <c r="B499" s="389"/>
      <c r="C499" s="392"/>
      <c r="D499" s="392"/>
      <c r="E499" s="392"/>
      <c r="F499" s="392"/>
      <c r="G499" s="392"/>
      <c r="H499" s="392"/>
      <c r="I499" s="750"/>
      <c r="J499" s="392"/>
      <c r="K499" s="392"/>
      <c r="L499" s="392"/>
      <c r="M499" s="392"/>
      <c r="N499" s="392"/>
      <c r="O499" s="750"/>
      <c r="P499" s="392"/>
      <c r="Q499" s="392"/>
      <c r="R499" s="392"/>
      <c r="S499" s="750"/>
      <c r="T499" s="392"/>
      <c r="U499" s="750"/>
      <c r="V499" s="392"/>
      <c r="W499" s="750"/>
      <c r="X499" s="378"/>
      <c r="Y499" s="180"/>
      <c r="Z499" s="180"/>
      <c r="AA499" s="180"/>
      <c r="AB499" s="180"/>
    </row>
    <row r="500" spans="1:28" s="202" customFormat="1">
      <c r="A500" s="631"/>
      <c r="B500" s="634"/>
      <c r="C500" s="466"/>
      <c r="D500" s="466"/>
      <c r="E500" s="466"/>
      <c r="F500" s="466"/>
      <c r="G500" s="466"/>
      <c r="H500" s="466"/>
      <c r="I500" s="751"/>
      <c r="J500" s="466"/>
      <c r="K500" s="466"/>
      <c r="L500" s="466"/>
      <c r="M500" s="466"/>
      <c r="N500" s="466"/>
      <c r="O500" s="751"/>
      <c r="P500" s="466"/>
      <c r="Q500" s="466"/>
      <c r="R500" s="466"/>
      <c r="S500" s="751"/>
      <c r="T500" s="466"/>
      <c r="U500" s="751"/>
      <c r="V500" s="466"/>
      <c r="W500" s="751"/>
      <c r="X500" s="378"/>
      <c r="Y500" s="180"/>
      <c r="Z500" s="180"/>
      <c r="AA500" s="180"/>
      <c r="AB500" s="180"/>
    </row>
    <row r="501" spans="1:28">
      <c r="A501" s="631"/>
      <c r="B501" s="388"/>
      <c r="C501" s="391"/>
      <c r="D501" s="391"/>
      <c r="E501" s="391"/>
      <c r="F501" s="391"/>
      <c r="G501" s="391"/>
      <c r="H501" s="391"/>
      <c r="I501" s="749"/>
      <c r="J501" s="391"/>
      <c r="K501" s="391"/>
      <c r="L501" s="391"/>
      <c r="M501" s="391"/>
      <c r="N501" s="391"/>
      <c r="O501" s="749"/>
      <c r="P501" s="391"/>
      <c r="Q501" s="391"/>
      <c r="R501" s="391"/>
      <c r="S501" s="749"/>
      <c r="T501" s="391"/>
      <c r="U501" s="749"/>
      <c r="V501" s="391"/>
      <c r="W501" s="749"/>
      <c r="X501" s="378"/>
      <c r="Y501" s="180"/>
      <c r="Z501" s="180"/>
      <c r="AA501" s="180"/>
      <c r="AB501" s="180"/>
    </row>
    <row r="502" spans="1:28" s="203" customFormat="1">
      <c r="A502" s="631"/>
      <c r="B502" s="389"/>
      <c r="C502" s="392"/>
      <c r="D502" s="392"/>
      <c r="E502" s="392"/>
      <c r="F502" s="392"/>
      <c r="G502" s="392"/>
      <c r="H502" s="392"/>
      <c r="I502" s="750"/>
      <c r="J502" s="392"/>
      <c r="K502" s="392"/>
      <c r="L502" s="392"/>
      <c r="M502" s="392"/>
      <c r="N502" s="392"/>
      <c r="O502" s="750"/>
      <c r="P502" s="392"/>
      <c r="Q502" s="392"/>
      <c r="R502" s="392"/>
      <c r="S502" s="750"/>
      <c r="T502" s="392"/>
      <c r="U502" s="750"/>
      <c r="V502" s="392"/>
      <c r="W502" s="750"/>
      <c r="X502" s="378"/>
      <c r="Y502" s="180"/>
      <c r="Z502" s="180"/>
      <c r="AA502" s="180"/>
      <c r="AB502" s="180"/>
    </row>
    <row r="503" spans="1:28" s="202" customFormat="1">
      <c r="A503" s="631"/>
      <c r="B503" s="634"/>
      <c r="C503" s="466"/>
      <c r="D503" s="466"/>
      <c r="E503" s="466"/>
      <c r="F503" s="466"/>
      <c r="G503" s="466"/>
      <c r="H503" s="466"/>
      <c r="I503" s="751"/>
      <c r="J503" s="466"/>
      <c r="K503" s="466"/>
      <c r="L503" s="466"/>
      <c r="M503" s="466"/>
      <c r="N503" s="466"/>
      <c r="O503" s="751"/>
      <c r="P503" s="466"/>
      <c r="Q503" s="466"/>
      <c r="R503" s="466"/>
      <c r="S503" s="751"/>
      <c r="T503" s="1461"/>
      <c r="U503" s="751"/>
      <c r="V503" s="466"/>
      <c r="W503" s="751"/>
      <c r="X503" s="378"/>
      <c r="Y503" s="180"/>
      <c r="Z503" s="180"/>
      <c r="AA503" s="180"/>
      <c r="AB503" s="180"/>
    </row>
    <row r="504" spans="1:28">
      <c r="A504" s="631"/>
      <c r="B504" s="388"/>
      <c r="C504" s="391"/>
      <c r="D504" s="391"/>
      <c r="E504" s="391"/>
      <c r="F504" s="391"/>
      <c r="G504" s="391"/>
      <c r="H504" s="391"/>
      <c r="I504" s="749"/>
      <c r="J504" s="391"/>
      <c r="K504" s="391"/>
      <c r="L504" s="391"/>
      <c r="M504" s="391"/>
      <c r="N504" s="391"/>
      <c r="O504" s="749"/>
      <c r="P504" s="391"/>
      <c r="Q504" s="391"/>
      <c r="R504" s="391"/>
      <c r="S504" s="749"/>
      <c r="T504" s="391"/>
      <c r="U504" s="749"/>
      <c r="V504" s="391"/>
      <c r="W504" s="749"/>
      <c r="X504" s="378"/>
      <c r="Y504" s="180"/>
      <c r="Z504" s="180"/>
      <c r="AA504" s="180"/>
      <c r="AB504" s="180"/>
    </row>
    <row r="505" spans="1:28" s="203" customFormat="1">
      <c r="A505" s="631"/>
      <c r="B505" s="389"/>
      <c r="C505" s="392"/>
      <c r="D505" s="392"/>
      <c r="E505" s="392"/>
      <c r="F505" s="392"/>
      <c r="G505" s="392"/>
      <c r="H505" s="392"/>
      <c r="I505" s="750"/>
      <c r="J505" s="392"/>
      <c r="K505" s="392"/>
      <c r="L505" s="392"/>
      <c r="M505" s="392"/>
      <c r="N505" s="392"/>
      <c r="O505" s="750"/>
      <c r="P505" s="392"/>
      <c r="Q505" s="392"/>
      <c r="R505" s="392"/>
      <c r="S505" s="750"/>
      <c r="T505" s="392"/>
      <c r="U505" s="750"/>
      <c r="V505" s="392"/>
      <c r="W505" s="750"/>
      <c r="X505" s="378"/>
      <c r="Y505" s="180"/>
      <c r="Z505" s="180"/>
      <c r="AA505" s="180"/>
      <c r="AB505" s="180"/>
    </row>
    <row r="506" spans="1:28" s="202" customFormat="1">
      <c r="A506" s="631"/>
      <c r="B506" s="634"/>
      <c r="C506" s="466"/>
      <c r="D506" s="466"/>
      <c r="E506" s="466"/>
      <c r="F506" s="466"/>
      <c r="G506" s="466"/>
      <c r="H506" s="466"/>
      <c r="I506" s="751"/>
      <c r="J506" s="466"/>
      <c r="K506" s="466"/>
      <c r="L506" s="466"/>
      <c r="M506" s="466"/>
      <c r="N506" s="466"/>
      <c r="O506" s="751"/>
      <c r="P506" s="466"/>
      <c r="Q506" s="466"/>
      <c r="R506" s="466"/>
      <c r="S506" s="751"/>
      <c r="T506" s="466"/>
      <c r="U506" s="751"/>
      <c r="V506" s="466"/>
      <c r="W506" s="751"/>
      <c r="X506" s="378"/>
      <c r="Y506" s="180"/>
      <c r="Z506" s="180"/>
      <c r="AA506" s="180"/>
      <c r="AB506" s="180"/>
    </row>
    <row r="507" spans="1:28">
      <c r="A507" s="631"/>
      <c r="B507" s="388"/>
      <c r="C507" s="391"/>
      <c r="D507" s="391"/>
      <c r="E507" s="391"/>
      <c r="F507" s="391"/>
      <c r="G507" s="391"/>
      <c r="H507" s="391"/>
      <c r="I507" s="749"/>
      <c r="J507" s="391"/>
      <c r="K507" s="391"/>
      <c r="L507" s="391"/>
      <c r="M507" s="391"/>
      <c r="N507" s="391"/>
      <c r="O507" s="749"/>
      <c r="P507" s="391"/>
      <c r="Q507" s="391"/>
      <c r="R507" s="391"/>
      <c r="S507" s="749"/>
      <c r="T507" s="391"/>
      <c r="U507" s="749"/>
      <c r="V507" s="391"/>
      <c r="W507" s="749"/>
      <c r="X507" s="378"/>
      <c r="Y507" s="180"/>
      <c r="Z507" s="180"/>
      <c r="AA507" s="180"/>
      <c r="AB507" s="180"/>
    </row>
    <row r="508" spans="1:28" s="203" customFormat="1">
      <c r="A508" s="631"/>
      <c r="B508" s="389"/>
      <c r="C508" s="392"/>
      <c r="D508" s="392"/>
      <c r="E508" s="392"/>
      <c r="F508" s="392"/>
      <c r="G508" s="392"/>
      <c r="H508" s="392"/>
      <c r="I508" s="750"/>
      <c r="J508" s="392"/>
      <c r="K508" s="392"/>
      <c r="L508" s="392"/>
      <c r="M508" s="392"/>
      <c r="N508" s="392"/>
      <c r="O508" s="750"/>
      <c r="P508" s="392"/>
      <c r="Q508" s="392"/>
      <c r="R508" s="392"/>
      <c r="S508" s="750"/>
      <c r="T508" s="392"/>
      <c r="U508" s="750"/>
      <c r="V508" s="392"/>
      <c r="W508" s="750"/>
      <c r="X508" s="378"/>
      <c r="Y508" s="180"/>
      <c r="Z508" s="180"/>
      <c r="AA508" s="180"/>
      <c r="AB508" s="180"/>
    </row>
    <row r="509" spans="1:28" s="202" customFormat="1">
      <c r="A509" s="631"/>
      <c r="B509" s="634"/>
      <c r="C509" s="466"/>
      <c r="D509" s="466"/>
      <c r="E509" s="466"/>
      <c r="F509" s="466"/>
      <c r="G509" s="466"/>
      <c r="H509" s="466"/>
      <c r="I509" s="751"/>
      <c r="J509" s="466"/>
      <c r="K509" s="466"/>
      <c r="L509" s="466"/>
      <c r="M509" s="466"/>
      <c r="N509" s="466"/>
      <c r="O509" s="751"/>
      <c r="P509" s="466"/>
      <c r="Q509" s="466"/>
      <c r="R509" s="466"/>
      <c r="S509" s="751"/>
      <c r="T509" s="466"/>
      <c r="U509" s="751"/>
      <c r="V509" s="466"/>
      <c r="W509" s="751"/>
      <c r="X509" s="378"/>
      <c r="Y509" s="180"/>
      <c r="Z509" s="180"/>
      <c r="AA509" s="180"/>
      <c r="AB509" s="180"/>
    </row>
    <row r="510" spans="1:28">
      <c r="A510" s="631"/>
      <c r="B510" s="388"/>
      <c r="C510" s="391"/>
      <c r="D510" s="391"/>
      <c r="E510" s="391"/>
      <c r="F510" s="391"/>
      <c r="G510" s="391"/>
      <c r="H510" s="391"/>
      <c r="I510" s="749"/>
      <c r="J510" s="391"/>
      <c r="K510" s="391"/>
      <c r="L510" s="391"/>
      <c r="M510" s="391"/>
      <c r="N510" s="391"/>
      <c r="O510" s="749"/>
      <c r="P510" s="391"/>
      <c r="Q510" s="391"/>
      <c r="R510" s="391"/>
      <c r="S510" s="749"/>
      <c r="T510" s="391"/>
      <c r="U510" s="749"/>
      <c r="V510" s="391"/>
      <c r="W510" s="749"/>
      <c r="X510" s="378"/>
      <c r="Y510" s="180"/>
      <c r="Z510" s="180"/>
      <c r="AA510" s="180"/>
      <c r="AB510" s="180"/>
    </row>
    <row r="511" spans="1:28" s="203" customFormat="1">
      <c r="A511" s="631"/>
      <c r="B511" s="389"/>
      <c r="C511" s="392"/>
      <c r="D511" s="392"/>
      <c r="E511" s="392"/>
      <c r="F511" s="392"/>
      <c r="G511" s="392"/>
      <c r="H511" s="392"/>
      <c r="I511" s="750"/>
      <c r="J511" s="392"/>
      <c r="K511" s="392"/>
      <c r="L511" s="392"/>
      <c r="M511" s="392"/>
      <c r="N511" s="392"/>
      <c r="O511" s="750"/>
      <c r="P511" s="392"/>
      <c r="Q511" s="392"/>
      <c r="R511" s="392"/>
      <c r="S511" s="750"/>
      <c r="T511" s="392"/>
      <c r="U511" s="750"/>
      <c r="V511" s="392"/>
      <c r="W511" s="750"/>
      <c r="X511" s="378"/>
      <c r="Y511" s="180"/>
      <c r="Z511" s="180"/>
      <c r="AA511" s="180"/>
      <c r="AB511" s="180"/>
    </row>
    <row r="512" spans="1:28" s="212" customFormat="1" ht="13.5" thickBot="1">
      <c r="A512" s="635"/>
      <c r="B512" s="761"/>
      <c r="C512" s="762"/>
      <c r="D512" s="762"/>
      <c r="E512" s="762"/>
      <c r="F512" s="762"/>
      <c r="G512" s="762"/>
      <c r="H512" s="762"/>
      <c r="I512" s="763"/>
      <c r="J512" s="762"/>
      <c r="K512" s="762"/>
      <c r="L512" s="762"/>
      <c r="M512" s="762"/>
      <c r="N512" s="762"/>
      <c r="O512" s="763"/>
      <c r="P512" s="762"/>
      <c r="Q512" s="762"/>
      <c r="R512" s="762"/>
      <c r="S512" s="763"/>
      <c r="T512" s="762"/>
      <c r="U512" s="763"/>
      <c r="V512" s="762"/>
      <c r="W512" s="763"/>
      <c r="X512" s="378"/>
      <c r="Y512" s="180"/>
      <c r="Z512" s="180"/>
      <c r="AA512" s="180"/>
      <c r="AB512" s="180"/>
    </row>
    <row r="513" spans="1:28" ht="13.5" thickTop="1">
      <c r="A513" s="230"/>
      <c r="B513" s="764"/>
      <c r="C513" s="765"/>
      <c r="D513" s="765"/>
      <c r="E513" s="765"/>
      <c r="F513" s="765"/>
      <c r="G513" s="765"/>
      <c r="H513" s="765"/>
      <c r="I513" s="766"/>
      <c r="J513" s="765"/>
      <c r="K513" s="765"/>
      <c r="L513" s="765"/>
      <c r="M513" s="765"/>
      <c r="N513" s="765"/>
      <c r="O513" s="766"/>
      <c r="P513" s="765"/>
      <c r="Q513" s="765"/>
      <c r="R513" s="765"/>
      <c r="S513" s="766"/>
      <c r="T513" s="765"/>
      <c r="U513" s="766"/>
      <c r="V513" s="765"/>
      <c r="W513" s="766"/>
      <c r="X513" s="378"/>
      <c r="Y513" s="180"/>
      <c r="Z513" s="180"/>
      <c r="AA513" s="180"/>
      <c r="AB513" s="180"/>
    </row>
    <row r="514" spans="1:28" s="203" customFormat="1">
      <c r="A514" s="631"/>
      <c r="B514" s="389"/>
      <c r="C514" s="392"/>
      <c r="D514" s="392"/>
      <c r="E514" s="392"/>
      <c r="F514" s="392"/>
      <c r="G514" s="392"/>
      <c r="H514" s="392"/>
      <c r="I514" s="750"/>
      <c r="J514" s="392"/>
      <c r="K514" s="392"/>
      <c r="L514" s="392"/>
      <c r="M514" s="392"/>
      <c r="N514" s="392"/>
      <c r="O514" s="750"/>
      <c r="P514" s="392"/>
      <c r="Q514" s="392"/>
      <c r="R514" s="392"/>
      <c r="S514" s="750"/>
      <c r="T514" s="392"/>
      <c r="U514" s="750"/>
      <c r="V514" s="392"/>
      <c r="W514" s="750"/>
      <c r="X514" s="378"/>
      <c r="Y514" s="180"/>
      <c r="Z514" s="180"/>
      <c r="AA514" s="180"/>
      <c r="AB514" s="180"/>
    </row>
    <row r="515" spans="1:28" s="202" customFormat="1">
      <c r="A515" s="632"/>
      <c r="B515" s="634"/>
      <c r="C515" s="466"/>
      <c r="D515" s="466"/>
      <c r="E515" s="466"/>
      <c r="F515" s="466"/>
      <c r="G515" s="466"/>
      <c r="H515" s="466"/>
      <c r="I515" s="751"/>
      <c r="J515" s="466"/>
      <c r="K515" s="466"/>
      <c r="L515" s="466"/>
      <c r="M515" s="466"/>
      <c r="N515" s="466"/>
      <c r="O515" s="751"/>
      <c r="P515" s="466"/>
      <c r="Q515" s="466"/>
      <c r="R515" s="466"/>
      <c r="S515" s="751"/>
      <c r="T515" s="466"/>
      <c r="U515" s="751"/>
      <c r="V515" s="466"/>
      <c r="W515" s="751"/>
      <c r="X515" s="378"/>
      <c r="Y515" s="180"/>
      <c r="Z515" s="180"/>
      <c r="AA515" s="180"/>
      <c r="AB515" s="180"/>
    </row>
    <row r="516" spans="1:28">
      <c r="A516" s="631"/>
      <c r="B516" s="388"/>
      <c r="C516" s="391"/>
      <c r="D516" s="391"/>
      <c r="E516" s="391"/>
      <c r="F516" s="391"/>
      <c r="G516" s="391"/>
      <c r="H516" s="391"/>
      <c r="I516" s="749"/>
      <c r="J516" s="391"/>
      <c r="K516" s="391"/>
      <c r="L516" s="391"/>
      <c r="M516" s="391"/>
      <c r="N516" s="391"/>
      <c r="O516" s="749"/>
      <c r="P516" s="391"/>
      <c r="Q516" s="391"/>
      <c r="R516" s="391"/>
      <c r="S516" s="749"/>
      <c r="T516" s="391"/>
      <c r="U516" s="749"/>
      <c r="V516" s="391"/>
      <c r="W516" s="749"/>
      <c r="X516" s="378"/>
      <c r="Y516" s="180"/>
      <c r="Z516" s="180"/>
      <c r="AA516" s="180"/>
      <c r="AB516" s="180"/>
    </row>
    <row r="517" spans="1:28" s="203" customFormat="1">
      <c r="A517" s="631"/>
      <c r="B517" s="389"/>
      <c r="C517" s="392"/>
      <c r="D517" s="392"/>
      <c r="E517" s="392"/>
      <c r="F517" s="392"/>
      <c r="G517" s="392"/>
      <c r="H517" s="392"/>
      <c r="I517" s="750"/>
      <c r="J517" s="392"/>
      <c r="K517" s="392"/>
      <c r="L517" s="392"/>
      <c r="M517" s="392"/>
      <c r="N517" s="392"/>
      <c r="O517" s="750"/>
      <c r="P517" s="392"/>
      <c r="Q517" s="392"/>
      <c r="R517" s="392"/>
      <c r="S517" s="750"/>
      <c r="T517" s="392"/>
      <c r="U517" s="750"/>
      <c r="V517" s="392"/>
      <c r="W517" s="750"/>
      <c r="X517" s="378"/>
      <c r="Y517" s="180"/>
      <c r="Z517" s="180"/>
      <c r="AA517" s="180"/>
      <c r="AB517" s="180"/>
    </row>
    <row r="518" spans="1:28" s="202" customFormat="1">
      <c r="A518" s="631"/>
      <c r="B518" s="634"/>
      <c r="C518" s="466"/>
      <c r="D518" s="1461"/>
      <c r="E518" s="1461"/>
      <c r="F518" s="466"/>
      <c r="G518" s="466"/>
      <c r="H518" s="466"/>
      <c r="I518" s="751"/>
      <c r="J518" s="466"/>
      <c r="K518" s="466"/>
      <c r="L518" s="466"/>
      <c r="M518" s="466"/>
      <c r="N518" s="466"/>
      <c r="O518" s="751"/>
      <c r="P518" s="466"/>
      <c r="Q518" s="466"/>
      <c r="R518" s="466"/>
      <c r="S518" s="751"/>
      <c r="T518" s="466"/>
      <c r="U518" s="751"/>
      <c r="V518" s="466"/>
      <c r="W518" s="751"/>
      <c r="X518" s="378"/>
      <c r="Y518" s="180"/>
      <c r="Z518" s="180"/>
      <c r="AA518" s="180"/>
      <c r="AB518" s="180"/>
    </row>
    <row r="519" spans="1:28">
      <c r="A519" s="631"/>
      <c r="B519" s="388"/>
      <c r="C519" s="391"/>
      <c r="D519" s="391"/>
      <c r="E519" s="391"/>
      <c r="F519" s="391"/>
      <c r="G519" s="391"/>
      <c r="H519" s="391"/>
      <c r="I519" s="749"/>
      <c r="J519" s="391"/>
      <c r="K519" s="391"/>
      <c r="L519" s="391"/>
      <c r="M519" s="391"/>
      <c r="N519" s="391"/>
      <c r="O519" s="749"/>
      <c r="P519" s="391"/>
      <c r="Q519" s="391"/>
      <c r="R519" s="391"/>
      <c r="S519" s="749"/>
      <c r="T519" s="391"/>
      <c r="U519" s="749"/>
      <c r="V519" s="391"/>
      <c r="W519" s="749"/>
      <c r="X519" s="378"/>
      <c r="Y519" s="180"/>
      <c r="Z519" s="180"/>
      <c r="AA519" s="180"/>
      <c r="AB519" s="180"/>
    </row>
    <row r="520" spans="1:28" s="203" customFormat="1">
      <c r="A520" s="631"/>
      <c r="B520" s="389"/>
      <c r="C520" s="392"/>
      <c r="D520" s="392"/>
      <c r="E520" s="392"/>
      <c r="F520" s="392"/>
      <c r="G520" s="392"/>
      <c r="H520" s="392"/>
      <c r="I520" s="750"/>
      <c r="J520" s="392"/>
      <c r="K520" s="392"/>
      <c r="L520" s="392"/>
      <c r="M520" s="392"/>
      <c r="N520" s="392"/>
      <c r="O520" s="750"/>
      <c r="P520" s="392"/>
      <c r="Q520" s="392"/>
      <c r="R520" s="392"/>
      <c r="S520" s="750"/>
      <c r="T520" s="392"/>
      <c r="U520" s="750"/>
      <c r="V520" s="392"/>
      <c r="W520" s="750"/>
      <c r="X520" s="378"/>
      <c r="Y520" s="180"/>
      <c r="Z520" s="180"/>
      <c r="AA520" s="180"/>
      <c r="AB520" s="180"/>
    </row>
    <row r="521" spans="1:28" s="202" customFormat="1">
      <c r="A521" s="631"/>
      <c r="B521" s="634"/>
      <c r="C521" s="466"/>
      <c r="D521" s="466"/>
      <c r="E521" s="466"/>
      <c r="F521" s="466"/>
      <c r="G521" s="466"/>
      <c r="H521" s="466"/>
      <c r="I521" s="751"/>
      <c r="J521" s="1461"/>
      <c r="K521" s="1461"/>
      <c r="L521" s="466"/>
      <c r="M521" s="1461"/>
      <c r="N521" s="466"/>
      <c r="O521" s="751"/>
      <c r="P521" s="466"/>
      <c r="Q521" s="466"/>
      <c r="R521" s="466"/>
      <c r="S521" s="751"/>
      <c r="T521" s="466"/>
      <c r="U521" s="751"/>
      <c r="V521" s="466"/>
      <c r="W521" s="751"/>
      <c r="X521" s="378"/>
      <c r="Y521" s="180"/>
      <c r="Z521" s="180"/>
      <c r="AA521" s="180"/>
      <c r="AB521" s="180"/>
    </row>
    <row r="522" spans="1:28">
      <c r="A522" s="631"/>
      <c r="B522" s="388"/>
      <c r="C522" s="391"/>
      <c r="D522" s="391"/>
      <c r="E522" s="391"/>
      <c r="F522" s="391"/>
      <c r="G522" s="391"/>
      <c r="H522" s="391"/>
      <c r="I522" s="749"/>
      <c r="J522" s="391"/>
      <c r="K522" s="391"/>
      <c r="L522" s="391"/>
      <c r="M522" s="391"/>
      <c r="N522" s="391"/>
      <c r="O522" s="749"/>
      <c r="P522" s="391"/>
      <c r="Q522" s="391"/>
      <c r="R522" s="391"/>
      <c r="S522" s="749"/>
      <c r="T522" s="391"/>
      <c r="U522" s="749"/>
      <c r="V522" s="391"/>
      <c r="W522" s="749"/>
      <c r="X522" s="378"/>
      <c r="Y522" s="180"/>
      <c r="Z522" s="180"/>
      <c r="AA522" s="180"/>
      <c r="AB522" s="180"/>
    </row>
    <row r="523" spans="1:28" s="203" customFormat="1">
      <c r="A523" s="631"/>
      <c r="B523" s="389"/>
      <c r="C523" s="392"/>
      <c r="D523" s="392"/>
      <c r="E523" s="392"/>
      <c r="F523" s="392"/>
      <c r="G523" s="392"/>
      <c r="H523" s="392"/>
      <c r="I523" s="750"/>
      <c r="J523" s="392"/>
      <c r="K523" s="392"/>
      <c r="L523" s="392"/>
      <c r="M523" s="392"/>
      <c r="N523" s="392"/>
      <c r="O523" s="750"/>
      <c r="P523" s="392"/>
      <c r="Q523" s="392"/>
      <c r="R523" s="392"/>
      <c r="S523" s="750"/>
      <c r="T523" s="392"/>
      <c r="U523" s="750"/>
      <c r="V523" s="392"/>
      <c r="W523" s="750"/>
      <c r="X523" s="378"/>
      <c r="Y523" s="180"/>
      <c r="Z523" s="180"/>
      <c r="AA523" s="180"/>
      <c r="AB523" s="180"/>
    </row>
    <row r="524" spans="1:28" s="202" customFormat="1">
      <c r="A524" s="631"/>
      <c r="B524" s="634"/>
      <c r="C524" s="466"/>
      <c r="D524" s="466"/>
      <c r="E524" s="466"/>
      <c r="F524" s="466"/>
      <c r="G524" s="466"/>
      <c r="H524" s="1461"/>
      <c r="I524" s="751"/>
      <c r="J524" s="466"/>
      <c r="K524" s="466"/>
      <c r="L524" s="466"/>
      <c r="M524" s="1461"/>
      <c r="N524" s="466"/>
      <c r="O524" s="751"/>
      <c r="P524" s="466"/>
      <c r="Q524" s="466"/>
      <c r="R524" s="466"/>
      <c r="S524" s="751"/>
      <c r="T524" s="466"/>
      <c r="U524" s="751"/>
      <c r="V524" s="466"/>
      <c r="W524" s="751"/>
      <c r="X524" s="378"/>
      <c r="Y524" s="180"/>
      <c r="Z524" s="180"/>
      <c r="AA524" s="180"/>
      <c r="AB524" s="180"/>
    </row>
    <row r="525" spans="1:28">
      <c r="A525" s="631"/>
      <c r="B525" s="388"/>
      <c r="C525" s="391"/>
      <c r="D525" s="391"/>
      <c r="E525" s="391"/>
      <c r="F525" s="391"/>
      <c r="G525" s="391"/>
      <c r="H525" s="391"/>
      <c r="I525" s="749"/>
      <c r="J525" s="391"/>
      <c r="K525" s="391"/>
      <c r="L525" s="391"/>
      <c r="M525" s="391"/>
      <c r="N525" s="391"/>
      <c r="O525" s="749"/>
      <c r="P525" s="391"/>
      <c r="Q525" s="391"/>
      <c r="R525" s="391"/>
      <c r="S525" s="749"/>
      <c r="T525" s="391"/>
      <c r="U525" s="749"/>
      <c r="V525" s="391"/>
      <c r="W525" s="749"/>
      <c r="X525" s="378"/>
      <c r="Y525" s="180"/>
      <c r="Z525" s="180"/>
      <c r="AA525" s="180"/>
      <c r="AB525" s="180"/>
    </row>
    <row r="526" spans="1:28" s="203" customFormat="1">
      <c r="A526" s="631"/>
      <c r="B526" s="389"/>
      <c r="C526" s="392"/>
      <c r="D526" s="392"/>
      <c r="E526" s="392"/>
      <c r="F526" s="392"/>
      <c r="G526" s="392"/>
      <c r="H526" s="392"/>
      <c r="I526" s="750"/>
      <c r="J526" s="392"/>
      <c r="K526" s="392"/>
      <c r="L526" s="392"/>
      <c r="M526" s="392"/>
      <c r="N526" s="392"/>
      <c r="O526" s="750"/>
      <c r="P526" s="392"/>
      <c r="Q526" s="392"/>
      <c r="R526" s="392"/>
      <c r="S526" s="750"/>
      <c r="T526" s="392"/>
      <c r="U526" s="750"/>
      <c r="V526" s="392"/>
      <c r="W526" s="750"/>
      <c r="X526" s="378"/>
      <c r="Y526" s="180"/>
      <c r="Z526" s="180"/>
      <c r="AA526" s="180"/>
      <c r="AB526" s="180"/>
    </row>
    <row r="527" spans="1:28" s="202" customFormat="1">
      <c r="A527" s="631"/>
      <c r="B527" s="634"/>
      <c r="C527" s="466"/>
      <c r="D527" s="466"/>
      <c r="E527" s="466"/>
      <c r="F527" s="466"/>
      <c r="G527" s="466"/>
      <c r="H527" s="466"/>
      <c r="I527" s="751"/>
      <c r="J527" s="466"/>
      <c r="K527" s="466"/>
      <c r="L527" s="466"/>
      <c r="M527" s="466"/>
      <c r="N527" s="466"/>
      <c r="O527" s="751"/>
      <c r="P527" s="466"/>
      <c r="Q527" s="466"/>
      <c r="R527" s="466"/>
      <c r="S527" s="751"/>
      <c r="T527" s="466"/>
      <c r="U527" s="751"/>
      <c r="V527" s="466"/>
      <c r="W527" s="751"/>
      <c r="X527" s="378"/>
      <c r="Y527" s="180"/>
      <c r="Z527" s="180"/>
      <c r="AA527" s="180"/>
      <c r="AB527" s="180"/>
    </row>
    <row r="528" spans="1:28">
      <c r="A528" s="631"/>
      <c r="B528" s="752"/>
      <c r="C528" s="749"/>
      <c r="D528" s="749"/>
      <c r="E528" s="749"/>
      <c r="F528" s="749"/>
      <c r="G528" s="749"/>
      <c r="H528" s="749"/>
      <c r="I528" s="749"/>
      <c r="J528" s="749"/>
      <c r="K528" s="749"/>
      <c r="L528" s="749"/>
      <c r="M528" s="749"/>
      <c r="N528" s="749"/>
      <c r="O528" s="749"/>
      <c r="P528" s="749"/>
      <c r="Q528" s="749"/>
      <c r="R528" s="749"/>
      <c r="S528" s="749"/>
      <c r="T528" s="749"/>
      <c r="U528" s="749"/>
      <c r="V528" s="749"/>
      <c r="W528" s="749"/>
      <c r="X528" s="378"/>
      <c r="Y528" s="180"/>
      <c r="Z528" s="180"/>
      <c r="AA528" s="180"/>
      <c r="AB528" s="180"/>
    </row>
    <row r="529" spans="1:28" s="203" customFormat="1">
      <c r="A529" s="631"/>
      <c r="B529" s="753"/>
      <c r="C529" s="750"/>
      <c r="D529" s="750"/>
      <c r="E529" s="750"/>
      <c r="F529" s="750"/>
      <c r="G529" s="750"/>
      <c r="H529" s="750"/>
      <c r="I529" s="750"/>
      <c r="J529" s="750"/>
      <c r="K529" s="750"/>
      <c r="L529" s="750"/>
      <c r="M529" s="750"/>
      <c r="N529" s="750"/>
      <c r="O529" s="750"/>
      <c r="P529" s="750"/>
      <c r="Q529" s="750"/>
      <c r="R529" s="750"/>
      <c r="S529" s="750"/>
      <c r="T529" s="750"/>
      <c r="U529" s="750"/>
      <c r="V529" s="750"/>
      <c r="W529" s="750"/>
      <c r="X529" s="378"/>
      <c r="Y529" s="180"/>
      <c r="Z529" s="180"/>
      <c r="AA529" s="180"/>
      <c r="AB529" s="180"/>
    </row>
    <row r="530" spans="1:28" s="202" customFormat="1">
      <c r="A530" s="631"/>
      <c r="B530" s="754"/>
      <c r="C530" s="751"/>
      <c r="D530" s="751"/>
      <c r="E530" s="751"/>
      <c r="F530" s="751"/>
      <c r="G530" s="751"/>
      <c r="H530" s="751"/>
      <c r="I530" s="751"/>
      <c r="J530" s="751"/>
      <c r="K530" s="751"/>
      <c r="L530" s="751"/>
      <c r="M530" s="751"/>
      <c r="N530" s="751"/>
      <c r="O530" s="751"/>
      <c r="P530" s="751"/>
      <c r="Q530" s="751"/>
      <c r="R530" s="751"/>
      <c r="S530" s="751"/>
      <c r="T530" s="751"/>
      <c r="U530" s="751"/>
      <c r="V530" s="751"/>
      <c r="W530" s="751"/>
      <c r="X530" s="378"/>
      <c r="Y530" s="180"/>
      <c r="Z530" s="180"/>
      <c r="AA530" s="180"/>
      <c r="AB530" s="180"/>
    </row>
    <row r="531" spans="1:28">
      <c r="A531" s="631"/>
      <c r="B531" s="388"/>
      <c r="C531" s="391"/>
      <c r="D531" s="391"/>
      <c r="E531" s="391"/>
      <c r="F531" s="391"/>
      <c r="G531" s="391"/>
      <c r="H531" s="391"/>
      <c r="I531" s="749"/>
      <c r="J531" s="391"/>
      <c r="K531" s="391"/>
      <c r="L531" s="391"/>
      <c r="M531" s="391"/>
      <c r="N531" s="391"/>
      <c r="O531" s="749"/>
      <c r="P531" s="391"/>
      <c r="Q531" s="391"/>
      <c r="R531" s="391"/>
      <c r="S531" s="749"/>
      <c r="T531" s="391"/>
      <c r="U531" s="749"/>
      <c r="V531" s="391"/>
      <c r="W531" s="749"/>
      <c r="X531" s="378"/>
      <c r="Y531" s="180"/>
      <c r="Z531" s="180"/>
      <c r="AA531" s="180"/>
      <c r="AB531" s="180"/>
    </row>
    <row r="532" spans="1:28" s="203" customFormat="1">
      <c r="A532" s="631"/>
      <c r="B532" s="389"/>
      <c r="C532" s="392"/>
      <c r="D532" s="392"/>
      <c r="E532" s="392"/>
      <c r="F532" s="392"/>
      <c r="G532" s="392"/>
      <c r="H532" s="392"/>
      <c r="I532" s="750"/>
      <c r="J532" s="392"/>
      <c r="K532" s="392"/>
      <c r="L532" s="392"/>
      <c r="M532" s="392"/>
      <c r="N532" s="392"/>
      <c r="O532" s="750"/>
      <c r="P532" s="392"/>
      <c r="Q532" s="392"/>
      <c r="R532" s="392"/>
      <c r="S532" s="750"/>
      <c r="T532" s="392"/>
      <c r="U532" s="750"/>
      <c r="V532" s="392"/>
      <c r="W532" s="750"/>
      <c r="X532" s="378"/>
      <c r="Y532" s="180"/>
      <c r="Z532" s="180"/>
      <c r="AA532" s="180"/>
      <c r="AB532" s="180"/>
    </row>
    <row r="533" spans="1:28" s="202" customFormat="1">
      <c r="A533" s="631"/>
      <c r="B533" s="634"/>
      <c r="C533" s="466"/>
      <c r="D533" s="466"/>
      <c r="E533" s="466"/>
      <c r="F533" s="466"/>
      <c r="G533" s="466"/>
      <c r="H533" s="466"/>
      <c r="I533" s="751"/>
      <c r="J533" s="466"/>
      <c r="K533" s="466"/>
      <c r="L533" s="466"/>
      <c r="M533" s="466"/>
      <c r="N533" s="466"/>
      <c r="O533" s="751"/>
      <c r="P533" s="466"/>
      <c r="Q533" s="466"/>
      <c r="R533" s="466"/>
      <c r="S533" s="751"/>
      <c r="T533" s="466"/>
      <c r="U533" s="751"/>
      <c r="V533" s="1461"/>
      <c r="W533" s="751"/>
      <c r="X533" s="378"/>
      <c r="Y533" s="180"/>
      <c r="Z533" s="180"/>
      <c r="AA533" s="180"/>
      <c r="AB533" s="180"/>
    </row>
    <row r="534" spans="1:28">
      <c r="A534" s="631"/>
      <c r="B534" s="388"/>
      <c r="C534" s="391"/>
      <c r="D534" s="391"/>
      <c r="E534" s="391"/>
      <c r="F534" s="391"/>
      <c r="G534" s="391"/>
      <c r="H534" s="391"/>
      <c r="I534" s="749"/>
      <c r="J534" s="391"/>
      <c r="K534" s="391"/>
      <c r="L534" s="391"/>
      <c r="M534" s="391"/>
      <c r="N534" s="391"/>
      <c r="O534" s="749"/>
      <c r="P534" s="391"/>
      <c r="Q534" s="391"/>
      <c r="R534" s="391"/>
      <c r="S534" s="749"/>
      <c r="T534" s="391"/>
      <c r="U534" s="749"/>
      <c r="V534" s="391"/>
      <c r="W534" s="749"/>
      <c r="X534" s="378"/>
      <c r="Y534" s="180"/>
      <c r="Z534" s="180"/>
      <c r="AA534" s="180"/>
      <c r="AB534" s="180"/>
    </row>
    <row r="535" spans="1:28" s="203" customFormat="1">
      <c r="A535" s="631"/>
      <c r="B535" s="389"/>
      <c r="C535" s="392"/>
      <c r="D535" s="392"/>
      <c r="E535" s="392"/>
      <c r="F535" s="392"/>
      <c r="G535" s="392"/>
      <c r="H535" s="392"/>
      <c r="I535" s="750"/>
      <c r="J535" s="392"/>
      <c r="K535" s="392"/>
      <c r="L535" s="392"/>
      <c r="M535" s="392"/>
      <c r="N535" s="392"/>
      <c r="O535" s="750"/>
      <c r="P535" s="392"/>
      <c r="Q535" s="392"/>
      <c r="R535" s="392"/>
      <c r="S535" s="750"/>
      <c r="T535" s="392"/>
      <c r="U535" s="750"/>
      <c r="V535" s="392"/>
      <c r="W535" s="750"/>
      <c r="X535" s="378"/>
      <c r="Y535" s="180"/>
      <c r="Z535" s="180"/>
      <c r="AA535" s="180"/>
      <c r="AB535" s="180"/>
    </row>
    <row r="536" spans="1:28" s="202" customFormat="1">
      <c r="A536" s="631"/>
      <c r="B536" s="634"/>
      <c r="C536" s="466"/>
      <c r="D536" s="466"/>
      <c r="E536" s="466"/>
      <c r="F536" s="466"/>
      <c r="G536" s="466"/>
      <c r="H536" s="466"/>
      <c r="I536" s="751"/>
      <c r="J536" s="466"/>
      <c r="K536" s="466"/>
      <c r="L536" s="466"/>
      <c r="M536" s="466"/>
      <c r="N536" s="466"/>
      <c r="O536" s="751"/>
      <c r="P536" s="466"/>
      <c r="Q536" s="466"/>
      <c r="R536" s="466"/>
      <c r="S536" s="751"/>
      <c r="T536" s="466"/>
      <c r="U536" s="751"/>
      <c r="V536" s="466"/>
      <c r="W536" s="751"/>
      <c r="X536" s="378"/>
      <c r="Y536" s="180"/>
      <c r="Z536" s="180"/>
      <c r="AA536" s="180"/>
      <c r="AB536" s="180"/>
    </row>
    <row r="537" spans="1:28">
      <c r="A537" s="631"/>
      <c r="B537" s="388"/>
      <c r="C537" s="391"/>
      <c r="D537" s="391"/>
      <c r="E537" s="391"/>
      <c r="F537" s="391"/>
      <c r="G537" s="391"/>
      <c r="H537" s="391"/>
      <c r="I537" s="749"/>
      <c r="J537" s="391"/>
      <c r="K537" s="391"/>
      <c r="L537" s="391"/>
      <c r="M537" s="391"/>
      <c r="N537" s="391"/>
      <c r="O537" s="749"/>
      <c r="P537" s="391"/>
      <c r="Q537" s="391"/>
      <c r="R537" s="391"/>
      <c r="S537" s="749"/>
      <c r="T537" s="391"/>
      <c r="U537" s="749"/>
      <c r="V537" s="391"/>
      <c r="W537" s="749"/>
      <c r="X537" s="378"/>
      <c r="Y537" s="180"/>
      <c r="Z537" s="180"/>
      <c r="AA537" s="180"/>
      <c r="AB537" s="180"/>
    </row>
    <row r="538" spans="1:28" s="203" customFormat="1">
      <c r="A538" s="631"/>
      <c r="B538" s="389"/>
      <c r="C538" s="392"/>
      <c r="D538" s="392"/>
      <c r="E538" s="392"/>
      <c r="F538" s="392"/>
      <c r="G538" s="392"/>
      <c r="H538" s="392"/>
      <c r="I538" s="750"/>
      <c r="J538" s="392"/>
      <c r="K538" s="392"/>
      <c r="L538" s="392"/>
      <c r="M538" s="392"/>
      <c r="N538" s="392"/>
      <c r="O538" s="750"/>
      <c r="P538" s="392"/>
      <c r="Q538" s="392"/>
      <c r="R538" s="392"/>
      <c r="S538" s="750"/>
      <c r="T538" s="392"/>
      <c r="U538" s="750"/>
      <c r="V538" s="392"/>
      <c r="W538" s="750"/>
      <c r="X538" s="378"/>
      <c r="Y538" s="180"/>
      <c r="Z538" s="180"/>
      <c r="AA538" s="180"/>
      <c r="AB538" s="180"/>
    </row>
    <row r="539" spans="1:28" s="202" customFormat="1">
      <c r="A539" s="631"/>
      <c r="B539" s="634"/>
      <c r="C539" s="466"/>
      <c r="D539" s="466"/>
      <c r="E539" s="466"/>
      <c r="F539" s="466"/>
      <c r="G539" s="466"/>
      <c r="H539" s="466"/>
      <c r="I539" s="751"/>
      <c r="J539" s="466"/>
      <c r="K539" s="466"/>
      <c r="L539" s="466"/>
      <c r="M539" s="466"/>
      <c r="N539" s="466"/>
      <c r="O539" s="751"/>
      <c r="P539" s="466"/>
      <c r="Q539" s="466"/>
      <c r="R539" s="466"/>
      <c r="S539" s="751"/>
      <c r="T539" s="466"/>
      <c r="U539" s="751"/>
      <c r="V539" s="466"/>
      <c r="W539" s="751"/>
      <c r="X539" s="378"/>
      <c r="Y539" s="180"/>
      <c r="Z539" s="180"/>
      <c r="AA539" s="180"/>
      <c r="AB539" s="180"/>
    </row>
    <row r="540" spans="1:28">
      <c r="A540" s="631"/>
      <c r="B540" s="388"/>
      <c r="C540" s="391"/>
      <c r="D540" s="391"/>
      <c r="E540" s="391"/>
      <c r="F540" s="391"/>
      <c r="G540" s="391"/>
      <c r="H540" s="391"/>
      <c r="I540" s="749"/>
      <c r="J540" s="391"/>
      <c r="K540" s="391"/>
      <c r="L540" s="391"/>
      <c r="M540" s="391"/>
      <c r="N540" s="391"/>
      <c r="O540" s="749"/>
      <c r="P540" s="391"/>
      <c r="Q540" s="391"/>
      <c r="R540" s="391"/>
      <c r="S540" s="749"/>
      <c r="T540" s="391"/>
      <c r="U540" s="749"/>
      <c r="V540" s="391"/>
      <c r="W540" s="749"/>
      <c r="X540" s="378"/>
      <c r="Y540" s="180"/>
      <c r="Z540" s="180"/>
      <c r="AA540" s="180"/>
      <c r="AB540" s="180"/>
    </row>
    <row r="541" spans="1:28" s="203" customFormat="1">
      <c r="A541" s="631"/>
      <c r="B541" s="389"/>
      <c r="C541" s="392"/>
      <c r="D541" s="392"/>
      <c r="E541" s="392"/>
      <c r="F541" s="392"/>
      <c r="G541" s="392"/>
      <c r="H541" s="392"/>
      <c r="I541" s="750"/>
      <c r="J541" s="392"/>
      <c r="K541" s="392"/>
      <c r="L541" s="392"/>
      <c r="M541" s="392"/>
      <c r="N541" s="392"/>
      <c r="O541" s="750"/>
      <c r="P541" s="392"/>
      <c r="Q541" s="392"/>
      <c r="R541" s="392"/>
      <c r="S541" s="750"/>
      <c r="T541" s="392"/>
      <c r="U541" s="750"/>
      <c r="V541" s="392"/>
      <c r="W541" s="750"/>
      <c r="X541" s="378"/>
      <c r="Y541" s="180"/>
      <c r="Z541" s="180"/>
      <c r="AA541" s="180"/>
      <c r="AB541" s="180"/>
    </row>
    <row r="542" spans="1:28" s="202" customFormat="1">
      <c r="A542" s="631"/>
      <c r="B542" s="634"/>
      <c r="C542" s="466"/>
      <c r="D542" s="466"/>
      <c r="E542" s="466"/>
      <c r="F542" s="466"/>
      <c r="G542" s="466"/>
      <c r="H542" s="466"/>
      <c r="I542" s="751"/>
      <c r="J542" s="466"/>
      <c r="K542" s="466"/>
      <c r="L542" s="466"/>
      <c r="M542" s="466"/>
      <c r="N542" s="466"/>
      <c r="O542" s="751"/>
      <c r="P542" s="466"/>
      <c r="Q542" s="466"/>
      <c r="R542" s="466"/>
      <c r="S542" s="751"/>
      <c r="T542" s="466"/>
      <c r="U542" s="751"/>
      <c r="V542" s="466"/>
      <c r="W542" s="751"/>
      <c r="X542" s="378"/>
      <c r="Y542" s="180"/>
      <c r="Z542" s="180"/>
      <c r="AA542" s="180"/>
      <c r="AB542" s="180"/>
    </row>
    <row r="543" spans="1:28">
      <c r="A543" s="631"/>
      <c r="B543" s="388"/>
      <c r="C543" s="391"/>
      <c r="D543" s="391"/>
      <c r="E543" s="391"/>
      <c r="F543" s="391"/>
      <c r="G543" s="391"/>
      <c r="H543" s="391"/>
      <c r="I543" s="749"/>
      <c r="J543" s="391"/>
      <c r="K543" s="391"/>
      <c r="L543" s="391"/>
      <c r="M543" s="391"/>
      <c r="N543" s="391"/>
      <c r="O543" s="749"/>
      <c r="P543" s="391"/>
      <c r="Q543" s="391"/>
      <c r="R543" s="391"/>
      <c r="S543" s="749"/>
      <c r="T543" s="391"/>
      <c r="U543" s="749"/>
      <c r="V543" s="391"/>
      <c r="W543" s="749"/>
      <c r="X543" s="378"/>
      <c r="Y543" s="180"/>
      <c r="Z543" s="180"/>
      <c r="AA543" s="180"/>
      <c r="AB543" s="180"/>
    </row>
    <row r="544" spans="1:28" s="203" customFormat="1">
      <c r="A544" s="631"/>
      <c r="B544" s="389"/>
      <c r="C544" s="392"/>
      <c r="D544" s="392"/>
      <c r="E544" s="392"/>
      <c r="F544" s="392"/>
      <c r="G544" s="392"/>
      <c r="H544" s="392"/>
      <c r="I544" s="750"/>
      <c r="J544" s="392"/>
      <c r="K544" s="392"/>
      <c r="L544" s="392"/>
      <c r="M544" s="392"/>
      <c r="N544" s="392"/>
      <c r="O544" s="750"/>
      <c r="P544" s="392"/>
      <c r="Q544" s="392"/>
      <c r="R544" s="392"/>
      <c r="S544" s="750"/>
      <c r="T544" s="392"/>
      <c r="U544" s="750"/>
      <c r="V544" s="392"/>
      <c r="W544" s="750"/>
      <c r="X544" s="378"/>
      <c r="Y544" s="180"/>
      <c r="Z544" s="180"/>
      <c r="AA544" s="180"/>
      <c r="AB544" s="180"/>
    </row>
    <row r="545" spans="1:28" s="202" customFormat="1">
      <c r="A545" s="631"/>
      <c r="B545" s="634"/>
      <c r="C545" s="466"/>
      <c r="D545" s="466"/>
      <c r="E545" s="466"/>
      <c r="F545" s="466"/>
      <c r="G545" s="466"/>
      <c r="H545" s="466"/>
      <c r="I545" s="751"/>
      <c r="J545" s="466"/>
      <c r="K545" s="466"/>
      <c r="L545" s="466"/>
      <c r="M545" s="466"/>
      <c r="N545" s="466"/>
      <c r="O545" s="751"/>
      <c r="P545" s="466"/>
      <c r="Q545" s="466"/>
      <c r="R545" s="466"/>
      <c r="S545" s="751"/>
      <c r="T545" s="466"/>
      <c r="U545" s="751"/>
      <c r="V545" s="466"/>
      <c r="W545" s="751"/>
      <c r="X545" s="378"/>
      <c r="Y545" s="180"/>
      <c r="Z545" s="180"/>
      <c r="AA545" s="180"/>
      <c r="AB545" s="180"/>
    </row>
    <row r="546" spans="1:28">
      <c r="A546" s="631"/>
      <c r="B546" s="388"/>
      <c r="C546" s="391"/>
      <c r="D546" s="391"/>
      <c r="E546" s="391"/>
      <c r="F546" s="391"/>
      <c r="G546" s="391"/>
      <c r="H546" s="391"/>
      <c r="I546" s="749"/>
      <c r="J546" s="391"/>
      <c r="K546" s="391"/>
      <c r="L546" s="391"/>
      <c r="M546" s="391"/>
      <c r="N546" s="391"/>
      <c r="O546" s="749"/>
      <c r="P546" s="391"/>
      <c r="Q546" s="391"/>
      <c r="R546" s="391"/>
      <c r="S546" s="749"/>
      <c r="T546" s="391"/>
      <c r="U546" s="749"/>
      <c r="V546" s="391"/>
      <c r="W546" s="749"/>
      <c r="X546" s="378"/>
      <c r="Y546" s="180"/>
      <c r="Z546" s="180"/>
      <c r="AA546" s="180"/>
      <c r="AB546" s="180"/>
    </row>
    <row r="547" spans="1:28" s="203" customFormat="1">
      <c r="A547" s="631"/>
      <c r="B547" s="389"/>
      <c r="C547" s="392"/>
      <c r="D547" s="392"/>
      <c r="E547" s="392"/>
      <c r="F547" s="392"/>
      <c r="G547" s="392"/>
      <c r="H547" s="392"/>
      <c r="I547" s="750"/>
      <c r="J547" s="392"/>
      <c r="K547" s="392"/>
      <c r="L547" s="392"/>
      <c r="M547" s="392"/>
      <c r="N547" s="392"/>
      <c r="O547" s="750"/>
      <c r="P547" s="392"/>
      <c r="Q547" s="392"/>
      <c r="R547" s="392"/>
      <c r="S547" s="750"/>
      <c r="T547" s="392"/>
      <c r="U547" s="750"/>
      <c r="V547" s="392"/>
      <c r="W547" s="750"/>
      <c r="X547" s="378"/>
      <c r="Y547" s="180"/>
      <c r="Z547" s="180"/>
      <c r="AA547" s="180"/>
      <c r="AB547" s="180"/>
    </row>
    <row r="548" spans="1:28" s="202" customFormat="1">
      <c r="A548" s="631"/>
      <c r="B548" s="634"/>
      <c r="C548" s="1461"/>
      <c r="D548" s="466"/>
      <c r="E548" s="466"/>
      <c r="F548" s="466"/>
      <c r="G548" s="466"/>
      <c r="H548" s="466"/>
      <c r="I548" s="751"/>
      <c r="J548" s="466"/>
      <c r="K548" s="466"/>
      <c r="L548" s="466"/>
      <c r="M548" s="466"/>
      <c r="N548" s="466"/>
      <c r="O548" s="751"/>
      <c r="P548" s="466"/>
      <c r="Q548" s="466"/>
      <c r="R548" s="466"/>
      <c r="S548" s="751"/>
      <c r="T548" s="466"/>
      <c r="U548" s="751"/>
      <c r="V548" s="466"/>
      <c r="W548" s="751"/>
      <c r="X548" s="378"/>
      <c r="Y548" s="180"/>
      <c r="Z548" s="180"/>
      <c r="AA548" s="180"/>
      <c r="AB548" s="180"/>
    </row>
    <row r="549" spans="1:28">
      <c r="A549" s="631"/>
      <c r="B549" s="388"/>
      <c r="C549" s="391"/>
      <c r="D549" s="391"/>
      <c r="E549" s="391"/>
      <c r="F549" s="391"/>
      <c r="G549" s="391"/>
      <c r="H549" s="391"/>
      <c r="I549" s="749"/>
      <c r="J549" s="391"/>
      <c r="K549" s="391"/>
      <c r="L549" s="391"/>
      <c r="M549" s="391"/>
      <c r="N549" s="391"/>
      <c r="O549" s="749"/>
      <c r="P549" s="391"/>
      <c r="Q549" s="391"/>
      <c r="R549" s="391"/>
      <c r="S549" s="749"/>
      <c r="T549" s="391"/>
      <c r="U549" s="749"/>
      <c r="V549" s="391"/>
      <c r="W549" s="749"/>
      <c r="X549" s="378"/>
      <c r="Y549" s="180"/>
      <c r="Z549" s="180"/>
      <c r="AA549" s="180"/>
      <c r="AB549" s="180"/>
    </row>
    <row r="550" spans="1:28" s="203" customFormat="1">
      <c r="A550" s="631"/>
      <c r="B550" s="389"/>
      <c r="C550" s="392"/>
      <c r="D550" s="392"/>
      <c r="E550" s="392"/>
      <c r="F550" s="392"/>
      <c r="G550" s="392"/>
      <c r="H550" s="392"/>
      <c r="I550" s="750"/>
      <c r="J550" s="392"/>
      <c r="K550" s="392"/>
      <c r="L550" s="392"/>
      <c r="M550" s="392"/>
      <c r="N550" s="392"/>
      <c r="O550" s="750"/>
      <c r="P550" s="392"/>
      <c r="Q550" s="392"/>
      <c r="R550" s="392"/>
      <c r="S550" s="750"/>
      <c r="T550" s="392"/>
      <c r="U550" s="750"/>
      <c r="V550" s="392"/>
      <c r="W550" s="750"/>
      <c r="X550" s="378"/>
      <c r="Y550" s="180"/>
      <c r="Z550" s="180"/>
      <c r="AA550" s="180"/>
      <c r="AB550" s="180"/>
    </row>
    <row r="551" spans="1:28" s="212" customFormat="1" ht="13.5" thickBot="1">
      <c r="A551" s="635"/>
      <c r="B551" s="761"/>
      <c r="C551" s="762"/>
      <c r="D551" s="762"/>
      <c r="E551" s="762"/>
      <c r="F551" s="762"/>
      <c r="G551" s="762"/>
      <c r="H551" s="762"/>
      <c r="I551" s="763"/>
      <c r="J551" s="762"/>
      <c r="K551" s="762"/>
      <c r="L551" s="762"/>
      <c r="M551" s="762"/>
      <c r="N551" s="762"/>
      <c r="O551" s="763"/>
      <c r="P551" s="762"/>
      <c r="Q551" s="762"/>
      <c r="R551" s="762"/>
      <c r="S551" s="763"/>
      <c r="T551" s="762"/>
      <c r="U551" s="763"/>
      <c r="V551" s="762"/>
      <c r="W551" s="763"/>
      <c r="X551" s="378"/>
      <c r="Y551" s="180"/>
      <c r="Z551" s="180"/>
      <c r="AA551" s="180"/>
      <c r="AB551" s="180"/>
    </row>
    <row r="552" spans="1:28" ht="13.5" thickTop="1">
      <c r="A552" s="230"/>
      <c r="B552" s="764"/>
      <c r="C552" s="765"/>
      <c r="D552" s="765"/>
      <c r="E552" s="765"/>
      <c r="F552" s="765"/>
      <c r="G552" s="765"/>
      <c r="H552" s="765"/>
      <c r="I552" s="766"/>
      <c r="J552" s="765"/>
      <c r="K552" s="765"/>
      <c r="L552" s="765"/>
      <c r="M552" s="765"/>
      <c r="N552" s="765"/>
      <c r="O552" s="766"/>
      <c r="P552" s="765"/>
      <c r="Q552" s="765"/>
      <c r="R552" s="765"/>
      <c r="S552" s="766"/>
      <c r="T552" s="765"/>
      <c r="U552" s="766"/>
      <c r="V552" s="765"/>
      <c r="W552" s="766"/>
      <c r="X552" s="378"/>
      <c r="Y552" s="180"/>
      <c r="Z552" s="180"/>
      <c r="AA552" s="180"/>
      <c r="AB552" s="180"/>
    </row>
    <row r="553" spans="1:28" s="203" customFormat="1">
      <c r="A553" s="631"/>
      <c r="B553" s="389"/>
      <c r="C553" s="392"/>
      <c r="D553" s="392"/>
      <c r="E553" s="392"/>
      <c r="F553" s="392"/>
      <c r="G553" s="392"/>
      <c r="H553" s="392"/>
      <c r="I553" s="750"/>
      <c r="J553" s="392"/>
      <c r="K553" s="392"/>
      <c r="L553" s="392"/>
      <c r="M553" s="392"/>
      <c r="N553" s="392"/>
      <c r="O553" s="750"/>
      <c r="P553" s="392"/>
      <c r="Q553" s="392"/>
      <c r="R553" s="392"/>
      <c r="S553" s="750"/>
      <c r="T553" s="392"/>
      <c r="U553" s="750"/>
      <c r="V553" s="392"/>
      <c r="W553" s="750"/>
      <c r="X553" s="378"/>
      <c r="Y553" s="180"/>
      <c r="Z553" s="180"/>
      <c r="AA553" s="180"/>
      <c r="AB553" s="180"/>
    </row>
    <row r="554" spans="1:28" s="202" customFormat="1">
      <c r="A554" s="632"/>
      <c r="B554" s="634"/>
      <c r="C554" s="466"/>
      <c r="D554" s="466"/>
      <c r="E554" s="466"/>
      <c r="F554" s="466"/>
      <c r="G554" s="466"/>
      <c r="H554" s="466"/>
      <c r="I554" s="751"/>
      <c r="J554" s="466"/>
      <c r="K554" s="466"/>
      <c r="L554" s="466"/>
      <c r="M554" s="466"/>
      <c r="N554" s="466"/>
      <c r="O554" s="751"/>
      <c r="P554" s="466"/>
      <c r="Q554" s="466"/>
      <c r="R554" s="466"/>
      <c r="S554" s="751"/>
      <c r="T554" s="466"/>
      <c r="U554" s="751"/>
      <c r="V554" s="466"/>
      <c r="W554" s="751"/>
      <c r="X554" s="378"/>
      <c r="Y554" s="180"/>
      <c r="Z554" s="180"/>
      <c r="AA554" s="180"/>
      <c r="AB554" s="180"/>
    </row>
    <row r="555" spans="1:28">
      <c r="A555" s="631"/>
      <c r="B555" s="388"/>
      <c r="C555" s="391"/>
      <c r="D555" s="391"/>
      <c r="E555" s="391"/>
      <c r="F555" s="391"/>
      <c r="G555" s="391"/>
      <c r="H555" s="391"/>
      <c r="I555" s="749"/>
      <c r="J555" s="391"/>
      <c r="K555" s="391"/>
      <c r="L555" s="391"/>
      <c r="M555" s="391"/>
      <c r="N555" s="391"/>
      <c r="O555" s="749"/>
      <c r="P555" s="391"/>
      <c r="Q555" s="391"/>
      <c r="R555" s="391"/>
      <c r="S555" s="749"/>
      <c r="T555" s="391"/>
      <c r="U555" s="749"/>
      <c r="V555" s="391"/>
      <c r="W555" s="749"/>
      <c r="X555" s="378"/>
      <c r="Y555" s="180"/>
      <c r="Z555" s="180"/>
      <c r="AA555" s="180"/>
      <c r="AB555" s="180"/>
    </row>
    <row r="556" spans="1:28" s="203" customFormat="1">
      <c r="A556" s="631"/>
      <c r="B556" s="389"/>
      <c r="C556" s="392"/>
      <c r="D556" s="392"/>
      <c r="E556" s="392"/>
      <c r="F556" s="392"/>
      <c r="G556" s="392"/>
      <c r="H556" s="392"/>
      <c r="I556" s="750"/>
      <c r="J556" s="392"/>
      <c r="K556" s="392"/>
      <c r="L556" s="392"/>
      <c r="M556" s="392"/>
      <c r="N556" s="392"/>
      <c r="O556" s="750"/>
      <c r="P556" s="392"/>
      <c r="Q556" s="392"/>
      <c r="R556" s="392"/>
      <c r="S556" s="750"/>
      <c r="T556" s="392"/>
      <c r="U556" s="750"/>
      <c r="V556" s="392"/>
      <c r="W556" s="750"/>
      <c r="X556" s="378"/>
      <c r="Y556" s="180"/>
      <c r="Z556" s="180"/>
      <c r="AA556" s="180"/>
      <c r="AB556" s="180"/>
    </row>
    <row r="557" spans="1:28" s="202" customFormat="1">
      <c r="A557" s="631"/>
      <c r="B557" s="634"/>
      <c r="C557" s="466"/>
      <c r="D557" s="466"/>
      <c r="E557" s="466"/>
      <c r="F557" s="466"/>
      <c r="G557" s="466"/>
      <c r="H557" s="466"/>
      <c r="I557" s="751"/>
      <c r="J557" s="466"/>
      <c r="K557" s="466"/>
      <c r="L557" s="466"/>
      <c r="M557" s="466"/>
      <c r="N557" s="466"/>
      <c r="O557" s="751"/>
      <c r="P557" s="466"/>
      <c r="Q557" s="466"/>
      <c r="R557" s="466"/>
      <c r="S557" s="751"/>
      <c r="T557" s="466"/>
      <c r="U557" s="751"/>
      <c r="V557" s="466"/>
      <c r="W557" s="751"/>
      <c r="X557" s="378"/>
      <c r="Y557" s="180"/>
      <c r="Z557" s="180"/>
      <c r="AA557" s="180"/>
      <c r="AB557" s="180"/>
    </row>
    <row r="558" spans="1:28">
      <c r="A558" s="631"/>
      <c r="B558" s="388"/>
      <c r="C558" s="391"/>
      <c r="D558" s="391"/>
      <c r="E558" s="391"/>
      <c r="F558" s="391"/>
      <c r="G558" s="391"/>
      <c r="H558" s="391"/>
      <c r="I558" s="749"/>
      <c r="J558" s="391"/>
      <c r="K558" s="391"/>
      <c r="L558" s="391"/>
      <c r="M558" s="391"/>
      <c r="N558" s="391"/>
      <c r="O558" s="749"/>
      <c r="P558" s="391"/>
      <c r="Q558" s="391"/>
      <c r="R558" s="391"/>
      <c r="S558" s="749"/>
      <c r="T558" s="391"/>
      <c r="U558" s="749"/>
      <c r="V558" s="391"/>
      <c r="W558" s="749"/>
      <c r="X558" s="378"/>
      <c r="Y558" s="180"/>
      <c r="Z558" s="180"/>
      <c r="AA558" s="180"/>
      <c r="AB558" s="180"/>
    </row>
    <row r="559" spans="1:28" s="203" customFormat="1">
      <c r="A559" s="631"/>
      <c r="B559" s="389"/>
      <c r="C559" s="392"/>
      <c r="D559" s="392"/>
      <c r="E559" s="392"/>
      <c r="F559" s="392"/>
      <c r="G559" s="392"/>
      <c r="H559" s="392"/>
      <c r="I559" s="750"/>
      <c r="J559" s="392"/>
      <c r="K559" s="392"/>
      <c r="L559" s="392"/>
      <c r="M559" s="392"/>
      <c r="N559" s="392"/>
      <c r="O559" s="750"/>
      <c r="P559" s="392"/>
      <c r="Q559" s="392"/>
      <c r="R559" s="392"/>
      <c r="S559" s="750"/>
      <c r="T559" s="392"/>
      <c r="U559" s="750"/>
      <c r="V559" s="392"/>
      <c r="W559" s="750"/>
      <c r="X559" s="378"/>
      <c r="Y559" s="180"/>
      <c r="Z559" s="180"/>
      <c r="AA559" s="180"/>
      <c r="AB559" s="180"/>
    </row>
    <row r="560" spans="1:28" s="202" customFormat="1">
      <c r="A560" s="631"/>
      <c r="B560" s="634"/>
      <c r="C560" s="466"/>
      <c r="D560" s="466"/>
      <c r="E560" s="466"/>
      <c r="F560" s="466"/>
      <c r="G560" s="466"/>
      <c r="H560" s="466"/>
      <c r="I560" s="751"/>
      <c r="J560" s="466"/>
      <c r="K560" s="466"/>
      <c r="L560" s="466"/>
      <c r="M560" s="466"/>
      <c r="N560" s="466"/>
      <c r="O560" s="751"/>
      <c r="P560" s="466"/>
      <c r="Q560" s="466"/>
      <c r="R560" s="466"/>
      <c r="S560" s="751"/>
      <c r="T560" s="466"/>
      <c r="U560" s="751"/>
      <c r="V560" s="466"/>
      <c r="W560" s="751"/>
      <c r="X560" s="378"/>
      <c r="Y560" s="180"/>
      <c r="Z560" s="180"/>
      <c r="AA560" s="180"/>
      <c r="AB560" s="180"/>
    </row>
    <row r="561" spans="1:28">
      <c r="A561" s="631"/>
      <c r="B561" s="388"/>
      <c r="C561" s="391"/>
      <c r="D561" s="391"/>
      <c r="E561" s="391"/>
      <c r="F561" s="391"/>
      <c r="G561" s="391"/>
      <c r="H561" s="391"/>
      <c r="I561" s="749"/>
      <c r="J561" s="391"/>
      <c r="K561" s="391"/>
      <c r="L561" s="391"/>
      <c r="M561" s="391"/>
      <c r="N561" s="391"/>
      <c r="O561" s="749"/>
      <c r="P561" s="391"/>
      <c r="Q561" s="391"/>
      <c r="R561" s="391"/>
      <c r="S561" s="749"/>
      <c r="T561" s="391"/>
      <c r="U561" s="749"/>
      <c r="V561" s="391"/>
      <c r="W561" s="749"/>
      <c r="X561" s="378"/>
      <c r="Y561" s="180"/>
      <c r="Z561" s="180"/>
      <c r="AA561" s="180"/>
      <c r="AB561" s="180"/>
    </row>
    <row r="562" spans="1:28" s="203" customFormat="1">
      <c r="A562" s="631"/>
      <c r="B562" s="389"/>
      <c r="C562" s="392"/>
      <c r="D562" s="392"/>
      <c r="E562" s="392"/>
      <c r="F562" s="392"/>
      <c r="G562" s="392"/>
      <c r="H562" s="392"/>
      <c r="I562" s="750"/>
      <c r="J562" s="392"/>
      <c r="K562" s="392"/>
      <c r="L562" s="392"/>
      <c r="M562" s="392"/>
      <c r="N562" s="392"/>
      <c r="O562" s="750"/>
      <c r="P562" s="392"/>
      <c r="Q562" s="392"/>
      <c r="R562" s="392"/>
      <c r="S562" s="750"/>
      <c r="T562" s="392"/>
      <c r="U562" s="750"/>
      <c r="V562" s="392"/>
      <c r="W562" s="750"/>
      <c r="X562" s="378"/>
      <c r="Y562" s="180"/>
      <c r="Z562" s="180"/>
      <c r="AA562" s="180"/>
      <c r="AB562" s="180"/>
    </row>
    <row r="563" spans="1:28" s="202" customFormat="1">
      <c r="A563" s="631"/>
      <c r="B563" s="634"/>
      <c r="C563" s="466"/>
      <c r="D563" s="466"/>
      <c r="E563" s="466"/>
      <c r="F563" s="466"/>
      <c r="G563" s="466"/>
      <c r="H563" s="466"/>
      <c r="I563" s="751"/>
      <c r="J563" s="466"/>
      <c r="K563" s="466"/>
      <c r="L563" s="466"/>
      <c r="M563" s="466"/>
      <c r="N563" s="466"/>
      <c r="O563" s="751"/>
      <c r="P563" s="466"/>
      <c r="Q563" s="466"/>
      <c r="R563" s="466"/>
      <c r="S563" s="751"/>
      <c r="T563" s="466"/>
      <c r="U563" s="751"/>
      <c r="V563" s="466"/>
      <c r="W563" s="751"/>
      <c r="X563" s="378"/>
      <c r="Y563" s="180"/>
      <c r="Z563" s="180"/>
      <c r="AA563" s="180"/>
      <c r="AB563" s="180"/>
    </row>
    <row r="564" spans="1:28">
      <c r="A564" s="631"/>
      <c r="B564" s="388"/>
      <c r="C564" s="391"/>
      <c r="D564" s="391"/>
      <c r="E564" s="391"/>
      <c r="F564" s="391"/>
      <c r="G564" s="391"/>
      <c r="H564" s="391"/>
      <c r="I564" s="749"/>
      <c r="J564" s="391"/>
      <c r="K564" s="391"/>
      <c r="L564" s="391"/>
      <c r="M564" s="391"/>
      <c r="N564" s="391"/>
      <c r="O564" s="749"/>
      <c r="P564" s="391"/>
      <c r="Q564" s="391"/>
      <c r="R564" s="391"/>
      <c r="S564" s="749"/>
      <c r="T564" s="391"/>
      <c r="U564" s="749"/>
      <c r="V564" s="391"/>
      <c r="W564" s="749"/>
      <c r="X564" s="378"/>
      <c r="Y564" s="180"/>
      <c r="Z564" s="180"/>
      <c r="AA564" s="180"/>
      <c r="AB564" s="180"/>
    </row>
    <row r="565" spans="1:28" s="203" customFormat="1">
      <c r="A565" s="631"/>
      <c r="B565" s="389"/>
      <c r="C565" s="392"/>
      <c r="D565" s="392"/>
      <c r="E565" s="392"/>
      <c r="F565" s="392"/>
      <c r="G565" s="392"/>
      <c r="H565" s="392"/>
      <c r="I565" s="750"/>
      <c r="J565" s="392"/>
      <c r="K565" s="392"/>
      <c r="L565" s="392"/>
      <c r="M565" s="392"/>
      <c r="N565" s="392"/>
      <c r="O565" s="750"/>
      <c r="P565" s="392"/>
      <c r="Q565" s="392"/>
      <c r="R565" s="392"/>
      <c r="S565" s="750"/>
      <c r="T565" s="392"/>
      <c r="U565" s="750"/>
      <c r="V565" s="392"/>
      <c r="W565" s="750"/>
      <c r="X565" s="378"/>
      <c r="Y565" s="180"/>
      <c r="Z565" s="180"/>
      <c r="AA565" s="180"/>
      <c r="AB565" s="180"/>
    </row>
    <row r="566" spans="1:28" s="202" customFormat="1">
      <c r="A566" s="631"/>
      <c r="B566" s="634"/>
      <c r="C566" s="466"/>
      <c r="D566" s="466"/>
      <c r="E566" s="1461"/>
      <c r="F566" s="466"/>
      <c r="G566" s="466"/>
      <c r="H566" s="466"/>
      <c r="I566" s="751"/>
      <c r="J566" s="466"/>
      <c r="K566" s="466"/>
      <c r="L566" s="466"/>
      <c r="M566" s="466"/>
      <c r="N566" s="466"/>
      <c r="O566" s="751"/>
      <c r="P566" s="466"/>
      <c r="Q566" s="466"/>
      <c r="R566" s="466"/>
      <c r="S566" s="751"/>
      <c r="T566" s="466"/>
      <c r="U566" s="751"/>
      <c r="V566" s="466"/>
      <c r="W566" s="751"/>
      <c r="X566" s="378"/>
      <c r="Y566" s="180"/>
      <c r="Z566" s="180"/>
      <c r="AA566" s="180"/>
      <c r="AB566" s="180"/>
    </row>
    <row r="567" spans="1:28">
      <c r="A567" s="631"/>
      <c r="B567" s="752"/>
      <c r="C567" s="749"/>
      <c r="D567" s="749"/>
      <c r="E567" s="749"/>
      <c r="F567" s="749"/>
      <c r="G567" s="749"/>
      <c r="H567" s="749"/>
      <c r="I567" s="749"/>
      <c r="J567" s="749"/>
      <c r="K567" s="749"/>
      <c r="L567" s="749"/>
      <c r="M567" s="749"/>
      <c r="N567" s="749"/>
      <c r="O567" s="749"/>
      <c r="P567" s="749"/>
      <c r="Q567" s="749"/>
      <c r="R567" s="749"/>
      <c r="S567" s="749"/>
      <c r="T567" s="749"/>
      <c r="U567" s="749"/>
      <c r="V567" s="749"/>
      <c r="W567" s="749"/>
      <c r="X567" s="378"/>
      <c r="Y567" s="180"/>
      <c r="Z567" s="180"/>
      <c r="AA567" s="180"/>
      <c r="AB567" s="180"/>
    </row>
    <row r="568" spans="1:28" s="203" customFormat="1">
      <c r="A568" s="631"/>
      <c r="B568" s="753"/>
      <c r="C568" s="750"/>
      <c r="D568" s="750"/>
      <c r="E568" s="750"/>
      <c r="F568" s="750"/>
      <c r="G568" s="750"/>
      <c r="H568" s="750"/>
      <c r="I568" s="750"/>
      <c r="J568" s="750"/>
      <c r="K568" s="750"/>
      <c r="L568" s="750"/>
      <c r="M568" s="750"/>
      <c r="N568" s="750"/>
      <c r="O568" s="750"/>
      <c r="P568" s="750"/>
      <c r="Q568" s="750"/>
      <c r="R568" s="750"/>
      <c r="S568" s="750"/>
      <c r="T568" s="750"/>
      <c r="U568" s="750"/>
      <c r="V568" s="750"/>
      <c r="W568" s="750"/>
      <c r="X568" s="378"/>
      <c r="Y568" s="180"/>
      <c r="Z568" s="180"/>
      <c r="AA568" s="180"/>
      <c r="AB568" s="180"/>
    </row>
    <row r="569" spans="1:28" s="202" customFormat="1">
      <c r="A569" s="631"/>
      <c r="B569" s="754"/>
      <c r="C569" s="751"/>
      <c r="D569" s="751"/>
      <c r="E569" s="751"/>
      <c r="F569" s="751"/>
      <c r="G569" s="751"/>
      <c r="H569" s="751"/>
      <c r="I569" s="751"/>
      <c r="J569" s="751"/>
      <c r="K569" s="751"/>
      <c r="L569" s="751"/>
      <c r="M569" s="751"/>
      <c r="N569" s="751"/>
      <c r="O569" s="751"/>
      <c r="P569" s="751"/>
      <c r="Q569" s="751"/>
      <c r="R569" s="751"/>
      <c r="S569" s="751"/>
      <c r="T569" s="751"/>
      <c r="U569" s="751"/>
      <c r="V569" s="751"/>
      <c r="W569" s="751"/>
      <c r="X569" s="378"/>
      <c r="Y569" s="180"/>
      <c r="Z569" s="180"/>
      <c r="AA569" s="180"/>
      <c r="AB569" s="180"/>
    </row>
    <row r="570" spans="1:28">
      <c r="A570" s="631"/>
      <c r="B570" s="388"/>
      <c r="C570" s="391"/>
      <c r="D570" s="391"/>
      <c r="E570" s="391"/>
      <c r="F570" s="391"/>
      <c r="G570" s="391"/>
      <c r="H570" s="391"/>
      <c r="I570" s="749"/>
      <c r="J570" s="391"/>
      <c r="K570" s="391"/>
      <c r="L570" s="391"/>
      <c r="M570" s="391"/>
      <c r="N570" s="391"/>
      <c r="O570" s="749"/>
      <c r="P570" s="391"/>
      <c r="Q570" s="391"/>
      <c r="R570" s="391"/>
      <c r="S570" s="749"/>
      <c r="T570" s="391"/>
      <c r="U570" s="749"/>
      <c r="V570" s="391"/>
      <c r="W570" s="749"/>
      <c r="X570" s="378"/>
      <c r="Y570" s="180"/>
      <c r="Z570" s="180"/>
      <c r="AA570" s="180"/>
      <c r="AB570" s="180"/>
    </row>
    <row r="571" spans="1:28" s="203" customFormat="1">
      <c r="A571" s="631"/>
      <c r="B571" s="389"/>
      <c r="C571" s="392"/>
      <c r="D571" s="392"/>
      <c r="E571" s="392"/>
      <c r="F571" s="392"/>
      <c r="G571" s="392"/>
      <c r="H571" s="392"/>
      <c r="I571" s="750"/>
      <c r="J571" s="392"/>
      <c r="K571" s="392"/>
      <c r="L571" s="392"/>
      <c r="M571" s="392"/>
      <c r="N571" s="392"/>
      <c r="O571" s="750"/>
      <c r="P571" s="392"/>
      <c r="Q571" s="392"/>
      <c r="R571" s="392"/>
      <c r="S571" s="750"/>
      <c r="T571" s="392"/>
      <c r="U571" s="750"/>
      <c r="V571" s="392"/>
      <c r="W571" s="750"/>
      <c r="X571" s="378"/>
      <c r="Y571" s="180"/>
      <c r="Z571" s="180"/>
      <c r="AA571" s="180"/>
      <c r="AB571" s="180"/>
    </row>
    <row r="572" spans="1:28" s="202" customFormat="1">
      <c r="A572" s="631"/>
      <c r="B572" s="634"/>
      <c r="C572" s="466"/>
      <c r="D572" s="466"/>
      <c r="E572" s="466"/>
      <c r="F572" s="466"/>
      <c r="G572" s="466"/>
      <c r="H572" s="466"/>
      <c r="I572" s="751"/>
      <c r="J572" s="466"/>
      <c r="K572" s="466"/>
      <c r="L572" s="466"/>
      <c r="M572" s="466"/>
      <c r="N572" s="466"/>
      <c r="O572" s="751"/>
      <c r="P572" s="466"/>
      <c r="Q572" s="466"/>
      <c r="R572" s="466"/>
      <c r="S572" s="751"/>
      <c r="T572" s="466"/>
      <c r="U572" s="751"/>
      <c r="V572" s="466"/>
      <c r="W572" s="751"/>
      <c r="X572" s="378"/>
      <c r="Y572" s="180"/>
      <c r="Z572" s="180"/>
      <c r="AA572" s="180"/>
      <c r="AB572" s="180"/>
    </row>
    <row r="573" spans="1:28">
      <c r="A573" s="631"/>
      <c r="B573" s="388"/>
      <c r="C573" s="391"/>
      <c r="D573" s="391"/>
      <c r="E573" s="391"/>
      <c r="F573" s="391"/>
      <c r="G573" s="391"/>
      <c r="H573" s="391"/>
      <c r="I573" s="749"/>
      <c r="J573" s="391"/>
      <c r="K573" s="391"/>
      <c r="L573" s="391"/>
      <c r="M573" s="391"/>
      <c r="N573" s="391"/>
      <c r="O573" s="749"/>
      <c r="P573" s="391"/>
      <c r="Q573" s="391"/>
      <c r="R573" s="391"/>
      <c r="S573" s="749"/>
      <c r="T573" s="391"/>
      <c r="U573" s="749"/>
      <c r="V573" s="391"/>
      <c r="W573" s="749"/>
      <c r="X573" s="378"/>
      <c r="Y573" s="180"/>
      <c r="Z573" s="180"/>
      <c r="AA573" s="180"/>
      <c r="AB573" s="180"/>
    </row>
    <row r="574" spans="1:28" s="203" customFormat="1">
      <c r="A574" s="631"/>
      <c r="B574" s="389"/>
      <c r="C574" s="392"/>
      <c r="D574" s="392"/>
      <c r="E574" s="392"/>
      <c r="F574" s="392"/>
      <c r="G574" s="392"/>
      <c r="H574" s="392"/>
      <c r="I574" s="750"/>
      <c r="J574" s="392"/>
      <c r="K574" s="392"/>
      <c r="L574" s="392"/>
      <c r="M574" s="392"/>
      <c r="N574" s="392"/>
      <c r="O574" s="750"/>
      <c r="P574" s="392"/>
      <c r="Q574" s="392"/>
      <c r="R574" s="392"/>
      <c r="S574" s="750"/>
      <c r="T574" s="392"/>
      <c r="U574" s="750"/>
      <c r="V574" s="392"/>
      <c r="W574" s="750"/>
      <c r="X574" s="378"/>
      <c r="Y574" s="180"/>
      <c r="Z574" s="180"/>
      <c r="AA574" s="180"/>
      <c r="AB574" s="180"/>
    </row>
    <row r="575" spans="1:28" s="202" customFormat="1">
      <c r="A575" s="631"/>
      <c r="B575" s="634"/>
      <c r="C575" s="466"/>
      <c r="D575" s="466"/>
      <c r="E575" s="466"/>
      <c r="F575" s="466"/>
      <c r="G575" s="466"/>
      <c r="H575" s="466"/>
      <c r="I575" s="751"/>
      <c r="J575" s="466"/>
      <c r="K575" s="466"/>
      <c r="L575" s="466"/>
      <c r="M575" s="466"/>
      <c r="N575" s="466"/>
      <c r="O575" s="751"/>
      <c r="P575" s="466"/>
      <c r="Q575" s="466"/>
      <c r="R575" s="466"/>
      <c r="S575" s="751"/>
      <c r="T575" s="466"/>
      <c r="U575" s="751"/>
      <c r="V575" s="466"/>
      <c r="W575" s="751"/>
      <c r="X575" s="378"/>
      <c r="Y575" s="180"/>
      <c r="Z575" s="180"/>
      <c r="AA575" s="180"/>
      <c r="AB575" s="180"/>
    </row>
    <row r="576" spans="1:28">
      <c r="A576" s="631"/>
      <c r="B576" s="388"/>
      <c r="C576" s="391"/>
      <c r="D576" s="391"/>
      <c r="E576" s="391"/>
      <c r="F576" s="391"/>
      <c r="G576" s="391"/>
      <c r="H576" s="391"/>
      <c r="I576" s="749"/>
      <c r="J576" s="391"/>
      <c r="K576" s="391"/>
      <c r="L576" s="391"/>
      <c r="M576" s="391"/>
      <c r="N576" s="391"/>
      <c r="O576" s="749"/>
      <c r="P576" s="391"/>
      <c r="Q576" s="391"/>
      <c r="R576" s="391"/>
      <c r="S576" s="749"/>
      <c r="T576" s="391"/>
      <c r="U576" s="749"/>
      <c r="V576" s="391"/>
      <c r="W576" s="749"/>
      <c r="X576" s="378"/>
      <c r="Y576" s="180"/>
      <c r="Z576" s="180"/>
      <c r="AA576" s="180"/>
      <c r="AB576" s="180"/>
    </row>
    <row r="577" spans="1:28" s="203" customFormat="1">
      <c r="A577" s="631"/>
      <c r="B577" s="389"/>
      <c r="C577" s="392"/>
      <c r="D577" s="392"/>
      <c r="E577" s="392"/>
      <c r="F577" s="392"/>
      <c r="G577" s="392"/>
      <c r="H577" s="392"/>
      <c r="I577" s="750"/>
      <c r="J577" s="392"/>
      <c r="K577" s="392"/>
      <c r="L577" s="392"/>
      <c r="M577" s="392"/>
      <c r="N577" s="392"/>
      <c r="O577" s="750"/>
      <c r="P577" s="392"/>
      <c r="Q577" s="392"/>
      <c r="R577" s="392"/>
      <c r="S577" s="750"/>
      <c r="T577" s="392"/>
      <c r="U577" s="750"/>
      <c r="V577" s="392"/>
      <c r="W577" s="750"/>
      <c r="X577" s="378"/>
      <c r="Y577" s="180"/>
      <c r="Z577" s="180"/>
      <c r="AA577" s="180"/>
      <c r="AB577" s="180"/>
    </row>
    <row r="578" spans="1:28" s="202" customFormat="1">
      <c r="A578" s="631"/>
      <c r="B578" s="634"/>
      <c r="C578" s="466"/>
      <c r="D578" s="466"/>
      <c r="E578" s="466"/>
      <c r="F578" s="466"/>
      <c r="G578" s="466"/>
      <c r="H578" s="466"/>
      <c r="I578" s="751"/>
      <c r="J578" s="466"/>
      <c r="K578" s="466"/>
      <c r="L578" s="466"/>
      <c r="M578" s="466"/>
      <c r="N578" s="466"/>
      <c r="O578" s="751"/>
      <c r="P578" s="466"/>
      <c r="Q578" s="466"/>
      <c r="R578" s="466"/>
      <c r="S578" s="751"/>
      <c r="T578" s="466"/>
      <c r="U578" s="751"/>
      <c r="V578" s="466"/>
      <c r="W578" s="751"/>
      <c r="X578" s="378"/>
      <c r="Y578" s="180"/>
      <c r="Z578" s="180"/>
      <c r="AA578" s="180"/>
      <c r="AB578" s="180"/>
    </row>
    <row r="579" spans="1:28">
      <c r="A579" s="631"/>
      <c r="B579" s="388"/>
      <c r="C579" s="391"/>
      <c r="D579" s="391"/>
      <c r="E579" s="391"/>
      <c r="F579" s="391"/>
      <c r="G579" s="391"/>
      <c r="H579" s="391"/>
      <c r="I579" s="749"/>
      <c r="J579" s="391"/>
      <c r="K579" s="391"/>
      <c r="L579" s="391"/>
      <c r="M579" s="391"/>
      <c r="N579" s="391"/>
      <c r="O579" s="749"/>
      <c r="P579" s="391"/>
      <c r="Q579" s="391"/>
      <c r="R579" s="391"/>
      <c r="S579" s="749"/>
      <c r="T579" s="391"/>
      <c r="U579" s="749"/>
      <c r="V579" s="391"/>
      <c r="W579" s="749"/>
      <c r="X579" s="378"/>
      <c r="Y579" s="180"/>
      <c r="Z579" s="180"/>
      <c r="AA579" s="180"/>
      <c r="AB579" s="180"/>
    </row>
    <row r="580" spans="1:28" s="203" customFormat="1">
      <c r="A580" s="631"/>
      <c r="B580" s="389"/>
      <c r="C580" s="392"/>
      <c r="D580" s="392"/>
      <c r="E580" s="392"/>
      <c r="F580" s="392"/>
      <c r="G580" s="392"/>
      <c r="H580" s="392"/>
      <c r="I580" s="750"/>
      <c r="J580" s="392"/>
      <c r="K580" s="392"/>
      <c r="L580" s="392"/>
      <c r="M580" s="392"/>
      <c r="N580" s="392"/>
      <c r="O580" s="750"/>
      <c r="P580" s="392"/>
      <c r="Q580" s="392"/>
      <c r="R580" s="392"/>
      <c r="S580" s="750"/>
      <c r="T580" s="392"/>
      <c r="U580" s="750"/>
      <c r="V580" s="392"/>
      <c r="W580" s="750"/>
      <c r="X580" s="378"/>
      <c r="Y580" s="180"/>
      <c r="Z580" s="180"/>
      <c r="AA580" s="180"/>
      <c r="AB580" s="180"/>
    </row>
    <row r="581" spans="1:28" s="202" customFormat="1">
      <c r="A581" s="631"/>
      <c r="B581" s="634"/>
      <c r="C581" s="466"/>
      <c r="D581" s="466"/>
      <c r="E581" s="466"/>
      <c r="F581" s="466"/>
      <c r="G581" s="466"/>
      <c r="H581" s="466"/>
      <c r="I581" s="751"/>
      <c r="J581" s="466"/>
      <c r="K581" s="466"/>
      <c r="L581" s="466"/>
      <c r="M581" s="466"/>
      <c r="N581" s="466"/>
      <c r="O581" s="751"/>
      <c r="P581" s="466"/>
      <c r="Q581" s="466"/>
      <c r="R581" s="466"/>
      <c r="S581" s="751"/>
      <c r="T581" s="466"/>
      <c r="U581" s="751"/>
      <c r="V581" s="466"/>
      <c r="W581" s="751"/>
      <c r="X581" s="378"/>
      <c r="Y581" s="180"/>
      <c r="Z581" s="180"/>
      <c r="AA581" s="180"/>
      <c r="AB581" s="180"/>
    </row>
    <row r="582" spans="1:28">
      <c r="A582" s="631"/>
      <c r="B582" s="388"/>
      <c r="C582" s="391"/>
      <c r="D582" s="391"/>
      <c r="E582" s="391"/>
      <c r="F582" s="391"/>
      <c r="G582" s="391"/>
      <c r="H582" s="391"/>
      <c r="I582" s="749"/>
      <c r="J582" s="391"/>
      <c r="K582" s="391"/>
      <c r="L582" s="391"/>
      <c r="M582" s="391"/>
      <c r="N582" s="391"/>
      <c r="O582" s="749"/>
      <c r="P582" s="391"/>
      <c r="Q582" s="391"/>
      <c r="R582" s="391"/>
      <c r="S582" s="749"/>
      <c r="T582" s="391"/>
      <c r="U582" s="749"/>
      <c r="V582" s="391"/>
      <c r="W582" s="749"/>
      <c r="X582" s="378"/>
      <c r="Y582" s="180"/>
      <c r="Z582" s="180"/>
      <c r="AA582" s="180"/>
      <c r="AB582" s="180"/>
    </row>
    <row r="583" spans="1:28" s="203" customFormat="1">
      <c r="A583" s="631"/>
      <c r="B583" s="389"/>
      <c r="C583" s="392"/>
      <c r="D583" s="392"/>
      <c r="E583" s="392"/>
      <c r="F583" s="392"/>
      <c r="G583" s="392"/>
      <c r="H583" s="392"/>
      <c r="I583" s="750"/>
      <c r="J583" s="392"/>
      <c r="K583" s="392"/>
      <c r="L583" s="392"/>
      <c r="M583" s="392"/>
      <c r="N583" s="392"/>
      <c r="O583" s="750"/>
      <c r="P583" s="392"/>
      <c r="Q583" s="392"/>
      <c r="R583" s="392"/>
      <c r="S583" s="750"/>
      <c r="T583" s="392"/>
      <c r="U583" s="750"/>
      <c r="V583" s="392"/>
      <c r="W583" s="750"/>
      <c r="X583" s="378"/>
      <c r="Y583" s="180"/>
      <c r="Z583" s="180"/>
      <c r="AA583" s="180"/>
      <c r="AB583" s="180"/>
    </row>
    <row r="584" spans="1:28" s="202" customFormat="1">
      <c r="A584" s="631"/>
      <c r="B584" s="634"/>
      <c r="C584" s="466"/>
      <c r="D584" s="466"/>
      <c r="E584" s="466"/>
      <c r="F584" s="466"/>
      <c r="G584" s="466"/>
      <c r="H584" s="466"/>
      <c r="I584" s="751"/>
      <c r="J584" s="466"/>
      <c r="K584" s="466"/>
      <c r="L584" s="466"/>
      <c r="M584" s="466"/>
      <c r="N584" s="466"/>
      <c r="O584" s="751"/>
      <c r="P584" s="466"/>
      <c r="Q584" s="466"/>
      <c r="R584" s="466"/>
      <c r="S584" s="751"/>
      <c r="T584" s="466"/>
      <c r="U584" s="751"/>
      <c r="V584" s="466"/>
      <c r="W584" s="751"/>
      <c r="X584" s="378"/>
      <c r="Y584" s="180"/>
      <c r="Z584" s="180"/>
      <c r="AA584" s="180"/>
      <c r="AB584" s="180"/>
    </row>
    <row r="585" spans="1:28">
      <c r="A585" s="631"/>
      <c r="B585" s="388"/>
      <c r="C585" s="391"/>
      <c r="D585" s="391"/>
      <c r="E585" s="391"/>
      <c r="F585" s="391"/>
      <c r="G585" s="391"/>
      <c r="H585" s="391"/>
      <c r="I585" s="749"/>
      <c r="J585" s="391"/>
      <c r="K585" s="391"/>
      <c r="L585" s="391"/>
      <c r="M585" s="391"/>
      <c r="N585" s="391"/>
      <c r="O585" s="749"/>
      <c r="P585" s="391"/>
      <c r="Q585" s="391"/>
      <c r="R585" s="391"/>
      <c r="S585" s="749"/>
      <c r="T585" s="391"/>
      <c r="U585" s="749"/>
      <c r="V585" s="391"/>
      <c r="W585" s="749"/>
      <c r="X585" s="378"/>
      <c r="Y585" s="180"/>
      <c r="Z585" s="180"/>
      <c r="AA585" s="180"/>
      <c r="AB585" s="180"/>
    </row>
    <row r="586" spans="1:28" s="203" customFormat="1">
      <c r="A586" s="631"/>
      <c r="B586" s="389"/>
      <c r="C586" s="392"/>
      <c r="D586" s="392"/>
      <c r="E586" s="392"/>
      <c r="F586" s="392"/>
      <c r="G586" s="392"/>
      <c r="H586" s="392"/>
      <c r="I586" s="750"/>
      <c r="J586" s="392"/>
      <c r="K586" s="392"/>
      <c r="L586" s="392"/>
      <c r="M586" s="392"/>
      <c r="N586" s="392"/>
      <c r="O586" s="750"/>
      <c r="P586" s="392"/>
      <c r="Q586" s="392"/>
      <c r="R586" s="392"/>
      <c r="S586" s="750"/>
      <c r="T586" s="392"/>
      <c r="U586" s="750"/>
      <c r="V586" s="392"/>
      <c r="W586" s="750"/>
      <c r="X586" s="378"/>
      <c r="Y586" s="180"/>
      <c r="Z586" s="180"/>
      <c r="AA586" s="180"/>
      <c r="AB586" s="180"/>
    </row>
    <row r="587" spans="1:28" s="202" customFormat="1">
      <c r="A587" s="631"/>
      <c r="B587" s="634"/>
      <c r="C587" s="466"/>
      <c r="D587" s="466"/>
      <c r="E587" s="466"/>
      <c r="F587" s="466"/>
      <c r="G587" s="466"/>
      <c r="H587" s="466"/>
      <c r="I587" s="751"/>
      <c r="J587" s="466"/>
      <c r="K587" s="466"/>
      <c r="L587" s="466"/>
      <c r="M587" s="466"/>
      <c r="N587" s="466"/>
      <c r="O587" s="751"/>
      <c r="P587" s="466"/>
      <c r="Q587" s="466"/>
      <c r="R587" s="466"/>
      <c r="S587" s="751"/>
      <c r="T587" s="466"/>
      <c r="U587" s="751"/>
      <c r="V587" s="466"/>
      <c r="W587" s="751"/>
      <c r="X587" s="378"/>
      <c r="Y587" s="180"/>
      <c r="Z587" s="180"/>
      <c r="AA587" s="180"/>
      <c r="AB587" s="180"/>
    </row>
    <row r="588" spans="1:28">
      <c r="A588" s="631"/>
      <c r="B588" s="388"/>
      <c r="C588" s="391"/>
      <c r="D588" s="391"/>
      <c r="E588" s="391"/>
      <c r="F588" s="391"/>
      <c r="G588" s="391"/>
      <c r="H588" s="391"/>
      <c r="I588" s="749"/>
      <c r="J588" s="391"/>
      <c r="K588" s="391"/>
      <c r="L588" s="391"/>
      <c r="M588" s="391"/>
      <c r="N588" s="391"/>
      <c r="O588" s="749"/>
      <c r="P588" s="391"/>
      <c r="Q588" s="391"/>
      <c r="R588" s="391"/>
      <c r="S588" s="749"/>
      <c r="T588" s="391"/>
      <c r="U588" s="749"/>
      <c r="V588" s="391"/>
      <c r="W588" s="749"/>
      <c r="X588" s="378"/>
      <c r="Y588" s="180"/>
      <c r="Z588" s="180"/>
      <c r="AA588" s="180"/>
      <c r="AB588" s="180"/>
    </row>
    <row r="589" spans="1:28" s="203" customFormat="1">
      <c r="A589" s="631"/>
      <c r="B589" s="389"/>
      <c r="C589" s="392"/>
      <c r="D589" s="392"/>
      <c r="E589" s="392"/>
      <c r="F589" s="392"/>
      <c r="G589" s="392"/>
      <c r="H589" s="392"/>
      <c r="I589" s="750"/>
      <c r="J589" s="392"/>
      <c r="K589" s="392"/>
      <c r="L589" s="392"/>
      <c r="M589" s="392"/>
      <c r="N589" s="392"/>
      <c r="O589" s="750"/>
      <c r="P589" s="392"/>
      <c r="Q589" s="392"/>
      <c r="R589" s="392"/>
      <c r="S589" s="750"/>
      <c r="T589" s="392"/>
      <c r="U589" s="750"/>
      <c r="V589" s="392"/>
      <c r="W589" s="750"/>
      <c r="X589" s="378"/>
      <c r="Y589" s="180"/>
      <c r="Z589" s="180"/>
      <c r="AA589" s="180"/>
      <c r="AB589" s="180"/>
    </row>
    <row r="590" spans="1:28" s="212" customFormat="1" ht="13.5" thickBot="1">
      <c r="A590" s="635"/>
      <c r="B590" s="761"/>
      <c r="C590" s="762"/>
      <c r="D590" s="762"/>
      <c r="E590" s="762"/>
      <c r="F590" s="762"/>
      <c r="G590" s="762"/>
      <c r="H590" s="762"/>
      <c r="I590" s="763"/>
      <c r="J590" s="762"/>
      <c r="K590" s="762"/>
      <c r="L590" s="762"/>
      <c r="M590" s="762"/>
      <c r="N590" s="762"/>
      <c r="O590" s="763"/>
      <c r="P590" s="762"/>
      <c r="Q590" s="762"/>
      <c r="R590" s="762"/>
      <c r="S590" s="763"/>
      <c r="T590" s="762"/>
      <c r="U590" s="763"/>
      <c r="V590" s="762"/>
      <c r="W590" s="763"/>
      <c r="X590" s="378"/>
      <c r="Y590" s="180"/>
      <c r="Z590" s="180"/>
      <c r="AA590" s="180"/>
      <c r="AB590" s="180"/>
    </row>
    <row r="591" spans="1:28" ht="13.5" thickTop="1">
      <c r="A591" s="230"/>
      <c r="B591" s="764"/>
      <c r="C591" s="765"/>
      <c r="D591" s="765"/>
      <c r="E591" s="765"/>
      <c r="F591" s="765"/>
      <c r="G591" s="765"/>
      <c r="H591" s="765"/>
      <c r="I591" s="766"/>
      <c r="J591" s="765"/>
      <c r="K591" s="765"/>
      <c r="L591" s="765"/>
      <c r="M591" s="765"/>
      <c r="N591" s="765"/>
      <c r="O591" s="766"/>
      <c r="P591" s="765"/>
      <c r="Q591" s="765"/>
      <c r="R591" s="765"/>
      <c r="S591" s="766"/>
      <c r="T591" s="765"/>
      <c r="U591" s="766"/>
      <c r="V591" s="765"/>
      <c r="W591" s="766"/>
      <c r="X591" s="378"/>
      <c r="Y591" s="180"/>
      <c r="Z591" s="180"/>
      <c r="AA591" s="180"/>
      <c r="AB591" s="180"/>
    </row>
    <row r="592" spans="1:28" s="203" customFormat="1">
      <c r="A592" s="631"/>
      <c r="B592" s="389"/>
      <c r="C592" s="392"/>
      <c r="D592" s="392"/>
      <c r="E592" s="392"/>
      <c r="F592" s="392"/>
      <c r="G592" s="392"/>
      <c r="H592" s="392"/>
      <c r="I592" s="750"/>
      <c r="J592" s="392"/>
      <c r="K592" s="392"/>
      <c r="L592" s="392"/>
      <c r="M592" s="392"/>
      <c r="N592" s="392"/>
      <c r="O592" s="750"/>
      <c r="P592" s="392"/>
      <c r="Q592" s="392"/>
      <c r="R592" s="392"/>
      <c r="S592" s="750"/>
      <c r="T592" s="392"/>
      <c r="U592" s="750"/>
      <c r="V592" s="392"/>
      <c r="W592" s="750"/>
      <c r="X592" s="378"/>
      <c r="Y592" s="180"/>
      <c r="Z592" s="180"/>
      <c r="AA592" s="180"/>
      <c r="AB592" s="180"/>
    </row>
    <row r="593" spans="1:28" s="202" customFormat="1">
      <c r="A593" s="632"/>
      <c r="B593" s="634"/>
      <c r="C593" s="466"/>
      <c r="D593" s="466"/>
      <c r="E593" s="466"/>
      <c r="F593" s="466"/>
      <c r="G593" s="466"/>
      <c r="H593" s="466"/>
      <c r="I593" s="751"/>
      <c r="J593" s="466"/>
      <c r="K593" s="466"/>
      <c r="L593" s="466"/>
      <c r="M593" s="466"/>
      <c r="N593" s="466"/>
      <c r="O593" s="751"/>
      <c r="P593" s="466"/>
      <c r="Q593" s="466"/>
      <c r="R593" s="466"/>
      <c r="S593" s="751"/>
      <c r="T593" s="1461"/>
      <c r="U593" s="751"/>
      <c r="V593" s="466"/>
      <c r="W593" s="751"/>
      <c r="X593" s="378"/>
      <c r="Y593" s="180"/>
      <c r="Z593" s="180"/>
      <c r="AA593" s="180"/>
      <c r="AB593" s="180"/>
    </row>
    <row r="594" spans="1:28">
      <c r="A594" s="631"/>
      <c r="B594" s="388"/>
      <c r="C594" s="391"/>
      <c r="D594" s="391"/>
      <c r="E594" s="391"/>
      <c r="F594" s="391"/>
      <c r="G594" s="391"/>
      <c r="H594" s="391"/>
      <c r="I594" s="749"/>
      <c r="J594" s="391"/>
      <c r="K594" s="391"/>
      <c r="L594" s="391"/>
      <c r="M594" s="391"/>
      <c r="N594" s="391"/>
      <c r="O594" s="749"/>
      <c r="P594" s="391"/>
      <c r="Q594" s="391"/>
      <c r="R594" s="391"/>
      <c r="S594" s="749"/>
      <c r="T594" s="391"/>
      <c r="U594" s="749"/>
      <c r="V594" s="391"/>
      <c r="W594" s="749"/>
      <c r="X594" s="378"/>
      <c r="Y594" s="180"/>
      <c r="Z594" s="180"/>
      <c r="AA594" s="180"/>
      <c r="AB594" s="180"/>
    </row>
    <row r="595" spans="1:28" s="203" customFormat="1">
      <c r="A595" s="631"/>
      <c r="B595" s="389"/>
      <c r="C595" s="392"/>
      <c r="D595" s="392"/>
      <c r="E595" s="392"/>
      <c r="F595" s="392"/>
      <c r="G595" s="392"/>
      <c r="H595" s="392"/>
      <c r="I595" s="750"/>
      <c r="J595" s="392"/>
      <c r="K595" s="392"/>
      <c r="L595" s="392"/>
      <c r="M595" s="392"/>
      <c r="N595" s="392"/>
      <c r="O595" s="750"/>
      <c r="P595" s="392"/>
      <c r="Q595" s="392"/>
      <c r="R595" s="392"/>
      <c r="S595" s="750"/>
      <c r="T595" s="392"/>
      <c r="U595" s="750"/>
      <c r="V595" s="392"/>
      <c r="W595" s="750"/>
      <c r="X595" s="378"/>
      <c r="Y595" s="180"/>
      <c r="Z595" s="180"/>
      <c r="AA595" s="180"/>
      <c r="AB595" s="180"/>
    </row>
    <row r="596" spans="1:28" s="202" customFormat="1">
      <c r="A596" s="631"/>
      <c r="B596" s="634"/>
      <c r="C596" s="466"/>
      <c r="D596" s="466"/>
      <c r="E596" s="466"/>
      <c r="F596" s="466"/>
      <c r="G596" s="466"/>
      <c r="H596" s="466"/>
      <c r="I596" s="751"/>
      <c r="J596" s="466"/>
      <c r="K596" s="466"/>
      <c r="L596" s="466"/>
      <c r="M596" s="466"/>
      <c r="N596" s="466"/>
      <c r="O596" s="751"/>
      <c r="P596" s="466"/>
      <c r="Q596" s="466"/>
      <c r="R596" s="466"/>
      <c r="S596" s="751"/>
      <c r="T596" s="466"/>
      <c r="U596" s="751"/>
      <c r="V596" s="466"/>
      <c r="W596" s="751"/>
      <c r="X596" s="378"/>
      <c r="Y596" s="180"/>
      <c r="Z596" s="180"/>
      <c r="AA596" s="180"/>
      <c r="AB596" s="180"/>
    </row>
    <row r="597" spans="1:28">
      <c r="A597" s="631"/>
      <c r="B597" s="388"/>
      <c r="C597" s="391"/>
      <c r="D597" s="391"/>
      <c r="E597" s="391"/>
      <c r="F597" s="391"/>
      <c r="G597" s="391"/>
      <c r="H597" s="391"/>
      <c r="I597" s="749"/>
      <c r="J597" s="391"/>
      <c r="K597" s="391"/>
      <c r="L597" s="391"/>
      <c r="M597" s="391"/>
      <c r="N597" s="391"/>
      <c r="O597" s="749"/>
      <c r="P597" s="391"/>
      <c r="Q597" s="391"/>
      <c r="R597" s="391"/>
      <c r="S597" s="749"/>
      <c r="T597" s="391"/>
      <c r="U597" s="749"/>
      <c r="V597" s="391"/>
      <c r="W597" s="749"/>
      <c r="X597" s="378"/>
      <c r="Y597" s="180"/>
      <c r="Z597" s="180"/>
      <c r="AA597" s="180"/>
      <c r="AB597" s="180"/>
    </row>
    <row r="598" spans="1:28" s="203" customFormat="1">
      <c r="A598" s="631"/>
      <c r="B598" s="389"/>
      <c r="C598" s="392"/>
      <c r="D598" s="392"/>
      <c r="E598" s="392"/>
      <c r="F598" s="392"/>
      <c r="G598" s="392"/>
      <c r="H598" s="392"/>
      <c r="I598" s="750"/>
      <c r="J598" s="392"/>
      <c r="K598" s="392"/>
      <c r="L598" s="392"/>
      <c r="M598" s="392"/>
      <c r="N598" s="392"/>
      <c r="O598" s="750"/>
      <c r="P598" s="392"/>
      <c r="Q598" s="392"/>
      <c r="R598" s="392"/>
      <c r="S598" s="750"/>
      <c r="T598" s="392"/>
      <c r="U598" s="750"/>
      <c r="V598" s="392"/>
      <c r="W598" s="750"/>
      <c r="X598" s="378"/>
      <c r="Y598" s="180"/>
      <c r="Z598" s="180"/>
      <c r="AA598" s="180"/>
      <c r="AB598" s="180"/>
    </row>
    <row r="599" spans="1:28" s="202" customFormat="1">
      <c r="A599" s="631"/>
      <c r="B599" s="634"/>
      <c r="C599" s="466"/>
      <c r="D599" s="466"/>
      <c r="E599" s="466"/>
      <c r="F599" s="466"/>
      <c r="G599" s="466"/>
      <c r="H599" s="466"/>
      <c r="I599" s="751"/>
      <c r="J599" s="466"/>
      <c r="K599" s="466"/>
      <c r="L599" s="466"/>
      <c r="M599" s="466"/>
      <c r="N599" s="466"/>
      <c r="O599" s="751"/>
      <c r="P599" s="466"/>
      <c r="Q599" s="466"/>
      <c r="R599" s="466"/>
      <c r="S599" s="751"/>
      <c r="T599" s="466"/>
      <c r="U599" s="751"/>
      <c r="V599" s="466"/>
      <c r="W599" s="751"/>
      <c r="X599" s="378"/>
      <c r="Y599" s="180"/>
      <c r="Z599" s="180"/>
      <c r="AA599" s="180"/>
      <c r="AB599" s="180"/>
    </row>
    <row r="600" spans="1:28">
      <c r="A600" s="631"/>
      <c r="B600" s="388"/>
      <c r="C600" s="391"/>
      <c r="D600" s="391"/>
      <c r="E600" s="391"/>
      <c r="F600" s="391"/>
      <c r="G600" s="391"/>
      <c r="H600" s="391"/>
      <c r="I600" s="749"/>
      <c r="J600" s="391"/>
      <c r="K600" s="391"/>
      <c r="L600" s="391"/>
      <c r="M600" s="391"/>
      <c r="N600" s="391"/>
      <c r="O600" s="749"/>
      <c r="P600" s="391"/>
      <c r="Q600" s="391"/>
      <c r="R600" s="391"/>
      <c r="S600" s="749"/>
      <c r="T600" s="391"/>
      <c r="U600" s="749"/>
      <c r="V600" s="391"/>
      <c r="W600" s="749"/>
      <c r="X600" s="378"/>
      <c r="Y600" s="180"/>
      <c r="Z600" s="180"/>
      <c r="AA600" s="180"/>
      <c r="AB600" s="180"/>
    </row>
    <row r="601" spans="1:28" s="203" customFormat="1">
      <c r="A601" s="631"/>
      <c r="B601" s="389"/>
      <c r="C601" s="392"/>
      <c r="D601" s="392"/>
      <c r="E601" s="392"/>
      <c r="F601" s="392"/>
      <c r="G601" s="392"/>
      <c r="H601" s="392"/>
      <c r="I601" s="750"/>
      <c r="J601" s="392"/>
      <c r="K601" s="392"/>
      <c r="L601" s="392"/>
      <c r="M601" s="392"/>
      <c r="N601" s="392"/>
      <c r="O601" s="750"/>
      <c r="P601" s="392"/>
      <c r="Q601" s="392"/>
      <c r="R601" s="392"/>
      <c r="S601" s="750"/>
      <c r="T601" s="392"/>
      <c r="U601" s="750"/>
      <c r="V601" s="392"/>
      <c r="W601" s="750"/>
      <c r="X601" s="378"/>
      <c r="Y601" s="180"/>
      <c r="Z601" s="180"/>
      <c r="AA601" s="180"/>
      <c r="AB601" s="180"/>
    </row>
    <row r="602" spans="1:28" s="202" customFormat="1">
      <c r="A602" s="631"/>
      <c r="B602" s="634"/>
      <c r="C602" s="466"/>
      <c r="D602" s="466"/>
      <c r="E602" s="466"/>
      <c r="F602" s="466"/>
      <c r="G602" s="466"/>
      <c r="H602" s="466"/>
      <c r="I602" s="751"/>
      <c r="J602" s="466"/>
      <c r="K602" s="466"/>
      <c r="L602" s="466"/>
      <c r="M602" s="466"/>
      <c r="N602" s="466"/>
      <c r="O602" s="751"/>
      <c r="P602" s="466"/>
      <c r="Q602" s="466"/>
      <c r="R602" s="466"/>
      <c r="S602" s="751"/>
      <c r="T602" s="466"/>
      <c r="U602" s="751"/>
      <c r="V602" s="466"/>
      <c r="W602" s="751"/>
      <c r="X602" s="378"/>
      <c r="Y602" s="180"/>
      <c r="Z602" s="180"/>
      <c r="AA602" s="180"/>
      <c r="AB602" s="180"/>
    </row>
    <row r="603" spans="1:28">
      <c r="A603" s="631"/>
      <c r="B603" s="388"/>
      <c r="C603" s="391"/>
      <c r="D603" s="391"/>
      <c r="E603" s="391"/>
      <c r="F603" s="391"/>
      <c r="G603" s="391"/>
      <c r="H603" s="391"/>
      <c r="I603" s="749"/>
      <c r="J603" s="391"/>
      <c r="K603" s="391"/>
      <c r="L603" s="391"/>
      <c r="M603" s="391"/>
      <c r="N603" s="391"/>
      <c r="O603" s="749"/>
      <c r="P603" s="391"/>
      <c r="Q603" s="391"/>
      <c r="R603" s="391"/>
      <c r="S603" s="749"/>
      <c r="T603" s="391"/>
      <c r="U603" s="749"/>
      <c r="V603" s="391"/>
      <c r="W603" s="749"/>
      <c r="X603" s="378"/>
      <c r="Y603" s="180"/>
      <c r="Z603" s="180"/>
      <c r="AA603" s="180"/>
      <c r="AB603" s="180"/>
    </row>
    <row r="604" spans="1:28" s="203" customFormat="1">
      <c r="A604" s="631"/>
      <c r="B604" s="389"/>
      <c r="C604" s="392"/>
      <c r="D604" s="392"/>
      <c r="E604" s="392"/>
      <c r="F604" s="392"/>
      <c r="G604" s="392"/>
      <c r="H604" s="392"/>
      <c r="I604" s="750"/>
      <c r="J604" s="392"/>
      <c r="K604" s="392"/>
      <c r="L604" s="392"/>
      <c r="M604" s="392"/>
      <c r="N604" s="392"/>
      <c r="O604" s="750"/>
      <c r="P604" s="392"/>
      <c r="Q604" s="392"/>
      <c r="R604" s="392"/>
      <c r="S604" s="750"/>
      <c r="T604" s="392"/>
      <c r="U604" s="750"/>
      <c r="V604" s="392"/>
      <c r="W604" s="750"/>
      <c r="X604" s="378"/>
      <c r="Y604" s="180"/>
      <c r="Z604" s="180"/>
      <c r="AA604" s="180"/>
      <c r="AB604" s="180"/>
    </row>
    <row r="605" spans="1:28" s="202" customFormat="1">
      <c r="A605" s="631"/>
      <c r="B605" s="634"/>
      <c r="C605" s="466"/>
      <c r="D605" s="466"/>
      <c r="E605" s="466"/>
      <c r="F605" s="466"/>
      <c r="G605" s="466"/>
      <c r="H605" s="466"/>
      <c r="I605" s="751"/>
      <c r="J605" s="466"/>
      <c r="K605" s="466"/>
      <c r="L605" s="466"/>
      <c r="M605" s="466"/>
      <c r="N605" s="466"/>
      <c r="O605" s="751"/>
      <c r="P605" s="466"/>
      <c r="Q605" s="466"/>
      <c r="R605" s="466"/>
      <c r="S605" s="751"/>
      <c r="T605" s="466"/>
      <c r="U605" s="751"/>
      <c r="V605" s="466"/>
      <c r="W605" s="751"/>
      <c r="X605" s="378"/>
      <c r="Y605" s="180"/>
      <c r="Z605" s="180"/>
      <c r="AA605" s="180"/>
      <c r="AB605" s="180"/>
    </row>
    <row r="606" spans="1:28">
      <c r="A606" s="631"/>
      <c r="B606" s="752"/>
      <c r="C606" s="749"/>
      <c r="D606" s="749"/>
      <c r="E606" s="749"/>
      <c r="F606" s="749"/>
      <c r="G606" s="749"/>
      <c r="H606" s="749"/>
      <c r="I606" s="749"/>
      <c r="J606" s="749"/>
      <c r="K606" s="749"/>
      <c r="L606" s="749"/>
      <c r="M606" s="749"/>
      <c r="N606" s="749"/>
      <c r="O606" s="749"/>
      <c r="P606" s="749"/>
      <c r="Q606" s="749"/>
      <c r="R606" s="749"/>
      <c r="S606" s="749"/>
      <c r="T606" s="749"/>
      <c r="U606" s="749"/>
      <c r="V606" s="749"/>
      <c r="W606" s="749"/>
      <c r="X606" s="378"/>
      <c r="Y606" s="180"/>
      <c r="Z606" s="180"/>
      <c r="AA606" s="180"/>
      <c r="AB606" s="180"/>
    </row>
    <row r="607" spans="1:28" s="203" customFormat="1">
      <c r="A607" s="631"/>
      <c r="B607" s="753"/>
      <c r="C607" s="750"/>
      <c r="D607" s="750"/>
      <c r="E607" s="750"/>
      <c r="F607" s="750"/>
      <c r="G607" s="750"/>
      <c r="H607" s="750"/>
      <c r="I607" s="750"/>
      <c r="J607" s="750"/>
      <c r="K607" s="750"/>
      <c r="L607" s="750"/>
      <c r="M607" s="750"/>
      <c r="N607" s="750"/>
      <c r="O607" s="750"/>
      <c r="P607" s="750"/>
      <c r="Q607" s="750"/>
      <c r="R607" s="750"/>
      <c r="S607" s="750"/>
      <c r="T607" s="750"/>
      <c r="U607" s="750"/>
      <c r="V607" s="750"/>
      <c r="W607" s="750"/>
      <c r="X607" s="378"/>
      <c r="Y607" s="180"/>
      <c r="Z607" s="180"/>
      <c r="AA607" s="180"/>
      <c r="AB607" s="180"/>
    </row>
    <row r="608" spans="1:28" s="202" customFormat="1">
      <c r="A608" s="631"/>
      <c r="B608" s="754"/>
      <c r="C608" s="751"/>
      <c r="D608" s="751"/>
      <c r="E608" s="751"/>
      <c r="F608" s="751"/>
      <c r="G608" s="751"/>
      <c r="H608" s="751"/>
      <c r="I608" s="751"/>
      <c r="J608" s="751"/>
      <c r="K608" s="751"/>
      <c r="L608" s="751"/>
      <c r="M608" s="751"/>
      <c r="N608" s="751"/>
      <c r="O608" s="751"/>
      <c r="P608" s="751"/>
      <c r="Q608" s="751"/>
      <c r="R608" s="751"/>
      <c r="S608" s="751"/>
      <c r="T608" s="751"/>
      <c r="U608" s="751"/>
      <c r="V608" s="751"/>
      <c r="W608" s="751"/>
      <c r="X608" s="378"/>
      <c r="Y608" s="180"/>
      <c r="Z608" s="180"/>
      <c r="AA608" s="180"/>
      <c r="AB608" s="180"/>
    </row>
    <row r="609" spans="1:28">
      <c r="A609" s="631"/>
      <c r="B609" s="388"/>
      <c r="C609" s="391"/>
      <c r="D609" s="391"/>
      <c r="E609" s="391"/>
      <c r="F609" s="391"/>
      <c r="G609" s="391"/>
      <c r="H609" s="391"/>
      <c r="I609" s="749"/>
      <c r="J609" s="391"/>
      <c r="K609" s="391"/>
      <c r="L609" s="391"/>
      <c r="M609" s="391"/>
      <c r="N609" s="391"/>
      <c r="O609" s="749"/>
      <c r="P609" s="391"/>
      <c r="Q609" s="391"/>
      <c r="R609" s="391"/>
      <c r="S609" s="749"/>
      <c r="T609" s="391"/>
      <c r="U609" s="749"/>
      <c r="V609" s="391"/>
      <c r="W609" s="749"/>
      <c r="X609" s="378"/>
      <c r="Y609" s="180"/>
      <c r="Z609" s="180"/>
      <c r="AA609" s="180"/>
      <c r="AB609" s="180"/>
    </row>
    <row r="610" spans="1:28" s="203" customFormat="1">
      <c r="A610" s="631"/>
      <c r="B610" s="389"/>
      <c r="C610" s="392"/>
      <c r="D610" s="392"/>
      <c r="E610" s="392"/>
      <c r="F610" s="392"/>
      <c r="G610" s="392"/>
      <c r="H610" s="392"/>
      <c r="I610" s="750"/>
      <c r="J610" s="392"/>
      <c r="K610" s="392"/>
      <c r="L610" s="392"/>
      <c r="M610" s="392"/>
      <c r="N610" s="392"/>
      <c r="O610" s="750"/>
      <c r="P610" s="392"/>
      <c r="Q610" s="392"/>
      <c r="R610" s="392"/>
      <c r="S610" s="750"/>
      <c r="T610" s="392"/>
      <c r="U610" s="750"/>
      <c r="V610" s="392"/>
      <c r="W610" s="750"/>
      <c r="X610" s="378"/>
      <c r="Y610" s="180"/>
      <c r="Z610" s="180"/>
      <c r="AA610" s="180"/>
      <c r="AB610" s="180"/>
    </row>
    <row r="611" spans="1:28" s="202" customFormat="1">
      <c r="A611" s="631"/>
      <c r="B611" s="634"/>
      <c r="C611" s="466"/>
      <c r="D611" s="466"/>
      <c r="E611" s="466"/>
      <c r="F611" s="466"/>
      <c r="G611" s="466"/>
      <c r="H611" s="466"/>
      <c r="I611" s="751"/>
      <c r="J611" s="466"/>
      <c r="K611" s="466"/>
      <c r="L611" s="466"/>
      <c r="M611" s="466"/>
      <c r="N611" s="466"/>
      <c r="O611" s="751"/>
      <c r="P611" s="466"/>
      <c r="Q611" s="466"/>
      <c r="R611" s="466"/>
      <c r="S611" s="751"/>
      <c r="T611" s="466"/>
      <c r="U611" s="751"/>
      <c r="V611" s="466"/>
      <c r="W611" s="751"/>
      <c r="X611" s="378"/>
      <c r="Y611" s="180"/>
      <c r="Z611" s="180"/>
      <c r="AA611" s="180"/>
      <c r="AB611" s="180"/>
    </row>
    <row r="612" spans="1:28">
      <c r="A612" s="631"/>
      <c r="B612" s="388"/>
      <c r="C612" s="391"/>
      <c r="D612" s="391"/>
      <c r="E612" s="391"/>
      <c r="F612" s="391"/>
      <c r="G612" s="391"/>
      <c r="H612" s="391"/>
      <c r="I612" s="749"/>
      <c r="J612" s="391"/>
      <c r="K612" s="391"/>
      <c r="L612" s="391"/>
      <c r="M612" s="391"/>
      <c r="N612" s="391"/>
      <c r="O612" s="749"/>
      <c r="P612" s="391"/>
      <c r="Q612" s="391"/>
      <c r="R612" s="391"/>
      <c r="S612" s="749"/>
      <c r="T612" s="391"/>
      <c r="U612" s="749"/>
      <c r="V612" s="391"/>
      <c r="W612" s="749"/>
      <c r="X612" s="378"/>
      <c r="Y612" s="180"/>
      <c r="Z612" s="180"/>
      <c r="AA612" s="180"/>
      <c r="AB612" s="180"/>
    </row>
    <row r="613" spans="1:28" s="203" customFormat="1">
      <c r="A613" s="631"/>
      <c r="B613" s="389"/>
      <c r="C613" s="392"/>
      <c r="D613" s="392"/>
      <c r="E613" s="392"/>
      <c r="F613" s="392"/>
      <c r="G613" s="392"/>
      <c r="H613" s="392"/>
      <c r="I613" s="750"/>
      <c r="J613" s="392"/>
      <c r="K613" s="392"/>
      <c r="L613" s="392"/>
      <c r="M613" s="392"/>
      <c r="N613" s="392"/>
      <c r="O613" s="750"/>
      <c r="P613" s="392"/>
      <c r="Q613" s="392"/>
      <c r="R613" s="392"/>
      <c r="S613" s="750"/>
      <c r="T613" s="392"/>
      <c r="U613" s="750"/>
      <c r="V613" s="392"/>
      <c r="W613" s="750"/>
      <c r="X613" s="378"/>
      <c r="Y613" s="180"/>
      <c r="Z613" s="180"/>
      <c r="AA613" s="180"/>
      <c r="AB613" s="180"/>
    </row>
    <row r="614" spans="1:28" s="202" customFormat="1">
      <c r="A614" s="631"/>
      <c r="B614" s="634"/>
      <c r="C614" s="466"/>
      <c r="D614" s="466"/>
      <c r="E614" s="466"/>
      <c r="F614" s="466"/>
      <c r="G614" s="466"/>
      <c r="H614" s="466"/>
      <c r="I614" s="751"/>
      <c r="J614" s="466"/>
      <c r="K614" s="466"/>
      <c r="L614" s="466"/>
      <c r="M614" s="466"/>
      <c r="N614" s="466"/>
      <c r="O614" s="751"/>
      <c r="P614" s="466"/>
      <c r="Q614" s="466"/>
      <c r="R614" s="466"/>
      <c r="S614" s="751"/>
      <c r="T614" s="466"/>
      <c r="U614" s="751"/>
      <c r="V614" s="466"/>
      <c r="W614" s="751"/>
      <c r="X614" s="378"/>
      <c r="Y614" s="180"/>
      <c r="Z614" s="180"/>
      <c r="AA614" s="180"/>
      <c r="AB614" s="180"/>
    </row>
    <row r="615" spans="1:28">
      <c r="A615" s="631"/>
      <c r="B615" s="388"/>
      <c r="C615" s="391"/>
      <c r="D615" s="391"/>
      <c r="E615" s="391"/>
      <c r="F615" s="391"/>
      <c r="G615" s="391"/>
      <c r="H615" s="391"/>
      <c r="I615" s="749"/>
      <c r="J615" s="391"/>
      <c r="K615" s="391"/>
      <c r="L615" s="391"/>
      <c r="M615" s="391"/>
      <c r="N615" s="391"/>
      <c r="O615" s="749"/>
      <c r="P615" s="391"/>
      <c r="Q615" s="391"/>
      <c r="R615" s="391"/>
      <c r="S615" s="749"/>
      <c r="T615" s="391"/>
      <c r="U615" s="749"/>
      <c r="V615" s="391"/>
      <c r="W615" s="749"/>
      <c r="X615" s="378"/>
      <c r="Y615" s="180"/>
      <c r="Z615" s="180"/>
      <c r="AA615" s="180"/>
      <c r="AB615" s="180"/>
    </row>
    <row r="616" spans="1:28" s="203" customFormat="1">
      <c r="A616" s="631"/>
      <c r="B616" s="389"/>
      <c r="C616" s="392"/>
      <c r="D616" s="392"/>
      <c r="E616" s="392"/>
      <c r="F616" s="392"/>
      <c r="G616" s="392"/>
      <c r="H616" s="392"/>
      <c r="I616" s="750"/>
      <c r="J616" s="392"/>
      <c r="K616" s="392"/>
      <c r="L616" s="392"/>
      <c r="M616" s="392"/>
      <c r="N616" s="392"/>
      <c r="O616" s="750"/>
      <c r="P616" s="392"/>
      <c r="Q616" s="392"/>
      <c r="R616" s="392"/>
      <c r="S616" s="750"/>
      <c r="T616" s="392"/>
      <c r="U616" s="750"/>
      <c r="V616" s="392"/>
      <c r="W616" s="750"/>
      <c r="X616" s="378"/>
      <c r="Y616" s="180"/>
      <c r="Z616" s="180"/>
      <c r="AA616" s="180"/>
      <c r="AB616" s="180"/>
    </row>
    <row r="617" spans="1:28" s="202" customFormat="1">
      <c r="A617" s="631"/>
      <c r="B617" s="634"/>
      <c r="C617" s="466"/>
      <c r="D617" s="466"/>
      <c r="E617" s="466"/>
      <c r="F617" s="466"/>
      <c r="G617" s="466"/>
      <c r="H617" s="466"/>
      <c r="I617" s="751"/>
      <c r="J617" s="466"/>
      <c r="K617" s="466"/>
      <c r="L617" s="466"/>
      <c r="M617" s="466"/>
      <c r="N617" s="466"/>
      <c r="O617" s="751"/>
      <c r="P617" s="466"/>
      <c r="Q617" s="466"/>
      <c r="R617" s="466"/>
      <c r="S617" s="751"/>
      <c r="T617" s="466"/>
      <c r="U617" s="751"/>
      <c r="V617" s="466"/>
      <c r="W617" s="751"/>
      <c r="X617" s="378"/>
      <c r="Y617" s="180"/>
      <c r="Z617" s="180"/>
      <c r="AA617" s="180"/>
      <c r="AB617" s="180"/>
    </row>
    <row r="618" spans="1:28">
      <c r="A618" s="631"/>
      <c r="B618" s="388"/>
      <c r="C618" s="391"/>
      <c r="D618" s="391"/>
      <c r="E618" s="391"/>
      <c r="F618" s="391"/>
      <c r="G618" s="391"/>
      <c r="H618" s="391"/>
      <c r="I618" s="749"/>
      <c r="J618" s="391"/>
      <c r="K618" s="391"/>
      <c r="L618" s="391"/>
      <c r="M618" s="391"/>
      <c r="N618" s="391"/>
      <c r="O618" s="749"/>
      <c r="P618" s="391"/>
      <c r="Q618" s="391"/>
      <c r="R618" s="391"/>
      <c r="S618" s="749"/>
      <c r="T618" s="391"/>
      <c r="U618" s="749"/>
      <c r="V618" s="391"/>
      <c r="W618" s="749"/>
      <c r="X618" s="378"/>
      <c r="Y618" s="180"/>
      <c r="Z618" s="180"/>
      <c r="AA618" s="180"/>
      <c r="AB618" s="180"/>
    </row>
    <row r="619" spans="1:28" s="203" customFormat="1">
      <c r="A619" s="631"/>
      <c r="B619" s="389"/>
      <c r="C619" s="392"/>
      <c r="D619" s="392"/>
      <c r="E619" s="392"/>
      <c r="F619" s="392"/>
      <c r="G619" s="392"/>
      <c r="H619" s="392"/>
      <c r="I619" s="750"/>
      <c r="J619" s="392"/>
      <c r="K619" s="392"/>
      <c r="L619" s="392"/>
      <c r="M619" s="392"/>
      <c r="N619" s="392"/>
      <c r="O619" s="750"/>
      <c r="P619" s="392"/>
      <c r="Q619" s="392"/>
      <c r="R619" s="392"/>
      <c r="S619" s="750"/>
      <c r="T619" s="392"/>
      <c r="U619" s="750"/>
      <c r="V619" s="392"/>
      <c r="W619" s="750"/>
      <c r="X619" s="378"/>
      <c r="Y619" s="180"/>
      <c r="Z619" s="180"/>
      <c r="AA619" s="180"/>
      <c r="AB619" s="180"/>
    </row>
    <row r="620" spans="1:28" s="202" customFormat="1">
      <c r="A620" s="631"/>
      <c r="B620" s="634"/>
      <c r="C620" s="466"/>
      <c r="D620" s="466"/>
      <c r="E620" s="466"/>
      <c r="F620" s="466"/>
      <c r="G620" s="466"/>
      <c r="H620" s="466"/>
      <c r="I620" s="751"/>
      <c r="J620" s="466"/>
      <c r="K620" s="466"/>
      <c r="L620" s="466"/>
      <c r="M620" s="466"/>
      <c r="N620" s="466"/>
      <c r="O620" s="751"/>
      <c r="P620" s="466"/>
      <c r="Q620" s="466"/>
      <c r="R620" s="466"/>
      <c r="S620" s="751"/>
      <c r="T620" s="466"/>
      <c r="U620" s="751"/>
      <c r="V620" s="466"/>
      <c r="W620" s="751"/>
      <c r="X620" s="378"/>
      <c r="Y620" s="180"/>
      <c r="Z620" s="180"/>
      <c r="AA620" s="180"/>
      <c r="AB620" s="180"/>
    </row>
    <row r="621" spans="1:28">
      <c r="A621" s="631"/>
      <c r="B621" s="388"/>
      <c r="C621" s="391"/>
      <c r="D621" s="391"/>
      <c r="E621" s="391"/>
      <c r="F621" s="391"/>
      <c r="G621" s="391"/>
      <c r="H621" s="391"/>
      <c r="I621" s="749"/>
      <c r="J621" s="391"/>
      <c r="K621" s="391"/>
      <c r="L621" s="391"/>
      <c r="M621" s="391"/>
      <c r="N621" s="391"/>
      <c r="O621" s="749"/>
      <c r="P621" s="391"/>
      <c r="Q621" s="391"/>
      <c r="R621" s="391"/>
      <c r="S621" s="749"/>
      <c r="T621" s="391"/>
      <c r="U621" s="749"/>
      <c r="V621" s="391"/>
      <c r="W621" s="749"/>
      <c r="X621" s="378"/>
      <c r="Y621" s="180"/>
      <c r="Z621" s="180"/>
      <c r="AA621" s="180"/>
      <c r="AB621" s="180"/>
    </row>
    <row r="622" spans="1:28" s="203" customFormat="1">
      <c r="A622" s="631"/>
      <c r="B622" s="389"/>
      <c r="C622" s="392"/>
      <c r="D622" s="392"/>
      <c r="E622" s="392"/>
      <c r="F622" s="392"/>
      <c r="G622" s="392"/>
      <c r="H622" s="392"/>
      <c r="I622" s="750"/>
      <c r="J622" s="392"/>
      <c r="K622" s="392"/>
      <c r="L622" s="392"/>
      <c r="M622" s="392"/>
      <c r="N622" s="392"/>
      <c r="O622" s="750"/>
      <c r="P622" s="392"/>
      <c r="Q622" s="392"/>
      <c r="R622" s="392"/>
      <c r="S622" s="750"/>
      <c r="T622" s="392"/>
      <c r="U622" s="750"/>
      <c r="V622" s="392"/>
      <c r="W622" s="750"/>
      <c r="X622" s="378"/>
      <c r="Y622" s="180"/>
      <c r="Z622" s="180"/>
      <c r="AA622" s="180"/>
      <c r="AB622" s="180"/>
    </row>
    <row r="623" spans="1:28" s="202" customFormat="1">
      <c r="A623" s="631"/>
      <c r="B623" s="634"/>
      <c r="C623" s="466"/>
      <c r="D623" s="466"/>
      <c r="E623" s="466"/>
      <c r="F623" s="466"/>
      <c r="G623" s="466"/>
      <c r="H623" s="466"/>
      <c r="I623" s="751"/>
      <c r="J623" s="466"/>
      <c r="K623" s="466"/>
      <c r="L623" s="466"/>
      <c r="M623" s="466"/>
      <c r="N623" s="466"/>
      <c r="O623" s="751"/>
      <c r="P623" s="466"/>
      <c r="Q623" s="466"/>
      <c r="R623" s="466"/>
      <c r="S623" s="751"/>
      <c r="T623" s="466"/>
      <c r="U623" s="751"/>
      <c r="V623" s="466"/>
      <c r="W623" s="751"/>
      <c r="X623" s="378"/>
      <c r="Y623" s="180"/>
      <c r="Z623" s="180"/>
      <c r="AA623" s="180"/>
      <c r="AB623" s="180"/>
    </row>
    <row r="624" spans="1:28">
      <c r="A624" s="631"/>
      <c r="B624" s="388"/>
      <c r="C624" s="391"/>
      <c r="D624" s="391"/>
      <c r="E624" s="391"/>
      <c r="F624" s="391"/>
      <c r="G624" s="391"/>
      <c r="H624" s="391"/>
      <c r="I624" s="749"/>
      <c r="J624" s="391"/>
      <c r="K624" s="391"/>
      <c r="L624" s="391"/>
      <c r="M624" s="391"/>
      <c r="N624" s="391"/>
      <c r="O624" s="749"/>
      <c r="P624" s="391"/>
      <c r="Q624" s="391"/>
      <c r="R624" s="391"/>
      <c r="S624" s="749"/>
      <c r="T624" s="391"/>
      <c r="U624" s="749"/>
      <c r="V624" s="391"/>
      <c r="W624" s="749"/>
      <c r="X624" s="378"/>
      <c r="Y624" s="180"/>
      <c r="Z624" s="180"/>
      <c r="AA624" s="180"/>
      <c r="AB624" s="180"/>
    </row>
    <row r="625" spans="1:28" s="203" customFormat="1">
      <c r="A625" s="631"/>
      <c r="B625" s="389"/>
      <c r="C625" s="392"/>
      <c r="D625" s="392"/>
      <c r="E625" s="392"/>
      <c r="F625" s="392"/>
      <c r="G625" s="392"/>
      <c r="H625" s="392"/>
      <c r="I625" s="750"/>
      <c r="J625" s="392"/>
      <c r="K625" s="392"/>
      <c r="L625" s="392"/>
      <c r="M625" s="392"/>
      <c r="N625" s="392"/>
      <c r="O625" s="750"/>
      <c r="P625" s="392"/>
      <c r="Q625" s="392"/>
      <c r="R625" s="392"/>
      <c r="S625" s="750"/>
      <c r="T625" s="392"/>
      <c r="U625" s="750"/>
      <c r="V625" s="392"/>
      <c r="W625" s="750"/>
      <c r="X625" s="378"/>
      <c r="Y625" s="180"/>
      <c r="Z625" s="180"/>
      <c r="AA625" s="180"/>
      <c r="AB625" s="180"/>
    </row>
    <row r="626" spans="1:28" s="202" customFormat="1">
      <c r="A626" s="631"/>
      <c r="B626" s="634"/>
      <c r="C626" s="466"/>
      <c r="D626" s="466"/>
      <c r="E626" s="466"/>
      <c r="F626" s="466"/>
      <c r="G626" s="466"/>
      <c r="H626" s="466"/>
      <c r="I626" s="751"/>
      <c r="J626" s="466"/>
      <c r="K626" s="466"/>
      <c r="L626" s="466"/>
      <c r="M626" s="466"/>
      <c r="N626" s="466"/>
      <c r="O626" s="751"/>
      <c r="P626" s="466"/>
      <c r="Q626" s="466"/>
      <c r="R626" s="466"/>
      <c r="S626" s="751"/>
      <c r="T626" s="466"/>
      <c r="U626" s="751"/>
      <c r="V626" s="466"/>
      <c r="W626" s="751"/>
      <c r="X626" s="378"/>
      <c r="Y626" s="180"/>
      <c r="Z626" s="180"/>
      <c r="AA626" s="180"/>
      <c r="AB626" s="180"/>
    </row>
    <row r="627" spans="1:28">
      <c r="A627" s="631"/>
      <c r="B627" s="388"/>
      <c r="C627" s="391"/>
      <c r="D627" s="391"/>
      <c r="E627" s="391"/>
      <c r="F627" s="391"/>
      <c r="G627" s="391"/>
      <c r="H627" s="391"/>
      <c r="I627" s="749"/>
      <c r="J627" s="391"/>
      <c r="K627" s="391"/>
      <c r="L627" s="391"/>
      <c r="M627" s="391"/>
      <c r="N627" s="391"/>
      <c r="O627" s="749"/>
      <c r="P627" s="391"/>
      <c r="Q627" s="391"/>
      <c r="R627" s="391"/>
      <c r="S627" s="749"/>
      <c r="T627" s="391"/>
      <c r="U627" s="749"/>
      <c r="V627" s="391"/>
      <c r="W627" s="749"/>
      <c r="X627" s="378"/>
      <c r="Y627" s="180"/>
      <c r="Z627" s="180"/>
      <c r="AA627" s="180"/>
      <c r="AB627" s="180"/>
    </row>
    <row r="628" spans="1:28" s="203" customFormat="1">
      <c r="A628" s="631"/>
      <c r="B628" s="389"/>
      <c r="C628" s="392"/>
      <c r="D628" s="392"/>
      <c r="E628" s="392"/>
      <c r="F628" s="392"/>
      <c r="G628" s="392"/>
      <c r="H628" s="392"/>
      <c r="I628" s="750"/>
      <c r="J628" s="392"/>
      <c r="K628" s="392"/>
      <c r="L628" s="392"/>
      <c r="M628" s="392"/>
      <c r="N628" s="392"/>
      <c r="O628" s="750"/>
      <c r="P628" s="392"/>
      <c r="Q628" s="392"/>
      <c r="R628" s="392"/>
      <c r="S628" s="750"/>
      <c r="T628" s="392"/>
      <c r="U628" s="750"/>
      <c r="V628" s="392"/>
      <c r="W628" s="750"/>
      <c r="X628" s="378"/>
      <c r="Y628" s="180"/>
      <c r="Z628" s="180"/>
      <c r="AA628" s="180"/>
      <c r="AB628" s="180"/>
    </row>
    <row r="629" spans="1:28" s="212" customFormat="1" ht="13.5" thickBot="1">
      <c r="A629" s="635"/>
      <c r="B629" s="634"/>
      <c r="C629" s="762"/>
      <c r="D629" s="762"/>
      <c r="E629" s="762"/>
      <c r="F629" s="762"/>
      <c r="G629" s="762"/>
      <c r="H629" s="762"/>
      <c r="I629" s="763"/>
      <c r="J629" s="762"/>
      <c r="K629" s="762"/>
      <c r="L629" s="762"/>
      <c r="M629" s="762"/>
      <c r="N629" s="762"/>
      <c r="O629" s="763"/>
      <c r="P629" s="762"/>
      <c r="Q629" s="762"/>
      <c r="R629" s="762"/>
      <c r="S629" s="763"/>
      <c r="T629" s="1462"/>
      <c r="U629" s="763"/>
      <c r="V629" s="762"/>
      <c r="W629" s="763"/>
      <c r="X629" s="378"/>
      <c r="Y629" s="180"/>
      <c r="Z629" s="180"/>
      <c r="AA629" s="180"/>
      <c r="AB629" s="180"/>
    </row>
    <row r="630" spans="1:28" ht="13.5" thickTop="1">
      <c r="A630" s="230"/>
      <c r="B630" s="388"/>
      <c r="C630" s="765"/>
      <c r="D630" s="765"/>
      <c r="E630" s="765"/>
      <c r="F630" s="765"/>
      <c r="G630" s="765"/>
      <c r="H630" s="765"/>
      <c r="I630" s="766"/>
      <c r="J630" s="765"/>
      <c r="K630" s="765"/>
      <c r="L630" s="765"/>
      <c r="M630" s="765"/>
      <c r="N630" s="765"/>
      <c r="O630" s="766"/>
      <c r="P630" s="765"/>
      <c r="Q630" s="765"/>
      <c r="R630" s="765"/>
      <c r="S630" s="766"/>
      <c r="T630" s="765"/>
      <c r="U630" s="766"/>
      <c r="V630" s="765"/>
      <c r="W630" s="766"/>
      <c r="X630" s="378"/>
      <c r="Y630" s="180"/>
      <c r="Z630" s="180"/>
      <c r="AA630" s="180"/>
      <c r="AB630" s="180"/>
    </row>
    <row r="631" spans="1:28">
      <c r="A631" s="631"/>
      <c r="B631" s="389"/>
      <c r="C631" s="392"/>
      <c r="D631" s="392"/>
      <c r="E631" s="392"/>
      <c r="F631" s="392"/>
      <c r="G631" s="392"/>
      <c r="H631" s="392"/>
      <c r="I631" s="750"/>
      <c r="J631" s="392"/>
      <c r="K631" s="392"/>
      <c r="L631" s="392"/>
      <c r="M631" s="392"/>
      <c r="N631" s="392"/>
      <c r="O631" s="750"/>
      <c r="P631" s="392"/>
      <c r="Q631" s="392"/>
      <c r="R631" s="392"/>
      <c r="S631" s="750"/>
      <c r="T631" s="392"/>
      <c r="U631" s="750"/>
      <c r="V631" s="392"/>
      <c r="W631" s="750"/>
      <c r="X631" s="378"/>
      <c r="Y631" s="180"/>
      <c r="Z631" s="180"/>
      <c r="AA631" s="180"/>
      <c r="AB631" s="180"/>
    </row>
    <row r="632" spans="1:28">
      <c r="A632" s="632"/>
      <c r="B632" s="634"/>
      <c r="C632" s="466"/>
      <c r="D632" s="466"/>
      <c r="E632" s="466"/>
      <c r="F632" s="466"/>
      <c r="G632" s="466"/>
      <c r="H632" s="466"/>
      <c r="I632" s="751"/>
      <c r="J632" s="466"/>
      <c r="K632" s="466"/>
      <c r="L632" s="466"/>
      <c r="M632" s="466"/>
      <c r="N632" s="466"/>
      <c r="O632" s="751"/>
      <c r="P632" s="466"/>
      <c r="Q632" s="466"/>
      <c r="R632" s="466"/>
      <c r="S632" s="751"/>
      <c r="T632" s="466"/>
      <c r="U632" s="751"/>
      <c r="V632" s="466"/>
      <c r="W632" s="751"/>
      <c r="X632" s="378"/>
      <c r="Y632" s="180"/>
      <c r="Z632" s="180"/>
      <c r="AA632" s="180"/>
      <c r="AB632" s="180"/>
    </row>
    <row r="633" spans="1:28">
      <c r="A633" s="631"/>
      <c r="B633" s="388"/>
      <c r="C633" s="391"/>
      <c r="D633" s="391"/>
      <c r="E633" s="391"/>
      <c r="F633" s="391"/>
      <c r="G633" s="391"/>
      <c r="H633" s="391"/>
      <c r="I633" s="749"/>
      <c r="J633" s="391"/>
      <c r="K633" s="391"/>
      <c r="L633" s="391"/>
      <c r="M633" s="391"/>
      <c r="N633" s="391"/>
      <c r="O633" s="749"/>
      <c r="P633" s="391"/>
      <c r="Q633" s="391"/>
      <c r="R633" s="391"/>
      <c r="S633" s="749"/>
      <c r="T633" s="391"/>
      <c r="U633" s="749"/>
      <c r="V633" s="391"/>
      <c r="W633" s="749"/>
      <c r="X633" s="378"/>
      <c r="Y633" s="180"/>
      <c r="Z633" s="180"/>
      <c r="AA633" s="180"/>
      <c r="AB633" s="180"/>
    </row>
    <row r="634" spans="1:28">
      <c r="A634" s="631"/>
      <c r="B634" s="389"/>
      <c r="C634" s="392"/>
      <c r="D634" s="392"/>
      <c r="E634" s="392"/>
      <c r="F634" s="392"/>
      <c r="G634" s="392"/>
      <c r="H634" s="392"/>
      <c r="I634" s="750"/>
      <c r="J634" s="392"/>
      <c r="K634" s="392"/>
      <c r="L634" s="392"/>
      <c r="M634" s="392"/>
      <c r="N634" s="392"/>
      <c r="O634" s="750"/>
      <c r="P634" s="392"/>
      <c r="Q634" s="392"/>
      <c r="R634" s="392"/>
      <c r="S634" s="750"/>
      <c r="T634" s="392"/>
      <c r="U634" s="750"/>
      <c r="V634" s="392"/>
      <c r="W634" s="750"/>
      <c r="X634" s="378"/>
      <c r="Y634" s="180"/>
      <c r="Z634" s="180"/>
      <c r="AA634" s="180"/>
      <c r="AB634" s="180"/>
    </row>
    <row r="635" spans="1:28">
      <c r="A635" s="631"/>
      <c r="B635" s="634"/>
      <c r="C635" s="466"/>
      <c r="D635" s="466"/>
      <c r="E635" s="466"/>
      <c r="F635" s="466"/>
      <c r="G635" s="466"/>
      <c r="H635" s="466"/>
      <c r="I635" s="751"/>
      <c r="J635" s="466"/>
      <c r="K635" s="466"/>
      <c r="L635" s="466"/>
      <c r="M635" s="466"/>
      <c r="N635" s="466"/>
      <c r="O635" s="751"/>
      <c r="P635" s="466"/>
      <c r="Q635" s="466"/>
      <c r="R635" s="466"/>
      <c r="S635" s="751"/>
      <c r="T635" s="466"/>
      <c r="U635" s="751"/>
      <c r="V635" s="466"/>
      <c r="W635" s="751"/>
      <c r="X635" s="378"/>
      <c r="Y635" s="180"/>
      <c r="Z635" s="180"/>
      <c r="AA635" s="180"/>
      <c r="AB635" s="180"/>
    </row>
    <row r="636" spans="1:28">
      <c r="A636" s="631"/>
      <c r="B636" s="388"/>
      <c r="C636" s="391"/>
      <c r="D636" s="391"/>
      <c r="E636" s="391"/>
      <c r="F636" s="391"/>
      <c r="G636" s="391"/>
      <c r="H636" s="391"/>
      <c r="I636" s="749"/>
      <c r="J636" s="391"/>
      <c r="K636" s="391"/>
      <c r="L636" s="391"/>
      <c r="M636" s="391"/>
      <c r="N636" s="391"/>
      <c r="O636" s="749"/>
      <c r="P636" s="391"/>
      <c r="Q636" s="391"/>
      <c r="R636" s="391"/>
      <c r="S636" s="749"/>
      <c r="T636" s="391"/>
      <c r="U636" s="749"/>
      <c r="V636" s="391"/>
      <c r="W636" s="749"/>
      <c r="X636" s="378"/>
      <c r="Y636" s="180"/>
      <c r="Z636" s="180"/>
      <c r="AA636" s="180"/>
      <c r="AB636" s="180"/>
    </row>
    <row r="637" spans="1:28">
      <c r="A637" s="631"/>
      <c r="B637" s="389"/>
      <c r="C637" s="392"/>
      <c r="D637" s="392"/>
      <c r="E637" s="392"/>
      <c r="F637" s="392"/>
      <c r="G637" s="392"/>
      <c r="H637" s="392"/>
      <c r="I637" s="750"/>
      <c r="J637" s="392"/>
      <c r="K637" s="392"/>
      <c r="L637" s="392"/>
      <c r="M637" s="392"/>
      <c r="N637" s="392"/>
      <c r="O637" s="750"/>
      <c r="P637" s="392"/>
      <c r="Q637" s="392"/>
      <c r="R637" s="392"/>
      <c r="S637" s="750"/>
      <c r="T637" s="392"/>
      <c r="U637" s="750"/>
      <c r="V637" s="392"/>
      <c r="W637" s="750"/>
      <c r="X637" s="378"/>
      <c r="Y637" s="180"/>
      <c r="Z637" s="180"/>
      <c r="AA637" s="180"/>
      <c r="AB637" s="180"/>
    </row>
    <row r="638" spans="1:28">
      <c r="A638" s="631"/>
      <c r="B638" s="634"/>
      <c r="C638" s="466"/>
      <c r="D638" s="466"/>
      <c r="E638" s="466"/>
      <c r="F638" s="466"/>
      <c r="G638" s="466"/>
      <c r="H638" s="466"/>
      <c r="I638" s="751"/>
      <c r="J638" s="466"/>
      <c r="K638" s="466"/>
      <c r="L638" s="466"/>
      <c r="M638" s="466"/>
      <c r="N638" s="466"/>
      <c r="O638" s="751"/>
      <c r="P638" s="466"/>
      <c r="Q638" s="466"/>
      <c r="R638" s="466"/>
      <c r="S638" s="751"/>
      <c r="T638" s="466"/>
      <c r="U638" s="751"/>
      <c r="V638" s="466"/>
      <c r="W638" s="751"/>
      <c r="X638" s="378"/>
      <c r="Y638" s="180"/>
      <c r="Z638" s="180"/>
      <c r="AA638" s="180"/>
      <c r="AB638" s="180"/>
    </row>
    <row r="639" spans="1:28">
      <c r="A639" s="631"/>
      <c r="B639" s="388"/>
      <c r="C639" s="391"/>
      <c r="D639" s="391"/>
      <c r="E639" s="391"/>
      <c r="F639" s="391"/>
      <c r="G639" s="391"/>
      <c r="H639" s="391"/>
      <c r="I639" s="749"/>
      <c r="J639" s="391"/>
      <c r="K639" s="391"/>
      <c r="L639" s="391"/>
      <c r="M639" s="391"/>
      <c r="N639" s="391"/>
      <c r="O639" s="749"/>
      <c r="P639" s="391"/>
      <c r="Q639" s="391"/>
      <c r="R639" s="391"/>
      <c r="S639" s="749"/>
      <c r="T639" s="391"/>
      <c r="U639" s="749"/>
      <c r="V639" s="391"/>
      <c r="W639" s="749"/>
      <c r="X639" s="378"/>
      <c r="Y639" s="180"/>
      <c r="Z639" s="180"/>
      <c r="AA639" s="180"/>
      <c r="AB639" s="180"/>
    </row>
    <row r="640" spans="1:28">
      <c r="A640" s="631"/>
      <c r="B640" s="389"/>
      <c r="C640" s="392"/>
      <c r="D640" s="392"/>
      <c r="E640" s="392"/>
      <c r="F640" s="392"/>
      <c r="G640" s="392"/>
      <c r="H640" s="392"/>
      <c r="I640" s="750"/>
      <c r="J640" s="392"/>
      <c r="K640" s="392"/>
      <c r="L640" s="392"/>
      <c r="M640" s="392"/>
      <c r="N640" s="392"/>
      <c r="O640" s="750"/>
      <c r="P640" s="392"/>
      <c r="Q640" s="392"/>
      <c r="R640" s="392"/>
      <c r="S640" s="750"/>
      <c r="T640" s="392"/>
      <c r="U640" s="750"/>
      <c r="V640" s="392"/>
      <c r="W640" s="750"/>
      <c r="X640" s="378"/>
      <c r="Y640" s="180"/>
      <c r="Z640" s="180"/>
      <c r="AA640" s="180"/>
      <c r="AB640" s="180"/>
    </row>
    <row r="641" spans="1:28">
      <c r="A641" s="631"/>
      <c r="B641" s="634"/>
      <c r="C641" s="466"/>
      <c r="D641" s="466"/>
      <c r="E641" s="466"/>
      <c r="F641" s="466"/>
      <c r="G641" s="466"/>
      <c r="H641" s="466"/>
      <c r="I641" s="751"/>
      <c r="J641" s="466"/>
      <c r="K641" s="466"/>
      <c r="L641" s="466"/>
      <c r="M641" s="466"/>
      <c r="N641" s="466"/>
      <c r="O641" s="751"/>
      <c r="P641" s="466"/>
      <c r="Q641" s="466"/>
      <c r="R641" s="466"/>
      <c r="S641" s="751"/>
      <c r="T641" s="466"/>
      <c r="U641" s="751"/>
      <c r="V641" s="466"/>
      <c r="W641" s="751"/>
      <c r="X641" s="378"/>
      <c r="Y641" s="180"/>
      <c r="Z641" s="180"/>
      <c r="AA641" s="180"/>
      <c r="AB641" s="180"/>
    </row>
    <row r="642" spans="1:28">
      <c r="A642" s="631"/>
      <c r="B642" s="388"/>
      <c r="C642" s="391"/>
      <c r="D642" s="391"/>
      <c r="E642" s="391"/>
      <c r="F642" s="391"/>
      <c r="G642" s="391"/>
      <c r="H642" s="391"/>
      <c r="I642" s="749"/>
      <c r="J642" s="391"/>
      <c r="K642" s="391"/>
      <c r="L642" s="391"/>
      <c r="M642" s="391"/>
      <c r="N642" s="391"/>
      <c r="O642" s="749"/>
      <c r="P642" s="391"/>
      <c r="Q642" s="391"/>
      <c r="R642" s="391"/>
      <c r="S642" s="749"/>
      <c r="T642" s="391"/>
      <c r="U642" s="749"/>
      <c r="V642" s="391"/>
      <c r="W642" s="749"/>
      <c r="X642" s="378"/>
      <c r="Y642" s="180"/>
      <c r="Z642" s="180"/>
      <c r="AA642" s="180"/>
      <c r="AB642" s="180"/>
    </row>
    <row r="643" spans="1:28">
      <c r="A643" s="631"/>
      <c r="B643" s="389"/>
      <c r="C643" s="392"/>
      <c r="D643" s="392"/>
      <c r="E643" s="392"/>
      <c r="F643" s="392"/>
      <c r="G643" s="392"/>
      <c r="H643" s="392"/>
      <c r="I643" s="750"/>
      <c r="J643" s="392"/>
      <c r="K643" s="392"/>
      <c r="L643" s="392"/>
      <c r="M643" s="392"/>
      <c r="N643" s="392"/>
      <c r="O643" s="750"/>
      <c r="P643" s="392"/>
      <c r="Q643" s="392"/>
      <c r="R643" s="392"/>
      <c r="S643" s="750"/>
      <c r="T643" s="392"/>
      <c r="U643" s="750"/>
      <c r="V643" s="392"/>
      <c r="W643" s="750"/>
      <c r="X643" s="378"/>
      <c r="Y643" s="180"/>
      <c r="Z643" s="180"/>
      <c r="AA643" s="180"/>
      <c r="AB643" s="180"/>
    </row>
    <row r="644" spans="1:28">
      <c r="A644" s="631"/>
      <c r="B644" s="634"/>
      <c r="C644" s="466"/>
      <c r="D644" s="466"/>
      <c r="E644" s="466"/>
      <c r="F644" s="466"/>
      <c r="G644" s="466"/>
      <c r="H644" s="466"/>
      <c r="I644" s="751"/>
      <c r="J644" s="466"/>
      <c r="K644" s="466"/>
      <c r="L644" s="466"/>
      <c r="M644" s="466"/>
      <c r="N644" s="466"/>
      <c r="O644" s="751"/>
      <c r="P644" s="466"/>
      <c r="Q644" s="466"/>
      <c r="R644" s="466"/>
      <c r="S644" s="751"/>
      <c r="T644" s="466"/>
      <c r="U644" s="751"/>
      <c r="V644" s="466"/>
      <c r="W644" s="751"/>
      <c r="X644" s="378"/>
      <c r="Y644" s="180"/>
      <c r="Z644" s="180"/>
      <c r="AA644" s="180"/>
      <c r="AB644" s="180"/>
    </row>
    <row r="645" spans="1:28">
      <c r="A645" s="631"/>
      <c r="B645" s="388"/>
      <c r="C645" s="749"/>
      <c r="D645" s="749"/>
      <c r="E645" s="749"/>
      <c r="F645" s="749"/>
      <c r="G645" s="749"/>
      <c r="H645" s="749"/>
      <c r="I645" s="749"/>
      <c r="J645" s="749"/>
      <c r="K645" s="749"/>
      <c r="L645" s="749"/>
      <c r="M645" s="749"/>
      <c r="N645" s="749"/>
      <c r="O645" s="749"/>
      <c r="P645" s="749"/>
      <c r="Q645" s="749"/>
      <c r="R645" s="749"/>
      <c r="S645" s="749"/>
      <c r="T645" s="749"/>
      <c r="U645" s="749"/>
      <c r="V645" s="749"/>
      <c r="W645" s="749"/>
      <c r="X645" s="378"/>
      <c r="Y645" s="180"/>
      <c r="Z645" s="180"/>
      <c r="AA645" s="180"/>
      <c r="AB645" s="180"/>
    </row>
    <row r="646" spans="1:28">
      <c r="A646" s="631"/>
      <c r="B646" s="389"/>
      <c r="C646" s="750"/>
      <c r="D646" s="750"/>
      <c r="E646" s="750"/>
      <c r="F646" s="750"/>
      <c r="G646" s="750"/>
      <c r="H646" s="750"/>
      <c r="I646" s="750"/>
      <c r="J646" s="750"/>
      <c r="K646" s="750"/>
      <c r="L646" s="750"/>
      <c r="M646" s="750"/>
      <c r="N646" s="750"/>
      <c r="O646" s="750"/>
      <c r="P646" s="750"/>
      <c r="Q646" s="750"/>
      <c r="R646" s="750"/>
      <c r="S646" s="750"/>
      <c r="T646" s="750"/>
      <c r="U646" s="750"/>
      <c r="V646" s="750"/>
      <c r="W646" s="750"/>
      <c r="X646" s="378"/>
      <c r="Y646" s="180"/>
      <c r="Z646" s="180"/>
      <c r="AA646" s="180"/>
      <c r="AB646" s="180"/>
    </row>
    <row r="647" spans="1:28">
      <c r="A647" s="631"/>
      <c r="B647" s="634"/>
      <c r="C647" s="751"/>
      <c r="D647" s="751"/>
      <c r="E647" s="751"/>
      <c r="F647" s="751"/>
      <c r="G647" s="751"/>
      <c r="H647" s="751"/>
      <c r="I647" s="751"/>
      <c r="J647" s="751"/>
      <c r="K647" s="751"/>
      <c r="L647" s="751"/>
      <c r="M647" s="751"/>
      <c r="N647" s="751"/>
      <c r="O647" s="751"/>
      <c r="P647" s="751"/>
      <c r="Q647" s="751"/>
      <c r="R647" s="751"/>
      <c r="S647" s="751"/>
      <c r="T647" s="751"/>
      <c r="U647" s="751"/>
      <c r="V647" s="751"/>
      <c r="W647" s="751"/>
      <c r="X647" s="378"/>
      <c r="Y647" s="180"/>
      <c r="Z647" s="180"/>
      <c r="AA647" s="180"/>
      <c r="AB647" s="180"/>
    </row>
    <row r="648" spans="1:28">
      <c r="A648" s="631"/>
      <c r="B648" s="388"/>
      <c r="C648" s="391"/>
      <c r="D648" s="391"/>
      <c r="E648" s="391"/>
      <c r="F648" s="391"/>
      <c r="G648" s="391"/>
      <c r="H648" s="391"/>
      <c r="I648" s="749"/>
      <c r="J648" s="391"/>
      <c r="K648" s="391"/>
      <c r="L648" s="391"/>
      <c r="M648" s="391"/>
      <c r="N648" s="391"/>
      <c r="O648" s="749"/>
      <c r="P648" s="391"/>
      <c r="Q648" s="391"/>
      <c r="R648" s="391"/>
      <c r="S648" s="749"/>
      <c r="T648" s="391"/>
      <c r="U648" s="749"/>
      <c r="V648" s="391"/>
      <c r="W648" s="749"/>
      <c r="X648" s="378"/>
      <c r="Y648" s="180"/>
      <c r="Z648" s="180"/>
      <c r="AA648" s="180"/>
      <c r="AB648" s="180"/>
    </row>
    <row r="649" spans="1:28">
      <c r="A649" s="631"/>
      <c r="B649" s="389"/>
      <c r="C649" s="392"/>
      <c r="D649" s="392"/>
      <c r="E649" s="392"/>
      <c r="F649" s="392"/>
      <c r="G649" s="392"/>
      <c r="H649" s="392"/>
      <c r="I649" s="750"/>
      <c r="J649" s="392"/>
      <c r="K649" s="392"/>
      <c r="L649" s="392"/>
      <c r="M649" s="392"/>
      <c r="N649" s="392"/>
      <c r="O649" s="750"/>
      <c r="P649" s="392"/>
      <c r="Q649" s="392"/>
      <c r="R649" s="392"/>
      <c r="S649" s="750"/>
      <c r="T649" s="392"/>
      <c r="U649" s="750"/>
      <c r="V649" s="392"/>
      <c r="W649" s="750"/>
      <c r="X649" s="378"/>
      <c r="Y649" s="180"/>
      <c r="Z649" s="180"/>
      <c r="AA649" s="180"/>
      <c r="AB649" s="180"/>
    </row>
    <row r="650" spans="1:28">
      <c r="A650" s="631"/>
      <c r="B650" s="634"/>
      <c r="C650" s="466"/>
      <c r="D650" s="466"/>
      <c r="E650" s="466"/>
      <c r="F650" s="466"/>
      <c r="G650" s="466"/>
      <c r="H650" s="466"/>
      <c r="I650" s="751"/>
      <c r="J650" s="466"/>
      <c r="K650" s="466"/>
      <c r="L650" s="466"/>
      <c r="M650" s="466"/>
      <c r="N650" s="466"/>
      <c r="O650" s="751"/>
      <c r="P650" s="466"/>
      <c r="Q650" s="466"/>
      <c r="R650" s="466"/>
      <c r="S650" s="751"/>
      <c r="T650" s="466"/>
      <c r="U650" s="751"/>
      <c r="V650" s="466"/>
      <c r="W650" s="751"/>
      <c r="X650" s="378"/>
      <c r="Y650" s="180"/>
      <c r="Z650" s="180"/>
      <c r="AA650" s="180"/>
      <c r="AB650" s="180"/>
    </row>
    <row r="651" spans="1:28">
      <c r="A651" s="631"/>
      <c r="B651" s="388"/>
      <c r="C651" s="391"/>
      <c r="D651" s="391"/>
      <c r="E651" s="391"/>
      <c r="F651" s="391"/>
      <c r="G651" s="391"/>
      <c r="H651" s="391"/>
      <c r="I651" s="749"/>
      <c r="J651" s="391"/>
      <c r="K651" s="391"/>
      <c r="L651" s="391"/>
      <c r="M651" s="391"/>
      <c r="N651" s="391"/>
      <c r="O651" s="749"/>
      <c r="P651" s="391"/>
      <c r="Q651" s="391"/>
      <c r="R651" s="391"/>
      <c r="S651" s="749"/>
      <c r="T651" s="391"/>
      <c r="U651" s="749"/>
      <c r="V651" s="391"/>
      <c r="W651" s="749"/>
      <c r="X651" s="378"/>
      <c r="Y651" s="180"/>
      <c r="Z651" s="180"/>
      <c r="AA651" s="180"/>
      <c r="AB651" s="180"/>
    </row>
    <row r="652" spans="1:28">
      <c r="A652" s="631"/>
      <c r="B652" s="389"/>
      <c r="C652" s="392"/>
      <c r="D652" s="392"/>
      <c r="E652" s="392"/>
      <c r="F652" s="392"/>
      <c r="G652" s="392"/>
      <c r="H652" s="392"/>
      <c r="I652" s="750"/>
      <c r="J652" s="392"/>
      <c r="K652" s="392"/>
      <c r="L652" s="392"/>
      <c r="M652" s="392"/>
      <c r="N652" s="392"/>
      <c r="O652" s="750"/>
      <c r="P652" s="392"/>
      <c r="Q652" s="392"/>
      <c r="R652" s="392"/>
      <c r="S652" s="750"/>
      <c r="T652" s="392"/>
      <c r="U652" s="750"/>
      <c r="V652" s="392"/>
      <c r="W652" s="750"/>
      <c r="X652" s="378"/>
      <c r="Y652" s="180"/>
      <c r="Z652" s="180"/>
      <c r="AA652" s="180"/>
      <c r="AB652" s="180"/>
    </row>
    <row r="653" spans="1:28">
      <c r="A653" s="631"/>
      <c r="B653" s="634"/>
      <c r="C653" s="466"/>
      <c r="D653" s="466"/>
      <c r="E653" s="466"/>
      <c r="F653" s="466"/>
      <c r="G653" s="466"/>
      <c r="H653" s="466"/>
      <c r="I653" s="751"/>
      <c r="J653" s="466"/>
      <c r="K653" s="466"/>
      <c r="L653" s="466"/>
      <c r="M653" s="466"/>
      <c r="N653" s="466"/>
      <c r="O653" s="751"/>
      <c r="P653" s="466"/>
      <c r="Q653" s="466"/>
      <c r="R653" s="466"/>
      <c r="S653" s="751"/>
      <c r="T653" s="466"/>
      <c r="U653" s="751"/>
      <c r="V653" s="466"/>
      <c r="W653" s="751"/>
      <c r="X653" s="378"/>
      <c r="Y653" s="180"/>
      <c r="Z653" s="180"/>
      <c r="AA653" s="180"/>
      <c r="AB653" s="180"/>
    </row>
    <row r="654" spans="1:28">
      <c r="A654" s="631"/>
      <c r="B654" s="388"/>
      <c r="C654" s="391"/>
      <c r="D654" s="391"/>
      <c r="E654" s="391"/>
      <c r="F654" s="391"/>
      <c r="G654" s="391"/>
      <c r="H654" s="391"/>
      <c r="I654" s="749"/>
      <c r="J654" s="391"/>
      <c r="K654" s="391"/>
      <c r="L654" s="391"/>
      <c r="M654" s="391"/>
      <c r="N654" s="391"/>
      <c r="O654" s="749"/>
      <c r="P654" s="391"/>
      <c r="Q654" s="391"/>
      <c r="R654" s="391"/>
      <c r="S654" s="749"/>
      <c r="T654" s="391"/>
      <c r="U654" s="749"/>
      <c r="V654" s="391"/>
      <c r="W654" s="749"/>
      <c r="X654" s="378"/>
      <c r="Y654" s="180"/>
      <c r="Z654" s="180"/>
      <c r="AA654" s="180"/>
      <c r="AB654" s="180"/>
    </row>
    <row r="655" spans="1:28">
      <c r="A655" s="631"/>
      <c r="B655" s="389"/>
      <c r="C655" s="392"/>
      <c r="D655" s="392"/>
      <c r="E655" s="392"/>
      <c r="F655" s="392"/>
      <c r="G655" s="392"/>
      <c r="H655" s="392"/>
      <c r="I655" s="750"/>
      <c r="J655" s="392"/>
      <c r="K655" s="392"/>
      <c r="L655" s="392"/>
      <c r="M655" s="392"/>
      <c r="N655" s="392"/>
      <c r="O655" s="750"/>
      <c r="P655" s="392"/>
      <c r="Q655" s="392"/>
      <c r="R655" s="392"/>
      <c r="S655" s="750"/>
      <c r="T655" s="392"/>
      <c r="U655" s="750"/>
      <c r="V655" s="392"/>
      <c r="W655" s="750"/>
      <c r="X655" s="378"/>
      <c r="Y655" s="180"/>
      <c r="Z655" s="180"/>
      <c r="AA655" s="180"/>
      <c r="AB655" s="180"/>
    </row>
    <row r="656" spans="1:28">
      <c r="A656" s="631"/>
      <c r="B656" s="634"/>
      <c r="C656" s="466"/>
      <c r="D656" s="466"/>
      <c r="E656" s="466"/>
      <c r="F656" s="466"/>
      <c r="G656" s="466"/>
      <c r="H656" s="466"/>
      <c r="I656" s="751"/>
      <c r="J656" s="466"/>
      <c r="K656" s="466"/>
      <c r="L656" s="466"/>
      <c r="M656" s="466"/>
      <c r="N656" s="466"/>
      <c r="O656" s="751"/>
      <c r="P656" s="466"/>
      <c r="Q656" s="466"/>
      <c r="R656" s="466"/>
      <c r="S656" s="751"/>
      <c r="T656" s="466"/>
      <c r="U656" s="751"/>
      <c r="V656" s="466"/>
      <c r="W656" s="751"/>
      <c r="X656" s="378"/>
      <c r="Y656" s="180"/>
      <c r="Z656" s="180"/>
      <c r="AA656" s="180"/>
      <c r="AB656" s="180"/>
    </row>
    <row r="657" spans="1:28">
      <c r="A657" s="631"/>
      <c r="B657" s="388"/>
      <c r="C657" s="391"/>
      <c r="D657" s="391"/>
      <c r="E657" s="391"/>
      <c r="F657" s="391"/>
      <c r="G657" s="391"/>
      <c r="H657" s="391"/>
      <c r="I657" s="749"/>
      <c r="J657" s="391"/>
      <c r="K657" s="391"/>
      <c r="L657" s="391"/>
      <c r="M657" s="391"/>
      <c r="N657" s="391"/>
      <c r="O657" s="749"/>
      <c r="P657" s="391"/>
      <c r="Q657" s="391"/>
      <c r="R657" s="391"/>
      <c r="S657" s="749"/>
      <c r="T657" s="391"/>
      <c r="U657" s="749"/>
      <c r="V657" s="391"/>
      <c r="W657" s="749"/>
      <c r="X657" s="378"/>
      <c r="Y657" s="180"/>
      <c r="Z657" s="180"/>
      <c r="AA657" s="180"/>
      <c r="AB657" s="180"/>
    </row>
    <row r="658" spans="1:28">
      <c r="A658" s="631"/>
      <c r="B658" s="389"/>
      <c r="C658" s="392"/>
      <c r="D658" s="392"/>
      <c r="E658" s="392"/>
      <c r="F658" s="392"/>
      <c r="G658" s="392"/>
      <c r="H658" s="392"/>
      <c r="I658" s="750"/>
      <c r="J658" s="392"/>
      <c r="K658" s="392"/>
      <c r="L658" s="392"/>
      <c r="M658" s="392"/>
      <c r="N658" s="392"/>
      <c r="O658" s="750"/>
      <c r="P658" s="392"/>
      <c r="Q658" s="392"/>
      <c r="R658" s="392"/>
      <c r="S658" s="750"/>
      <c r="T658" s="392"/>
      <c r="U658" s="750"/>
      <c r="V658" s="392"/>
      <c r="W658" s="750"/>
      <c r="X658" s="378"/>
      <c r="Y658" s="180"/>
      <c r="Z658" s="180"/>
      <c r="AA658" s="180"/>
      <c r="AB658" s="180"/>
    </row>
    <row r="659" spans="1:28">
      <c r="A659" s="631"/>
      <c r="B659" s="634"/>
      <c r="C659" s="466"/>
      <c r="D659" s="466"/>
      <c r="E659" s="466"/>
      <c r="F659" s="466"/>
      <c r="G659" s="466"/>
      <c r="H659" s="466"/>
      <c r="I659" s="751"/>
      <c r="J659" s="466"/>
      <c r="K659" s="466"/>
      <c r="L659" s="466"/>
      <c r="M659" s="466"/>
      <c r="N659" s="466"/>
      <c r="O659" s="751"/>
      <c r="P659" s="466"/>
      <c r="Q659" s="466"/>
      <c r="R659" s="466"/>
      <c r="S659" s="751"/>
      <c r="T659" s="466"/>
      <c r="U659" s="751"/>
      <c r="V659" s="466"/>
      <c r="W659" s="751"/>
      <c r="X659" s="378"/>
      <c r="Y659" s="180"/>
      <c r="Z659" s="180"/>
      <c r="AA659" s="180"/>
      <c r="AB659" s="180"/>
    </row>
    <row r="660" spans="1:28">
      <c r="A660" s="631"/>
      <c r="B660" s="388"/>
      <c r="C660" s="391"/>
      <c r="D660" s="391"/>
      <c r="E660" s="391"/>
      <c r="F660" s="391"/>
      <c r="G660" s="391"/>
      <c r="H660" s="391"/>
      <c r="I660" s="749"/>
      <c r="J660" s="391"/>
      <c r="K660" s="391"/>
      <c r="L660" s="391"/>
      <c r="M660" s="391"/>
      <c r="N660" s="391"/>
      <c r="O660" s="749"/>
      <c r="P660" s="391"/>
      <c r="Q660" s="391"/>
      <c r="R660" s="391"/>
      <c r="S660" s="749"/>
      <c r="T660" s="391"/>
      <c r="U660" s="749"/>
      <c r="V660" s="391"/>
      <c r="W660" s="749"/>
      <c r="X660" s="378"/>
      <c r="Y660" s="180"/>
      <c r="Z660" s="180"/>
      <c r="AA660" s="180"/>
      <c r="AB660" s="180"/>
    </row>
    <row r="661" spans="1:28">
      <c r="A661" s="631"/>
      <c r="B661" s="389"/>
      <c r="C661" s="392"/>
      <c r="D661" s="392"/>
      <c r="E661" s="392"/>
      <c r="F661" s="392"/>
      <c r="G661" s="392"/>
      <c r="H661" s="392"/>
      <c r="I661" s="750"/>
      <c r="J661" s="392"/>
      <c r="K661" s="392"/>
      <c r="L661" s="392"/>
      <c r="M661" s="392"/>
      <c r="N661" s="392"/>
      <c r="O661" s="750"/>
      <c r="P661" s="392"/>
      <c r="Q661" s="392"/>
      <c r="R661" s="392"/>
      <c r="S661" s="750"/>
      <c r="T661" s="392"/>
      <c r="U661" s="750"/>
      <c r="V661" s="392"/>
      <c r="W661" s="750"/>
      <c r="X661" s="378"/>
      <c r="Y661" s="180"/>
      <c r="Z661" s="180"/>
      <c r="AA661" s="180"/>
      <c r="AB661" s="180"/>
    </row>
    <row r="662" spans="1:28">
      <c r="A662" s="631"/>
      <c r="B662" s="634"/>
      <c r="C662" s="466"/>
      <c r="D662" s="466"/>
      <c r="E662" s="466"/>
      <c r="F662" s="466"/>
      <c r="G662" s="466"/>
      <c r="H662" s="466"/>
      <c r="I662" s="751"/>
      <c r="J662" s="466"/>
      <c r="K662" s="466"/>
      <c r="L662" s="466"/>
      <c r="M662" s="466"/>
      <c r="N662" s="466"/>
      <c r="O662" s="751"/>
      <c r="P662" s="466"/>
      <c r="Q662" s="466"/>
      <c r="R662" s="466"/>
      <c r="S662" s="751"/>
      <c r="T662" s="466"/>
      <c r="U662" s="751"/>
      <c r="V662" s="466"/>
      <c r="W662" s="751"/>
      <c r="X662" s="378"/>
      <c r="Y662" s="180"/>
      <c r="Z662" s="180"/>
      <c r="AA662" s="180"/>
      <c r="AB662" s="180"/>
    </row>
    <row r="663" spans="1:28">
      <c r="A663" s="631"/>
      <c r="B663" s="388"/>
      <c r="C663" s="391"/>
      <c r="D663" s="391"/>
      <c r="E663" s="391"/>
      <c r="F663" s="391"/>
      <c r="G663" s="391"/>
      <c r="H663" s="391"/>
      <c r="I663" s="749"/>
      <c r="J663" s="391"/>
      <c r="K663" s="391"/>
      <c r="L663" s="391"/>
      <c r="M663" s="391"/>
      <c r="N663" s="391"/>
      <c r="O663" s="749"/>
      <c r="P663" s="391"/>
      <c r="Q663" s="391"/>
      <c r="R663" s="391"/>
      <c r="S663" s="749"/>
      <c r="T663" s="391"/>
      <c r="U663" s="749"/>
      <c r="V663" s="391"/>
      <c r="W663" s="749"/>
      <c r="X663" s="378"/>
      <c r="Y663" s="180"/>
      <c r="Z663" s="180"/>
      <c r="AA663" s="180"/>
      <c r="AB663" s="180"/>
    </row>
    <row r="664" spans="1:28">
      <c r="A664" s="631"/>
      <c r="B664" s="389"/>
      <c r="C664" s="392"/>
      <c r="D664" s="392"/>
      <c r="E664" s="392"/>
      <c r="F664" s="392"/>
      <c r="G664" s="392"/>
      <c r="H664" s="392"/>
      <c r="I664" s="750"/>
      <c r="J664" s="392"/>
      <c r="K664" s="392"/>
      <c r="L664" s="392"/>
      <c r="M664" s="392"/>
      <c r="N664" s="392"/>
      <c r="O664" s="750"/>
      <c r="P664" s="392"/>
      <c r="Q664" s="392"/>
      <c r="R664" s="392"/>
      <c r="S664" s="750"/>
      <c r="T664" s="392"/>
      <c r="U664" s="750"/>
      <c r="V664" s="392"/>
      <c r="W664" s="750"/>
      <c r="X664" s="378"/>
      <c r="Y664" s="180"/>
      <c r="Z664" s="180"/>
      <c r="AA664" s="180"/>
      <c r="AB664" s="180"/>
    </row>
    <row r="665" spans="1:28">
      <c r="A665" s="631"/>
      <c r="B665" s="634"/>
      <c r="C665" s="466"/>
      <c r="D665" s="466"/>
      <c r="E665" s="466"/>
      <c r="F665" s="466"/>
      <c r="G665" s="466"/>
      <c r="H665" s="466"/>
      <c r="I665" s="751"/>
      <c r="J665" s="466"/>
      <c r="K665" s="466"/>
      <c r="L665" s="466"/>
      <c r="M665" s="466"/>
      <c r="N665" s="466"/>
      <c r="O665" s="751"/>
      <c r="P665" s="466"/>
      <c r="Q665" s="466"/>
      <c r="R665" s="466"/>
      <c r="S665" s="751"/>
      <c r="T665" s="466"/>
      <c r="U665" s="751"/>
      <c r="V665" s="466"/>
      <c r="W665" s="751"/>
      <c r="X665" s="378"/>
      <c r="Y665" s="180"/>
      <c r="Z665" s="180"/>
      <c r="AA665" s="180"/>
      <c r="AB665" s="180"/>
    </row>
    <row r="666" spans="1:28">
      <c r="A666" s="631"/>
      <c r="B666" s="388"/>
      <c r="C666" s="391"/>
      <c r="D666" s="391"/>
      <c r="E666" s="391"/>
      <c r="F666" s="391"/>
      <c r="G666" s="391"/>
      <c r="H666" s="391"/>
      <c r="I666" s="749"/>
      <c r="J666" s="391"/>
      <c r="K666" s="391"/>
      <c r="L666" s="391"/>
      <c r="M666" s="391"/>
      <c r="N666" s="391"/>
      <c r="O666" s="749"/>
      <c r="P666" s="391"/>
      <c r="Q666" s="391"/>
      <c r="R666" s="391"/>
      <c r="S666" s="749"/>
      <c r="T666" s="391"/>
      <c r="U666" s="749"/>
      <c r="V666" s="391"/>
      <c r="W666" s="749"/>
      <c r="X666" s="378"/>
      <c r="Y666" s="180"/>
      <c r="Z666" s="180"/>
      <c r="AA666" s="180"/>
      <c r="AB666" s="180"/>
    </row>
    <row r="667" spans="1:28">
      <c r="A667" s="631"/>
      <c r="B667" s="389"/>
      <c r="C667" s="392"/>
      <c r="D667" s="392"/>
      <c r="E667" s="392"/>
      <c r="F667" s="392"/>
      <c r="G667" s="392"/>
      <c r="H667" s="392"/>
      <c r="I667" s="750"/>
      <c r="J667" s="392"/>
      <c r="K667" s="392"/>
      <c r="L667" s="392"/>
      <c r="M667" s="392"/>
      <c r="N667" s="392"/>
      <c r="O667" s="750"/>
      <c r="P667" s="392"/>
      <c r="Q667" s="392"/>
      <c r="R667" s="392"/>
      <c r="S667" s="750"/>
      <c r="T667" s="392"/>
      <c r="U667" s="750"/>
      <c r="V667" s="392"/>
      <c r="W667" s="750"/>
      <c r="X667" s="378"/>
      <c r="Y667" s="180"/>
      <c r="Z667" s="180"/>
      <c r="AA667" s="180"/>
      <c r="AB667" s="180"/>
    </row>
    <row r="668" spans="1:28" ht="13.5" thickBot="1">
      <c r="A668" s="635"/>
      <c r="B668" s="634"/>
      <c r="C668" s="466"/>
      <c r="D668" s="466"/>
      <c r="E668" s="466"/>
      <c r="F668" s="466"/>
      <c r="G668" s="466"/>
      <c r="H668" s="466"/>
      <c r="I668" s="751"/>
      <c r="J668" s="466"/>
      <c r="K668" s="466"/>
      <c r="L668" s="466"/>
      <c r="M668" s="466"/>
      <c r="N668" s="466"/>
      <c r="O668" s="751"/>
      <c r="P668" s="466"/>
      <c r="Q668" s="466"/>
      <c r="R668" s="466"/>
      <c r="S668" s="751"/>
      <c r="T668" s="466"/>
      <c r="U668" s="751"/>
      <c r="V668" s="466"/>
      <c r="W668" s="751"/>
      <c r="X668" s="378"/>
      <c r="Y668" s="180"/>
      <c r="Z668" s="180"/>
      <c r="AA668" s="180"/>
      <c r="AB668" s="180"/>
    </row>
    <row r="669" spans="1:28" ht="13.5" thickTop="1">
      <c r="A669" s="1444"/>
      <c r="B669" s="1445"/>
      <c r="C669" s="1452"/>
      <c r="D669" s="1453"/>
      <c r="E669" s="1453"/>
      <c r="F669" s="1453"/>
      <c r="G669" s="1453"/>
      <c r="H669" s="1453"/>
      <c r="I669" s="1455"/>
      <c r="J669" s="1454"/>
      <c r="K669" s="1453"/>
      <c r="L669" s="1453"/>
      <c r="M669" s="1453"/>
      <c r="N669" s="1453"/>
      <c r="O669" s="1455"/>
      <c r="P669" s="1452"/>
      <c r="Q669" s="1453"/>
      <c r="R669" s="1453"/>
      <c r="S669" s="1457"/>
      <c r="T669" s="1452"/>
      <c r="U669" s="1457"/>
      <c r="V669" s="1454"/>
      <c r="W669" s="1459"/>
      <c r="X669" s="378"/>
      <c r="Y669" s="385"/>
      <c r="Z669" s="385"/>
      <c r="AA669" s="385"/>
      <c r="AB669" s="385"/>
    </row>
    <row r="670" spans="1:28">
      <c r="A670" s="1444"/>
      <c r="B670" s="1445"/>
      <c r="C670" s="1438"/>
      <c r="D670" s="1439"/>
      <c r="E670" s="1439"/>
      <c r="F670" s="1439"/>
      <c r="G670" s="1439"/>
      <c r="H670" s="1439"/>
      <c r="I670" s="1450"/>
      <c r="J670" s="1440"/>
      <c r="K670" s="1439"/>
      <c r="L670" s="1439"/>
      <c r="M670" s="1439"/>
      <c r="N670" s="1439"/>
      <c r="O670" s="1450"/>
      <c r="P670" s="1438"/>
      <c r="Q670" s="1439"/>
      <c r="R670" s="1439"/>
      <c r="S670" s="1448"/>
      <c r="T670" s="1438"/>
      <c r="U670" s="1448"/>
      <c r="V670" s="1440"/>
      <c r="W670" s="1451"/>
      <c r="X670" s="378"/>
      <c r="Y670" s="385"/>
      <c r="Z670" s="385"/>
      <c r="AA670" s="385"/>
      <c r="AB670" s="385"/>
    </row>
    <row r="671" spans="1:28">
      <c r="A671" s="1444"/>
      <c r="B671" s="1445"/>
      <c r="C671" s="1438"/>
      <c r="D671" s="1439"/>
      <c r="E671" s="1439"/>
      <c r="F671" s="1439"/>
      <c r="G671" s="1439"/>
      <c r="H671" s="1439"/>
      <c r="I671" s="1450"/>
      <c r="J671" s="1440"/>
      <c r="K671" s="1439"/>
      <c r="L671" s="1439"/>
      <c r="M671" s="1439"/>
      <c r="N671" s="1439"/>
      <c r="O671" s="1450"/>
      <c r="P671" s="1438"/>
      <c r="Q671" s="1439"/>
      <c r="R671" s="1439"/>
      <c r="S671" s="1448"/>
      <c r="T671" s="1438"/>
      <c r="U671" s="1448"/>
      <c r="V671" s="1440"/>
      <c r="W671" s="1451"/>
      <c r="X671" s="378"/>
      <c r="Y671" s="385"/>
      <c r="Z671" s="385"/>
      <c r="AA671" s="385"/>
      <c r="AB671" s="385"/>
    </row>
    <row r="672" spans="1:28">
      <c r="A672" s="1444"/>
      <c r="B672" s="1445"/>
      <c r="C672" s="1438"/>
      <c r="D672" s="1439"/>
      <c r="E672" s="1439"/>
      <c r="F672" s="1439"/>
      <c r="G672" s="1439"/>
      <c r="H672" s="1439"/>
      <c r="I672" s="1450"/>
      <c r="J672" s="1440"/>
      <c r="K672" s="1439"/>
      <c r="L672" s="1439"/>
      <c r="M672" s="1439"/>
      <c r="N672" s="1439"/>
      <c r="O672" s="1450"/>
      <c r="P672" s="1438"/>
      <c r="Q672" s="1439"/>
      <c r="R672" s="1439"/>
      <c r="S672" s="1448"/>
      <c r="T672" s="1438"/>
      <c r="U672" s="1448"/>
      <c r="V672" s="1440"/>
      <c r="W672" s="1451"/>
      <c r="X672" s="378"/>
      <c r="Y672" s="385"/>
      <c r="Z672" s="385"/>
      <c r="AA672" s="385"/>
      <c r="AB672" s="385"/>
    </row>
    <row r="673" spans="1:28">
      <c r="A673" s="1444"/>
      <c r="B673" s="1445"/>
      <c r="C673" s="1438"/>
      <c r="D673" s="1439"/>
      <c r="E673" s="1439"/>
      <c r="F673" s="1439"/>
      <c r="G673" s="1439"/>
      <c r="H673" s="1439"/>
      <c r="I673" s="1450"/>
      <c r="J673" s="1440"/>
      <c r="K673" s="1439"/>
      <c r="L673" s="1439"/>
      <c r="M673" s="1439"/>
      <c r="N673" s="1439"/>
      <c r="O673" s="1450"/>
      <c r="P673" s="1438"/>
      <c r="Q673" s="1439"/>
      <c r="R673" s="1439"/>
      <c r="S673" s="1448"/>
      <c r="T673" s="1438"/>
      <c r="U673" s="1448"/>
      <c r="V673" s="1440"/>
      <c r="W673" s="1451"/>
      <c r="X673" s="378"/>
      <c r="Y673" s="385"/>
      <c r="Z673" s="385"/>
      <c r="AA673" s="385"/>
      <c r="AB673" s="385"/>
    </row>
    <row r="674" spans="1:28">
      <c r="A674" s="1444"/>
      <c r="B674" s="1445"/>
      <c r="C674" s="1438"/>
      <c r="D674" s="1439"/>
      <c r="E674" s="1439"/>
      <c r="F674" s="1439"/>
      <c r="G674" s="1439"/>
      <c r="H674" s="1439"/>
      <c r="I674" s="1450"/>
      <c r="J674" s="1440"/>
      <c r="K674" s="1439"/>
      <c r="L674" s="1439"/>
      <c r="M674" s="1439"/>
      <c r="N674" s="1439"/>
      <c r="O674" s="1450"/>
      <c r="P674" s="1438"/>
      <c r="Q674" s="1439"/>
      <c r="R674" s="1439"/>
      <c r="S674" s="1448"/>
      <c r="T674" s="1438"/>
      <c r="U674" s="1448"/>
      <c r="V674" s="1440"/>
      <c r="W674" s="1451"/>
      <c r="X674" s="378"/>
      <c r="Y674" s="385"/>
      <c r="Z674" s="385"/>
      <c r="AA674" s="385"/>
      <c r="AB674" s="385"/>
    </row>
    <row r="675" spans="1:28">
      <c r="A675" s="1444"/>
      <c r="B675" s="1445"/>
      <c r="C675" s="1438"/>
      <c r="D675" s="1439"/>
      <c r="E675" s="1439"/>
      <c r="F675" s="1439"/>
      <c r="G675" s="1439"/>
      <c r="H675" s="1439"/>
      <c r="I675" s="1450"/>
      <c r="J675" s="1440"/>
      <c r="K675" s="1439"/>
      <c r="L675" s="1439"/>
      <c r="M675" s="1439"/>
      <c r="N675" s="1439"/>
      <c r="O675" s="1450"/>
      <c r="P675" s="1438"/>
      <c r="Q675" s="1439"/>
      <c r="R675" s="1439"/>
      <c r="S675" s="1448"/>
      <c r="T675" s="1438"/>
      <c r="U675" s="1448"/>
      <c r="V675" s="1440"/>
      <c r="W675" s="1451"/>
      <c r="X675" s="378"/>
      <c r="Y675" s="385"/>
      <c r="Z675" s="385"/>
      <c r="AA675" s="385"/>
      <c r="AB675" s="385"/>
    </row>
    <row r="676" spans="1:28">
      <c r="A676" s="1444"/>
      <c r="B676" s="1445"/>
      <c r="C676" s="1438"/>
      <c r="D676" s="1439"/>
      <c r="E676" s="1439"/>
      <c r="F676" s="1439"/>
      <c r="G676" s="1439"/>
      <c r="H676" s="1439"/>
      <c r="I676" s="1450"/>
      <c r="J676" s="1440"/>
      <c r="K676" s="1439"/>
      <c r="L676" s="1439"/>
      <c r="M676" s="1439"/>
      <c r="N676" s="1439"/>
      <c r="O676" s="1450"/>
      <c r="P676" s="1438"/>
      <c r="Q676" s="1439"/>
      <c r="R676" s="1439"/>
      <c r="S676" s="1448"/>
      <c r="T676" s="1438"/>
      <c r="U676" s="1448"/>
      <c r="V676" s="1440"/>
      <c r="W676" s="1451"/>
      <c r="X676" s="378"/>
      <c r="Y676" s="385"/>
      <c r="Z676" s="385"/>
      <c r="AA676" s="385"/>
      <c r="AB676" s="385"/>
    </row>
    <row r="677" spans="1:28">
      <c r="A677" s="1444"/>
      <c r="B677" s="1445"/>
      <c r="C677" s="1438"/>
      <c r="D677" s="1439"/>
      <c r="E677" s="1439"/>
      <c r="F677" s="1439"/>
      <c r="G677" s="1439"/>
      <c r="H677" s="1439"/>
      <c r="I677" s="1450"/>
      <c r="J677" s="1440"/>
      <c r="K677" s="1439"/>
      <c r="L677" s="1439"/>
      <c r="M677" s="1439"/>
      <c r="N677" s="1439"/>
      <c r="O677" s="1450"/>
      <c r="P677" s="1438"/>
      <c r="Q677" s="1439"/>
      <c r="R677" s="1439"/>
      <c r="S677" s="1448"/>
      <c r="T677" s="1438"/>
      <c r="U677" s="1448"/>
      <c r="V677" s="1440"/>
      <c r="W677" s="1451"/>
      <c r="X677" s="378"/>
      <c r="Y677" s="385"/>
      <c r="Z677" s="385"/>
      <c r="AA677" s="385"/>
      <c r="AB677" s="385"/>
    </row>
    <row r="678" spans="1:28">
      <c r="A678" s="1444"/>
      <c r="B678" s="1445"/>
      <c r="C678" s="1438"/>
      <c r="D678" s="1439"/>
      <c r="E678" s="1439"/>
      <c r="F678" s="1439"/>
      <c r="G678" s="1439"/>
      <c r="H678" s="1439"/>
      <c r="I678" s="1450"/>
      <c r="J678" s="1440"/>
      <c r="K678" s="1439"/>
      <c r="L678" s="1439"/>
      <c r="M678" s="1439"/>
      <c r="N678" s="1439"/>
      <c r="O678" s="1450"/>
      <c r="P678" s="1438"/>
      <c r="Q678" s="1439"/>
      <c r="R678" s="1439"/>
      <c r="S678" s="1448"/>
      <c r="T678" s="1438"/>
      <c r="U678" s="1448"/>
      <c r="V678" s="1440"/>
      <c r="W678" s="1451"/>
      <c r="X678" s="378"/>
      <c r="Y678" s="385"/>
      <c r="Z678" s="385"/>
      <c r="AA678" s="385"/>
      <c r="AB678" s="385"/>
    </row>
    <row r="679" spans="1:28">
      <c r="A679" s="1444"/>
      <c r="B679" s="1445"/>
      <c r="C679" s="1438"/>
      <c r="D679" s="1439"/>
      <c r="E679" s="1439"/>
      <c r="F679" s="1439"/>
      <c r="G679" s="1439"/>
      <c r="H679" s="1439"/>
      <c r="I679" s="1450"/>
      <c r="J679" s="1440"/>
      <c r="K679" s="1439"/>
      <c r="L679" s="1439"/>
      <c r="M679" s="1439"/>
      <c r="N679" s="1439"/>
      <c r="O679" s="1450"/>
      <c r="P679" s="1438"/>
      <c r="Q679" s="1439"/>
      <c r="R679" s="1439"/>
      <c r="S679" s="1448"/>
      <c r="T679" s="1438"/>
      <c r="U679" s="1448"/>
      <c r="V679" s="1440"/>
      <c r="W679" s="1451"/>
      <c r="X679" s="378"/>
      <c r="Y679" s="385"/>
      <c r="Z679" s="385"/>
      <c r="AA679" s="385"/>
      <c r="AB679" s="385"/>
    </row>
    <row r="680" spans="1:28">
      <c r="A680" s="1444"/>
      <c r="B680" s="1445"/>
      <c r="C680" s="1438"/>
      <c r="D680" s="1439"/>
      <c r="E680" s="1439"/>
      <c r="F680" s="1439"/>
      <c r="G680" s="1439"/>
      <c r="H680" s="1439"/>
      <c r="I680" s="1450"/>
      <c r="J680" s="1440"/>
      <c r="K680" s="1439"/>
      <c r="L680" s="1439"/>
      <c r="M680" s="1439"/>
      <c r="N680" s="1439"/>
      <c r="O680" s="1450"/>
      <c r="P680" s="1438"/>
      <c r="Q680" s="1439"/>
      <c r="R680" s="1439"/>
      <c r="S680" s="1448"/>
      <c r="T680" s="1438"/>
      <c r="U680" s="1448"/>
      <c r="V680" s="1440"/>
      <c r="W680" s="1451"/>
      <c r="X680" s="378"/>
      <c r="Y680" s="385"/>
      <c r="Z680" s="385"/>
      <c r="AA680" s="385"/>
      <c r="AB680" s="385"/>
    </row>
    <row r="681" spans="1:28">
      <c r="A681" s="1444"/>
      <c r="B681" s="1445"/>
      <c r="C681" s="1438"/>
      <c r="D681" s="1439"/>
      <c r="E681" s="1439"/>
      <c r="F681" s="1439"/>
      <c r="G681" s="1439"/>
      <c r="H681" s="1439"/>
      <c r="I681" s="1450"/>
      <c r="J681" s="1440"/>
      <c r="K681" s="1439"/>
      <c r="L681" s="1439"/>
      <c r="M681" s="1439"/>
      <c r="N681" s="1439"/>
      <c r="O681" s="1450"/>
      <c r="P681" s="1438"/>
      <c r="Q681" s="1439"/>
      <c r="R681" s="1439"/>
      <c r="S681" s="1448"/>
      <c r="T681" s="1438"/>
      <c r="U681" s="1448"/>
      <c r="V681" s="1440"/>
      <c r="W681" s="1451"/>
      <c r="X681" s="378"/>
      <c r="Y681" s="385"/>
      <c r="Z681" s="385"/>
      <c r="AA681" s="385"/>
      <c r="AB681" s="385"/>
    </row>
    <row r="682" spans="1:28">
      <c r="A682" s="1444"/>
      <c r="B682" s="1445"/>
      <c r="C682" s="1438"/>
      <c r="D682" s="1439"/>
      <c r="E682" s="1439"/>
      <c r="F682" s="1439"/>
      <c r="G682" s="1439"/>
      <c r="H682" s="1439"/>
      <c r="I682" s="1450"/>
      <c r="J682" s="1440"/>
      <c r="K682" s="1439"/>
      <c r="L682" s="1439"/>
      <c r="M682" s="1439"/>
      <c r="N682" s="1439"/>
      <c r="O682" s="1450"/>
      <c r="P682" s="1438"/>
      <c r="Q682" s="1439"/>
      <c r="R682" s="1439"/>
      <c r="S682" s="1448"/>
      <c r="T682" s="1438"/>
      <c r="U682" s="1448"/>
      <c r="V682" s="1440"/>
      <c r="W682" s="1451"/>
      <c r="X682" s="378"/>
      <c r="Y682" s="385"/>
      <c r="Z682" s="385"/>
      <c r="AA682" s="385"/>
      <c r="AB682" s="385"/>
    </row>
    <row r="683" spans="1:28">
      <c r="A683" s="1444"/>
      <c r="B683" s="1445"/>
      <c r="C683" s="1438"/>
      <c r="D683" s="1439"/>
      <c r="E683" s="1439"/>
      <c r="F683" s="1439"/>
      <c r="G683" s="1439"/>
      <c r="H683" s="1439"/>
      <c r="I683" s="1450"/>
      <c r="J683" s="1440"/>
      <c r="K683" s="1439"/>
      <c r="L683" s="1439"/>
      <c r="M683" s="1439"/>
      <c r="N683" s="1439"/>
      <c r="O683" s="1450"/>
      <c r="P683" s="1438"/>
      <c r="Q683" s="1439"/>
      <c r="R683" s="1439"/>
      <c r="S683" s="1448"/>
      <c r="T683" s="1438"/>
      <c r="U683" s="1448"/>
      <c r="V683" s="1440"/>
      <c r="W683" s="1451"/>
      <c r="X683" s="378"/>
      <c r="Y683" s="385"/>
      <c r="Z683" s="385"/>
      <c r="AA683" s="385"/>
      <c r="AB683" s="385"/>
    </row>
    <row r="684" spans="1:28">
      <c r="A684" s="1444"/>
      <c r="B684" s="1445"/>
      <c r="C684" s="1448"/>
      <c r="D684" s="1449"/>
      <c r="E684" s="1449"/>
      <c r="F684" s="1449"/>
      <c r="G684" s="1449"/>
      <c r="H684" s="1449"/>
      <c r="I684" s="1450"/>
      <c r="J684" s="1450"/>
      <c r="K684" s="1449"/>
      <c r="L684" s="1449"/>
      <c r="M684" s="1449"/>
      <c r="N684" s="1449"/>
      <c r="O684" s="1450"/>
      <c r="P684" s="1448"/>
      <c r="Q684" s="1449"/>
      <c r="R684" s="1449"/>
      <c r="S684" s="1448"/>
      <c r="T684" s="1448"/>
      <c r="U684" s="1448"/>
      <c r="V684" s="1450"/>
      <c r="W684" s="1451"/>
      <c r="X684" s="378"/>
      <c r="Y684" s="385"/>
      <c r="Z684" s="385"/>
      <c r="AA684" s="385"/>
      <c r="AB684" s="385"/>
    </row>
    <row r="685" spans="1:28">
      <c r="A685" s="1444"/>
      <c r="B685" s="1445"/>
      <c r="C685" s="1448"/>
      <c r="D685" s="1449"/>
      <c r="E685" s="1449"/>
      <c r="F685" s="1449"/>
      <c r="G685" s="1449"/>
      <c r="H685" s="1449"/>
      <c r="I685" s="1450"/>
      <c r="J685" s="1450"/>
      <c r="K685" s="1449"/>
      <c r="L685" s="1449"/>
      <c r="M685" s="1449"/>
      <c r="N685" s="1449"/>
      <c r="O685" s="1450"/>
      <c r="P685" s="1448"/>
      <c r="Q685" s="1449"/>
      <c r="R685" s="1449"/>
      <c r="S685" s="1448"/>
      <c r="T685" s="1448"/>
      <c r="U685" s="1448"/>
      <c r="V685" s="1450"/>
      <c r="W685" s="1451"/>
      <c r="X685" s="378"/>
      <c r="Y685" s="385"/>
      <c r="Z685" s="385"/>
      <c r="AA685" s="385"/>
      <c r="AB685" s="385"/>
    </row>
    <row r="686" spans="1:28">
      <c r="A686" s="1444"/>
      <c r="B686" s="1445"/>
      <c r="C686" s="1448"/>
      <c r="D686" s="1449"/>
      <c r="E686" s="1449"/>
      <c r="F686" s="1449"/>
      <c r="G686" s="1449"/>
      <c r="H686" s="1449"/>
      <c r="I686" s="1450"/>
      <c r="J686" s="1450"/>
      <c r="K686" s="1449"/>
      <c r="L686" s="1449"/>
      <c r="M686" s="1449"/>
      <c r="N686" s="1449"/>
      <c r="O686" s="1450"/>
      <c r="P686" s="1448"/>
      <c r="Q686" s="1449"/>
      <c r="R686" s="1449"/>
      <c r="S686" s="1448"/>
      <c r="T686" s="1448"/>
      <c r="U686" s="1448"/>
      <c r="V686" s="1450"/>
      <c r="W686" s="1451"/>
      <c r="X686" s="378"/>
      <c r="Y686" s="385"/>
      <c r="Z686" s="385"/>
      <c r="AA686" s="385"/>
      <c r="AB686" s="385"/>
    </row>
    <row r="687" spans="1:28">
      <c r="A687" s="1444"/>
      <c r="B687" s="1445"/>
      <c r="C687" s="1438"/>
      <c r="D687" s="1439"/>
      <c r="E687" s="1439"/>
      <c r="F687" s="1439"/>
      <c r="G687" s="1439"/>
      <c r="H687" s="1439"/>
      <c r="I687" s="1450"/>
      <c r="J687" s="1440"/>
      <c r="K687" s="1439"/>
      <c r="L687" s="1439"/>
      <c r="M687" s="1439"/>
      <c r="N687" s="1439"/>
      <c r="O687" s="1450"/>
      <c r="P687" s="1438"/>
      <c r="Q687" s="1439"/>
      <c r="R687" s="1439"/>
      <c r="S687" s="1448"/>
      <c r="T687" s="1438"/>
      <c r="U687" s="1448"/>
      <c r="V687" s="1440"/>
      <c r="W687" s="1451"/>
      <c r="X687" s="378"/>
      <c r="Y687" s="385"/>
      <c r="Z687" s="385"/>
      <c r="AA687" s="385"/>
      <c r="AB687" s="385"/>
    </row>
    <row r="688" spans="1:28">
      <c r="A688" s="1444"/>
      <c r="B688" s="1445"/>
      <c r="C688" s="1438"/>
      <c r="D688" s="1439"/>
      <c r="E688" s="1439"/>
      <c r="F688" s="1439"/>
      <c r="G688" s="1439"/>
      <c r="H688" s="1439"/>
      <c r="I688" s="1450"/>
      <c r="J688" s="1440"/>
      <c r="K688" s="1439"/>
      <c r="L688" s="1439"/>
      <c r="M688" s="1439"/>
      <c r="N688" s="1439"/>
      <c r="O688" s="1450"/>
      <c r="P688" s="1438"/>
      <c r="Q688" s="1439"/>
      <c r="R688" s="1439"/>
      <c r="S688" s="1448"/>
      <c r="T688" s="1438"/>
      <c r="U688" s="1448"/>
      <c r="V688" s="1440"/>
      <c r="W688" s="1451"/>
      <c r="X688" s="378"/>
      <c r="Y688" s="385"/>
      <c r="Z688" s="385"/>
      <c r="AA688" s="385"/>
      <c r="AB688" s="385"/>
    </row>
    <row r="689" spans="1:28">
      <c r="A689" s="1444"/>
      <c r="B689" s="1445"/>
      <c r="C689" s="1438"/>
      <c r="D689" s="1439"/>
      <c r="E689" s="1439"/>
      <c r="F689" s="1439"/>
      <c r="G689" s="1439"/>
      <c r="H689" s="1439"/>
      <c r="I689" s="1450"/>
      <c r="J689" s="1440"/>
      <c r="K689" s="1439"/>
      <c r="L689" s="1439"/>
      <c r="M689" s="1439"/>
      <c r="N689" s="1439"/>
      <c r="O689" s="1450"/>
      <c r="P689" s="1438"/>
      <c r="Q689" s="1439"/>
      <c r="R689" s="1439"/>
      <c r="S689" s="1448"/>
      <c r="T689" s="1438"/>
      <c r="U689" s="1448"/>
      <c r="V689" s="1440"/>
      <c r="W689" s="1451"/>
      <c r="X689" s="378"/>
      <c r="Y689" s="385"/>
      <c r="Z689" s="385"/>
      <c r="AA689" s="385"/>
      <c r="AB689" s="385"/>
    </row>
    <row r="690" spans="1:28">
      <c r="A690" s="1444"/>
      <c r="B690" s="1445"/>
      <c r="C690" s="1438"/>
      <c r="D690" s="1439"/>
      <c r="E690" s="1439"/>
      <c r="F690" s="1439"/>
      <c r="G690" s="1439"/>
      <c r="H690" s="1439"/>
      <c r="I690" s="1450"/>
      <c r="J690" s="1440"/>
      <c r="K690" s="1439"/>
      <c r="L690" s="1439"/>
      <c r="M690" s="1439"/>
      <c r="N690" s="1439"/>
      <c r="O690" s="1450"/>
      <c r="P690" s="1438"/>
      <c r="Q690" s="1439"/>
      <c r="R690" s="1439"/>
      <c r="S690" s="1448"/>
      <c r="T690" s="1438"/>
      <c r="U690" s="1448"/>
      <c r="V690" s="1440"/>
      <c r="W690" s="1451"/>
      <c r="X690" s="378"/>
      <c r="Y690" s="385"/>
      <c r="Z690" s="385"/>
      <c r="AA690" s="385"/>
      <c r="AB690" s="385"/>
    </row>
    <row r="691" spans="1:28">
      <c r="A691" s="1444"/>
      <c r="B691" s="1445"/>
      <c r="C691" s="1438"/>
      <c r="D691" s="1439"/>
      <c r="E691" s="1439"/>
      <c r="F691" s="1439"/>
      <c r="G691" s="1439"/>
      <c r="H691" s="1439"/>
      <c r="I691" s="1450"/>
      <c r="J691" s="1440"/>
      <c r="K691" s="1439"/>
      <c r="L691" s="1439"/>
      <c r="M691" s="1439"/>
      <c r="N691" s="1439"/>
      <c r="O691" s="1450"/>
      <c r="P691" s="1438"/>
      <c r="Q691" s="1439"/>
      <c r="R691" s="1439"/>
      <c r="S691" s="1448"/>
      <c r="T691" s="1438"/>
      <c r="U691" s="1448"/>
      <c r="V691" s="1440"/>
      <c r="W691" s="1451"/>
      <c r="X691" s="378"/>
      <c r="Y691" s="385"/>
      <c r="Z691" s="385"/>
      <c r="AA691" s="385"/>
      <c r="AB691" s="385"/>
    </row>
    <row r="692" spans="1:28">
      <c r="A692" s="1444"/>
      <c r="B692" s="1445"/>
      <c r="C692" s="1438"/>
      <c r="D692" s="1439"/>
      <c r="E692" s="1439"/>
      <c r="F692" s="1439"/>
      <c r="G692" s="1439"/>
      <c r="H692" s="1439"/>
      <c r="I692" s="1450"/>
      <c r="J692" s="1440"/>
      <c r="K692" s="1439"/>
      <c r="L692" s="1439"/>
      <c r="M692" s="1439"/>
      <c r="N692" s="1439"/>
      <c r="O692" s="1450"/>
      <c r="P692" s="1438"/>
      <c r="Q692" s="1439"/>
      <c r="R692" s="1439"/>
      <c r="S692" s="1448"/>
      <c r="T692" s="1438"/>
      <c r="U692" s="1448"/>
      <c r="V692" s="1440"/>
      <c r="W692" s="1451"/>
      <c r="X692" s="378"/>
      <c r="Y692" s="385"/>
      <c r="Z692" s="385"/>
      <c r="AA692" s="385"/>
      <c r="AB692" s="385"/>
    </row>
    <row r="693" spans="1:28">
      <c r="A693" s="1444"/>
      <c r="B693" s="1445"/>
      <c r="C693" s="1438"/>
      <c r="D693" s="1439"/>
      <c r="E693" s="1439"/>
      <c r="F693" s="1439"/>
      <c r="G693" s="1439"/>
      <c r="H693" s="1439"/>
      <c r="I693" s="1450"/>
      <c r="J693" s="1440"/>
      <c r="K693" s="1439"/>
      <c r="L693" s="1439"/>
      <c r="M693" s="1439"/>
      <c r="N693" s="1439"/>
      <c r="O693" s="1450"/>
      <c r="P693" s="1438"/>
      <c r="Q693" s="1439"/>
      <c r="R693" s="1439"/>
      <c r="S693" s="1448"/>
      <c r="T693" s="1438"/>
      <c r="U693" s="1448"/>
      <c r="V693" s="1440"/>
      <c r="W693" s="1451"/>
      <c r="X693" s="378"/>
      <c r="Y693" s="385"/>
      <c r="Z693" s="385"/>
      <c r="AA693" s="385"/>
      <c r="AB693" s="385"/>
    </row>
    <row r="694" spans="1:28">
      <c r="A694" s="1444"/>
      <c r="B694" s="1445"/>
      <c r="C694" s="1438"/>
      <c r="D694" s="1439"/>
      <c r="E694" s="1439"/>
      <c r="F694" s="1439"/>
      <c r="G694" s="1439"/>
      <c r="H694" s="1439"/>
      <c r="I694" s="1450"/>
      <c r="J694" s="1440"/>
      <c r="K694" s="1439"/>
      <c r="L694" s="1439"/>
      <c r="M694" s="1439"/>
      <c r="N694" s="1439"/>
      <c r="O694" s="1450"/>
      <c r="P694" s="1438"/>
      <c r="Q694" s="1439"/>
      <c r="R694" s="1439"/>
      <c r="S694" s="1448"/>
      <c r="T694" s="1438"/>
      <c r="U694" s="1448"/>
      <c r="V694" s="1440"/>
      <c r="W694" s="1451"/>
      <c r="X694" s="378"/>
      <c r="Y694" s="385"/>
      <c r="Z694" s="385"/>
      <c r="AA694" s="385"/>
      <c r="AB694" s="385"/>
    </row>
    <row r="695" spans="1:28">
      <c r="A695" s="1444"/>
      <c r="B695" s="1445"/>
      <c r="C695" s="1438"/>
      <c r="D695" s="1439"/>
      <c r="E695" s="1439"/>
      <c r="F695" s="1439"/>
      <c r="G695" s="1439"/>
      <c r="H695" s="1439"/>
      <c r="I695" s="1450"/>
      <c r="J695" s="1440"/>
      <c r="K695" s="1439"/>
      <c r="L695" s="1439"/>
      <c r="M695" s="1439"/>
      <c r="N695" s="1439"/>
      <c r="O695" s="1450"/>
      <c r="P695" s="1438"/>
      <c r="Q695" s="1439"/>
      <c r="R695" s="1439"/>
      <c r="S695" s="1448"/>
      <c r="T695" s="1438"/>
      <c r="U695" s="1448"/>
      <c r="V695" s="1440"/>
      <c r="W695" s="1451"/>
      <c r="X695" s="378"/>
      <c r="Y695" s="385"/>
      <c r="Z695" s="385"/>
      <c r="AA695" s="385"/>
      <c r="AB695" s="385"/>
    </row>
    <row r="696" spans="1:28">
      <c r="A696" s="1444"/>
      <c r="B696" s="1445"/>
      <c r="C696" s="1438"/>
      <c r="D696" s="1439"/>
      <c r="E696" s="1439"/>
      <c r="F696" s="1439"/>
      <c r="G696" s="1439"/>
      <c r="H696" s="1439"/>
      <c r="I696" s="1450"/>
      <c r="J696" s="1440"/>
      <c r="K696" s="1439"/>
      <c r="L696" s="1439"/>
      <c r="M696" s="1439"/>
      <c r="N696" s="1439"/>
      <c r="O696" s="1450"/>
      <c r="P696" s="1438"/>
      <c r="Q696" s="1439"/>
      <c r="R696" s="1439"/>
      <c r="S696" s="1448"/>
      <c r="T696" s="1438"/>
      <c r="U696" s="1448"/>
      <c r="V696" s="1440"/>
      <c r="W696" s="1451"/>
      <c r="X696" s="378"/>
      <c r="Y696" s="385"/>
      <c r="Z696" s="385"/>
      <c r="AA696" s="385"/>
      <c r="AB696" s="385"/>
    </row>
    <row r="697" spans="1:28">
      <c r="A697" s="1444"/>
      <c r="B697" s="1445"/>
      <c r="C697" s="1438"/>
      <c r="D697" s="1439"/>
      <c r="E697" s="1439"/>
      <c r="F697" s="1439"/>
      <c r="G697" s="1439"/>
      <c r="H697" s="1439"/>
      <c r="I697" s="1450"/>
      <c r="J697" s="1440"/>
      <c r="K697" s="1439"/>
      <c r="L697" s="1439"/>
      <c r="M697" s="1439"/>
      <c r="N697" s="1439"/>
      <c r="O697" s="1450"/>
      <c r="P697" s="1438"/>
      <c r="Q697" s="1439"/>
      <c r="R697" s="1439"/>
      <c r="S697" s="1448"/>
      <c r="T697" s="1438"/>
      <c r="U697" s="1448"/>
      <c r="V697" s="1440"/>
      <c r="W697" s="1451"/>
      <c r="X697" s="378"/>
      <c r="Y697" s="385"/>
      <c r="Z697" s="385"/>
      <c r="AA697" s="385"/>
      <c r="AB697" s="385"/>
    </row>
    <row r="698" spans="1:28">
      <c r="A698" s="1444"/>
      <c r="B698" s="1445"/>
      <c r="C698" s="1438"/>
      <c r="D698" s="1439"/>
      <c r="E698" s="1439"/>
      <c r="F698" s="1439"/>
      <c r="G698" s="1439"/>
      <c r="H698" s="1439"/>
      <c r="I698" s="1450"/>
      <c r="J698" s="1440"/>
      <c r="K698" s="1439"/>
      <c r="L698" s="1439"/>
      <c r="M698" s="1439"/>
      <c r="N698" s="1439"/>
      <c r="O698" s="1450"/>
      <c r="P698" s="1438"/>
      <c r="Q698" s="1439"/>
      <c r="R698" s="1439"/>
      <c r="S698" s="1448"/>
      <c r="T698" s="1438"/>
      <c r="U698" s="1448"/>
      <c r="V698" s="1440"/>
      <c r="W698" s="1451"/>
      <c r="X698" s="378"/>
      <c r="Y698" s="385"/>
      <c r="Z698" s="385"/>
      <c r="AA698" s="385"/>
      <c r="AB698" s="385"/>
    </row>
    <row r="699" spans="1:28">
      <c r="A699" s="1444"/>
      <c r="B699" s="1445"/>
      <c r="C699" s="1438"/>
      <c r="D699" s="1439"/>
      <c r="E699" s="1439"/>
      <c r="F699" s="1439"/>
      <c r="G699" s="1439"/>
      <c r="H699" s="1439"/>
      <c r="I699" s="1450"/>
      <c r="J699" s="1440"/>
      <c r="K699" s="1439"/>
      <c r="L699" s="1439"/>
      <c r="M699" s="1439"/>
      <c r="N699" s="1439"/>
      <c r="O699" s="1450"/>
      <c r="P699" s="1438"/>
      <c r="Q699" s="1439"/>
      <c r="R699" s="1439"/>
      <c r="S699" s="1448"/>
      <c r="T699" s="1438"/>
      <c r="U699" s="1448"/>
      <c r="V699" s="1440"/>
      <c r="W699" s="1451"/>
      <c r="X699" s="378"/>
      <c r="Y699" s="385"/>
      <c r="Z699" s="385"/>
      <c r="AA699" s="385"/>
      <c r="AB699" s="385"/>
    </row>
    <row r="700" spans="1:28">
      <c r="A700" s="1444"/>
      <c r="B700" s="1445"/>
      <c r="C700" s="1438"/>
      <c r="D700" s="1439"/>
      <c r="E700" s="1439"/>
      <c r="F700" s="1439"/>
      <c r="G700" s="1439"/>
      <c r="H700" s="1439"/>
      <c r="I700" s="1450"/>
      <c r="J700" s="1440"/>
      <c r="K700" s="1439"/>
      <c r="L700" s="1439"/>
      <c r="M700" s="1439"/>
      <c r="N700" s="1439"/>
      <c r="O700" s="1450"/>
      <c r="P700" s="1438"/>
      <c r="Q700" s="1439"/>
      <c r="R700" s="1439"/>
      <c r="S700" s="1448"/>
      <c r="T700" s="1438"/>
      <c r="U700" s="1448"/>
      <c r="V700" s="1440"/>
      <c r="W700" s="1451"/>
      <c r="X700" s="378"/>
      <c r="Y700" s="385"/>
      <c r="Z700" s="385"/>
      <c r="AA700" s="385"/>
      <c r="AB700" s="385"/>
    </row>
    <row r="701" spans="1:28">
      <c r="A701" s="1444"/>
      <c r="B701" s="1445"/>
      <c r="C701" s="1438"/>
      <c r="D701" s="1439"/>
      <c r="E701" s="1439"/>
      <c r="F701" s="1439"/>
      <c r="G701" s="1439"/>
      <c r="H701" s="1439"/>
      <c r="I701" s="1450"/>
      <c r="J701" s="1440"/>
      <c r="K701" s="1439"/>
      <c r="L701" s="1439"/>
      <c r="M701" s="1439"/>
      <c r="N701" s="1439"/>
      <c r="O701" s="1450"/>
      <c r="P701" s="1438"/>
      <c r="Q701" s="1439"/>
      <c r="R701" s="1439"/>
      <c r="S701" s="1448"/>
      <c r="T701" s="1438"/>
      <c r="U701" s="1448"/>
      <c r="V701" s="1440"/>
      <c r="W701" s="1451"/>
      <c r="X701" s="378"/>
      <c r="Y701" s="385"/>
      <c r="Z701" s="385"/>
      <c r="AA701" s="385"/>
      <c r="AB701" s="385"/>
    </row>
    <row r="702" spans="1:28">
      <c r="A702" s="1444"/>
      <c r="B702" s="1445"/>
      <c r="C702" s="1438"/>
      <c r="D702" s="1439"/>
      <c r="E702" s="1439"/>
      <c r="F702" s="1439"/>
      <c r="G702" s="1439"/>
      <c r="H702" s="1439"/>
      <c r="I702" s="1450"/>
      <c r="J702" s="1440"/>
      <c r="K702" s="1439"/>
      <c r="L702" s="1439"/>
      <c r="M702" s="1439"/>
      <c r="N702" s="1439"/>
      <c r="O702" s="1450"/>
      <c r="P702" s="1438"/>
      <c r="Q702" s="1439"/>
      <c r="R702" s="1439"/>
      <c r="S702" s="1448"/>
      <c r="T702" s="1438"/>
      <c r="U702" s="1448"/>
      <c r="V702" s="1440"/>
      <c r="W702" s="1451"/>
      <c r="X702" s="378"/>
      <c r="Y702" s="385"/>
      <c r="Z702" s="385"/>
      <c r="AA702" s="385"/>
      <c r="AB702" s="385"/>
    </row>
    <row r="703" spans="1:28">
      <c r="A703" s="1444"/>
      <c r="B703" s="1445"/>
      <c r="C703" s="1438"/>
      <c r="D703" s="1439"/>
      <c r="E703" s="1439"/>
      <c r="F703" s="1439"/>
      <c r="G703" s="1439"/>
      <c r="H703" s="1439"/>
      <c r="I703" s="1450"/>
      <c r="J703" s="1440"/>
      <c r="K703" s="1439"/>
      <c r="L703" s="1439"/>
      <c r="M703" s="1439"/>
      <c r="N703" s="1439"/>
      <c r="O703" s="1450"/>
      <c r="P703" s="1438"/>
      <c r="Q703" s="1439"/>
      <c r="R703" s="1439"/>
      <c r="S703" s="1448"/>
      <c r="T703" s="1438"/>
      <c r="U703" s="1448"/>
      <c r="V703" s="1440"/>
      <c r="W703" s="1451"/>
      <c r="X703" s="378"/>
      <c r="Y703" s="385"/>
      <c r="Z703" s="385"/>
      <c r="AA703" s="385"/>
      <c r="AB703" s="385"/>
    </row>
    <row r="704" spans="1:28">
      <c r="A704" s="1444"/>
      <c r="B704" s="1445"/>
      <c r="C704" s="1438"/>
      <c r="D704" s="1439"/>
      <c r="E704" s="1439"/>
      <c r="F704" s="1439"/>
      <c r="G704" s="1439"/>
      <c r="H704" s="1439"/>
      <c r="I704" s="1450"/>
      <c r="J704" s="1440"/>
      <c r="K704" s="1439"/>
      <c r="L704" s="1439"/>
      <c r="M704" s="1439"/>
      <c r="N704" s="1439"/>
      <c r="O704" s="1450"/>
      <c r="P704" s="1438"/>
      <c r="Q704" s="1439"/>
      <c r="R704" s="1439"/>
      <c r="S704" s="1448"/>
      <c r="T704" s="1438"/>
      <c r="U704" s="1448"/>
      <c r="V704" s="1440"/>
      <c r="W704" s="1451"/>
      <c r="X704" s="378"/>
      <c r="Y704" s="385"/>
      <c r="Z704" s="385"/>
      <c r="AA704" s="385"/>
      <c r="AB704" s="385"/>
    </row>
    <row r="705" spans="1:28">
      <c r="A705" s="1444"/>
      <c r="B705" s="1445"/>
      <c r="C705" s="1438"/>
      <c r="D705" s="1439"/>
      <c r="E705" s="1439"/>
      <c r="F705" s="1439"/>
      <c r="G705" s="1439"/>
      <c r="H705" s="1439"/>
      <c r="I705" s="1450"/>
      <c r="J705" s="1440"/>
      <c r="K705" s="1439"/>
      <c r="L705" s="1439"/>
      <c r="M705" s="1439"/>
      <c r="N705" s="1439"/>
      <c r="O705" s="1450"/>
      <c r="P705" s="1438"/>
      <c r="Q705" s="1439"/>
      <c r="R705" s="1439"/>
      <c r="S705" s="1448"/>
      <c r="T705" s="1438"/>
      <c r="U705" s="1448"/>
      <c r="V705" s="1440"/>
      <c r="W705" s="1451"/>
      <c r="X705" s="378"/>
      <c r="Y705" s="385"/>
      <c r="Z705" s="385"/>
      <c r="AA705" s="385"/>
      <c r="AB705" s="385"/>
    </row>
    <row r="706" spans="1:28">
      <c r="A706" s="1444"/>
      <c r="B706" s="1445"/>
      <c r="C706" s="1438"/>
      <c r="D706" s="1439"/>
      <c r="E706" s="1439"/>
      <c r="F706" s="1439"/>
      <c r="G706" s="1439"/>
      <c r="H706" s="1439"/>
      <c r="I706" s="1450"/>
      <c r="J706" s="1440"/>
      <c r="K706" s="1439"/>
      <c r="L706" s="1439"/>
      <c r="M706" s="1439"/>
      <c r="N706" s="1439"/>
      <c r="O706" s="1450"/>
      <c r="P706" s="1438"/>
      <c r="Q706" s="1439"/>
      <c r="R706" s="1439"/>
      <c r="S706" s="1448"/>
      <c r="T706" s="1438"/>
      <c r="U706" s="1448"/>
      <c r="V706" s="1440"/>
      <c r="W706" s="1451"/>
      <c r="X706" s="378"/>
      <c r="Y706" s="385"/>
      <c r="Z706" s="385"/>
      <c r="AA706" s="385"/>
      <c r="AB706" s="385"/>
    </row>
    <row r="707" spans="1:28">
      <c r="A707" s="1446"/>
      <c r="B707" s="1447"/>
      <c r="C707" s="1441"/>
      <c r="D707" s="1442"/>
      <c r="E707" s="1442"/>
      <c r="F707" s="1442"/>
      <c r="G707" s="1442"/>
      <c r="H707" s="1442"/>
      <c r="I707" s="1456"/>
      <c r="J707" s="1443"/>
      <c r="K707" s="1442"/>
      <c r="L707" s="1442"/>
      <c r="M707" s="1442"/>
      <c r="N707" s="1442"/>
      <c r="O707" s="1456"/>
      <c r="P707" s="1441"/>
      <c r="Q707" s="1442"/>
      <c r="R707" s="1442"/>
      <c r="S707" s="1458"/>
      <c r="T707" s="1441"/>
      <c r="U707" s="1458"/>
      <c r="V707" s="1443"/>
      <c r="W707" s="1460"/>
      <c r="X707" s="378"/>
      <c r="Y707" s="385"/>
      <c r="Z707" s="385"/>
      <c r="AA707" s="385"/>
      <c r="AB707" s="38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P707"/>
  <sheetViews>
    <sheetView workbookViewId="0">
      <selection sqref="A1:XFD1048576"/>
    </sheetView>
  </sheetViews>
  <sheetFormatPr defaultRowHeight="12.75"/>
  <cols>
    <col min="1" max="1" width="11.125" style="433" customWidth="1"/>
    <col min="2" max="2" width="50" style="401" customWidth="1"/>
    <col min="3" max="3" width="6.5" style="378" customWidth="1"/>
    <col min="4" max="4" width="8" style="378" customWidth="1"/>
    <col min="5" max="22" width="12.5" style="378" customWidth="1"/>
    <col min="23" max="25" width="2.375" style="378" customWidth="1"/>
    <col min="26" max="26" width="6.5" style="378" customWidth="1"/>
    <col min="27" max="27" width="5.375" style="378" customWidth="1"/>
    <col min="28" max="28" width="5.5" style="378" customWidth="1"/>
    <col min="29" max="29" width="6" style="378" customWidth="1"/>
    <col min="30" max="30" width="5.125" style="378" customWidth="1"/>
    <col min="31" max="32" width="5.625" style="378" customWidth="1"/>
    <col min="33" max="35" width="6" style="378" customWidth="1"/>
    <col min="36" max="36" width="5.25" style="378" bestFit="1" customWidth="1"/>
    <col min="37" max="37" width="5.625" style="378" customWidth="1"/>
    <col min="38" max="38" width="5" style="378" customWidth="1"/>
    <col min="39" max="39" width="5.625" style="378" customWidth="1"/>
    <col min="40" max="40" width="5.25" style="378" customWidth="1"/>
    <col min="41" max="41" width="5" style="378" bestFit="1" customWidth="1"/>
    <col min="42" max="16384" width="9" style="378"/>
  </cols>
  <sheetData>
    <row r="1" spans="1:42">
      <c r="A1" s="443"/>
      <c r="B1" s="436"/>
      <c r="C1" s="379"/>
      <c r="D1" s="379"/>
      <c r="E1" s="379"/>
      <c r="F1" s="379"/>
      <c r="G1" s="379"/>
      <c r="H1" s="379"/>
      <c r="I1" s="379"/>
      <c r="J1" s="379"/>
      <c r="K1" s="379"/>
      <c r="L1" s="379"/>
      <c r="M1" s="379"/>
      <c r="N1" s="379"/>
      <c r="O1" s="379"/>
      <c r="P1" s="379"/>
      <c r="Q1" s="379"/>
      <c r="R1" s="379"/>
      <c r="S1" s="379"/>
      <c r="T1" s="379"/>
      <c r="U1" s="379"/>
      <c r="V1" s="379"/>
      <c r="W1" s="379"/>
      <c r="X1" s="379"/>
      <c r="Y1" s="379"/>
      <c r="Z1" s="461"/>
      <c r="AA1" s="461"/>
      <c r="AB1" s="461"/>
      <c r="AC1" s="461"/>
      <c r="AD1" s="461"/>
      <c r="AE1" s="461"/>
      <c r="AF1" s="461"/>
      <c r="AG1" s="461"/>
      <c r="AH1" s="461"/>
      <c r="AI1" s="461"/>
      <c r="AJ1" s="461"/>
      <c r="AK1" s="461"/>
      <c r="AL1" s="461"/>
      <c r="AM1" s="461"/>
      <c r="AN1" s="461"/>
      <c r="AO1" s="461"/>
    </row>
    <row r="2" spans="1:42">
      <c r="C2" s="783"/>
      <c r="D2" s="784"/>
      <c r="E2" s="767"/>
      <c r="F2" s="768"/>
      <c r="G2" s="768"/>
      <c r="H2" s="768"/>
      <c r="I2" s="768"/>
      <c r="J2" s="768"/>
      <c r="K2" s="768"/>
      <c r="L2" s="768"/>
      <c r="M2" s="768"/>
      <c r="N2" s="768"/>
      <c r="O2" s="768"/>
      <c r="P2" s="768"/>
      <c r="Q2" s="768"/>
      <c r="R2" s="768"/>
      <c r="S2" s="768"/>
      <c r="T2" s="768"/>
      <c r="U2" s="769"/>
      <c r="V2" s="388"/>
      <c r="W2" s="379"/>
      <c r="X2" s="379"/>
      <c r="Y2" s="379"/>
      <c r="Z2" s="462"/>
      <c r="AA2" s="463"/>
      <c r="AB2" s="463"/>
      <c r="AC2" s="463"/>
      <c r="AD2" s="463"/>
      <c r="AE2" s="463"/>
      <c r="AF2" s="463"/>
      <c r="AG2" s="463"/>
      <c r="AH2" s="463"/>
      <c r="AI2" s="463"/>
      <c r="AJ2" s="463"/>
      <c r="AK2" s="463"/>
      <c r="AL2" s="463"/>
      <c r="AM2" s="463"/>
      <c r="AN2" s="463"/>
      <c r="AO2" s="463"/>
    </row>
    <row r="3" spans="1:42">
      <c r="C3" s="767"/>
      <c r="D3" s="767"/>
      <c r="E3" s="785"/>
      <c r="F3" s="786"/>
      <c r="G3" s="786"/>
      <c r="H3" s="786"/>
      <c r="I3" s="786"/>
      <c r="J3" s="786"/>
      <c r="K3" s="786"/>
      <c r="L3" s="786"/>
      <c r="M3" s="786"/>
      <c r="N3" s="786"/>
      <c r="O3" s="786"/>
      <c r="P3" s="786"/>
      <c r="Q3" s="786"/>
      <c r="R3" s="786"/>
      <c r="S3" s="786"/>
      <c r="T3" s="786"/>
      <c r="U3" s="787"/>
      <c r="V3" s="730"/>
      <c r="W3" s="452"/>
      <c r="X3" s="452"/>
      <c r="Y3" s="452"/>
      <c r="Z3" s="464"/>
      <c r="AA3" s="465"/>
      <c r="AB3" s="465"/>
      <c r="AC3" s="465"/>
      <c r="AD3" s="465"/>
      <c r="AE3" s="465"/>
      <c r="AF3" s="465"/>
      <c r="AG3" s="465"/>
      <c r="AH3" s="465"/>
      <c r="AI3" s="465"/>
      <c r="AJ3" s="465"/>
      <c r="AK3" s="465"/>
      <c r="AL3" s="465"/>
      <c r="AM3" s="465"/>
      <c r="AN3" s="465"/>
      <c r="AO3" s="465"/>
    </row>
    <row r="4" spans="1:42" ht="12.75" customHeight="1">
      <c r="A4" s="1552"/>
      <c r="B4" s="435"/>
      <c r="C4" s="788"/>
      <c r="D4" s="789"/>
      <c r="E4" s="794"/>
      <c r="F4" s="797"/>
      <c r="G4" s="797"/>
      <c r="H4" s="797"/>
      <c r="I4" s="797"/>
      <c r="J4" s="797"/>
      <c r="K4" s="797"/>
      <c r="L4" s="797"/>
      <c r="M4" s="797"/>
      <c r="N4" s="797"/>
      <c r="O4" s="797"/>
      <c r="P4" s="797"/>
      <c r="Q4" s="797"/>
      <c r="R4" s="797"/>
      <c r="S4" s="797"/>
      <c r="T4" s="797"/>
      <c r="U4" s="801"/>
      <c r="V4" s="438"/>
      <c r="W4" s="406"/>
      <c r="X4" s="406"/>
      <c r="Y4" s="406"/>
      <c r="Z4" s="438"/>
      <c r="AA4" s="446"/>
      <c r="AB4" s="694"/>
      <c r="AC4" s="694"/>
      <c r="AD4" s="694"/>
      <c r="AE4" s="694"/>
      <c r="AF4" s="694"/>
      <c r="AG4" s="694"/>
      <c r="AH4" s="694"/>
      <c r="AI4" s="694"/>
      <c r="AJ4" s="694"/>
      <c r="AK4" s="694"/>
      <c r="AL4" s="694"/>
      <c r="AM4" s="694"/>
      <c r="AN4" s="694"/>
      <c r="AO4" s="694"/>
    </row>
    <row r="5" spans="1:42">
      <c r="A5" s="1553"/>
      <c r="B5" s="439"/>
      <c r="C5" s="790"/>
      <c r="D5" s="791"/>
      <c r="E5" s="782"/>
      <c r="F5" s="798"/>
      <c r="G5" s="798"/>
      <c r="H5" s="798"/>
      <c r="I5" s="798"/>
      <c r="J5" s="798"/>
      <c r="K5" s="798"/>
      <c r="L5" s="798"/>
      <c r="M5" s="798"/>
      <c r="N5" s="798"/>
      <c r="O5" s="798"/>
      <c r="P5" s="798"/>
      <c r="Q5" s="798"/>
      <c r="R5" s="798"/>
      <c r="S5" s="798"/>
      <c r="T5" s="798"/>
      <c r="U5" s="802"/>
      <c r="V5" s="731"/>
      <c r="W5" s="379"/>
      <c r="X5" s="379"/>
      <c r="Y5" s="379"/>
      <c r="Z5" s="704"/>
      <c r="AA5" s="705"/>
      <c r="AB5" s="706"/>
      <c r="AC5" s="706"/>
      <c r="AD5" s="706"/>
      <c r="AE5" s="706"/>
      <c r="AF5" s="706"/>
      <c r="AG5" s="706"/>
      <c r="AH5" s="706"/>
      <c r="AI5" s="706"/>
      <c r="AJ5" s="1464"/>
      <c r="AK5" s="706"/>
      <c r="AL5" s="706"/>
      <c r="AM5" s="706"/>
      <c r="AN5" s="706"/>
      <c r="AO5" s="706"/>
      <c r="AP5" s="703"/>
    </row>
    <row r="6" spans="1:42">
      <c r="A6" s="1553"/>
      <c r="B6" s="435"/>
      <c r="C6" s="767"/>
      <c r="D6" s="767"/>
      <c r="E6" s="767"/>
      <c r="F6" s="772"/>
      <c r="G6" s="772"/>
      <c r="H6" s="772"/>
      <c r="I6" s="772"/>
      <c r="J6" s="772"/>
      <c r="K6" s="772"/>
      <c r="L6" s="772"/>
      <c r="M6" s="772"/>
      <c r="N6" s="772"/>
      <c r="O6" s="772"/>
      <c r="P6" s="772"/>
      <c r="Q6" s="772"/>
      <c r="R6" s="772"/>
      <c r="S6" s="772"/>
      <c r="T6" s="772"/>
      <c r="U6" s="771"/>
      <c r="V6" s="699"/>
      <c r="W6" s="379"/>
      <c r="X6" s="379"/>
      <c r="Z6" s="699"/>
      <c r="AA6" s="637"/>
      <c r="AB6" s="695"/>
      <c r="AC6" s="695"/>
      <c r="AD6" s="695"/>
      <c r="AE6" s="695"/>
      <c r="AF6" s="695"/>
      <c r="AG6" s="695"/>
      <c r="AH6" s="695"/>
      <c r="AI6" s="695"/>
      <c r="AJ6" s="695"/>
      <c r="AK6" s="695"/>
      <c r="AL6" s="695"/>
      <c r="AM6" s="695"/>
      <c r="AN6" s="695"/>
      <c r="AO6" s="695"/>
    </row>
    <row r="7" spans="1:42">
      <c r="A7" s="1553"/>
      <c r="B7" s="378"/>
      <c r="C7" s="770"/>
      <c r="D7" s="773"/>
      <c r="E7" s="773"/>
      <c r="F7" s="776"/>
      <c r="G7" s="776"/>
      <c r="H7" s="776"/>
      <c r="I7" s="776"/>
      <c r="J7" s="776"/>
      <c r="K7" s="776"/>
      <c r="L7" s="776"/>
      <c r="M7" s="776"/>
      <c r="N7" s="792"/>
      <c r="O7" s="776"/>
      <c r="P7" s="776"/>
      <c r="Q7" s="776"/>
      <c r="R7" s="776"/>
      <c r="S7" s="776"/>
      <c r="T7" s="776"/>
      <c r="U7" s="777"/>
      <c r="V7" s="729"/>
      <c r="W7" s="379"/>
      <c r="X7" s="379"/>
      <c r="Y7" s="453"/>
      <c r="Z7" s="704"/>
      <c r="AA7" s="705"/>
      <c r="AB7" s="706"/>
      <c r="AC7" s="706"/>
      <c r="AD7" s="706"/>
      <c r="AE7" s="706"/>
      <c r="AF7" s="706"/>
      <c r="AG7" s="706"/>
      <c r="AH7" s="706"/>
      <c r="AI7" s="706"/>
      <c r="AJ7" s="706"/>
      <c r="AK7" s="706"/>
      <c r="AL7" s="706"/>
      <c r="AM7" s="706"/>
      <c r="AN7" s="706"/>
      <c r="AO7" s="706"/>
    </row>
    <row r="8" spans="1:42">
      <c r="A8" s="1553"/>
      <c r="B8" s="440"/>
      <c r="C8" s="767"/>
      <c r="D8" s="767"/>
      <c r="E8" s="767"/>
      <c r="F8" s="772"/>
      <c r="G8" s="772"/>
      <c r="H8" s="772"/>
      <c r="I8" s="772"/>
      <c r="J8" s="772"/>
      <c r="K8" s="772"/>
      <c r="L8" s="772"/>
      <c r="M8" s="772"/>
      <c r="N8" s="772"/>
      <c r="O8" s="772"/>
      <c r="P8" s="772"/>
      <c r="Q8" s="772"/>
      <c r="R8" s="772"/>
      <c r="S8" s="772"/>
      <c r="T8" s="772"/>
      <c r="U8" s="771"/>
      <c r="V8" s="698"/>
      <c r="W8" s="700"/>
      <c r="X8" s="700"/>
      <c r="Y8" s="379"/>
      <c r="Z8" s="698"/>
      <c r="AA8" s="696"/>
      <c r="AB8" s="697"/>
      <c r="AC8" s="697"/>
      <c r="AD8" s="697"/>
      <c r="AE8" s="697"/>
      <c r="AF8" s="697"/>
      <c r="AG8" s="697"/>
      <c r="AH8" s="697"/>
      <c r="AI8" s="697"/>
      <c r="AJ8" s="697"/>
      <c r="AK8" s="697"/>
      <c r="AL8" s="697"/>
      <c r="AM8" s="697"/>
      <c r="AN8" s="697"/>
      <c r="AO8" s="697"/>
    </row>
    <row r="9" spans="1:42">
      <c r="A9" s="1553"/>
      <c r="B9" s="441"/>
      <c r="C9" s="770"/>
      <c r="D9" s="773"/>
      <c r="E9" s="773"/>
      <c r="F9" s="776"/>
      <c r="G9" s="776"/>
      <c r="H9" s="776"/>
      <c r="I9" s="776"/>
      <c r="J9" s="776"/>
      <c r="K9" s="776"/>
      <c r="L9" s="776"/>
      <c r="M9" s="776"/>
      <c r="N9" s="792"/>
      <c r="O9" s="776"/>
      <c r="P9" s="776"/>
      <c r="Q9" s="776"/>
      <c r="R9" s="776"/>
      <c r="S9" s="776"/>
      <c r="T9" s="776"/>
      <c r="U9" s="777"/>
      <c r="V9" s="729"/>
      <c r="W9" s="379"/>
      <c r="X9" s="379"/>
      <c r="Y9" s="445"/>
      <c r="Z9" s="1463"/>
      <c r="AA9" s="705"/>
      <c r="AB9" s="706"/>
      <c r="AC9" s="706"/>
      <c r="AD9" s="706"/>
      <c r="AE9" s="706"/>
      <c r="AF9" s="706"/>
      <c r="AG9" s="706"/>
      <c r="AH9" s="706"/>
      <c r="AI9" s="706"/>
      <c r="AJ9" s="706"/>
      <c r="AK9" s="1464"/>
      <c r="AL9" s="706"/>
      <c r="AM9" s="706"/>
      <c r="AN9" s="706"/>
      <c r="AO9" s="706"/>
    </row>
    <row r="10" spans="1:42">
      <c r="A10" s="1553"/>
      <c r="B10" s="440"/>
      <c r="C10" s="767"/>
      <c r="D10" s="767"/>
      <c r="E10" s="767"/>
      <c r="F10" s="772"/>
      <c r="G10" s="772"/>
      <c r="H10" s="772"/>
      <c r="I10" s="772"/>
      <c r="J10" s="772"/>
      <c r="K10" s="772"/>
      <c r="L10" s="772"/>
      <c r="M10" s="772"/>
      <c r="N10" s="772"/>
      <c r="O10" s="772"/>
      <c r="P10" s="772"/>
      <c r="Q10" s="772"/>
      <c r="R10" s="772"/>
      <c r="S10" s="772"/>
      <c r="T10" s="772"/>
      <c r="U10" s="771"/>
      <c r="V10" s="698"/>
      <c r="W10" s="700"/>
      <c r="X10" s="700"/>
      <c r="Y10" s="406"/>
      <c r="Z10" s="698"/>
      <c r="AA10" s="696"/>
      <c r="AB10" s="697"/>
      <c r="AC10" s="697"/>
      <c r="AD10" s="697"/>
      <c r="AE10" s="697"/>
      <c r="AF10" s="697"/>
      <c r="AG10" s="697"/>
      <c r="AH10" s="697"/>
      <c r="AI10" s="697"/>
      <c r="AJ10" s="697"/>
      <c r="AK10" s="697"/>
      <c r="AL10" s="697"/>
      <c r="AM10" s="697"/>
      <c r="AN10" s="697"/>
      <c r="AO10" s="697"/>
    </row>
    <row r="11" spans="1:42">
      <c r="A11" s="1553"/>
      <c r="B11" s="378"/>
      <c r="C11" s="770"/>
      <c r="D11" s="773"/>
      <c r="E11" s="773"/>
      <c r="F11" s="776"/>
      <c r="G11" s="776"/>
      <c r="H11" s="776"/>
      <c r="I11" s="776"/>
      <c r="J11" s="776"/>
      <c r="K11" s="776"/>
      <c r="L11" s="776"/>
      <c r="M11" s="776"/>
      <c r="N11" s="792"/>
      <c r="O11" s="776"/>
      <c r="P11" s="776"/>
      <c r="Q11" s="776"/>
      <c r="R11" s="776"/>
      <c r="S11" s="776"/>
      <c r="T11" s="776"/>
      <c r="U11" s="777"/>
      <c r="V11" s="729"/>
      <c r="W11" s="379"/>
      <c r="X11" s="379"/>
      <c r="Y11" s="379"/>
      <c r="Z11" s="704"/>
      <c r="AA11" s="705"/>
      <c r="AB11" s="706"/>
      <c r="AC11" s="706"/>
      <c r="AD11" s="706"/>
      <c r="AE11" s="706"/>
      <c r="AF11" s="706"/>
      <c r="AG11" s="706"/>
      <c r="AH11" s="706"/>
      <c r="AI11" s="706"/>
      <c r="AJ11" s="706"/>
      <c r="AK11" s="706"/>
      <c r="AL11" s="706"/>
      <c r="AM11" s="706"/>
      <c r="AN11" s="706"/>
      <c r="AO11" s="706"/>
    </row>
    <row r="12" spans="1:42">
      <c r="A12" s="1553"/>
      <c r="B12" s="440"/>
      <c r="C12" s="767"/>
      <c r="D12" s="778"/>
      <c r="E12" s="779"/>
      <c r="F12" s="780"/>
      <c r="G12" s="780"/>
      <c r="H12" s="780"/>
      <c r="I12" s="780"/>
      <c r="J12" s="780"/>
      <c r="K12" s="780"/>
      <c r="L12" s="780"/>
      <c r="M12" s="780"/>
      <c r="N12" s="780"/>
      <c r="O12" s="780"/>
      <c r="P12" s="780"/>
      <c r="Q12" s="780"/>
      <c r="R12" s="780"/>
      <c r="S12" s="780"/>
      <c r="T12" s="780"/>
      <c r="U12" s="781"/>
      <c r="V12" s="698"/>
      <c r="W12" s="700"/>
      <c r="X12" s="700"/>
      <c r="Y12" s="701"/>
      <c r="Z12" s="698"/>
      <c r="AA12" s="696"/>
      <c r="AB12" s="697"/>
      <c r="AC12" s="697"/>
      <c r="AD12" s="697"/>
      <c r="AE12" s="697"/>
      <c r="AF12" s="697"/>
      <c r="AG12" s="697"/>
      <c r="AH12" s="697"/>
      <c r="AI12" s="697"/>
      <c r="AJ12" s="697"/>
      <c r="AK12" s="697"/>
      <c r="AL12" s="697"/>
      <c r="AM12" s="697"/>
      <c r="AN12" s="697"/>
      <c r="AO12" s="697"/>
    </row>
    <row r="13" spans="1:42">
      <c r="A13" s="1553"/>
      <c r="B13" s="441"/>
      <c r="C13" s="770"/>
      <c r="D13" s="782"/>
      <c r="E13" s="773"/>
      <c r="F13" s="776"/>
      <c r="G13" s="776"/>
      <c r="H13" s="776"/>
      <c r="I13" s="776"/>
      <c r="J13" s="776"/>
      <c r="K13" s="776"/>
      <c r="L13" s="776"/>
      <c r="M13" s="776"/>
      <c r="N13" s="792"/>
      <c r="O13" s="776"/>
      <c r="P13" s="776"/>
      <c r="Q13" s="776"/>
      <c r="R13" s="776"/>
      <c r="S13" s="776"/>
      <c r="T13" s="776"/>
      <c r="U13" s="777"/>
      <c r="V13" s="729"/>
      <c r="W13" s="379"/>
      <c r="X13" s="379"/>
      <c r="Y13" s="453"/>
      <c r="Z13" s="704"/>
      <c r="AA13" s="705"/>
      <c r="AB13" s="706"/>
      <c r="AC13" s="706"/>
      <c r="AD13" s="706"/>
      <c r="AE13" s="706"/>
      <c r="AF13" s="706"/>
      <c r="AG13" s="1464"/>
      <c r="AH13" s="706"/>
      <c r="AI13" s="706"/>
      <c r="AJ13" s="706"/>
      <c r="AK13" s="706"/>
      <c r="AL13" s="706"/>
      <c r="AM13" s="706"/>
      <c r="AN13" s="706"/>
      <c r="AO13" s="706"/>
    </row>
    <row r="14" spans="1:42">
      <c r="A14" s="1553"/>
      <c r="B14" s="440"/>
      <c r="C14" s="767"/>
      <c r="D14" s="778"/>
      <c r="E14" s="779"/>
      <c r="F14" s="780"/>
      <c r="G14" s="780"/>
      <c r="H14" s="780"/>
      <c r="I14" s="780"/>
      <c r="J14" s="780"/>
      <c r="K14" s="780"/>
      <c r="L14" s="780"/>
      <c r="M14" s="780"/>
      <c r="N14" s="780"/>
      <c r="O14" s="780"/>
      <c r="P14" s="780"/>
      <c r="Q14" s="780"/>
      <c r="R14" s="780"/>
      <c r="S14" s="780"/>
      <c r="T14" s="780"/>
      <c r="U14" s="781"/>
      <c r="V14" s="698"/>
      <c r="W14" s="700"/>
      <c r="X14" s="700"/>
      <c r="Y14" s="379"/>
      <c r="Z14" s="698"/>
      <c r="AA14" s="696"/>
      <c r="AB14" s="697"/>
      <c r="AC14" s="697"/>
      <c r="AD14" s="697"/>
      <c r="AE14" s="697"/>
      <c r="AF14" s="697"/>
      <c r="AG14" s="697"/>
      <c r="AH14" s="697"/>
      <c r="AI14" s="697"/>
      <c r="AJ14" s="697"/>
      <c r="AK14" s="697"/>
      <c r="AL14" s="697"/>
      <c r="AM14" s="697"/>
      <c r="AN14" s="697"/>
      <c r="AO14" s="697"/>
    </row>
    <row r="15" spans="1:42">
      <c r="A15" s="1553"/>
      <c r="B15" s="441"/>
      <c r="C15" s="774"/>
      <c r="D15" s="782"/>
      <c r="E15" s="773"/>
      <c r="F15" s="776"/>
      <c r="G15" s="776"/>
      <c r="H15" s="776"/>
      <c r="I15" s="776"/>
      <c r="J15" s="776"/>
      <c r="K15" s="776"/>
      <c r="L15" s="776"/>
      <c r="M15" s="776"/>
      <c r="N15" s="792"/>
      <c r="O15" s="776"/>
      <c r="P15" s="776"/>
      <c r="Q15" s="776"/>
      <c r="R15" s="776"/>
      <c r="S15" s="776"/>
      <c r="T15" s="776"/>
      <c r="U15" s="777"/>
      <c r="V15" s="729"/>
      <c r="W15" s="379"/>
      <c r="X15" s="379"/>
      <c r="Y15" s="445"/>
      <c r="Z15" s="704"/>
      <c r="AA15" s="705"/>
      <c r="AB15" s="706"/>
      <c r="AC15" s="706"/>
      <c r="AD15" s="706"/>
      <c r="AE15" s="706"/>
      <c r="AF15" s="706"/>
      <c r="AG15" s="1464"/>
      <c r="AH15" s="706"/>
      <c r="AI15" s="706"/>
      <c r="AJ15" s="706"/>
      <c r="AK15" s="706"/>
      <c r="AL15" s="706"/>
      <c r="AM15" s="706"/>
      <c r="AN15" s="706"/>
      <c r="AO15" s="706"/>
    </row>
    <row r="16" spans="1:42">
      <c r="A16" s="1553"/>
      <c r="B16" s="440"/>
      <c r="C16" s="767"/>
      <c r="D16" s="767"/>
      <c r="E16" s="767"/>
      <c r="F16" s="772"/>
      <c r="G16" s="772"/>
      <c r="H16" s="772"/>
      <c r="I16" s="772"/>
      <c r="J16" s="772"/>
      <c r="K16" s="772"/>
      <c r="L16" s="772"/>
      <c r="M16" s="772"/>
      <c r="N16" s="772"/>
      <c r="O16" s="772"/>
      <c r="P16" s="772"/>
      <c r="Q16" s="772"/>
      <c r="R16" s="772"/>
      <c r="S16" s="772"/>
      <c r="T16" s="772"/>
      <c r="U16" s="771"/>
      <c r="V16" s="698"/>
      <c r="W16" s="700"/>
      <c r="X16" s="700"/>
      <c r="Y16" s="406"/>
      <c r="Z16" s="698"/>
      <c r="AA16" s="696"/>
      <c r="AB16" s="697"/>
      <c r="AC16" s="697"/>
      <c r="AD16" s="697"/>
      <c r="AE16" s="697"/>
      <c r="AF16" s="697"/>
      <c r="AG16" s="697"/>
      <c r="AH16" s="697"/>
      <c r="AI16" s="697"/>
      <c r="AJ16" s="697"/>
      <c r="AK16" s="697"/>
      <c r="AL16" s="697"/>
      <c r="AM16" s="697"/>
      <c r="AN16" s="697"/>
      <c r="AO16" s="697"/>
    </row>
    <row r="17" spans="1:41">
      <c r="A17" s="1553"/>
      <c r="B17" s="378"/>
      <c r="C17" s="770"/>
      <c r="D17" s="773"/>
      <c r="E17" s="773"/>
      <c r="F17" s="776"/>
      <c r="G17" s="776"/>
      <c r="H17" s="776"/>
      <c r="I17" s="776"/>
      <c r="J17" s="776"/>
      <c r="K17" s="776"/>
      <c r="L17" s="776"/>
      <c r="M17" s="776"/>
      <c r="N17" s="792"/>
      <c r="O17" s="776"/>
      <c r="P17" s="776"/>
      <c r="Q17" s="776"/>
      <c r="R17" s="776"/>
      <c r="S17" s="776"/>
      <c r="T17" s="776"/>
      <c r="U17" s="777"/>
      <c r="V17" s="729"/>
      <c r="W17" s="379"/>
      <c r="X17" s="379"/>
      <c r="Y17" s="379"/>
      <c r="Z17" s="704"/>
      <c r="AA17" s="705"/>
      <c r="AB17" s="706"/>
      <c r="AC17" s="706"/>
      <c r="AD17" s="706"/>
      <c r="AE17" s="706"/>
      <c r="AF17" s="706"/>
      <c r="AG17" s="706"/>
      <c r="AH17" s="706"/>
      <c r="AI17" s="706"/>
      <c r="AJ17" s="706"/>
      <c r="AK17" s="706"/>
      <c r="AL17" s="706"/>
      <c r="AM17" s="706"/>
      <c r="AN17" s="706"/>
      <c r="AO17" s="1464"/>
    </row>
    <row r="18" spans="1:41">
      <c r="A18" s="1553"/>
      <c r="B18" s="440"/>
      <c r="C18" s="767"/>
      <c r="D18" s="767"/>
      <c r="E18" s="767"/>
      <c r="F18" s="772"/>
      <c r="G18" s="772"/>
      <c r="H18" s="772"/>
      <c r="I18" s="772"/>
      <c r="J18" s="772"/>
      <c r="K18" s="772"/>
      <c r="L18" s="772"/>
      <c r="M18" s="772"/>
      <c r="N18" s="772"/>
      <c r="O18" s="772"/>
      <c r="P18" s="772"/>
      <c r="Q18" s="772"/>
      <c r="R18" s="772"/>
      <c r="S18" s="772"/>
      <c r="T18" s="772"/>
      <c r="U18" s="771"/>
      <c r="V18" s="698"/>
      <c r="W18" s="700"/>
      <c r="X18" s="700"/>
      <c r="Y18" s="445"/>
      <c r="Z18" s="698"/>
      <c r="AA18" s="696"/>
      <c r="AB18" s="697"/>
      <c r="AC18" s="697"/>
      <c r="AD18" s="697"/>
      <c r="AE18" s="697"/>
      <c r="AF18" s="697"/>
      <c r="AG18" s="697"/>
      <c r="AH18" s="697"/>
      <c r="AI18" s="697"/>
      <c r="AJ18" s="697"/>
      <c r="AK18" s="697"/>
      <c r="AL18" s="697"/>
      <c r="AM18" s="697"/>
      <c r="AN18" s="697"/>
      <c r="AO18" s="697"/>
    </row>
    <row r="19" spans="1:41">
      <c r="A19" s="1553"/>
      <c r="B19" s="441"/>
      <c r="C19" s="770"/>
      <c r="D19" s="773"/>
      <c r="E19" s="773"/>
      <c r="F19" s="776"/>
      <c r="G19" s="776"/>
      <c r="H19" s="776"/>
      <c r="I19" s="776"/>
      <c r="J19" s="776"/>
      <c r="K19" s="776"/>
      <c r="L19" s="776"/>
      <c r="M19" s="776"/>
      <c r="N19" s="792"/>
      <c r="O19" s="776"/>
      <c r="P19" s="776"/>
      <c r="Q19" s="776"/>
      <c r="R19" s="776"/>
      <c r="S19" s="776"/>
      <c r="T19" s="776"/>
      <c r="U19" s="777"/>
      <c r="V19" s="732"/>
      <c r="W19" s="379"/>
      <c r="X19" s="379"/>
      <c r="Y19" s="406"/>
      <c r="Z19" s="1463"/>
      <c r="AA19" s="705"/>
      <c r="AB19" s="706"/>
      <c r="AC19" s="706"/>
      <c r="AD19" s="706"/>
      <c r="AE19" s="1464"/>
      <c r="AF19" s="706"/>
      <c r="AG19" s="706"/>
      <c r="AH19" s="706"/>
      <c r="AI19" s="706"/>
      <c r="AJ19" s="706"/>
      <c r="AK19" s="1464"/>
      <c r="AL19" s="706"/>
      <c r="AM19" s="706"/>
      <c r="AN19" s="706"/>
      <c r="AO19" s="706"/>
    </row>
    <row r="20" spans="1:41">
      <c r="A20" s="1553"/>
      <c r="B20" s="440"/>
      <c r="C20" s="767"/>
      <c r="D20" s="767"/>
      <c r="E20" s="767"/>
      <c r="F20" s="772"/>
      <c r="G20" s="772"/>
      <c r="H20" s="772"/>
      <c r="I20" s="772"/>
      <c r="J20" s="772"/>
      <c r="K20" s="772"/>
      <c r="L20" s="772"/>
      <c r="M20" s="772"/>
      <c r="N20" s="772"/>
      <c r="O20" s="772"/>
      <c r="P20" s="772"/>
      <c r="Q20" s="772"/>
      <c r="R20" s="772"/>
      <c r="S20" s="772"/>
      <c r="T20" s="772"/>
      <c r="U20" s="771"/>
      <c r="V20" s="698"/>
      <c r="W20" s="700"/>
      <c r="X20" s="700"/>
      <c r="Y20" s="379"/>
      <c r="Z20" s="698"/>
      <c r="AA20" s="696"/>
      <c r="AB20" s="697"/>
      <c r="AC20" s="697"/>
      <c r="AD20" s="697"/>
      <c r="AE20" s="697"/>
      <c r="AF20" s="697"/>
      <c r="AG20" s="697"/>
      <c r="AH20" s="697"/>
      <c r="AI20" s="697"/>
      <c r="AJ20" s="697"/>
      <c r="AK20" s="697"/>
      <c r="AL20" s="697"/>
      <c r="AM20" s="697"/>
      <c r="AN20" s="697"/>
      <c r="AO20" s="697"/>
    </row>
    <row r="21" spans="1:41">
      <c r="A21" s="1553"/>
      <c r="B21" s="441"/>
      <c r="C21" s="770"/>
      <c r="D21" s="773"/>
      <c r="E21" s="773"/>
      <c r="F21" s="776"/>
      <c r="G21" s="776"/>
      <c r="H21" s="776"/>
      <c r="I21" s="776"/>
      <c r="J21" s="776"/>
      <c r="K21" s="776"/>
      <c r="L21" s="776"/>
      <c r="M21" s="776"/>
      <c r="N21" s="792"/>
      <c r="O21" s="776"/>
      <c r="P21" s="776"/>
      <c r="Q21" s="776"/>
      <c r="R21" s="776"/>
      <c r="S21" s="776"/>
      <c r="T21" s="776"/>
      <c r="U21" s="777"/>
      <c r="V21" s="729"/>
      <c r="W21" s="379"/>
      <c r="X21" s="379"/>
      <c r="Y21" s="445"/>
      <c r="Z21" s="1463"/>
      <c r="AA21" s="705"/>
      <c r="AB21" s="706"/>
      <c r="AC21" s="1464"/>
      <c r="AD21" s="706"/>
      <c r="AE21" s="706"/>
      <c r="AF21" s="706"/>
      <c r="AG21" s="706"/>
      <c r="AH21" s="706"/>
      <c r="AI21" s="706"/>
      <c r="AJ21" s="706"/>
      <c r="AK21" s="706"/>
      <c r="AL21" s="706"/>
      <c r="AM21" s="706"/>
      <c r="AN21" s="706"/>
      <c r="AO21" s="706"/>
    </row>
    <row r="22" spans="1:41">
      <c r="A22" s="1553"/>
      <c r="B22" s="435"/>
      <c r="C22" s="767"/>
      <c r="D22" s="778"/>
      <c r="E22" s="779"/>
      <c r="F22" s="780"/>
      <c r="G22" s="780"/>
      <c r="H22" s="780"/>
      <c r="I22" s="780"/>
      <c r="J22" s="780"/>
      <c r="K22" s="780"/>
      <c r="L22" s="780"/>
      <c r="M22" s="780"/>
      <c r="N22" s="780"/>
      <c r="O22" s="780"/>
      <c r="P22" s="780"/>
      <c r="Q22" s="780"/>
      <c r="R22" s="780"/>
      <c r="S22" s="780"/>
      <c r="T22" s="780"/>
      <c r="U22" s="781"/>
      <c r="V22" s="698"/>
      <c r="W22" s="700"/>
      <c r="X22" s="700"/>
      <c r="Y22" s="406"/>
      <c r="Z22" s="698"/>
      <c r="AA22" s="696"/>
      <c r="AB22" s="697"/>
      <c r="AC22" s="697"/>
      <c r="AD22" s="697"/>
      <c r="AE22" s="697"/>
      <c r="AF22" s="697"/>
      <c r="AG22" s="697"/>
      <c r="AH22" s="697"/>
      <c r="AI22" s="697"/>
      <c r="AJ22" s="697"/>
      <c r="AK22" s="697"/>
      <c r="AL22" s="697"/>
      <c r="AM22" s="697"/>
      <c r="AN22" s="697"/>
      <c r="AO22" s="697"/>
    </row>
    <row r="23" spans="1:41">
      <c r="A23" s="1553"/>
      <c r="B23" s="378"/>
      <c r="C23" s="770"/>
      <c r="D23" s="782"/>
      <c r="E23" s="773"/>
      <c r="F23" s="776"/>
      <c r="G23" s="776"/>
      <c r="H23" s="776"/>
      <c r="I23" s="776"/>
      <c r="J23" s="776"/>
      <c r="K23" s="776"/>
      <c r="L23" s="776"/>
      <c r="M23" s="776"/>
      <c r="N23" s="792"/>
      <c r="O23" s="776"/>
      <c r="P23" s="776"/>
      <c r="Q23" s="776"/>
      <c r="R23" s="776"/>
      <c r="S23" s="776"/>
      <c r="T23" s="776"/>
      <c r="U23" s="777"/>
      <c r="V23" s="729"/>
      <c r="W23" s="379"/>
      <c r="X23" s="379"/>
      <c r="Y23" s="379"/>
      <c r="Z23" s="704"/>
      <c r="AA23" s="705"/>
      <c r="AB23" s="706"/>
      <c r="AC23" s="706"/>
      <c r="AD23" s="706"/>
      <c r="AE23" s="706"/>
      <c r="AF23" s="706"/>
      <c r="AG23" s="706"/>
      <c r="AH23" s="706"/>
      <c r="AI23" s="706"/>
      <c r="AJ23" s="706"/>
      <c r="AK23" s="706"/>
      <c r="AL23" s="706"/>
      <c r="AM23" s="706"/>
      <c r="AN23" s="706"/>
      <c r="AO23" s="706"/>
    </row>
    <row r="24" spans="1:41">
      <c r="A24" s="1553"/>
      <c r="B24" s="440"/>
      <c r="C24" s="767"/>
      <c r="D24" s="778"/>
      <c r="E24" s="779"/>
      <c r="F24" s="780"/>
      <c r="G24" s="780"/>
      <c r="H24" s="780"/>
      <c r="I24" s="780"/>
      <c r="J24" s="780"/>
      <c r="K24" s="780"/>
      <c r="L24" s="780"/>
      <c r="M24" s="780"/>
      <c r="N24" s="780"/>
      <c r="O24" s="780"/>
      <c r="P24" s="780"/>
      <c r="Q24" s="780"/>
      <c r="R24" s="780"/>
      <c r="S24" s="780"/>
      <c r="T24" s="780"/>
      <c r="U24" s="781"/>
      <c r="V24" s="698"/>
      <c r="W24" s="700"/>
      <c r="X24" s="700"/>
      <c r="Y24" s="445"/>
      <c r="Z24" s="698"/>
      <c r="AA24" s="696"/>
      <c r="AB24" s="697"/>
      <c r="AC24" s="697"/>
      <c r="AD24" s="697"/>
      <c r="AE24" s="697"/>
      <c r="AF24" s="697"/>
      <c r="AG24" s="697"/>
      <c r="AH24" s="697"/>
      <c r="AI24" s="697"/>
      <c r="AJ24" s="697"/>
      <c r="AK24" s="697"/>
      <c r="AL24" s="697"/>
      <c r="AM24" s="697"/>
      <c r="AN24" s="697"/>
      <c r="AO24" s="697"/>
    </row>
    <row r="25" spans="1:41">
      <c r="A25" s="1553"/>
      <c r="B25" s="441"/>
      <c r="C25" s="774"/>
      <c r="D25" s="782"/>
      <c r="E25" s="773"/>
      <c r="F25" s="776"/>
      <c r="G25" s="776"/>
      <c r="H25" s="776"/>
      <c r="I25" s="776"/>
      <c r="J25" s="776"/>
      <c r="K25" s="776"/>
      <c r="L25" s="776"/>
      <c r="M25" s="776"/>
      <c r="N25" s="792"/>
      <c r="O25" s="776"/>
      <c r="P25" s="776"/>
      <c r="Q25" s="776"/>
      <c r="R25" s="776"/>
      <c r="S25" s="776"/>
      <c r="T25" s="776"/>
      <c r="U25" s="777"/>
      <c r="V25" s="729"/>
      <c r="W25" s="379"/>
      <c r="X25" s="379"/>
      <c r="Y25" s="406"/>
      <c r="Z25" s="704"/>
      <c r="AA25" s="705"/>
      <c r="AB25" s="706"/>
      <c r="AC25" s="706"/>
      <c r="AD25" s="706"/>
      <c r="AE25" s="706"/>
      <c r="AF25" s="706"/>
      <c r="AG25" s="706"/>
      <c r="AH25" s="706"/>
      <c r="AI25" s="706"/>
      <c r="AJ25" s="706"/>
      <c r="AK25" s="706"/>
      <c r="AL25" s="706"/>
      <c r="AM25" s="706"/>
      <c r="AN25" s="706"/>
      <c r="AO25" s="706"/>
    </row>
    <row r="26" spans="1:41">
      <c r="A26" s="1553"/>
      <c r="B26" s="440"/>
      <c r="C26" s="767"/>
      <c r="D26" s="767"/>
      <c r="E26" s="767"/>
      <c r="F26" s="772"/>
      <c r="G26" s="772"/>
      <c r="H26" s="772"/>
      <c r="I26" s="772"/>
      <c r="J26" s="772"/>
      <c r="K26" s="772"/>
      <c r="L26" s="772"/>
      <c r="M26" s="772"/>
      <c r="N26" s="772"/>
      <c r="O26" s="772"/>
      <c r="P26" s="772"/>
      <c r="Q26" s="772"/>
      <c r="R26" s="772"/>
      <c r="S26" s="772"/>
      <c r="T26" s="772"/>
      <c r="U26" s="771"/>
      <c r="V26" s="698"/>
      <c r="W26" s="700"/>
      <c r="X26" s="700"/>
      <c r="Y26" s="379"/>
      <c r="Z26" s="698"/>
      <c r="AA26" s="696"/>
      <c r="AB26" s="697"/>
      <c r="AC26" s="697"/>
      <c r="AD26" s="697"/>
      <c r="AE26" s="697"/>
      <c r="AF26" s="697"/>
      <c r="AG26" s="697"/>
      <c r="AH26" s="697"/>
      <c r="AI26" s="697"/>
      <c r="AJ26" s="697"/>
      <c r="AK26" s="697"/>
      <c r="AL26" s="697"/>
      <c r="AM26" s="697"/>
      <c r="AN26" s="697"/>
      <c r="AO26" s="697"/>
    </row>
    <row r="27" spans="1:41">
      <c r="A27" s="1553"/>
      <c r="B27" s="378"/>
      <c r="C27" s="770"/>
      <c r="D27" s="773"/>
      <c r="E27" s="773"/>
      <c r="F27" s="776"/>
      <c r="G27" s="776"/>
      <c r="H27" s="776"/>
      <c r="I27" s="776"/>
      <c r="J27" s="776"/>
      <c r="K27" s="776"/>
      <c r="L27" s="776"/>
      <c r="M27" s="776"/>
      <c r="N27" s="792"/>
      <c r="O27" s="776"/>
      <c r="P27" s="776"/>
      <c r="Q27" s="776"/>
      <c r="R27" s="776"/>
      <c r="S27" s="776"/>
      <c r="T27" s="776"/>
      <c r="U27" s="777"/>
      <c r="V27" s="729"/>
      <c r="W27" s="379"/>
      <c r="X27" s="379"/>
      <c r="Y27" s="445"/>
      <c r="Z27" s="704"/>
      <c r="AA27" s="705"/>
      <c r="AB27" s="706"/>
      <c r="AC27" s="706"/>
      <c r="AD27" s="706"/>
      <c r="AE27" s="706"/>
      <c r="AF27" s="706"/>
      <c r="AG27" s="706"/>
      <c r="AH27" s="706"/>
      <c r="AI27" s="706"/>
      <c r="AJ27" s="706"/>
      <c r="AK27" s="706"/>
      <c r="AL27" s="706"/>
      <c r="AM27" s="706"/>
      <c r="AN27" s="706"/>
      <c r="AO27" s="706"/>
    </row>
    <row r="28" spans="1:41">
      <c r="A28" s="1553"/>
      <c r="B28" s="440"/>
      <c r="C28" s="767"/>
      <c r="D28" s="767"/>
      <c r="E28" s="767"/>
      <c r="F28" s="772"/>
      <c r="G28" s="772"/>
      <c r="H28" s="772"/>
      <c r="I28" s="772"/>
      <c r="J28" s="772"/>
      <c r="K28" s="772"/>
      <c r="L28" s="772"/>
      <c r="M28" s="772"/>
      <c r="N28" s="772"/>
      <c r="O28" s="772"/>
      <c r="P28" s="772"/>
      <c r="Q28" s="772"/>
      <c r="R28" s="772"/>
      <c r="S28" s="772"/>
      <c r="T28" s="772"/>
      <c r="U28" s="771"/>
      <c r="V28" s="698"/>
      <c r="W28" s="700"/>
      <c r="X28" s="700"/>
      <c r="Y28" s="406"/>
      <c r="Z28" s="698"/>
      <c r="AA28" s="696"/>
      <c r="AB28" s="697"/>
      <c r="AC28" s="697"/>
      <c r="AD28" s="697"/>
      <c r="AE28" s="697"/>
      <c r="AF28" s="697"/>
      <c r="AG28" s="697"/>
      <c r="AH28" s="697"/>
      <c r="AI28" s="697"/>
      <c r="AJ28" s="697"/>
      <c r="AK28" s="697"/>
      <c r="AL28" s="697"/>
      <c r="AM28" s="697"/>
      <c r="AN28" s="697"/>
      <c r="AO28" s="697"/>
    </row>
    <row r="29" spans="1:41">
      <c r="A29" s="1553"/>
      <c r="B29" s="441"/>
      <c r="C29" s="770"/>
      <c r="D29" s="773"/>
      <c r="E29" s="773"/>
      <c r="F29" s="776"/>
      <c r="G29" s="776"/>
      <c r="H29" s="776"/>
      <c r="I29" s="776"/>
      <c r="J29" s="776"/>
      <c r="K29" s="776"/>
      <c r="L29" s="776"/>
      <c r="M29" s="776"/>
      <c r="N29" s="792"/>
      <c r="O29" s="776"/>
      <c r="P29" s="776"/>
      <c r="Q29" s="776"/>
      <c r="R29" s="776"/>
      <c r="S29" s="776"/>
      <c r="T29" s="776"/>
      <c r="U29" s="777"/>
      <c r="V29" s="729"/>
      <c r="W29" s="379"/>
      <c r="X29" s="379"/>
      <c r="Y29" s="379"/>
      <c r="Z29" s="704"/>
      <c r="AA29" s="705"/>
      <c r="AB29" s="706"/>
      <c r="AC29" s="706"/>
      <c r="AD29" s="706"/>
      <c r="AE29" s="706"/>
      <c r="AF29" s="706"/>
      <c r="AG29" s="706"/>
      <c r="AH29" s="706"/>
      <c r="AI29" s="706"/>
      <c r="AJ29" s="706"/>
      <c r="AK29" s="706"/>
      <c r="AL29" s="706"/>
      <c r="AM29" s="706"/>
      <c r="AN29" s="706"/>
      <c r="AO29" s="706"/>
    </row>
    <row r="30" spans="1:41">
      <c r="A30" s="1553"/>
      <c r="B30" s="440"/>
      <c r="C30" s="767"/>
      <c r="D30" s="767"/>
      <c r="E30" s="767"/>
      <c r="F30" s="772"/>
      <c r="G30" s="772"/>
      <c r="H30" s="772"/>
      <c r="I30" s="772"/>
      <c r="J30" s="772"/>
      <c r="K30" s="772"/>
      <c r="L30" s="772"/>
      <c r="M30" s="772"/>
      <c r="N30" s="772"/>
      <c r="O30" s="772"/>
      <c r="P30" s="772"/>
      <c r="Q30" s="772"/>
      <c r="R30" s="772"/>
      <c r="S30" s="772"/>
      <c r="T30" s="772"/>
      <c r="U30" s="771"/>
      <c r="V30" s="698"/>
      <c r="W30" s="700"/>
      <c r="X30" s="700"/>
      <c r="Y30" s="445"/>
      <c r="Z30" s="698"/>
      <c r="AA30" s="696"/>
      <c r="AB30" s="697"/>
      <c r="AC30" s="697"/>
      <c r="AD30" s="697"/>
      <c r="AE30" s="697"/>
      <c r="AF30" s="697"/>
      <c r="AG30" s="697"/>
      <c r="AH30" s="697"/>
      <c r="AI30" s="697"/>
      <c r="AJ30" s="697"/>
      <c r="AK30" s="697"/>
      <c r="AL30" s="697"/>
      <c r="AM30" s="697"/>
      <c r="AN30" s="697"/>
      <c r="AO30" s="697"/>
    </row>
    <row r="31" spans="1:41">
      <c r="A31" s="1553"/>
      <c r="B31" s="378"/>
      <c r="C31" s="770"/>
      <c r="D31" s="773"/>
      <c r="E31" s="773"/>
      <c r="F31" s="776"/>
      <c r="G31" s="776"/>
      <c r="H31" s="776"/>
      <c r="I31" s="776"/>
      <c r="J31" s="776"/>
      <c r="K31" s="776"/>
      <c r="L31" s="776"/>
      <c r="M31" s="776"/>
      <c r="N31" s="792"/>
      <c r="O31" s="776"/>
      <c r="P31" s="776"/>
      <c r="Q31" s="776"/>
      <c r="R31" s="776"/>
      <c r="S31" s="776"/>
      <c r="T31" s="776"/>
      <c r="U31" s="777"/>
      <c r="V31" s="729"/>
      <c r="W31" s="379"/>
      <c r="X31" s="379"/>
      <c r="Y31" s="406"/>
      <c r="Z31" s="704"/>
      <c r="AA31" s="705"/>
      <c r="AB31" s="706"/>
      <c r="AC31" s="706"/>
      <c r="AD31" s="706"/>
      <c r="AE31" s="706"/>
      <c r="AF31" s="706"/>
      <c r="AG31" s="706"/>
      <c r="AH31" s="706"/>
      <c r="AI31" s="706"/>
      <c r="AJ31" s="706"/>
      <c r="AK31" s="706"/>
      <c r="AL31" s="706"/>
      <c r="AM31" s="706"/>
      <c r="AN31" s="706"/>
      <c r="AO31" s="706"/>
    </row>
    <row r="32" spans="1:41">
      <c r="A32" s="1553"/>
      <c r="B32" s="440"/>
      <c r="C32" s="767"/>
      <c r="D32" s="778"/>
      <c r="E32" s="779"/>
      <c r="F32" s="780"/>
      <c r="G32" s="780"/>
      <c r="H32" s="780"/>
      <c r="I32" s="780"/>
      <c r="J32" s="780"/>
      <c r="K32" s="780"/>
      <c r="L32" s="780"/>
      <c r="M32" s="780"/>
      <c r="N32" s="780"/>
      <c r="O32" s="780"/>
      <c r="P32" s="780"/>
      <c r="Q32" s="780"/>
      <c r="R32" s="780"/>
      <c r="S32" s="780"/>
      <c r="T32" s="780"/>
      <c r="U32" s="781"/>
      <c r="V32" s="698"/>
      <c r="W32" s="700"/>
      <c r="X32" s="700"/>
      <c r="Y32" s="379"/>
      <c r="Z32" s="698"/>
      <c r="AA32" s="696"/>
      <c r="AB32" s="697"/>
      <c r="AC32" s="697"/>
      <c r="AD32" s="697"/>
      <c r="AE32" s="697"/>
      <c r="AF32" s="697"/>
      <c r="AG32" s="697"/>
      <c r="AH32" s="697"/>
      <c r="AI32" s="697"/>
      <c r="AJ32" s="697"/>
      <c r="AK32" s="697"/>
      <c r="AL32" s="697"/>
      <c r="AM32" s="697"/>
      <c r="AN32" s="697"/>
      <c r="AO32" s="697"/>
    </row>
    <row r="33" spans="1:41">
      <c r="A33" s="1553"/>
      <c r="B33" s="439"/>
      <c r="C33" s="774"/>
      <c r="D33" s="782"/>
      <c r="E33" s="773"/>
      <c r="F33" s="776"/>
      <c r="G33" s="776"/>
      <c r="H33" s="776"/>
      <c r="I33" s="776"/>
      <c r="J33" s="776"/>
      <c r="K33" s="776"/>
      <c r="L33" s="776"/>
      <c r="M33" s="776"/>
      <c r="N33" s="792"/>
      <c r="O33" s="776"/>
      <c r="P33" s="776"/>
      <c r="Q33" s="776"/>
      <c r="R33" s="776"/>
      <c r="S33" s="776"/>
      <c r="T33" s="776"/>
      <c r="U33" s="777"/>
      <c r="V33" s="729"/>
      <c r="W33" s="379"/>
      <c r="X33" s="379"/>
      <c r="Y33" s="445"/>
      <c r="Z33" s="704"/>
      <c r="AA33" s="705"/>
      <c r="AB33" s="706"/>
      <c r="AC33" s="1464"/>
      <c r="AD33" s="706"/>
      <c r="AE33" s="706"/>
      <c r="AF33" s="706"/>
      <c r="AG33" s="706"/>
      <c r="AH33" s="706"/>
      <c r="AI33" s="706"/>
      <c r="AJ33" s="706"/>
      <c r="AK33" s="706"/>
      <c r="AL33" s="706"/>
      <c r="AM33" s="706"/>
      <c r="AN33" s="1464"/>
      <c r="AO33" s="706"/>
    </row>
    <row r="34" spans="1:41">
      <c r="A34" s="1553"/>
      <c r="B34" s="440"/>
      <c r="C34" s="767"/>
      <c r="D34" s="767"/>
      <c r="E34" s="767"/>
      <c r="F34" s="772"/>
      <c r="G34" s="772"/>
      <c r="H34" s="772"/>
      <c r="I34" s="772"/>
      <c r="J34" s="772"/>
      <c r="K34" s="772"/>
      <c r="L34" s="772"/>
      <c r="M34" s="772"/>
      <c r="N34" s="772"/>
      <c r="O34" s="772"/>
      <c r="P34" s="772"/>
      <c r="Q34" s="772"/>
      <c r="R34" s="772"/>
      <c r="S34" s="772"/>
      <c r="T34" s="772"/>
      <c r="U34" s="771"/>
      <c r="V34" s="698"/>
      <c r="W34" s="700"/>
      <c r="X34" s="700"/>
      <c r="Y34" s="406"/>
      <c r="Z34" s="698"/>
      <c r="AA34" s="696"/>
      <c r="AB34" s="697"/>
      <c r="AC34" s="697"/>
      <c r="AD34" s="697"/>
      <c r="AE34" s="697"/>
      <c r="AF34" s="697"/>
      <c r="AG34" s="697"/>
      <c r="AH34" s="697"/>
      <c r="AI34" s="697"/>
      <c r="AJ34" s="697"/>
      <c r="AK34" s="697"/>
      <c r="AL34" s="697"/>
      <c r="AM34" s="697"/>
      <c r="AN34" s="697"/>
      <c r="AO34" s="697"/>
    </row>
    <row r="35" spans="1:41">
      <c r="A35" s="1553"/>
      <c r="B35" s="441"/>
      <c r="C35" s="770"/>
      <c r="D35" s="773"/>
      <c r="E35" s="773"/>
      <c r="F35" s="776"/>
      <c r="G35" s="776"/>
      <c r="H35" s="776"/>
      <c r="I35" s="776"/>
      <c r="J35" s="776"/>
      <c r="K35" s="776"/>
      <c r="L35" s="776"/>
      <c r="M35" s="776"/>
      <c r="N35" s="792"/>
      <c r="O35" s="776"/>
      <c r="P35" s="776"/>
      <c r="Q35" s="776"/>
      <c r="R35" s="776"/>
      <c r="S35" s="776"/>
      <c r="T35" s="776"/>
      <c r="U35" s="777"/>
      <c r="V35" s="729"/>
      <c r="W35" s="379"/>
      <c r="X35" s="379"/>
      <c r="Y35" s="379"/>
      <c r="Z35" s="1463"/>
      <c r="AA35" s="705"/>
      <c r="AB35" s="706"/>
      <c r="AC35" s="706"/>
      <c r="AD35" s="706"/>
      <c r="AE35" s="706"/>
      <c r="AF35" s="706"/>
      <c r="AG35" s="706"/>
      <c r="AH35" s="706"/>
      <c r="AI35" s="706"/>
      <c r="AJ35" s="706"/>
      <c r="AK35" s="706"/>
      <c r="AL35" s="706"/>
      <c r="AM35" s="706"/>
      <c r="AN35" s="706"/>
      <c r="AO35" s="706"/>
    </row>
    <row r="36" spans="1:41">
      <c r="A36" s="1553"/>
      <c r="B36" s="435"/>
      <c r="C36" s="793"/>
      <c r="D36" s="794"/>
      <c r="E36" s="779"/>
      <c r="F36" s="780"/>
      <c r="G36" s="780"/>
      <c r="H36" s="780"/>
      <c r="I36" s="780"/>
      <c r="J36" s="780"/>
      <c r="K36" s="780"/>
      <c r="L36" s="780"/>
      <c r="M36" s="780"/>
      <c r="N36" s="780"/>
      <c r="O36" s="780"/>
      <c r="P36" s="780"/>
      <c r="Q36" s="780"/>
      <c r="R36" s="780"/>
      <c r="S36" s="780"/>
      <c r="T36" s="780"/>
      <c r="U36" s="781"/>
      <c r="V36" s="698"/>
      <c r="W36" s="700"/>
      <c r="X36" s="700"/>
      <c r="Y36" s="445"/>
      <c r="Z36" s="698"/>
      <c r="AA36" s="696"/>
      <c r="AB36" s="697"/>
      <c r="AC36" s="697"/>
      <c r="AD36" s="697"/>
      <c r="AE36" s="697"/>
      <c r="AF36" s="697"/>
      <c r="AG36" s="697"/>
      <c r="AH36" s="697"/>
      <c r="AI36" s="697"/>
      <c r="AJ36" s="697"/>
      <c r="AK36" s="697"/>
      <c r="AL36" s="697"/>
      <c r="AM36" s="697"/>
      <c r="AN36" s="697"/>
      <c r="AO36" s="697"/>
    </row>
    <row r="37" spans="1:41">
      <c r="A37" s="1553"/>
      <c r="B37" s="378"/>
      <c r="C37" s="774"/>
      <c r="D37" s="782"/>
      <c r="E37" s="773"/>
      <c r="F37" s="776"/>
      <c r="G37" s="776"/>
      <c r="H37" s="776"/>
      <c r="I37" s="776"/>
      <c r="J37" s="776"/>
      <c r="K37" s="776"/>
      <c r="L37" s="776"/>
      <c r="M37" s="776"/>
      <c r="N37" s="792"/>
      <c r="O37" s="776"/>
      <c r="P37" s="776"/>
      <c r="Q37" s="776"/>
      <c r="R37" s="776"/>
      <c r="S37" s="776"/>
      <c r="T37" s="776"/>
      <c r="U37" s="777"/>
      <c r="V37" s="731"/>
      <c r="W37" s="379"/>
      <c r="X37" s="379"/>
      <c r="Y37" s="406"/>
      <c r="Z37" s="704"/>
      <c r="AA37" s="705"/>
      <c r="AB37" s="706"/>
      <c r="AC37" s="706"/>
      <c r="AD37" s="1464"/>
      <c r="AE37" s="1464"/>
      <c r="AF37" s="706"/>
      <c r="AG37" s="706"/>
      <c r="AH37" s="706"/>
      <c r="AI37" s="706"/>
      <c r="AJ37" s="706"/>
      <c r="AK37" s="706"/>
      <c r="AL37" s="706"/>
      <c r="AM37" s="706"/>
      <c r="AN37" s="706"/>
      <c r="AO37" s="706"/>
    </row>
    <row r="38" spans="1:41">
      <c r="A38" s="1553"/>
      <c r="B38" s="454"/>
      <c r="C38" s="767"/>
      <c r="D38" s="767"/>
      <c r="E38" s="767"/>
      <c r="F38" s="772"/>
      <c r="G38" s="772"/>
      <c r="H38" s="772"/>
      <c r="I38" s="772"/>
      <c r="J38" s="772"/>
      <c r="K38" s="772"/>
      <c r="L38" s="772"/>
      <c r="M38" s="772"/>
      <c r="N38" s="772"/>
      <c r="O38" s="772"/>
      <c r="P38" s="772"/>
      <c r="Q38" s="772"/>
      <c r="R38" s="772"/>
      <c r="S38" s="772"/>
      <c r="T38" s="772"/>
      <c r="U38" s="771"/>
      <c r="V38" s="438"/>
      <c r="W38" s="700"/>
      <c r="X38" s="700"/>
      <c r="Y38" s="379"/>
      <c r="Z38" s="438"/>
      <c r="AA38" s="696"/>
      <c r="AB38" s="697"/>
      <c r="AC38" s="697"/>
      <c r="AD38" s="697"/>
      <c r="AE38" s="697"/>
      <c r="AF38" s="697"/>
      <c r="AG38" s="697"/>
      <c r="AH38" s="697"/>
      <c r="AI38" s="697"/>
      <c r="AJ38" s="697"/>
      <c r="AK38" s="697"/>
      <c r="AL38" s="697"/>
      <c r="AM38" s="697"/>
      <c r="AN38" s="697"/>
      <c r="AO38" s="697"/>
    </row>
    <row r="39" spans="1:41">
      <c r="A39" s="1554"/>
      <c r="B39" s="441"/>
      <c r="C39" s="770"/>
      <c r="D39" s="773"/>
      <c r="E39" s="773"/>
      <c r="F39" s="776"/>
      <c r="G39" s="776"/>
      <c r="H39" s="776"/>
      <c r="I39" s="776"/>
      <c r="J39" s="776"/>
      <c r="K39" s="776"/>
      <c r="L39" s="776"/>
      <c r="M39" s="776"/>
      <c r="N39" s="792"/>
      <c r="O39" s="776"/>
      <c r="P39" s="776"/>
      <c r="Q39" s="776"/>
      <c r="R39" s="776"/>
      <c r="S39" s="776"/>
      <c r="T39" s="776"/>
      <c r="U39" s="777"/>
      <c r="V39" s="729"/>
      <c r="W39" s="379"/>
      <c r="X39" s="379"/>
      <c r="Y39" s="445"/>
      <c r="Z39" s="704"/>
      <c r="AA39" s="705"/>
      <c r="AB39" s="706"/>
      <c r="AC39" s="706"/>
      <c r="AD39" s="706"/>
      <c r="AE39" s="706"/>
      <c r="AF39" s="706"/>
      <c r="AG39" s="706"/>
      <c r="AH39" s="706"/>
      <c r="AI39" s="706"/>
      <c r="AJ39" s="706"/>
      <c r="AK39" s="1464"/>
      <c r="AL39" s="706"/>
      <c r="AM39" s="706"/>
      <c r="AN39" s="706"/>
      <c r="AO39" s="706"/>
    </row>
    <row r="40" spans="1:41" ht="12.75" customHeight="1">
      <c r="A40" s="1552"/>
      <c r="B40" s="456"/>
      <c r="C40" s="793"/>
      <c r="D40" s="794"/>
      <c r="E40" s="779"/>
      <c r="F40" s="780"/>
      <c r="G40" s="780"/>
      <c r="H40" s="780"/>
      <c r="I40" s="780"/>
      <c r="J40" s="780"/>
      <c r="K40" s="780"/>
      <c r="L40" s="780"/>
      <c r="M40" s="780"/>
      <c r="N40" s="780"/>
      <c r="O40" s="780"/>
      <c r="P40" s="780"/>
      <c r="Q40" s="780"/>
      <c r="R40" s="780"/>
      <c r="S40" s="780"/>
      <c r="T40" s="780"/>
      <c r="U40" s="781"/>
      <c r="V40" s="698"/>
      <c r="W40" s="700"/>
      <c r="X40" s="700"/>
      <c r="Y40" s="406"/>
      <c r="Z40" s="698"/>
      <c r="AA40" s="696"/>
      <c r="AB40" s="697"/>
      <c r="AC40" s="697"/>
      <c r="AD40" s="697"/>
      <c r="AE40" s="697"/>
      <c r="AF40" s="697"/>
      <c r="AG40" s="697"/>
      <c r="AH40" s="697"/>
      <c r="AI40" s="697"/>
      <c r="AJ40" s="697"/>
      <c r="AK40" s="697"/>
      <c r="AL40" s="697"/>
      <c r="AM40" s="697"/>
      <c r="AN40" s="697"/>
      <c r="AO40" s="697"/>
    </row>
    <row r="41" spans="1:41">
      <c r="A41" s="1553"/>
      <c r="B41" s="455"/>
      <c r="C41" s="774"/>
      <c r="D41" s="782"/>
      <c r="E41" s="773"/>
      <c r="F41" s="776"/>
      <c r="G41" s="776"/>
      <c r="H41" s="776"/>
      <c r="I41" s="776"/>
      <c r="J41" s="776"/>
      <c r="K41" s="776"/>
      <c r="L41" s="776"/>
      <c r="M41" s="776"/>
      <c r="N41" s="792"/>
      <c r="O41" s="776"/>
      <c r="P41" s="776"/>
      <c r="Q41" s="776"/>
      <c r="R41" s="776"/>
      <c r="S41" s="776"/>
      <c r="T41" s="776"/>
      <c r="U41" s="777"/>
      <c r="V41" s="729"/>
      <c r="W41" s="379"/>
      <c r="X41" s="379"/>
      <c r="Y41" s="379"/>
      <c r="Z41" s="704"/>
      <c r="AA41" s="705"/>
      <c r="AB41" s="706"/>
      <c r="AC41" s="706"/>
      <c r="AD41" s="1464"/>
      <c r="AE41" s="706"/>
      <c r="AF41" s="706"/>
      <c r="AG41" s="706"/>
      <c r="AH41" s="706"/>
      <c r="AI41" s="706"/>
      <c r="AJ41" s="706"/>
      <c r="AK41" s="706"/>
      <c r="AL41" s="706"/>
      <c r="AM41" s="706"/>
      <c r="AN41" s="706"/>
      <c r="AO41" s="706"/>
    </row>
    <row r="42" spans="1:41">
      <c r="A42" s="1553"/>
      <c r="B42" s="456"/>
      <c r="C42" s="767"/>
      <c r="D42" s="778"/>
      <c r="E42" s="779"/>
      <c r="F42" s="780"/>
      <c r="G42" s="780"/>
      <c r="H42" s="780"/>
      <c r="I42" s="780"/>
      <c r="J42" s="780"/>
      <c r="K42" s="780"/>
      <c r="L42" s="780"/>
      <c r="M42" s="780"/>
      <c r="N42" s="832"/>
      <c r="O42" s="780"/>
      <c r="P42" s="780"/>
      <c r="Q42" s="780"/>
      <c r="R42" s="780"/>
      <c r="S42" s="780"/>
      <c r="T42" s="780"/>
      <c r="U42" s="781"/>
      <c r="V42" s="698"/>
      <c r="W42" s="700"/>
      <c r="X42" s="700"/>
      <c r="Y42" s="445"/>
      <c r="Z42" s="698"/>
      <c r="AA42" s="696"/>
      <c r="AB42" s="697"/>
      <c r="AC42" s="697"/>
      <c r="AD42" s="697"/>
      <c r="AE42" s="697"/>
      <c r="AF42" s="697"/>
      <c r="AG42" s="697"/>
      <c r="AH42" s="697"/>
      <c r="AI42" s="697"/>
      <c r="AJ42" s="697"/>
      <c r="AK42" s="697"/>
      <c r="AL42" s="697"/>
      <c r="AM42" s="697"/>
      <c r="AN42" s="697"/>
      <c r="AO42" s="697"/>
    </row>
    <row r="43" spans="1:41">
      <c r="A43" s="1553"/>
      <c r="B43" s="702"/>
      <c r="C43" s="774"/>
      <c r="D43" s="782"/>
      <c r="E43" s="773"/>
      <c r="F43" s="776"/>
      <c r="G43" s="776"/>
      <c r="H43" s="776"/>
      <c r="I43" s="776"/>
      <c r="J43" s="776"/>
      <c r="K43" s="776"/>
      <c r="L43" s="776"/>
      <c r="M43" s="776"/>
      <c r="N43" s="798"/>
      <c r="O43" s="776"/>
      <c r="P43" s="776"/>
      <c r="Q43" s="776"/>
      <c r="R43" s="776"/>
      <c r="S43" s="776"/>
      <c r="T43" s="776"/>
      <c r="U43" s="777"/>
      <c r="V43" s="731"/>
      <c r="W43" s="379"/>
      <c r="X43" s="379"/>
      <c r="Y43" s="406"/>
      <c r="Z43" s="1464"/>
      <c r="AA43" s="705"/>
      <c r="AB43" s="706"/>
      <c r="AC43" s="706"/>
      <c r="AD43" s="706"/>
      <c r="AE43" s="706"/>
      <c r="AF43" s="706"/>
      <c r="AG43" s="706"/>
      <c r="AH43" s="706"/>
      <c r="AI43" s="1464"/>
      <c r="AJ43" s="706"/>
      <c r="AK43" s="706"/>
      <c r="AL43" s="706"/>
      <c r="AM43" s="706"/>
      <c r="AN43" s="706"/>
      <c r="AO43" s="706"/>
    </row>
    <row r="44" spans="1:41">
      <c r="A44" s="1553"/>
      <c r="B44" s="456"/>
      <c r="C44" s="767"/>
      <c r="D44" s="778"/>
      <c r="E44" s="779"/>
      <c r="F44" s="780"/>
      <c r="G44" s="780"/>
      <c r="H44" s="780"/>
      <c r="I44" s="780"/>
      <c r="J44" s="780"/>
      <c r="K44" s="780"/>
      <c r="L44" s="780"/>
      <c r="M44" s="780"/>
      <c r="N44" s="831"/>
      <c r="O44" s="780"/>
      <c r="P44" s="780"/>
      <c r="Q44" s="780"/>
      <c r="R44" s="780"/>
      <c r="S44" s="780"/>
      <c r="T44" s="780"/>
      <c r="U44" s="781"/>
      <c r="V44" s="698"/>
      <c r="W44" s="700"/>
      <c r="X44" s="700"/>
      <c r="Y44" s="379"/>
      <c r="Z44" s="698"/>
      <c r="AA44" s="696"/>
      <c r="AB44" s="697"/>
      <c r="AC44" s="697"/>
      <c r="AD44" s="697"/>
      <c r="AE44" s="697"/>
      <c r="AF44" s="697"/>
      <c r="AG44" s="697"/>
      <c r="AH44" s="697"/>
      <c r="AI44" s="697"/>
      <c r="AJ44" s="697"/>
      <c r="AK44" s="697"/>
      <c r="AL44" s="697"/>
      <c r="AM44" s="697"/>
      <c r="AN44" s="697"/>
      <c r="AO44" s="697"/>
    </row>
    <row r="45" spans="1:41">
      <c r="A45" s="1553"/>
      <c r="B45" s="455"/>
      <c r="C45" s="770"/>
      <c r="D45" s="782"/>
      <c r="E45" s="773"/>
      <c r="F45" s="776"/>
      <c r="G45" s="776"/>
      <c r="H45" s="776"/>
      <c r="I45" s="776"/>
      <c r="J45" s="776"/>
      <c r="K45" s="776"/>
      <c r="L45" s="776"/>
      <c r="M45" s="776"/>
      <c r="N45" s="792"/>
      <c r="O45" s="776"/>
      <c r="P45" s="776"/>
      <c r="Q45" s="776"/>
      <c r="R45" s="776"/>
      <c r="S45" s="776"/>
      <c r="T45" s="776"/>
      <c r="U45" s="777"/>
      <c r="V45" s="729"/>
      <c r="W45" s="379"/>
      <c r="X45" s="379"/>
      <c r="Y45" s="445"/>
      <c r="Z45" s="704"/>
      <c r="AA45" s="705"/>
      <c r="AB45" s="706"/>
      <c r="AC45" s="706"/>
      <c r="AD45" s="706"/>
      <c r="AE45" s="706"/>
      <c r="AF45" s="706"/>
      <c r="AG45" s="706"/>
      <c r="AH45" s="706"/>
      <c r="AI45" s="706"/>
      <c r="AJ45" s="706"/>
      <c r="AK45" s="706"/>
      <c r="AL45" s="706"/>
      <c r="AM45" s="706"/>
      <c r="AN45" s="706"/>
      <c r="AO45" s="706"/>
    </row>
    <row r="46" spans="1:41">
      <c r="A46" s="1553"/>
      <c r="B46" s="457"/>
      <c r="C46" s="767"/>
      <c r="D46" s="778"/>
      <c r="E46" s="779"/>
      <c r="F46" s="780"/>
      <c r="G46" s="780"/>
      <c r="H46" s="780"/>
      <c r="I46" s="780"/>
      <c r="J46" s="780"/>
      <c r="K46" s="780"/>
      <c r="L46" s="780"/>
      <c r="M46" s="780"/>
      <c r="N46" s="780"/>
      <c r="O46" s="780"/>
      <c r="P46" s="780"/>
      <c r="Q46" s="780"/>
      <c r="R46" s="780"/>
      <c r="S46" s="780"/>
      <c r="T46" s="780"/>
      <c r="U46" s="781"/>
      <c r="V46" s="698"/>
      <c r="W46" s="700"/>
      <c r="X46" s="700"/>
      <c r="Y46" s="406"/>
      <c r="Z46" s="698"/>
      <c r="AA46" s="696"/>
      <c r="AB46" s="697"/>
      <c r="AC46" s="697"/>
      <c r="AD46" s="697"/>
      <c r="AE46" s="697"/>
      <c r="AF46" s="697"/>
      <c r="AG46" s="697"/>
      <c r="AH46" s="697"/>
      <c r="AI46" s="697"/>
      <c r="AJ46" s="697"/>
      <c r="AK46" s="697"/>
      <c r="AL46" s="697"/>
      <c r="AM46" s="697"/>
      <c r="AN46" s="697"/>
      <c r="AO46" s="697"/>
    </row>
    <row r="47" spans="1:41">
      <c r="A47" s="1553"/>
      <c r="B47" s="455"/>
      <c r="C47" s="774"/>
      <c r="D47" s="782"/>
      <c r="E47" s="773"/>
      <c r="F47" s="776"/>
      <c r="G47" s="776"/>
      <c r="H47" s="776"/>
      <c r="I47" s="776"/>
      <c r="J47" s="776"/>
      <c r="K47" s="776"/>
      <c r="L47" s="776"/>
      <c r="M47" s="776"/>
      <c r="N47" s="792"/>
      <c r="O47" s="776"/>
      <c r="P47" s="776"/>
      <c r="Q47" s="776"/>
      <c r="R47" s="776"/>
      <c r="S47" s="776"/>
      <c r="T47" s="776"/>
      <c r="U47" s="777"/>
      <c r="V47" s="729"/>
      <c r="W47" s="379"/>
      <c r="X47" s="379"/>
      <c r="Y47" s="379"/>
      <c r="Z47" s="706"/>
      <c r="AA47" s="705"/>
      <c r="AB47" s="706"/>
      <c r="AC47" s="1464"/>
      <c r="AD47" s="1464"/>
      <c r="AE47" s="706"/>
      <c r="AF47" s="1464"/>
      <c r="AG47" s="706"/>
      <c r="AH47" s="706"/>
      <c r="AI47" s="706"/>
      <c r="AJ47" s="706"/>
      <c r="AK47" s="706"/>
      <c r="AL47" s="706"/>
      <c r="AM47" s="1464"/>
      <c r="AN47" s="1464"/>
      <c r="AO47" s="1464"/>
    </row>
    <row r="48" spans="1:41">
      <c r="A48" s="1553"/>
      <c r="B48" s="457"/>
      <c r="C48" s="767"/>
      <c r="D48" s="767"/>
      <c r="E48" s="767"/>
      <c r="F48" s="772"/>
      <c r="G48" s="772"/>
      <c r="H48" s="772"/>
      <c r="I48" s="772"/>
      <c r="J48" s="772"/>
      <c r="K48" s="772"/>
      <c r="L48" s="772"/>
      <c r="M48" s="772"/>
      <c r="N48" s="772"/>
      <c r="O48" s="772"/>
      <c r="P48" s="772"/>
      <c r="Q48" s="772"/>
      <c r="R48" s="772"/>
      <c r="S48" s="772"/>
      <c r="T48" s="772"/>
      <c r="U48" s="771"/>
      <c r="V48" s="698"/>
      <c r="W48" s="700"/>
      <c r="X48" s="700"/>
      <c r="Y48" s="445"/>
      <c r="Z48" s="698"/>
      <c r="AA48" s="696"/>
      <c r="AB48" s="697"/>
      <c r="AC48" s="697"/>
      <c r="AD48" s="697"/>
      <c r="AE48" s="697"/>
      <c r="AF48" s="697"/>
      <c r="AG48" s="697"/>
      <c r="AH48" s="697"/>
      <c r="AI48" s="697"/>
      <c r="AJ48" s="697"/>
      <c r="AK48" s="697"/>
      <c r="AL48" s="697"/>
      <c r="AM48" s="697"/>
      <c r="AN48" s="697"/>
      <c r="AO48" s="697"/>
    </row>
    <row r="49" spans="1:41">
      <c r="A49" s="1553"/>
      <c r="B49" s="702"/>
      <c r="C49" s="770"/>
      <c r="D49" s="773"/>
      <c r="E49" s="773"/>
      <c r="F49" s="776"/>
      <c r="G49" s="776"/>
      <c r="H49" s="776"/>
      <c r="I49" s="776"/>
      <c r="J49" s="776"/>
      <c r="K49" s="776"/>
      <c r="L49" s="776"/>
      <c r="M49" s="776"/>
      <c r="N49" s="792"/>
      <c r="O49" s="776"/>
      <c r="P49" s="776"/>
      <c r="Q49" s="776"/>
      <c r="R49" s="776"/>
      <c r="S49" s="776"/>
      <c r="T49" s="776"/>
      <c r="U49" s="777"/>
      <c r="V49" s="729"/>
      <c r="W49" s="379"/>
      <c r="X49" s="379"/>
      <c r="Y49" s="406"/>
      <c r="Z49" s="1463"/>
      <c r="AA49" s="705"/>
      <c r="AB49" s="1464"/>
      <c r="AC49" s="1464"/>
      <c r="AD49" s="1464"/>
      <c r="AE49" s="1464"/>
      <c r="AF49" s="1464"/>
      <c r="AG49" s="706"/>
      <c r="AH49" s="706"/>
      <c r="AI49" s="706"/>
      <c r="AJ49" s="706"/>
      <c r="AK49" s="1464"/>
      <c r="AL49" s="706"/>
      <c r="AM49" s="1464"/>
      <c r="AN49" s="1464"/>
      <c r="AO49" s="706"/>
    </row>
    <row r="50" spans="1:41">
      <c r="A50" s="1553"/>
      <c r="B50" s="457"/>
      <c r="C50" s="767"/>
      <c r="D50" s="778"/>
      <c r="E50" s="779"/>
      <c r="F50" s="780"/>
      <c r="G50" s="780"/>
      <c r="H50" s="780"/>
      <c r="I50" s="780"/>
      <c r="J50" s="780"/>
      <c r="K50" s="780"/>
      <c r="L50" s="780"/>
      <c r="M50" s="780"/>
      <c r="N50" s="780"/>
      <c r="O50" s="780"/>
      <c r="P50" s="780"/>
      <c r="Q50" s="780"/>
      <c r="R50" s="780"/>
      <c r="S50" s="780"/>
      <c r="T50" s="780"/>
      <c r="U50" s="781"/>
      <c r="V50" s="698"/>
      <c r="W50" s="700"/>
      <c r="X50" s="700"/>
      <c r="Y50" s="379"/>
      <c r="Z50" s="698"/>
      <c r="AA50" s="696"/>
      <c r="AB50" s="697"/>
      <c r="AC50" s="697"/>
      <c r="AD50" s="697"/>
      <c r="AE50" s="697"/>
      <c r="AF50" s="697"/>
      <c r="AG50" s="697"/>
      <c r="AH50" s="697"/>
      <c r="AI50" s="697"/>
      <c r="AJ50" s="697"/>
      <c r="AK50" s="697"/>
      <c r="AL50" s="697"/>
      <c r="AM50" s="697"/>
      <c r="AN50" s="697"/>
      <c r="AO50" s="697"/>
    </row>
    <row r="51" spans="1:41">
      <c r="A51" s="1553"/>
      <c r="B51" s="702"/>
      <c r="C51" s="770"/>
      <c r="D51" s="782"/>
      <c r="E51" s="773"/>
      <c r="F51" s="792"/>
      <c r="G51" s="792"/>
      <c r="H51" s="792"/>
      <c r="I51" s="792"/>
      <c r="J51" s="792"/>
      <c r="K51" s="792"/>
      <c r="L51" s="792"/>
      <c r="M51" s="792"/>
      <c r="N51" s="792"/>
      <c r="O51" s="792"/>
      <c r="P51" s="792"/>
      <c r="Q51" s="792"/>
      <c r="R51" s="792"/>
      <c r="S51" s="792"/>
      <c r="T51" s="792"/>
      <c r="U51" s="777"/>
      <c r="V51" s="729"/>
      <c r="W51" s="379"/>
      <c r="X51" s="379"/>
      <c r="Y51" s="445"/>
      <c r="Z51" s="704"/>
      <c r="AA51" s="705"/>
      <c r="AB51" s="1464"/>
      <c r="AC51" s="706"/>
      <c r="AD51" s="706"/>
      <c r="AE51" s="706"/>
      <c r="AF51" s="706"/>
      <c r="AG51" s="706"/>
      <c r="AH51" s="706"/>
      <c r="AI51" s="706"/>
      <c r="AJ51" s="706"/>
      <c r="AK51" s="1464"/>
      <c r="AL51" s="706"/>
      <c r="AM51" s="706"/>
      <c r="AN51" s="706"/>
      <c r="AO51" s="706"/>
    </row>
    <row r="52" spans="1:41">
      <c r="A52" s="1553"/>
      <c r="B52" s="457"/>
      <c r="C52" s="767"/>
      <c r="D52" s="778"/>
      <c r="E52" s="779"/>
      <c r="F52" s="780"/>
      <c r="G52" s="780"/>
      <c r="H52" s="780"/>
      <c r="I52" s="780"/>
      <c r="J52" s="780"/>
      <c r="K52" s="780"/>
      <c r="L52" s="780"/>
      <c r="M52" s="780"/>
      <c r="N52" s="780"/>
      <c r="O52" s="780"/>
      <c r="P52" s="780"/>
      <c r="Q52" s="780"/>
      <c r="R52" s="780"/>
      <c r="S52" s="780"/>
      <c r="T52" s="780"/>
      <c r="U52" s="781"/>
      <c r="V52" s="698"/>
      <c r="W52" s="700"/>
      <c r="X52" s="700"/>
      <c r="Y52" s="406"/>
      <c r="Z52" s="698"/>
      <c r="AA52" s="696"/>
      <c r="AB52" s="697"/>
      <c r="AC52" s="697"/>
      <c r="AD52" s="697"/>
      <c r="AE52" s="697"/>
      <c r="AF52" s="697"/>
      <c r="AG52" s="697"/>
      <c r="AH52" s="697"/>
      <c r="AI52" s="697"/>
      <c r="AJ52" s="697"/>
      <c r="AK52" s="697"/>
      <c r="AL52" s="697"/>
      <c r="AM52" s="697"/>
      <c r="AN52" s="697"/>
      <c r="AO52" s="697"/>
    </row>
    <row r="53" spans="1:41">
      <c r="A53" s="1553"/>
      <c r="B53" s="455"/>
      <c r="C53" s="770"/>
      <c r="D53" s="782"/>
      <c r="E53" s="773"/>
      <c r="F53" s="776"/>
      <c r="G53" s="776"/>
      <c r="H53" s="776"/>
      <c r="I53" s="776"/>
      <c r="J53" s="776"/>
      <c r="K53" s="776"/>
      <c r="L53" s="776"/>
      <c r="M53" s="776"/>
      <c r="N53" s="792"/>
      <c r="O53" s="776"/>
      <c r="P53" s="776"/>
      <c r="Q53" s="776"/>
      <c r="R53" s="776"/>
      <c r="S53" s="776"/>
      <c r="T53" s="776"/>
      <c r="U53" s="777"/>
      <c r="V53" s="729"/>
      <c r="W53" s="379"/>
      <c r="X53" s="379"/>
      <c r="Y53" s="379"/>
      <c r="Z53" s="1463"/>
      <c r="AA53" s="705"/>
      <c r="AB53" s="706"/>
      <c r="AC53" s="706"/>
      <c r="AD53" s="706"/>
      <c r="AE53" s="706"/>
      <c r="AF53" s="1464"/>
      <c r="AG53" s="706"/>
      <c r="AH53" s="706"/>
      <c r="AI53" s="706"/>
      <c r="AJ53" s="706"/>
      <c r="AK53" s="706"/>
      <c r="AL53" s="706"/>
      <c r="AM53" s="706"/>
      <c r="AN53" s="706"/>
      <c r="AO53" s="706"/>
    </row>
    <row r="54" spans="1:41">
      <c r="A54" s="1553"/>
      <c r="B54" s="456"/>
      <c r="C54" s="767"/>
      <c r="D54" s="778"/>
      <c r="E54" s="779"/>
      <c r="F54" s="780"/>
      <c r="G54" s="780"/>
      <c r="H54" s="780"/>
      <c r="I54" s="780"/>
      <c r="J54" s="780"/>
      <c r="K54" s="780"/>
      <c r="L54" s="780"/>
      <c r="M54" s="780"/>
      <c r="N54" s="780"/>
      <c r="O54" s="780"/>
      <c r="P54" s="780"/>
      <c r="Q54" s="780"/>
      <c r="R54" s="780"/>
      <c r="S54" s="780"/>
      <c r="T54" s="780"/>
      <c r="U54" s="781"/>
      <c r="V54" s="698"/>
      <c r="W54" s="700"/>
      <c r="X54" s="700"/>
      <c r="Y54" s="445"/>
      <c r="Z54" s="698"/>
      <c r="AA54" s="696"/>
      <c r="AB54" s="697"/>
      <c r="AC54" s="697"/>
      <c r="AD54" s="697"/>
      <c r="AE54" s="697"/>
      <c r="AF54" s="697"/>
      <c r="AG54" s="697"/>
      <c r="AH54" s="697"/>
      <c r="AI54" s="697"/>
      <c r="AJ54" s="697"/>
      <c r="AK54" s="697"/>
      <c r="AL54" s="697"/>
      <c r="AM54" s="697"/>
      <c r="AN54" s="697"/>
      <c r="AO54" s="697"/>
    </row>
    <row r="55" spans="1:41">
      <c r="A55" s="1553"/>
      <c r="B55" s="455"/>
      <c r="C55" s="770"/>
      <c r="D55" s="782"/>
      <c r="E55" s="773"/>
      <c r="F55" s="776"/>
      <c r="G55" s="776"/>
      <c r="H55" s="776"/>
      <c r="I55" s="776"/>
      <c r="J55" s="776"/>
      <c r="K55" s="776"/>
      <c r="L55" s="776"/>
      <c r="M55" s="776"/>
      <c r="N55" s="792"/>
      <c r="O55" s="776"/>
      <c r="P55" s="776"/>
      <c r="Q55" s="776"/>
      <c r="R55" s="776"/>
      <c r="S55" s="776"/>
      <c r="T55" s="776"/>
      <c r="U55" s="777"/>
      <c r="V55" s="729"/>
      <c r="W55" s="379"/>
      <c r="X55" s="379"/>
      <c r="Y55" s="406"/>
      <c r="Z55" s="704"/>
      <c r="AA55" s="705"/>
      <c r="AB55" s="706"/>
      <c r="AC55" s="1464"/>
      <c r="AD55" s="1464"/>
      <c r="AE55" s="706"/>
      <c r="AF55" s="706"/>
      <c r="AG55" s="706"/>
      <c r="AH55" s="706"/>
      <c r="AI55" s="706"/>
      <c r="AJ55" s="706"/>
      <c r="AK55" s="1464"/>
      <c r="AL55" s="706"/>
      <c r="AM55" s="706"/>
      <c r="AN55" s="706"/>
      <c r="AO55" s="706"/>
    </row>
    <row r="56" spans="1:41">
      <c r="A56" s="1553"/>
      <c r="B56" s="456"/>
      <c r="C56" s="767"/>
      <c r="D56" s="778"/>
      <c r="E56" s="779"/>
      <c r="F56" s="780"/>
      <c r="G56" s="780"/>
      <c r="H56" s="780"/>
      <c r="I56" s="780"/>
      <c r="J56" s="780"/>
      <c r="K56" s="780"/>
      <c r="L56" s="780"/>
      <c r="M56" s="780"/>
      <c r="N56" s="780"/>
      <c r="O56" s="780"/>
      <c r="P56" s="780"/>
      <c r="Q56" s="780"/>
      <c r="R56" s="780"/>
      <c r="S56" s="780"/>
      <c r="T56" s="780"/>
      <c r="U56" s="781"/>
      <c r="V56" s="698"/>
      <c r="W56" s="700"/>
      <c r="X56" s="700"/>
      <c r="Y56" s="379"/>
      <c r="Z56" s="698"/>
      <c r="AA56" s="696"/>
      <c r="AB56" s="697"/>
      <c r="AC56" s="697"/>
      <c r="AD56" s="697"/>
      <c r="AE56" s="697"/>
      <c r="AF56" s="697"/>
      <c r="AG56" s="697"/>
      <c r="AH56" s="697"/>
      <c r="AI56" s="697"/>
      <c r="AJ56" s="697"/>
      <c r="AK56" s="697"/>
      <c r="AL56" s="697"/>
      <c r="AM56" s="697"/>
      <c r="AN56" s="697"/>
      <c r="AO56" s="697"/>
    </row>
    <row r="57" spans="1:41">
      <c r="A57" s="1553"/>
      <c r="B57" s="702"/>
      <c r="C57" s="770"/>
      <c r="D57" s="782"/>
      <c r="E57" s="773"/>
      <c r="F57" s="776"/>
      <c r="G57" s="776"/>
      <c r="H57" s="776"/>
      <c r="I57" s="776"/>
      <c r="J57" s="776"/>
      <c r="K57" s="776"/>
      <c r="L57" s="776"/>
      <c r="M57" s="776"/>
      <c r="N57" s="792"/>
      <c r="O57" s="776"/>
      <c r="P57" s="776"/>
      <c r="Q57" s="776"/>
      <c r="R57" s="776"/>
      <c r="S57" s="776"/>
      <c r="T57" s="776"/>
      <c r="U57" s="777"/>
      <c r="V57" s="729"/>
      <c r="W57" s="379"/>
      <c r="X57" s="379"/>
      <c r="Y57" s="445"/>
      <c r="Z57" s="704"/>
      <c r="AA57" s="705"/>
      <c r="AB57" s="706"/>
      <c r="AC57" s="706"/>
      <c r="AD57" s="706"/>
      <c r="AE57" s="706"/>
      <c r="AF57" s="706"/>
      <c r="AG57" s="706"/>
      <c r="AH57" s="706"/>
      <c r="AI57" s="706"/>
      <c r="AJ57" s="706"/>
      <c r="AK57" s="706"/>
      <c r="AL57" s="706"/>
      <c r="AM57" s="706"/>
      <c r="AN57" s="706"/>
      <c r="AO57" s="706"/>
    </row>
    <row r="58" spans="1:41">
      <c r="A58" s="1553"/>
      <c r="B58" s="745"/>
      <c r="C58" s="767"/>
      <c r="D58" s="778"/>
      <c r="E58" s="779"/>
      <c r="F58" s="780"/>
      <c r="G58" s="780"/>
      <c r="H58" s="780"/>
      <c r="I58" s="780"/>
      <c r="J58" s="780"/>
      <c r="K58" s="780"/>
      <c r="L58" s="780"/>
      <c r="M58" s="780"/>
      <c r="N58" s="780"/>
      <c r="O58" s="780"/>
      <c r="P58" s="780"/>
      <c r="Q58" s="780"/>
      <c r="R58" s="780"/>
      <c r="S58" s="780"/>
      <c r="T58" s="780"/>
      <c r="U58" s="781"/>
      <c r="V58" s="698"/>
      <c r="W58" s="700"/>
      <c r="X58" s="700"/>
      <c r="Y58" s="406"/>
      <c r="Z58" s="698"/>
      <c r="AA58" s="696"/>
      <c r="AB58" s="697"/>
      <c r="AC58" s="697"/>
      <c r="AD58" s="697"/>
      <c r="AE58" s="697"/>
      <c r="AF58" s="697"/>
      <c r="AG58" s="697"/>
      <c r="AH58" s="697"/>
      <c r="AI58" s="697"/>
      <c r="AJ58" s="697"/>
      <c r="AK58" s="697"/>
      <c r="AL58" s="697"/>
      <c r="AM58" s="697"/>
      <c r="AN58" s="697"/>
      <c r="AO58" s="697"/>
    </row>
    <row r="59" spans="1:41">
      <c r="A59" s="1553"/>
      <c r="B59" s="744"/>
      <c r="C59" s="770"/>
      <c r="D59" s="782"/>
      <c r="E59" s="773"/>
      <c r="F59" s="776"/>
      <c r="G59" s="776"/>
      <c r="H59" s="776"/>
      <c r="I59" s="776"/>
      <c r="J59" s="776"/>
      <c r="K59" s="776"/>
      <c r="L59" s="776"/>
      <c r="M59" s="776"/>
      <c r="N59" s="792"/>
      <c r="O59" s="776"/>
      <c r="P59" s="776"/>
      <c r="Q59" s="776"/>
      <c r="R59" s="776"/>
      <c r="S59" s="776"/>
      <c r="T59" s="776"/>
      <c r="U59" s="777"/>
      <c r="V59" s="729"/>
      <c r="W59" s="379"/>
      <c r="X59" s="379"/>
      <c r="Y59" s="379"/>
      <c r="Z59" s="704"/>
      <c r="AA59" s="705"/>
      <c r="AB59" s="706"/>
      <c r="AC59" s="706"/>
      <c r="AD59" s="706"/>
      <c r="AE59" s="706"/>
      <c r="AF59" s="706"/>
      <c r="AG59" s="706"/>
      <c r="AH59" s="1464"/>
      <c r="AI59" s="706"/>
      <c r="AJ59" s="706"/>
      <c r="AK59" s="706"/>
      <c r="AL59" s="706"/>
      <c r="AM59" s="706"/>
      <c r="AN59" s="706"/>
      <c r="AO59" s="706"/>
    </row>
    <row r="60" spans="1:41">
      <c r="A60" s="1553"/>
      <c r="B60" s="457"/>
      <c r="C60" s="767"/>
      <c r="D60" s="778"/>
      <c r="E60" s="779"/>
      <c r="F60" s="780"/>
      <c r="G60" s="780"/>
      <c r="H60" s="780"/>
      <c r="I60" s="780"/>
      <c r="J60" s="780"/>
      <c r="K60" s="780"/>
      <c r="L60" s="780"/>
      <c r="M60" s="780"/>
      <c r="N60" s="780"/>
      <c r="O60" s="780"/>
      <c r="P60" s="780"/>
      <c r="Q60" s="780"/>
      <c r="R60" s="780"/>
      <c r="S60" s="780"/>
      <c r="T60" s="780"/>
      <c r="U60" s="781"/>
      <c r="V60" s="698"/>
      <c r="W60" s="700"/>
      <c r="X60" s="700"/>
      <c r="Y60" s="445"/>
      <c r="Z60" s="698"/>
      <c r="AA60" s="696"/>
      <c r="AB60" s="697"/>
      <c r="AC60" s="697"/>
      <c r="AD60" s="697"/>
      <c r="AE60" s="697"/>
      <c r="AF60" s="697"/>
      <c r="AG60" s="697"/>
      <c r="AH60" s="697"/>
      <c r="AI60" s="697"/>
      <c r="AJ60" s="697"/>
      <c r="AK60" s="697"/>
      <c r="AL60" s="697"/>
      <c r="AM60" s="697"/>
      <c r="AN60" s="697"/>
      <c r="AO60" s="697"/>
    </row>
    <row r="61" spans="1:41">
      <c r="A61" s="1553"/>
      <c r="B61" s="458"/>
      <c r="C61" s="770"/>
      <c r="D61" s="782"/>
      <c r="E61" s="773"/>
      <c r="F61" s="776"/>
      <c r="G61" s="776"/>
      <c r="H61" s="776"/>
      <c r="I61" s="776"/>
      <c r="J61" s="776"/>
      <c r="K61" s="776"/>
      <c r="L61" s="776"/>
      <c r="M61" s="776"/>
      <c r="N61" s="792"/>
      <c r="O61" s="776"/>
      <c r="P61" s="776"/>
      <c r="Q61" s="776"/>
      <c r="R61" s="776"/>
      <c r="S61" s="776"/>
      <c r="T61" s="776"/>
      <c r="U61" s="777"/>
      <c r="V61" s="729"/>
      <c r="W61" s="379"/>
      <c r="X61" s="379"/>
      <c r="Y61" s="406"/>
      <c r="Z61" s="704"/>
      <c r="AA61" s="705"/>
      <c r="AB61" s="706"/>
      <c r="AC61" s="706"/>
      <c r="AD61" s="706"/>
      <c r="AE61" s="706"/>
      <c r="AF61" s="1464"/>
      <c r="AG61" s="706"/>
      <c r="AH61" s="1464"/>
      <c r="AI61" s="706"/>
      <c r="AJ61" s="706"/>
      <c r="AK61" s="706"/>
      <c r="AL61" s="706"/>
      <c r="AM61" s="706"/>
      <c r="AN61" s="706"/>
      <c r="AO61" s="1464"/>
    </row>
    <row r="62" spans="1:41">
      <c r="A62" s="1553"/>
      <c r="B62" s="457"/>
      <c r="C62" s="767"/>
      <c r="D62" s="778"/>
      <c r="E62" s="779"/>
      <c r="F62" s="780"/>
      <c r="G62" s="780"/>
      <c r="H62" s="780"/>
      <c r="I62" s="780"/>
      <c r="J62" s="780"/>
      <c r="K62" s="780"/>
      <c r="L62" s="780"/>
      <c r="M62" s="780"/>
      <c r="N62" s="780"/>
      <c r="O62" s="780"/>
      <c r="P62" s="780"/>
      <c r="Q62" s="780"/>
      <c r="R62" s="780"/>
      <c r="S62" s="780"/>
      <c r="T62" s="780"/>
      <c r="U62" s="781"/>
      <c r="V62" s="698"/>
      <c r="W62" s="700"/>
      <c r="X62" s="700"/>
      <c r="Y62" s="379"/>
      <c r="Z62" s="698"/>
      <c r="AA62" s="696"/>
      <c r="AB62" s="697"/>
      <c r="AC62" s="697"/>
      <c r="AD62" s="697"/>
      <c r="AE62" s="697"/>
      <c r="AF62" s="697"/>
      <c r="AG62" s="697"/>
      <c r="AH62" s="697"/>
      <c r="AI62" s="697"/>
      <c r="AJ62" s="697"/>
      <c r="AK62" s="697"/>
      <c r="AL62" s="697"/>
      <c r="AM62" s="697"/>
      <c r="AN62" s="697"/>
      <c r="AO62" s="697"/>
    </row>
    <row r="63" spans="1:41">
      <c r="A63" s="1553"/>
      <c r="B63" s="702"/>
      <c r="C63" s="774"/>
      <c r="D63" s="782"/>
      <c r="E63" s="773"/>
      <c r="F63" s="776"/>
      <c r="G63" s="776"/>
      <c r="H63" s="776"/>
      <c r="I63" s="776"/>
      <c r="J63" s="776"/>
      <c r="K63" s="776"/>
      <c r="L63" s="776"/>
      <c r="M63" s="776"/>
      <c r="N63" s="792"/>
      <c r="O63" s="776"/>
      <c r="P63" s="776"/>
      <c r="Q63" s="776"/>
      <c r="R63" s="776"/>
      <c r="S63" s="776"/>
      <c r="T63" s="776"/>
      <c r="U63" s="777"/>
      <c r="V63" s="731"/>
      <c r="W63" s="379"/>
      <c r="X63" s="379"/>
      <c r="Y63" s="445"/>
      <c r="Z63" s="704"/>
      <c r="AA63" s="705"/>
      <c r="AB63" s="706"/>
      <c r="AC63" s="706"/>
      <c r="AD63" s="706"/>
      <c r="AE63" s="706"/>
      <c r="AF63" s="706"/>
      <c r="AG63" s="706"/>
      <c r="AH63" s="706"/>
      <c r="AI63" s="706"/>
      <c r="AJ63" s="706"/>
      <c r="AK63" s="706"/>
      <c r="AL63" s="706"/>
      <c r="AM63" s="706"/>
      <c r="AN63" s="706"/>
      <c r="AO63" s="1464"/>
    </row>
    <row r="64" spans="1:41">
      <c r="A64" s="1553"/>
      <c r="B64" s="746"/>
      <c r="C64" s="767"/>
      <c r="D64" s="778"/>
      <c r="E64" s="779"/>
      <c r="F64" s="780"/>
      <c r="G64" s="780"/>
      <c r="H64" s="780"/>
      <c r="I64" s="780"/>
      <c r="J64" s="780"/>
      <c r="K64" s="780"/>
      <c r="L64" s="780"/>
      <c r="M64" s="780"/>
      <c r="N64" s="780"/>
      <c r="O64" s="780"/>
      <c r="P64" s="780"/>
      <c r="Q64" s="780"/>
      <c r="R64" s="780"/>
      <c r="S64" s="780"/>
      <c r="T64" s="780"/>
      <c r="U64" s="781"/>
      <c r="V64" s="698"/>
      <c r="W64" s="700"/>
      <c r="X64" s="700"/>
      <c r="Y64" s="406"/>
      <c r="Z64" s="698"/>
      <c r="AA64" s="696"/>
      <c r="AB64" s="697"/>
      <c r="AC64" s="697"/>
      <c r="AD64" s="697"/>
      <c r="AE64" s="697"/>
      <c r="AF64" s="697"/>
      <c r="AG64" s="697"/>
      <c r="AH64" s="697"/>
      <c r="AI64" s="697"/>
      <c r="AJ64" s="697"/>
      <c r="AK64" s="697"/>
      <c r="AL64" s="697"/>
      <c r="AM64" s="697"/>
      <c r="AN64" s="697"/>
      <c r="AO64" s="697"/>
    </row>
    <row r="65" spans="1:41">
      <c r="A65" s="1553"/>
      <c r="B65" s="455"/>
      <c r="C65" s="770"/>
      <c r="D65" s="782"/>
      <c r="E65" s="773"/>
      <c r="F65" s="776"/>
      <c r="G65" s="776"/>
      <c r="H65" s="776"/>
      <c r="I65" s="776"/>
      <c r="J65" s="776"/>
      <c r="K65" s="776"/>
      <c r="L65" s="776"/>
      <c r="M65" s="776"/>
      <c r="N65" s="792"/>
      <c r="O65" s="776"/>
      <c r="P65" s="776"/>
      <c r="Q65" s="776"/>
      <c r="R65" s="776"/>
      <c r="S65" s="776"/>
      <c r="T65" s="776"/>
      <c r="U65" s="777"/>
      <c r="V65" s="729"/>
      <c r="W65" s="379"/>
      <c r="X65" s="379"/>
      <c r="Y65" s="379"/>
      <c r="Z65" s="704"/>
      <c r="AA65" s="705"/>
      <c r="AB65" s="706"/>
      <c r="AC65" s="706"/>
      <c r="AD65" s="706"/>
      <c r="AE65" s="706"/>
      <c r="AF65" s="706"/>
      <c r="AG65" s="706"/>
      <c r="AH65" s="706"/>
      <c r="AI65" s="706"/>
      <c r="AJ65" s="706"/>
      <c r="AK65" s="706"/>
      <c r="AL65" s="706"/>
      <c r="AM65" s="706"/>
      <c r="AN65" s="706"/>
      <c r="AO65" s="706"/>
    </row>
    <row r="66" spans="1:41">
      <c r="A66" s="1553"/>
      <c r="B66" s="747"/>
      <c r="C66" s="767"/>
      <c r="D66" s="778"/>
      <c r="E66" s="779"/>
      <c r="F66" s="780"/>
      <c r="G66" s="780"/>
      <c r="H66" s="780"/>
      <c r="I66" s="780"/>
      <c r="J66" s="780"/>
      <c r="K66" s="780"/>
      <c r="L66" s="780"/>
      <c r="M66" s="780"/>
      <c r="N66" s="780"/>
      <c r="O66" s="780"/>
      <c r="P66" s="780"/>
      <c r="Q66" s="780"/>
      <c r="R66" s="780"/>
      <c r="S66" s="780"/>
      <c r="T66" s="780"/>
      <c r="U66" s="781"/>
      <c r="V66" s="698"/>
      <c r="W66" s="700"/>
      <c r="X66" s="700"/>
      <c r="Y66" s="445"/>
      <c r="Z66" s="698"/>
      <c r="AA66" s="696"/>
      <c r="AB66" s="697"/>
      <c r="AC66" s="697"/>
      <c r="AD66" s="697"/>
      <c r="AE66" s="697"/>
      <c r="AF66" s="697"/>
      <c r="AG66" s="697"/>
      <c r="AH66" s="697"/>
      <c r="AI66" s="697"/>
      <c r="AJ66" s="697"/>
      <c r="AK66" s="697"/>
      <c r="AL66" s="697"/>
      <c r="AM66" s="697"/>
      <c r="AN66" s="697"/>
      <c r="AO66" s="697"/>
    </row>
    <row r="67" spans="1:41">
      <c r="A67" s="1553"/>
      <c r="B67" s="455"/>
      <c r="C67" s="770"/>
      <c r="D67" s="782"/>
      <c r="E67" s="773"/>
      <c r="F67" s="776"/>
      <c r="G67" s="776"/>
      <c r="H67" s="776"/>
      <c r="I67" s="776"/>
      <c r="J67" s="776"/>
      <c r="K67" s="776"/>
      <c r="L67" s="776"/>
      <c r="M67" s="776"/>
      <c r="N67" s="792"/>
      <c r="O67" s="776"/>
      <c r="P67" s="776"/>
      <c r="Q67" s="776"/>
      <c r="R67" s="776"/>
      <c r="S67" s="776"/>
      <c r="T67" s="776"/>
      <c r="U67" s="777"/>
      <c r="V67" s="729"/>
      <c r="W67" s="379"/>
      <c r="X67" s="379"/>
      <c r="Y67" s="406"/>
      <c r="Z67" s="704"/>
      <c r="AA67" s="705"/>
      <c r="AB67" s="1464"/>
      <c r="AC67" s="706"/>
      <c r="AD67" s="706"/>
      <c r="AE67" s="706"/>
      <c r="AF67" s="706"/>
      <c r="AG67" s="706"/>
      <c r="AH67" s="706"/>
      <c r="AI67" s="706"/>
      <c r="AJ67" s="706"/>
      <c r="AK67" s="706"/>
      <c r="AL67" s="706"/>
      <c r="AM67" s="1464"/>
      <c r="AN67" s="706"/>
      <c r="AO67" s="706"/>
    </row>
    <row r="68" spans="1:41">
      <c r="A68" s="1553"/>
      <c r="B68" s="457"/>
      <c r="C68" s="767"/>
      <c r="D68" s="778"/>
      <c r="E68" s="779"/>
      <c r="F68" s="780"/>
      <c r="G68" s="780"/>
      <c r="H68" s="780"/>
      <c r="I68" s="780"/>
      <c r="J68" s="780"/>
      <c r="K68" s="780"/>
      <c r="L68" s="780"/>
      <c r="M68" s="780"/>
      <c r="N68" s="780"/>
      <c r="O68" s="780"/>
      <c r="P68" s="780"/>
      <c r="Q68" s="780"/>
      <c r="R68" s="780"/>
      <c r="S68" s="780"/>
      <c r="T68" s="780"/>
      <c r="U68" s="781"/>
      <c r="V68" s="698"/>
      <c r="W68" s="700"/>
      <c r="X68" s="700"/>
      <c r="Y68" s="379"/>
      <c r="Z68" s="698"/>
      <c r="AA68" s="696"/>
      <c r="AB68" s="697"/>
      <c r="AC68" s="697"/>
      <c r="AD68" s="697"/>
      <c r="AE68" s="697"/>
      <c r="AF68" s="697"/>
      <c r="AG68" s="697"/>
      <c r="AH68" s="697"/>
      <c r="AI68" s="697"/>
      <c r="AJ68" s="697"/>
      <c r="AK68" s="697"/>
      <c r="AL68" s="697"/>
      <c r="AM68" s="697"/>
      <c r="AN68" s="697"/>
      <c r="AO68" s="697"/>
    </row>
    <row r="69" spans="1:41">
      <c r="A69" s="1553"/>
      <c r="B69" s="702"/>
      <c r="C69" s="770"/>
      <c r="D69" s="782"/>
      <c r="E69" s="773"/>
      <c r="F69" s="776"/>
      <c r="G69" s="776"/>
      <c r="H69" s="776"/>
      <c r="I69" s="776"/>
      <c r="J69" s="776"/>
      <c r="K69" s="776"/>
      <c r="L69" s="776"/>
      <c r="M69" s="776"/>
      <c r="N69" s="792"/>
      <c r="O69" s="776"/>
      <c r="P69" s="776"/>
      <c r="Q69" s="776"/>
      <c r="R69" s="776"/>
      <c r="S69" s="776"/>
      <c r="T69" s="776"/>
      <c r="U69" s="777"/>
      <c r="V69" s="729"/>
      <c r="W69" s="379"/>
      <c r="X69" s="379"/>
      <c r="Y69" s="445"/>
      <c r="Z69" s="704"/>
      <c r="AA69" s="705"/>
      <c r="AB69" s="706"/>
      <c r="AC69" s="706"/>
      <c r="AD69" s="706"/>
      <c r="AE69" s="706"/>
      <c r="AF69" s="706"/>
      <c r="AG69" s="706"/>
      <c r="AH69" s="706"/>
      <c r="AI69" s="706"/>
      <c r="AJ69" s="706"/>
      <c r="AK69" s="706"/>
      <c r="AL69" s="706"/>
      <c r="AM69" s="706"/>
      <c r="AN69" s="706"/>
      <c r="AO69" s="706"/>
    </row>
    <row r="70" spans="1:41">
      <c r="A70" s="1553"/>
      <c r="B70" s="457"/>
      <c r="C70" s="767"/>
      <c r="D70" s="778"/>
      <c r="E70" s="779"/>
      <c r="F70" s="780"/>
      <c r="G70" s="780"/>
      <c r="H70" s="780"/>
      <c r="I70" s="780"/>
      <c r="J70" s="780"/>
      <c r="K70" s="780"/>
      <c r="L70" s="780"/>
      <c r="M70" s="780"/>
      <c r="N70" s="780"/>
      <c r="O70" s="780"/>
      <c r="P70" s="780"/>
      <c r="Q70" s="780"/>
      <c r="R70" s="780"/>
      <c r="S70" s="780"/>
      <c r="T70" s="780"/>
      <c r="U70" s="781"/>
      <c r="V70" s="698"/>
      <c r="W70" s="700"/>
      <c r="X70" s="700"/>
      <c r="Y70" s="406"/>
      <c r="Z70" s="698"/>
      <c r="AA70" s="696"/>
      <c r="AB70" s="697"/>
      <c r="AC70" s="697"/>
      <c r="AD70" s="697"/>
      <c r="AE70" s="697"/>
      <c r="AF70" s="697"/>
      <c r="AG70" s="697"/>
      <c r="AH70" s="697"/>
      <c r="AI70" s="697"/>
      <c r="AJ70" s="697"/>
      <c r="AK70" s="697"/>
      <c r="AL70" s="697"/>
      <c r="AM70" s="697"/>
      <c r="AN70" s="697"/>
      <c r="AO70" s="697"/>
    </row>
    <row r="71" spans="1:41">
      <c r="A71" s="1553"/>
      <c r="B71" s="460"/>
      <c r="C71" s="770"/>
      <c r="D71" s="782"/>
      <c r="E71" s="773"/>
      <c r="F71" s="776"/>
      <c r="G71" s="776"/>
      <c r="H71" s="776"/>
      <c r="I71" s="776"/>
      <c r="J71" s="776"/>
      <c r="K71" s="776"/>
      <c r="L71" s="776"/>
      <c r="M71" s="776"/>
      <c r="N71" s="792"/>
      <c r="O71" s="776"/>
      <c r="P71" s="776"/>
      <c r="Q71" s="776"/>
      <c r="R71" s="776"/>
      <c r="S71" s="776"/>
      <c r="T71" s="776"/>
      <c r="U71" s="777"/>
      <c r="V71" s="729"/>
      <c r="W71" s="379"/>
      <c r="X71" s="379"/>
      <c r="Y71" s="379"/>
      <c r="Z71" s="704"/>
      <c r="AA71" s="705"/>
      <c r="AB71" s="1464"/>
      <c r="AC71" s="1464"/>
      <c r="AD71" s="706"/>
      <c r="AE71" s="706"/>
      <c r="AF71" s="706"/>
      <c r="AG71" s="706"/>
      <c r="AH71" s="1464"/>
      <c r="AI71" s="706"/>
      <c r="AJ71" s="706"/>
      <c r="AK71" s="706"/>
      <c r="AL71" s="706"/>
      <c r="AM71" s="1464"/>
      <c r="AN71" s="706"/>
      <c r="AO71" s="706"/>
    </row>
    <row r="72" spans="1:41">
      <c r="A72" s="1553"/>
      <c r="B72" s="457"/>
      <c r="C72" s="767"/>
      <c r="D72" s="778"/>
      <c r="E72" s="779"/>
      <c r="F72" s="780"/>
      <c r="G72" s="780"/>
      <c r="H72" s="780"/>
      <c r="I72" s="780"/>
      <c r="J72" s="780"/>
      <c r="K72" s="780"/>
      <c r="L72" s="780"/>
      <c r="M72" s="780"/>
      <c r="N72" s="780"/>
      <c r="O72" s="780"/>
      <c r="P72" s="780"/>
      <c r="Q72" s="780"/>
      <c r="R72" s="780"/>
      <c r="S72" s="780"/>
      <c r="T72" s="780"/>
      <c r="U72" s="781"/>
      <c r="V72" s="698"/>
      <c r="W72" s="700"/>
      <c r="X72" s="700"/>
      <c r="Y72" s="445"/>
      <c r="Z72" s="698"/>
      <c r="AA72" s="696"/>
      <c r="AB72" s="697"/>
      <c r="AC72" s="697"/>
      <c r="AD72" s="697"/>
      <c r="AE72" s="697"/>
      <c r="AF72" s="697"/>
      <c r="AG72" s="697"/>
      <c r="AH72" s="697"/>
      <c r="AI72" s="697"/>
      <c r="AJ72" s="697"/>
      <c r="AK72" s="697"/>
      <c r="AL72" s="697"/>
      <c r="AM72" s="697"/>
      <c r="AN72" s="697"/>
      <c r="AO72" s="697"/>
    </row>
    <row r="73" spans="1:41">
      <c r="A73" s="1553"/>
      <c r="B73" s="458"/>
      <c r="C73" s="770"/>
      <c r="D73" s="782"/>
      <c r="E73" s="773"/>
      <c r="F73" s="776"/>
      <c r="G73" s="776"/>
      <c r="H73" s="776"/>
      <c r="I73" s="776"/>
      <c r="J73" s="776"/>
      <c r="K73" s="776"/>
      <c r="L73" s="776"/>
      <c r="M73" s="776"/>
      <c r="N73" s="792"/>
      <c r="O73" s="776"/>
      <c r="P73" s="776"/>
      <c r="Q73" s="776"/>
      <c r="R73" s="776"/>
      <c r="S73" s="776"/>
      <c r="T73" s="776"/>
      <c r="U73" s="777"/>
      <c r="V73" s="729"/>
      <c r="W73" s="379"/>
      <c r="X73" s="379"/>
      <c r="Y73" s="406"/>
      <c r="Z73" s="704"/>
      <c r="AA73" s="705"/>
      <c r="AB73" s="706"/>
      <c r="AC73" s="706"/>
      <c r="AD73" s="706"/>
      <c r="AE73" s="706"/>
      <c r="AF73" s="706"/>
      <c r="AG73" s="706"/>
      <c r="AH73" s="706"/>
      <c r="AI73" s="706"/>
      <c r="AJ73" s="706"/>
      <c r="AK73" s="706"/>
      <c r="AL73" s="706"/>
      <c r="AM73" s="706"/>
      <c r="AN73" s="706"/>
      <c r="AO73" s="706"/>
    </row>
    <row r="74" spans="1:41">
      <c r="A74" s="1553"/>
      <c r="B74" s="457"/>
      <c r="C74" s="767"/>
      <c r="D74" s="778"/>
      <c r="E74" s="779"/>
      <c r="F74" s="780"/>
      <c r="G74" s="780"/>
      <c r="H74" s="780"/>
      <c r="I74" s="780"/>
      <c r="J74" s="780"/>
      <c r="K74" s="780"/>
      <c r="L74" s="780"/>
      <c r="M74" s="780"/>
      <c r="N74" s="780"/>
      <c r="O74" s="780"/>
      <c r="P74" s="780"/>
      <c r="Q74" s="780"/>
      <c r="R74" s="780"/>
      <c r="S74" s="780"/>
      <c r="T74" s="780"/>
      <c r="U74" s="781"/>
      <c r="V74" s="698"/>
      <c r="W74" s="700"/>
      <c r="X74" s="700"/>
      <c r="Y74" s="379"/>
      <c r="Z74" s="698"/>
      <c r="AA74" s="696"/>
      <c r="AB74" s="697"/>
      <c r="AC74" s="697"/>
      <c r="AD74" s="697"/>
      <c r="AE74" s="697"/>
      <c r="AF74" s="697"/>
      <c r="AG74" s="697"/>
      <c r="AH74" s="697"/>
      <c r="AI74" s="697"/>
      <c r="AJ74" s="697"/>
      <c r="AK74" s="697"/>
      <c r="AL74" s="697"/>
      <c r="AM74" s="697"/>
      <c r="AN74" s="697"/>
      <c r="AO74" s="697"/>
    </row>
    <row r="75" spans="1:41">
      <c r="A75" s="1553"/>
      <c r="B75" s="702"/>
      <c r="C75" s="774"/>
      <c r="D75" s="782"/>
      <c r="E75" s="773"/>
      <c r="F75" s="776"/>
      <c r="G75" s="776"/>
      <c r="H75" s="776"/>
      <c r="I75" s="776"/>
      <c r="J75" s="776"/>
      <c r="K75" s="776"/>
      <c r="L75" s="776"/>
      <c r="M75" s="776"/>
      <c r="N75" s="792"/>
      <c r="O75" s="776"/>
      <c r="P75" s="776"/>
      <c r="Q75" s="776"/>
      <c r="R75" s="776"/>
      <c r="S75" s="776"/>
      <c r="T75" s="776"/>
      <c r="U75" s="777"/>
      <c r="V75" s="729"/>
      <c r="W75" s="379"/>
      <c r="X75" s="379"/>
      <c r="Y75" s="445"/>
      <c r="Z75" s="1463"/>
      <c r="AA75" s="705"/>
      <c r="AB75" s="1464"/>
      <c r="AC75" s="706"/>
      <c r="AD75" s="706"/>
      <c r="AE75" s="706"/>
      <c r="AF75" s="706"/>
      <c r="AG75" s="1464"/>
      <c r="AH75" s="706"/>
      <c r="AI75" s="706"/>
      <c r="AJ75" s="706"/>
      <c r="AK75" s="706"/>
      <c r="AL75" s="706"/>
      <c r="AM75" s="706"/>
      <c r="AN75" s="1464"/>
      <c r="AO75" s="706"/>
    </row>
    <row r="76" spans="1:41">
      <c r="A76" s="1553"/>
      <c r="B76" s="457"/>
      <c r="C76" s="767"/>
      <c r="D76" s="767"/>
      <c r="E76" s="767"/>
      <c r="F76" s="772"/>
      <c r="G76" s="772"/>
      <c r="H76" s="772"/>
      <c r="I76" s="772"/>
      <c r="J76" s="772"/>
      <c r="K76" s="772"/>
      <c r="L76" s="772"/>
      <c r="M76" s="772"/>
      <c r="N76" s="772"/>
      <c r="O76" s="772"/>
      <c r="P76" s="772"/>
      <c r="Q76" s="772"/>
      <c r="R76" s="772"/>
      <c r="S76" s="772"/>
      <c r="T76" s="772"/>
      <c r="U76" s="771"/>
      <c r="V76" s="698"/>
      <c r="W76" s="700"/>
      <c r="X76" s="700"/>
      <c r="Y76" s="406"/>
      <c r="Z76" s="698"/>
      <c r="AA76" s="696"/>
      <c r="AB76" s="697"/>
      <c r="AC76" s="697"/>
      <c r="AD76" s="697"/>
      <c r="AE76" s="697"/>
      <c r="AF76" s="697"/>
      <c r="AG76" s="697"/>
      <c r="AH76" s="697"/>
      <c r="AI76" s="697"/>
      <c r="AJ76" s="697"/>
      <c r="AK76" s="697"/>
      <c r="AL76" s="697"/>
      <c r="AM76" s="697"/>
      <c r="AN76" s="697"/>
      <c r="AO76" s="697"/>
    </row>
    <row r="77" spans="1:41">
      <c r="A77" s="1553"/>
      <c r="B77" s="455"/>
      <c r="C77" s="770"/>
      <c r="D77" s="773"/>
      <c r="E77" s="773"/>
      <c r="F77" s="776"/>
      <c r="G77" s="776"/>
      <c r="H77" s="776"/>
      <c r="I77" s="776"/>
      <c r="J77" s="776"/>
      <c r="K77" s="776"/>
      <c r="L77" s="776"/>
      <c r="M77" s="776"/>
      <c r="N77" s="792"/>
      <c r="O77" s="776"/>
      <c r="P77" s="776"/>
      <c r="Q77" s="776"/>
      <c r="R77" s="776"/>
      <c r="S77" s="776"/>
      <c r="T77" s="776"/>
      <c r="U77" s="777"/>
      <c r="V77" s="729"/>
      <c r="W77" s="379"/>
      <c r="X77" s="379"/>
      <c r="Y77" s="379"/>
      <c r="Z77" s="704"/>
      <c r="AA77" s="705"/>
      <c r="AB77" s="706"/>
      <c r="AC77" s="706"/>
      <c r="AD77" s="706"/>
      <c r="AE77" s="706"/>
      <c r="AF77" s="706"/>
      <c r="AG77" s="706"/>
      <c r="AH77" s="706"/>
      <c r="AI77" s="706"/>
      <c r="AJ77" s="706"/>
      <c r="AK77" s="1464"/>
      <c r="AL77" s="706"/>
      <c r="AM77" s="706"/>
      <c r="AN77" s="1464"/>
      <c r="AO77" s="706"/>
    </row>
    <row r="78" spans="1:41">
      <c r="A78" s="1553"/>
      <c r="B78" s="457"/>
      <c r="C78" s="767"/>
      <c r="D78" s="778"/>
      <c r="E78" s="779"/>
      <c r="F78" s="780"/>
      <c r="G78" s="780"/>
      <c r="H78" s="780"/>
      <c r="I78" s="780"/>
      <c r="J78" s="780"/>
      <c r="K78" s="780"/>
      <c r="L78" s="780"/>
      <c r="M78" s="780"/>
      <c r="N78" s="780"/>
      <c r="O78" s="780"/>
      <c r="P78" s="780"/>
      <c r="Q78" s="780"/>
      <c r="R78" s="780"/>
      <c r="S78" s="780"/>
      <c r="T78" s="780"/>
      <c r="U78" s="781"/>
      <c r="V78" s="698"/>
      <c r="W78" s="700"/>
      <c r="X78" s="700"/>
      <c r="Y78" s="445"/>
      <c r="Z78" s="698"/>
      <c r="AA78" s="696"/>
      <c r="AB78" s="697"/>
      <c r="AC78" s="697"/>
      <c r="AD78" s="697"/>
      <c r="AE78" s="697"/>
      <c r="AF78" s="697"/>
      <c r="AG78" s="697"/>
      <c r="AH78" s="697"/>
      <c r="AI78" s="697"/>
      <c r="AJ78" s="697"/>
      <c r="AK78" s="697"/>
      <c r="AL78" s="697"/>
      <c r="AM78" s="697"/>
      <c r="AN78" s="697"/>
      <c r="AO78" s="697"/>
    </row>
    <row r="79" spans="1:41">
      <c r="A79" s="1553"/>
      <c r="B79" s="455"/>
      <c r="C79" s="770"/>
      <c r="D79" s="782"/>
      <c r="E79" s="773"/>
      <c r="F79" s="776"/>
      <c r="G79" s="776"/>
      <c r="H79" s="776"/>
      <c r="I79" s="776"/>
      <c r="J79" s="776"/>
      <c r="K79" s="776"/>
      <c r="L79" s="776"/>
      <c r="M79" s="776"/>
      <c r="N79" s="792"/>
      <c r="O79" s="776"/>
      <c r="P79" s="776"/>
      <c r="Q79" s="776"/>
      <c r="R79" s="776"/>
      <c r="S79" s="776"/>
      <c r="T79" s="776"/>
      <c r="U79" s="777"/>
      <c r="V79" s="729"/>
      <c r="W79" s="379"/>
      <c r="X79" s="379"/>
      <c r="Y79" s="406"/>
      <c r="Z79" s="704"/>
      <c r="AA79" s="705"/>
      <c r="AB79" s="706"/>
      <c r="AC79" s="706"/>
      <c r="AD79" s="706"/>
      <c r="AE79" s="706"/>
      <c r="AF79" s="706"/>
      <c r="AG79" s="706"/>
      <c r="AH79" s="706"/>
      <c r="AI79" s="706"/>
      <c r="AJ79" s="706"/>
      <c r="AK79" s="706"/>
      <c r="AL79" s="706"/>
      <c r="AM79" s="706"/>
      <c r="AN79" s="706"/>
      <c r="AO79" s="706"/>
    </row>
    <row r="80" spans="1:41">
      <c r="A80" s="1553"/>
      <c r="B80" s="457"/>
      <c r="C80" s="767"/>
      <c r="D80" s="778"/>
      <c r="E80" s="779"/>
      <c r="F80" s="780"/>
      <c r="G80" s="780"/>
      <c r="H80" s="780"/>
      <c r="I80" s="780"/>
      <c r="J80" s="780"/>
      <c r="K80" s="780"/>
      <c r="L80" s="780"/>
      <c r="M80" s="780"/>
      <c r="N80" s="780"/>
      <c r="O80" s="780"/>
      <c r="P80" s="780"/>
      <c r="Q80" s="780"/>
      <c r="R80" s="780"/>
      <c r="S80" s="780"/>
      <c r="T80" s="780"/>
      <c r="U80" s="781"/>
      <c r="V80" s="698"/>
      <c r="W80" s="700"/>
      <c r="X80" s="700"/>
      <c r="Y80" s="379"/>
      <c r="Z80" s="698"/>
      <c r="AA80" s="696"/>
      <c r="AB80" s="697"/>
      <c r="AC80" s="697"/>
      <c r="AD80" s="697"/>
      <c r="AE80" s="697"/>
      <c r="AF80" s="697"/>
      <c r="AG80" s="697"/>
      <c r="AH80" s="697"/>
      <c r="AI80" s="697"/>
      <c r="AJ80" s="697"/>
      <c r="AK80" s="697"/>
      <c r="AL80" s="697"/>
      <c r="AM80" s="697"/>
      <c r="AN80" s="697"/>
      <c r="AO80" s="697"/>
    </row>
    <row r="81" spans="1:41">
      <c r="A81" s="1553"/>
      <c r="B81" s="702"/>
      <c r="C81" s="774"/>
      <c r="D81" s="782"/>
      <c r="E81" s="773"/>
      <c r="F81" s="776"/>
      <c r="G81" s="776"/>
      <c r="H81" s="776"/>
      <c r="I81" s="776"/>
      <c r="J81" s="776"/>
      <c r="K81" s="776"/>
      <c r="L81" s="776"/>
      <c r="M81" s="776"/>
      <c r="N81" s="792"/>
      <c r="O81" s="776"/>
      <c r="P81" s="776"/>
      <c r="Q81" s="776"/>
      <c r="R81" s="776"/>
      <c r="S81" s="776"/>
      <c r="T81" s="776"/>
      <c r="U81" s="777"/>
      <c r="V81" s="729"/>
      <c r="W81" s="379"/>
      <c r="X81" s="379"/>
      <c r="Y81" s="445"/>
      <c r="Z81" s="1463"/>
      <c r="AA81" s="1464"/>
      <c r="AB81" s="706"/>
      <c r="AC81" s="706"/>
      <c r="AD81" s="706"/>
      <c r="AE81" s="1464"/>
      <c r="AF81" s="706"/>
      <c r="AG81" s="1464"/>
      <c r="AH81" s="1464"/>
      <c r="AI81" s="706"/>
      <c r="AJ81" s="706"/>
      <c r="AK81" s="1464"/>
      <c r="AL81" s="706"/>
      <c r="AM81" s="706"/>
      <c r="AN81" s="1464"/>
      <c r="AO81" s="706"/>
    </row>
    <row r="82" spans="1:41">
      <c r="A82" s="1553"/>
      <c r="B82" s="457"/>
      <c r="C82" s="767"/>
      <c r="D82" s="767"/>
      <c r="E82" s="767"/>
      <c r="F82" s="772"/>
      <c r="G82" s="772"/>
      <c r="H82" s="772"/>
      <c r="I82" s="772"/>
      <c r="J82" s="772"/>
      <c r="K82" s="772"/>
      <c r="L82" s="772"/>
      <c r="M82" s="772"/>
      <c r="N82" s="772"/>
      <c r="O82" s="772"/>
      <c r="P82" s="772"/>
      <c r="Q82" s="772"/>
      <c r="R82" s="772"/>
      <c r="S82" s="772"/>
      <c r="T82" s="772"/>
      <c r="U82" s="771"/>
      <c r="V82" s="698"/>
      <c r="W82" s="700"/>
      <c r="X82" s="700"/>
      <c r="Y82" s="406"/>
      <c r="Z82" s="698"/>
      <c r="AA82" s="696"/>
      <c r="AB82" s="697"/>
      <c r="AC82" s="697"/>
      <c r="AD82" s="697"/>
      <c r="AE82" s="697"/>
      <c r="AF82" s="697"/>
      <c r="AG82" s="697"/>
      <c r="AH82" s="697"/>
      <c r="AI82" s="697"/>
      <c r="AJ82" s="697"/>
      <c r="AK82" s="697"/>
      <c r="AL82" s="697"/>
      <c r="AM82" s="697"/>
      <c r="AN82" s="697"/>
      <c r="AO82" s="697"/>
    </row>
    <row r="83" spans="1:41">
      <c r="A83" s="1553"/>
      <c r="B83" s="455"/>
      <c r="C83" s="770"/>
      <c r="D83" s="773"/>
      <c r="E83" s="773"/>
      <c r="F83" s="776"/>
      <c r="G83" s="776"/>
      <c r="H83" s="776"/>
      <c r="I83" s="776"/>
      <c r="J83" s="776"/>
      <c r="K83" s="776"/>
      <c r="L83" s="776"/>
      <c r="M83" s="776"/>
      <c r="N83" s="792"/>
      <c r="O83" s="776"/>
      <c r="P83" s="776"/>
      <c r="Q83" s="776"/>
      <c r="R83" s="776"/>
      <c r="S83" s="776"/>
      <c r="T83" s="776"/>
      <c r="U83" s="777"/>
      <c r="V83" s="729"/>
      <c r="W83" s="379"/>
      <c r="X83" s="379"/>
      <c r="Y83" s="379"/>
      <c r="Z83" s="704"/>
      <c r="AA83" s="705"/>
      <c r="AB83" s="706"/>
      <c r="AC83" s="706"/>
      <c r="AD83" s="1464"/>
      <c r="AE83" s="706"/>
      <c r="AF83" s="1464"/>
      <c r="AG83" s="706"/>
      <c r="AH83" s="706"/>
      <c r="AI83" s="706"/>
      <c r="AJ83" s="706"/>
      <c r="AK83" s="1464"/>
      <c r="AL83" s="706"/>
      <c r="AM83" s="706"/>
      <c r="AN83" s="706"/>
      <c r="AO83" s="706"/>
    </row>
    <row r="84" spans="1:41">
      <c r="A84" s="1553"/>
      <c r="B84" s="459"/>
      <c r="C84" s="767"/>
      <c r="D84" s="778"/>
      <c r="E84" s="779"/>
      <c r="F84" s="780"/>
      <c r="G84" s="780"/>
      <c r="H84" s="780"/>
      <c r="I84" s="780"/>
      <c r="J84" s="780"/>
      <c r="K84" s="780"/>
      <c r="L84" s="780"/>
      <c r="M84" s="780"/>
      <c r="N84" s="780"/>
      <c r="O84" s="780"/>
      <c r="P84" s="780"/>
      <c r="Q84" s="780"/>
      <c r="R84" s="780"/>
      <c r="S84" s="780"/>
      <c r="T84" s="780"/>
      <c r="U84" s="781"/>
      <c r="V84" s="698"/>
      <c r="W84" s="700"/>
      <c r="X84" s="700"/>
      <c r="Y84" s="445"/>
      <c r="Z84" s="698"/>
      <c r="AA84" s="696"/>
      <c r="AB84" s="697"/>
      <c r="AC84" s="697"/>
      <c r="AD84" s="697"/>
      <c r="AE84" s="697"/>
      <c r="AF84" s="697"/>
      <c r="AG84" s="697"/>
      <c r="AH84" s="697"/>
      <c r="AI84" s="697"/>
      <c r="AJ84" s="697"/>
      <c r="AK84" s="697"/>
      <c r="AL84" s="697"/>
      <c r="AM84" s="697"/>
      <c r="AN84" s="697"/>
      <c r="AO84" s="697"/>
    </row>
    <row r="85" spans="1:41">
      <c r="A85" s="1553"/>
      <c r="B85" s="702"/>
      <c r="C85" s="770"/>
      <c r="D85" s="782"/>
      <c r="E85" s="773"/>
      <c r="F85" s="776"/>
      <c r="G85" s="776"/>
      <c r="H85" s="776"/>
      <c r="I85" s="776"/>
      <c r="J85" s="776"/>
      <c r="K85" s="776"/>
      <c r="L85" s="776"/>
      <c r="M85" s="776"/>
      <c r="N85" s="792"/>
      <c r="O85" s="776"/>
      <c r="P85" s="776"/>
      <c r="Q85" s="776"/>
      <c r="R85" s="776"/>
      <c r="S85" s="776"/>
      <c r="T85" s="776"/>
      <c r="U85" s="777"/>
      <c r="V85" s="729"/>
      <c r="W85" s="379"/>
      <c r="X85" s="379"/>
      <c r="Y85" s="406"/>
      <c r="Z85" s="704"/>
      <c r="AA85" s="705"/>
      <c r="AB85" s="706"/>
      <c r="AC85" s="706"/>
      <c r="AD85" s="706"/>
      <c r="AE85" s="706"/>
      <c r="AF85" s="706"/>
      <c r="AG85" s="706"/>
      <c r="AH85" s="706"/>
      <c r="AI85" s="706"/>
      <c r="AJ85" s="706"/>
      <c r="AK85" s="706"/>
      <c r="AL85" s="706"/>
      <c r="AM85" s="706"/>
      <c r="AN85" s="706"/>
      <c r="AO85" s="706"/>
    </row>
    <row r="86" spans="1:41">
      <c r="A86" s="1553"/>
      <c r="B86" s="457"/>
      <c r="C86" s="767"/>
      <c r="D86" s="778"/>
      <c r="E86" s="779"/>
      <c r="F86" s="780"/>
      <c r="G86" s="780"/>
      <c r="H86" s="780"/>
      <c r="I86" s="780"/>
      <c r="J86" s="780"/>
      <c r="K86" s="780"/>
      <c r="L86" s="780"/>
      <c r="M86" s="780"/>
      <c r="N86" s="780"/>
      <c r="O86" s="780"/>
      <c r="P86" s="780"/>
      <c r="Q86" s="780"/>
      <c r="R86" s="780"/>
      <c r="S86" s="780"/>
      <c r="T86" s="780"/>
      <c r="U86" s="781"/>
      <c r="V86" s="698"/>
      <c r="W86" s="700"/>
      <c r="X86" s="700"/>
      <c r="Y86" s="379"/>
      <c r="Z86" s="698"/>
      <c r="AA86" s="696"/>
      <c r="AB86" s="697"/>
      <c r="AC86" s="697"/>
      <c r="AD86" s="697"/>
      <c r="AE86" s="697"/>
      <c r="AF86" s="697"/>
      <c r="AG86" s="697"/>
      <c r="AH86" s="697"/>
      <c r="AI86" s="697"/>
      <c r="AJ86" s="697"/>
      <c r="AK86" s="697"/>
      <c r="AL86" s="697"/>
      <c r="AM86" s="697"/>
      <c r="AN86" s="697"/>
      <c r="AO86" s="697"/>
    </row>
    <row r="87" spans="1:41">
      <c r="A87" s="1553"/>
      <c r="B87" s="455"/>
      <c r="C87" s="770"/>
      <c r="D87" s="782"/>
      <c r="E87" s="773"/>
      <c r="F87" s="776"/>
      <c r="G87" s="776"/>
      <c r="H87" s="776"/>
      <c r="I87" s="776"/>
      <c r="J87" s="776"/>
      <c r="K87" s="776"/>
      <c r="L87" s="776"/>
      <c r="M87" s="776"/>
      <c r="N87" s="792"/>
      <c r="O87" s="776"/>
      <c r="P87" s="776"/>
      <c r="Q87" s="776"/>
      <c r="R87" s="776"/>
      <c r="S87" s="776"/>
      <c r="T87" s="776"/>
      <c r="U87" s="777"/>
      <c r="V87" s="729"/>
      <c r="W87" s="379"/>
      <c r="X87" s="379"/>
      <c r="Y87" s="445"/>
      <c r="Z87" s="704"/>
      <c r="AA87" s="705"/>
      <c r="AB87" s="706"/>
      <c r="AC87" s="1464"/>
      <c r="AD87" s="706"/>
      <c r="AE87" s="706"/>
      <c r="AF87" s="706"/>
      <c r="AG87" s="706"/>
      <c r="AH87" s="1464"/>
      <c r="AI87" s="706"/>
      <c r="AJ87" s="706"/>
      <c r="AK87" s="706"/>
      <c r="AL87" s="706"/>
      <c r="AM87" s="706"/>
      <c r="AN87" s="706"/>
      <c r="AO87" s="706"/>
    </row>
    <row r="88" spans="1:41">
      <c r="A88" s="1553"/>
      <c r="B88" s="457"/>
      <c r="C88" s="767"/>
      <c r="D88" s="778"/>
      <c r="E88" s="779"/>
      <c r="F88" s="780"/>
      <c r="G88" s="780"/>
      <c r="H88" s="780"/>
      <c r="I88" s="780"/>
      <c r="J88" s="780"/>
      <c r="K88" s="780"/>
      <c r="L88" s="780"/>
      <c r="M88" s="780"/>
      <c r="N88" s="780"/>
      <c r="O88" s="780"/>
      <c r="P88" s="780"/>
      <c r="Q88" s="780"/>
      <c r="R88" s="780"/>
      <c r="S88" s="780"/>
      <c r="T88" s="780"/>
      <c r="U88" s="781"/>
      <c r="V88" s="698"/>
      <c r="W88" s="700"/>
      <c r="X88" s="700"/>
      <c r="Y88" s="406"/>
      <c r="Z88" s="698"/>
      <c r="AA88" s="696"/>
      <c r="AB88" s="697"/>
      <c r="AC88" s="697"/>
      <c r="AD88" s="697"/>
      <c r="AE88" s="697"/>
      <c r="AF88" s="697"/>
      <c r="AG88" s="697"/>
      <c r="AH88" s="697"/>
      <c r="AI88" s="697"/>
      <c r="AJ88" s="697"/>
      <c r="AK88" s="697"/>
      <c r="AL88" s="697"/>
      <c r="AM88" s="697"/>
      <c r="AN88" s="697"/>
      <c r="AO88" s="697"/>
    </row>
    <row r="89" spans="1:41">
      <c r="A89" s="1553"/>
      <c r="B89" s="455"/>
      <c r="C89" s="770"/>
      <c r="D89" s="782"/>
      <c r="E89" s="773"/>
      <c r="F89" s="776"/>
      <c r="G89" s="776"/>
      <c r="H89" s="776"/>
      <c r="I89" s="776"/>
      <c r="J89" s="776"/>
      <c r="K89" s="776"/>
      <c r="L89" s="776"/>
      <c r="M89" s="776"/>
      <c r="N89" s="792"/>
      <c r="O89" s="776"/>
      <c r="P89" s="776"/>
      <c r="Q89" s="776"/>
      <c r="R89" s="776"/>
      <c r="S89" s="776"/>
      <c r="T89" s="776"/>
      <c r="U89" s="777"/>
      <c r="V89" s="729"/>
      <c r="W89" s="379"/>
      <c r="X89" s="379"/>
      <c r="Y89" s="379"/>
      <c r="Z89" s="704"/>
      <c r="AA89" s="1465"/>
      <c r="AB89" s="706"/>
      <c r="AC89" s="1464"/>
      <c r="AD89" s="706"/>
      <c r="AE89" s="706"/>
      <c r="AF89" s="706"/>
      <c r="AG89" s="706"/>
      <c r="AH89" s="706"/>
      <c r="AI89" s="1464"/>
      <c r="AJ89" s="706"/>
      <c r="AK89" s="706"/>
      <c r="AL89" s="706"/>
      <c r="AM89" s="706"/>
      <c r="AN89" s="1464"/>
      <c r="AO89" s="706"/>
    </row>
    <row r="90" spans="1:41">
      <c r="A90" s="1553"/>
      <c r="B90" s="459"/>
      <c r="C90" s="767"/>
      <c r="D90" s="778"/>
      <c r="E90" s="779"/>
      <c r="F90" s="780"/>
      <c r="G90" s="780"/>
      <c r="H90" s="780"/>
      <c r="I90" s="780"/>
      <c r="J90" s="780"/>
      <c r="K90" s="780"/>
      <c r="L90" s="780"/>
      <c r="M90" s="780"/>
      <c r="N90" s="780"/>
      <c r="O90" s="780"/>
      <c r="P90" s="780"/>
      <c r="Q90" s="780"/>
      <c r="R90" s="780"/>
      <c r="S90" s="780"/>
      <c r="T90" s="780"/>
      <c r="U90" s="781"/>
      <c r="V90" s="698"/>
      <c r="W90" s="700"/>
      <c r="X90" s="700"/>
      <c r="Y90" s="445"/>
      <c r="Z90" s="698"/>
      <c r="AA90" s="696"/>
      <c r="AB90" s="697"/>
      <c r="AC90" s="697"/>
      <c r="AD90" s="697"/>
      <c r="AE90" s="697"/>
      <c r="AF90" s="697"/>
      <c r="AG90" s="697"/>
      <c r="AH90" s="697"/>
      <c r="AI90" s="697"/>
      <c r="AJ90" s="697"/>
      <c r="AK90" s="697"/>
      <c r="AL90" s="697"/>
      <c r="AM90" s="697"/>
      <c r="AN90" s="697"/>
      <c r="AO90" s="697"/>
    </row>
    <row r="91" spans="1:41">
      <c r="A91" s="1553"/>
      <c r="B91" s="702"/>
      <c r="C91" s="770"/>
      <c r="D91" s="782"/>
      <c r="E91" s="773"/>
      <c r="F91" s="776"/>
      <c r="G91" s="776"/>
      <c r="H91" s="776"/>
      <c r="I91" s="776"/>
      <c r="J91" s="776"/>
      <c r="K91" s="776"/>
      <c r="L91" s="776"/>
      <c r="M91" s="776"/>
      <c r="N91" s="792"/>
      <c r="O91" s="776"/>
      <c r="P91" s="776"/>
      <c r="Q91" s="776"/>
      <c r="R91" s="776"/>
      <c r="S91" s="776"/>
      <c r="T91" s="776"/>
      <c r="U91" s="777"/>
      <c r="V91" s="729"/>
      <c r="W91" s="379"/>
      <c r="X91" s="379"/>
      <c r="Y91" s="406"/>
      <c r="Z91" s="704"/>
      <c r="AA91" s="705"/>
      <c r="AB91" s="706"/>
      <c r="AC91" s="706"/>
      <c r="AD91" s="706"/>
      <c r="AE91" s="706"/>
      <c r="AF91" s="706"/>
      <c r="AG91" s="706"/>
      <c r="AH91" s="706"/>
      <c r="AI91" s="706"/>
      <c r="AJ91" s="706"/>
      <c r="AK91" s="706"/>
      <c r="AL91" s="706"/>
      <c r="AM91" s="706"/>
      <c r="AN91" s="706"/>
      <c r="AO91" s="706"/>
    </row>
    <row r="92" spans="1:41">
      <c r="A92" s="1553"/>
      <c r="B92" s="457"/>
      <c r="C92" s="767"/>
      <c r="D92" s="778"/>
      <c r="E92" s="779"/>
      <c r="F92" s="780"/>
      <c r="G92" s="780"/>
      <c r="H92" s="780"/>
      <c r="I92" s="780"/>
      <c r="J92" s="780"/>
      <c r="K92" s="780"/>
      <c r="L92" s="780"/>
      <c r="M92" s="780"/>
      <c r="N92" s="780"/>
      <c r="O92" s="780"/>
      <c r="P92" s="780"/>
      <c r="Q92" s="780"/>
      <c r="R92" s="780"/>
      <c r="S92" s="780"/>
      <c r="T92" s="780"/>
      <c r="U92" s="781"/>
      <c r="V92" s="698"/>
      <c r="W92" s="700"/>
      <c r="X92" s="700"/>
      <c r="Y92" s="379"/>
      <c r="Z92" s="698"/>
      <c r="AA92" s="696"/>
      <c r="AB92" s="697"/>
      <c r="AC92" s="697"/>
      <c r="AD92" s="697"/>
      <c r="AE92" s="697"/>
      <c r="AF92" s="697"/>
      <c r="AG92" s="697"/>
      <c r="AH92" s="697"/>
      <c r="AI92" s="697"/>
      <c r="AJ92" s="697"/>
      <c r="AK92" s="697"/>
      <c r="AL92" s="697"/>
      <c r="AM92" s="697"/>
      <c r="AN92" s="697"/>
      <c r="AO92" s="697"/>
    </row>
    <row r="93" spans="1:41">
      <c r="A93" s="1553"/>
      <c r="B93" s="455"/>
      <c r="C93" s="770"/>
      <c r="D93" s="782"/>
      <c r="E93" s="773"/>
      <c r="F93" s="776"/>
      <c r="G93" s="776"/>
      <c r="H93" s="776"/>
      <c r="I93" s="776"/>
      <c r="J93" s="776"/>
      <c r="K93" s="776"/>
      <c r="L93" s="776"/>
      <c r="M93" s="776"/>
      <c r="N93" s="792"/>
      <c r="O93" s="776"/>
      <c r="P93" s="776"/>
      <c r="Q93" s="776"/>
      <c r="R93" s="776"/>
      <c r="S93" s="776"/>
      <c r="T93" s="776"/>
      <c r="U93" s="777"/>
      <c r="V93" s="729"/>
      <c r="W93" s="379"/>
      <c r="X93" s="379"/>
      <c r="Y93" s="445"/>
      <c r="Z93" s="704"/>
      <c r="AA93" s="705"/>
      <c r="AB93" s="706"/>
      <c r="AC93" s="706"/>
      <c r="AD93" s="706"/>
      <c r="AE93" s="706"/>
      <c r="AF93" s="706"/>
      <c r="AG93" s="706"/>
      <c r="AH93" s="706"/>
      <c r="AI93" s="706"/>
      <c r="AJ93" s="706"/>
      <c r="AK93" s="706"/>
      <c r="AL93" s="706"/>
      <c r="AM93" s="706"/>
      <c r="AN93" s="706"/>
      <c r="AO93" s="706"/>
    </row>
    <row r="94" spans="1:41">
      <c r="A94" s="1553"/>
      <c r="B94" s="457"/>
      <c r="C94" s="767"/>
      <c r="D94" s="778"/>
      <c r="E94" s="779"/>
      <c r="F94" s="780"/>
      <c r="G94" s="780"/>
      <c r="H94" s="780"/>
      <c r="I94" s="780"/>
      <c r="J94" s="780"/>
      <c r="K94" s="780"/>
      <c r="L94" s="780"/>
      <c r="M94" s="780"/>
      <c r="N94" s="780"/>
      <c r="O94" s="780"/>
      <c r="P94" s="780"/>
      <c r="Q94" s="780"/>
      <c r="R94" s="780"/>
      <c r="S94" s="780"/>
      <c r="T94" s="780"/>
      <c r="U94" s="781"/>
      <c r="V94" s="698"/>
      <c r="W94" s="700"/>
      <c r="X94" s="700"/>
      <c r="Y94" s="406"/>
      <c r="Z94" s="698"/>
      <c r="AA94" s="696"/>
      <c r="AB94" s="697"/>
      <c r="AC94" s="697"/>
      <c r="AD94" s="697"/>
      <c r="AE94" s="697"/>
      <c r="AF94" s="697"/>
      <c r="AG94" s="697"/>
      <c r="AH94" s="697"/>
      <c r="AI94" s="697"/>
      <c r="AJ94" s="697"/>
      <c r="AK94" s="697"/>
      <c r="AL94" s="697"/>
      <c r="AM94" s="697"/>
      <c r="AN94" s="697"/>
      <c r="AO94" s="697"/>
    </row>
    <row r="95" spans="1:41">
      <c r="A95" s="1554"/>
      <c r="B95" s="460"/>
      <c r="C95" s="774"/>
      <c r="D95" s="782"/>
      <c r="E95" s="773"/>
      <c r="F95" s="776"/>
      <c r="G95" s="776"/>
      <c r="H95" s="776"/>
      <c r="I95" s="776"/>
      <c r="J95" s="776"/>
      <c r="K95" s="776"/>
      <c r="L95" s="776"/>
      <c r="M95" s="776"/>
      <c r="N95" s="792"/>
      <c r="O95" s="776"/>
      <c r="P95" s="776"/>
      <c r="Q95" s="776"/>
      <c r="R95" s="776"/>
      <c r="S95" s="776"/>
      <c r="T95" s="776"/>
      <c r="U95" s="777"/>
      <c r="V95" s="731"/>
      <c r="W95" s="379"/>
      <c r="X95" s="379"/>
      <c r="Y95" s="379"/>
      <c r="Z95" s="704"/>
      <c r="AA95" s="705"/>
      <c r="AB95" s="706"/>
      <c r="AC95" s="1464"/>
      <c r="AD95" s="706"/>
      <c r="AE95" s="706"/>
      <c r="AF95" s="706"/>
      <c r="AG95" s="706"/>
      <c r="AH95" s="706"/>
      <c r="AI95" s="706"/>
      <c r="AJ95" s="706"/>
      <c r="AK95" s="706"/>
      <c r="AL95" s="706"/>
      <c r="AM95" s="706"/>
      <c r="AN95" s="706"/>
      <c r="AO95" s="706"/>
    </row>
    <row r="96" spans="1:41">
      <c r="A96" s="1472"/>
      <c r="B96" s="378"/>
      <c r="C96" s="799"/>
      <c r="D96" s="800"/>
      <c r="E96" s="775"/>
      <c r="F96" s="772"/>
      <c r="G96" s="772"/>
      <c r="H96" s="772"/>
      <c r="I96" s="772"/>
      <c r="J96" s="772"/>
      <c r="K96" s="772"/>
      <c r="L96" s="772"/>
      <c r="M96" s="772"/>
      <c r="N96" s="772"/>
      <c r="O96" s="772"/>
      <c r="P96" s="772"/>
      <c r="Q96" s="772"/>
      <c r="R96" s="772"/>
      <c r="S96" s="772"/>
      <c r="T96" s="772"/>
      <c r="U96" s="771"/>
      <c r="Y96" s="445"/>
    </row>
    <row r="97" spans="1:25">
      <c r="A97" s="1472"/>
      <c r="B97" s="378"/>
      <c r="C97" s="799"/>
      <c r="D97" s="800"/>
      <c r="E97" s="795"/>
      <c r="F97" s="796"/>
      <c r="G97" s="796"/>
      <c r="H97" s="796"/>
      <c r="I97" s="796"/>
      <c r="J97" s="796"/>
      <c r="K97" s="796"/>
      <c r="L97" s="796"/>
      <c r="M97" s="796"/>
      <c r="N97" s="796"/>
      <c r="O97" s="796"/>
      <c r="P97" s="796"/>
      <c r="Q97" s="796"/>
      <c r="R97" s="796"/>
      <c r="S97" s="796"/>
      <c r="T97" s="796"/>
      <c r="U97" s="803"/>
      <c r="Y97" s="445"/>
    </row>
    <row r="98" spans="1:25">
      <c r="A98" s="1472"/>
      <c r="B98" s="378"/>
      <c r="Y98" s="445"/>
    </row>
    <row r="99" spans="1:25">
      <c r="A99" s="1472"/>
      <c r="B99" s="378"/>
      <c r="Y99" s="445"/>
    </row>
    <row r="100" spans="1:25">
      <c r="A100" s="1472"/>
      <c r="B100" s="378"/>
      <c r="Y100" s="445"/>
    </row>
    <row r="101" spans="1:25">
      <c r="A101" s="1472"/>
      <c r="B101" s="378"/>
      <c r="Y101" s="445"/>
    </row>
    <row r="102" spans="1:25">
      <c r="A102" s="1472"/>
      <c r="B102" s="378"/>
      <c r="Y102" s="445"/>
    </row>
    <row r="103" spans="1:25">
      <c r="A103" s="1472"/>
      <c r="B103" s="378"/>
      <c r="Y103" s="445"/>
    </row>
    <row r="104" spans="1:25">
      <c r="A104" s="1472"/>
      <c r="B104" s="378"/>
      <c r="Y104" s="379"/>
    </row>
    <row r="105" spans="1:25">
      <c r="A105" s="1472"/>
      <c r="B105" s="378"/>
      <c r="Y105" s="445"/>
    </row>
    <row r="106" spans="1:25">
      <c r="A106" s="1472"/>
      <c r="B106" s="378"/>
      <c r="Y106" s="406"/>
    </row>
    <row r="107" spans="1:25">
      <c r="A107" s="1472"/>
      <c r="B107" s="378"/>
      <c r="Y107" s="379"/>
    </row>
    <row r="108" spans="1:25">
      <c r="A108" s="1472"/>
      <c r="B108" s="378"/>
      <c r="Y108" s="445"/>
    </row>
    <row r="109" spans="1:25">
      <c r="A109" s="1472"/>
      <c r="B109" s="378"/>
      <c r="Y109" s="406"/>
    </row>
    <row r="110" spans="1:25">
      <c r="A110" s="1472"/>
      <c r="B110" s="378"/>
      <c r="Y110" s="379"/>
    </row>
    <row r="111" spans="1:25">
      <c r="A111" s="1472"/>
      <c r="B111" s="378"/>
      <c r="Y111" s="445"/>
    </row>
    <row r="112" spans="1:25">
      <c r="A112" s="1472"/>
      <c r="B112" s="378"/>
      <c r="Y112" s="406"/>
    </row>
    <row r="113" spans="1:25">
      <c r="A113" s="1472"/>
      <c r="B113" s="378"/>
      <c r="Y113" s="379"/>
    </row>
    <row r="114" spans="1:25">
      <c r="A114" s="1472"/>
      <c r="B114" s="378"/>
      <c r="Y114" s="445"/>
    </row>
    <row r="115" spans="1:25">
      <c r="A115" s="1472"/>
      <c r="B115" s="378"/>
      <c r="Y115" s="406"/>
    </row>
    <row r="116" spans="1:25">
      <c r="A116" s="1472"/>
      <c r="B116" s="378"/>
      <c r="Y116" s="379"/>
    </row>
    <row r="117" spans="1:25">
      <c r="A117" s="1472"/>
      <c r="B117" s="378"/>
      <c r="Y117" s="445"/>
    </row>
    <row r="118" spans="1:25">
      <c r="A118" s="1472"/>
      <c r="B118" s="378"/>
      <c r="Y118" s="406"/>
    </row>
    <row r="119" spans="1:25">
      <c r="A119" s="1472"/>
      <c r="B119" s="378"/>
      <c r="Y119" s="379"/>
    </row>
    <row r="120" spans="1:25">
      <c r="A120" s="1472"/>
      <c r="B120" s="378"/>
      <c r="Y120" s="445"/>
    </row>
    <row r="121" spans="1:25">
      <c r="A121" s="1472"/>
      <c r="B121" s="378"/>
      <c r="Y121" s="406"/>
    </row>
    <row r="122" spans="1:25">
      <c r="A122" s="1472"/>
      <c r="B122" s="378"/>
      <c r="Y122" s="379"/>
    </row>
    <row r="123" spans="1:25">
      <c r="A123" s="1472"/>
      <c r="B123" s="378"/>
      <c r="Y123" s="445"/>
    </row>
    <row r="124" spans="1:25">
      <c r="A124" s="1472"/>
      <c r="B124" s="378"/>
      <c r="Y124" s="406"/>
    </row>
    <row r="125" spans="1:25">
      <c r="A125" s="1472"/>
      <c r="B125" s="378"/>
      <c r="Y125" s="379"/>
    </row>
    <row r="126" spans="1:25">
      <c r="A126" s="1472"/>
      <c r="B126" s="378"/>
      <c r="Y126" s="445"/>
    </row>
    <row r="127" spans="1:25">
      <c r="A127" s="1472"/>
      <c r="B127" s="378"/>
      <c r="Y127" s="406"/>
    </row>
    <row r="128" spans="1:25">
      <c r="A128" s="1472"/>
      <c r="B128" s="378"/>
      <c r="Y128" s="379"/>
    </row>
    <row r="129" spans="1:25">
      <c r="A129" s="1472"/>
      <c r="B129" s="378"/>
      <c r="Y129" s="445"/>
    </row>
    <row r="130" spans="1:25">
      <c r="A130" s="1472"/>
      <c r="B130" s="378"/>
      <c r="Y130" s="406"/>
    </row>
    <row r="131" spans="1:25">
      <c r="A131" s="1472"/>
      <c r="B131" s="378"/>
      <c r="Y131" s="379"/>
    </row>
    <row r="132" spans="1:25">
      <c r="A132" s="1472"/>
      <c r="B132" s="378"/>
      <c r="Y132" s="445"/>
    </row>
    <row r="133" spans="1:25">
      <c r="A133" s="1472"/>
      <c r="B133" s="378"/>
      <c r="Y133" s="406"/>
    </row>
    <row r="134" spans="1:25">
      <c r="A134" s="1472"/>
      <c r="B134" s="378"/>
      <c r="Y134" s="379"/>
    </row>
    <row r="135" spans="1:25">
      <c r="A135" s="1472"/>
      <c r="B135" s="378"/>
      <c r="Y135" s="445"/>
    </row>
    <row r="136" spans="1:25">
      <c r="A136" s="1472"/>
      <c r="B136" s="378"/>
      <c r="Y136" s="406"/>
    </row>
    <row r="137" spans="1:25">
      <c r="A137" s="1472"/>
      <c r="B137" s="378"/>
      <c r="Y137" s="379"/>
    </row>
    <row r="138" spans="1:25">
      <c r="A138" s="1472"/>
      <c r="B138" s="378"/>
      <c r="Y138" s="445"/>
    </row>
    <row r="139" spans="1:25">
      <c r="A139" s="1472"/>
      <c r="B139" s="378"/>
      <c r="Y139" s="406"/>
    </row>
    <row r="140" spans="1:25">
      <c r="A140" s="1472"/>
      <c r="B140" s="378"/>
      <c r="Y140" s="379"/>
    </row>
    <row r="141" spans="1:25">
      <c r="A141" s="1473"/>
      <c r="B141" s="442"/>
      <c r="Y141" s="445"/>
    </row>
    <row r="142" spans="1:25">
      <c r="B142" s="398"/>
      <c r="Y142" s="406"/>
    </row>
    <row r="143" spans="1:25">
      <c r="A143" s="434"/>
      <c r="B143" s="399"/>
      <c r="Y143" s="379"/>
    </row>
    <row r="144" spans="1:25">
      <c r="A144" s="443"/>
      <c r="B144" s="400"/>
      <c r="Y144" s="445"/>
    </row>
    <row r="145" spans="1:25">
      <c r="B145" s="398"/>
      <c r="C145" s="448"/>
      <c r="D145" s="437"/>
      <c r="E145" s="446"/>
      <c r="F145" s="446"/>
      <c r="G145" s="446"/>
      <c r="H145" s="446"/>
      <c r="I145" s="446"/>
      <c r="J145" s="446"/>
      <c r="K145" s="446"/>
      <c r="L145" s="446"/>
      <c r="M145" s="446"/>
      <c r="N145" s="446"/>
      <c r="O145" s="446"/>
      <c r="P145" s="446"/>
      <c r="Q145" s="446"/>
      <c r="R145" s="446"/>
      <c r="S145" s="446"/>
      <c r="T145" s="446"/>
      <c r="U145" s="446"/>
      <c r="V145" s="446"/>
      <c r="W145" s="406"/>
      <c r="X145" s="406"/>
      <c r="Y145" s="406"/>
    </row>
    <row r="146" spans="1:25">
      <c r="B146" s="398"/>
      <c r="C146" s="449"/>
      <c r="D146" s="405"/>
      <c r="E146" s="379"/>
      <c r="F146" s="379"/>
      <c r="G146" s="379"/>
      <c r="H146" s="379"/>
      <c r="I146" s="379"/>
      <c r="J146" s="379"/>
      <c r="K146" s="379"/>
      <c r="L146" s="379"/>
      <c r="M146" s="379"/>
      <c r="N146" s="379"/>
      <c r="O146" s="379"/>
      <c r="P146" s="379"/>
      <c r="Q146" s="379"/>
      <c r="R146" s="379"/>
      <c r="S146" s="379"/>
      <c r="T146" s="379"/>
      <c r="U146" s="379"/>
      <c r="V146" s="379"/>
      <c r="W146" s="379"/>
      <c r="X146" s="379"/>
      <c r="Y146" s="379"/>
    </row>
    <row r="147" spans="1:25">
      <c r="A147" s="443"/>
      <c r="B147" s="451"/>
      <c r="C147" s="450"/>
      <c r="D147" s="444"/>
      <c r="E147" s="447"/>
      <c r="F147" s="447"/>
      <c r="G147" s="447"/>
      <c r="H147" s="447"/>
      <c r="I147" s="447"/>
      <c r="J147" s="447"/>
      <c r="K147" s="447"/>
      <c r="L147" s="447"/>
      <c r="M147" s="447"/>
      <c r="N147" s="447"/>
      <c r="O147" s="447"/>
      <c r="P147" s="447"/>
      <c r="Q147" s="447"/>
      <c r="R147" s="447"/>
      <c r="S147" s="447"/>
      <c r="T147" s="447"/>
      <c r="U147" s="447"/>
      <c r="V147" s="447"/>
      <c r="W147" s="445"/>
      <c r="X147" s="445"/>
      <c r="Y147" s="445"/>
    </row>
    <row r="148" spans="1:25">
      <c r="B148" s="398"/>
    </row>
    <row r="149" spans="1:25">
      <c r="B149" s="398"/>
    </row>
    <row r="150" spans="1:25">
      <c r="B150" s="398"/>
    </row>
    <row r="161" s="378" customFormat="1"/>
    <row r="162" s="378" customFormat="1"/>
    <row r="163" s="378" customFormat="1"/>
    <row r="164" s="378" customFormat="1"/>
    <row r="165" s="378" customFormat="1"/>
    <row r="166" s="378" customFormat="1"/>
    <row r="167" s="378" customFormat="1"/>
    <row r="168" s="378" customFormat="1"/>
    <row r="169" s="378" customFormat="1"/>
    <row r="170" s="378" customFormat="1"/>
    <row r="171" s="378" customFormat="1"/>
    <row r="172" s="378" customFormat="1"/>
    <row r="173" s="378" customFormat="1"/>
    <row r="174" s="378" customFormat="1"/>
    <row r="175" s="378" customFormat="1"/>
    <row r="176" s="378" customFormat="1"/>
    <row r="177" s="378" customFormat="1"/>
    <row r="178" s="378" customFormat="1"/>
    <row r="179" s="378" customFormat="1"/>
    <row r="180" s="378" customFormat="1"/>
    <row r="181" s="378" customFormat="1"/>
    <row r="182" s="378" customFormat="1"/>
    <row r="183" s="378" customFormat="1"/>
    <row r="184" s="378" customFormat="1"/>
    <row r="185" s="378" customFormat="1"/>
    <row r="186" s="378" customFormat="1"/>
    <row r="187" s="378" customFormat="1"/>
    <row r="188" s="378" customFormat="1"/>
    <row r="189" s="378" customFormat="1"/>
    <row r="190" s="378" customFormat="1"/>
    <row r="191" s="378" customFormat="1"/>
    <row r="192" s="378" customFormat="1"/>
    <row r="193" s="378" customFormat="1"/>
    <row r="194" s="378" customFormat="1"/>
    <row r="195" s="378" customFormat="1"/>
    <row r="196" s="378" customFormat="1"/>
    <row r="197" s="378" customFormat="1"/>
    <row r="198" s="378" customFormat="1"/>
    <row r="199" s="378" customFormat="1"/>
    <row r="200" s="378" customFormat="1"/>
    <row r="201" s="378" customFormat="1"/>
    <row r="202" s="378" customFormat="1"/>
    <row r="203" s="378" customFormat="1"/>
    <row r="204" s="378" customFormat="1"/>
    <row r="205" s="378" customFormat="1"/>
    <row r="206" s="378" customFormat="1"/>
    <row r="207" s="378" customFormat="1"/>
    <row r="208" s="378" customFormat="1"/>
    <row r="209" s="378" customFormat="1"/>
    <row r="210" s="378" customFormat="1"/>
    <row r="211" s="378" customFormat="1"/>
    <row r="212" s="378" customFormat="1"/>
    <row r="213" s="378" customFormat="1"/>
    <row r="214" s="378" customFormat="1"/>
    <row r="215" s="378" customFormat="1"/>
    <row r="216" s="378" customFormat="1"/>
    <row r="217" s="378" customFormat="1"/>
    <row r="218" s="378" customFormat="1"/>
    <row r="219" s="378" customFormat="1"/>
    <row r="220" s="378" customFormat="1"/>
    <row r="221" s="378" customFormat="1"/>
    <row r="222" s="378" customFormat="1"/>
    <row r="223" s="378" customFormat="1"/>
    <row r="224" s="378" customFormat="1"/>
    <row r="225" s="378" customFormat="1"/>
    <row r="226" s="378" customFormat="1"/>
    <row r="227" s="378" customFormat="1"/>
    <row r="228" s="378" customFormat="1"/>
    <row r="229" s="378" customFormat="1"/>
    <row r="230" s="378" customFormat="1"/>
    <row r="231" s="378" customFormat="1"/>
    <row r="232" s="378" customFormat="1"/>
    <row r="233" s="378" customFormat="1"/>
    <row r="234" s="378" customFormat="1"/>
    <row r="235" s="378" customFormat="1"/>
    <row r="236" s="378" customFormat="1"/>
    <row r="237" s="378" customFormat="1"/>
    <row r="238" s="378" customFormat="1"/>
    <row r="239" s="378" customFormat="1"/>
    <row r="240" s="378" customFormat="1"/>
    <row r="241" s="378" customFormat="1"/>
    <row r="242" s="378" customFormat="1"/>
    <row r="243" s="378" customFormat="1"/>
    <row r="244" s="378" customFormat="1"/>
    <row r="245" s="378" customFormat="1"/>
    <row r="246" s="378" customFormat="1"/>
    <row r="247" s="378" customFormat="1"/>
    <row r="248" s="378" customFormat="1"/>
    <row r="249" s="378" customFormat="1"/>
    <row r="250" s="378" customFormat="1"/>
    <row r="251" s="378" customFormat="1"/>
    <row r="252" s="378" customFormat="1"/>
    <row r="253" s="378" customFormat="1"/>
    <row r="254" s="378" customFormat="1"/>
    <row r="255" s="378" customFormat="1"/>
    <row r="256" s="378" customFormat="1"/>
    <row r="257" s="378" customFormat="1"/>
    <row r="258" s="378" customFormat="1"/>
    <row r="259" s="378" customFormat="1"/>
    <row r="260" s="378" customFormat="1"/>
    <row r="261" s="378" customFormat="1"/>
    <row r="262" s="378" customFormat="1"/>
    <row r="263" s="378" customFormat="1"/>
    <row r="264" s="378" customFormat="1"/>
    <row r="265" s="378" customFormat="1"/>
    <row r="266" s="378" customFormat="1"/>
    <row r="267" s="378" customFormat="1"/>
    <row r="268" s="378" customFormat="1"/>
    <row r="269" s="378" customFormat="1"/>
    <row r="270" s="378" customFormat="1"/>
    <row r="271" s="378" customFormat="1"/>
    <row r="272" s="378" customFormat="1"/>
    <row r="273" s="378" customFormat="1"/>
    <row r="274" s="378" customFormat="1"/>
    <row r="275" s="378" customFormat="1"/>
    <row r="276" s="378" customFormat="1"/>
    <row r="277" s="378" customFormat="1"/>
    <row r="278" s="378" customFormat="1"/>
    <row r="279" s="378" customFormat="1"/>
    <row r="280" s="378" customFormat="1"/>
    <row r="281" s="378" customFormat="1"/>
    <row r="282" s="378" customFormat="1"/>
    <row r="283" s="378" customFormat="1"/>
    <row r="284" s="378" customFormat="1"/>
    <row r="285" s="378" customFormat="1"/>
    <row r="286" s="378" customFormat="1"/>
    <row r="287" s="378" customFormat="1"/>
    <row r="288" s="378" customFormat="1"/>
    <row r="289" s="378" customFormat="1"/>
    <row r="290" s="378" customFormat="1"/>
    <row r="291" s="378" customFormat="1"/>
    <row r="292" s="378" customFormat="1"/>
    <row r="293" s="378" customFormat="1"/>
    <row r="294" s="378" customFormat="1"/>
    <row r="295" s="378" customFormat="1"/>
    <row r="296" s="378" customFormat="1"/>
    <row r="297" s="378" customFormat="1"/>
    <row r="298" s="378" customFormat="1"/>
    <row r="299" s="378" customFormat="1"/>
    <row r="300" s="378" customFormat="1"/>
    <row r="301" s="378" customFormat="1"/>
    <row r="302" s="378" customFormat="1"/>
    <row r="303" s="378" customFormat="1"/>
    <row r="304" s="378" customFormat="1"/>
    <row r="305" s="378" customFormat="1"/>
    <row r="306" s="378" customFormat="1"/>
    <row r="307" s="378" customFormat="1"/>
    <row r="308" s="378" customFormat="1"/>
    <row r="309" s="378" customFormat="1"/>
    <row r="310" s="378" customFormat="1"/>
    <row r="311" s="378" customFormat="1"/>
    <row r="312" s="378" customFormat="1"/>
    <row r="313" s="378" customFormat="1"/>
    <row r="314" s="378" customFormat="1"/>
    <row r="315" s="378" customFormat="1"/>
    <row r="316" s="378" customFormat="1"/>
    <row r="317" s="378" customFormat="1"/>
    <row r="318" s="378" customFormat="1"/>
    <row r="319" s="378" customFormat="1"/>
    <row r="320" s="378" customFormat="1"/>
    <row r="321" s="378" customFormat="1"/>
    <row r="322" s="378" customFormat="1"/>
    <row r="323" s="378" customFormat="1"/>
    <row r="324" s="378" customFormat="1"/>
    <row r="325" s="378" customFormat="1"/>
    <row r="326" s="378" customFormat="1"/>
    <row r="327" s="378" customFormat="1"/>
    <row r="328" s="378" customFormat="1"/>
    <row r="329" s="378" customFormat="1"/>
    <row r="330" s="378" customFormat="1"/>
    <row r="331" s="378" customFormat="1"/>
    <row r="332" s="378" customFormat="1"/>
    <row r="333" s="378" customFormat="1"/>
    <row r="334" s="378" customFormat="1"/>
    <row r="335" s="378" customFormat="1"/>
    <row r="336" s="378" customFormat="1"/>
    <row r="337" s="378" customFormat="1"/>
    <row r="338" s="378" customFormat="1"/>
    <row r="339" s="378" customFormat="1"/>
    <row r="340" s="378" customFormat="1"/>
    <row r="341" s="378" customFormat="1"/>
    <row r="342" s="378" customFormat="1"/>
    <row r="343" s="378" customFormat="1"/>
    <row r="344" s="378" customFormat="1"/>
    <row r="345" s="378" customFormat="1"/>
    <row r="346" s="378" customFormat="1"/>
    <row r="347" s="378" customFormat="1"/>
    <row r="348" s="378" customFormat="1"/>
    <row r="349" s="378" customFormat="1"/>
    <row r="350" s="378" customFormat="1"/>
    <row r="351" s="378" customFormat="1"/>
    <row r="352" s="378" customFormat="1"/>
    <row r="353" s="378" customFormat="1"/>
    <row r="354" s="378" customFormat="1"/>
    <row r="355" s="378" customFormat="1"/>
    <row r="356" s="378" customFormat="1"/>
    <row r="357" s="378" customFormat="1"/>
    <row r="358" s="378" customFormat="1"/>
    <row r="359" s="378" customFormat="1"/>
    <row r="360" s="378" customFormat="1"/>
    <row r="361" s="378" customFormat="1"/>
    <row r="362" s="378" customFormat="1"/>
    <row r="363" s="378" customFormat="1"/>
    <row r="364" s="378" customFormat="1"/>
    <row r="365" s="378" customFormat="1"/>
    <row r="366" s="378" customFormat="1"/>
    <row r="367" s="378" customFormat="1"/>
    <row r="368" s="378" customFormat="1"/>
    <row r="369" s="378" customFormat="1"/>
    <row r="370" s="378" customFormat="1"/>
    <row r="371" s="378" customFormat="1"/>
    <row r="372" s="378" customFormat="1"/>
    <row r="373" s="378" customFormat="1"/>
    <row r="374" s="378" customFormat="1"/>
    <row r="375" s="378" customFormat="1"/>
    <row r="376" s="378" customFormat="1"/>
    <row r="377" s="378" customFormat="1"/>
    <row r="378" s="378" customFormat="1"/>
    <row r="379" s="378" customFormat="1"/>
    <row r="380" s="378" customFormat="1"/>
    <row r="381" s="378" customFormat="1"/>
    <row r="382" s="378" customFormat="1"/>
    <row r="383" s="378" customFormat="1"/>
    <row r="384" s="378" customFormat="1"/>
    <row r="385" s="378" customFormat="1"/>
    <row r="386" s="378" customFormat="1"/>
    <row r="387" s="378" customFormat="1"/>
    <row r="388" s="378" customFormat="1"/>
    <row r="389" s="378" customFormat="1"/>
    <row r="390" s="378" customFormat="1"/>
    <row r="391" s="378" customFormat="1"/>
    <row r="392" s="378" customFormat="1"/>
    <row r="393" s="378" customFormat="1"/>
    <row r="394" s="378" customFormat="1"/>
    <row r="395" s="378" customFormat="1"/>
    <row r="396" s="378" customFormat="1"/>
    <row r="397" s="378" customFormat="1"/>
    <row r="398" s="378" customFormat="1"/>
    <row r="399" s="378" customFormat="1"/>
    <row r="400" s="378" customFormat="1"/>
    <row r="401" s="378" customFormat="1"/>
    <row r="402" s="378" customFormat="1"/>
    <row r="403" s="378" customFormat="1"/>
    <row r="404" s="378" customFormat="1"/>
    <row r="405" s="378" customFormat="1"/>
    <row r="406" s="378" customFormat="1"/>
    <row r="407" s="378" customFormat="1"/>
    <row r="408" s="378" customFormat="1"/>
    <row r="409" s="378" customFormat="1"/>
    <row r="410" s="378" customFormat="1"/>
    <row r="411" s="378" customFormat="1"/>
    <row r="412" s="378" customFormat="1"/>
    <row r="413" s="378" customFormat="1"/>
    <row r="414" s="378" customFormat="1"/>
    <row r="415" s="378" customFormat="1"/>
    <row r="416" s="378" customFormat="1"/>
    <row r="417" s="378" customFormat="1"/>
    <row r="418" s="378" customFormat="1"/>
    <row r="419" s="378" customFormat="1"/>
    <row r="420" s="378" customFormat="1"/>
    <row r="421" s="378" customFormat="1"/>
    <row r="422" s="378" customFormat="1"/>
    <row r="423" s="378" customFormat="1"/>
    <row r="424" s="378" customFormat="1"/>
    <row r="425" s="378" customFormat="1"/>
    <row r="426" s="378" customFormat="1"/>
    <row r="427" s="378" customFormat="1"/>
    <row r="428" s="378" customFormat="1"/>
    <row r="429" s="378" customFormat="1"/>
    <row r="430" s="378" customFormat="1"/>
    <row r="431" s="378" customFormat="1"/>
    <row r="432" s="378" customFormat="1"/>
    <row r="433" s="378" customFormat="1"/>
    <row r="434" s="378" customFormat="1"/>
    <row r="435" s="378" customFormat="1"/>
    <row r="436" s="378" customFormat="1"/>
    <row r="437" s="378" customFormat="1"/>
    <row r="438" s="378" customFormat="1"/>
    <row r="439" s="378" customFormat="1"/>
    <row r="440" s="378" customFormat="1"/>
    <row r="441" s="378" customFormat="1"/>
    <row r="442" s="378" customFormat="1"/>
    <row r="443" s="378" customFormat="1"/>
    <row r="444" s="378" customFormat="1"/>
    <row r="445" s="378" customFormat="1"/>
    <row r="446" s="378" customFormat="1"/>
    <row r="447" s="378" customFormat="1"/>
    <row r="448" s="378" customFormat="1"/>
    <row r="449" s="378" customFormat="1"/>
    <row r="450" s="378" customFormat="1"/>
    <row r="451" s="378" customFormat="1"/>
    <row r="452" s="378" customFormat="1"/>
    <row r="453" s="378" customFormat="1"/>
    <row r="454" s="378" customFormat="1"/>
    <row r="455" s="378" customFormat="1"/>
    <row r="456" s="378" customFormat="1"/>
    <row r="457" s="378" customFormat="1"/>
    <row r="458" s="378" customFormat="1"/>
    <row r="459" s="378" customFormat="1"/>
    <row r="460" s="378" customFormat="1"/>
    <row r="461" s="378" customFormat="1"/>
    <row r="462" s="378" customFormat="1"/>
    <row r="463" s="378" customFormat="1"/>
    <row r="464" s="378" customFormat="1"/>
    <row r="465" s="378" customFormat="1"/>
    <row r="466" s="378" customFormat="1"/>
    <row r="467" s="378" customFormat="1"/>
    <row r="468" s="378" customFormat="1"/>
    <row r="469" s="378" customFormat="1"/>
    <row r="470" s="378" customFormat="1"/>
    <row r="471" s="378" customFormat="1"/>
    <row r="472" s="378" customFormat="1"/>
    <row r="473" s="378" customFormat="1"/>
    <row r="474" s="378" customFormat="1"/>
    <row r="475" s="378" customFormat="1"/>
    <row r="476" s="378" customFormat="1"/>
    <row r="477" s="378" customFormat="1"/>
    <row r="478" s="378" customFormat="1"/>
    <row r="479" s="378" customFormat="1"/>
    <row r="480" s="378" customFormat="1"/>
    <row r="481" s="378" customFormat="1"/>
    <row r="482" s="378" customFormat="1"/>
    <row r="483" s="378" customFormat="1"/>
    <row r="484" s="378" customFormat="1"/>
    <row r="485" s="378" customFormat="1"/>
    <row r="486" s="378" customFormat="1"/>
    <row r="487" s="378" customFormat="1"/>
    <row r="488" s="378" customFormat="1"/>
    <row r="489" s="378" customFormat="1"/>
    <row r="490" s="378" customFormat="1"/>
    <row r="491" s="378" customFormat="1"/>
    <row r="492" s="378" customFormat="1"/>
    <row r="493" s="378" customFormat="1"/>
    <row r="494" s="378" customFormat="1"/>
    <row r="495" s="378" customFormat="1"/>
    <row r="496" s="378" customFormat="1"/>
    <row r="497" s="378" customFormat="1"/>
    <row r="498" s="378" customFormat="1"/>
    <row r="499" s="378" customFormat="1"/>
    <row r="500" s="378" customFormat="1"/>
    <row r="501" s="378" customFormat="1"/>
    <row r="502" s="378" customFormat="1"/>
    <row r="503" s="378" customFormat="1"/>
    <row r="504" s="378" customFormat="1"/>
    <row r="505" s="378" customFormat="1"/>
    <row r="506" s="378" customFormat="1"/>
    <row r="507" s="378" customFormat="1"/>
    <row r="508" s="378" customFormat="1"/>
    <row r="509" s="378" customFormat="1"/>
    <row r="510" s="378" customFormat="1"/>
    <row r="511" s="378" customFormat="1"/>
    <row r="512" s="378" customFormat="1"/>
    <row r="513" s="378" customFormat="1"/>
    <row r="514" s="378" customFormat="1"/>
    <row r="515" s="378" customFormat="1"/>
    <row r="516" s="378" customFormat="1"/>
    <row r="517" s="378" customFormat="1"/>
    <row r="518" s="378" customFormat="1"/>
    <row r="519" s="378" customFormat="1"/>
    <row r="520" s="378" customFormat="1"/>
    <row r="521" s="378" customFormat="1"/>
    <row r="522" s="378" customFormat="1"/>
    <row r="523" s="378" customFormat="1"/>
    <row r="524" s="378" customFormat="1"/>
    <row r="525" s="378" customFormat="1"/>
    <row r="526" s="378" customFormat="1"/>
    <row r="527" s="378" customFormat="1"/>
    <row r="528" s="378" customFormat="1"/>
    <row r="529" s="378" customFormat="1"/>
    <row r="530" s="378" customFormat="1"/>
    <row r="531" s="378" customFormat="1"/>
    <row r="532" s="378" customFormat="1"/>
    <row r="533" s="378" customFormat="1"/>
    <row r="534" s="378" customFormat="1"/>
    <row r="535" s="378" customFormat="1"/>
    <row r="536" s="378" customFormat="1"/>
    <row r="537" s="378" customFormat="1"/>
    <row r="538" s="378" customFormat="1"/>
    <row r="539" s="378" customFormat="1"/>
    <row r="540" s="378" customFormat="1"/>
    <row r="541" s="378" customFormat="1"/>
    <row r="542" s="378" customFormat="1"/>
    <row r="543" s="378" customFormat="1"/>
    <row r="544" s="378" customFormat="1"/>
    <row r="545" s="378" customFormat="1"/>
    <row r="546" s="378" customFormat="1"/>
    <row r="547" s="378" customFormat="1"/>
    <row r="548" s="378" customFormat="1"/>
    <row r="549" s="378" customFormat="1"/>
    <row r="550" s="378" customFormat="1"/>
    <row r="551" s="378" customFormat="1"/>
    <row r="552" s="378" customFormat="1"/>
    <row r="553" s="378" customFormat="1"/>
    <row r="554" s="378" customFormat="1"/>
    <row r="555" s="378" customFormat="1"/>
    <row r="556" s="378" customFormat="1"/>
    <row r="557" s="378" customFormat="1"/>
    <row r="558" s="378" customFormat="1"/>
    <row r="559" s="378" customFormat="1"/>
    <row r="560" s="378" customFormat="1"/>
    <row r="561" s="378" customFormat="1"/>
    <row r="562" s="378" customFormat="1"/>
    <row r="563" s="378" customFormat="1"/>
    <row r="564" s="378" customFormat="1"/>
    <row r="565" s="378" customFormat="1"/>
    <row r="566" s="378" customFormat="1"/>
    <row r="567" s="378" customFormat="1"/>
    <row r="568" s="378" customFormat="1"/>
    <row r="569" s="378" customFormat="1"/>
    <row r="570" s="378" customFormat="1"/>
    <row r="571" s="378" customFormat="1"/>
    <row r="572" s="378" customFormat="1"/>
    <row r="573" s="378" customFormat="1"/>
    <row r="574" s="378" customFormat="1"/>
    <row r="575" s="378" customFormat="1"/>
    <row r="576" s="378" customFormat="1"/>
    <row r="577" s="378" customFormat="1"/>
    <row r="578" s="378" customFormat="1"/>
    <row r="579" s="378" customFormat="1"/>
    <row r="580" s="378" customFormat="1"/>
    <row r="581" s="378" customFormat="1"/>
    <row r="582" s="378" customFormat="1"/>
    <row r="583" s="378" customFormat="1"/>
    <row r="584" s="378" customFormat="1"/>
    <row r="585" s="378" customFormat="1"/>
    <row r="586" s="378" customFormat="1"/>
    <row r="587" s="378" customFormat="1"/>
    <row r="588" s="378" customFormat="1"/>
    <row r="589" s="378" customFormat="1"/>
    <row r="590" s="378" customFormat="1"/>
    <row r="591" s="378" customFormat="1"/>
    <row r="592" s="378" customFormat="1"/>
    <row r="593" s="378" customFormat="1"/>
    <row r="594" s="378" customFormat="1"/>
    <row r="595" s="378" customFormat="1"/>
    <row r="596" s="378" customFormat="1"/>
    <row r="597" s="378" customFormat="1"/>
    <row r="598" s="378" customFormat="1"/>
    <row r="599" s="378" customFormat="1"/>
    <row r="600" s="378" customFormat="1"/>
    <row r="601" s="378" customFormat="1"/>
    <row r="602" s="378" customFormat="1"/>
    <row r="603" s="378" customFormat="1"/>
    <row r="604" s="378" customFormat="1"/>
    <row r="605" s="378" customFormat="1"/>
    <row r="606" s="378" customFormat="1"/>
    <row r="607" s="378" customFormat="1"/>
    <row r="608" s="378" customFormat="1"/>
    <row r="609" s="378" customFormat="1"/>
    <row r="610" s="378" customFormat="1"/>
    <row r="611" s="378" customFormat="1"/>
    <row r="612" s="378" customFormat="1"/>
    <row r="613" s="378" customFormat="1"/>
    <row r="614" s="378" customFormat="1"/>
    <row r="615" s="378" customFormat="1"/>
    <row r="616" s="378" customFormat="1"/>
    <row r="617" s="378" customFormat="1"/>
    <row r="618" s="378" customFormat="1"/>
    <row r="619" s="378" customFormat="1"/>
    <row r="620" s="378" customFormat="1"/>
    <row r="621" s="378" customFormat="1"/>
    <row r="622" s="378" customFormat="1"/>
    <row r="623" s="378" customFormat="1"/>
    <row r="624" s="378" customFormat="1"/>
    <row r="625" s="378" customFormat="1"/>
    <row r="626" s="378" customFormat="1"/>
    <row r="627" s="378" customFormat="1"/>
    <row r="628" s="378" customFormat="1"/>
    <row r="629" s="378" customFormat="1"/>
    <row r="630" s="378" customFormat="1"/>
    <row r="631" s="378" customFormat="1"/>
    <row r="632" s="378" customFormat="1"/>
    <row r="633" s="378" customFormat="1"/>
    <row r="634" s="378" customFormat="1"/>
    <row r="635" s="378" customFormat="1"/>
    <row r="636" s="378" customFormat="1"/>
    <row r="637" s="378" customFormat="1"/>
    <row r="638" s="378" customFormat="1"/>
    <row r="639" s="378" customFormat="1"/>
    <row r="640" s="378" customFormat="1"/>
    <row r="641" s="378" customFormat="1"/>
    <row r="642" s="378" customFormat="1"/>
    <row r="643" s="378" customFormat="1"/>
    <row r="644" s="378" customFormat="1"/>
    <row r="645" s="378" customFormat="1"/>
    <row r="646" s="378" customFormat="1"/>
    <row r="647" s="378" customFormat="1"/>
    <row r="648" s="378" customFormat="1"/>
    <row r="649" s="378" customFormat="1"/>
    <row r="650" s="378" customFormat="1"/>
    <row r="651" s="378" customFormat="1"/>
    <row r="652" s="378" customFormat="1"/>
    <row r="653" s="378" customFormat="1"/>
    <row r="654" s="378" customFormat="1"/>
    <row r="655" s="378" customFormat="1"/>
    <row r="656" s="378" customFormat="1"/>
    <row r="657" s="378" customFormat="1"/>
    <row r="658" s="378" customFormat="1"/>
    <row r="659" s="378" customFormat="1"/>
    <row r="660" s="378" customFormat="1"/>
    <row r="661" s="378" customFormat="1"/>
    <row r="662" s="378" customFormat="1"/>
    <row r="663" s="378" customFormat="1"/>
    <row r="664" s="378" customFormat="1"/>
    <row r="665" s="378" customFormat="1"/>
    <row r="666" s="378" customFormat="1"/>
    <row r="667" s="378" customFormat="1"/>
    <row r="668" s="378" customFormat="1"/>
    <row r="669" s="378" customFormat="1"/>
    <row r="670" s="378" customFormat="1"/>
    <row r="671" s="378" customFormat="1"/>
    <row r="672" s="378" customFormat="1"/>
    <row r="673" s="378" customFormat="1"/>
    <row r="674" s="378" customFormat="1"/>
    <row r="675" s="378" customFormat="1"/>
    <row r="676" s="378" customFormat="1"/>
    <row r="677" s="378" customFormat="1"/>
    <row r="678" s="378" customFormat="1"/>
    <row r="679" s="378" customFormat="1"/>
    <row r="680" s="378" customFormat="1"/>
    <row r="681" s="378" customFormat="1"/>
    <row r="682" s="378" customFormat="1"/>
    <row r="683" s="378" customFormat="1"/>
    <row r="684" s="378" customFormat="1"/>
    <row r="685" s="378" customFormat="1"/>
    <row r="686" s="378" customFormat="1"/>
    <row r="687" s="378" customFormat="1"/>
    <row r="688" s="378" customFormat="1"/>
    <row r="689" s="378" customFormat="1"/>
    <row r="690" s="378" customFormat="1"/>
    <row r="691" s="378" customFormat="1"/>
    <row r="692" s="378" customFormat="1"/>
    <row r="693" s="378" customFormat="1"/>
    <row r="694" s="378" customFormat="1"/>
    <row r="695" s="378" customFormat="1"/>
    <row r="696" s="378" customFormat="1"/>
    <row r="697" s="378" customFormat="1"/>
    <row r="698" s="378" customFormat="1"/>
    <row r="699" s="378" customFormat="1"/>
    <row r="700" s="378" customFormat="1"/>
    <row r="701" s="378" customFormat="1"/>
    <row r="702" s="378" customFormat="1"/>
    <row r="703" s="378" customFormat="1"/>
    <row r="704" s="378" customFormat="1"/>
    <row r="705" s="378" customFormat="1"/>
    <row r="706" s="378" customFormat="1"/>
    <row r="707" s="378" customFormat="1"/>
  </sheetData>
  <mergeCells count="2">
    <mergeCell ref="A4:A39"/>
    <mergeCell ref="A40:A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113. NEW Distrib by purp sum</vt:lpstr>
      <vt:lpstr>OLD Distrib by purpose sum</vt:lpstr>
      <vt:lpstr>114. NEW Distrib by purpose</vt:lpstr>
      <vt:lpstr>OLD Distrib by purpose</vt:lpstr>
      <vt:lpstr>115. NEW Distrib by source</vt:lpstr>
      <vt:lpstr>OLD Distrib by source</vt:lpstr>
      <vt:lpstr>116-131b NEW Amounts per FTE</vt:lpstr>
      <vt:lpstr>OLD Amounts per FTE</vt:lpstr>
      <vt:lpstr>Amounts Pivot Table</vt:lpstr>
      <vt:lpstr>Distrib pivot table</vt:lpstr>
      <vt:lpstr>SFA Data for Highlights</vt:lpstr>
      <vt:lpstr>Amounts Pivot Table Fact Book</vt:lpstr>
      <vt:lpstr>Funding Data</vt:lpstr>
      <vt:lpstr>Format Amounts</vt:lpstr>
      <vt:lpstr>Format Dist</vt:lpstr>
      <vt:lpstr>'113. NEW Distrib by purp sum'!Print_Area</vt:lpstr>
      <vt:lpstr>'114. NEW Distrib by purpose'!Print_Area</vt:lpstr>
      <vt:lpstr>'115. NEW Distrib by source'!Print_Area</vt:lpstr>
      <vt:lpstr>'116-131b NEW Amounts per FTE'!Print_Area</vt:lpstr>
      <vt:lpstr>'Distrib pivot table'!Print_Area</vt:lpstr>
      <vt:lpstr>'OLD Amounts per FTE'!Print_Area</vt:lpstr>
      <vt:lpstr>'OLD Distrib by purpose'!Print_Area</vt:lpstr>
      <vt:lpstr>'OLD Distrib by purpose sum'!Print_Area</vt:lpstr>
      <vt:lpstr>'OLD Distrib by source'!Print_Area</vt:lpstr>
      <vt:lpstr>'SFA Data for Highlights'!Print_Area</vt:lpstr>
      <vt:lpstr>'114. NEW Distrib by purpose'!Print_Titles</vt:lpstr>
      <vt:lpstr>'Distrib pivot table'!Print_Titles</vt:lpstr>
      <vt:lpstr>'OLD Distrib by purpose'!Print_Titles</vt:lpstr>
    </vt:vector>
  </TitlesOfParts>
  <Company>College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Lisa Cowan</cp:lastModifiedBy>
  <cp:lastPrinted>2016-03-16T16:45:48Z</cp:lastPrinted>
  <dcterms:created xsi:type="dcterms:W3CDTF">1997-12-15T16:34:08Z</dcterms:created>
  <dcterms:modified xsi:type="dcterms:W3CDTF">2016-03-18T14:33:10Z</dcterms:modified>
</cp:coreProperties>
</file>